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ger.winter\Documents\"/>
    </mc:Choice>
  </mc:AlternateContent>
  <bookViews>
    <workbookView xWindow="0" yWindow="0" windowWidth="28800" windowHeight="10335" tabRatio="731"/>
  </bookViews>
  <sheets>
    <sheet name="REGIONS" sheetId="2" r:id="rId1"/>
    <sheet name="CONSTITUENCIES" sheetId="3" r:id="rId2"/>
    <sheet name="BARKING" sheetId="4" r:id="rId3"/>
    <sheet name="BARNET" sheetId="5" r:id="rId4"/>
    <sheet name="BATH &amp; NE SOMERSET" sheetId="6" r:id="rId5"/>
    <sheet name="BEDFORDSHIRE" sheetId="7" r:id="rId6"/>
    <sheet name="BERKSHIRE" sheetId="9" r:id="rId7"/>
    <sheet name="BEXLEY" sheetId="10" r:id="rId8"/>
    <sheet name="BRENT" sheetId="12" r:id="rId9"/>
    <sheet name="BRISTOL" sheetId="17" r:id="rId10"/>
    <sheet name="BROMLEY" sheetId="15" r:id="rId11"/>
    <sheet name="BUCKINGHAMSHIRE" sheetId="18" r:id="rId12"/>
    <sheet name="CAMBRIDGESHIRE" sheetId="13" r:id="rId13"/>
    <sheet name="CAMDEN" sheetId="14" r:id="rId14"/>
    <sheet name="CHESHIRE" sheetId="19" r:id="rId15"/>
    <sheet name="CITY OF LONDON" sheetId="20" r:id="rId16"/>
    <sheet name="CORNWALL" sheetId="23" r:id="rId17"/>
    <sheet name="CROYDON" sheetId="24" r:id="rId18"/>
    <sheet name="CUMBRIA" sheetId="25" r:id="rId19"/>
    <sheet name="DERBYSHIRE" sheetId="26" r:id="rId20"/>
    <sheet name="DEVON" sheetId="27" r:id="rId21"/>
    <sheet name="DORSET" sheetId="33" r:id="rId22"/>
    <sheet name="DURHAM" sheetId="34" r:id="rId23"/>
    <sheet name="EALING" sheetId="35" r:id="rId24"/>
    <sheet name="EAST SUSSEX" sheetId="37" r:id="rId25"/>
    <sheet name="ENFIELD" sheetId="36" r:id="rId26"/>
    <sheet name="ESSEX" sheetId="38" r:id="rId27"/>
    <sheet name="GLOUCESTERSHIRE" sheetId="28" r:id="rId28"/>
    <sheet name="GREATER MANCHESTER" sheetId="39" r:id="rId29"/>
    <sheet name="GREENWICH" sheetId="11" r:id="rId30"/>
    <sheet name="HACKNEY" sheetId="40" r:id="rId31"/>
    <sheet name="HAMMERSMITH" sheetId="41" r:id="rId32"/>
    <sheet name="HAMPSHIRE" sheetId="43" r:id="rId33"/>
    <sheet name="HARINGEY" sheetId="44" r:id="rId34"/>
    <sheet name="HARROW" sheetId="45" r:id="rId35"/>
    <sheet name="HARTLEPOOL" sheetId="48" r:id="rId36"/>
    <sheet name="HAVERING" sheetId="8" r:id="rId37"/>
    <sheet name="HEREFORDSHIRE" sheetId="47" r:id="rId38"/>
    <sheet name="HERTFORDSHIRE" sheetId="49" r:id="rId39"/>
    <sheet name="HILLINGDON" sheetId="46" r:id="rId40"/>
    <sheet name="HOUNSLOW" sheetId="51" r:id="rId41"/>
    <sheet name="&quot;HUMBERSIDE&quot;" sheetId="52" r:id="rId42"/>
    <sheet name="ISLE OF WIGHT" sheetId="53" r:id="rId43"/>
    <sheet name="ISLINGTON" sheetId="54" r:id="rId44"/>
    <sheet name="KENSINGTON" sheetId="42" r:id="rId45"/>
    <sheet name="KENT" sheetId="57" r:id="rId46"/>
    <sheet name="KINGSTON" sheetId="55" r:id="rId47"/>
    <sheet name="LAMBETH" sheetId="58" r:id="rId48"/>
    <sheet name="LANCASHIRE" sheetId="31" r:id="rId49"/>
    <sheet name="LEICESTER" sheetId="62" r:id="rId50"/>
    <sheet name="LEICESTERSHIRE" sheetId="63" r:id="rId51"/>
    <sheet name="LEWISHAM" sheetId="16" r:id="rId52"/>
    <sheet name="LINCOLNSHIRE" sheetId="64" r:id="rId53"/>
    <sheet name="MERSEYSIDE" sheetId="66" r:id="rId54"/>
    <sheet name="MERTON" sheetId="67" r:id="rId55"/>
    <sheet name="MIDD &amp; R &amp; C" sheetId="68" r:id="rId56"/>
    <sheet name="MILTON KEYNES" sheetId="69" r:id="rId57"/>
    <sheet name="NEWHAM" sheetId="72" r:id="rId58"/>
    <sheet name="NORFOLK" sheetId="29" r:id="rId59"/>
    <sheet name="NORTHAMPTONSHIRE" sheetId="30" r:id="rId60"/>
    <sheet name="NORTHUMBERLAND" sheetId="65" r:id="rId61"/>
    <sheet name="NORTH SOMERSET" sheetId="92" r:id="rId62"/>
    <sheet name="NORTH YORKSHIRE" sheetId="71" r:id="rId63"/>
    <sheet name="NOTTINGHAM" sheetId="73" r:id="rId64"/>
    <sheet name="NOTTINGHAMSHIRE" sheetId="74" r:id="rId65"/>
    <sheet name="OXFORDSHIRE" sheetId="75" r:id="rId66"/>
    <sheet name="PORTSMOUTH" sheetId="76" r:id="rId67"/>
    <sheet name="REDBRIDGE" sheetId="78" r:id="rId68"/>
    <sheet name="RICHMOND" sheetId="56" r:id="rId69"/>
    <sheet name="SHROPSHIRE &amp; TELFORD &amp; WREKIN " sheetId="60" r:id="rId70"/>
    <sheet name="SOMERSET" sheetId="70" r:id="rId71"/>
    <sheet name="SOUTH GLOUCESTERSHIRE" sheetId="80" r:id="rId72"/>
    <sheet name="SOUTH YORKSHIRE" sheetId="81" r:id="rId73"/>
    <sheet name="SOUTHWARK" sheetId="59" r:id="rId74"/>
    <sheet name="STAFFORDSHIRE" sheetId="82" r:id="rId75"/>
    <sheet name="STOCKTON" sheetId="83" r:id="rId76"/>
    <sheet name="SUFFOLK" sheetId="84" r:id="rId77"/>
    <sheet name="SURREY" sheetId="87" r:id="rId78"/>
    <sheet name="SUTTON" sheetId="85" r:id="rId79"/>
    <sheet name="SWINDON" sheetId="86" r:id="rId80"/>
    <sheet name="TOWER HAMLETS" sheetId="88" r:id="rId81"/>
    <sheet name="TYNE &amp; WEAR" sheetId="89" r:id="rId82"/>
    <sheet name="WALTHAM FOREST" sheetId="79" r:id="rId83"/>
    <sheet name="WANDSWORTH" sheetId="90" r:id="rId84"/>
    <sheet name="WARRINGTON" sheetId="91" r:id="rId85"/>
    <sheet name="WARWICKSHIRE" sheetId="32" r:id="rId86"/>
    <sheet name="WESTMINSTER" sheetId="21" r:id="rId87"/>
    <sheet name="WEST MIDLANDS" sheetId="93" r:id="rId88"/>
    <sheet name="WEST SUSSEX" sheetId="94" r:id="rId89"/>
    <sheet name="WEST YORKSHIRE" sheetId="95" r:id="rId90"/>
    <sheet name="WILTSHIRE" sheetId="61" r:id="rId91"/>
    <sheet name="WORCESTERSHIRE" sheetId="96" r:id="rId92"/>
    <sheet name="YORK" sheetId="97" r:id="rId93"/>
  </sheets>
  <definedNames>
    <definedName name="_xlnm._FilterDatabase" localSheetId="1" hidden="1">CONSTITUENCIES!$A$1:$GY$563</definedName>
    <definedName name="_xlnm._FilterDatabase" localSheetId="87" hidden="1">'WEST MIDLANDS'!$N$85:$N$196</definedName>
    <definedName name="_Regression_Int" localSheetId="41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12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" hidden="1">1</definedName>
    <definedName name="_Regression_Int" localSheetId="16" hidden="1">1</definedName>
    <definedName name="_Regression_Int" localSheetId="17" hidden="1">1</definedName>
    <definedName name="_Regression_Int" localSheetId="18" hidden="1">1</definedName>
    <definedName name="_Regression_Int" localSheetId="19" hidden="1">1</definedName>
    <definedName name="_Regression_Int" localSheetId="20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4" hidden="1">1</definedName>
    <definedName name="_Regression_Int" localSheetId="25" hidden="1">1</definedName>
    <definedName name="_Regression_Int" localSheetId="26" hidden="1">1</definedName>
    <definedName name="_Regression_Int" localSheetId="27" hidden="1">1</definedName>
    <definedName name="_Regression_Int" localSheetId="28" hidden="1">1</definedName>
    <definedName name="_Regression_Int" localSheetId="29" hidden="1">1</definedName>
    <definedName name="_Regression_Int" localSheetId="30" hidden="1">1</definedName>
    <definedName name="_Regression_Int" localSheetId="31" hidden="1">1</definedName>
    <definedName name="_Regression_Int" localSheetId="32" hidden="1">1</definedName>
    <definedName name="_Regression_Int" localSheetId="33" hidden="1">1</definedName>
    <definedName name="_Regression_Int" localSheetId="34" hidden="1">1</definedName>
    <definedName name="_Regression_Int" localSheetId="35" hidden="1">1</definedName>
    <definedName name="_Regression_Int" localSheetId="36" hidden="1">1</definedName>
    <definedName name="_Regression_Int" localSheetId="37" hidden="1">1</definedName>
    <definedName name="_Regression_Int" localSheetId="38" hidden="1">1</definedName>
    <definedName name="_Regression_Int" localSheetId="39" hidden="1">1</definedName>
    <definedName name="_Regression_Int" localSheetId="40" hidden="1">1</definedName>
    <definedName name="_Regression_Int" localSheetId="42" hidden="1">1</definedName>
    <definedName name="_Regression_Int" localSheetId="43" hidden="1">1</definedName>
    <definedName name="_Regression_Int" localSheetId="44" hidden="1">1</definedName>
    <definedName name="_Regression_Int" localSheetId="45" hidden="1">1</definedName>
    <definedName name="_Regression_Int" localSheetId="46" hidden="1">1</definedName>
    <definedName name="_Regression_Int" localSheetId="47" hidden="1">1</definedName>
    <definedName name="_Regression_Int" localSheetId="48" hidden="1">1</definedName>
    <definedName name="_Regression_Int" localSheetId="49" hidden="1">1</definedName>
    <definedName name="_Regression_Int" localSheetId="50" hidden="1">1</definedName>
    <definedName name="_Regression_Int" localSheetId="51" hidden="1">1</definedName>
    <definedName name="_Regression_Int" localSheetId="52" hidden="1">1</definedName>
    <definedName name="_Regression_Int" localSheetId="53" hidden="1">1</definedName>
    <definedName name="_Regression_Int" localSheetId="54" hidden="1">1</definedName>
    <definedName name="_Regression_Int" localSheetId="55" hidden="1">1</definedName>
    <definedName name="_Regression_Int" localSheetId="56" hidden="1">1</definedName>
    <definedName name="_Regression_Int" localSheetId="57" hidden="1">1</definedName>
    <definedName name="_Regression_Int" localSheetId="58" hidden="1">1</definedName>
    <definedName name="_Regression_Int" localSheetId="61" hidden="1">1</definedName>
    <definedName name="_Regression_Int" localSheetId="62" hidden="1">1</definedName>
    <definedName name="_Regression_Int" localSheetId="59" hidden="1">1</definedName>
    <definedName name="_Regression_Int" localSheetId="60" hidden="1">1</definedName>
    <definedName name="_Regression_Int" localSheetId="63" hidden="1">1</definedName>
    <definedName name="_Regression_Int" localSheetId="64" hidden="1">1</definedName>
    <definedName name="_Regression_Int" localSheetId="65" hidden="1">1</definedName>
    <definedName name="_Regression_Int" localSheetId="66" hidden="1">1</definedName>
    <definedName name="_Regression_Int" localSheetId="67" hidden="1">1</definedName>
    <definedName name="_Regression_Int" localSheetId="0" hidden="1">1</definedName>
    <definedName name="_Regression_Int" localSheetId="68" hidden="1">1</definedName>
    <definedName name="_Regression_Int" localSheetId="69" hidden="1">1</definedName>
    <definedName name="_Regression_Int" localSheetId="70" hidden="1">1</definedName>
    <definedName name="_Regression_Int" localSheetId="71" hidden="1">1</definedName>
    <definedName name="_Regression_Int" localSheetId="72" hidden="1">1</definedName>
    <definedName name="_Regression_Int" localSheetId="73" hidden="1">1</definedName>
    <definedName name="_Regression_Int" localSheetId="74" hidden="1">1</definedName>
    <definedName name="_Regression_Int" localSheetId="75" hidden="1">1</definedName>
    <definedName name="_Regression_Int" localSheetId="76" hidden="1">1</definedName>
    <definedName name="_Regression_Int" localSheetId="77" hidden="1">1</definedName>
    <definedName name="_Regression_Int" localSheetId="78" hidden="1">1</definedName>
    <definedName name="_Regression_Int" localSheetId="79" hidden="1">1</definedName>
    <definedName name="_Regression_Int" localSheetId="80" hidden="1">1</definedName>
    <definedName name="_Regression_Int" localSheetId="81" hidden="1">1</definedName>
    <definedName name="_Regression_Int" localSheetId="82" hidden="1">1</definedName>
    <definedName name="_Regression_Int" localSheetId="83" hidden="1">1</definedName>
    <definedName name="_Regression_Int" localSheetId="84" hidden="1">1</definedName>
    <definedName name="_Regression_Int" localSheetId="85" hidden="1">1</definedName>
    <definedName name="_Regression_Int" localSheetId="87" hidden="1">1</definedName>
    <definedName name="_Regression_Int" localSheetId="88" hidden="1">1</definedName>
    <definedName name="_Regression_Int" localSheetId="89" hidden="1">1</definedName>
    <definedName name="_Regression_Int" localSheetId="86" hidden="1">1</definedName>
    <definedName name="_Regression_Int" localSheetId="90" hidden="1">1</definedName>
    <definedName name="_Regression_Int" localSheetId="91" hidden="1">1</definedName>
    <definedName name="_Regression_Int" localSheetId="92" hidden="1">1</definedName>
    <definedName name="_xlnm.Print_Area" localSheetId="41">'"HUMBERSIDE"'!$A$1:$N$47,'"HUMBERSIDE"'!$A$50:$N$86,'"HUMBERSIDE"'!$A$89:$N$120,'"HUMBERSIDE"'!$A$123:$N$145,'"HUMBERSIDE"'!$A$148:$N$173</definedName>
    <definedName name="_xlnm.Print_Area" localSheetId="2">BARKING!$A$1:$N$42</definedName>
    <definedName name="_xlnm.Print_Area" localSheetId="3">BARNET!$A$1:$N$41</definedName>
    <definedName name="_xlnm.Print_Area" localSheetId="4">'BATH &amp; NE SOMERSET'!$A$1:$N$55,'BATH &amp; NE SOMERSET'!#REF!,'BATH &amp; NE SOMERSET'!#REF!,'BATH &amp; NE SOMERSET'!#REF!</definedName>
    <definedName name="_xlnm.Print_Area" localSheetId="5">BEDFORDSHIRE!$A$1:$N$38,BEDFORDSHIRE!$A$41:$N$87,BEDFORDSHIRE!$A$90:$N$165</definedName>
    <definedName name="_xlnm.Print_Area" localSheetId="6">BERKSHIRE!$A$1:$N$54,BERKSHIRE!$A$57:$N$82,BERKSHIRE!$A$85:$N$108,BERKSHIRE!$A$111:$N$133,BERKSHIRE!$A$136:$N$174,BERKSHIRE!$A$177:$N$207,BERKSHIRE!$A$210:$N$244</definedName>
    <definedName name="_xlnm.Print_Area" localSheetId="7">BEXLEY!$A$1:$N$56</definedName>
    <definedName name="_xlnm.Print_Area" localSheetId="8">BRENT!$A$1:$N$47</definedName>
    <definedName name="_xlnm.Print_Area" localSheetId="9">BRISTOL!$A$1:$N$20,BRISTOL!#REF!,BRISTOL!$A$21:$N$66,BRISTOL!#REF!,BRISTOL!#REF!</definedName>
    <definedName name="_xlnm.Print_Area" localSheetId="10">BROMLEY!$A$1:$N$51</definedName>
    <definedName name="_xlnm.Print_Area" localSheetId="11">BUCKINGHAMSHIRE!$A$1:$N$180</definedName>
    <definedName name="_xlnm.Print_Area" localSheetId="12">CAMBRIDGESHIRE!$A$1:$N$45,CAMBRIDGESHIRE!$A$48:$N$85,CAMBRIDGESHIRE!$A$88:$N$109,CAMBRIDGESHIRE!$A$112:$N$138,CAMBRIDGESHIRE!$A$141:$N$171,CAMBRIDGESHIRE!$A$174:$N$221,CAMBRIDGESHIRE!$A$224:$N$260</definedName>
    <definedName name="_xlnm.Print_Area" localSheetId="13">CAMDEN!$A$1:$N$42</definedName>
    <definedName name="_xlnm.Print_Area" localSheetId="14">CHESHIRE!$A$1:$O$220</definedName>
    <definedName name="_xlnm.Print_Area" localSheetId="15">'CITY OF LONDON'!$A$1:$N$35</definedName>
    <definedName name="_xlnm.Print_Area" localSheetId="1">CONSTITUENCIES!$A$4:$S$554</definedName>
    <definedName name="_xlnm.Print_Area" localSheetId="16">CORNWALL!$A$1:$N$28,CORNWALL!$A$33:$N$187,CORNWALL!#REF!,CORNWALL!$A$190:$N$199,CORNWALL!#REF!,CORNWALL!$A$202:$N$204,CORNWALL!#REF!,CORNWALL!#REF!</definedName>
    <definedName name="_xlnm.Print_Area" localSheetId="17">CROYDON!$A$1:$O$45</definedName>
    <definedName name="_xlnm.Print_Area" localSheetId="18">CUMBRIA!$A$1:$N$37,CUMBRIA!$A$40:$N$79,CUMBRIA!$A$82:$N$101,CUMBRIA!$A$104:$N$133,CUMBRIA!$A$136:$N$167,CUMBRIA!$A$170:$N$206,CUMBRIA!#REF!</definedName>
    <definedName name="_xlnm.Print_Area" localSheetId="19">DERBYSHIRE!$A$1:$N$57,DERBYSHIRE!$A$60:$N$85,DERBYSHIRE!$A$88:$N$122,DERBYSHIRE!$A$125:$N$152,DERBYSHIRE!$A$155:$N$181,DERBYSHIRE!$A$184:$N$215,DERBYSHIRE!$A$218:$N$244,DERBYSHIRE!$A$247:$N$281,DERBYSHIRE!$A$284:$N$316,DERBYSHIRE!$A$319:$N$340</definedName>
    <definedName name="_xlnm.Print_Area" localSheetId="20">DEVON!$A$1:$N$67,DEVON!$A$70:$N$98,DEVON!$A$101:$N$123,DEVON!$A$126:$N$169,DEVON!$A$172:$N$198,DEVON!$A$201:$N$233,DEVON!$A$237:$N$271,DEVON!$A$275:$N$304,DEVON!$A$307:$N$340,DEVON!$A$343:$N$372,DEVON!$A$375:$N$402</definedName>
    <definedName name="_xlnm.Print_Area" localSheetId="21">DORSET!$A$1:$N$54,DORSET!$A$57:$N$82,DORSET!$A$85:$N$115,DORSET!$A$118:$N$135,DORSET!$A$138:$N$170,DORSET!$A$173:$N$198,DORSET!$A$201:$N$227,DORSET!$A$231:$N$266,DORSET!$A$269:$N$290</definedName>
    <definedName name="_xlnm.Print_Area" localSheetId="22">DURHAM!$A$1:$N$33,DURHAM!$A$37:$N$68,DURHAM!$A$71:$N$91,DURHAM!$A$94:$N$115,DURHAM!$A$116:$N$137,DURHAM!$A$138:$N$149,DURHAM!#REF!,DURHAM!#REF!,DURHAM!$A$150:$N$156</definedName>
    <definedName name="_xlnm.Print_Area" localSheetId="23">EALING!$A$1:$N$43</definedName>
    <definedName name="_xlnm.Print_Area" localSheetId="24">'EAST SUSSEX'!$A$1:$N$49,'EAST SUSSEX'!$A$52:$N$81,'EAST SUSSEX'!$A$84:$N$99,'EAST SUSSEX'!$A$102:$N$124,'EAST SUSSEX'!$A$127:$N$155,'EAST SUSSEX'!$A$158:$N$185,'EAST SUSSEX'!$A$188:$N$243</definedName>
    <definedName name="_xlnm.Print_Area" localSheetId="25">ENFIELD!$A$1:$N$42</definedName>
    <definedName name="_xlnm.Print_Area" localSheetId="26">ESSEX!$A$1:$N$88,ESSEX!$A$91:$N$115,ESSEX!$A$118:$N$145,ESSEX!$A$148:$N$173,ESSEX!$A$176:$N$215,ESSEX!$A$218:$N$239,ESSEX!$A$242:$N$262,ESSEX!$A$265:$N$298,ESSEX!$A$301:$N$332,ESSEX!$A$335:$N$378,ESSEX!$A$381:$N$398,ESSEX!$A$401:$N$425,ESSEX!$A$428:$N$450,ESSEX!$A$453:$N$495,ESSEX!$A$498:$N$527</definedName>
    <definedName name="_xlnm.Print_Area" localSheetId="27">GLOUCESTERSHIRE!$A$1:$N$37,GLOUCESTERSHIRE!$A$40:$N$67,GLOUCESTERSHIRE!$A$70:$N$108,GLOUCESTERSHIRE!$A$111:$N$144,GLOUCESTERSHIRE!$A$147:$N$172,GLOUCESTERSHIRE!$A$175:$N$213,GLOUCESTERSHIRE!$A$216:$N$246</definedName>
    <definedName name="_xlnm.Print_Area" localSheetId="28">'GREATER MANCHESTER'!$A$1:$N$87,'GREATER MANCHESTER'!$A$90:$N$118,'GREATER MANCHESTER'!$A$121:$N$145,'GREATER MANCHESTER'!$A$148:$N$190,'GREATER MANCHESTER'!$A$193:$N$221,'GREATER MANCHESTER'!$A$224:$N$251,'GREATER MANCHESTER'!$A$254:$N$282,'GREATER MANCHESTER'!$A$285:$N$315,'GREATER MANCHESTER'!$A$318:$N$345,'GREATER MANCHESTER'!$A$348:$N$377,'GREATER MANCHESTER'!$A$380:$N$414</definedName>
    <definedName name="_xlnm.Print_Area" localSheetId="29">GREENWICH!$A$1:$N$44</definedName>
    <definedName name="_xlnm.Print_Area" localSheetId="30">HACKNEY!$A$1:$N$37</definedName>
    <definedName name="_xlnm.Print_Area" localSheetId="31">HAMMERSMITH!$A$1:$N$41</definedName>
    <definedName name="_xlnm.Print_Area" localSheetId="32">HAMPSHIRE!$A$1:$P$446</definedName>
    <definedName name="_xlnm.Print_Area" localSheetId="33">HARINGEY!$A$1:$N$40</definedName>
    <definedName name="_xlnm.Print_Area" localSheetId="34">HARROW!$A$1:$N$48</definedName>
    <definedName name="_xlnm.Print_Area" localSheetId="35">HARTLEPOOL!$A$1:$N$8,HARTLEPOOL!$A$9:$N$21,HARTLEPOOL!#REF!,HARTLEPOOL!#REF!,HARTLEPOOL!#REF!</definedName>
    <definedName name="_xlnm.Print_Area" localSheetId="36">HAVERING!$A$1:$N$43</definedName>
    <definedName name="_xlnm.Print_Area" localSheetId="37">HEREFORDSHIRE!$A$1:$N$75</definedName>
    <definedName name="_xlnm.Print_Area" localSheetId="38">HERTFORDSHIRE!$A$1:$N$62,HERTFORDSHIRE!$A$65:$N$81,HERTFORDSHIRE!$A$84:$N$157,HERTFORDSHIRE!$A$161:$N$182,HERTFORDSHIRE!$A$185:$N$217,HERTFORDSHIRE!$A$220:$N$252,HERTFORDSHIRE!$A$255:$N$277,HERTFORDSHIRE!$A$281:$N$310,HERTFORDSHIRE!$A$313:$N$331,HERTFORDSHIRE!$A$334:$N$360</definedName>
    <definedName name="_xlnm.Print_Area" localSheetId="39">HILLINGDON!$A$1:$N$49</definedName>
    <definedName name="_xlnm.Print_Area" localSheetId="40">HOUNSLOW!$A$1:$N$38</definedName>
    <definedName name="_xlnm.Print_Area" localSheetId="42">'ISLE OF WIGHT'!$A$1:$N$50</definedName>
    <definedName name="_xlnm.Print_Area" localSheetId="43">ISLINGTON!$A$1:$N$34</definedName>
    <definedName name="_xlnm.Print_Area" localSheetId="44">KENSINGTON!$A$1:$N$42</definedName>
    <definedName name="_xlnm.Print_Area" localSheetId="45">KENT!$A$1:$N$80,KENT!$A$83:$N$114,KENT!$A$116:$N$159,KENT!$A$161:$N$193,KENT!$A$196:$N$220,KENT!$A$222:$N$251,KENT!$A$253:$N$278,KENT!$A$280:$N$314,KENT!$A$317:$N$351,KENT!$A$355:$N$374,KENT!$A$377:$N$408,KENT!$A$411:$N$441,KENT!$A$444:$N$475,KENT!$A$478:$N$506</definedName>
    <definedName name="_xlnm.Print_Area" localSheetId="46">KINGSTON!$A$1:$N$39</definedName>
    <definedName name="_xlnm.Print_Area" localSheetId="47">LAMBETH!$A$1:$N$48</definedName>
    <definedName name="_xlnm.Print_Area" localSheetId="48">LANCASHIRE!$A$1:$N$82,LANCASHIRE!$A$85:$N$115,LANCASHIRE!$A$118:$N$146,LANCASHIRE!$A$149:$N$170,LANCASHIRE!$A$173:$N$200,LANCASHIRE!$A$203:$N$230,LANCASHIRE!$A$233:$N$255,LANCASHIRE!$A$258:$N$292,LANCASHIRE!$A$295:$N$322,LANCASHIRE!$A$325:$N$359,LANCASHIRE!$A$362:$N$392,LANCASHIRE!$A$395:$N$416,LANCASHIRE!$A$419:$N$453,LANCASHIRE!$A$456:$N$490,LANCASHIRE!$A$493:$N$530</definedName>
    <definedName name="_xlnm.Print_Area" localSheetId="49">LEICESTER!$A$1:$N$41,LEICESTER!#REF!,LEICESTER!#REF!,LEICESTER!#REF!,LEICESTER!#REF!,LEICESTER!#REF!</definedName>
    <definedName name="_xlnm.Print_Area" localSheetId="50">LEICESTERSHIRE!$A$1:$N$299</definedName>
    <definedName name="_xlnm.Print_Area" localSheetId="51">LEWISHAM!$A$1:$N$47</definedName>
    <definedName name="_xlnm.Print_Area" localSheetId="52">LINCOLNSHIRE!$A$1:$N$43,LINCOLNSHIRE!$A$46:$N$67,LINCOLNSHIRE!$A$70:$N$117,LINCOLNSHIRE!$A$120:$N$137,LINCOLNSHIRE!$A$140:$N$177,LINCOLNSHIRE!$A$180:$N$204,LINCOLNSHIRE!$A$207:$N$251,LINCOLNSHIRE!$A$254:$N$281</definedName>
    <definedName name="_xlnm.Print_Area" localSheetId="53">MERSEYSIDE!$A$1:$N$51,MERSEYSIDE!$A$54:$N$81,MERSEYSIDE!$A$84:$N$124,MERSEYSIDE!$A$127:$N$150,MERSEYSIDE!$A$153:$N$183,MERSEYSIDE!$A$186:$N$217</definedName>
    <definedName name="_xlnm.Print_Area" localSheetId="54">MERTON!$A$1:$N$39</definedName>
    <definedName name="_xlnm.Print_Area" localSheetId="55">'MIDD &amp; R &amp; C'!$A$1:$N$24,'MIDD &amp; R &amp; C'!#REF!,'MIDD &amp; R &amp; C'!$A$26:$N$59,'MIDD &amp; R &amp; C'!$A$62:$N$91,'MIDD &amp; R &amp; C'!$A$94:$N$97</definedName>
    <definedName name="_xlnm.Print_Area" localSheetId="56">'MILTON KEYNES'!$A$1:$N$16,'MILTON KEYNES'!$A$17:$N$43,'MILTON KEYNES'!#REF!,'MILTON KEYNES'!#REF!,'MILTON KEYNES'!#REF!,'MILTON KEYNES'!#REF!</definedName>
    <definedName name="_xlnm.Print_Area" localSheetId="57">NEWHAM!$A$1:$N$38</definedName>
    <definedName name="_xlnm.Print_Area" localSheetId="58">NORFOLK!$A$1:$N$47,NORFOLK!$A$50:$N$92,NORFOLK!$A$95:$N$129,NORFOLK!$A$132:$N$155,NORFOLK!$A$158:$N$207,NORFOLK!$A$211:$N$253,NORFOLK!$A$256:$N$276,NORFOLK!$A$279:$N$326</definedName>
    <definedName name="_xlnm.Print_Area" localSheetId="61">'NORTH SOMERSET'!$A$1:$N$54</definedName>
    <definedName name="_xlnm.Print_Area" localSheetId="62">'NORTH YORKSHIRE'!$A$1:$N$287</definedName>
    <definedName name="_xlnm.Print_Area" localSheetId="59">NORTHAMPTONSHIRE!$A$1:$N$43,NORTHAMPTONSHIRE!$A$45:$N$63,NORTHAMPTONSHIRE!$A$66:$N$88,NORTHAMPTONSHIRE!$A$91:$N$131,NORTHAMPTONSHIRE!$A$134:$N$158,NORTHAMPTONSHIRE!$A$161:$N$212,NORTHAMPTONSHIRE!$A$215:$N$250,NORTHAMPTONSHIRE!$A$252:$N$279</definedName>
    <definedName name="_xlnm.Print_Area" localSheetId="60">NORTHUMBERLAND!$A$1:$N$23,NORTHUMBERLAND!$A$26:$N$106</definedName>
    <definedName name="_xlnm.Print_Area" localSheetId="63">NOTTINGHAM!$A$1:$N$40</definedName>
    <definedName name="_xlnm.Print_Area" localSheetId="64">NOTTINGHAMSHIRE!$A$1:$N$301</definedName>
    <definedName name="_xlnm.Print_Area" localSheetId="65">OXFORDSHIRE!$A$1:$N$36,OXFORDSHIRE!$A$39:$N$69,OXFORDSHIRE!$A$71:$N$102,OXFORDSHIRE!$A$105:$N$136,OXFORDSHIRE!$A$139:$N$174,OXFORDSHIRE!$A$177:$N$211</definedName>
    <definedName name="_xlnm.Print_Area" localSheetId="66">PORTSMOUTH!$A$1:$N$32</definedName>
    <definedName name="_xlnm.Print_Area" localSheetId="67">REDBRIDGE!$A$1:$N$62</definedName>
    <definedName name="_xlnm.Print_Area" localSheetId="0">REGIONS!$A$3:$M$470</definedName>
    <definedName name="_xlnm.Print_Area" localSheetId="68">RICHMOND!$A$1:$N$41</definedName>
    <definedName name="_xlnm.Print_Area" localSheetId="69">'SHROPSHIRE &amp; TELFORD &amp; WREKIN '!$A$1:$N$30,'SHROPSHIRE &amp; TELFORD &amp; WREKIN '!$A$109:$N$148,'SHROPSHIRE &amp; TELFORD &amp; WREKIN '!$A$33:$N$105</definedName>
    <definedName name="_xlnm.Print_Area" localSheetId="70">SOMERSET!$A$1:$N$34,SOMERSET!$A$36:$N$78,SOMERSET!$A$80:$N$114,SOMERSET!$A$117:$N$163,SOMERSET!$A$166:$N$198,SOMERSET!$A$201:$N$223</definedName>
    <definedName name="_xlnm.Print_Area" localSheetId="71">'SOUTH GLOUCESTERSHIRE'!$A$1:$N$18,'SOUTH GLOUCESTERSHIRE'!#REF!,'SOUTH GLOUCESTERSHIRE'!#REF!,'SOUTH GLOUCESTERSHIRE'!#REF!,'SOUTH GLOUCESTERSHIRE'!$A$19:$N$55</definedName>
    <definedName name="_xlnm.Print_Area" localSheetId="72">'SOUTH YORKSHIRE'!$A$1:$N$48,'SOUTH YORKSHIRE'!$A$51:$N$81,'SOUTH YORKSHIRE'!$A$84:$N$119,'SOUTH YORKSHIRE'!$A$122:$N$152,'SOUTH YORKSHIRE'!$A$155:$N$212</definedName>
    <definedName name="_xlnm.Print_Area" localSheetId="73">SOUTHWARK!$A$1:$N$54</definedName>
    <definedName name="_xlnm.Print_Area" localSheetId="74">STAFFORDSHIRE!$A$1:$N$63,STAFFORDSHIRE!$A$66:$N$123,STAFFORDSHIRE!$A$126:$N$147,STAFFORDSHIRE!$A$150:$N$178,STAFFORDSHIRE!$A$181:$N$214,STAFFORDSHIRE!$A$217:$N$251,STAFFORDSHIRE!$A$254:$N$286,STAFFORDSHIRE!$A$289:$N$323,STAFFORDSHIRE!$A$326:$N$360,STAFFORDSHIRE!$A$363:$N$379</definedName>
    <definedName name="_xlnm.Print_Area" localSheetId="75">STOCKTON!$A$1:$N$16,STOCKTON!#REF!,STOCKTON!#REF!,STOCKTON!#REF!,STOCKTON!$A$17:$N$48</definedName>
    <definedName name="_xlnm.Print_Area" localSheetId="76">SUFFOLK!$A$1:$N$44,SUFFOLK!$A$47:$N$81,SUFFOLK!$A$84:$N$104,SUFFOLK!$A$107:$N$130,SUFFOLK!$A$133:$N$170,SUFFOLK!$A$173:$N$212,SUFFOLK!$A$215:$N$254,SUFFOLK!$A$257:$N$287</definedName>
    <definedName name="_xlnm.Print_Area" localSheetId="77">SURREY!$A$1:$N$60,SURREY!$A$63:$N$92,SURREY!$A$95:$N$114,SURREY!$A$117:$N$148,SURREY!$A$151:$N$179,SURREY!$A$182:$N$209,SURREY!$A$212:$N$232,SURREY!$A$235:$N$254,SURREY!$A$257:$N$279,SURREY!$A$282:$N$309,SURREY!$A$312:$N$348,SURREY!$A$351:$N$367</definedName>
    <definedName name="_xlnm.Print_Area" localSheetId="78">SUTTON!$A$1:$N$37</definedName>
    <definedName name="_xlnm.Print_Area" localSheetId="79">SWINDON!$A$1:$N$43</definedName>
    <definedName name="_xlnm.Print_Area" localSheetId="80">'TOWER HAMLETS'!$A$1:$N$42</definedName>
    <definedName name="_xlnm.Print_Area" localSheetId="81">'TYNE &amp; WEAR'!$A$1:$N$48,'TYNE &amp; WEAR'!$A$51:$N$84,'TYNE &amp; WEAR'!$A$88:$N$132,'TYNE &amp; WEAR'!$A$135:$N$162,'TYNE &amp; WEAR'!$A$165:$N$190,'TYNE &amp; WEAR'!$A$193:$N$226</definedName>
    <definedName name="_xlnm.Print_Area" localSheetId="82">'WALTHAM FOREST'!$A$1:$N$49</definedName>
    <definedName name="_xlnm.Print_Area" localSheetId="83">WANDSWORTH!$A$1:$N$40</definedName>
    <definedName name="_xlnm.Print_Area" localSheetId="84">WARRINGTON!$A$1:$N$44</definedName>
    <definedName name="_xlnm.Print_Area" localSheetId="85">WARWICKSHIRE!$A$1:$N$39,WARWICKSHIRE!$A$42:$N$66,WARWICKSHIRE!$A$69:$N$94,WARWICKSHIRE!$A$97:$N$124,WARWICKSHIRE!$A$128:$N$179,WARWICKSHIRE!$A$182:$N$216</definedName>
    <definedName name="_xlnm.Print_Area" localSheetId="87">'WEST MIDLANDS'!$A$1:$N$79,'WEST MIDLANDS'!$A$83:$N$209,'WEST MIDLANDS'!$A$212:$N$238,'WEST MIDLANDS'!$A$241:$N$275,'WEST MIDLANDS'!$A$278:$N$311,'WEST MIDLANDS'!$A$314:$N$338,'WEST MIDLANDS'!$A$341:$N$370,'WEST MIDLANDS'!$A$372:$N$401</definedName>
    <definedName name="_xlnm.Print_Area" localSheetId="88">'WEST SUSSEX'!$A$1:$N$45,'WEST SUSSEX'!$A$48:$N$68,'WEST SUSSEX'!$A$71:$N$104,'WEST SUSSEX'!$A$107:$N$143,'WEST SUSSEX'!$A$146:$N$167,'WEST SUSSEX'!$A$170:$N$199,'WEST SUSSEX'!$A$203:$N$237,'WEST SUSSEX'!$A$240:$N$260</definedName>
    <definedName name="_xlnm.Print_Area" localSheetId="89">'WEST YORKSHIRE'!$A$1:$N$63,'WEST YORKSHIRE'!$A$66:$N$109,'WEST YORKSHIRE'!$A$112:$N$136,'WEST YORKSHIRE'!$A$139:$N$175,'WEST YORKSHIRE'!$A$178:$N$224,'WEST YORKSHIRE'!$A$227:$N$257</definedName>
    <definedName name="_xlnm.Print_Area" localSheetId="86">WESTMINSTER!$A$1:$N$41</definedName>
    <definedName name="_xlnm.Print_Area" localSheetId="90">WILTSHIRE!$A$1:$N$23,WILTSHIRE!$A$26:$N$149</definedName>
    <definedName name="_xlnm.Print_Area" localSheetId="91">WORCESTERSHIRE!$A$1:$N$216</definedName>
    <definedName name="_xlnm.Print_Area" localSheetId="92">YORK!$A$1:$N$47</definedName>
    <definedName name="Print_Area_MI" localSheetId="41">'"HUMBERSIDE"'!$A$1:$O$47</definedName>
    <definedName name="Print_Area_MI" localSheetId="2">BARKING!$A$1:$O$39</definedName>
    <definedName name="Print_Area_MI" localSheetId="3">BARNET!$A$1:$O$38</definedName>
    <definedName name="Print_Area_MI" localSheetId="4">'BATH &amp; NE SOMERSET'!$A$1:$O$15</definedName>
    <definedName name="Print_Area_MI" localSheetId="5">BEDFORDSHIRE!$A$1:$O$37</definedName>
    <definedName name="Print_Area_MI" localSheetId="6">BERKSHIRE!$A$1:$O$52</definedName>
    <definedName name="Print_Area_MI" localSheetId="7">BEXLEY!$A$1:$O$23</definedName>
    <definedName name="Print_Area_MI" localSheetId="8">BRENT!$A$1:$O$52</definedName>
    <definedName name="Print_Area_MI" localSheetId="9">BRISTOL!$A$1:$O$19</definedName>
    <definedName name="Print_Area_MI" localSheetId="10">BROMLEY!$A$1:$O$48</definedName>
    <definedName name="Print_Area_MI" localSheetId="11">BUCKINGHAMSHIRE!$A$1:$O$32</definedName>
    <definedName name="Print_Area_MI" localSheetId="12">CAMBRIDGESHIRE!$A$1:$O$43</definedName>
    <definedName name="Print_Area_MI" localSheetId="13">CAMDEN!$A$1:$O$40</definedName>
    <definedName name="Print_Area_MI" localSheetId="14">CHESHIRE!$A$1:$O$41</definedName>
    <definedName name="Print_Area_MI" localSheetId="15">'CITY OF LONDON'!$A$1:$O$7</definedName>
    <definedName name="Print_Area_MI" localSheetId="1">CONSTITUENCIES!$A$523:$N$532</definedName>
    <definedName name="Print_Area_MI" localSheetId="16">CORNWALL!$A$1:$O$28</definedName>
    <definedName name="Print_Area_MI" localSheetId="17">CROYDON!$A$1:$O$44</definedName>
    <definedName name="Print_Area_MI" localSheetId="18">CUMBRIA!$A$1:$O$37</definedName>
    <definedName name="Print_Area_MI" localSheetId="19">DERBYSHIRE!$A$1:$O$59</definedName>
    <definedName name="Print_Area_MI" localSheetId="20">DEVON!$A$1:$O$65</definedName>
    <definedName name="Print_Area_MI" localSheetId="21">DORSET!$A$1:$O$54</definedName>
    <definedName name="Print_Area_MI" localSheetId="22">DURHAM!$A$1:$O$33</definedName>
    <definedName name="Print_Area_MI" localSheetId="23">EALING!$A$1:$O$17</definedName>
    <definedName name="Print_Area_MI" localSheetId="24">'EAST SUSSEX'!$A$1:$O$49</definedName>
    <definedName name="Print_Area_MI" localSheetId="25">ENFIELD!$A$1:$O$51</definedName>
    <definedName name="Print_Area_MI" localSheetId="26">ESSEX!$A$1:$O$67</definedName>
    <definedName name="Print_Area_MI" localSheetId="27">GLOUCESTERSHIRE!$A$1:$O$37</definedName>
    <definedName name="Print_Area_MI" localSheetId="28">'GREATER MANCHESTER'!$A$1:$O$61</definedName>
    <definedName name="Print_Area_MI" localSheetId="29">GREENWICH!$A$1:$O$23</definedName>
    <definedName name="Print_Area_MI" localSheetId="30">HACKNEY!$A$1:$O$35</definedName>
    <definedName name="Print_Area_MI" localSheetId="31">HAMMERSMITH!$A$1:$O$19</definedName>
    <definedName name="Print_Area_MI" localSheetId="32">HAMPSHIRE!$A$1:$O$60</definedName>
    <definedName name="Print_Area_MI" localSheetId="33">HARINGEY!$A$1:$O$38</definedName>
    <definedName name="Print_Area_MI" localSheetId="34">HARROW!$A$1:$O$45</definedName>
    <definedName name="Print_Area_MI" localSheetId="35">HARTLEPOOL!$A$1:$O$8</definedName>
    <definedName name="Print_Area_MI" localSheetId="36">HAVERING!$A$1:$O$40</definedName>
    <definedName name="Print_Area_MI" localSheetId="37">HEREFORDSHIRE!$A$1:$O$15</definedName>
    <definedName name="Print_Area_MI" localSheetId="38">HERTFORDSHIRE!$A$1:$O$62</definedName>
    <definedName name="Print_Area_MI" localSheetId="39">HILLINGDON!$A$1:$O$46</definedName>
    <definedName name="Print_Area_MI" localSheetId="40">HOUNSLOW!$A$17:$M$36</definedName>
    <definedName name="Print_Area_MI" localSheetId="42">'ISLE OF WIGHT'!$A$1:$N$50</definedName>
    <definedName name="Print_Area_MI" localSheetId="43">ISLINGTON!$A$1:$O$32</definedName>
    <definedName name="Print_Area_MI" localSheetId="44">KENSINGTON!$A$1:$O$19</definedName>
    <definedName name="Print_Area_MI" localSheetId="45">KENT!$A$1:$O$70</definedName>
    <definedName name="Print_Area_MI" localSheetId="46">KINGSTON!$A$1:$O$19</definedName>
    <definedName name="Print_Area_MI" localSheetId="47">LAMBETH!$A$1:$O$23</definedName>
    <definedName name="Print_Area_MI" localSheetId="48">LANCASHIRE!$A$1:$O$68</definedName>
    <definedName name="Print_Area_MI" localSheetId="49">LEICESTER!$A$1:$O$18</definedName>
    <definedName name="Print_Area_MI" localSheetId="50">LEICESTERSHIRE!$A$1:$O$51</definedName>
    <definedName name="Print_Area_MI" localSheetId="51">LEWISHAM!$A$1:$O$44</definedName>
    <definedName name="Print_Area_MI" localSheetId="52">LINCOLNSHIRE!$A$1:$O$43</definedName>
    <definedName name="Print_Area_MI" localSheetId="53">MERSEYSIDE!$A$1:$O$51</definedName>
    <definedName name="Print_Area_MI" localSheetId="54">MERTON!$A$1:$O$38</definedName>
    <definedName name="Print_Area_MI" localSheetId="55">'MIDD &amp; R &amp; C'!$A$1:$O$24</definedName>
    <definedName name="Print_Area_MI" localSheetId="56">'MILTON KEYNES'!$A$1:$O$15</definedName>
    <definedName name="Print_Area_MI" localSheetId="57">NEWHAM!$A$1:$O$15</definedName>
    <definedName name="Print_Area_MI" localSheetId="58">NORFOLK!$A$1:$O$47</definedName>
    <definedName name="Print_Area_MI" localSheetId="61">'NORTH SOMERSET'!$A$1:$O$15</definedName>
    <definedName name="Print_Area_MI" localSheetId="62">'NORTH YORKSHIRE'!$A$1:$O$42</definedName>
    <definedName name="Print_Area_MI" localSheetId="59">NORTHAMPTONSHIRE!$A$1:$O$42</definedName>
    <definedName name="Print_Area_MI" localSheetId="60">NORTHUMBERLAND!$A$1:$O$21</definedName>
    <definedName name="Print_Area_MI" localSheetId="63">NOTTINGHAM!$A$1:$O$17</definedName>
    <definedName name="Print_Area_MI" localSheetId="64">NOTTINGHAMSHIRE!$A$1:$O$43</definedName>
    <definedName name="Print_Area_MI" localSheetId="65">OXFORDSHIRE!$A$1:$O$36</definedName>
    <definedName name="Print_Area_MI" localSheetId="66">PORTSMOUTH!$A$1:$O$10</definedName>
    <definedName name="Print_Area_MI" localSheetId="67">REDBRIDGE!$A$1:$O$25</definedName>
    <definedName name="Print_Area_MI" localSheetId="0">REGIONS!$A$3:$A$465</definedName>
    <definedName name="Print_Area_MI" localSheetId="68">RICHMOND!$A$1:$O$19</definedName>
    <definedName name="Print_Area_MI" localSheetId="69">'SHROPSHIRE &amp; TELFORD &amp; WREKIN '!$A$1:$O$27</definedName>
    <definedName name="Print_Area_MI" localSheetId="70">SOMERSET!$A$1:$O$33</definedName>
    <definedName name="Print_Area_MI" localSheetId="71">'SOUTH GLOUCESTERSHIRE'!$A$1:$O$17</definedName>
    <definedName name="Print_Area_MI" localSheetId="72">'SOUTH YORKSHIRE'!$A$1:$O$48</definedName>
    <definedName name="Print_Area_MI" localSheetId="73">SOUTHWARK!$A$1:$O$23</definedName>
    <definedName name="Print_Area_MI" localSheetId="74">STAFFORDSHIRE!$A$1:$O$65</definedName>
    <definedName name="Print_Area_MI" localSheetId="75">STOCKTON!$A$1:$O$16</definedName>
    <definedName name="Print_Area_MI" localSheetId="76">SUFFOLK!$A$1:$O$44</definedName>
    <definedName name="Print_Area_MI" localSheetId="77">SURREY!$A$1:$O$54</definedName>
    <definedName name="Print_Area_MI" localSheetId="78">SUTTON!$A$1:$O$36</definedName>
    <definedName name="Print_Area_MI" localSheetId="79">SWINDON!$A$1:$O$16</definedName>
    <definedName name="Print_Area_MI" localSheetId="80">'TOWER HAMLETS'!$A$1:$O$15</definedName>
    <definedName name="Print_Area_MI" localSheetId="81">'TYNE &amp; WEAR'!$A$1:$O$48</definedName>
    <definedName name="Print_Area_MI" localSheetId="82">'WALTHAM FOREST'!$A$1:$O$25</definedName>
    <definedName name="Print_Area_MI" localSheetId="83">WANDSWORTH!$A$1:$O$38</definedName>
    <definedName name="Print_Area_MI" localSheetId="84">WARRINGTON!$A$1:$O$15</definedName>
    <definedName name="Print_Area_MI" localSheetId="85">WARWICKSHIRE!$A$1:$O$39</definedName>
    <definedName name="Print_Area_MI" localSheetId="87">'WEST MIDLANDS'!$A$1:$O$63</definedName>
    <definedName name="Print_Area_MI" localSheetId="88">'WEST SUSSEX'!$A$1:$O$45</definedName>
    <definedName name="Print_Area_MI" localSheetId="89">'WEST YORKSHIRE'!$A$1:$O$63</definedName>
    <definedName name="Print_Area_MI" localSheetId="86">WESTMINSTER!$A$1:$O$17</definedName>
    <definedName name="Print_Area_MI" localSheetId="90">WILTSHIRE!$A$1:$O$23</definedName>
    <definedName name="Print_Area_MI" localSheetId="91">WORCESTERSHIRE!$A$1:$O$34</definedName>
    <definedName name="Print_Area_MI" localSheetId="92">YORK!$A$1:$O$16</definedName>
    <definedName name="_xlnm.Print_Titles" localSheetId="1">CONSTITUENCIES!$1:$3</definedName>
    <definedName name="_xlnm.Print_Titles" localSheetId="0">REGIONS!$1:$2</definedName>
    <definedName name="Print_Titles_MI" localSheetId="1">CONSTITUENCIES!$1:$2</definedName>
    <definedName name="Print_Titles_MI" localSheetId="0">REGIONS!$1:$2</definedName>
  </definedNames>
  <calcPr calcId="152511"/>
</workbook>
</file>

<file path=xl/calcChain.xml><?xml version="1.0" encoding="utf-8"?>
<calcChain xmlns="http://schemas.openxmlformats.org/spreadsheetml/2006/main">
  <c r="L108" i="19" l="1"/>
  <c r="D219" i="82" l="1"/>
  <c r="E219" i="82"/>
  <c r="F219" i="82"/>
  <c r="G219" i="82"/>
  <c r="H219" i="82"/>
  <c r="I219" i="82"/>
  <c r="J219" i="82"/>
  <c r="K219" i="82"/>
  <c r="D68" i="82"/>
  <c r="E68" i="82"/>
  <c r="F68" i="82"/>
  <c r="G68" i="82"/>
  <c r="H68" i="82"/>
  <c r="I68" i="82"/>
  <c r="J68" i="82"/>
  <c r="K68" i="82"/>
  <c r="K197" i="31"/>
  <c r="L41" i="47"/>
  <c r="L233" i="94" l="1"/>
  <c r="L153" i="93"/>
  <c r="D198" i="93"/>
  <c r="E198" i="93"/>
  <c r="F198" i="93"/>
  <c r="G198" i="93"/>
  <c r="H198" i="93"/>
  <c r="I198" i="93"/>
  <c r="J198" i="93"/>
  <c r="K198" i="93"/>
  <c r="D199" i="93"/>
  <c r="E199" i="93"/>
  <c r="F199" i="93"/>
  <c r="G199" i="93"/>
  <c r="H199" i="93"/>
  <c r="I199" i="93"/>
  <c r="J199" i="93"/>
  <c r="K199" i="93"/>
  <c r="D200" i="93"/>
  <c r="E200" i="93"/>
  <c r="F200" i="93"/>
  <c r="G200" i="93"/>
  <c r="H200" i="93"/>
  <c r="I200" i="93"/>
  <c r="J200" i="93"/>
  <c r="K200" i="93"/>
  <c r="D201" i="93"/>
  <c r="E201" i="93"/>
  <c r="F201" i="93"/>
  <c r="G201" i="93"/>
  <c r="H201" i="93"/>
  <c r="I201" i="93"/>
  <c r="J201" i="93"/>
  <c r="K201" i="93"/>
  <c r="D202" i="93"/>
  <c r="E202" i="93"/>
  <c r="F202" i="93"/>
  <c r="G202" i="93"/>
  <c r="H202" i="93"/>
  <c r="I202" i="93"/>
  <c r="J202" i="93"/>
  <c r="K202" i="93"/>
  <c r="D203" i="93"/>
  <c r="E203" i="93"/>
  <c r="F203" i="93"/>
  <c r="G203" i="93"/>
  <c r="H203" i="93"/>
  <c r="I203" i="93"/>
  <c r="J203" i="93"/>
  <c r="K203" i="93"/>
  <c r="D204" i="93"/>
  <c r="E204" i="93"/>
  <c r="F204" i="93"/>
  <c r="G204" i="93"/>
  <c r="H204" i="93"/>
  <c r="I204" i="93"/>
  <c r="J204" i="93"/>
  <c r="K204" i="93"/>
  <c r="D205" i="93"/>
  <c r="E205" i="93"/>
  <c r="F205" i="93"/>
  <c r="G205" i="93"/>
  <c r="H205" i="93"/>
  <c r="I205" i="93"/>
  <c r="J205" i="93"/>
  <c r="K205" i="93"/>
  <c r="D206" i="93"/>
  <c r="E206" i="93"/>
  <c r="F206" i="93"/>
  <c r="G206" i="93"/>
  <c r="H206" i="93"/>
  <c r="I206" i="93"/>
  <c r="J206" i="93"/>
  <c r="K206" i="93"/>
  <c r="D207" i="93"/>
  <c r="E207" i="93"/>
  <c r="F207" i="93"/>
  <c r="G207" i="93"/>
  <c r="H207" i="93"/>
  <c r="I207" i="93"/>
  <c r="J207" i="93"/>
  <c r="K207" i="93"/>
  <c r="L207" i="93"/>
  <c r="L206" i="93"/>
  <c r="L205" i="93"/>
  <c r="L204" i="93"/>
  <c r="L203" i="93"/>
  <c r="L202" i="93"/>
  <c r="L201" i="93"/>
  <c r="L200" i="93"/>
  <c r="L199" i="93"/>
  <c r="L198" i="93"/>
  <c r="D85" i="93"/>
  <c r="E85" i="93"/>
  <c r="F85" i="93"/>
  <c r="G85" i="93"/>
  <c r="H85" i="93"/>
  <c r="I85" i="93"/>
  <c r="J85" i="93"/>
  <c r="K85" i="93"/>
  <c r="L85" i="93"/>
  <c r="L177" i="93"/>
  <c r="K177" i="93"/>
  <c r="J177" i="93"/>
  <c r="I177" i="93"/>
  <c r="H177" i="93"/>
  <c r="G177" i="93"/>
  <c r="F177" i="93"/>
  <c r="E177" i="93"/>
  <c r="D177" i="93"/>
  <c r="L136" i="93"/>
  <c r="K136" i="93"/>
  <c r="J136" i="93"/>
  <c r="I136" i="93"/>
  <c r="H136" i="93"/>
  <c r="G136" i="93"/>
  <c r="F136" i="93"/>
  <c r="E136" i="93"/>
  <c r="D136" i="93"/>
  <c r="L127" i="93"/>
  <c r="K127" i="93"/>
  <c r="J127" i="93"/>
  <c r="I127" i="93"/>
  <c r="H127" i="93"/>
  <c r="G127" i="93"/>
  <c r="F127" i="93"/>
  <c r="E127" i="93"/>
  <c r="D127" i="93"/>
  <c r="L110" i="93"/>
  <c r="K110" i="93"/>
  <c r="J110" i="93"/>
  <c r="I110" i="93"/>
  <c r="H110" i="93"/>
  <c r="G110" i="93"/>
  <c r="F110" i="93"/>
  <c r="E110" i="93"/>
  <c r="D110" i="93"/>
  <c r="E106" i="93"/>
  <c r="F106" i="93"/>
  <c r="G106" i="93"/>
  <c r="H106" i="93"/>
  <c r="I106" i="93"/>
  <c r="J106" i="93"/>
  <c r="K106" i="93"/>
  <c r="L106" i="93"/>
  <c r="D106" i="93"/>
  <c r="E94" i="93"/>
  <c r="F94" i="93"/>
  <c r="G94" i="93"/>
  <c r="H94" i="93"/>
  <c r="I94" i="93"/>
  <c r="J94" i="93"/>
  <c r="K94" i="93"/>
  <c r="L94" i="93"/>
  <c r="D94" i="93"/>
  <c r="L63" i="32"/>
  <c r="L64" i="32"/>
  <c r="L90" i="89"/>
  <c r="D90" i="89"/>
  <c r="E90" i="89"/>
  <c r="F90" i="89"/>
  <c r="G90" i="89"/>
  <c r="H90" i="89"/>
  <c r="I90" i="89"/>
  <c r="J90" i="89"/>
  <c r="K90" i="89"/>
  <c r="L118" i="89"/>
  <c r="K118" i="89"/>
  <c r="J118" i="89"/>
  <c r="I118" i="89"/>
  <c r="H118" i="89"/>
  <c r="G118" i="89"/>
  <c r="F118" i="89"/>
  <c r="E118" i="89"/>
  <c r="D118" i="89"/>
  <c r="L112" i="89"/>
  <c r="K112" i="89"/>
  <c r="J112" i="89"/>
  <c r="I112" i="89"/>
  <c r="H112" i="89"/>
  <c r="G112" i="89"/>
  <c r="F112" i="89"/>
  <c r="E112" i="89"/>
  <c r="D112" i="89"/>
  <c r="L108" i="89"/>
  <c r="K108" i="89"/>
  <c r="J108" i="89"/>
  <c r="I108" i="89"/>
  <c r="H108" i="89"/>
  <c r="G108" i="89"/>
  <c r="F108" i="89"/>
  <c r="E108" i="89"/>
  <c r="D108" i="89"/>
  <c r="L105" i="89"/>
  <c r="K105" i="89"/>
  <c r="J105" i="89"/>
  <c r="I105" i="89"/>
  <c r="H105" i="89"/>
  <c r="G105" i="89"/>
  <c r="F105" i="89"/>
  <c r="E105" i="89"/>
  <c r="D105" i="89"/>
  <c r="E100" i="89"/>
  <c r="F100" i="89"/>
  <c r="G100" i="89"/>
  <c r="H100" i="89"/>
  <c r="I100" i="89"/>
  <c r="J100" i="89"/>
  <c r="K100" i="89"/>
  <c r="L100" i="89"/>
  <c r="D100" i="89"/>
  <c r="D130" i="89"/>
  <c r="L130" i="89"/>
  <c r="L129" i="89"/>
  <c r="L128" i="89"/>
  <c r="K128" i="89"/>
  <c r="D128" i="89"/>
  <c r="E128" i="89"/>
  <c r="F128" i="89"/>
  <c r="G128" i="89"/>
  <c r="H128" i="89"/>
  <c r="I128" i="89"/>
  <c r="J128" i="89"/>
  <c r="D129" i="89"/>
  <c r="E129" i="89"/>
  <c r="F129" i="89"/>
  <c r="G129" i="89"/>
  <c r="H129" i="89"/>
  <c r="I129" i="89"/>
  <c r="J129" i="89"/>
  <c r="K129" i="89"/>
  <c r="E130" i="89"/>
  <c r="F130" i="89"/>
  <c r="G130" i="89"/>
  <c r="H130" i="89"/>
  <c r="I130" i="89"/>
  <c r="J130" i="89"/>
  <c r="K130" i="89"/>
  <c r="L30" i="86"/>
  <c r="L22" i="86"/>
  <c r="J207" i="87" l="1"/>
  <c r="J206" i="87"/>
  <c r="J205" i="87"/>
  <c r="J252" i="84"/>
  <c r="J251" i="84"/>
  <c r="L210" i="84"/>
  <c r="L208" i="84"/>
  <c r="L248" i="82"/>
  <c r="L247" i="82"/>
  <c r="L246" i="82"/>
  <c r="E237" i="82"/>
  <c r="F237" i="82"/>
  <c r="G237" i="82"/>
  <c r="H237" i="82"/>
  <c r="I237" i="82"/>
  <c r="J237" i="82"/>
  <c r="K237" i="82"/>
  <c r="L237" i="82"/>
  <c r="D237" i="82"/>
  <c r="E232" i="82"/>
  <c r="F232" i="82"/>
  <c r="G232" i="82"/>
  <c r="H232" i="82"/>
  <c r="I232" i="82"/>
  <c r="J232" i="82"/>
  <c r="K232" i="82"/>
  <c r="L232" i="82"/>
  <c r="D232" i="82"/>
  <c r="D246" i="82" l="1"/>
  <c r="E246" i="82"/>
  <c r="F246" i="82"/>
  <c r="G246" i="82"/>
  <c r="H246" i="82"/>
  <c r="I246" i="82"/>
  <c r="J246" i="82"/>
  <c r="K246" i="82"/>
  <c r="D247" i="82"/>
  <c r="E247" i="82"/>
  <c r="F247" i="82"/>
  <c r="G247" i="82"/>
  <c r="H247" i="82"/>
  <c r="I247" i="82"/>
  <c r="J247" i="82"/>
  <c r="K247" i="82"/>
  <c r="D248" i="82"/>
  <c r="E248" i="82"/>
  <c r="F248" i="82"/>
  <c r="G248" i="82"/>
  <c r="H248" i="82"/>
  <c r="I248" i="82"/>
  <c r="J248" i="82"/>
  <c r="K248" i="82"/>
  <c r="D249" i="82"/>
  <c r="E249" i="82"/>
  <c r="F249" i="82"/>
  <c r="G249" i="82"/>
  <c r="H249" i="82"/>
  <c r="I249" i="82"/>
  <c r="J249" i="82"/>
  <c r="K249" i="82"/>
  <c r="L249" i="82"/>
  <c r="L219" i="82"/>
  <c r="L68" i="82"/>
  <c r="D119" i="82"/>
  <c r="E119" i="82"/>
  <c r="F119" i="82"/>
  <c r="G119" i="82"/>
  <c r="H119" i="82"/>
  <c r="I119" i="82"/>
  <c r="J119" i="82"/>
  <c r="K119" i="82"/>
  <c r="L119" i="82"/>
  <c r="D121" i="82"/>
  <c r="E121" i="82"/>
  <c r="F121" i="82"/>
  <c r="G121" i="82"/>
  <c r="H121" i="82"/>
  <c r="I121" i="82"/>
  <c r="J121" i="82"/>
  <c r="K121" i="82"/>
  <c r="L121" i="82"/>
  <c r="E98" i="82"/>
  <c r="F98" i="82"/>
  <c r="G98" i="82"/>
  <c r="H98" i="82"/>
  <c r="I98" i="82"/>
  <c r="J98" i="82"/>
  <c r="K98" i="82"/>
  <c r="L98" i="82"/>
  <c r="D98" i="82"/>
  <c r="E3" i="59"/>
  <c r="F3" i="59"/>
  <c r="G3" i="59"/>
  <c r="H3" i="59"/>
  <c r="I3" i="59"/>
  <c r="J3" i="59"/>
  <c r="K3" i="59"/>
  <c r="L3" i="59"/>
  <c r="L5" i="59" s="1"/>
  <c r="E5" i="59"/>
  <c r="F5" i="59"/>
  <c r="G5" i="59"/>
  <c r="H5" i="59"/>
  <c r="I5" i="59"/>
  <c r="J5" i="59"/>
  <c r="K5" i="59"/>
  <c r="E7" i="59"/>
  <c r="F7" i="59"/>
  <c r="G7" i="59"/>
  <c r="H7" i="59"/>
  <c r="I7" i="59"/>
  <c r="J7" i="59"/>
  <c r="K7" i="59"/>
  <c r="L7" i="59"/>
  <c r="E9" i="59"/>
  <c r="F9" i="59"/>
  <c r="G9" i="59"/>
  <c r="H9" i="59"/>
  <c r="I9" i="59"/>
  <c r="J9" i="59"/>
  <c r="K9" i="59"/>
  <c r="L9" i="59"/>
  <c r="E11" i="59"/>
  <c r="F11" i="59"/>
  <c r="G11" i="59"/>
  <c r="H11" i="59"/>
  <c r="I11" i="59"/>
  <c r="J11" i="59"/>
  <c r="K11" i="59"/>
  <c r="L11" i="59"/>
  <c r="E12" i="59"/>
  <c r="F12" i="59"/>
  <c r="G12" i="59"/>
  <c r="H12" i="59"/>
  <c r="I12" i="59"/>
  <c r="J12" i="59"/>
  <c r="K12" i="59"/>
  <c r="L12" i="59"/>
  <c r="L13" i="59" s="1"/>
  <c r="E13" i="59"/>
  <c r="F13" i="59"/>
  <c r="G13" i="59"/>
  <c r="H13" i="59"/>
  <c r="I13" i="59"/>
  <c r="J13" i="59"/>
  <c r="K13" i="59"/>
  <c r="E15" i="59"/>
  <c r="F15" i="59"/>
  <c r="G15" i="59"/>
  <c r="H15" i="59"/>
  <c r="I15" i="59"/>
  <c r="J15" i="59"/>
  <c r="K15" i="59"/>
  <c r="L15" i="59"/>
  <c r="E17" i="59"/>
  <c r="F17" i="59"/>
  <c r="G17" i="59"/>
  <c r="H17" i="59"/>
  <c r="I17" i="59"/>
  <c r="J17" i="59"/>
  <c r="K17" i="59"/>
  <c r="L17" i="59"/>
  <c r="E19" i="59"/>
  <c r="F19" i="59"/>
  <c r="G19" i="59"/>
  <c r="H19" i="59"/>
  <c r="I19" i="59"/>
  <c r="J19" i="59"/>
  <c r="K19" i="59"/>
  <c r="E21" i="59"/>
  <c r="F21" i="59"/>
  <c r="G21" i="59"/>
  <c r="H21" i="59"/>
  <c r="I21" i="59"/>
  <c r="J21" i="59"/>
  <c r="K21" i="59"/>
  <c r="E23" i="59"/>
  <c r="F23" i="59"/>
  <c r="G23" i="59"/>
  <c r="H23" i="59"/>
  <c r="I23" i="59"/>
  <c r="J23" i="59"/>
  <c r="K23" i="59"/>
  <c r="D12" i="59"/>
  <c r="D9" i="59"/>
  <c r="D7" i="59"/>
  <c r="D3" i="59"/>
  <c r="L19" i="59" l="1"/>
  <c r="L21" i="59"/>
  <c r="L23" i="59"/>
  <c r="L86" i="81" l="1"/>
  <c r="L116" i="81"/>
  <c r="L108" i="81"/>
  <c r="E17" i="10" l="1"/>
  <c r="F17" i="10"/>
  <c r="G17" i="10"/>
  <c r="H17" i="10"/>
  <c r="I17" i="10"/>
  <c r="J17" i="10"/>
  <c r="K17" i="10"/>
  <c r="L17" i="10"/>
  <c r="D17" i="10"/>
  <c r="E15" i="10"/>
  <c r="F15" i="10"/>
  <c r="G15" i="10"/>
  <c r="H15" i="10"/>
  <c r="I15" i="10"/>
  <c r="J15" i="10"/>
  <c r="K15" i="10"/>
  <c r="L15" i="10"/>
  <c r="D15" i="10"/>
  <c r="E10" i="10"/>
  <c r="F10" i="10"/>
  <c r="G10" i="10"/>
  <c r="H10" i="10"/>
  <c r="I10" i="10"/>
  <c r="J10" i="10"/>
  <c r="K10" i="10"/>
  <c r="L10" i="10"/>
  <c r="D10" i="10"/>
  <c r="E8" i="78" l="1"/>
  <c r="F8" i="78"/>
  <c r="G8" i="78"/>
  <c r="H8" i="78"/>
  <c r="I8" i="78"/>
  <c r="J8" i="78"/>
  <c r="K8" i="78"/>
  <c r="D8" i="78"/>
  <c r="E16" i="78"/>
  <c r="F16" i="78"/>
  <c r="G16" i="78"/>
  <c r="H16" i="78"/>
  <c r="I16" i="78"/>
  <c r="J16" i="78"/>
  <c r="K16" i="78"/>
  <c r="D16" i="78"/>
  <c r="D19" i="78"/>
  <c r="E19" i="78"/>
  <c r="F19" i="78"/>
  <c r="G19" i="78"/>
  <c r="H19" i="78"/>
  <c r="I19" i="78"/>
  <c r="J19" i="78"/>
  <c r="K19" i="78"/>
  <c r="L3" i="78"/>
  <c r="L5" i="78" s="1"/>
  <c r="L7" i="78"/>
  <c r="L21" i="78" s="1"/>
  <c r="L11" i="78"/>
  <c r="L13" i="78"/>
  <c r="L15" i="78"/>
  <c r="K15" i="78"/>
  <c r="J15" i="78"/>
  <c r="J17" i="78" s="1"/>
  <c r="I15" i="78"/>
  <c r="I17" i="78" s="1"/>
  <c r="H15" i="78"/>
  <c r="H17" i="78" s="1"/>
  <c r="G15" i="78"/>
  <c r="F15" i="78"/>
  <c r="F17" i="78" s="1"/>
  <c r="E15" i="78"/>
  <c r="E17" i="78" s="1"/>
  <c r="D15" i="78"/>
  <c r="K13" i="78"/>
  <c r="J13" i="78"/>
  <c r="I13" i="78"/>
  <c r="H13" i="78"/>
  <c r="G13" i="78"/>
  <c r="F13" i="78"/>
  <c r="E13" i="78"/>
  <c r="D13" i="78"/>
  <c r="K11" i="78"/>
  <c r="J11" i="78"/>
  <c r="I11" i="78"/>
  <c r="H11" i="78"/>
  <c r="G11" i="78"/>
  <c r="F11" i="78"/>
  <c r="E11" i="78"/>
  <c r="D11" i="78"/>
  <c r="K7" i="78"/>
  <c r="K21" i="78" s="1"/>
  <c r="J7" i="78"/>
  <c r="J21" i="78" s="1"/>
  <c r="I7" i="78"/>
  <c r="I21" i="78" s="1"/>
  <c r="H7" i="78"/>
  <c r="H21" i="78" s="1"/>
  <c r="G7" i="78"/>
  <c r="G21" i="78" s="1"/>
  <c r="F7" i="78"/>
  <c r="F21" i="78" s="1"/>
  <c r="E7" i="78"/>
  <c r="E21" i="78" s="1"/>
  <c r="D7" i="78"/>
  <c r="D21" i="78" s="1"/>
  <c r="K3" i="78"/>
  <c r="K5" i="78" s="1"/>
  <c r="J3" i="78"/>
  <c r="J5" i="78" s="1"/>
  <c r="I3" i="78"/>
  <c r="I5" i="78" s="1"/>
  <c r="H3" i="78"/>
  <c r="H5" i="78" s="1"/>
  <c r="G3" i="78"/>
  <c r="G5" i="78" s="1"/>
  <c r="F3" i="78"/>
  <c r="F5" i="78" s="1"/>
  <c r="E3" i="78"/>
  <c r="E5" i="78" s="1"/>
  <c r="D3" i="78"/>
  <c r="D5" i="78" s="1"/>
  <c r="G17" i="78" l="1"/>
  <c r="K17" i="78"/>
  <c r="D17" i="78"/>
  <c r="E9" i="78"/>
  <c r="I9" i="78"/>
  <c r="F9" i="78"/>
  <c r="J9" i="78"/>
  <c r="D9" i="78"/>
  <c r="H9" i="78"/>
  <c r="G9" i="78"/>
  <c r="K9" i="78"/>
  <c r="K25" i="78" l="1"/>
  <c r="K23" i="78"/>
  <c r="F25" i="78"/>
  <c r="F23" i="78"/>
  <c r="I25" i="78"/>
  <c r="I23" i="78"/>
  <c r="J25" i="78"/>
  <c r="J23" i="78"/>
  <c r="G25" i="78"/>
  <c r="G23" i="78"/>
  <c r="H25" i="78"/>
  <c r="H23" i="78"/>
  <c r="D25" i="78"/>
  <c r="D23" i="78"/>
  <c r="E25" i="78"/>
  <c r="E23" i="78"/>
  <c r="D49" i="66" l="1"/>
  <c r="L15" i="25" l="1"/>
  <c r="L217" i="25"/>
  <c r="K217" i="25"/>
  <c r="J217" i="25"/>
  <c r="I217" i="25"/>
  <c r="H217" i="25"/>
  <c r="G217" i="25"/>
  <c r="F217" i="25"/>
  <c r="E217" i="25"/>
  <c r="D217" i="25"/>
  <c r="D233" i="25"/>
  <c r="D15" i="25" s="1"/>
  <c r="E233" i="25"/>
  <c r="E15" i="25" s="1"/>
  <c r="F233" i="25"/>
  <c r="F15" i="25" s="1"/>
  <c r="G233" i="25"/>
  <c r="G15" i="25" s="1"/>
  <c r="H233" i="25"/>
  <c r="H15" i="25" s="1"/>
  <c r="I233" i="25"/>
  <c r="I15" i="25" s="1"/>
  <c r="J233" i="25"/>
  <c r="J15" i="25" s="1"/>
  <c r="K233" i="25"/>
  <c r="K15" i="25" s="1"/>
  <c r="D234" i="25"/>
  <c r="D29" i="25" s="1"/>
  <c r="E234" i="25"/>
  <c r="E29" i="25" s="1"/>
  <c r="F234" i="25"/>
  <c r="F29" i="25" s="1"/>
  <c r="G234" i="25"/>
  <c r="G29" i="25" s="1"/>
  <c r="H234" i="25"/>
  <c r="H29" i="25" s="1"/>
  <c r="I234" i="25"/>
  <c r="I29" i="25" s="1"/>
  <c r="J234" i="25"/>
  <c r="J29" i="25" s="1"/>
  <c r="K234" i="25"/>
  <c r="K29" i="25" s="1"/>
  <c r="L233" i="25"/>
  <c r="L234" i="25"/>
  <c r="L29" i="25" s="1"/>
  <c r="D211" i="25"/>
  <c r="D10" i="25" s="1"/>
  <c r="E211" i="25"/>
  <c r="E10" i="25" s="1"/>
  <c r="F211" i="25"/>
  <c r="F10" i="25" s="1"/>
  <c r="G211" i="25"/>
  <c r="G10" i="25" s="1"/>
  <c r="H211" i="25"/>
  <c r="H10" i="25" s="1"/>
  <c r="I211" i="25"/>
  <c r="I10" i="25" s="1"/>
  <c r="J211" i="25"/>
  <c r="J10" i="25" s="1"/>
  <c r="K211" i="25"/>
  <c r="K10" i="25" s="1"/>
  <c r="L211" i="25"/>
  <c r="L10" i="25" s="1"/>
  <c r="L66" i="47"/>
  <c r="L190" i="43"/>
  <c r="L191" i="43"/>
  <c r="L441" i="38" l="1"/>
  <c r="L257" i="13" l="1"/>
  <c r="L256" i="13"/>
  <c r="L3" i="10"/>
  <c r="L5" i="10" s="1"/>
  <c r="L7" i="10"/>
  <c r="L9" i="10"/>
  <c r="L13" i="10"/>
  <c r="K13" i="10"/>
  <c r="J13" i="10"/>
  <c r="I13" i="10"/>
  <c r="H13" i="10"/>
  <c r="G13" i="10"/>
  <c r="F13" i="10"/>
  <c r="E13" i="10"/>
  <c r="D13" i="10"/>
  <c r="J11" i="10"/>
  <c r="K9" i="10"/>
  <c r="K11" i="10" s="1"/>
  <c r="J9" i="10"/>
  <c r="I9" i="10"/>
  <c r="I11" i="10" s="1"/>
  <c r="H9" i="10"/>
  <c r="H11" i="10" s="1"/>
  <c r="G9" i="10"/>
  <c r="G11" i="10" s="1"/>
  <c r="F9" i="10"/>
  <c r="E9" i="10"/>
  <c r="E11" i="10" s="1"/>
  <c r="D9" i="10"/>
  <c r="D11" i="10" s="1"/>
  <c r="K7" i="10"/>
  <c r="K23" i="10" s="1"/>
  <c r="J7" i="10"/>
  <c r="I7" i="10"/>
  <c r="H7" i="10"/>
  <c r="G7" i="10"/>
  <c r="G21" i="10" s="1"/>
  <c r="F7" i="10"/>
  <c r="E7" i="10"/>
  <c r="D7" i="10"/>
  <c r="D23" i="10" s="1"/>
  <c r="K3" i="10"/>
  <c r="K5" i="10" s="1"/>
  <c r="J3" i="10"/>
  <c r="J5" i="10" s="1"/>
  <c r="I3" i="10"/>
  <c r="I5" i="10" s="1"/>
  <c r="H3" i="10"/>
  <c r="H5" i="10" s="1"/>
  <c r="G3" i="10"/>
  <c r="G5" i="10" s="1"/>
  <c r="F3" i="10"/>
  <c r="F5" i="10" s="1"/>
  <c r="E3" i="10"/>
  <c r="E5" i="10" s="1"/>
  <c r="D3" i="10"/>
  <c r="D5" i="10" s="1"/>
  <c r="H23" i="10" l="1"/>
  <c r="J23" i="10"/>
  <c r="F11" i="10"/>
  <c r="F23" i="10" s="1"/>
  <c r="E23" i="10"/>
  <c r="I23" i="10"/>
  <c r="L11" i="10"/>
  <c r="L23" i="10" s="1"/>
  <c r="L19" i="10"/>
  <c r="J19" i="10"/>
  <c r="J21" i="10"/>
  <c r="G23" i="10"/>
  <c r="D19" i="10"/>
  <c r="H19" i="10"/>
  <c r="D21" i="10"/>
  <c r="H21" i="10"/>
  <c r="F19" i="10"/>
  <c r="F21" i="10"/>
  <c r="G19" i="10"/>
  <c r="K19" i="10"/>
  <c r="K21" i="10"/>
  <c r="E19" i="10"/>
  <c r="I19" i="10"/>
  <c r="E21" i="10"/>
  <c r="I21" i="10"/>
  <c r="L21" i="10" l="1"/>
  <c r="J461" i="2" l="1"/>
  <c r="T461" i="2" s="1"/>
  <c r="J422" i="2"/>
  <c r="T422" i="2" s="1"/>
  <c r="J196" i="2"/>
  <c r="T196" i="2" s="1"/>
  <c r="J150" i="2"/>
  <c r="T150" i="2" s="1"/>
  <c r="J119" i="3"/>
  <c r="J230" i="3"/>
  <c r="J15" i="3"/>
  <c r="J26" i="3"/>
  <c r="J465" i="3"/>
  <c r="J450" i="3"/>
  <c r="J441" i="3"/>
  <c r="L41" i="97"/>
  <c r="L35" i="97"/>
  <c r="L31" i="97"/>
  <c r="L25" i="97"/>
  <c r="L3" i="97"/>
  <c r="L5" i="97" s="1"/>
  <c r="L7" i="97"/>
  <c r="L9" i="97"/>
  <c r="J168" i="3" s="1"/>
  <c r="L213" i="96"/>
  <c r="L28" i="96" s="1"/>
  <c r="J143" i="3" s="1"/>
  <c r="L190" i="96"/>
  <c r="L16" i="96" s="1"/>
  <c r="J164" i="3" s="1"/>
  <c r="L191" i="96"/>
  <c r="L192" i="96"/>
  <c r="L199" i="96"/>
  <c r="L10" i="96" s="1"/>
  <c r="J427" i="2" s="1"/>
  <c r="T427" i="2" s="1"/>
  <c r="L149" i="96"/>
  <c r="L26" i="96" s="1"/>
  <c r="J252" i="3" s="1"/>
  <c r="L156" i="96"/>
  <c r="L9" i="96" s="1"/>
  <c r="J426" i="2" s="1"/>
  <c r="T426" i="2" s="1"/>
  <c r="L125" i="96"/>
  <c r="L132" i="96"/>
  <c r="L104" i="96"/>
  <c r="L22" i="96" s="1"/>
  <c r="L24" i="96" s="1"/>
  <c r="J213" i="3" s="1"/>
  <c r="L111" i="96"/>
  <c r="L73" i="96"/>
  <c r="L80" i="96"/>
  <c r="L6" i="96" s="1"/>
  <c r="J423" i="2" s="1"/>
  <c r="T423" i="2" s="1"/>
  <c r="L7" i="96"/>
  <c r="J424" i="2" s="1"/>
  <c r="T424" i="2" s="1"/>
  <c r="L8" i="96"/>
  <c r="J425" i="2" s="1"/>
  <c r="T425" i="2" s="1"/>
  <c r="L14" i="96"/>
  <c r="J274" i="3" s="1"/>
  <c r="L18" i="96"/>
  <c r="L19" i="96"/>
  <c r="L23" i="96"/>
  <c r="L41" i="96"/>
  <c r="L5" i="96" s="1"/>
  <c r="L143" i="61"/>
  <c r="L144" i="61"/>
  <c r="L9" i="61" s="1"/>
  <c r="J351" i="3" s="1"/>
  <c r="L145" i="61"/>
  <c r="L11" i="61" s="1"/>
  <c r="J345" i="3" s="1"/>
  <c r="L146" i="61"/>
  <c r="L13" i="61" s="1"/>
  <c r="J294" i="3" s="1"/>
  <c r="L147" i="61"/>
  <c r="L15" i="61" s="1"/>
  <c r="J167" i="3" s="1"/>
  <c r="L137" i="61"/>
  <c r="L111" i="61"/>
  <c r="L92" i="61"/>
  <c r="L75" i="61"/>
  <c r="L71" i="61"/>
  <c r="L61" i="61"/>
  <c r="L41" i="61"/>
  <c r="L7" i="61"/>
  <c r="J177" i="3" s="1"/>
  <c r="L28" i="61"/>
  <c r="L3" i="61" s="1"/>
  <c r="L5" i="61" s="1"/>
  <c r="L252" i="95"/>
  <c r="L253" i="95"/>
  <c r="L254" i="95"/>
  <c r="L51" i="95" s="1"/>
  <c r="J54" i="3" s="1"/>
  <c r="L255" i="95"/>
  <c r="L57" i="95" s="1"/>
  <c r="J381" i="3" s="1"/>
  <c r="L215" i="95"/>
  <c r="L216" i="95"/>
  <c r="L217" i="95"/>
  <c r="L218" i="95"/>
  <c r="L41" i="95" s="1"/>
  <c r="J410" i="3" s="1"/>
  <c r="L219" i="95"/>
  <c r="L220" i="95"/>
  <c r="L221" i="95"/>
  <c r="L222" i="95"/>
  <c r="L53" i="95" s="1"/>
  <c r="J344" i="3" s="1"/>
  <c r="L229" i="95"/>
  <c r="L169" i="95"/>
  <c r="L13" i="95" s="1"/>
  <c r="J126" i="3" s="1"/>
  <c r="L170" i="95"/>
  <c r="L171" i="95"/>
  <c r="L25" i="95" s="1"/>
  <c r="J94" i="3" s="1"/>
  <c r="L172" i="95"/>
  <c r="L33" i="95" s="1"/>
  <c r="J483" i="3" s="1"/>
  <c r="L180" i="95"/>
  <c r="L8" i="95" s="1"/>
  <c r="J460" i="2" s="1"/>
  <c r="T460" i="2" s="1"/>
  <c r="L163" i="95"/>
  <c r="L133" i="95"/>
  <c r="L21" i="95" s="1"/>
  <c r="J132" i="3" s="1"/>
  <c r="L134" i="95"/>
  <c r="L29" i="95" s="1"/>
  <c r="J361" i="3" s="1"/>
  <c r="L141" i="95"/>
  <c r="L7" i="95" s="1"/>
  <c r="J459" i="2" s="1"/>
  <c r="T459" i="2" s="1"/>
  <c r="L102" i="95"/>
  <c r="L15" i="95" s="1"/>
  <c r="J349" i="3" s="1"/>
  <c r="L103" i="95"/>
  <c r="L17" i="95" s="1"/>
  <c r="J418" i="3" s="1"/>
  <c r="L104" i="95"/>
  <c r="L105" i="95"/>
  <c r="L35" i="95" s="1"/>
  <c r="J338" i="3" s="1"/>
  <c r="L106" i="95"/>
  <c r="L55" i="95" s="1"/>
  <c r="J271" i="3" s="1"/>
  <c r="L114" i="95"/>
  <c r="L6" i="95" s="1"/>
  <c r="J458" i="2" s="1"/>
  <c r="T458" i="2" s="1"/>
  <c r="L99" i="95"/>
  <c r="L9" i="95"/>
  <c r="L19" i="95"/>
  <c r="J407" i="3" s="1"/>
  <c r="L23" i="95"/>
  <c r="J49" i="3" s="1"/>
  <c r="L27" i="95"/>
  <c r="L31" i="95"/>
  <c r="J278" i="3" s="1"/>
  <c r="L37" i="95"/>
  <c r="L39" i="95"/>
  <c r="J471" i="3" s="1"/>
  <c r="L43" i="95"/>
  <c r="J517" i="3" s="1"/>
  <c r="L45" i="95"/>
  <c r="L47" i="95"/>
  <c r="L48" i="95"/>
  <c r="L68" i="95"/>
  <c r="L5" i="95" s="1"/>
  <c r="J457" i="2" s="1"/>
  <c r="T457" i="2" s="1"/>
  <c r="L257" i="94"/>
  <c r="L28" i="94" s="1"/>
  <c r="L258" i="94"/>
  <c r="L38" i="94" s="1"/>
  <c r="L234" i="94"/>
  <c r="L32" i="94" s="1"/>
  <c r="L235" i="94"/>
  <c r="L242" i="94"/>
  <c r="L11" i="94" s="1"/>
  <c r="J324" i="2" s="1"/>
  <c r="T324" i="2" s="1"/>
  <c r="L196" i="94"/>
  <c r="L197" i="94"/>
  <c r="L31" i="94" s="1"/>
  <c r="L205" i="94"/>
  <c r="L10" i="94" s="1"/>
  <c r="J323" i="2" s="1"/>
  <c r="T323" i="2" s="1"/>
  <c r="L165" i="94"/>
  <c r="L172" i="94"/>
  <c r="L9" i="94" s="1"/>
  <c r="J322" i="2" s="1"/>
  <c r="T322" i="2" s="1"/>
  <c r="L140" i="94"/>
  <c r="L16" i="94" s="1"/>
  <c r="L141" i="94"/>
  <c r="L148" i="94"/>
  <c r="L8" i="94" s="1"/>
  <c r="J321" i="2" s="1"/>
  <c r="T321" i="2" s="1"/>
  <c r="L100" i="94"/>
  <c r="L101" i="94"/>
  <c r="L21" i="94" s="1"/>
  <c r="J148" i="3" s="1"/>
  <c r="L102" i="94"/>
  <c r="L37" i="94" s="1"/>
  <c r="L109" i="94"/>
  <c r="L7" i="94" s="1"/>
  <c r="J320" i="2" s="1"/>
  <c r="T320" i="2" s="1"/>
  <c r="L85" i="94"/>
  <c r="L66" i="94"/>
  <c r="L27" i="94" s="1"/>
  <c r="L73" i="94"/>
  <c r="L6" i="94" s="1"/>
  <c r="J319" i="2" s="1"/>
  <c r="T319" i="2" s="1"/>
  <c r="L15" i="94"/>
  <c r="L17" i="94"/>
  <c r="L18" i="94"/>
  <c r="L23" i="94"/>
  <c r="J31" i="3" s="1"/>
  <c r="L25" i="94"/>
  <c r="J261" i="3" s="1"/>
  <c r="L35" i="94"/>
  <c r="J32" i="3" s="1"/>
  <c r="L50" i="94"/>
  <c r="L5" i="94" s="1"/>
  <c r="J318" i="2" s="1"/>
  <c r="L396" i="93"/>
  <c r="L397" i="93"/>
  <c r="L398" i="93"/>
  <c r="L365" i="93"/>
  <c r="L366" i="93"/>
  <c r="L367" i="93"/>
  <c r="L374" i="93"/>
  <c r="L335" i="93"/>
  <c r="L336" i="93"/>
  <c r="L343" i="93"/>
  <c r="L306" i="93"/>
  <c r="L307" i="93"/>
  <c r="L308" i="93"/>
  <c r="L309" i="93"/>
  <c r="L316" i="93"/>
  <c r="L269" i="93"/>
  <c r="L270" i="93"/>
  <c r="L271" i="93"/>
  <c r="L272" i="93"/>
  <c r="L273" i="93"/>
  <c r="L280" i="93"/>
  <c r="L234" i="93"/>
  <c r="L235" i="93"/>
  <c r="L236" i="93"/>
  <c r="L243" i="93"/>
  <c r="L214" i="93"/>
  <c r="L11" i="97" l="1"/>
  <c r="J448" i="2"/>
  <c r="T448" i="2" s="1"/>
  <c r="J209" i="3"/>
  <c r="J428" i="2"/>
  <c r="T428" i="2" s="1"/>
  <c r="J381" i="2"/>
  <c r="T381" i="2" s="1"/>
  <c r="L17" i="61"/>
  <c r="J462" i="2"/>
  <c r="T462" i="2" s="1"/>
  <c r="L33" i="94"/>
  <c r="J44" i="3" s="1"/>
  <c r="J325" i="2"/>
  <c r="T325" i="2" s="1"/>
  <c r="T318" i="2"/>
  <c r="L13" i="97"/>
  <c r="L15" i="97"/>
  <c r="L20" i="96"/>
  <c r="J489" i="3" s="1"/>
  <c r="L3" i="96"/>
  <c r="L12" i="96" s="1"/>
  <c r="L34" i="96"/>
  <c r="L30" i="96"/>
  <c r="L32" i="96"/>
  <c r="L21" i="61"/>
  <c r="L19" i="61"/>
  <c r="L49" i="95"/>
  <c r="J169" i="3" s="1"/>
  <c r="L3" i="95"/>
  <c r="L11" i="95" s="1"/>
  <c r="L61" i="95"/>
  <c r="L59" i="95"/>
  <c r="L63" i="95"/>
  <c r="L29" i="94"/>
  <c r="L39" i="94"/>
  <c r="J140" i="3" s="1"/>
  <c r="L19" i="94"/>
  <c r="J98" i="3" s="1"/>
  <c r="L3" i="94"/>
  <c r="L13" i="94" s="1"/>
  <c r="E194" i="93"/>
  <c r="F194" i="93"/>
  <c r="G194" i="93"/>
  <c r="H194" i="93"/>
  <c r="I194" i="93"/>
  <c r="J194" i="93"/>
  <c r="K194" i="93"/>
  <c r="D194" i="93"/>
  <c r="L194" i="93"/>
  <c r="L189" i="93"/>
  <c r="K189" i="93"/>
  <c r="J189" i="93"/>
  <c r="I189" i="93"/>
  <c r="H189" i="93"/>
  <c r="G189" i="93"/>
  <c r="F189" i="93"/>
  <c r="E189" i="93"/>
  <c r="D189" i="93"/>
  <c r="L173" i="93"/>
  <c r="K173" i="93"/>
  <c r="J173" i="93"/>
  <c r="I173" i="93"/>
  <c r="H173" i="93"/>
  <c r="G173" i="93"/>
  <c r="F173" i="93"/>
  <c r="E173" i="93"/>
  <c r="D173" i="93"/>
  <c r="L168" i="93"/>
  <c r="K168" i="93"/>
  <c r="J168" i="93"/>
  <c r="I168" i="93"/>
  <c r="H168" i="93"/>
  <c r="G168" i="93"/>
  <c r="F168" i="93"/>
  <c r="E168" i="93"/>
  <c r="D168" i="93"/>
  <c r="L156" i="93"/>
  <c r="K156" i="93"/>
  <c r="J156" i="93"/>
  <c r="I156" i="93"/>
  <c r="H156" i="93"/>
  <c r="G156" i="93"/>
  <c r="F156" i="93"/>
  <c r="E156" i="93"/>
  <c r="D156" i="93"/>
  <c r="K153" i="93"/>
  <c r="J153" i="93"/>
  <c r="I153" i="93"/>
  <c r="H153" i="93"/>
  <c r="G153" i="93"/>
  <c r="F153" i="93"/>
  <c r="E153" i="93"/>
  <c r="D153" i="93"/>
  <c r="L148" i="93"/>
  <c r="K148" i="93"/>
  <c r="J148" i="93"/>
  <c r="I148" i="93"/>
  <c r="H148" i="93"/>
  <c r="G148" i="93"/>
  <c r="F148" i="93"/>
  <c r="E148" i="93"/>
  <c r="D148" i="93"/>
  <c r="L143" i="93"/>
  <c r="K143" i="93"/>
  <c r="J143" i="93"/>
  <c r="I143" i="93"/>
  <c r="H143" i="93"/>
  <c r="G143" i="93"/>
  <c r="F143" i="93"/>
  <c r="E143" i="93"/>
  <c r="D143" i="93"/>
  <c r="L139" i="93"/>
  <c r="K139" i="93"/>
  <c r="J139" i="93"/>
  <c r="I139" i="93"/>
  <c r="H139" i="93"/>
  <c r="G139" i="93"/>
  <c r="F139" i="93"/>
  <c r="E139" i="93"/>
  <c r="D139" i="93"/>
  <c r="L123" i="93"/>
  <c r="K123" i="93"/>
  <c r="J123" i="93"/>
  <c r="I123" i="93"/>
  <c r="H123" i="93"/>
  <c r="G123" i="93"/>
  <c r="F123" i="93"/>
  <c r="E123" i="93"/>
  <c r="D123" i="93"/>
  <c r="L113" i="93"/>
  <c r="K113" i="93"/>
  <c r="J113" i="93"/>
  <c r="I113" i="93"/>
  <c r="H113" i="93"/>
  <c r="G113" i="93"/>
  <c r="F113" i="93"/>
  <c r="E113" i="93"/>
  <c r="D113" i="93"/>
  <c r="L102" i="93"/>
  <c r="K102" i="93"/>
  <c r="J102" i="93"/>
  <c r="I102" i="93"/>
  <c r="H102" i="93"/>
  <c r="G102" i="93"/>
  <c r="F102" i="93"/>
  <c r="E102" i="93"/>
  <c r="D102" i="93"/>
  <c r="L98" i="93"/>
  <c r="K98" i="93"/>
  <c r="J98" i="93"/>
  <c r="I98" i="93"/>
  <c r="H98" i="93"/>
  <c r="G98" i="93"/>
  <c r="F98" i="93"/>
  <c r="E98" i="93"/>
  <c r="D98" i="93"/>
  <c r="L91" i="93"/>
  <c r="K91" i="93"/>
  <c r="J91" i="93"/>
  <c r="I91" i="93"/>
  <c r="H91" i="93"/>
  <c r="G91" i="93"/>
  <c r="F91" i="93"/>
  <c r="E91" i="93"/>
  <c r="D91" i="93"/>
  <c r="L43" i="94" l="1"/>
  <c r="L45" i="94"/>
  <c r="L41" i="94"/>
  <c r="J195" i="3"/>
  <c r="L6" i="93"/>
  <c r="J414" i="2" s="1"/>
  <c r="T414" i="2" s="1"/>
  <c r="L7" i="93"/>
  <c r="J415" i="2" s="1"/>
  <c r="T415" i="2" s="1"/>
  <c r="L8" i="93"/>
  <c r="J416" i="2" s="1"/>
  <c r="T416" i="2" s="1"/>
  <c r="L9" i="93"/>
  <c r="J417" i="2" s="1"/>
  <c r="T417" i="2" s="1"/>
  <c r="L10" i="93"/>
  <c r="J418" i="2" s="1"/>
  <c r="T418" i="2" s="1"/>
  <c r="L11" i="93"/>
  <c r="J419" i="2" s="1"/>
  <c r="T419" i="2" s="1"/>
  <c r="L15" i="93"/>
  <c r="J525" i="3" s="1"/>
  <c r="L17" i="93"/>
  <c r="J501" i="3" s="1"/>
  <c r="L19" i="93"/>
  <c r="J488" i="3" s="1"/>
  <c r="L21" i="93"/>
  <c r="J159" i="3" s="1"/>
  <c r="L23" i="93"/>
  <c r="J187" i="3" s="1"/>
  <c r="L25" i="93"/>
  <c r="J460" i="3" s="1"/>
  <c r="L27" i="93"/>
  <c r="J337" i="3" s="1"/>
  <c r="L29" i="93"/>
  <c r="J390" i="3" s="1"/>
  <c r="L31" i="93"/>
  <c r="J352" i="3" s="1"/>
  <c r="L33" i="93"/>
  <c r="J324" i="3" s="1"/>
  <c r="L35" i="93"/>
  <c r="J198" i="3" s="1"/>
  <c r="L37" i="93"/>
  <c r="J239" i="3" s="1"/>
  <c r="L39" i="93"/>
  <c r="J436" i="3" s="1"/>
  <c r="L41" i="93"/>
  <c r="J512" i="3" s="1"/>
  <c r="L43" i="93"/>
  <c r="J520" i="3" s="1"/>
  <c r="L45" i="93"/>
  <c r="L46" i="93"/>
  <c r="L47" i="93"/>
  <c r="J398" i="3" s="1"/>
  <c r="L49" i="93"/>
  <c r="J56" i="3" s="1"/>
  <c r="L51" i="93"/>
  <c r="J146" i="3" s="1"/>
  <c r="L53" i="93"/>
  <c r="J366" i="3" s="1"/>
  <c r="L55" i="93"/>
  <c r="J236" i="3" s="1"/>
  <c r="L57" i="93"/>
  <c r="J435" i="3" s="1"/>
  <c r="L59" i="93"/>
  <c r="J432" i="3" s="1"/>
  <c r="L61" i="93"/>
  <c r="J491" i="3" s="1"/>
  <c r="L63" i="93"/>
  <c r="J481" i="3" s="1"/>
  <c r="L65" i="93"/>
  <c r="J448" i="3" s="1"/>
  <c r="L67" i="93"/>
  <c r="J519" i="3" s="1"/>
  <c r="L69" i="93"/>
  <c r="L70" i="93"/>
  <c r="L73" i="93"/>
  <c r="J527" i="3" s="1"/>
  <c r="L5" i="93"/>
  <c r="J413" i="2" s="1"/>
  <c r="L3" i="21"/>
  <c r="L8" i="21"/>
  <c r="L6" i="20" s="1"/>
  <c r="L11" i="21"/>
  <c r="J486" i="3" s="1"/>
  <c r="L212" i="32"/>
  <c r="L16" i="32" s="1"/>
  <c r="L213" i="32"/>
  <c r="L200" i="32"/>
  <c r="L197" i="32"/>
  <c r="L176" i="32"/>
  <c r="L15" i="32" s="1"/>
  <c r="L177" i="32"/>
  <c r="L31" i="32" s="1"/>
  <c r="J320" i="3" s="1"/>
  <c r="L184" i="32"/>
  <c r="L9" i="32" s="1"/>
  <c r="J410" i="2" s="1"/>
  <c r="T410" i="2" s="1"/>
  <c r="L172" i="32"/>
  <c r="L161" i="32"/>
  <c r="L155" i="32"/>
  <c r="L148" i="32"/>
  <c r="L121" i="32"/>
  <c r="L122" i="32"/>
  <c r="L28" i="32" s="1"/>
  <c r="L130" i="32"/>
  <c r="L109" i="32"/>
  <c r="L102" i="32"/>
  <c r="L90" i="32"/>
  <c r="L20" i="32" s="1"/>
  <c r="L91" i="32"/>
  <c r="L92" i="32"/>
  <c r="L27" i="32" s="1"/>
  <c r="L99" i="32"/>
  <c r="L7" i="32" s="1"/>
  <c r="J408" i="2" s="1"/>
  <c r="T408" i="2" s="1"/>
  <c r="L19" i="32"/>
  <c r="L23" i="32"/>
  <c r="L71" i="32"/>
  <c r="L6" i="32" s="1"/>
  <c r="J407" i="2" s="1"/>
  <c r="T407" i="2" s="1"/>
  <c r="L8" i="32"/>
  <c r="J409" i="2" s="1"/>
  <c r="T409" i="2" s="1"/>
  <c r="L14" i="32"/>
  <c r="L24" i="32"/>
  <c r="L33" i="32"/>
  <c r="J237" i="3" s="1"/>
  <c r="L44" i="32"/>
  <c r="L5" i="32" s="1"/>
  <c r="J406" i="2" s="1"/>
  <c r="L37" i="91"/>
  <c r="L23" i="91"/>
  <c r="L3" i="91"/>
  <c r="J188" i="2" s="1"/>
  <c r="T188" i="2" s="1"/>
  <c r="L7" i="91"/>
  <c r="L9" i="91"/>
  <c r="L3" i="90"/>
  <c r="L7" i="90"/>
  <c r="L17" i="90" s="1"/>
  <c r="L9" i="90"/>
  <c r="L11" i="90"/>
  <c r="J242" i="3" s="1"/>
  <c r="L222" i="89"/>
  <c r="L22" i="89" s="1"/>
  <c r="J419" i="3" s="1"/>
  <c r="L223" i="89"/>
  <c r="L224" i="89"/>
  <c r="L187" i="89"/>
  <c r="L25" i="89" s="1"/>
  <c r="L188" i="89"/>
  <c r="L36" i="89" s="1"/>
  <c r="J493" i="3" s="1"/>
  <c r="L195" i="89"/>
  <c r="L159" i="89"/>
  <c r="L160" i="89"/>
  <c r="L40" i="89" s="1"/>
  <c r="J161" i="3" s="1"/>
  <c r="L167" i="89"/>
  <c r="L8" i="89" s="1"/>
  <c r="J177" i="2" s="1"/>
  <c r="T177" i="2" s="1"/>
  <c r="L32" i="89"/>
  <c r="J439" i="3" s="1"/>
  <c r="L137" i="89"/>
  <c r="L7" i="89" s="1"/>
  <c r="J176" i="2" s="1"/>
  <c r="T176" i="2" s="1"/>
  <c r="L79" i="89"/>
  <c r="L14" i="89" s="1"/>
  <c r="J411" i="3" s="1"/>
  <c r="L80" i="89"/>
  <c r="L16" i="89" s="1"/>
  <c r="J476" i="3" s="1"/>
  <c r="L81" i="89"/>
  <c r="L18" i="89" s="1"/>
  <c r="L82" i="89"/>
  <c r="L24" i="89" s="1"/>
  <c r="L6" i="89"/>
  <c r="J175" i="2" s="1"/>
  <c r="T175" i="2" s="1"/>
  <c r="L59" i="89"/>
  <c r="L9" i="89"/>
  <c r="J178" i="2" s="1"/>
  <c r="T178" i="2" s="1"/>
  <c r="L28" i="89"/>
  <c r="J536" i="3" s="1"/>
  <c r="L30" i="89"/>
  <c r="J528" i="3" s="1"/>
  <c r="L34" i="89"/>
  <c r="J142" i="3" s="1"/>
  <c r="L38" i="89"/>
  <c r="J305" i="3" s="1"/>
  <c r="L42" i="89"/>
  <c r="J445" i="3" s="1"/>
  <c r="L53" i="89"/>
  <c r="L5" i="89" s="1"/>
  <c r="J174" i="2" s="1"/>
  <c r="L37" i="40"/>
  <c r="L34" i="40"/>
  <c r="L24" i="40"/>
  <c r="L38" i="88"/>
  <c r="L3" i="88"/>
  <c r="L7" i="88"/>
  <c r="L11" i="88" s="1"/>
  <c r="L9" i="88"/>
  <c r="L3" i="86"/>
  <c r="L7" i="86"/>
  <c r="L9" i="86"/>
  <c r="J272" i="3" s="1"/>
  <c r="L3" i="85"/>
  <c r="L7" i="85"/>
  <c r="L9" i="85"/>
  <c r="J354" i="3" s="1"/>
  <c r="L365" i="87"/>
  <c r="L353" i="87"/>
  <c r="L345" i="87"/>
  <c r="L31" i="87" s="1"/>
  <c r="L346" i="87"/>
  <c r="L44" i="87" s="1"/>
  <c r="J139" i="3" s="1"/>
  <c r="L306" i="87"/>
  <c r="L314" i="87"/>
  <c r="L14" i="87" s="1"/>
  <c r="J314" i="2" s="1"/>
  <c r="T314" i="2" s="1"/>
  <c r="L277" i="87"/>
  <c r="L49" i="87" s="1"/>
  <c r="L284" i="87"/>
  <c r="L13" i="87" s="1"/>
  <c r="J313" i="2" s="1"/>
  <c r="T313" i="2" s="1"/>
  <c r="L252" i="87"/>
  <c r="L259" i="87"/>
  <c r="L12" i="87" s="1"/>
  <c r="J312" i="2" s="1"/>
  <c r="T312" i="2" s="1"/>
  <c r="L230" i="87"/>
  <c r="L41" i="87" s="1"/>
  <c r="L237" i="87"/>
  <c r="L11" i="87" s="1"/>
  <c r="J311" i="2" s="1"/>
  <c r="T311" i="2" s="1"/>
  <c r="L205" i="87"/>
  <c r="L206" i="87"/>
  <c r="L207" i="87"/>
  <c r="L38" i="87" s="1"/>
  <c r="J249" i="3" s="1"/>
  <c r="L214" i="87"/>
  <c r="L10" i="87" s="1"/>
  <c r="J310" i="2" s="1"/>
  <c r="T310" i="2" s="1"/>
  <c r="L176" i="87"/>
  <c r="L24" i="87" s="1"/>
  <c r="L177" i="87"/>
  <c r="L35" i="87" s="1"/>
  <c r="L184" i="87"/>
  <c r="L9" i="87" s="1"/>
  <c r="J309" i="2" s="1"/>
  <c r="T309" i="2" s="1"/>
  <c r="L143" i="87"/>
  <c r="L30" i="87" s="1"/>
  <c r="L144" i="87"/>
  <c r="L145" i="87"/>
  <c r="L146" i="87"/>
  <c r="L52" i="87" s="1"/>
  <c r="L153" i="87"/>
  <c r="L8" i="87" s="1"/>
  <c r="J308" i="2" s="1"/>
  <c r="T308" i="2" s="1"/>
  <c r="L112" i="87"/>
  <c r="L119" i="87"/>
  <c r="L7" i="87" s="1"/>
  <c r="J307" i="2" s="1"/>
  <c r="T307" i="2" s="1"/>
  <c r="L87" i="87"/>
  <c r="L89" i="87"/>
  <c r="L28" i="87" s="1"/>
  <c r="J99" i="3" s="1"/>
  <c r="L90" i="87"/>
  <c r="L40" i="87" s="1"/>
  <c r="L97" i="87"/>
  <c r="L6" i="87" s="1"/>
  <c r="J306" i="2" s="1"/>
  <c r="T306" i="2" s="1"/>
  <c r="L81" i="87"/>
  <c r="L76" i="87"/>
  <c r="L15" i="87"/>
  <c r="J315" i="2" s="1"/>
  <c r="T315" i="2" s="1"/>
  <c r="L19" i="87"/>
  <c r="L20" i="87"/>
  <c r="L23" i="87"/>
  <c r="L25" i="87"/>
  <c r="L34" i="87"/>
  <c r="L46" i="87"/>
  <c r="J279" i="3" s="1"/>
  <c r="L48" i="87"/>
  <c r="L53" i="87"/>
  <c r="L65" i="87"/>
  <c r="L5" i="87" s="1"/>
  <c r="J305" i="2" s="1"/>
  <c r="L284" i="84"/>
  <c r="L31" i="84" s="1"/>
  <c r="L285" i="84"/>
  <c r="L34" i="84" s="1"/>
  <c r="J82" i="3" s="1"/>
  <c r="L249" i="84"/>
  <c r="L251" i="84"/>
  <c r="L252" i="84"/>
  <c r="L30" i="84" s="1"/>
  <c r="L259" i="84"/>
  <c r="L11" i="84" s="1"/>
  <c r="J62" i="2" s="1"/>
  <c r="T62" i="2" s="1"/>
  <c r="L246" i="84"/>
  <c r="L229" i="84"/>
  <c r="L209" i="84"/>
  <c r="L27" i="84" s="1"/>
  <c r="L37" i="84"/>
  <c r="L217" i="84"/>
  <c r="L167" i="84"/>
  <c r="L168" i="84"/>
  <c r="L20" i="84" s="1"/>
  <c r="L175" i="84"/>
  <c r="L9" i="84" s="1"/>
  <c r="J60" i="2" s="1"/>
  <c r="T60" i="2" s="1"/>
  <c r="L127" i="84"/>
  <c r="L128" i="84"/>
  <c r="L24" i="84" s="1"/>
  <c r="J234" i="3" s="1"/>
  <c r="L135" i="84"/>
  <c r="L8" i="84" s="1"/>
  <c r="J59" i="2" s="1"/>
  <c r="T59" i="2" s="1"/>
  <c r="L102" i="84"/>
  <c r="L36" i="84" s="1"/>
  <c r="L109" i="84"/>
  <c r="L7" i="84" s="1"/>
  <c r="J58" i="2" s="1"/>
  <c r="T58" i="2" s="1"/>
  <c r="L78" i="84"/>
  <c r="L26" i="84" s="1"/>
  <c r="L86" i="84"/>
  <c r="L6" i="84" s="1"/>
  <c r="J57" i="2" s="1"/>
  <c r="T57" i="2" s="1"/>
  <c r="L10" i="84"/>
  <c r="J61" i="2" s="1"/>
  <c r="T61" i="2" s="1"/>
  <c r="L15" i="84"/>
  <c r="L16" i="84"/>
  <c r="L19" i="84"/>
  <c r="L21" i="84"/>
  <c r="L49" i="84"/>
  <c r="L5" i="84" s="1"/>
  <c r="J56" i="2" s="1"/>
  <c r="L3" i="83"/>
  <c r="L7" i="83"/>
  <c r="L9" i="83"/>
  <c r="J189" i="3" s="1"/>
  <c r="L377" i="82"/>
  <c r="L54" i="82" s="1"/>
  <c r="L357" i="82"/>
  <c r="L358" i="82"/>
  <c r="L50" i="82" s="1"/>
  <c r="L365" i="82"/>
  <c r="L14" i="82" s="1"/>
  <c r="J401" i="2" s="1"/>
  <c r="T401" i="2" s="1"/>
  <c r="L320" i="82"/>
  <c r="L321" i="82"/>
  <c r="L49" i="82" s="1"/>
  <c r="L328" i="82"/>
  <c r="L13" i="82" s="1"/>
  <c r="J400" i="2" s="1"/>
  <c r="T400" i="2" s="1"/>
  <c r="L315" i="82"/>
  <c r="L309" i="82"/>
  <c r="L283" i="82"/>
  <c r="L284" i="82"/>
  <c r="L32" i="82" s="1"/>
  <c r="L291" i="82"/>
  <c r="L12" i="82" s="1"/>
  <c r="J399" i="2" s="1"/>
  <c r="T399" i="2" s="1"/>
  <c r="L28" i="82"/>
  <c r="J459" i="3" s="1"/>
  <c r="L36" i="82"/>
  <c r="L42" i="82"/>
  <c r="L48" i="82"/>
  <c r="L256" i="82"/>
  <c r="L11" i="82" s="1"/>
  <c r="J398" i="2" s="1"/>
  <c r="T398" i="2" s="1"/>
  <c r="L209" i="82"/>
  <c r="L211" i="82"/>
  <c r="L25" i="82" s="1"/>
  <c r="L212" i="82"/>
  <c r="L53" i="82" s="1"/>
  <c r="L197" i="82"/>
  <c r="L175" i="82"/>
  <c r="L20" i="82" s="1"/>
  <c r="J224" i="3" s="1"/>
  <c r="L176" i="82"/>
  <c r="L24" i="82" s="1"/>
  <c r="L183" i="82"/>
  <c r="L9" i="82" s="1"/>
  <c r="J396" i="2" s="1"/>
  <c r="T396" i="2" s="1"/>
  <c r="L145" i="82"/>
  <c r="L22" i="82" s="1"/>
  <c r="J217" i="3" s="1"/>
  <c r="L152" i="82"/>
  <c r="L8" i="82" s="1"/>
  <c r="J395" i="2" s="1"/>
  <c r="T395" i="2" s="1"/>
  <c r="L40" i="82"/>
  <c r="J531" i="3" s="1"/>
  <c r="L120" i="82"/>
  <c r="L43" i="82" s="1"/>
  <c r="L46" i="82"/>
  <c r="J421" i="3" s="1"/>
  <c r="L128" i="82"/>
  <c r="L7" i="82" s="1"/>
  <c r="J394" i="2" s="1"/>
  <c r="L114" i="82"/>
  <c r="L90" i="82"/>
  <c r="L78" i="82"/>
  <c r="L74" i="82"/>
  <c r="L71" i="82"/>
  <c r="L10" i="82"/>
  <c r="J397" i="2" s="1"/>
  <c r="T397" i="2" s="1"/>
  <c r="L30" i="82"/>
  <c r="J227" i="3" s="1"/>
  <c r="L33" i="82"/>
  <c r="L37" i="82"/>
  <c r="L4" i="82"/>
  <c r="T413" i="2" l="1"/>
  <c r="J420" i="2"/>
  <c r="T420" i="2" s="1"/>
  <c r="L13" i="21"/>
  <c r="L5" i="21"/>
  <c r="J157" i="2"/>
  <c r="T157" i="2" s="1"/>
  <c r="J411" i="2"/>
  <c r="T411" i="2" s="1"/>
  <c r="T406" i="2"/>
  <c r="L5" i="91"/>
  <c r="L15" i="91"/>
  <c r="J28" i="3"/>
  <c r="L11" i="91"/>
  <c r="J342" i="3"/>
  <c r="L13" i="90"/>
  <c r="J250" i="3"/>
  <c r="L5" i="90"/>
  <c r="J156" i="2"/>
  <c r="T156" i="2" s="1"/>
  <c r="L15" i="90"/>
  <c r="J506" i="3"/>
  <c r="T174" i="2"/>
  <c r="J179" i="2"/>
  <c r="T179" i="2" s="1"/>
  <c r="L5" i="88"/>
  <c r="J154" i="2"/>
  <c r="T154" i="2" s="1"/>
  <c r="L13" i="88"/>
  <c r="J47" i="3"/>
  <c r="L15" i="88"/>
  <c r="J19" i="3"/>
  <c r="L11" i="86"/>
  <c r="J72" i="3"/>
  <c r="L5" i="86"/>
  <c r="J380" i="2"/>
  <c r="L11" i="85"/>
  <c r="J327" i="3"/>
  <c r="L5" i="85"/>
  <c r="J153" i="2"/>
  <c r="T153" i="2" s="1"/>
  <c r="J316" i="2"/>
  <c r="T316" i="2" s="1"/>
  <c r="T305" i="2"/>
  <c r="L36" i="87"/>
  <c r="J225" i="3" s="1"/>
  <c r="L17" i="84"/>
  <c r="J12" i="3" s="1"/>
  <c r="L28" i="84"/>
  <c r="J175" i="3" s="1"/>
  <c r="L22" i="84"/>
  <c r="J134" i="3" s="1"/>
  <c r="J63" i="2"/>
  <c r="T63" i="2" s="1"/>
  <c r="T56" i="2"/>
  <c r="L11" i="83"/>
  <c r="J464" i="3"/>
  <c r="L5" i="83"/>
  <c r="J169" i="2"/>
  <c r="T169" i="2" s="1"/>
  <c r="L38" i="82"/>
  <c r="J499" i="3" s="1"/>
  <c r="L34" i="82"/>
  <c r="J343" i="3" s="1"/>
  <c r="L26" i="82"/>
  <c r="J233" i="3" s="1"/>
  <c r="T394" i="2"/>
  <c r="J402" i="2"/>
  <c r="T402" i="2" s="1"/>
  <c r="L17" i="82"/>
  <c r="J403" i="2"/>
  <c r="L71" i="93"/>
  <c r="L79" i="93"/>
  <c r="L3" i="93"/>
  <c r="L13" i="93" s="1"/>
  <c r="L17" i="32"/>
  <c r="J454" i="3" s="1"/>
  <c r="L29" i="32"/>
  <c r="J313" i="3" s="1"/>
  <c r="L21" i="32"/>
  <c r="J369" i="3" s="1"/>
  <c r="L3" i="32"/>
  <c r="L12" i="32" s="1"/>
  <c r="L25" i="32"/>
  <c r="J386" i="3" s="1"/>
  <c r="L13" i="91"/>
  <c r="L3" i="89"/>
  <c r="L12" i="89" s="1"/>
  <c r="L26" i="89"/>
  <c r="J468" i="3" s="1"/>
  <c r="L13" i="86"/>
  <c r="L15" i="86"/>
  <c r="L15" i="85"/>
  <c r="L13" i="85"/>
  <c r="L54" i="87"/>
  <c r="J211" i="3" s="1"/>
  <c r="L42" i="87"/>
  <c r="J291" i="3" s="1"/>
  <c r="L21" i="87"/>
  <c r="J70" i="3" s="1"/>
  <c r="L26" i="87"/>
  <c r="J93" i="3" s="1"/>
  <c r="L32" i="87"/>
  <c r="J248" i="3" s="1"/>
  <c r="L50" i="87"/>
  <c r="J87" i="3" s="1"/>
  <c r="L3" i="87"/>
  <c r="L17" i="87" s="1"/>
  <c r="L32" i="84"/>
  <c r="J111" i="3" s="1"/>
  <c r="L38" i="84"/>
  <c r="J154" i="3" s="1"/>
  <c r="L3" i="84"/>
  <c r="L13" i="84" s="1"/>
  <c r="L44" i="84"/>
  <c r="L15" i="83"/>
  <c r="L13" i="83"/>
  <c r="L55" i="82"/>
  <c r="J289" i="3" s="1"/>
  <c r="L51" i="82"/>
  <c r="J404" i="3" s="1"/>
  <c r="L3" i="82"/>
  <c r="L5" i="82" s="1"/>
  <c r="L18" i="82" s="1"/>
  <c r="L44" i="82"/>
  <c r="J332" i="3" s="1"/>
  <c r="J152" i="2"/>
  <c r="T152" i="2" s="1"/>
  <c r="J38" i="3"/>
  <c r="J30" i="3"/>
  <c r="L75" i="93" l="1"/>
  <c r="J505" i="3"/>
  <c r="L35" i="32"/>
  <c r="L39" i="32"/>
  <c r="L37" i="32"/>
  <c r="L48" i="89"/>
  <c r="L46" i="89"/>
  <c r="L44" i="89"/>
  <c r="J382" i="2"/>
  <c r="T382" i="2" s="1"/>
  <c r="T380" i="2"/>
  <c r="L42" i="84"/>
  <c r="L40" i="84"/>
  <c r="L57" i="82"/>
  <c r="L59" i="82"/>
  <c r="L61" i="82"/>
  <c r="T403" i="2"/>
  <c r="J404" i="2"/>
  <c r="T404" i="2" s="1"/>
  <c r="L77" i="93"/>
  <c r="L11" i="32"/>
  <c r="L11" i="89"/>
  <c r="L56" i="87"/>
  <c r="L60" i="87"/>
  <c r="L58" i="87"/>
  <c r="L16" i="82"/>
  <c r="L205" i="81"/>
  <c r="L23" i="81" s="1"/>
  <c r="L206" i="81"/>
  <c r="L30" i="81" s="1"/>
  <c r="J306" i="3" s="1"/>
  <c r="L207" i="81"/>
  <c r="L32" i="81" s="1"/>
  <c r="J112" i="3" s="1"/>
  <c r="L208" i="81"/>
  <c r="L34" i="81" s="1"/>
  <c r="J194" i="3" s="1"/>
  <c r="L209" i="81"/>
  <c r="L36" i="81" s="1"/>
  <c r="J394" i="3" s="1"/>
  <c r="L210" i="81"/>
  <c r="L38" i="81" s="1"/>
  <c r="J365" i="3" s="1"/>
  <c r="L201" i="81"/>
  <c r="L194" i="81"/>
  <c r="L187" i="81"/>
  <c r="L182" i="81"/>
  <c r="L178" i="81"/>
  <c r="L174" i="81"/>
  <c r="L170" i="81"/>
  <c r="L164" i="81"/>
  <c r="L160" i="81"/>
  <c r="L147" i="81"/>
  <c r="L26" i="81" s="1"/>
  <c r="J192" i="3" s="1"/>
  <c r="L148" i="81"/>
  <c r="L28" i="81" s="1"/>
  <c r="J503" i="3" s="1"/>
  <c r="L149" i="81"/>
  <c r="L41" i="81" s="1"/>
  <c r="L157" i="81"/>
  <c r="L8" i="81" s="1"/>
  <c r="J454" i="2" s="1"/>
  <c r="T454" i="2" s="1"/>
  <c r="L115" i="81"/>
  <c r="L16" i="81" s="1"/>
  <c r="J270" i="3" s="1"/>
  <c r="L18" i="81"/>
  <c r="J257" i="3" s="1"/>
  <c r="L117" i="81"/>
  <c r="L20" i="81" s="1"/>
  <c r="J208" i="3" s="1"/>
  <c r="L124" i="81"/>
  <c r="L7" i="81" s="1"/>
  <c r="J453" i="2" s="1"/>
  <c r="T453" i="2" s="1"/>
  <c r="L111" i="81"/>
  <c r="L105" i="81"/>
  <c r="L76" i="81"/>
  <c r="L12" i="81" s="1"/>
  <c r="J490" i="3" s="1"/>
  <c r="L77" i="81"/>
  <c r="L78" i="81"/>
  <c r="L22" i="81" s="1"/>
  <c r="L79" i="81"/>
  <c r="L40" i="81" s="1"/>
  <c r="L6" i="81"/>
  <c r="J452" i="2" s="1"/>
  <c r="T452" i="2" s="1"/>
  <c r="L14" i="81"/>
  <c r="J396" i="3" s="1"/>
  <c r="L53" i="81"/>
  <c r="L5" i="81" s="1"/>
  <c r="J451" i="2" s="1"/>
  <c r="L3" i="80"/>
  <c r="L7" i="80"/>
  <c r="L9" i="80"/>
  <c r="J461" i="3" s="1"/>
  <c r="L11" i="80"/>
  <c r="J475" i="3" s="1"/>
  <c r="L17" i="80"/>
  <c r="L221" i="70"/>
  <c r="L14" i="70" s="1"/>
  <c r="L196" i="70"/>
  <c r="L203" i="70"/>
  <c r="L9" i="70" s="1"/>
  <c r="J377" i="2" s="1"/>
  <c r="T377" i="2" s="1"/>
  <c r="L160" i="70"/>
  <c r="L18" i="70" s="1"/>
  <c r="L161" i="70"/>
  <c r="L27" i="70" s="1"/>
  <c r="J65" i="3" s="1"/>
  <c r="L168" i="70"/>
  <c r="L111" i="70"/>
  <c r="L13" i="70" s="1"/>
  <c r="L112" i="70"/>
  <c r="L24" i="70" s="1"/>
  <c r="L119" i="70"/>
  <c r="L7" i="70" s="1"/>
  <c r="J375" i="2" s="1"/>
  <c r="T375" i="2" s="1"/>
  <c r="L104" i="70"/>
  <c r="L99" i="70"/>
  <c r="L74" i="70"/>
  <c r="L17" i="70" s="1"/>
  <c r="L75" i="70"/>
  <c r="L23" i="70" s="1"/>
  <c r="L82" i="70"/>
  <c r="L6" i="70"/>
  <c r="J374" i="2" s="1"/>
  <c r="T374" i="2" s="1"/>
  <c r="L8" i="70"/>
  <c r="J376" i="2" s="1"/>
  <c r="T376" i="2" s="1"/>
  <c r="L21" i="70"/>
  <c r="J25" i="3" s="1"/>
  <c r="L38" i="70"/>
  <c r="L5" i="70" s="1"/>
  <c r="J373" i="2" s="1"/>
  <c r="L145" i="60"/>
  <c r="L17" i="60" s="1"/>
  <c r="J429" i="3" s="1"/>
  <c r="L146" i="60"/>
  <c r="L20" i="60" s="1"/>
  <c r="L135" i="60"/>
  <c r="L100" i="60"/>
  <c r="L101" i="60"/>
  <c r="L13" i="60" s="1"/>
  <c r="J81" i="3" s="1"/>
  <c r="L102" i="60"/>
  <c r="L15" i="60" s="1"/>
  <c r="J109" i="3" s="1"/>
  <c r="L103" i="60"/>
  <c r="L19" i="60" s="1"/>
  <c r="L111" i="60"/>
  <c r="L4" i="60" s="1"/>
  <c r="L11" i="60"/>
  <c r="J417" i="3" s="1"/>
  <c r="L35" i="60"/>
  <c r="L3" i="60" s="1"/>
  <c r="J390" i="2" s="1"/>
  <c r="L19" i="79"/>
  <c r="L17" i="79"/>
  <c r="L3" i="79"/>
  <c r="L7" i="79"/>
  <c r="L8" i="79"/>
  <c r="L8" i="78" s="1"/>
  <c r="L9" i="78" s="1"/>
  <c r="L12" i="79"/>
  <c r="L16" i="78" s="1"/>
  <c r="L17" i="78" s="1"/>
  <c r="L15" i="79"/>
  <c r="L21" i="79"/>
  <c r="L3" i="76"/>
  <c r="L7" i="76"/>
  <c r="L9" i="76"/>
  <c r="J310" i="3" s="1"/>
  <c r="L208" i="75"/>
  <c r="L171" i="75"/>
  <c r="L23" i="75" s="1"/>
  <c r="L172" i="75"/>
  <c r="L27" i="75" s="1"/>
  <c r="L179" i="75"/>
  <c r="L9" i="75" s="1"/>
  <c r="J302" i="2" s="1"/>
  <c r="T302" i="2" s="1"/>
  <c r="L165" i="75"/>
  <c r="L158" i="75"/>
  <c r="L133" i="75"/>
  <c r="L16" i="75" s="1"/>
  <c r="L134" i="75"/>
  <c r="L26" i="75" s="1"/>
  <c r="L141" i="75"/>
  <c r="L8" i="75" s="1"/>
  <c r="J301" i="2" s="1"/>
  <c r="T301" i="2" s="1"/>
  <c r="L124" i="75"/>
  <c r="L99" i="75"/>
  <c r="L19" i="75" s="1"/>
  <c r="J262" i="3" s="1"/>
  <c r="L100" i="75"/>
  <c r="L107" i="75"/>
  <c r="L7" i="75" s="1"/>
  <c r="J300" i="2" s="1"/>
  <c r="T300" i="2" s="1"/>
  <c r="L61" i="75"/>
  <c r="L63" i="75"/>
  <c r="L13" i="75" s="1"/>
  <c r="J16" i="3" s="1"/>
  <c r="L64" i="75"/>
  <c r="L15" i="75" s="1"/>
  <c r="L65" i="75"/>
  <c r="L21" i="75" s="1"/>
  <c r="L73" i="75"/>
  <c r="L6" i="75" s="1"/>
  <c r="J299" i="2" s="1"/>
  <c r="T299" i="2" s="1"/>
  <c r="L56" i="75"/>
  <c r="L22" i="75"/>
  <c r="L30" i="75"/>
  <c r="J68" i="3" s="1"/>
  <c r="L41" i="75"/>
  <c r="L5" i="75" s="1"/>
  <c r="J298" i="2" s="1"/>
  <c r="L19" i="78" l="1"/>
  <c r="J430" i="3"/>
  <c r="L5" i="79"/>
  <c r="J155" i="2"/>
  <c r="T155" i="2" s="1"/>
  <c r="L23" i="78"/>
  <c r="L25" i="78"/>
  <c r="J455" i="2"/>
  <c r="T455" i="2" s="1"/>
  <c r="T451" i="2"/>
  <c r="L5" i="80"/>
  <c r="J334" i="2"/>
  <c r="T334" i="2" s="1"/>
  <c r="L15" i="80"/>
  <c r="J425" i="3"/>
  <c r="T373" i="2"/>
  <c r="J378" i="2"/>
  <c r="T378" i="2" s="1"/>
  <c r="L8" i="60"/>
  <c r="J391" i="2"/>
  <c r="T391" i="2" s="1"/>
  <c r="T390" i="2"/>
  <c r="J392" i="2"/>
  <c r="T392" i="2" s="1"/>
  <c r="L5" i="76"/>
  <c r="J276" i="2"/>
  <c r="T276" i="2" s="1"/>
  <c r="L11" i="76"/>
  <c r="J331" i="3"/>
  <c r="L15" i="76"/>
  <c r="L28" i="75"/>
  <c r="J23" i="3" s="1"/>
  <c r="L17" i="75"/>
  <c r="J231" i="3" s="1"/>
  <c r="T298" i="2"/>
  <c r="J303" i="2"/>
  <c r="T303" i="2" s="1"/>
  <c r="L24" i="81"/>
  <c r="J301" i="3" s="1"/>
  <c r="L42" i="81"/>
  <c r="J210" i="3" s="1"/>
  <c r="L3" i="81"/>
  <c r="L10" i="81" s="1"/>
  <c r="L13" i="80"/>
  <c r="L15" i="70"/>
  <c r="J35" i="3" s="1"/>
  <c r="L3" i="70"/>
  <c r="L11" i="70" s="1"/>
  <c r="L19" i="70"/>
  <c r="J40" i="3" s="1"/>
  <c r="L25" i="70"/>
  <c r="L21" i="60"/>
  <c r="L25" i="60" s="1"/>
  <c r="L7" i="60"/>
  <c r="L5" i="60"/>
  <c r="L9" i="60" s="1"/>
  <c r="L11" i="79"/>
  <c r="L13" i="79" s="1"/>
  <c r="J484" i="3" s="1"/>
  <c r="L9" i="79"/>
  <c r="L13" i="76"/>
  <c r="L24" i="75"/>
  <c r="L3" i="75"/>
  <c r="L11" i="75" s="1"/>
  <c r="L298" i="74"/>
  <c r="L29" i="74" s="1"/>
  <c r="L299" i="74"/>
  <c r="L32" i="74" s="1"/>
  <c r="J215" i="3" s="1"/>
  <c r="L294" i="74"/>
  <c r="L278" i="74"/>
  <c r="L259" i="74"/>
  <c r="L28" i="74" s="1"/>
  <c r="L260" i="74"/>
  <c r="L36" i="74" s="1"/>
  <c r="L267" i="74"/>
  <c r="L11" i="74" s="1"/>
  <c r="J117" i="2" s="1"/>
  <c r="T117" i="2" s="1"/>
  <c r="L255" i="74"/>
  <c r="L251" i="74"/>
  <c r="L242" i="74"/>
  <c r="L223" i="74"/>
  <c r="L230" i="74"/>
  <c r="L177" i="74"/>
  <c r="L178" i="74"/>
  <c r="L35" i="74" s="1"/>
  <c r="L185" i="74"/>
  <c r="L173" i="74"/>
  <c r="L169" i="74"/>
  <c r="L153" i="74"/>
  <c r="L142" i="74"/>
  <c r="L143" i="74"/>
  <c r="L150" i="74"/>
  <c r="L8" i="74" s="1"/>
  <c r="J114" i="2" s="1"/>
  <c r="T114" i="2" s="1"/>
  <c r="L133" i="74"/>
  <c r="L110" i="74"/>
  <c r="L111" i="74"/>
  <c r="L118" i="74"/>
  <c r="L75" i="74"/>
  <c r="L76" i="74"/>
  <c r="L34" i="74" s="1"/>
  <c r="L83" i="74"/>
  <c r="L6" i="74"/>
  <c r="J112" i="2" s="1"/>
  <c r="L7" i="74"/>
  <c r="J113" i="2" s="1"/>
  <c r="T113" i="2" s="1"/>
  <c r="L9" i="74"/>
  <c r="J115" i="2" s="1"/>
  <c r="T115" i="2" s="1"/>
  <c r="L10" i="74"/>
  <c r="J116" i="2" s="1"/>
  <c r="T116" i="2" s="1"/>
  <c r="L15" i="74"/>
  <c r="L17" i="74" s="1"/>
  <c r="J135" i="3" s="1"/>
  <c r="L16" i="74"/>
  <c r="L19" i="74"/>
  <c r="J144" i="3" s="1"/>
  <c r="L21" i="74"/>
  <c r="J303" i="3" s="1"/>
  <c r="L23" i="74"/>
  <c r="J330" i="3" s="1"/>
  <c r="L25" i="74"/>
  <c r="J157" i="3" s="1"/>
  <c r="L27" i="74"/>
  <c r="L50" i="74"/>
  <c r="L5" i="74" s="1"/>
  <c r="J111" i="2" s="1"/>
  <c r="T111" i="2" s="1"/>
  <c r="L3" i="73"/>
  <c r="L7" i="73"/>
  <c r="L9" i="73"/>
  <c r="L11" i="73"/>
  <c r="J204" i="3" s="1"/>
  <c r="L285" i="71"/>
  <c r="L24" i="71" s="1"/>
  <c r="L256" i="71"/>
  <c r="L21" i="71" s="1"/>
  <c r="J265" i="3" s="1"/>
  <c r="L257" i="71"/>
  <c r="L264" i="71"/>
  <c r="L11" i="71" s="1"/>
  <c r="J446" i="2" s="1"/>
  <c r="T446" i="2" s="1"/>
  <c r="L222" i="71"/>
  <c r="L32" i="71" s="1"/>
  <c r="L229" i="71"/>
  <c r="L10" i="71" s="1"/>
  <c r="J445" i="2" s="1"/>
  <c r="T445" i="2" s="1"/>
  <c r="L193" i="71"/>
  <c r="L18" i="71" s="1"/>
  <c r="L200" i="71"/>
  <c r="L167" i="71"/>
  <c r="L8" i="71" s="1"/>
  <c r="J443" i="2" s="1"/>
  <c r="T443" i="2" s="1"/>
  <c r="D158" i="71"/>
  <c r="E158" i="71"/>
  <c r="F158" i="71"/>
  <c r="G158" i="71"/>
  <c r="H158" i="71"/>
  <c r="I158" i="71"/>
  <c r="J158" i="71"/>
  <c r="D159" i="71"/>
  <c r="E159" i="71"/>
  <c r="F159" i="71"/>
  <c r="G159" i="71"/>
  <c r="H159" i="71"/>
  <c r="I159" i="71"/>
  <c r="J159" i="71"/>
  <c r="D160" i="71"/>
  <c r="E160" i="71"/>
  <c r="F160" i="71"/>
  <c r="G160" i="71"/>
  <c r="H160" i="71"/>
  <c r="I160" i="71"/>
  <c r="J160" i="71"/>
  <c r="L158" i="71"/>
  <c r="L159" i="71"/>
  <c r="L160" i="71"/>
  <c r="L28" i="71" s="1"/>
  <c r="K160" i="71"/>
  <c r="E107" i="71"/>
  <c r="F107" i="71"/>
  <c r="G107" i="71"/>
  <c r="H107" i="71"/>
  <c r="I107" i="71"/>
  <c r="J107" i="71"/>
  <c r="K107" i="71"/>
  <c r="L107" i="71"/>
  <c r="D107" i="71"/>
  <c r="E113" i="71"/>
  <c r="F113" i="71"/>
  <c r="G113" i="71"/>
  <c r="H113" i="71"/>
  <c r="I113" i="71"/>
  <c r="J113" i="71"/>
  <c r="K113" i="71"/>
  <c r="L113" i="71"/>
  <c r="D113" i="71"/>
  <c r="K159" i="71"/>
  <c r="K158" i="71"/>
  <c r="L146" i="71"/>
  <c r="K146" i="71"/>
  <c r="J146" i="71"/>
  <c r="I146" i="71"/>
  <c r="H146" i="71"/>
  <c r="G146" i="71"/>
  <c r="F146" i="71"/>
  <c r="E146" i="71"/>
  <c r="D146" i="71"/>
  <c r="L155" i="71"/>
  <c r="K155" i="71"/>
  <c r="J155" i="71"/>
  <c r="I155" i="71"/>
  <c r="H155" i="71"/>
  <c r="G155" i="71"/>
  <c r="F155" i="71"/>
  <c r="E155" i="71"/>
  <c r="D155" i="71"/>
  <c r="L116" i="71"/>
  <c r="K116" i="71"/>
  <c r="J116" i="71"/>
  <c r="I116" i="71"/>
  <c r="H116" i="71"/>
  <c r="G116" i="71"/>
  <c r="F116" i="71"/>
  <c r="E116" i="71"/>
  <c r="D116" i="71"/>
  <c r="L99" i="71"/>
  <c r="L17" i="71" s="1"/>
  <c r="L100" i="71"/>
  <c r="L31" i="71" s="1"/>
  <c r="L88" i="71"/>
  <c r="L80" i="71"/>
  <c r="L68" i="71"/>
  <c r="L27" i="71" s="1"/>
  <c r="L76" i="71"/>
  <c r="L6" i="71" s="1"/>
  <c r="J441" i="2" s="1"/>
  <c r="T441" i="2" s="1"/>
  <c r="L9" i="71"/>
  <c r="J444" i="2" s="1"/>
  <c r="T444" i="2" s="1"/>
  <c r="L15" i="71"/>
  <c r="J158" i="3" s="1"/>
  <c r="L23" i="71"/>
  <c r="L33" i="71"/>
  <c r="L47" i="71"/>
  <c r="L5" i="71" s="1"/>
  <c r="J440" i="2" s="1"/>
  <c r="L3" i="92"/>
  <c r="L7" i="92"/>
  <c r="L9" i="92"/>
  <c r="J84" i="3" s="1"/>
  <c r="L102" i="65"/>
  <c r="L7" i="65" s="1"/>
  <c r="J530" i="3" s="1"/>
  <c r="L103" i="65"/>
  <c r="L9" i="65" s="1"/>
  <c r="J498" i="3" s="1"/>
  <c r="L104" i="65"/>
  <c r="L12" i="65" s="1"/>
  <c r="L19" i="89" s="1"/>
  <c r="L20" i="89" s="1"/>
  <c r="L105" i="65"/>
  <c r="L15" i="65" s="1"/>
  <c r="J509" i="3" s="1"/>
  <c r="L85" i="65"/>
  <c r="L80" i="65"/>
  <c r="L69" i="65"/>
  <c r="L11" i="65"/>
  <c r="L3" i="65"/>
  <c r="L28" i="65"/>
  <c r="L275" i="30"/>
  <c r="L276" i="30"/>
  <c r="L35" i="30" s="1"/>
  <c r="L264" i="30"/>
  <c r="L246" i="30"/>
  <c r="L20" i="30" s="1"/>
  <c r="L247" i="30"/>
  <c r="L31" i="30" s="1"/>
  <c r="L255" i="30"/>
  <c r="L11" i="30" s="1"/>
  <c r="J108" i="2" s="1"/>
  <c r="T108" i="2" s="1"/>
  <c r="L208" i="30"/>
  <c r="L209" i="30"/>
  <c r="L28" i="30" s="1"/>
  <c r="J511" i="3" s="1"/>
  <c r="L210" i="30"/>
  <c r="L30" i="30" s="1"/>
  <c r="L217" i="30"/>
  <c r="L10" i="30" s="1"/>
  <c r="J107" i="2" s="1"/>
  <c r="T107" i="2" s="1"/>
  <c r="L202" i="30"/>
  <c r="L196" i="30"/>
  <c r="L191" i="30"/>
  <c r="L187" i="30"/>
  <c r="L166" i="30"/>
  <c r="L155" i="30"/>
  <c r="L163" i="30"/>
  <c r="L9" i="30" s="1"/>
  <c r="J106" i="2" s="1"/>
  <c r="T106" i="2" s="1"/>
  <c r="L127" i="30"/>
  <c r="L16" i="30" s="1"/>
  <c r="L128" i="30"/>
  <c r="L34" i="30" s="1"/>
  <c r="L136" i="30"/>
  <c r="L8" i="30" s="1"/>
  <c r="J105" i="2" s="1"/>
  <c r="T105" i="2" s="1"/>
  <c r="L122" i="30"/>
  <c r="L107" i="30"/>
  <c r="L104" i="30"/>
  <c r="L101" i="30"/>
  <c r="L98" i="30"/>
  <c r="L86" i="30"/>
  <c r="L93" i="30"/>
  <c r="L61" i="30"/>
  <c r="L68" i="30"/>
  <c r="L6" i="30"/>
  <c r="J103" i="2" s="1"/>
  <c r="T103" i="2" s="1"/>
  <c r="L7" i="30"/>
  <c r="J104" i="2" s="1"/>
  <c r="T104" i="2" s="1"/>
  <c r="L15" i="30"/>
  <c r="L19" i="30"/>
  <c r="L21" i="30"/>
  <c r="L24" i="30"/>
  <c r="J340" i="3" s="1"/>
  <c r="L26" i="30"/>
  <c r="J529" i="3" s="1"/>
  <c r="L47" i="30"/>
  <c r="L5" i="30" s="1"/>
  <c r="J102" i="2" s="1"/>
  <c r="L321" i="29"/>
  <c r="L22" i="29" s="1"/>
  <c r="L322" i="29"/>
  <c r="L323" i="29"/>
  <c r="L37" i="29" s="1"/>
  <c r="J36" i="3" s="1"/>
  <c r="L304" i="29"/>
  <c r="L273" i="29"/>
  <c r="L274" i="29"/>
  <c r="L33" i="29" s="1"/>
  <c r="L281" i="29"/>
  <c r="L11" i="29" s="1"/>
  <c r="J53" i="2" s="1"/>
  <c r="T53" i="2" s="1"/>
  <c r="L249" i="29"/>
  <c r="L250" i="29"/>
  <c r="L258" i="29"/>
  <c r="L10" i="29" s="1"/>
  <c r="J52" i="2" s="1"/>
  <c r="T52" i="2" s="1"/>
  <c r="L204" i="29"/>
  <c r="L27" i="29" s="1"/>
  <c r="J314" i="3" s="1"/>
  <c r="L205" i="29"/>
  <c r="L213" i="29"/>
  <c r="L9" i="29" s="1"/>
  <c r="J51" i="2" s="1"/>
  <c r="T51" i="2" s="1"/>
  <c r="L153" i="29"/>
  <c r="L160" i="29"/>
  <c r="L8" i="29" s="1"/>
  <c r="J50" i="2" s="1"/>
  <c r="T50" i="2" s="1"/>
  <c r="L126" i="29"/>
  <c r="L127" i="29"/>
  <c r="L134" i="29"/>
  <c r="L89" i="29"/>
  <c r="L21" i="29" s="1"/>
  <c r="L90" i="29"/>
  <c r="L39" i="29" s="1"/>
  <c r="L97" i="29"/>
  <c r="L81" i="29"/>
  <c r="L71" i="29"/>
  <c r="L58" i="29"/>
  <c r="L55" i="29"/>
  <c r="L6" i="29"/>
  <c r="J48" i="2" s="1"/>
  <c r="T48" i="2" s="1"/>
  <c r="L7" i="29"/>
  <c r="J49" i="2" s="1"/>
  <c r="T49" i="2" s="1"/>
  <c r="L15" i="29"/>
  <c r="L16" i="29"/>
  <c r="L19" i="29"/>
  <c r="J375" i="3" s="1"/>
  <c r="L25" i="29"/>
  <c r="J382" i="3" s="1"/>
  <c r="L29" i="29"/>
  <c r="L30" i="29"/>
  <c r="L34" i="29"/>
  <c r="L40" i="29"/>
  <c r="L52" i="29"/>
  <c r="L5" i="29" s="1"/>
  <c r="J47" i="2" s="1"/>
  <c r="L3" i="72"/>
  <c r="L7" i="72"/>
  <c r="L9" i="72"/>
  <c r="L47" i="69"/>
  <c r="L36" i="69"/>
  <c r="L33" i="69"/>
  <c r="L28" i="69"/>
  <c r="L25" i="69"/>
  <c r="L22" i="69"/>
  <c r="L3" i="69"/>
  <c r="L7" i="69"/>
  <c r="J9" i="3" s="1"/>
  <c r="L9" i="69"/>
  <c r="L88" i="68"/>
  <c r="L89" i="68"/>
  <c r="L56" i="68"/>
  <c r="L11" i="68" s="1"/>
  <c r="J524" i="3" s="1"/>
  <c r="L57" i="68"/>
  <c r="L13" i="68" s="1"/>
  <c r="L64" i="68"/>
  <c r="L52" i="68"/>
  <c r="L41" i="68"/>
  <c r="L33" i="68"/>
  <c r="L4" i="68"/>
  <c r="L14" i="68"/>
  <c r="L17" i="68"/>
  <c r="J453" i="3" s="1"/>
  <c r="L28" i="68"/>
  <c r="L3" i="68" s="1"/>
  <c r="J167" i="2" s="1"/>
  <c r="T167" i="2" s="1"/>
  <c r="L3" i="67"/>
  <c r="L7" i="67"/>
  <c r="L9" i="67"/>
  <c r="J467" i="3" s="1"/>
  <c r="L212" i="66"/>
  <c r="L13" i="66" s="1"/>
  <c r="J492" i="3" s="1"/>
  <c r="L213" i="66"/>
  <c r="L214" i="66"/>
  <c r="L215" i="66"/>
  <c r="L45" i="66" s="1"/>
  <c r="J535" i="3" s="1"/>
  <c r="L179" i="66"/>
  <c r="L180" i="66"/>
  <c r="L37" i="66" s="1"/>
  <c r="J372" i="3" s="1"/>
  <c r="L181" i="66"/>
  <c r="L188" i="66"/>
  <c r="L9" i="66" s="1"/>
  <c r="J232" i="2" s="1"/>
  <c r="T232" i="2" s="1"/>
  <c r="L147" i="66"/>
  <c r="L148" i="66"/>
  <c r="L155" i="66"/>
  <c r="L118" i="66"/>
  <c r="L119" i="66"/>
  <c r="L23" i="66" s="1"/>
  <c r="J373" i="3" s="1"/>
  <c r="L120" i="66"/>
  <c r="L121" i="66"/>
  <c r="L122" i="66"/>
  <c r="L129" i="66"/>
  <c r="L7" i="66" s="1"/>
  <c r="J230" i="2" s="1"/>
  <c r="T230" i="2" s="1"/>
  <c r="L77" i="66"/>
  <c r="L78" i="66"/>
  <c r="L21" i="66" s="1"/>
  <c r="J53" i="3" s="1"/>
  <c r="L79" i="66"/>
  <c r="L33" i="66" s="1"/>
  <c r="L35" i="66" s="1"/>
  <c r="J120" i="3" s="1"/>
  <c r="L86" i="66"/>
  <c r="L6" i="66" s="1"/>
  <c r="J229" i="2" s="1"/>
  <c r="T229" i="2" s="1"/>
  <c r="L74" i="66"/>
  <c r="L64" i="66"/>
  <c r="L8" i="66"/>
  <c r="J231" i="2" s="1"/>
  <c r="T231" i="2" s="1"/>
  <c r="L15" i="66"/>
  <c r="J241" i="3" s="1"/>
  <c r="L17" i="66"/>
  <c r="L18" i="66"/>
  <c r="L19" i="66"/>
  <c r="J200" i="3" s="1"/>
  <c r="L25" i="66"/>
  <c r="J508" i="3" s="1"/>
  <c r="L27" i="66"/>
  <c r="J518" i="3" s="1"/>
  <c r="L29" i="66"/>
  <c r="J477" i="3" s="1"/>
  <c r="L31" i="66"/>
  <c r="J176" i="3" s="1"/>
  <c r="L34" i="66"/>
  <c r="L39" i="66"/>
  <c r="J359" i="3" s="1"/>
  <c r="L41" i="66"/>
  <c r="J447" i="3" s="1"/>
  <c r="L43" i="66"/>
  <c r="J532" i="3" s="1"/>
  <c r="L56" i="66"/>
  <c r="L5" i="66" s="1"/>
  <c r="J228" i="2" s="1"/>
  <c r="L278" i="64"/>
  <c r="L20" i="64" s="1"/>
  <c r="L247" i="64"/>
  <c r="L23" i="64" s="1"/>
  <c r="J77" i="3" s="1"/>
  <c r="L248" i="64"/>
  <c r="L32" i="64" s="1"/>
  <c r="L249" i="64"/>
  <c r="L36" i="64" s="1"/>
  <c r="L256" i="64"/>
  <c r="L11" i="64" s="1"/>
  <c r="J99" i="2" s="1"/>
  <c r="T99" i="2" s="1"/>
  <c r="L232" i="64"/>
  <c r="L225" i="64"/>
  <c r="L214" i="64"/>
  <c r="L202" i="64"/>
  <c r="L35" i="64" s="1"/>
  <c r="L209" i="64"/>
  <c r="L172" i="64"/>
  <c r="L174" i="64"/>
  <c r="L175" i="64"/>
  <c r="L31" i="64" s="1"/>
  <c r="L182" i="64"/>
  <c r="L9" i="64" s="1"/>
  <c r="J97" i="2" s="1"/>
  <c r="T97" i="2" s="1"/>
  <c r="L148" i="64"/>
  <c r="L135" i="64"/>
  <c r="L142" i="64"/>
  <c r="L113" i="64"/>
  <c r="L16" i="64" s="1"/>
  <c r="L114" i="64"/>
  <c r="L19" i="64" s="1"/>
  <c r="L115" i="64"/>
  <c r="L29" i="64" s="1"/>
  <c r="J113" i="3" s="1"/>
  <c r="L122" i="64"/>
  <c r="L7" i="64" s="1"/>
  <c r="J95" i="2" s="1"/>
  <c r="T95" i="2" s="1"/>
  <c r="L85" i="64"/>
  <c r="L65" i="64"/>
  <c r="L15" i="64" s="1"/>
  <c r="L72" i="64"/>
  <c r="L6" i="64" s="1"/>
  <c r="J94" i="2" s="1"/>
  <c r="T94" i="2" s="1"/>
  <c r="L8" i="64"/>
  <c r="J96" i="2" s="1"/>
  <c r="T96" i="2" s="1"/>
  <c r="L10" i="64"/>
  <c r="J98" i="2" s="1"/>
  <c r="T98" i="2" s="1"/>
  <c r="L25" i="64"/>
  <c r="L26" i="64"/>
  <c r="L48" i="64"/>
  <c r="L5" i="64" s="1"/>
  <c r="J93" i="2" s="1"/>
  <c r="L296" i="63"/>
  <c r="L277" i="63"/>
  <c r="L284" i="63"/>
  <c r="L13" i="63" s="1"/>
  <c r="J87" i="2" s="1"/>
  <c r="T87" i="2" s="1"/>
  <c r="L230" i="63"/>
  <c r="L35" i="63" s="1"/>
  <c r="L237" i="63"/>
  <c r="L204" i="63"/>
  <c r="L205" i="63"/>
  <c r="L23" i="63" s="1"/>
  <c r="L212" i="63"/>
  <c r="L177" i="63"/>
  <c r="L178" i="63"/>
  <c r="L179" i="63"/>
  <c r="L40" i="63" s="1"/>
  <c r="L186" i="63"/>
  <c r="L10" i="63" s="1"/>
  <c r="J84" i="2" s="1"/>
  <c r="T84" i="2" s="1"/>
  <c r="L142" i="63"/>
  <c r="L143" i="63"/>
  <c r="L150" i="63"/>
  <c r="L101" i="63"/>
  <c r="L103" i="63"/>
  <c r="L21" i="63" s="1"/>
  <c r="L104" i="63"/>
  <c r="L39" i="63" s="1"/>
  <c r="L112" i="63"/>
  <c r="L8" i="63" s="1"/>
  <c r="J82" i="2" s="1"/>
  <c r="T82" i="2" s="1"/>
  <c r="L89" i="63"/>
  <c r="L72" i="63"/>
  <c r="L36" i="63" s="1"/>
  <c r="L79" i="63"/>
  <c r="L7" i="63" s="1"/>
  <c r="J81" i="2" s="1"/>
  <c r="L9" i="63"/>
  <c r="J83" i="2" s="1"/>
  <c r="T83" i="2" s="1"/>
  <c r="L11" i="63"/>
  <c r="J85" i="2" s="1"/>
  <c r="T85" i="2" s="1"/>
  <c r="L12" i="63"/>
  <c r="J86" i="2" s="1"/>
  <c r="T86" i="2" s="1"/>
  <c r="L19" i="63"/>
  <c r="J62" i="3" s="1"/>
  <c r="L22" i="63"/>
  <c r="L26" i="63"/>
  <c r="L27" i="63"/>
  <c r="L30" i="63"/>
  <c r="J216" i="3" s="1"/>
  <c r="L32" i="63"/>
  <c r="J156" i="3" s="1"/>
  <c r="L34" i="63"/>
  <c r="L54" i="63"/>
  <c r="L4" i="63" s="1"/>
  <c r="L3" i="62"/>
  <c r="L7" i="62"/>
  <c r="L9" i="62"/>
  <c r="L11" i="62"/>
  <c r="J462" i="3" s="1"/>
  <c r="L17" i="62"/>
  <c r="L525" i="31"/>
  <c r="L30" i="31" s="1"/>
  <c r="L526" i="31"/>
  <c r="L48" i="31" s="1"/>
  <c r="L527" i="31"/>
  <c r="L511" i="31"/>
  <c r="L498" i="31"/>
  <c r="L485" i="31"/>
  <c r="L67" i="31" s="1"/>
  <c r="L486" i="31"/>
  <c r="L495" i="31"/>
  <c r="L450" i="31"/>
  <c r="L58" i="31" s="1"/>
  <c r="L451" i="31"/>
  <c r="L66" i="31" s="1"/>
  <c r="L458" i="31"/>
  <c r="L443" i="31"/>
  <c r="L432" i="31"/>
  <c r="L413" i="31"/>
  <c r="L44" i="31" s="1"/>
  <c r="L414" i="31"/>
  <c r="L421" i="31"/>
  <c r="L17" i="31" s="1"/>
  <c r="J220" i="2" s="1"/>
  <c r="T220" i="2" s="1"/>
  <c r="L390" i="31"/>
  <c r="L57" i="31" s="1"/>
  <c r="L397" i="31"/>
  <c r="L16" i="31" s="1"/>
  <c r="J219" i="2" s="1"/>
  <c r="T219" i="2" s="1"/>
  <c r="L353" i="31"/>
  <c r="L40" i="31" s="1"/>
  <c r="L354" i="31"/>
  <c r="L55" i="31" s="1"/>
  <c r="J534" i="3" s="1"/>
  <c r="L355" i="31"/>
  <c r="L72" i="31" s="1"/>
  <c r="L364" i="31"/>
  <c r="L15" i="31" s="1"/>
  <c r="J218" i="2" s="1"/>
  <c r="T218" i="2" s="1"/>
  <c r="L342" i="31"/>
  <c r="L319" i="31"/>
  <c r="L327" i="31"/>
  <c r="L14" i="31" s="1"/>
  <c r="J217" i="2" s="1"/>
  <c r="T217" i="2" s="1"/>
  <c r="L289" i="31"/>
  <c r="L47" i="31" s="1"/>
  <c r="L290" i="31"/>
  <c r="L51" i="31" s="1"/>
  <c r="J399" i="3" s="1"/>
  <c r="L297" i="31"/>
  <c r="L253" i="31"/>
  <c r="L43" i="31" s="1"/>
  <c r="L260" i="31"/>
  <c r="L12" i="31" s="1"/>
  <c r="J215" i="2" s="1"/>
  <c r="T215" i="2" s="1"/>
  <c r="L228" i="31"/>
  <c r="L39" i="31" s="1"/>
  <c r="L235" i="31"/>
  <c r="L11" i="31" s="1"/>
  <c r="J214" i="2" s="1"/>
  <c r="T214" i="2" s="1"/>
  <c r="L197" i="31"/>
  <c r="L37" i="31" s="1"/>
  <c r="J162" i="3" s="1"/>
  <c r="L198" i="31"/>
  <c r="L65" i="31" s="1"/>
  <c r="L205" i="31"/>
  <c r="L10" i="31" s="1"/>
  <c r="J213" i="2" s="1"/>
  <c r="T213" i="2" s="1"/>
  <c r="L168" i="31"/>
  <c r="L175" i="31"/>
  <c r="L9" i="31" s="1"/>
  <c r="J212" i="2" s="1"/>
  <c r="T212" i="2" s="1"/>
  <c r="L143" i="31"/>
  <c r="L29" i="31" s="1"/>
  <c r="L144" i="31"/>
  <c r="L33" i="31" s="1"/>
  <c r="J533" i="3" s="1"/>
  <c r="L151" i="31"/>
  <c r="L8" i="31" s="1"/>
  <c r="J211" i="2" s="1"/>
  <c r="L112" i="31"/>
  <c r="L27" i="31" s="1"/>
  <c r="J362" i="3" s="1"/>
  <c r="L113" i="31"/>
  <c r="L61" i="31" s="1"/>
  <c r="L120" i="31"/>
  <c r="L5" i="31" s="1"/>
  <c r="L13" i="31"/>
  <c r="J216" i="2" s="1"/>
  <c r="T216" i="2" s="1"/>
  <c r="L18" i="31"/>
  <c r="J221" i="2" s="1"/>
  <c r="T221" i="2" s="1"/>
  <c r="L19" i="31"/>
  <c r="J222" i="2" s="1"/>
  <c r="T222" i="2" s="1"/>
  <c r="L35" i="31"/>
  <c r="J478" i="3" s="1"/>
  <c r="L53" i="31"/>
  <c r="J480" i="3" s="1"/>
  <c r="L62" i="31"/>
  <c r="L70" i="31"/>
  <c r="J277" i="3" s="1"/>
  <c r="L73" i="31"/>
  <c r="L87" i="31"/>
  <c r="L4" i="31" s="1"/>
  <c r="L3" i="58"/>
  <c r="L7" i="58"/>
  <c r="L19" i="58" s="1"/>
  <c r="L11" i="58"/>
  <c r="J201" i="3" s="1"/>
  <c r="L13" i="58"/>
  <c r="J131" i="3" s="1"/>
  <c r="L15" i="58"/>
  <c r="L17" i="58"/>
  <c r="L8" i="58"/>
  <c r="L9" i="58" s="1"/>
  <c r="J185" i="3" s="1"/>
  <c r="L3" i="55"/>
  <c r="L7" i="55"/>
  <c r="J83" i="3" s="1"/>
  <c r="L9" i="55"/>
  <c r="L10" i="55"/>
  <c r="L3" i="56"/>
  <c r="L8" i="56"/>
  <c r="L11" i="56"/>
  <c r="J58" i="3" s="1"/>
  <c r="L502" i="57"/>
  <c r="L503" i="57"/>
  <c r="L72" i="57" s="1"/>
  <c r="J251" i="3" s="1"/>
  <c r="L472" i="57"/>
  <c r="L473" i="57"/>
  <c r="L480" i="57"/>
  <c r="L18" i="57" s="1"/>
  <c r="J293" i="2" s="1"/>
  <c r="T293" i="2" s="1"/>
  <c r="L438" i="57"/>
  <c r="L55" i="57" s="1"/>
  <c r="L439" i="57"/>
  <c r="L446" i="57"/>
  <c r="L17" i="57" s="1"/>
  <c r="J292" i="2" s="1"/>
  <c r="T292" i="2" s="1"/>
  <c r="L405" i="57"/>
  <c r="L406" i="57"/>
  <c r="L413" i="57"/>
  <c r="L372" i="57"/>
  <c r="L379" i="57"/>
  <c r="L15" i="57" s="1"/>
  <c r="J290" i="2" s="1"/>
  <c r="T290" i="2" s="1"/>
  <c r="L347" i="57"/>
  <c r="L33" i="57" s="1"/>
  <c r="L348" i="57"/>
  <c r="L349" i="57"/>
  <c r="L357" i="57"/>
  <c r="L14" i="57" s="1"/>
  <c r="J289" i="2" s="1"/>
  <c r="T289" i="2" s="1"/>
  <c r="L310" i="57"/>
  <c r="L311" i="57"/>
  <c r="L319" i="57"/>
  <c r="L13" i="57" s="1"/>
  <c r="J288" i="2" s="1"/>
  <c r="T288" i="2" s="1"/>
  <c r="L275" i="57"/>
  <c r="L282" i="57"/>
  <c r="L247" i="57"/>
  <c r="L248" i="57"/>
  <c r="L255" i="57"/>
  <c r="L217" i="57"/>
  <c r="L32" i="57" s="1"/>
  <c r="L224" i="57"/>
  <c r="L10" i="57" s="1"/>
  <c r="J285" i="2" s="1"/>
  <c r="T285" i="2" s="1"/>
  <c r="L190" i="57"/>
  <c r="L26" i="57" s="1"/>
  <c r="J247" i="3" s="1"/>
  <c r="L191" i="57"/>
  <c r="L54" i="57" s="1"/>
  <c r="L198" i="57"/>
  <c r="L9" i="57" s="1"/>
  <c r="J284" i="2" s="1"/>
  <c r="T284" i="2" s="1"/>
  <c r="L184" i="57"/>
  <c r="L181" i="57"/>
  <c r="L155" i="57"/>
  <c r="L24" i="57" s="1"/>
  <c r="J14" i="3" s="1"/>
  <c r="L156" i="57"/>
  <c r="L42" i="57" s="1"/>
  <c r="L163" i="57"/>
  <c r="L109" i="57"/>
  <c r="L110" i="57"/>
  <c r="L111" i="57"/>
  <c r="L58" i="57" s="1"/>
  <c r="J90" i="3" s="1"/>
  <c r="L118" i="57"/>
  <c r="L7" i="57" s="1"/>
  <c r="J282" i="2" s="1"/>
  <c r="L8" i="57"/>
  <c r="J283" i="2" s="1"/>
  <c r="T283" i="2" s="1"/>
  <c r="L11" i="57"/>
  <c r="J286" i="2" s="1"/>
  <c r="T286" i="2" s="1"/>
  <c r="L12" i="57"/>
  <c r="J287" i="2" s="1"/>
  <c r="T287" i="2" s="1"/>
  <c r="L16" i="57"/>
  <c r="J291" i="2" s="1"/>
  <c r="T291" i="2" s="1"/>
  <c r="L28" i="57"/>
  <c r="L29" i="57"/>
  <c r="L36" i="57"/>
  <c r="J205" i="3" s="1"/>
  <c r="L38" i="57"/>
  <c r="L39" i="57"/>
  <c r="L43" i="57"/>
  <c r="L46" i="57"/>
  <c r="J284" i="3" s="1"/>
  <c r="L48" i="57"/>
  <c r="J295" i="3" s="1"/>
  <c r="L50" i="57"/>
  <c r="L51" i="57"/>
  <c r="L60" i="57"/>
  <c r="J335" i="3" s="1"/>
  <c r="L62" i="57"/>
  <c r="J63" i="3" s="1"/>
  <c r="L64" i="57"/>
  <c r="L65" i="57"/>
  <c r="L68" i="57"/>
  <c r="L69" i="57"/>
  <c r="L85" i="57"/>
  <c r="L4" i="57" s="1"/>
  <c r="L3" i="54"/>
  <c r="L7" i="54"/>
  <c r="L9" i="54"/>
  <c r="J446" i="3" s="1"/>
  <c r="L3" i="53"/>
  <c r="J280" i="2" s="1"/>
  <c r="T280" i="2" s="1"/>
  <c r="L6" i="53"/>
  <c r="L8" i="53"/>
  <c r="J4" i="3" s="1"/>
  <c r="L169" i="52"/>
  <c r="L170" i="52"/>
  <c r="L171" i="52"/>
  <c r="L142" i="52"/>
  <c r="L143" i="52"/>
  <c r="L150" i="52"/>
  <c r="L6" i="52" s="1"/>
  <c r="L116" i="52"/>
  <c r="L31" i="52" s="1"/>
  <c r="J463" i="3" s="1"/>
  <c r="L117" i="52"/>
  <c r="L118" i="52"/>
  <c r="L36" i="52" s="1"/>
  <c r="L125" i="52"/>
  <c r="L5" i="52" s="1"/>
  <c r="L80" i="52"/>
  <c r="L81" i="52"/>
  <c r="L17" i="52" s="1"/>
  <c r="L82" i="52"/>
  <c r="L25" i="52" s="1"/>
  <c r="J91" i="3" s="1"/>
  <c r="L83" i="52"/>
  <c r="L29" i="52" s="1"/>
  <c r="J360" i="3" s="1"/>
  <c r="L84" i="52"/>
  <c r="L91" i="52"/>
  <c r="L4" i="52" s="1"/>
  <c r="L15" i="52"/>
  <c r="J103" i="3" s="1"/>
  <c r="L18" i="52"/>
  <c r="L21" i="52"/>
  <c r="L22" i="52"/>
  <c r="L27" i="52"/>
  <c r="J513" i="3" s="1"/>
  <c r="L33" i="52"/>
  <c r="J495" i="3" s="1"/>
  <c r="L35" i="52"/>
  <c r="L39" i="52"/>
  <c r="J510" i="3" s="1"/>
  <c r="L52" i="52"/>
  <c r="L3" i="52" s="1"/>
  <c r="J434" i="2" s="1"/>
  <c r="L3" i="51"/>
  <c r="L7" i="51"/>
  <c r="L9" i="51"/>
  <c r="L356" i="49"/>
  <c r="L357" i="49"/>
  <c r="L348" i="49"/>
  <c r="L329" i="49"/>
  <c r="L51" i="49" s="1"/>
  <c r="L336" i="49"/>
  <c r="L306" i="49"/>
  <c r="L307" i="49"/>
  <c r="L42" i="49" s="1"/>
  <c r="L308" i="49"/>
  <c r="L50" i="49" s="1"/>
  <c r="L315" i="49"/>
  <c r="L13" i="49" s="1"/>
  <c r="J43" i="2" s="1"/>
  <c r="T43" i="2" s="1"/>
  <c r="L301" i="49"/>
  <c r="L296" i="49"/>
  <c r="L289" i="49"/>
  <c r="L286" i="49"/>
  <c r="L274" i="49"/>
  <c r="L275" i="49"/>
  <c r="L47" i="49" s="1"/>
  <c r="L283" i="49"/>
  <c r="L12" i="49" s="1"/>
  <c r="J42" i="2" s="1"/>
  <c r="T42" i="2" s="1"/>
  <c r="L264" i="49"/>
  <c r="L246" i="49"/>
  <c r="L29" i="49" s="1"/>
  <c r="L247" i="49"/>
  <c r="L248" i="49"/>
  <c r="L54" i="49" s="1"/>
  <c r="L257" i="49"/>
  <c r="L11" i="49" s="1"/>
  <c r="J41" i="2" s="1"/>
  <c r="T41" i="2" s="1"/>
  <c r="L228" i="49"/>
  <c r="L213" i="49"/>
  <c r="L28" i="49" s="1"/>
  <c r="L214" i="49"/>
  <c r="L215" i="49"/>
  <c r="L46" i="49" s="1"/>
  <c r="L222" i="49"/>
  <c r="L10" i="49" s="1"/>
  <c r="J40" i="2" s="1"/>
  <c r="T40" i="2" s="1"/>
  <c r="L180" i="49"/>
  <c r="L187" i="49"/>
  <c r="L9" i="49" s="1"/>
  <c r="J39" i="2" s="1"/>
  <c r="T39" i="2" s="1"/>
  <c r="L153" i="49"/>
  <c r="L154" i="49"/>
  <c r="L155" i="49"/>
  <c r="L45" i="49" s="1"/>
  <c r="L163" i="49"/>
  <c r="L8" i="49" s="1"/>
  <c r="J38" i="2" s="1"/>
  <c r="T38" i="2" s="1"/>
  <c r="L113" i="49"/>
  <c r="L114" i="49"/>
  <c r="L121" i="49"/>
  <c r="L7" i="49" s="1"/>
  <c r="J37" i="2" s="1"/>
  <c r="T37" i="2" s="1"/>
  <c r="L79" i="49"/>
  <c r="L86" i="49"/>
  <c r="L6" i="49" s="1"/>
  <c r="J36" i="2" s="1"/>
  <c r="T36" i="2" s="1"/>
  <c r="L14" i="49"/>
  <c r="J44" i="2" s="1"/>
  <c r="T44" i="2" s="1"/>
  <c r="L18" i="49"/>
  <c r="L19" i="49"/>
  <c r="L22" i="49"/>
  <c r="J222" i="3" s="1"/>
  <c r="L24" i="49"/>
  <c r="J66" i="3" s="1"/>
  <c r="L26" i="49"/>
  <c r="J269" i="3" s="1"/>
  <c r="L32" i="49"/>
  <c r="L33" i="49"/>
  <c r="L34" i="49"/>
  <c r="L37" i="49"/>
  <c r="L38" i="49"/>
  <c r="L39" i="49" s="1"/>
  <c r="J80" i="3" s="1"/>
  <c r="L41" i="49"/>
  <c r="L55" i="49"/>
  <c r="L67" i="49"/>
  <c r="L5" i="49" s="1"/>
  <c r="J35" i="2" s="1"/>
  <c r="L3" i="47"/>
  <c r="J388" i="2" s="1"/>
  <c r="T388" i="2" s="1"/>
  <c r="L7" i="47"/>
  <c r="L9" i="47"/>
  <c r="L3" i="48"/>
  <c r="L7" i="48"/>
  <c r="J357" i="3" s="1"/>
  <c r="L3" i="45"/>
  <c r="L7" i="45"/>
  <c r="L9" i="45"/>
  <c r="L11" i="45"/>
  <c r="L3" i="46"/>
  <c r="L7" i="46"/>
  <c r="L15" i="45" s="1"/>
  <c r="L10" i="46"/>
  <c r="L12" i="45" s="1"/>
  <c r="L13" i="46"/>
  <c r="J406" i="3" s="1"/>
  <c r="L3" i="44"/>
  <c r="J138" i="2" s="1"/>
  <c r="T138" i="2" s="1"/>
  <c r="L5" i="44"/>
  <c r="L7" i="44"/>
  <c r="L9" i="44"/>
  <c r="J260" i="3" s="1"/>
  <c r="L443" i="43"/>
  <c r="L444" i="43"/>
  <c r="L67" i="43" s="1"/>
  <c r="L439" i="43"/>
  <c r="L424" i="43"/>
  <c r="L413" i="43"/>
  <c r="L414" i="43"/>
  <c r="L59" i="43" s="1"/>
  <c r="L421" i="43"/>
  <c r="L17" i="43" s="1"/>
  <c r="J274" i="2" s="1"/>
  <c r="T274" i="2" s="1"/>
  <c r="L380" i="43"/>
  <c r="L387" i="43"/>
  <c r="L356" i="43"/>
  <c r="L46" i="43" s="1"/>
  <c r="J267" i="3" s="1"/>
  <c r="L357" i="43"/>
  <c r="L48" i="43" s="1"/>
  <c r="J388" i="3" s="1"/>
  <c r="L365" i="43"/>
  <c r="L312" i="43"/>
  <c r="L313" i="43"/>
  <c r="L320" i="43"/>
  <c r="L14" i="43" s="1"/>
  <c r="J271" i="2" s="1"/>
  <c r="T271" i="2" s="1"/>
  <c r="L288" i="43"/>
  <c r="L23" i="43" s="1"/>
  <c r="L289" i="43"/>
  <c r="L51" i="43" s="1"/>
  <c r="L296" i="43"/>
  <c r="L13" i="43" s="1"/>
  <c r="J270" i="2" s="1"/>
  <c r="T270" i="2" s="1"/>
  <c r="L285" i="43"/>
  <c r="L266" i="43"/>
  <c r="L36" i="43" s="1"/>
  <c r="L273" i="43"/>
  <c r="L12" i="43" s="1"/>
  <c r="J269" i="2" s="1"/>
  <c r="T269" i="2" s="1"/>
  <c r="L239" i="43"/>
  <c r="L33" i="43" s="1"/>
  <c r="J128" i="3" s="1"/>
  <c r="L240" i="43"/>
  <c r="L35" i="43" s="1"/>
  <c r="L247" i="43"/>
  <c r="L11" i="43" s="1"/>
  <c r="J268" i="2" s="1"/>
  <c r="T268" i="2" s="1"/>
  <c r="L222" i="43"/>
  <c r="L10" i="43" s="1"/>
  <c r="J267" i="2" s="1"/>
  <c r="T267" i="2" s="1"/>
  <c r="L198" i="43"/>
  <c r="E214" i="43"/>
  <c r="F214" i="43"/>
  <c r="G214" i="43"/>
  <c r="H214" i="43"/>
  <c r="I214" i="43"/>
  <c r="J214" i="43"/>
  <c r="K214" i="43"/>
  <c r="L214" i="43"/>
  <c r="L31" i="43" s="1"/>
  <c r="J73" i="3" s="1"/>
  <c r="E215" i="43"/>
  <c r="F215" i="43"/>
  <c r="G215" i="43"/>
  <c r="H215" i="43"/>
  <c r="I215" i="43"/>
  <c r="J215" i="43"/>
  <c r="K215" i="43"/>
  <c r="L215" i="43"/>
  <c r="L66" i="43" s="1"/>
  <c r="D215" i="43"/>
  <c r="D214" i="43"/>
  <c r="L141" i="43"/>
  <c r="L142" i="43"/>
  <c r="L50" i="43" s="1"/>
  <c r="L143" i="43"/>
  <c r="L54" i="43" s="1"/>
  <c r="L150" i="43"/>
  <c r="L8" i="43" s="1"/>
  <c r="J265" i="2" s="1"/>
  <c r="T265" i="2" s="1"/>
  <c r="L133" i="43"/>
  <c r="L108" i="43"/>
  <c r="L7" i="43" s="1"/>
  <c r="J264" i="2" s="1"/>
  <c r="L99" i="43"/>
  <c r="L58" i="43" s="1"/>
  <c r="L100" i="43"/>
  <c r="L62" i="43" s="1"/>
  <c r="J380" i="3" s="1"/>
  <c r="L101" i="43"/>
  <c r="L64" i="43" s="1"/>
  <c r="J427" i="3" s="1"/>
  <c r="L9" i="43"/>
  <c r="J266" i="2" s="1"/>
  <c r="T266" i="2" s="1"/>
  <c r="L15" i="43"/>
  <c r="J272" i="2" s="1"/>
  <c r="T272" i="2" s="1"/>
  <c r="L16" i="43"/>
  <c r="J273" i="2" s="1"/>
  <c r="T273" i="2" s="1"/>
  <c r="L24" i="43"/>
  <c r="L27" i="43"/>
  <c r="J59" i="3" s="1"/>
  <c r="L29" i="43"/>
  <c r="J235" i="3" s="1"/>
  <c r="L39" i="43"/>
  <c r="J282" i="3" s="1"/>
  <c r="L41" i="43"/>
  <c r="L42" i="43"/>
  <c r="L43" i="43"/>
  <c r="L55" i="43"/>
  <c r="L81" i="43"/>
  <c r="L4" i="43" s="1"/>
  <c r="L46" i="81" l="1"/>
  <c r="L48" i="81"/>
  <c r="L44" i="81"/>
  <c r="L33" i="70"/>
  <c r="L31" i="70"/>
  <c r="J57" i="3"/>
  <c r="L27" i="60"/>
  <c r="J402" i="3"/>
  <c r="L23" i="60"/>
  <c r="L15" i="56"/>
  <c r="L5" i="56"/>
  <c r="J151" i="2"/>
  <c r="T151" i="2" s="1"/>
  <c r="L13" i="55"/>
  <c r="L17" i="55" s="1"/>
  <c r="L23" i="79"/>
  <c r="J455" i="3"/>
  <c r="L36" i="75"/>
  <c r="L32" i="75"/>
  <c r="L34" i="75"/>
  <c r="J206" i="3"/>
  <c r="L37" i="74"/>
  <c r="J163" i="3" s="1"/>
  <c r="L15" i="73"/>
  <c r="J393" i="3"/>
  <c r="L13" i="73"/>
  <c r="J485" i="3"/>
  <c r="L17" i="73"/>
  <c r="L5" i="73"/>
  <c r="J119" i="2"/>
  <c r="T119" i="2" s="1"/>
  <c r="L25" i="71"/>
  <c r="J170" i="3" s="1"/>
  <c r="T440" i="2"/>
  <c r="L11" i="92"/>
  <c r="J114" i="3"/>
  <c r="L5" i="92"/>
  <c r="J333" i="2"/>
  <c r="T333" i="2" s="1"/>
  <c r="L5" i="65"/>
  <c r="J172" i="2"/>
  <c r="T172" i="2" s="1"/>
  <c r="L32" i="30"/>
  <c r="J11" i="3" s="1"/>
  <c r="L36" i="30"/>
  <c r="J117" i="3" s="1"/>
  <c r="L17" i="30"/>
  <c r="J51" i="3" s="1"/>
  <c r="T102" i="2"/>
  <c r="J109" i="2"/>
  <c r="T109" i="2" s="1"/>
  <c r="L31" i="29"/>
  <c r="J449" i="3" s="1"/>
  <c r="L35" i="29"/>
  <c r="J309" i="3" s="1"/>
  <c r="L41" i="29"/>
  <c r="J136" i="3" s="1"/>
  <c r="L17" i="29"/>
  <c r="J165" i="3" s="1"/>
  <c r="J54" i="2"/>
  <c r="T54" i="2" s="1"/>
  <c r="T47" i="2"/>
  <c r="L23" i="29"/>
  <c r="J79" i="3" s="1"/>
  <c r="L15" i="72"/>
  <c r="J7" i="3"/>
  <c r="L11" i="72"/>
  <c r="J45" i="3"/>
  <c r="L5" i="72"/>
  <c r="J149" i="2"/>
  <c r="T149" i="2" s="1"/>
  <c r="L5" i="69"/>
  <c r="J252" i="2"/>
  <c r="T252" i="2" s="1"/>
  <c r="L11" i="69"/>
  <c r="J5" i="3"/>
  <c r="L8" i="68"/>
  <c r="J168" i="2"/>
  <c r="T168" i="2" s="1"/>
  <c r="L15" i="68"/>
  <c r="L19" i="68" s="1"/>
  <c r="L11" i="67"/>
  <c r="J409" i="3"/>
  <c r="L5" i="67"/>
  <c r="J148" i="2"/>
  <c r="T148" i="2" s="1"/>
  <c r="J233" i="2"/>
  <c r="T233" i="2" s="1"/>
  <c r="T228" i="2"/>
  <c r="L33" i="64"/>
  <c r="J8" i="3" s="1"/>
  <c r="L27" i="64"/>
  <c r="J392" i="3" s="1"/>
  <c r="L21" i="64"/>
  <c r="J180" i="3" s="1"/>
  <c r="T93" i="2"/>
  <c r="J100" i="2"/>
  <c r="T100" i="2" s="1"/>
  <c r="L28" i="63"/>
  <c r="J137" i="3" s="1"/>
  <c r="J88" i="2"/>
  <c r="T88" i="2" s="1"/>
  <c r="T81" i="2"/>
  <c r="L16" i="63"/>
  <c r="J90" i="2"/>
  <c r="T90" i="2" s="1"/>
  <c r="L5" i="62"/>
  <c r="J89" i="2"/>
  <c r="L15" i="62"/>
  <c r="J173" i="3"/>
  <c r="L13" i="62"/>
  <c r="J101" i="3"/>
  <c r="L59" i="31"/>
  <c r="J147" i="3" s="1"/>
  <c r="L68" i="31"/>
  <c r="J183" i="3" s="1"/>
  <c r="L41" i="31"/>
  <c r="J458" i="3" s="1"/>
  <c r="L49" i="31"/>
  <c r="J387" i="3" s="1"/>
  <c r="T211" i="2"/>
  <c r="J223" i="2"/>
  <c r="T223" i="2" s="1"/>
  <c r="L24" i="31"/>
  <c r="J225" i="2"/>
  <c r="T225" i="2" s="1"/>
  <c r="L31" i="31"/>
  <c r="J496" i="3" s="1"/>
  <c r="L23" i="31"/>
  <c r="J224" i="2"/>
  <c r="L5" i="58"/>
  <c r="J146" i="2"/>
  <c r="T146" i="2" s="1"/>
  <c r="L5" i="55"/>
  <c r="J145" i="2"/>
  <c r="T145" i="2" s="1"/>
  <c r="L15" i="55"/>
  <c r="L52" i="57"/>
  <c r="J283" i="3" s="1"/>
  <c r="L34" i="57"/>
  <c r="J97" i="3" s="1"/>
  <c r="L56" i="57"/>
  <c r="J300" i="3" s="1"/>
  <c r="T282" i="2"/>
  <c r="J294" i="2"/>
  <c r="T294" i="2" s="1"/>
  <c r="L21" i="57"/>
  <c r="J295" i="2"/>
  <c r="L11" i="54"/>
  <c r="J319" i="3"/>
  <c r="L5" i="54"/>
  <c r="J143" i="2"/>
  <c r="T143" i="2" s="1"/>
  <c r="L5" i="53"/>
  <c r="L23" i="52"/>
  <c r="J259" i="3" s="1"/>
  <c r="L12" i="52"/>
  <c r="J437" i="2"/>
  <c r="T437" i="2" s="1"/>
  <c r="L11" i="52"/>
  <c r="J436" i="2"/>
  <c r="T436" i="2" s="1"/>
  <c r="L10" i="52"/>
  <c r="J435" i="2"/>
  <c r="T435" i="2" s="1"/>
  <c r="T434" i="2"/>
  <c r="L15" i="51"/>
  <c r="J76" i="3"/>
  <c r="L11" i="51"/>
  <c r="J37" i="3"/>
  <c r="L5" i="51"/>
  <c r="J142" i="2"/>
  <c r="T142" i="2" s="1"/>
  <c r="L13" i="45"/>
  <c r="L5" i="46"/>
  <c r="J141" i="2"/>
  <c r="T141" i="2" s="1"/>
  <c r="L17" i="45"/>
  <c r="L21" i="45" s="1"/>
  <c r="L19" i="46"/>
  <c r="J292" i="3"/>
  <c r="T35" i="2"/>
  <c r="J45" i="2"/>
  <c r="T45" i="2" s="1"/>
  <c r="L5" i="47"/>
  <c r="L11" i="47"/>
  <c r="J358" i="3"/>
  <c r="L15" i="47"/>
  <c r="J424" i="3"/>
  <c r="L5" i="48"/>
  <c r="J166" i="2"/>
  <c r="L9" i="46"/>
  <c r="L11" i="46" s="1"/>
  <c r="J264" i="3" s="1"/>
  <c r="J374" i="3"/>
  <c r="L5" i="45"/>
  <c r="J139" i="2"/>
  <c r="T139" i="2" s="1"/>
  <c r="L19" i="45"/>
  <c r="J297" i="3"/>
  <c r="L11" i="44"/>
  <c r="J102" i="3"/>
  <c r="L44" i="43"/>
  <c r="J232" i="3" s="1"/>
  <c r="T264" i="2"/>
  <c r="J275" i="2"/>
  <c r="T275" i="2" s="1"/>
  <c r="L20" i="43"/>
  <c r="J277" i="2"/>
  <c r="J118" i="2"/>
  <c r="T112" i="2"/>
  <c r="L29" i="70"/>
  <c r="L25" i="79"/>
  <c r="L30" i="74"/>
  <c r="J199" i="3" s="1"/>
  <c r="L3" i="74"/>
  <c r="L13" i="74" s="1"/>
  <c r="L34" i="71"/>
  <c r="J124" i="3" s="1"/>
  <c r="L7" i="71"/>
  <c r="J442" i="2" s="1"/>
  <c r="T442" i="2" s="1"/>
  <c r="L29" i="71"/>
  <c r="J145" i="3" s="1"/>
  <c r="L19" i="71"/>
  <c r="L13" i="71"/>
  <c r="L13" i="92"/>
  <c r="L15" i="92"/>
  <c r="L17" i="65"/>
  <c r="L21" i="65"/>
  <c r="L13" i="65"/>
  <c r="J522" i="3" s="1"/>
  <c r="L19" i="65"/>
  <c r="L22" i="30"/>
  <c r="J191" i="3" s="1"/>
  <c r="L3" i="30"/>
  <c r="L13" i="30" s="1"/>
  <c r="L3" i="29"/>
  <c r="L13" i="29" s="1"/>
  <c r="L13" i="72"/>
  <c r="L13" i="69"/>
  <c r="L15" i="69"/>
  <c r="L23" i="68"/>
  <c r="L5" i="68"/>
  <c r="L9" i="68" s="1"/>
  <c r="L7" i="68"/>
  <c r="L13" i="67"/>
  <c r="L15" i="67"/>
  <c r="L49" i="66"/>
  <c r="L3" i="66"/>
  <c r="L11" i="66" s="1"/>
  <c r="L51" i="66"/>
  <c r="L47" i="66"/>
  <c r="L37" i="64"/>
  <c r="J149" i="3" s="1"/>
  <c r="L17" i="64"/>
  <c r="J391" i="3" s="1"/>
  <c r="L3" i="64"/>
  <c r="L13" i="64" s="1"/>
  <c r="L41" i="63"/>
  <c r="J108" i="3" s="1"/>
  <c r="L24" i="63"/>
  <c r="J115" i="3" s="1"/>
  <c r="L3" i="63"/>
  <c r="L5" i="63" s="1"/>
  <c r="L17" i="63" s="1"/>
  <c r="L37" i="63"/>
  <c r="L74" i="31"/>
  <c r="J268" i="3" s="1"/>
  <c r="L63" i="31"/>
  <c r="J293" i="3" s="1"/>
  <c r="L45" i="31"/>
  <c r="L3" i="31"/>
  <c r="L21" i="31" s="1"/>
  <c r="L23" i="58"/>
  <c r="L21" i="58"/>
  <c r="L19" i="55"/>
  <c r="L11" i="55"/>
  <c r="J123" i="3" s="1"/>
  <c r="L7" i="56"/>
  <c r="L9" i="56" s="1"/>
  <c r="L13" i="56"/>
  <c r="L70" i="57"/>
  <c r="J133" i="3" s="1"/>
  <c r="L30" i="57"/>
  <c r="J364" i="3" s="1"/>
  <c r="L66" i="57"/>
  <c r="J329" i="3" s="1"/>
  <c r="L40" i="57"/>
  <c r="J363" i="3" s="1"/>
  <c r="L3" i="57"/>
  <c r="L20" i="57" s="1"/>
  <c r="L44" i="57"/>
  <c r="J18" i="3" s="1"/>
  <c r="L15" i="54"/>
  <c r="L13" i="54"/>
  <c r="L19" i="52"/>
  <c r="J457" i="3" s="1"/>
  <c r="L37" i="52"/>
  <c r="J526" i="3" s="1"/>
  <c r="L7" i="52"/>
  <c r="L13" i="52" s="1"/>
  <c r="L9" i="52"/>
  <c r="L43" i="52"/>
  <c r="L41" i="52"/>
  <c r="L45" i="52"/>
  <c r="L13" i="51"/>
  <c r="L20" i="49"/>
  <c r="J263" i="3" s="1"/>
  <c r="L52" i="49"/>
  <c r="J46" i="3" s="1"/>
  <c r="L43" i="49"/>
  <c r="J288" i="3" s="1"/>
  <c r="L56" i="49"/>
  <c r="J290" i="3" s="1"/>
  <c r="L48" i="49"/>
  <c r="J368" i="3" s="1"/>
  <c r="L30" i="49"/>
  <c r="J179" i="3" s="1"/>
  <c r="L35" i="49"/>
  <c r="J172" i="3" s="1"/>
  <c r="L3" i="49"/>
  <c r="L16" i="49" s="1"/>
  <c r="L13" i="47"/>
  <c r="L15" i="46"/>
  <c r="L23" i="46" s="1"/>
  <c r="L17" i="46"/>
  <c r="L15" i="44"/>
  <c r="L13" i="44"/>
  <c r="L60" i="43"/>
  <c r="J456" i="3" s="1"/>
  <c r="L56" i="43"/>
  <c r="J69" i="3" s="1"/>
  <c r="L52" i="43"/>
  <c r="J184" i="3" s="1"/>
  <c r="L25" i="43"/>
  <c r="J276" i="3" s="1"/>
  <c r="L68" i="43"/>
  <c r="J308" i="3" s="1"/>
  <c r="L37" i="43"/>
  <c r="J223" i="3" s="1"/>
  <c r="L3" i="43"/>
  <c r="L19" i="43" s="1"/>
  <c r="L3" i="41"/>
  <c r="L7" i="41"/>
  <c r="L11" i="41"/>
  <c r="J350" i="3" s="1"/>
  <c r="L44" i="42"/>
  <c r="L39" i="42"/>
  <c r="L24" i="42"/>
  <c r="L3" i="42"/>
  <c r="L7" i="42"/>
  <c r="L8" i="42"/>
  <c r="L8" i="41" s="1"/>
  <c r="L11" i="42"/>
  <c r="J515" i="3" s="1"/>
  <c r="L3" i="40"/>
  <c r="L7" i="40"/>
  <c r="L9" i="40"/>
  <c r="J125" i="3" s="1"/>
  <c r="L409" i="39"/>
  <c r="L410" i="39"/>
  <c r="L411" i="39"/>
  <c r="L53" i="39" s="1"/>
  <c r="J240" i="3" s="1"/>
  <c r="L412" i="39"/>
  <c r="L75" i="39" s="1"/>
  <c r="J207" i="3" s="1"/>
  <c r="L373" i="39"/>
  <c r="L374" i="39"/>
  <c r="L375" i="39"/>
  <c r="L80" i="39" s="1"/>
  <c r="L382" i="39"/>
  <c r="L14" i="39" s="1"/>
  <c r="J208" i="2" s="1"/>
  <c r="T208" i="2" s="1"/>
  <c r="L341" i="39"/>
  <c r="L342" i="39"/>
  <c r="L343" i="39"/>
  <c r="L350" i="39"/>
  <c r="L13" i="39" s="1"/>
  <c r="J207" i="2" s="1"/>
  <c r="T207" i="2" s="1"/>
  <c r="L310" i="39"/>
  <c r="L311" i="39"/>
  <c r="L312" i="39"/>
  <c r="L47" i="39" s="1"/>
  <c r="J502" i="3" s="1"/>
  <c r="L313" i="39"/>
  <c r="L71" i="39" s="1"/>
  <c r="J494" i="3" s="1"/>
  <c r="L320" i="39"/>
  <c r="L12" i="39" s="1"/>
  <c r="J206" i="2" s="1"/>
  <c r="T206" i="2" s="1"/>
  <c r="L278" i="39"/>
  <c r="L279" i="39"/>
  <c r="L67" i="39" s="1"/>
  <c r="J166" i="3" s="1"/>
  <c r="L280" i="39"/>
  <c r="L77" i="39" s="1"/>
  <c r="J244" i="3" s="1"/>
  <c r="L287" i="39"/>
  <c r="L11" i="39" s="1"/>
  <c r="J205" i="2" s="1"/>
  <c r="T205" i="2" s="1"/>
  <c r="L248" i="39"/>
  <c r="L249" i="39"/>
  <c r="L65" i="39" s="1"/>
  <c r="J127" i="3" s="1"/>
  <c r="L256" i="39"/>
  <c r="L10" i="39" s="1"/>
  <c r="J204" i="2" s="1"/>
  <c r="T204" i="2" s="1"/>
  <c r="L217" i="39"/>
  <c r="L218" i="39"/>
  <c r="L219" i="39"/>
  <c r="L63" i="39" s="1"/>
  <c r="J325" i="3" s="1"/>
  <c r="L226" i="39"/>
  <c r="L9" i="39" s="1"/>
  <c r="J203" i="2" s="1"/>
  <c r="T203" i="2" s="1"/>
  <c r="L184" i="39"/>
  <c r="L185" i="39"/>
  <c r="L186" i="39"/>
  <c r="L57" i="39" s="1"/>
  <c r="J214" i="3" s="1"/>
  <c r="L187" i="39"/>
  <c r="L59" i="39" s="1"/>
  <c r="J307" i="3" s="1"/>
  <c r="L188" i="39"/>
  <c r="L195" i="39"/>
  <c r="L142" i="39"/>
  <c r="L37" i="39" s="1"/>
  <c r="J428" i="3" s="1"/>
  <c r="L143" i="39"/>
  <c r="L39" i="39" s="1"/>
  <c r="J253" i="3" s="1"/>
  <c r="L150" i="39"/>
  <c r="L7" i="39" s="1"/>
  <c r="J201" i="2" s="1"/>
  <c r="T201" i="2" s="1"/>
  <c r="L114" i="39"/>
  <c r="L115" i="39"/>
  <c r="L116" i="39"/>
  <c r="L33" i="39" s="1"/>
  <c r="L123" i="39"/>
  <c r="L6" i="39" s="1"/>
  <c r="J200" i="2" s="1"/>
  <c r="T200" i="2" s="1"/>
  <c r="L8" i="39"/>
  <c r="J202" i="2" s="1"/>
  <c r="T202" i="2" s="1"/>
  <c r="L19" i="39"/>
  <c r="J280" i="3" s="1"/>
  <c r="L21" i="39"/>
  <c r="L22" i="39"/>
  <c r="L23" i="39" s="1"/>
  <c r="J420" i="3" s="1"/>
  <c r="L25" i="39"/>
  <c r="L26" i="39"/>
  <c r="L29" i="39"/>
  <c r="J442" i="3" s="1"/>
  <c r="L31" i="39"/>
  <c r="J408" i="3" s="1"/>
  <c r="L34" i="39"/>
  <c r="L41" i="39"/>
  <c r="J258" i="3" s="1"/>
  <c r="L43" i="39"/>
  <c r="L44" i="39"/>
  <c r="L49" i="39"/>
  <c r="J92" i="3" s="1"/>
  <c r="L51" i="39"/>
  <c r="J182" i="3" s="1"/>
  <c r="L55" i="39"/>
  <c r="J10" i="3" s="1"/>
  <c r="L61" i="39"/>
  <c r="J328" i="3" s="1"/>
  <c r="L69" i="39"/>
  <c r="J304" i="3" s="1"/>
  <c r="L73" i="39"/>
  <c r="J336" i="3" s="1"/>
  <c r="L79" i="39"/>
  <c r="L92" i="39"/>
  <c r="L5" i="39" s="1"/>
  <c r="J199" i="2" s="1"/>
  <c r="L242" i="28"/>
  <c r="L243" i="28"/>
  <c r="L26" i="28" s="1"/>
  <c r="L208" i="28"/>
  <c r="L210" i="28"/>
  <c r="L22" i="28" s="1"/>
  <c r="J39" i="3" s="1"/>
  <c r="L211" i="28"/>
  <c r="L218" i="28"/>
  <c r="L10" i="28" s="1"/>
  <c r="J370" i="2" s="1"/>
  <c r="T370" i="2" s="1"/>
  <c r="L191" i="28"/>
  <c r="L169" i="28"/>
  <c r="L170" i="28"/>
  <c r="L25" i="28" s="1"/>
  <c r="L177" i="28"/>
  <c r="L9" i="28" s="1"/>
  <c r="J369" i="2" s="1"/>
  <c r="T369" i="2" s="1"/>
  <c r="L142" i="28"/>
  <c r="L16" i="28" s="1"/>
  <c r="L149" i="28"/>
  <c r="L8" i="28" s="1"/>
  <c r="J368" i="2" s="1"/>
  <c r="T368" i="2" s="1"/>
  <c r="L106" i="28"/>
  <c r="L29" i="28" s="1"/>
  <c r="L113" i="28"/>
  <c r="L7" i="28" s="1"/>
  <c r="J367" i="2" s="1"/>
  <c r="T367" i="2" s="1"/>
  <c r="L64" i="28"/>
  <c r="L14" i="28" s="1"/>
  <c r="J150" i="3" s="1"/>
  <c r="L65" i="28"/>
  <c r="L72" i="28"/>
  <c r="L6" i="28" s="1"/>
  <c r="J366" i="2" s="1"/>
  <c r="T366" i="2" s="1"/>
  <c r="L17" i="28"/>
  <c r="L20" i="28"/>
  <c r="J22" i="3" s="1"/>
  <c r="L24" i="28"/>
  <c r="L30" i="28"/>
  <c r="L42" i="28"/>
  <c r="L5" i="28" s="1"/>
  <c r="J365" i="2" s="1"/>
  <c r="L524" i="38"/>
  <c r="L492" i="38"/>
  <c r="L39" i="38" s="1"/>
  <c r="J400" i="3" s="1"/>
  <c r="L493" i="38"/>
  <c r="L50" i="38" s="1"/>
  <c r="L500" i="38"/>
  <c r="L447" i="38"/>
  <c r="L58" i="38" s="1"/>
  <c r="L448" i="38"/>
  <c r="L61" i="38" s="1"/>
  <c r="L455" i="38"/>
  <c r="L18" i="38" s="1"/>
  <c r="J28" i="2" s="1"/>
  <c r="T28" i="2" s="1"/>
  <c r="L422" i="38"/>
  <c r="L423" i="38"/>
  <c r="L79" i="38" s="1"/>
  <c r="L430" i="38"/>
  <c r="L17" i="38" s="1"/>
  <c r="J27" i="2" s="1"/>
  <c r="T27" i="2" s="1"/>
  <c r="L396" i="38"/>
  <c r="L46" i="38" s="1"/>
  <c r="L403" i="38"/>
  <c r="L16" i="38" s="1"/>
  <c r="J26" i="2" s="1"/>
  <c r="T26" i="2" s="1"/>
  <c r="L373" i="38"/>
  <c r="L32" i="38" s="1"/>
  <c r="L374" i="38"/>
  <c r="L43" i="38" s="1"/>
  <c r="J219" i="3" s="1"/>
  <c r="L375" i="38"/>
  <c r="L45" i="38" s="1"/>
  <c r="L383" i="38"/>
  <c r="L15" i="38" s="1"/>
  <c r="J25" i="2" s="1"/>
  <c r="T25" i="2" s="1"/>
  <c r="L349" i="38"/>
  <c r="L328" i="38"/>
  <c r="L41" i="38" s="1"/>
  <c r="J152" i="3" s="1"/>
  <c r="L329" i="38"/>
  <c r="L49" i="38" s="1"/>
  <c r="L330" i="38"/>
  <c r="L337" i="38"/>
  <c r="L14" i="38" s="1"/>
  <c r="J24" i="2" s="1"/>
  <c r="T24" i="2" s="1"/>
  <c r="L319" i="38"/>
  <c r="L312" i="38"/>
  <c r="L306" i="38"/>
  <c r="L293" i="38"/>
  <c r="L37" i="38" s="1"/>
  <c r="J85" i="3" s="1"/>
  <c r="L294" i="38"/>
  <c r="L53" i="38" s="1"/>
  <c r="L295" i="38"/>
  <c r="L65" i="38" s="1"/>
  <c r="L303" i="38"/>
  <c r="L13" i="38" s="1"/>
  <c r="J23" i="2" s="1"/>
  <c r="T23" i="2" s="1"/>
  <c r="L260" i="38"/>
  <c r="L267" i="38"/>
  <c r="L237" i="38"/>
  <c r="L31" i="38" s="1"/>
  <c r="L244" i="38"/>
  <c r="L11" i="38" s="1"/>
  <c r="J21" i="2" s="1"/>
  <c r="T21" i="2" s="1"/>
  <c r="L212" i="38"/>
  <c r="L29" i="38" s="1"/>
  <c r="J196" i="3" s="1"/>
  <c r="L213" i="38"/>
  <c r="L77" i="38" s="1"/>
  <c r="L220" i="38"/>
  <c r="L10" i="38" s="1"/>
  <c r="J20" i="2" s="1"/>
  <c r="T20" i="2" s="1"/>
  <c r="L201" i="38"/>
  <c r="L192" i="38"/>
  <c r="L188" i="38"/>
  <c r="L168" i="38"/>
  <c r="L27" i="38" s="1"/>
  <c r="J376" i="3" s="1"/>
  <c r="L169" i="38"/>
  <c r="L170" i="38"/>
  <c r="L69" i="38" s="1"/>
  <c r="L178" i="38"/>
  <c r="L9" i="38" s="1"/>
  <c r="J19" i="2" s="1"/>
  <c r="T19" i="2" s="1"/>
  <c r="L142" i="38"/>
  <c r="L70" i="38" s="1"/>
  <c r="L143" i="38"/>
  <c r="L150" i="38"/>
  <c r="L8" i="38" s="1"/>
  <c r="J18" i="2" s="1"/>
  <c r="L112" i="38"/>
  <c r="L62" i="38" s="1"/>
  <c r="L113" i="38"/>
  <c r="L73" i="38" s="1"/>
  <c r="J433" i="3" s="1"/>
  <c r="L120" i="38"/>
  <c r="L5" i="38"/>
  <c r="L12" i="38"/>
  <c r="J22" i="2" s="1"/>
  <c r="T22" i="2" s="1"/>
  <c r="L19" i="38"/>
  <c r="J29" i="2" s="1"/>
  <c r="T29" i="2" s="1"/>
  <c r="L35" i="38"/>
  <c r="J378" i="3" s="1"/>
  <c r="L54" i="38"/>
  <c r="L57" i="38"/>
  <c r="L66" i="38"/>
  <c r="L75" i="38"/>
  <c r="J129" i="3" s="1"/>
  <c r="L78" i="38"/>
  <c r="L93" i="38"/>
  <c r="L4" i="38" s="1"/>
  <c r="L3" i="36"/>
  <c r="L7" i="36"/>
  <c r="L9" i="36"/>
  <c r="J415" i="3" s="1"/>
  <c r="L11" i="36"/>
  <c r="J473" i="3" s="1"/>
  <c r="L235" i="37"/>
  <c r="L237" i="37"/>
  <c r="L238" i="37"/>
  <c r="L28" i="37" s="1"/>
  <c r="L239" i="37"/>
  <c r="L38" i="37" s="1"/>
  <c r="L240" i="37"/>
  <c r="L41" i="37" s="1"/>
  <c r="J52" i="3" s="1"/>
  <c r="L224" i="37"/>
  <c r="L220" i="37"/>
  <c r="L193" i="37"/>
  <c r="L182" i="37"/>
  <c r="L183" i="37"/>
  <c r="L32" i="37" s="1"/>
  <c r="L190" i="37"/>
  <c r="L11" i="37" s="1"/>
  <c r="J259" i="2" s="1"/>
  <c r="T259" i="2" s="1"/>
  <c r="L152" i="37"/>
  <c r="L153" i="37"/>
  <c r="L160" i="37"/>
  <c r="L10" i="37" s="1"/>
  <c r="J258" i="2" s="1"/>
  <c r="T258" i="2" s="1"/>
  <c r="L122" i="37"/>
  <c r="L129" i="37"/>
  <c r="L97" i="37"/>
  <c r="L104" i="37"/>
  <c r="L77" i="37"/>
  <c r="L21" i="37" s="1"/>
  <c r="L78" i="37"/>
  <c r="L79" i="37"/>
  <c r="L35" i="37" s="1"/>
  <c r="J317" i="3" s="1"/>
  <c r="L86" i="37"/>
  <c r="L7" i="37" s="1"/>
  <c r="J255" i="2" s="1"/>
  <c r="L8" i="37"/>
  <c r="J256" i="2" s="1"/>
  <c r="T256" i="2" s="1"/>
  <c r="L9" i="37"/>
  <c r="J257" i="2" s="1"/>
  <c r="T257" i="2" s="1"/>
  <c r="L17" i="37"/>
  <c r="L18" i="37"/>
  <c r="L19" i="37" s="1"/>
  <c r="J74" i="3" s="1"/>
  <c r="L22" i="37"/>
  <c r="L25" i="37"/>
  <c r="J334" i="3" s="1"/>
  <c r="L27" i="37"/>
  <c r="L31" i="37"/>
  <c r="L37" i="37"/>
  <c r="L54" i="37"/>
  <c r="L4" i="37" s="1"/>
  <c r="L3" i="35"/>
  <c r="J133" i="2" s="1"/>
  <c r="T133" i="2" s="1"/>
  <c r="L7" i="35"/>
  <c r="L9" i="35"/>
  <c r="J296" i="3" s="1"/>
  <c r="L11" i="35"/>
  <c r="J507" i="3" s="1"/>
  <c r="L151" i="34"/>
  <c r="L11" i="34" s="1"/>
  <c r="J423" i="3" s="1"/>
  <c r="L152" i="34"/>
  <c r="L13" i="34" s="1"/>
  <c r="J229" i="3" s="1"/>
  <c r="L153" i="34"/>
  <c r="L154" i="34"/>
  <c r="L19" i="34" s="1"/>
  <c r="J434" i="3" s="1"/>
  <c r="L155" i="34"/>
  <c r="L21" i="34" s="1"/>
  <c r="J298" i="3" s="1"/>
  <c r="L156" i="34"/>
  <c r="L147" i="34"/>
  <c r="L141" i="34"/>
  <c r="L115" i="34"/>
  <c r="L111" i="34"/>
  <c r="L103" i="34"/>
  <c r="L86" i="34"/>
  <c r="L65" i="34"/>
  <c r="L15" i="34" s="1"/>
  <c r="J438" i="3" s="1"/>
  <c r="L66" i="34"/>
  <c r="L73" i="34"/>
  <c r="L4" i="34" s="1"/>
  <c r="L57" i="34"/>
  <c r="L43" i="34"/>
  <c r="L17" i="34"/>
  <c r="J504" i="3" s="1"/>
  <c r="L23" i="34"/>
  <c r="L24" i="34"/>
  <c r="L39" i="34"/>
  <c r="L3" i="34" s="1"/>
  <c r="J162" i="2" s="1"/>
  <c r="L288" i="33"/>
  <c r="L43" i="33" s="1"/>
  <c r="L263" i="33"/>
  <c r="L264" i="33"/>
  <c r="L271" i="33"/>
  <c r="L13" i="33" s="1"/>
  <c r="J359" i="2" s="1"/>
  <c r="T359" i="2" s="1"/>
  <c r="L256" i="33"/>
  <c r="L239" i="33"/>
  <c r="L222" i="33"/>
  <c r="L224" i="33"/>
  <c r="L32" i="33" s="1"/>
  <c r="L225" i="33"/>
  <c r="L41" i="33" s="1"/>
  <c r="L233" i="33"/>
  <c r="L12" i="33" s="1"/>
  <c r="J358" i="2" s="1"/>
  <c r="T358" i="2" s="1"/>
  <c r="L219" i="33"/>
  <c r="L208" i="33"/>
  <c r="L196" i="33"/>
  <c r="L36" i="33" s="1"/>
  <c r="L203" i="33"/>
  <c r="L166" i="33"/>
  <c r="L167" i="33"/>
  <c r="L168" i="33"/>
  <c r="L35" i="33" s="1"/>
  <c r="L175" i="33"/>
  <c r="L10" i="33" s="1"/>
  <c r="J356" i="2" s="1"/>
  <c r="T356" i="2" s="1"/>
  <c r="L163" i="33"/>
  <c r="L158" i="33"/>
  <c r="L155" i="33"/>
  <c r="L145" i="33"/>
  <c r="L133" i="33"/>
  <c r="L26" i="33" s="1"/>
  <c r="L140" i="33"/>
  <c r="L111" i="33"/>
  <c r="L23" i="33" s="1"/>
  <c r="L112" i="33"/>
  <c r="L113" i="33"/>
  <c r="L39" i="33" s="1"/>
  <c r="J255" i="3" s="1"/>
  <c r="L120" i="33"/>
  <c r="L8" i="33" s="1"/>
  <c r="J354" i="2" s="1"/>
  <c r="L96" i="33"/>
  <c r="L93" i="33"/>
  <c r="L90" i="33"/>
  <c r="L79" i="33"/>
  <c r="L20" i="33" s="1"/>
  <c r="J220" i="3" s="1"/>
  <c r="L80" i="33"/>
  <c r="L22" i="33" s="1"/>
  <c r="L87" i="33"/>
  <c r="L5" i="33"/>
  <c r="L9" i="33"/>
  <c r="J355" i="2" s="1"/>
  <c r="T355" i="2" s="1"/>
  <c r="L11" i="33"/>
  <c r="J357" i="2" s="1"/>
  <c r="T357" i="2" s="1"/>
  <c r="L27" i="33"/>
  <c r="L30" i="33"/>
  <c r="L31" i="33"/>
  <c r="L42" i="33"/>
  <c r="L46" i="33"/>
  <c r="J121" i="3" s="1"/>
  <c r="L59" i="33"/>
  <c r="L4" i="33" s="1"/>
  <c r="L399" i="27"/>
  <c r="L26" i="27" s="1"/>
  <c r="L400" i="27"/>
  <c r="L54" i="27" s="1"/>
  <c r="L55" i="27" s="1"/>
  <c r="J96" i="3" s="1"/>
  <c r="L381" i="27"/>
  <c r="L370" i="27"/>
  <c r="L377" i="27"/>
  <c r="L336" i="27"/>
  <c r="L25" i="27" s="1"/>
  <c r="L337" i="27"/>
  <c r="L35" i="27" s="1"/>
  <c r="J333" i="3" s="1"/>
  <c r="L345" i="27"/>
  <c r="L301" i="27"/>
  <c r="L44" i="27" s="1"/>
  <c r="L302" i="27"/>
  <c r="L57" i="27" s="1"/>
  <c r="L309" i="27"/>
  <c r="L13" i="27" s="1"/>
  <c r="J346" i="2" s="1"/>
  <c r="T346" i="2" s="1"/>
  <c r="L290" i="27"/>
  <c r="L268" i="27"/>
  <c r="L277" i="27"/>
  <c r="L12" i="27" s="1"/>
  <c r="J345" i="2" s="1"/>
  <c r="T345" i="2" s="1"/>
  <c r="L229" i="27"/>
  <c r="L230" i="27"/>
  <c r="L239" i="27"/>
  <c r="L11" i="27" s="1"/>
  <c r="J344" i="2" s="1"/>
  <c r="T344" i="2" s="1"/>
  <c r="L193" i="27"/>
  <c r="L195" i="27"/>
  <c r="L196" i="27"/>
  <c r="L203" i="27"/>
  <c r="L10" i="27" s="1"/>
  <c r="J343" i="2" s="1"/>
  <c r="T343" i="2" s="1"/>
  <c r="L189" i="27"/>
  <c r="L185" i="27"/>
  <c r="L174" i="27"/>
  <c r="L9" i="27" s="1"/>
  <c r="J342" i="2" s="1"/>
  <c r="T342" i="2" s="1"/>
  <c r="L164" i="27"/>
  <c r="L23" i="27" s="1"/>
  <c r="L165" i="27"/>
  <c r="L29" i="27" s="1"/>
  <c r="L166" i="27"/>
  <c r="L47" i="27" s="1"/>
  <c r="L145" i="27"/>
  <c r="L120" i="27"/>
  <c r="L121" i="27"/>
  <c r="L58" i="27" s="1"/>
  <c r="L128" i="27"/>
  <c r="L8" i="27" s="1"/>
  <c r="J341" i="2" s="1"/>
  <c r="L94" i="27"/>
  <c r="L95" i="27"/>
  <c r="L96" i="27"/>
  <c r="L43" i="27" s="1"/>
  <c r="L103" i="27"/>
  <c r="L5" i="27" s="1"/>
  <c r="J351" i="2" s="1"/>
  <c r="T351" i="2" s="1"/>
  <c r="L14" i="27"/>
  <c r="J347" i="2" s="1"/>
  <c r="T347" i="2" s="1"/>
  <c r="L15" i="27"/>
  <c r="J348" i="2" s="1"/>
  <c r="T348" i="2" s="1"/>
  <c r="L24" i="27"/>
  <c r="L30" i="27"/>
  <c r="L33" i="27"/>
  <c r="J188" i="3" s="1"/>
  <c r="L37" i="27"/>
  <c r="J212" i="3" s="1"/>
  <c r="L39" i="27"/>
  <c r="J401" i="3" s="1"/>
  <c r="L41" i="27"/>
  <c r="J266" i="3" s="1"/>
  <c r="L48" i="27"/>
  <c r="L51" i="27"/>
  <c r="J203" i="3" s="1"/>
  <c r="L53" i="27"/>
  <c r="L72" i="27"/>
  <c r="L4" i="27" s="1"/>
  <c r="L338" i="26"/>
  <c r="L313" i="26"/>
  <c r="L314" i="26"/>
  <c r="L46" i="26" s="1"/>
  <c r="L321" i="26"/>
  <c r="L14" i="26" s="1"/>
  <c r="J76" i="2" s="1"/>
  <c r="T76" i="2" s="1"/>
  <c r="L279" i="26"/>
  <c r="L38" i="26" s="1"/>
  <c r="J287" i="3" s="1"/>
  <c r="L286" i="26"/>
  <c r="L13" i="26" s="1"/>
  <c r="J75" i="2" s="1"/>
  <c r="T75" i="2" s="1"/>
  <c r="L241" i="26"/>
  <c r="L36" i="26" s="1"/>
  <c r="J321" i="3" s="1"/>
  <c r="L242" i="26"/>
  <c r="L249" i="26"/>
  <c r="L12" i="26" s="1"/>
  <c r="J74" i="2" s="1"/>
  <c r="T74" i="2" s="1"/>
  <c r="L213" i="26"/>
  <c r="L29" i="26" s="1"/>
  <c r="L220" i="26"/>
  <c r="L11" i="26" s="1"/>
  <c r="J73" i="2" s="1"/>
  <c r="T73" i="2" s="1"/>
  <c r="L178" i="26"/>
  <c r="L26" i="26" s="1"/>
  <c r="J326" i="3" s="1"/>
  <c r="L179" i="26"/>
  <c r="L45" i="26" s="1"/>
  <c r="L186" i="26"/>
  <c r="L10" i="26" s="1"/>
  <c r="J72" i="2" s="1"/>
  <c r="T72" i="2" s="1"/>
  <c r="L149" i="26"/>
  <c r="L22" i="26" s="1"/>
  <c r="L157" i="26"/>
  <c r="L9" i="26" s="1"/>
  <c r="J71" i="2" s="1"/>
  <c r="T71" i="2" s="1"/>
  <c r="L117" i="26"/>
  <c r="L20" i="26" s="1"/>
  <c r="J384" i="3" s="1"/>
  <c r="L118" i="26"/>
  <c r="L119" i="26"/>
  <c r="L40" i="26" s="1"/>
  <c r="L127" i="26"/>
  <c r="L8" i="26" s="1"/>
  <c r="J70" i="2" s="1"/>
  <c r="T70" i="2" s="1"/>
  <c r="L107" i="26"/>
  <c r="L81" i="26"/>
  <c r="L82" i="26"/>
  <c r="L34" i="26" s="1"/>
  <c r="J377" i="3" s="1"/>
  <c r="L83" i="26"/>
  <c r="L90" i="26"/>
  <c r="L7" i="26" s="1"/>
  <c r="J69" i="2" s="1"/>
  <c r="L23" i="26"/>
  <c r="L28" i="26"/>
  <c r="L32" i="26"/>
  <c r="J389" i="3" s="1"/>
  <c r="L41" i="26"/>
  <c r="L42" i="26"/>
  <c r="L49" i="26"/>
  <c r="J107" i="3" s="1"/>
  <c r="L62" i="26"/>
  <c r="L4" i="26" s="1"/>
  <c r="L204" i="25"/>
  <c r="L26" i="25" s="1"/>
  <c r="L165" i="25"/>
  <c r="L21" i="25" s="1"/>
  <c r="L172" i="25"/>
  <c r="L9" i="25" s="1"/>
  <c r="J195" i="2" s="1"/>
  <c r="T195" i="2" s="1"/>
  <c r="L130" i="25"/>
  <c r="L18" i="25" s="1"/>
  <c r="J474" i="3" s="1"/>
  <c r="L131" i="25"/>
  <c r="L25" i="25" s="1"/>
  <c r="L138" i="25"/>
  <c r="L8" i="25" s="1"/>
  <c r="J194" i="2" s="1"/>
  <c r="T194" i="2" s="1"/>
  <c r="L99" i="25"/>
  <c r="L14" i="25" s="1"/>
  <c r="L16" i="25" s="1"/>
  <c r="J379" i="3" s="1"/>
  <c r="L106" i="25"/>
  <c r="L7" i="25" s="1"/>
  <c r="J193" i="2" s="1"/>
  <c r="T193" i="2" s="1"/>
  <c r="L75" i="25"/>
  <c r="L20" i="25" s="1"/>
  <c r="L76" i="25"/>
  <c r="L77" i="25"/>
  <c r="L31" i="25" s="1"/>
  <c r="J523" i="3" s="1"/>
  <c r="L84" i="25"/>
  <c r="L6" i="25" s="1"/>
  <c r="J192" i="2" s="1"/>
  <c r="L24" i="25"/>
  <c r="L42" i="25"/>
  <c r="L5" i="25" s="1"/>
  <c r="J191" i="2" s="1"/>
  <c r="T191" i="2" s="1"/>
  <c r="L3" i="24"/>
  <c r="L7" i="24"/>
  <c r="L15" i="24" s="1"/>
  <c r="L9" i="24"/>
  <c r="J17" i="3" s="1"/>
  <c r="L11" i="24"/>
  <c r="J43" i="3" s="1"/>
  <c r="L199" i="23"/>
  <c r="L19" i="23" s="1"/>
  <c r="L179" i="23"/>
  <c r="L10" i="23" s="1"/>
  <c r="J431" i="3" s="1"/>
  <c r="L180" i="23"/>
  <c r="L12" i="23" s="1"/>
  <c r="J413" i="3" s="1"/>
  <c r="L181" i="23"/>
  <c r="L14" i="23" s="1"/>
  <c r="J339" i="3" s="1"/>
  <c r="L182" i="23"/>
  <c r="L16" i="23" s="1"/>
  <c r="J138" i="3" s="1"/>
  <c r="L183" i="23"/>
  <c r="L18" i="23" s="1"/>
  <c r="L184" i="23"/>
  <c r="L22" i="23" s="1"/>
  <c r="J281" i="3" s="1"/>
  <c r="L192" i="23"/>
  <c r="L4" i="23" s="1"/>
  <c r="J338" i="2" s="1"/>
  <c r="T338" i="2" s="1"/>
  <c r="L156" i="23"/>
  <c r="L137" i="23"/>
  <c r="L134" i="23"/>
  <c r="L126" i="23"/>
  <c r="L105" i="23"/>
  <c r="L96" i="23"/>
  <c r="L73" i="23"/>
  <c r="L59" i="23"/>
  <c r="L54" i="23"/>
  <c r="L44" i="23"/>
  <c r="L35" i="23"/>
  <c r="L3" i="23" s="1"/>
  <c r="L17" i="35" l="1"/>
  <c r="L39" i="74"/>
  <c r="L41" i="74"/>
  <c r="L43" i="74"/>
  <c r="J447" i="2"/>
  <c r="J449" i="2" s="1"/>
  <c r="T449" i="2" s="1"/>
  <c r="L3" i="71"/>
  <c r="L38" i="71"/>
  <c r="J78" i="3"/>
  <c r="L40" i="71"/>
  <c r="L40" i="30"/>
  <c r="L42" i="30"/>
  <c r="L38" i="30"/>
  <c r="L45" i="29"/>
  <c r="L43" i="29"/>
  <c r="L47" i="29"/>
  <c r="L21" i="68"/>
  <c r="J311" i="3"/>
  <c r="L41" i="64"/>
  <c r="L43" i="64"/>
  <c r="L39" i="64"/>
  <c r="L47" i="63"/>
  <c r="J130" i="3"/>
  <c r="T89" i="2"/>
  <c r="J91" i="2"/>
  <c r="T91" i="2" s="1"/>
  <c r="L80" i="31"/>
  <c r="J414" i="3"/>
  <c r="L76" i="31"/>
  <c r="L78" i="31"/>
  <c r="T224" i="2"/>
  <c r="J226" i="2"/>
  <c r="T226" i="2" s="1"/>
  <c r="L17" i="56"/>
  <c r="L78" i="57"/>
  <c r="L76" i="57"/>
  <c r="L74" i="57"/>
  <c r="T295" i="2"/>
  <c r="J296" i="2"/>
  <c r="T296" i="2" s="1"/>
  <c r="L9" i="42"/>
  <c r="L9" i="41"/>
  <c r="J497" i="3" s="1"/>
  <c r="L15" i="42"/>
  <c r="L5" i="42"/>
  <c r="J144" i="2"/>
  <c r="T144" i="2" s="1"/>
  <c r="L13" i="41"/>
  <c r="J438" i="2"/>
  <c r="T438" i="2" s="1"/>
  <c r="L23" i="45"/>
  <c r="L13" i="42"/>
  <c r="L15" i="41"/>
  <c r="L5" i="41"/>
  <c r="J137" i="2"/>
  <c r="T137" i="2" s="1"/>
  <c r="J170" i="2"/>
  <c r="T170" i="2" s="1"/>
  <c r="T166" i="2"/>
  <c r="L21" i="46"/>
  <c r="T277" i="2"/>
  <c r="J278" i="2"/>
  <c r="T278" i="2" s="1"/>
  <c r="L72" i="43"/>
  <c r="L11" i="40"/>
  <c r="J75" i="3"/>
  <c r="L5" i="40"/>
  <c r="J136" i="2"/>
  <c r="T136" i="2" s="1"/>
  <c r="L27" i="39"/>
  <c r="J318" i="3" s="1"/>
  <c r="T199" i="2"/>
  <c r="J209" i="2"/>
  <c r="T209" i="2" s="1"/>
  <c r="T365" i="2"/>
  <c r="J371" i="2"/>
  <c r="T371" i="2" s="1"/>
  <c r="L27" i="28"/>
  <c r="J42" i="3" s="1"/>
  <c r="L71" i="38"/>
  <c r="J228" i="3" s="1"/>
  <c r="L33" i="38"/>
  <c r="J221" i="3" s="1"/>
  <c r="T18" i="2"/>
  <c r="J30" i="2"/>
  <c r="T30" i="2" s="1"/>
  <c r="L23" i="38"/>
  <c r="J32" i="2"/>
  <c r="T32" i="2" s="1"/>
  <c r="L22" i="38"/>
  <c r="J31" i="2"/>
  <c r="L63" i="38"/>
  <c r="J275" i="3" s="1"/>
  <c r="L15" i="36"/>
  <c r="J469" i="3"/>
  <c r="L17" i="36"/>
  <c r="L5" i="36"/>
  <c r="J134" i="2"/>
  <c r="T134" i="2" s="1"/>
  <c r="L29" i="37"/>
  <c r="J155" i="3" s="1"/>
  <c r="L33" i="37"/>
  <c r="J153" i="3" s="1"/>
  <c r="T255" i="2"/>
  <c r="J260" i="2"/>
  <c r="T260" i="2" s="1"/>
  <c r="L14" i="37"/>
  <c r="J261" i="2"/>
  <c r="L5" i="35"/>
  <c r="L15" i="35"/>
  <c r="J383" i="3"/>
  <c r="L25" i="34"/>
  <c r="J487" i="3" s="1"/>
  <c r="L8" i="34"/>
  <c r="J163" i="2"/>
  <c r="T163" i="2" s="1"/>
  <c r="J164" i="2"/>
  <c r="T164" i="2" s="1"/>
  <c r="T162" i="2"/>
  <c r="L37" i="33"/>
  <c r="J190" i="3" s="1"/>
  <c r="L28" i="33"/>
  <c r="J370" i="3" s="1"/>
  <c r="T354" i="2"/>
  <c r="J360" i="2"/>
  <c r="T360" i="2" s="1"/>
  <c r="L17" i="33"/>
  <c r="J362" i="2"/>
  <c r="T362" i="2" s="1"/>
  <c r="L16" i="33"/>
  <c r="J361" i="2"/>
  <c r="L59" i="27"/>
  <c r="J416" i="3" s="1"/>
  <c r="T341" i="2"/>
  <c r="J349" i="2"/>
  <c r="T349" i="2" s="1"/>
  <c r="L45" i="27"/>
  <c r="J356" i="3" s="1"/>
  <c r="L18" i="27"/>
  <c r="J350" i="2"/>
  <c r="L47" i="26"/>
  <c r="J299" i="3" s="1"/>
  <c r="T69" i="2"/>
  <c r="J77" i="2"/>
  <c r="T77" i="2" s="1"/>
  <c r="L17" i="26"/>
  <c r="J78" i="2"/>
  <c r="T192" i="2"/>
  <c r="J197" i="2"/>
  <c r="T197" i="2" s="1"/>
  <c r="L17" i="24"/>
  <c r="L5" i="24"/>
  <c r="J132" i="2"/>
  <c r="T132" i="2" s="1"/>
  <c r="L13" i="24"/>
  <c r="J105" i="3"/>
  <c r="L5" i="23"/>
  <c r="L8" i="23" s="1"/>
  <c r="J337" i="2"/>
  <c r="J120" i="2"/>
  <c r="T120" i="2" s="1"/>
  <c r="T118" i="2"/>
  <c r="L36" i="71"/>
  <c r="L15" i="63"/>
  <c r="L43" i="63"/>
  <c r="L45" i="63"/>
  <c r="L6" i="31"/>
  <c r="L25" i="31" s="1"/>
  <c r="L22" i="31"/>
  <c r="L19" i="56"/>
  <c r="L5" i="57"/>
  <c r="L22" i="57" s="1"/>
  <c r="L60" i="49"/>
  <c r="L58" i="49"/>
  <c r="L62" i="49"/>
  <c r="L70" i="43"/>
  <c r="L5" i="43"/>
  <c r="L21" i="43" s="1"/>
  <c r="L74" i="43"/>
  <c r="L19" i="41"/>
  <c r="L17" i="42"/>
  <c r="L19" i="42"/>
  <c r="L13" i="40"/>
  <c r="L15" i="40"/>
  <c r="L81" i="39"/>
  <c r="J171" i="3" s="1"/>
  <c r="L45" i="39"/>
  <c r="J452" i="3" s="1"/>
  <c r="L3" i="39"/>
  <c r="L17" i="39" s="1"/>
  <c r="L35" i="39"/>
  <c r="J286" i="3" s="1"/>
  <c r="L18" i="28"/>
  <c r="J341" i="3" s="1"/>
  <c r="L3" i="28"/>
  <c r="L12" i="28" s="1"/>
  <c r="L31" i="28"/>
  <c r="L59" i="38"/>
  <c r="J122" i="3" s="1"/>
  <c r="L80" i="38"/>
  <c r="J397" i="3" s="1"/>
  <c r="L55" i="38"/>
  <c r="J323" i="3" s="1"/>
  <c r="L47" i="38"/>
  <c r="J422" i="3" s="1"/>
  <c r="L51" i="38"/>
  <c r="J322" i="3" s="1"/>
  <c r="L67" i="38"/>
  <c r="L3" i="38"/>
  <c r="L21" i="38" s="1"/>
  <c r="L24" i="38"/>
  <c r="L13" i="36"/>
  <c r="L39" i="37"/>
  <c r="J385" i="3" s="1"/>
  <c r="L23" i="37"/>
  <c r="J472" i="3" s="1"/>
  <c r="L3" i="37"/>
  <c r="L13" i="37" s="1"/>
  <c r="L13" i="35"/>
  <c r="L27" i="34"/>
  <c r="L29" i="34"/>
  <c r="L5" i="34"/>
  <c r="L9" i="34" s="1"/>
  <c r="L7" i="34"/>
  <c r="L31" i="34"/>
  <c r="L44" i="33"/>
  <c r="J315" i="3" s="1"/>
  <c r="L3" i="33"/>
  <c r="L15" i="33" s="1"/>
  <c r="L24" i="33"/>
  <c r="J285" i="3" s="1"/>
  <c r="L33" i="33"/>
  <c r="J479" i="3" s="1"/>
  <c r="L49" i="27"/>
  <c r="J64" i="3" s="1"/>
  <c r="L31" i="27"/>
  <c r="J50" i="3" s="1"/>
  <c r="L3" i="27"/>
  <c r="L17" i="27" s="1"/>
  <c r="L27" i="27"/>
  <c r="L19" i="27"/>
  <c r="L20" i="27"/>
  <c r="L24" i="26"/>
  <c r="L30" i="26"/>
  <c r="J482" i="3" s="1"/>
  <c r="L3" i="26"/>
  <c r="L5" i="26" s="1"/>
  <c r="L18" i="26" s="1"/>
  <c r="L43" i="26"/>
  <c r="J426" i="3" s="1"/>
  <c r="L22" i="25"/>
  <c r="J514" i="3" s="1"/>
  <c r="L3" i="25"/>
  <c r="L12" i="25" s="1"/>
  <c r="L27" i="25"/>
  <c r="L20" i="23"/>
  <c r="L26" i="23" s="1"/>
  <c r="L3" i="20"/>
  <c r="J158" i="2" s="1"/>
  <c r="T158" i="2" s="1"/>
  <c r="L5" i="20"/>
  <c r="L7" i="21" s="1"/>
  <c r="L9" i="21" s="1"/>
  <c r="L217" i="19"/>
  <c r="L25" i="19" s="1"/>
  <c r="J254" i="3" s="1"/>
  <c r="L218" i="19"/>
  <c r="L33" i="19" s="1"/>
  <c r="L181" i="19"/>
  <c r="L183" i="19"/>
  <c r="L13" i="19" s="1"/>
  <c r="J202" i="3" s="1"/>
  <c r="L184" i="19"/>
  <c r="L20" i="19" s="1"/>
  <c r="L185" i="19"/>
  <c r="L23" i="19" s="1"/>
  <c r="J371" i="3" s="1"/>
  <c r="L186" i="19"/>
  <c r="L30" i="19" s="1"/>
  <c r="L187" i="19"/>
  <c r="L34" i="19" s="1"/>
  <c r="L194" i="19"/>
  <c r="L176" i="19"/>
  <c r="L170" i="19"/>
  <c r="L151" i="19"/>
  <c r="L139" i="19"/>
  <c r="L134" i="19"/>
  <c r="L128" i="19"/>
  <c r="L125" i="19"/>
  <c r="L107" i="19"/>
  <c r="L17" i="19"/>
  <c r="J110" i="3" s="1"/>
  <c r="L109" i="19"/>
  <c r="L19" i="19" s="1"/>
  <c r="L110" i="19"/>
  <c r="L111" i="19"/>
  <c r="L118" i="19"/>
  <c r="L4" i="19" s="1"/>
  <c r="L77" i="19"/>
  <c r="L56" i="19"/>
  <c r="L5" i="19"/>
  <c r="J187" i="2" s="1"/>
  <c r="T187" i="2" s="1"/>
  <c r="L15" i="19"/>
  <c r="J141" i="3" s="1"/>
  <c r="L27" i="19"/>
  <c r="J178" i="3" s="1"/>
  <c r="L29" i="19"/>
  <c r="L49" i="19"/>
  <c r="L3" i="19" s="1"/>
  <c r="J185" i="2" s="1"/>
  <c r="T447" i="2" l="1"/>
  <c r="L17" i="41"/>
  <c r="L21" i="19"/>
  <c r="J302" i="3" s="1"/>
  <c r="L9" i="19"/>
  <c r="J186" i="2"/>
  <c r="T186" i="2" s="1"/>
  <c r="L87" i="39"/>
  <c r="L85" i="39"/>
  <c r="L35" i="28"/>
  <c r="J88" i="3"/>
  <c r="L37" i="28"/>
  <c r="L86" i="38"/>
  <c r="L84" i="38"/>
  <c r="L82" i="38"/>
  <c r="J55" i="3"/>
  <c r="T31" i="2"/>
  <c r="J33" i="2"/>
  <c r="T33" i="2" s="1"/>
  <c r="L47" i="37"/>
  <c r="L5" i="37"/>
  <c r="L15" i="37" s="1"/>
  <c r="L45" i="37"/>
  <c r="T261" i="2"/>
  <c r="J262" i="2"/>
  <c r="T262" i="2" s="1"/>
  <c r="L43" i="37"/>
  <c r="L6" i="33"/>
  <c r="L18" i="33" s="1"/>
  <c r="L50" i="33"/>
  <c r="T361" i="2"/>
  <c r="J363" i="2"/>
  <c r="T363" i="2" s="1"/>
  <c r="L61" i="27"/>
  <c r="J218" i="3"/>
  <c r="T350" i="2"/>
  <c r="J352" i="2"/>
  <c r="T352" i="2" s="1"/>
  <c r="L51" i="26"/>
  <c r="J245" i="3"/>
  <c r="T78" i="2"/>
  <c r="J79" i="2"/>
  <c r="T79" i="2" s="1"/>
  <c r="L33" i="25"/>
  <c r="J451" i="3"/>
  <c r="L7" i="23"/>
  <c r="J339" i="2"/>
  <c r="T339" i="2" s="1"/>
  <c r="T337" i="2"/>
  <c r="L24" i="23"/>
  <c r="J444" i="3"/>
  <c r="L28" i="23"/>
  <c r="J516" i="3"/>
  <c r="L15" i="21"/>
  <c r="L17" i="21"/>
  <c r="L10" i="19"/>
  <c r="L31" i="19"/>
  <c r="J405" i="3" s="1"/>
  <c r="T185" i="2"/>
  <c r="L7" i="20"/>
  <c r="L83" i="39"/>
  <c r="L16" i="39"/>
  <c r="L33" i="28"/>
  <c r="L6" i="38"/>
  <c r="L25" i="38" s="1"/>
  <c r="L52" i="33"/>
  <c r="L48" i="33"/>
  <c r="L6" i="27"/>
  <c r="L21" i="27" s="1"/>
  <c r="L65" i="27"/>
  <c r="L63" i="27"/>
  <c r="L53" i="26"/>
  <c r="L55" i="26"/>
  <c r="L16" i="26"/>
  <c r="L35" i="25"/>
  <c r="L37" i="25"/>
  <c r="L35" i="19"/>
  <c r="J353" i="3" s="1"/>
  <c r="L8" i="19"/>
  <c r="L6" i="19"/>
  <c r="L11" i="19" s="1"/>
  <c r="D226" i="13"/>
  <c r="E226" i="13"/>
  <c r="F226" i="13"/>
  <c r="G226" i="13"/>
  <c r="H226" i="13"/>
  <c r="I226" i="13"/>
  <c r="J226" i="13"/>
  <c r="L226" i="13"/>
  <c r="K226" i="13"/>
  <c r="D256" i="13"/>
  <c r="E256" i="13"/>
  <c r="F256" i="13"/>
  <c r="G256" i="13"/>
  <c r="H256" i="13"/>
  <c r="I256" i="13"/>
  <c r="J256" i="13"/>
  <c r="D257" i="13"/>
  <c r="E257" i="13"/>
  <c r="F257" i="13"/>
  <c r="G257" i="13"/>
  <c r="H257" i="13"/>
  <c r="I257" i="13"/>
  <c r="J257" i="13"/>
  <c r="K256" i="13"/>
  <c r="K257" i="13"/>
  <c r="L245" i="13"/>
  <c r="K245" i="13"/>
  <c r="J245" i="13"/>
  <c r="I245" i="13"/>
  <c r="H245" i="13"/>
  <c r="G245" i="13"/>
  <c r="F245" i="13"/>
  <c r="E245" i="13"/>
  <c r="D245" i="13"/>
  <c r="E176" i="13"/>
  <c r="F176" i="13"/>
  <c r="G176" i="13"/>
  <c r="H176" i="13"/>
  <c r="I176" i="13"/>
  <c r="J176" i="13"/>
  <c r="K176" i="13"/>
  <c r="L176" i="13"/>
  <c r="L10" i="13" s="1"/>
  <c r="J12" i="2" s="1"/>
  <c r="T12" i="2" s="1"/>
  <c r="D176" i="13"/>
  <c r="L218" i="13"/>
  <c r="L19" i="13" s="1"/>
  <c r="J33" i="3" s="1"/>
  <c r="L219" i="13"/>
  <c r="D218" i="13"/>
  <c r="E218" i="13"/>
  <c r="F218" i="13"/>
  <c r="G218" i="13"/>
  <c r="H218" i="13"/>
  <c r="I218" i="13"/>
  <c r="J218" i="13"/>
  <c r="D219" i="13"/>
  <c r="E219" i="13"/>
  <c r="F219" i="13"/>
  <c r="G219" i="13"/>
  <c r="H219" i="13"/>
  <c r="I219" i="13"/>
  <c r="J219" i="13"/>
  <c r="K219" i="13"/>
  <c r="K218" i="13"/>
  <c r="L214" i="13"/>
  <c r="K214" i="13"/>
  <c r="J214" i="13"/>
  <c r="I214" i="13"/>
  <c r="H214" i="13"/>
  <c r="G214" i="13"/>
  <c r="F214" i="13"/>
  <c r="E214" i="13"/>
  <c r="D214" i="13"/>
  <c r="L205" i="13"/>
  <c r="K205" i="13"/>
  <c r="J205" i="13"/>
  <c r="I205" i="13"/>
  <c r="H205" i="13"/>
  <c r="G205" i="13"/>
  <c r="F205" i="13"/>
  <c r="E205" i="13"/>
  <c r="D205" i="13"/>
  <c r="L202" i="13"/>
  <c r="L196" i="13"/>
  <c r="K196" i="13"/>
  <c r="J196" i="13"/>
  <c r="I196" i="13"/>
  <c r="H196" i="13"/>
  <c r="G196" i="13"/>
  <c r="F196" i="13"/>
  <c r="E196" i="13"/>
  <c r="D196" i="13"/>
  <c r="L190" i="13"/>
  <c r="K190" i="13"/>
  <c r="J190" i="13"/>
  <c r="I190" i="13"/>
  <c r="H190" i="13"/>
  <c r="G190" i="13"/>
  <c r="F190" i="13"/>
  <c r="E190" i="13"/>
  <c r="D190" i="13"/>
  <c r="L187" i="13"/>
  <c r="K187" i="13"/>
  <c r="J187" i="13"/>
  <c r="I187" i="13"/>
  <c r="H187" i="13"/>
  <c r="G187" i="13"/>
  <c r="F187" i="13"/>
  <c r="E187" i="13"/>
  <c r="D187" i="13"/>
  <c r="L179" i="13"/>
  <c r="K179" i="13"/>
  <c r="J179" i="13"/>
  <c r="I179" i="13"/>
  <c r="H179" i="13"/>
  <c r="G179" i="13"/>
  <c r="F179" i="13"/>
  <c r="E179" i="13"/>
  <c r="D179" i="13"/>
  <c r="L169" i="13"/>
  <c r="L22" i="13" s="1"/>
  <c r="L135" i="13"/>
  <c r="L21" i="13" s="1"/>
  <c r="L136" i="13"/>
  <c r="L35" i="13" s="1"/>
  <c r="L143" i="13"/>
  <c r="L9" i="13" s="1"/>
  <c r="J11" i="2" s="1"/>
  <c r="T11" i="2" s="1"/>
  <c r="L106" i="13"/>
  <c r="L17" i="13" s="1"/>
  <c r="J193" i="3" s="1"/>
  <c r="L107" i="13"/>
  <c r="L31" i="13" s="1"/>
  <c r="L114" i="13"/>
  <c r="L8" i="13" s="1"/>
  <c r="J10" i="2" s="1"/>
  <c r="L82" i="13"/>
  <c r="L26" i="13" s="1"/>
  <c r="L83" i="13"/>
  <c r="L29" i="13" s="1"/>
  <c r="J346" i="3" s="1"/>
  <c r="L90" i="13"/>
  <c r="L7" i="13" s="1"/>
  <c r="J9" i="2" s="1"/>
  <c r="T9" i="2" s="1"/>
  <c r="L67" i="13"/>
  <c r="L64" i="13"/>
  <c r="L59" i="13"/>
  <c r="L55" i="13"/>
  <c r="L11" i="13"/>
  <c r="J13" i="2" s="1"/>
  <c r="T13" i="2" s="1"/>
  <c r="L25" i="13"/>
  <c r="L32" i="13"/>
  <c r="L36" i="13"/>
  <c r="L50" i="13"/>
  <c r="L4" i="13" s="1"/>
  <c r="L174" i="18"/>
  <c r="L175" i="18"/>
  <c r="L17" i="18" s="1"/>
  <c r="L176" i="18"/>
  <c r="L21" i="18" s="1"/>
  <c r="L177" i="18"/>
  <c r="L26" i="18" s="1"/>
  <c r="J160" i="3" s="1"/>
  <c r="L137" i="18"/>
  <c r="L144" i="18"/>
  <c r="L8" i="18" s="1"/>
  <c r="J250" i="2" s="1"/>
  <c r="T250" i="2" s="1"/>
  <c r="L115" i="18"/>
  <c r="L24" i="18" s="1"/>
  <c r="J312" i="3" s="1"/>
  <c r="L123" i="18"/>
  <c r="L7" i="18" s="1"/>
  <c r="J249" i="2" s="1"/>
  <c r="T249" i="2" s="1"/>
  <c r="L80" i="18"/>
  <c r="L81" i="18"/>
  <c r="L88" i="18"/>
  <c r="L6" i="18" s="1"/>
  <c r="J248" i="2" s="1"/>
  <c r="T248" i="2" s="1"/>
  <c r="L74" i="18"/>
  <c r="L65" i="18"/>
  <c r="L59" i="18"/>
  <c r="L48" i="18"/>
  <c r="L12" i="18"/>
  <c r="L13" i="18"/>
  <c r="L16" i="18"/>
  <c r="L20" i="18"/>
  <c r="L37" i="18"/>
  <c r="L5" i="18" s="1"/>
  <c r="J247" i="2" s="1"/>
  <c r="L3" i="15"/>
  <c r="L7" i="15"/>
  <c r="J412" i="3" s="1"/>
  <c r="L9" i="15"/>
  <c r="J470" i="3" s="1"/>
  <c r="L11" i="15"/>
  <c r="J403" i="3" s="1"/>
  <c r="L17" i="15"/>
  <c r="L18" i="15"/>
  <c r="L3" i="16"/>
  <c r="J147" i="2" s="1"/>
  <c r="T147" i="2" s="1"/>
  <c r="L7" i="16"/>
  <c r="J197" i="3" s="1"/>
  <c r="L9" i="16"/>
  <c r="L15" i="15" s="1"/>
  <c r="L12" i="16"/>
  <c r="L19" i="16"/>
  <c r="L61" i="17"/>
  <c r="L50" i="17"/>
  <c r="L38" i="17"/>
  <c r="L31" i="17"/>
  <c r="L26" i="17"/>
  <c r="L3" i="17"/>
  <c r="J332" i="2" s="1"/>
  <c r="T332" i="2" s="1"/>
  <c r="L7" i="17"/>
  <c r="L9" i="17"/>
  <c r="J273" i="3" s="1"/>
  <c r="L11" i="17"/>
  <c r="J67" i="3" s="1"/>
  <c r="L13" i="17"/>
  <c r="J24" i="3" s="1"/>
  <c r="L3" i="12"/>
  <c r="L6" i="12"/>
  <c r="L8" i="12"/>
  <c r="L10" i="12"/>
  <c r="J61" i="3" s="1"/>
  <c r="L12" i="12"/>
  <c r="L13" i="12"/>
  <c r="L3" i="14"/>
  <c r="L7" i="14"/>
  <c r="L8" i="14"/>
  <c r="L11" i="14"/>
  <c r="J20" i="3" s="1"/>
  <c r="L15" i="14"/>
  <c r="L17" i="11"/>
  <c r="L9" i="11"/>
  <c r="L3" i="11"/>
  <c r="L7" i="11"/>
  <c r="L10" i="11"/>
  <c r="L13" i="11"/>
  <c r="J226" i="3" s="1"/>
  <c r="L239" i="9"/>
  <c r="L240" i="9"/>
  <c r="L241" i="9"/>
  <c r="L30" i="9" s="1"/>
  <c r="L242" i="9"/>
  <c r="L45" i="9" s="1"/>
  <c r="L204" i="9"/>
  <c r="L205" i="9"/>
  <c r="L41" i="9" s="1"/>
  <c r="L212" i="9"/>
  <c r="L8" i="9" s="1"/>
  <c r="L170" i="9"/>
  <c r="L27" i="9" s="1"/>
  <c r="J48" i="3" s="1"/>
  <c r="L171" i="9"/>
  <c r="L34" i="9" s="1"/>
  <c r="L172" i="9"/>
  <c r="L44" i="9" s="1"/>
  <c r="L179" i="9"/>
  <c r="L7" i="9" s="1"/>
  <c r="L130" i="9"/>
  <c r="L37" i="9" s="1"/>
  <c r="J71" i="3" s="1"/>
  <c r="L131" i="9"/>
  <c r="L40" i="9" s="1"/>
  <c r="L138" i="9"/>
  <c r="L6" i="9" s="1"/>
  <c r="L105" i="9"/>
  <c r="L29" i="9" s="1"/>
  <c r="L106" i="9"/>
  <c r="L33" i="9" s="1"/>
  <c r="L113" i="9"/>
  <c r="L5" i="9" s="1"/>
  <c r="L79" i="9"/>
  <c r="L80" i="9"/>
  <c r="L39" i="9" s="1"/>
  <c r="L87" i="9"/>
  <c r="L4" i="9" s="1"/>
  <c r="L19" i="9"/>
  <c r="L20" i="9"/>
  <c r="L23" i="9"/>
  <c r="L24" i="9"/>
  <c r="L59" i="9"/>
  <c r="L3" i="9" s="1"/>
  <c r="J239" i="2" s="1"/>
  <c r="L162" i="7"/>
  <c r="L15" i="7" s="1"/>
  <c r="J437" i="3" s="1"/>
  <c r="L163" i="7"/>
  <c r="L17" i="7" s="1"/>
  <c r="L131" i="7"/>
  <c r="L132" i="7"/>
  <c r="L22" i="7" s="1"/>
  <c r="L133" i="7"/>
  <c r="L26" i="7" s="1"/>
  <c r="L134" i="7"/>
  <c r="L29" i="7" s="1"/>
  <c r="J95" i="3" s="1"/>
  <c r="L141" i="7"/>
  <c r="L5" i="7" s="1"/>
  <c r="L120" i="7"/>
  <c r="L103" i="7"/>
  <c r="L96" i="7"/>
  <c r="L83" i="7"/>
  <c r="L13" i="7" s="1"/>
  <c r="J348" i="3" s="1"/>
  <c r="L84" i="7"/>
  <c r="L21" i="7" s="1"/>
  <c r="L85" i="7"/>
  <c r="L25" i="7" s="1"/>
  <c r="L92" i="7"/>
  <c r="L4" i="7" s="1"/>
  <c r="L69" i="7"/>
  <c r="L61" i="7"/>
  <c r="L58" i="7"/>
  <c r="L55" i="7"/>
  <c r="L50" i="7"/>
  <c r="L18" i="7"/>
  <c r="L43" i="7"/>
  <c r="L3" i="7" s="1"/>
  <c r="J4" i="2" s="1"/>
  <c r="L3" i="6"/>
  <c r="L7" i="6"/>
  <c r="L9" i="6"/>
  <c r="J355" i="3" s="1"/>
  <c r="L3" i="5"/>
  <c r="J127" i="2" s="1"/>
  <c r="T127" i="2" s="1"/>
  <c r="L5" i="5"/>
  <c r="L7" i="5"/>
  <c r="J118" i="3" s="1"/>
  <c r="L9" i="5"/>
  <c r="L11" i="5"/>
  <c r="J116" i="3" s="1"/>
  <c r="L3" i="4"/>
  <c r="L7" i="4"/>
  <c r="J174" i="3" s="1"/>
  <c r="L9" i="4"/>
  <c r="L17" i="4"/>
  <c r="L3" i="8"/>
  <c r="L7" i="8"/>
  <c r="J60" i="3" s="1"/>
  <c r="L9" i="8"/>
  <c r="J238" i="3" s="1"/>
  <c r="L11" i="8"/>
  <c r="L12" i="8"/>
  <c r="L10" i="4" s="1"/>
  <c r="L15" i="8"/>
  <c r="J544" i="3"/>
  <c r="M18" i="3" s="1"/>
  <c r="J181" i="2"/>
  <c r="T181" i="2" s="1"/>
  <c r="J430" i="2"/>
  <c r="T430" i="2" s="1"/>
  <c r="J464" i="2"/>
  <c r="T464" i="2" s="1"/>
  <c r="J561" i="3" l="1"/>
  <c r="J557" i="3"/>
  <c r="M525" i="3"/>
  <c r="M384" i="3"/>
  <c r="M135" i="3"/>
  <c r="M420" i="3"/>
  <c r="M174" i="3"/>
  <c r="M396" i="3"/>
  <c r="M376" i="3"/>
  <c r="M144" i="3"/>
  <c r="M250" i="3"/>
  <c r="N30" i="3"/>
  <c r="N47" i="3"/>
  <c r="N74" i="3"/>
  <c r="N501" i="3"/>
  <c r="N159" i="3"/>
  <c r="N460" i="3"/>
  <c r="N390" i="3"/>
  <c r="N324" i="3"/>
  <c r="N362" i="3"/>
  <c r="N496" i="3"/>
  <c r="N411" i="3"/>
  <c r="N148" i="3"/>
  <c r="M408" i="3"/>
  <c r="M241" i="3"/>
  <c r="M62" i="3"/>
  <c r="M285" i="3"/>
  <c r="M418" i="3"/>
  <c r="M196" i="3"/>
  <c r="N37" i="3"/>
  <c r="N35" i="3"/>
  <c r="N472" i="3"/>
  <c r="N165" i="3"/>
  <c r="M263" i="3"/>
  <c r="M478" i="3"/>
  <c r="M428" i="3"/>
  <c r="M12" i="3"/>
  <c r="M38" i="3"/>
  <c r="M217" i="3"/>
  <c r="M474" i="3"/>
  <c r="M378" i="3"/>
  <c r="M115" i="3"/>
  <c r="M258" i="3"/>
  <c r="M497" i="3"/>
  <c r="M326" i="3"/>
  <c r="M455" i="3"/>
  <c r="N118" i="3"/>
  <c r="N370" i="3"/>
  <c r="N229" i="3"/>
  <c r="N259" i="3"/>
  <c r="N49" i="3"/>
  <c r="N514" i="3"/>
  <c r="N198" i="3"/>
  <c r="N436" i="3"/>
  <c r="N110" i="3"/>
  <c r="N17" i="3"/>
  <c r="N438" i="3"/>
  <c r="N191" i="3"/>
  <c r="N389" i="3"/>
  <c r="N482" i="3"/>
  <c r="N94" i="3"/>
  <c r="N270" i="3"/>
  <c r="N205" i="3"/>
  <c r="N520" i="3"/>
  <c r="N383" i="3"/>
  <c r="N507" i="3"/>
  <c r="N50" i="3"/>
  <c r="N235" i="3"/>
  <c r="N195" i="3"/>
  <c r="N155" i="3"/>
  <c r="M469" i="3"/>
  <c r="M119" i="3"/>
  <c r="M473" i="3"/>
  <c r="M93" i="3"/>
  <c r="M99" i="3"/>
  <c r="M128" i="3"/>
  <c r="M76" i="3"/>
  <c r="K544" i="3"/>
  <c r="M168" i="3"/>
  <c r="M65" i="3"/>
  <c r="M143" i="3"/>
  <c r="M160" i="3"/>
  <c r="M244" i="3"/>
  <c r="M252" i="3"/>
  <c r="M505" i="3"/>
  <c r="M211" i="3"/>
  <c r="M397" i="3"/>
  <c r="M532" i="3"/>
  <c r="M467" i="3"/>
  <c r="M84" i="3"/>
  <c r="M486" i="3"/>
  <c r="M154" i="3"/>
  <c r="M7" i="3"/>
  <c r="M448" i="3"/>
  <c r="M210" i="3"/>
  <c r="M57" i="3"/>
  <c r="M52" i="3"/>
  <c r="M46" i="3"/>
  <c r="M237" i="3"/>
  <c r="M342" i="3"/>
  <c r="M23" i="3"/>
  <c r="M430" i="3"/>
  <c r="M435" i="3"/>
  <c r="M381" i="3"/>
  <c r="M406" i="3"/>
  <c r="M58" i="3"/>
  <c r="M281" i="3"/>
  <c r="M416" i="3"/>
  <c r="M203" i="3"/>
  <c r="M133" i="3"/>
  <c r="M129" i="3"/>
  <c r="M124" i="3"/>
  <c r="M42" i="3"/>
  <c r="M25" i="3"/>
  <c r="N236" i="3"/>
  <c r="N87" i="3"/>
  <c r="N111" i="3"/>
  <c r="N336" i="3"/>
  <c r="N320" i="3"/>
  <c r="N404" i="3"/>
  <c r="N332" i="3"/>
  <c r="N189" i="3"/>
  <c r="N494" i="3"/>
  <c r="N304" i="3"/>
  <c r="N343" i="3"/>
  <c r="M120" i="3"/>
  <c r="M138" i="3"/>
  <c r="M279" i="3"/>
  <c r="M433" i="3"/>
  <c r="M380" i="3"/>
  <c r="M139" i="3"/>
  <c r="M80" i="3"/>
  <c r="M329" i="3"/>
  <c r="M175" i="3"/>
  <c r="M493" i="3"/>
  <c r="M11" i="3"/>
  <c r="M108" i="3"/>
  <c r="M339" i="3"/>
  <c r="M107" i="3"/>
  <c r="M40" i="3"/>
  <c r="M8" i="3"/>
  <c r="M63" i="3"/>
  <c r="M271" i="3"/>
  <c r="M394" i="3"/>
  <c r="M306" i="3"/>
  <c r="M112" i="3"/>
  <c r="M170" i="3"/>
  <c r="M487" i="3"/>
  <c r="M265" i="3"/>
  <c r="M166" i="3"/>
  <c r="M215" i="3"/>
  <c r="M264" i="3"/>
  <c r="M503" i="3"/>
  <c r="M293" i="3"/>
  <c r="N275" i="3"/>
  <c r="N127" i="3"/>
  <c r="N78" i="3"/>
  <c r="N209" i="3"/>
  <c r="N171" i="3"/>
  <c r="N268" i="3"/>
  <c r="N140" i="3"/>
  <c r="N523" i="3"/>
  <c r="N527" i="3"/>
  <c r="N519" i="3"/>
  <c r="N68" i="3"/>
  <c r="N535" i="3"/>
  <c r="N308" i="3"/>
  <c r="N207" i="3"/>
  <c r="N441" i="3"/>
  <c r="N213" i="3"/>
  <c r="N277" i="3"/>
  <c r="N121" i="3"/>
  <c r="N481" i="3"/>
  <c r="N290" i="3"/>
  <c r="N117" i="3"/>
  <c r="N82" i="3"/>
  <c r="N445" i="3"/>
  <c r="N28" i="3"/>
  <c r="N491" i="3"/>
  <c r="N509" i="3"/>
  <c r="N432" i="3"/>
  <c r="N447" i="3"/>
  <c r="N131" i="3"/>
  <c r="N161" i="3"/>
  <c r="N251" i="3"/>
  <c r="N260" i="3"/>
  <c r="N96" i="3"/>
  <c r="N242" i="3"/>
  <c r="N64" i="3"/>
  <c r="N475" i="3"/>
  <c r="N402" i="3"/>
  <c r="N429" i="3"/>
  <c r="M405" i="3"/>
  <c r="M236" i="3"/>
  <c r="M87" i="3"/>
  <c r="M111" i="3"/>
  <c r="M336" i="3"/>
  <c r="M320" i="3"/>
  <c r="M404" i="3"/>
  <c r="M332" i="3"/>
  <c r="M189" i="3"/>
  <c r="M494" i="3"/>
  <c r="M304" i="3"/>
  <c r="M343" i="3"/>
  <c r="N176" i="3"/>
  <c r="N288" i="3"/>
  <c r="N359" i="3"/>
  <c r="N427" i="3"/>
  <c r="N167" i="3"/>
  <c r="N136" i="3"/>
  <c r="N356" i="3"/>
  <c r="N272" i="3"/>
  <c r="N227" i="3"/>
  <c r="N183" i="3"/>
  <c r="N36" i="3"/>
  <c r="N149" i="3"/>
  <c r="N315" i="3"/>
  <c r="N228" i="3"/>
  <c r="N146" i="3"/>
  <c r="N145" i="3"/>
  <c r="N109" i="3"/>
  <c r="N163" i="3"/>
  <c r="N194" i="3"/>
  <c r="N365" i="3"/>
  <c r="N335" i="3"/>
  <c r="N372" i="3"/>
  <c r="N510" i="3"/>
  <c r="N294" i="3"/>
  <c r="N130" i="3"/>
  <c r="N291" i="3"/>
  <c r="N313" i="3"/>
  <c r="N192" i="3"/>
  <c r="N456" i="3"/>
  <c r="M275" i="3"/>
  <c r="M127" i="3"/>
  <c r="M78" i="3"/>
  <c r="M209" i="3"/>
  <c r="M171" i="3"/>
  <c r="M268" i="3"/>
  <c r="M140" i="3"/>
  <c r="M523" i="3"/>
  <c r="M527" i="3"/>
  <c r="M519" i="3"/>
  <c r="M68" i="3"/>
  <c r="M535" i="3"/>
  <c r="M308" i="3"/>
  <c r="M207" i="3"/>
  <c r="M441" i="3"/>
  <c r="M213" i="3"/>
  <c r="M277" i="3"/>
  <c r="M121" i="3"/>
  <c r="M481" i="3"/>
  <c r="M290" i="3"/>
  <c r="M117" i="3"/>
  <c r="M82" i="3"/>
  <c r="M445" i="3"/>
  <c r="M28" i="3"/>
  <c r="M491" i="3"/>
  <c r="M509" i="3"/>
  <c r="M432" i="3"/>
  <c r="M447" i="3"/>
  <c r="M131" i="3"/>
  <c r="M161" i="3"/>
  <c r="M251" i="3"/>
  <c r="M260" i="3"/>
  <c r="M96" i="3"/>
  <c r="M242" i="3"/>
  <c r="M64" i="3"/>
  <c r="M475" i="3"/>
  <c r="M402" i="3"/>
  <c r="M429" i="3"/>
  <c r="N289" i="3"/>
  <c r="N354" i="3"/>
  <c r="N305" i="3"/>
  <c r="N39" i="3"/>
  <c r="N201" i="3"/>
  <c r="N366" i="3"/>
  <c r="N421" i="3"/>
  <c r="N531" i="3"/>
  <c r="N464" i="3"/>
  <c r="N368" i="3"/>
  <c r="N499" i="3"/>
  <c r="N444" i="3"/>
  <c r="M176" i="3"/>
  <c r="M288" i="3"/>
  <c r="M359" i="3"/>
  <c r="M427" i="3"/>
  <c r="M167" i="3"/>
  <c r="M136" i="3"/>
  <c r="M356" i="3"/>
  <c r="M272" i="3"/>
  <c r="M227" i="3"/>
  <c r="M183" i="3"/>
  <c r="M36" i="3"/>
  <c r="M149" i="3"/>
  <c r="M315" i="3"/>
  <c r="M228" i="3"/>
  <c r="M146" i="3"/>
  <c r="M145" i="3"/>
  <c r="M109" i="3"/>
  <c r="M163" i="3"/>
  <c r="M194" i="3"/>
  <c r="M365" i="3"/>
  <c r="M335" i="3"/>
  <c r="M372" i="3"/>
  <c r="M510" i="3"/>
  <c r="M294" i="3"/>
  <c r="M130" i="3"/>
  <c r="M291" i="3"/>
  <c r="M313" i="3"/>
  <c r="M192" i="3"/>
  <c r="M456" i="3"/>
  <c r="N90" i="3"/>
  <c r="N123" i="3"/>
  <c r="N147" i="3"/>
  <c r="N168" i="3"/>
  <c r="N65" i="3"/>
  <c r="N143" i="3"/>
  <c r="N160" i="3"/>
  <c r="N244" i="3"/>
  <c r="N252" i="3"/>
  <c r="N505" i="3"/>
  <c r="N211" i="3"/>
  <c r="N397" i="3"/>
  <c r="N532" i="3"/>
  <c r="N467" i="3"/>
  <c r="N84" i="3"/>
  <c r="N486" i="3"/>
  <c r="N154" i="3"/>
  <c r="N7" i="3"/>
  <c r="N448" i="3"/>
  <c r="N210" i="3"/>
  <c r="N57" i="3"/>
  <c r="N52" i="3"/>
  <c r="N46" i="3"/>
  <c r="N237" i="3"/>
  <c r="N342" i="3"/>
  <c r="N23" i="3"/>
  <c r="N430" i="3"/>
  <c r="N435" i="3"/>
  <c r="N381" i="3"/>
  <c r="N406" i="3"/>
  <c r="N58" i="3"/>
  <c r="N281" i="3"/>
  <c r="N416" i="3"/>
  <c r="N203" i="3"/>
  <c r="N133" i="3"/>
  <c r="N129" i="3"/>
  <c r="N124" i="3"/>
  <c r="N42" i="3"/>
  <c r="N25" i="3"/>
  <c r="M289" i="3"/>
  <c r="M354" i="3"/>
  <c r="M305" i="3"/>
  <c r="M39" i="3"/>
  <c r="M201" i="3"/>
  <c r="M366" i="3"/>
  <c r="M421" i="3"/>
  <c r="M531" i="3"/>
  <c r="M464" i="3"/>
  <c r="M368" i="3"/>
  <c r="M499" i="3"/>
  <c r="N120" i="3"/>
  <c r="N138" i="3"/>
  <c r="N279" i="3"/>
  <c r="N433" i="3"/>
  <c r="N380" i="3"/>
  <c r="N139" i="3"/>
  <c r="N80" i="3"/>
  <c r="N329" i="3"/>
  <c r="N175" i="3"/>
  <c r="N493" i="3"/>
  <c r="N11" i="3"/>
  <c r="N108" i="3"/>
  <c r="N339" i="3"/>
  <c r="N107" i="3"/>
  <c r="N40" i="3"/>
  <c r="N8" i="3"/>
  <c r="N63" i="3"/>
  <c r="N271" i="3"/>
  <c r="N394" i="3"/>
  <c r="N306" i="3"/>
  <c r="N112" i="3"/>
  <c r="N170" i="3"/>
  <c r="N487" i="3"/>
  <c r="N265" i="3"/>
  <c r="N166" i="3"/>
  <c r="N215" i="3"/>
  <c r="N264" i="3"/>
  <c r="N503" i="3"/>
  <c r="N293" i="3"/>
  <c r="N238" i="3"/>
  <c r="M90" i="3"/>
  <c r="M123" i="3"/>
  <c r="N249" i="3"/>
  <c r="N453" i="3"/>
  <c r="N506" i="3"/>
  <c r="N534" i="3"/>
  <c r="N331" i="3"/>
  <c r="N255" i="3"/>
  <c r="N401" i="3"/>
  <c r="M301" i="3"/>
  <c r="M206" i="3"/>
  <c r="M403" i="3"/>
  <c r="M328" i="3"/>
  <c r="M386" i="3"/>
  <c r="M393" i="3"/>
  <c r="M309" i="3"/>
  <c r="M511" i="3"/>
  <c r="M345" i="3"/>
  <c r="M156" i="3"/>
  <c r="M298" i="3"/>
  <c r="M142" i="3"/>
  <c r="M72" i="3"/>
  <c r="M81" i="3"/>
  <c r="M424" i="3"/>
  <c r="M184" i="3"/>
  <c r="M434" i="3"/>
  <c r="M212" i="3"/>
  <c r="M54" i="3"/>
  <c r="M459" i="3"/>
  <c r="M528" i="3"/>
  <c r="M199" i="3"/>
  <c r="M267" i="3"/>
  <c r="M399" i="3"/>
  <c r="M409" i="3"/>
  <c r="M9" i="3"/>
  <c r="M524" i="3"/>
  <c r="M32" i="3"/>
  <c r="M479" i="3"/>
  <c r="M56" i="3"/>
  <c r="M157" i="3"/>
  <c r="M214" i="3"/>
  <c r="M323" i="3"/>
  <c r="M283" i="3"/>
  <c r="M417" i="3"/>
  <c r="M216" i="3"/>
  <c r="M518" i="3"/>
  <c r="M373" i="3"/>
  <c r="M233" i="3"/>
  <c r="M385" i="3"/>
  <c r="M462" i="3"/>
  <c r="M101" i="3"/>
  <c r="M517" i="3"/>
  <c r="M471" i="3"/>
  <c r="M387" i="3"/>
  <c r="M461" i="3"/>
  <c r="M495" i="3"/>
  <c r="M83" i="3"/>
  <c r="M515" i="3"/>
  <c r="M338" i="3"/>
  <c r="M446" i="3"/>
  <c r="M4" i="3"/>
  <c r="M15" i="3"/>
  <c r="M414" i="3"/>
  <c r="M317" i="3"/>
  <c r="M44" i="3"/>
  <c r="M179" i="3"/>
  <c r="M92" i="3"/>
  <c r="M269" i="3"/>
  <c r="M358" i="3"/>
  <c r="M116" i="3"/>
  <c r="M222" i="3"/>
  <c r="M292" i="3"/>
  <c r="M153" i="3"/>
  <c r="M357" i="3"/>
  <c r="M297" i="3"/>
  <c r="M422" i="3"/>
  <c r="M350" i="3"/>
  <c r="M360" i="3"/>
  <c r="M398" i="3"/>
  <c r="M75" i="3"/>
  <c r="M226" i="3"/>
  <c r="M513" i="3"/>
  <c r="M77" i="3"/>
  <c r="M22" i="3"/>
  <c r="M330" i="3"/>
  <c r="M200" i="3"/>
  <c r="M458" i="3"/>
  <c r="M249" i="3"/>
  <c r="M453" i="3"/>
  <c r="M506" i="3"/>
  <c r="M534" i="3"/>
  <c r="M331" i="3"/>
  <c r="M255" i="3"/>
  <c r="M401" i="3"/>
  <c r="N480" i="3"/>
  <c r="N262" i="3"/>
  <c r="N325" i="3"/>
  <c r="N450" i="3"/>
  <c r="N204" i="3"/>
  <c r="N485" i="3"/>
  <c r="N449" i="3"/>
  <c r="N529" i="3"/>
  <c r="N314" i="3"/>
  <c r="N69" i="3"/>
  <c r="N369" i="3"/>
  <c r="N300" i="3"/>
  <c r="N114" i="3"/>
  <c r="N382" i="3"/>
  <c r="N172" i="3"/>
  <c r="N299" i="3"/>
  <c r="N190" i="3"/>
  <c r="N413" i="3"/>
  <c r="N333" i="3"/>
  <c r="N439" i="3"/>
  <c r="N536" i="3"/>
  <c r="N388" i="3"/>
  <c r="N169" i="3"/>
  <c r="N225" i="3"/>
  <c r="N5" i="3"/>
  <c r="N311" i="3"/>
  <c r="N164" i="3"/>
  <c r="N79" i="3"/>
  <c r="N426" i="3"/>
  <c r="N232" i="3"/>
  <c r="N307" i="3"/>
  <c r="N10" i="3"/>
  <c r="N240" i="3"/>
  <c r="N178" i="3"/>
  <c r="N113" i="3"/>
  <c r="N477" i="3"/>
  <c r="N508" i="3"/>
  <c r="N392" i="3"/>
  <c r="N484" i="3"/>
  <c r="N182" i="3"/>
  <c r="N173" i="3"/>
  <c r="N465" i="3"/>
  <c r="N410" i="3"/>
  <c r="N26" i="3"/>
  <c r="N53" i="3"/>
  <c r="N526" i="3"/>
  <c r="N463" i="3"/>
  <c r="N340" i="3"/>
  <c r="N454" i="3"/>
  <c r="N468" i="3"/>
  <c r="N319" i="3"/>
  <c r="N234" i="3"/>
  <c r="N230" i="3"/>
  <c r="N483" i="3"/>
  <c r="N419" i="3"/>
  <c r="N102" i="3"/>
  <c r="N287" i="3"/>
  <c r="N522" i="3"/>
  <c r="N66" i="3"/>
  <c r="N231" i="3"/>
  <c r="N278" i="3"/>
  <c r="N502" i="3"/>
  <c r="N282" i="3"/>
  <c r="N322" i="3"/>
  <c r="N374" i="3"/>
  <c r="N158" i="3"/>
  <c r="N137" i="3"/>
  <c r="N254" i="3"/>
  <c r="N361" i="3"/>
  <c r="N125" i="3"/>
  <c r="N248" i="3"/>
  <c r="N375" i="3"/>
  <c r="N295" i="3"/>
  <c r="N223" i="3"/>
  <c r="N284" i="3"/>
  <c r="N476" i="3"/>
  <c r="N180" i="3"/>
  <c r="N341" i="3"/>
  <c r="N489" i="3"/>
  <c r="N122" i="3"/>
  <c r="N344" i="3"/>
  <c r="N310" i="3"/>
  <c r="N19" i="3"/>
  <c r="N266" i="3"/>
  <c r="N346" i="3"/>
  <c r="M480" i="3"/>
  <c r="M262" i="3"/>
  <c r="M325" i="3"/>
  <c r="M450" i="3"/>
  <c r="M204" i="3"/>
  <c r="M485" i="3"/>
  <c r="M449" i="3"/>
  <c r="M529" i="3"/>
  <c r="M314" i="3"/>
  <c r="M69" i="3"/>
  <c r="M369" i="3"/>
  <c r="M300" i="3"/>
  <c r="M114" i="3"/>
  <c r="M382" i="3"/>
  <c r="M172" i="3"/>
  <c r="M299" i="3"/>
  <c r="M190" i="3"/>
  <c r="M413" i="3"/>
  <c r="M333" i="3"/>
  <c r="M439" i="3"/>
  <c r="M536" i="3"/>
  <c r="M388" i="3"/>
  <c r="M169" i="3"/>
  <c r="M225" i="3"/>
  <c r="M5" i="3"/>
  <c r="M311" i="3"/>
  <c r="M164" i="3"/>
  <c r="M79" i="3"/>
  <c r="M426" i="3"/>
  <c r="M232" i="3"/>
  <c r="M307" i="3"/>
  <c r="M10" i="3"/>
  <c r="M240" i="3"/>
  <c r="M178" i="3"/>
  <c r="M113" i="3"/>
  <c r="M477" i="3"/>
  <c r="M508" i="3"/>
  <c r="M392" i="3"/>
  <c r="M484" i="3"/>
  <c r="M182" i="3"/>
  <c r="M173" i="3"/>
  <c r="M465" i="3"/>
  <c r="M410" i="3"/>
  <c r="M26" i="3"/>
  <c r="M53" i="3"/>
  <c r="M526" i="3"/>
  <c r="M463" i="3"/>
  <c r="M340" i="3"/>
  <c r="M454" i="3"/>
  <c r="M468" i="3"/>
  <c r="M319" i="3"/>
  <c r="M234" i="3"/>
  <c r="M230" i="3"/>
  <c r="M483" i="3"/>
  <c r="M419" i="3"/>
  <c r="M102" i="3"/>
  <c r="M287" i="3"/>
  <c r="M522" i="3"/>
  <c r="M66" i="3"/>
  <c r="M231" i="3"/>
  <c r="M278" i="3"/>
  <c r="M502" i="3"/>
  <c r="M282" i="3"/>
  <c r="M322" i="3"/>
  <c r="M374" i="3"/>
  <c r="M158" i="3"/>
  <c r="M137" i="3"/>
  <c r="M254" i="3"/>
  <c r="M361" i="3"/>
  <c r="M125" i="3"/>
  <c r="M248" i="3"/>
  <c r="M375" i="3"/>
  <c r="M295" i="3"/>
  <c r="M223" i="3"/>
  <c r="M284" i="3"/>
  <c r="M476" i="3"/>
  <c r="M180" i="3"/>
  <c r="M341" i="3"/>
  <c r="M147" i="3"/>
  <c r="M489" i="3"/>
  <c r="M122" i="3"/>
  <c r="M344" i="3"/>
  <c r="M310" i="3"/>
  <c r="M19" i="3"/>
  <c r="M266" i="3"/>
  <c r="N301" i="3"/>
  <c r="N206" i="3"/>
  <c r="N403" i="3"/>
  <c r="N328" i="3"/>
  <c r="N386" i="3"/>
  <c r="N393" i="3"/>
  <c r="N309" i="3"/>
  <c r="N511" i="3"/>
  <c r="N345" i="3"/>
  <c r="N156" i="3"/>
  <c r="N298" i="3"/>
  <c r="N142" i="3"/>
  <c r="N72" i="3"/>
  <c r="N81" i="3"/>
  <c r="N424" i="3"/>
  <c r="N184" i="3"/>
  <c r="N434" i="3"/>
  <c r="N212" i="3"/>
  <c r="N54" i="3"/>
  <c r="N459" i="3"/>
  <c r="N528" i="3"/>
  <c r="N199" i="3"/>
  <c r="N267" i="3"/>
  <c r="N399" i="3"/>
  <c r="N409" i="3"/>
  <c r="N9" i="3"/>
  <c r="N524" i="3"/>
  <c r="N32" i="3"/>
  <c r="N479" i="3"/>
  <c r="N56" i="3"/>
  <c r="N157" i="3"/>
  <c r="N214" i="3"/>
  <c r="N323" i="3"/>
  <c r="N283" i="3"/>
  <c r="N417" i="3"/>
  <c r="N216" i="3"/>
  <c r="N518" i="3"/>
  <c r="N373" i="3"/>
  <c r="N233" i="3"/>
  <c r="N385" i="3"/>
  <c r="N462" i="3"/>
  <c r="N101" i="3"/>
  <c r="N517" i="3"/>
  <c r="N471" i="3"/>
  <c r="N387" i="3"/>
  <c r="N461" i="3"/>
  <c r="N495" i="3"/>
  <c r="N83" i="3"/>
  <c r="N515" i="3"/>
  <c r="N338" i="3"/>
  <c r="N446" i="3"/>
  <c r="N4" i="3"/>
  <c r="N15" i="3"/>
  <c r="N414" i="3"/>
  <c r="N317" i="3"/>
  <c r="N44" i="3"/>
  <c r="N179" i="3"/>
  <c r="N92" i="3"/>
  <c r="N269" i="3"/>
  <c r="N358" i="3"/>
  <c r="N116" i="3"/>
  <c r="N222" i="3"/>
  <c r="N292" i="3"/>
  <c r="N153" i="3"/>
  <c r="N357" i="3"/>
  <c r="N297" i="3"/>
  <c r="N422" i="3"/>
  <c r="N350" i="3"/>
  <c r="N360" i="3"/>
  <c r="N398" i="3"/>
  <c r="N75" i="3"/>
  <c r="N226" i="3"/>
  <c r="N513" i="3"/>
  <c r="N77" i="3"/>
  <c r="N22" i="3"/>
  <c r="N330" i="3"/>
  <c r="N200" i="3"/>
  <c r="N458" i="3"/>
  <c r="N18" i="3"/>
  <c r="J560" i="3"/>
  <c r="J556" i="3"/>
  <c r="N525" i="3"/>
  <c r="N384" i="3"/>
  <c r="N135" i="3"/>
  <c r="N420" i="3"/>
  <c r="N174" i="3"/>
  <c r="N396" i="3"/>
  <c r="N376" i="3"/>
  <c r="N144" i="3"/>
  <c r="N250" i="3"/>
  <c r="M530" i="3"/>
  <c r="M103" i="3"/>
  <c r="M492" i="3"/>
  <c r="M488" i="3"/>
  <c r="M187" i="3"/>
  <c r="M337" i="3"/>
  <c r="M352" i="3"/>
  <c r="M423" i="3"/>
  <c r="M318" i="3"/>
  <c r="M533" i="3"/>
  <c r="M498" i="3"/>
  <c r="N245" i="3"/>
  <c r="N408" i="3"/>
  <c r="N241" i="3"/>
  <c r="N62" i="3"/>
  <c r="N285" i="3"/>
  <c r="N418" i="3"/>
  <c r="N196" i="3"/>
  <c r="M221" i="3"/>
  <c r="M457" i="3"/>
  <c r="M334" i="3"/>
  <c r="M470" i="3"/>
  <c r="N263" i="3"/>
  <c r="N478" i="3"/>
  <c r="N428" i="3"/>
  <c r="N12" i="3"/>
  <c r="N38" i="3"/>
  <c r="N217" i="3"/>
  <c r="N474" i="3"/>
  <c r="N378" i="3"/>
  <c r="N115" i="3"/>
  <c r="N258" i="3"/>
  <c r="N497" i="3"/>
  <c r="N326" i="3"/>
  <c r="N455" i="3"/>
  <c r="M162" i="3"/>
  <c r="M202" i="3"/>
  <c r="M400" i="3"/>
  <c r="M152" i="3"/>
  <c r="M141" i="3"/>
  <c r="M51" i="3"/>
  <c r="M239" i="3"/>
  <c r="M261" i="3"/>
  <c r="M105" i="3"/>
  <c r="M43" i="3"/>
  <c r="M97" i="3"/>
  <c r="M452" i="3"/>
  <c r="M377" i="3"/>
  <c r="M351" i="3"/>
  <c r="M208" i="3"/>
  <c r="M257" i="3"/>
  <c r="M512" i="3"/>
  <c r="M185" i="3"/>
  <c r="M296" i="3"/>
  <c r="M504" i="3"/>
  <c r="M45" i="3"/>
  <c r="M70" i="3"/>
  <c r="M91" i="3"/>
  <c r="M73" i="3"/>
  <c r="N469" i="3"/>
  <c r="N119" i="3"/>
  <c r="N473" i="3"/>
  <c r="N93" i="3"/>
  <c r="N99" i="3"/>
  <c r="N128" i="3"/>
  <c r="N76" i="3"/>
  <c r="J563" i="3"/>
  <c r="J559" i="3"/>
  <c r="N276" i="3"/>
  <c r="M280" i="3"/>
  <c r="M98" i="3"/>
  <c r="M14" i="3"/>
  <c r="M16" i="3"/>
  <c r="M490" i="3"/>
  <c r="M379" i="3"/>
  <c r="M59" i="3"/>
  <c r="M126" i="3"/>
  <c r="M412" i="3"/>
  <c r="N530" i="3"/>
  <c r="N103" i="3"/>
  <c r="N492" i="3"/>
  <c r="N488" i="3"/>
  <c r="N187" i="3"/>
  <c r="N337" i="3"/>
  <c r="N352" i="3"/>
  <c r="N423" i="3"/>
  <c r="N318" i="3"/>
  <c r="N533" i="3"/>
  <c r="N498" i="3"/>
  <c r="M442" i="3"/>
  <c r="M286" i="3"/>
  <c r="M391" i="3"/>
  <c r="M220" i="3"/>
  <c r="M349" i="3"/>
  <c r="M407" i="3"/>
  <c r="M61" i="3"/>
  <c r="N221" i="3"/>
  <c r="N457" i="3"/>
  <c r="N334" i="3"/>
  <c r="M274" i="3"/>
  <c r="M303" i="3"/>
  <c r="M224" i="3"/>
  <c r="M253" i="3"/>
  <c r="M132" i="3"/>
  <c r="M431" i="3"/>
  <c r="M247" i="3"/>
  <c r="M327" i="3"/>
  <c r="M134" i="3"/>
  <c r="M364" i="3"/>
  <c r="M85" i="3"/>
  <c r="M150" i="3"/>
  <c r="M31" i="3"/>
  <c r="M177" i="3"/>
  <c r="N162" i="3"/>
  <c r="N202" i="3"/>
  <c r="N400" i="3"/>
  <c r="N152" i="3"/>
  <c r="N141" i="3"/>
  <c r="N51" i="3"/>
  <c r="N239" i="3"/>
  <c r="N261" i="3"/>
  <c r="N105" i="3"/>
  <c r="N43" i="3"/>
  <c r="N97" i="3"/>
  <c r="N452" i="3"/>
  <c r="N377" i="3"/>
  <c r="N351" i="3"/>
  <c r="N208" i="3"/>
  <c r="N257" i="3"/>
  <c r="N512" i="3"/>
  <c r="N185" i="3"/>
  <c r="N296" i="3"/>
  <c r="N504" i="3"/>
  <c r="N45" i="3"/>
  <c r="N70" i="3"/>
  <c r="N91" i="3"/>
  <c r="N73" i="3"/>
  <c r="M371" i="3"/>
  <c r="M415" i="3"/>
  <c r="M219" i="3"/>
  <c r="M321" i="3"/>
  <c r="M188" i="3"/>
  <c r="M363" i="3"/>
  <c r="M425" i="3"/>
  <c r="J562" i="3"/>
  <c r="J558" i="3"/>
  <c r="M276" i="3"/>
  <c r="N280" i="3"/>
  <c r="N98" i="3"/>
  <c r="N14" i="3"/>
  <c r="N16" i="3"/>
  <c r="N490" i="3"/>
  <c r="N379" i="3"/>
  <c r="N59" i="3"/>
  <c r="N126" i="3"/>
  <c r="M30" i="3"/>
  <c r="M47" i="3"/>
  <c r="M74" i="3"/>
  <c r="M501" i="3"/>
  <c r="M159" i="3"/>
  <c r="M460" i="3"/>
  <c r="M390" i="3"/>
  <c r="M324" i="3"/>
  <c r="M362" i="3"/>
  <c r="M496" i="3"/>
  <c r="M411" i="3"/>
  <c r="M148" i="3"/>
  <c r="N442" i="3"/>
  <c r="N286" i="3"/>
  <c r="N391" i="3"/>
  <c r="N220" i="3"/>
  <c r="N349" i="3"/>
  <c r="N407" i="3"/>
  <c r="M37" i="3"/>
  <c r="M35" i="3"/>
  <c r="M472" i="3"/>
  <c r="M165" i="3"/>
  <c r="N274" i="3"/>
  <c r="N303" i="3"/>
  <c r="N224" i="3"/>
  <c r="N253" i="3"/>
  <c r="N132" i="3"/>
  <c r="N431" i="3"/>
  <c r="N247" i="3"/>
  <c r="N327" i="3"/>
  <c r="N134" i="3"/>
  <c r="N364" i="3"/>
  <c r="N85" i="3"/>
  <c r="N150" i="3"/>
  <c r="N31" i="3"/>
  <c r="N177" i="3"/>
  <c r="M370" i="3"/>
  <c r="M229" i="3"/>
  <c r="M259" i="3"/>
  <c r="M49" i="3"/>
  <c r="M514" i="3"/>
  <c r="M198" i="3"/>
  <c r="M436" i="3"/>
  <c r="M110" i="3"/>
  <c r="M17" i="3"/>
  <c r="M438" i="3"/>
  <c r="M191" i="3"/>
  <c r="M389" i="3"/>
  <c r="M482" i="3"/>
  <c r="M94" i="3"/>
  <c r="M270" i="3"/>
  <c r="M205" i="3"/>
  <c r="M520" i="3"/>
  <c r="M383" i="3"/>
  <c r="M507" i="3"/>
  <c r="M50" i="3"/>
  <c r="M235" i="3"/>
  <c r="M195" i="3"/>
  <c r="M155" i="3"/>
  <c r="M302" i="3"/>
  <c r="N371" i="3"/>
  <c r="N415" i="3"/>
  <c r="N219" i="3"/>
  <c r="N321" i="3"/>
  <c r="N188" i="3"/>
  <c r="N363" i="3"/>
  <c r="N425" i="3"/>
  <c r="M238" i="3"/>
  <c r="N355" i="3"/>
  <c r="N20" i="3"/>
  <c r="N470" i="3"/>
  <c r="N451" i="3"/>
  <c r="M218" i="3"/>
  <c r="N348" i="3"/>
  <c r="M346" i="3"/>
  <c r="M193" i="3"/>
  <c r="N516" i="3"/>
  <c r="N302" i="3"/>
  <c r="N95" i="3"/>
  <c r="M33" i="3"/>
  <c r="M55" i="3"/>
  <c r="N437" i="3"/>
  <c r="N88" i="3"/>
  <c r="N218" i="3"/>
  <c r="M355" i="3"/>
  <c r="M451" i="3"/>
  <c r="N33" i="3"/>
  <c r="M95" i="3"/>
  <c r="L14" i="12"/>
  <c r="L9" i="14"/>
  <c r="J86" i="3" s="1"/>
  <c r="M20" i="3"/>
  <c r="M516" i="3"/>
  <c r="M197" i="3"/>
  <c r="L5" i="16"/>
  <c r="L21" i="16"/>
  <c r="J443" i="3"/>
  <c r="L19" i="15"/>
  <c r="N197" i="3"/>
  <c r="L13" i="15"/>
  <c r="L25" i="15" s="1"/>
  <c r="J189" i="2"/>
  <c r="T189" i="2" s="1"/>
  <c r="N405" i="3"/>
  <c r="L5" i="12"/>
  <c r="J129" i="2"/>
  <c r="T129" i="2" s="1"/>
  <c r="N61" i="3"/>
  <c r="L13" i="14"/>
  <c r="J100" i="3"/>
  <c r="N71" i="3"/>
  <c r="M71" i="3"/>
  <c r="L13" i="9"/>
  <c r="J241" i="2"/>
  <c r="T241" i="2" s="1"/>
  <c r="L5" i="8"/>
  <c r="J140" i="2"/>
  <c r="T140" i="2" s="1"/>
  <c r="L13" i="4"/>
  <c r="L19" i="4" s="1"/>
  <c r="M60" i="3"/>
  <c r="L13" i="8"/>
  <c r="L11" i="4"/>
  <c r="J367" i="3" s="1"/>
  <c r="N60" i="3"/>
  <c r="L17" i="8"/>
  <c r="L15" i="4"/>
  <c r="L5" i="11"/>
  <c r="J135" i="2"/>
  <c r="T135" i="2" s="1"/>
  <c r="L11" i="11"/>
  <c r="L19" i="11"/>
  <c r="J500" i="3"/>
  <c r="M88" i="3"/>
  <c r="N55" i="3"/>
  <c r="J122" i="2"/>
  <c r="T122" i="2" s="1"/>
  <c r="M245" i="3"/>
  <c r="N193" i="3"/>
  <c r="M444" i="3"/>
  <c r="N353" i="3"/>
  <c r="L39" i="19"/>
  <c r="L37" i="19"/>
  <c r="M353" i="3"/>
  <c r="L41" i="19"/>
  <c r="L5" i="14"/>
  <c r="J131" i="2"/>
  <c r="T131" i="2" s="1"/>
  <c r="N86" i="3"/>
  <c r="L17" i="14"/>
  <c r="L16" i="12"/>
  <c r="L22" i="12" s="1"/>
  <c r="T10" i="2"/>
  <c r="J14" i="2"/>
  <c r="T14" i="2" s="1"/>
  <c r="L14" i="13"/>
  <c r="J15" i="2"/>
  <c r="L18" i="18"/>
  <c r="J151" i="3" s="1"/>
  <c r="M151" i="3" s="1"/>
  <c r="L22" i="18"/>
  <c r="J89" i="3" s="1"/>
  <c r="L14" i="18"/>
  <c r="J41" i="3" s="1"/>
  <c r="M41" i="3" s="1"/>
  <c r="N312" i="3"/>
  <c r="M312" i="3"/>
  <c r="T247" i="2"/>
  <c r="J251" i="2"/>
  <c r="M273" i="3"/>
  <c r="N273" i="3"/>
  <c r="L15" i="16"/>
  <c r="N412" i="3"/>
  <c r="L5" i="15"/>
  <c r="J130" i="2"/>
  <c r="T130" i="2" s="1"/>
  <c r="L5" i="17"/>
  <c r="M24" i="3"/>
  <c r="N67" i="3"/>
  <c r="M67" i="3"/>
  <c r="L17" i="17"/>
  <c r="L19" i="17"/>
  <c r="J347" i="3"/>
  <c r="N24" i="3"/>
  <c r="L15" i="11"/>
  <c r="J466" i="3"/>
  <c r="J128" i="2"/>
  <c r="T128" i="2" s="1"/>
  <c r="L25" i="9"/>
  <c r="J181" i="3" s="1"/>
  <c r="M181" i="3" s="1"/>
  <c r="L16" i="9"/>
  <c r="J244" i="2"/>
  <c r="T244" i="2" s="1"/>
  <c r="L15" i="9"/>
  <c r="J243" i="2"/>
  <c r="T243" i="2" s="1"/>
  <c r="N48" i="3"/>
  <c r="M48" i="3"/>
  <c r="L14" i="9"/>
  <c r="J242" i="2"/>
  <c r="T242" i="2" s="1"/>
  <c r="L12" i="9"/>
  <c r="J240" i="2"/>
  <c r="T240" i="2" s="1"/>
  <c r="T239" i="2"/>
  <c r="M437" i="3"/>
  <c r="L10" i="7"/>
  <c r="J6" i="2"/>
  <c r="T6" i="2" s="1"/>
  <c r="L9" i="7"/>
  <c r="J5" i="2"/>
  <c r="T5" i="2" s="1"/>
  <c r="T4" i="2"/>
  <c r="J7" i="2"/>
  <c r="M348" i="3"/>
  <c r="L11" i="6"/>
  <c r="J521" i="3"/>
  <c r="L5" i="6"/>
  <c r="J331" i="2"/>
  <c r="L17" i="5"/>
  <c r="M118" i="3"/>
  <c r="L13" i="5"/>
  <c r="J186" i="3"/>
  <c r="L5" i="4"/>
  <c r="J126" i="2"/>
  <c r="L33" i="13"/>
  <c r="J29" i="3" s="1"/>
  <c r="L37" i="13"/>
  <c r="J21" i="3" s="1"/>
  <c r="L27" i="13"/>
  <c r="J6" i="3" s="1"/>
  <c r="L23" i="13"/>
  <c r="J34" i="3" s="1"/>
  <c r="L3" i="13"/>
  <c r="L13" i="13" s="1"/>
  <c r="L3" i="18"/>
  <c r="L10" i="18" s="1"/>
  <c r="L28" i="18"/>
  <c r="L30" i="18"/>
  <c r="L21" i="15"/>
  <c r="L17" i="16"/>
  <c r="L11" i="16"/>
  <c r="L13" i="16" s="1"/>
  <c r="L15" i="17"/>
  <c r="L18" i="12"/>
  <c r="L19" i="14"/>
  <c r="L21" i="14"/>
  <c r="J395" i="3"/>
  <c r="L31" i="9"/>
  <c r="J256" i="3" s="1"/>
  <c r="L21" i="9"/>
  <c r="J106" i="3" s="1"/>
  <c r="L46" i="9"/>
  <c r="J104" i="3" s="1"/>
  <c r="L42" i="9"/>
  <c r="J243" i="3" s="1"/>
  <c r="L35" i="9"/>
  <c r="J246" i="3" s="1"/>
  <c r="L11" i="9"/>
  <c r="L9" i="9"/>
  <c r="L17" i="9" s="1"/>
  <c r="L27" i="7"/>
  <c r="J13" i="3" s="1"/>
  <c r="L19" i="7"/>
  <c r="J440" i="3" s="1"/>
  <c r="L23" i="7"/>
  <c r="J27" i="3" s="1"/>
  <c r="L8" i="7"/>
  <c r="L6" i="7"/>
  <c r="L11" i="7" s="1"/>
  <c r="L15" i="6"/>
  <c r="L13" i="6"/>
  <c r="L15" i="5"/>
  <c r="L21" i="4"/>
  <c r="L19" i="8"/>
  <c r="L21" i="8"/>
  <c r="J398" i="93"/>
  <c r="I544" i="3"/>
  <c r="N181" i="3" l="1"/>
  <c r="L20" i="12"/>
  <c r="M86" i="3"/>
  <c r="L21" i="11"/>
  <c r="L23" i="11"/>
  <c r="J235" i="2"/>
  <c r="T235" i="2" s="1"/>
  <c r="L23" i="15"/>
  <c r="N443" i="3"/>
  <c r="M443" i="3"/>
  <c r="N100" i="3"/>
  <c r="M100" i="3"/>
  <c r="N367" i="3"/>
  <c r="M367" i="3"/>
  <c r="M500" i="3"/>
  <c r="N500" i="3"/>
  <c r="M34" i="3"/>
  <c r="N34" i="3"/>
  <c r="N21" i="3"/>
  <c r="M21" i="3"/>
  <c r="N6" i="3"/>
  <c r="M6" i="3"/>
  <c r="T15" i="2"/>
  <c r="J16" i="2"/>
  <c r="T16" i="2" s="1"/>
  <c r="L41" i="13"/>
  <c r="N89" i="3"/>
  <c r="M89" i="3"/>
  <c r="L32" i="18"/>
  <c r="N41" i="3"/>
  <c r="N151" i="3"/>
  <c r="J253" i="2"/>
  <c r="T253" i="2" s="1"/>
  <c r="T251" i="2"/>
  <c r="L23" i="16"/>
  <c r="J316" i="3"/>
  <c r="M347" i="3"/>
  <c r="N347" i="3"/>
  <c r="N395" i="3"/>
  <c r="M395" i="3"/>
  <c r="N466" i="3"/>
  <c r="M466" i="3"/>
  <c r="J245" i="2"/>
  <c r="N104" i="3"/>
  <c r="M104" i="3"/>
  <c r="M256" i="3"/>
  <c r="N256" i="3"/>
  <c r="M246" i="3"/>
  <c r="N246" i="3"/>
  <c r="N243" i="3"/>
  <c r="M243" i="3"/>
  <c r="L50" i="9"/>
  <c r="M106" i="3"/>
  <c r="N106" i="3"/>
  <c r="T245" i="2"/>
  <c r="J327" i="2"/>
  <c r="T327" i="2" s="1"/>
  <c r="L52" i="9"/>
  <c r="L33" i="7"/>
  <c r="L35" i="7"/>
  <c r="N27" i="3"/>
  <c r="M27" i="3"/>
  <c r="M440" i="3"/>
  <c r="N440" i="3"/>
  <c r="N13" i="3"/>
  <c r="M13" i="3"/>
  <c r="T7" i="2"/>
  <c r="N521" i="3"/>
  <c r="M521" i="3"/>
  <c r="T331" i="2"/>
  <c r="J335" i="2"/>
  <c r="N186" i="3"/>
  <c r="M186" i="3"/>
  <c r="T126" i="2"/>
  <c r="J160" i="2"/>
  <c r="J540" i="3"/>
  <c r="N29" i="3"/>
  <c r="J542" i="3"/>
  <c r="J541" i="3"/>
  <c r="J538" i="3"/>
  <c r="M29" i="3"/>
  <c r="J543" i="3"/>
  <c r="L39" i="13"/>
  <c r="L43" i="13"/>
  <c r="L5" i="13"/>
  <c r="L15" i="13" s="1"/>
  <c r="L25" i="16"/>
  <c r="L48" i="9"/>
  <c r="L31" i="7"/>
  <c r="I560" i="3"/>
  <c r="I559" i="3"/>
  <c r="K66" i="47"/>
  <c r="K41" i="47"/>
  <c r="K37" i="40"/>
  <c r="K34" i="40"/>
  <c r="K24" i="40"/>
  <c r="J65" i="2" l="1"/>
  <c r="T65" i="2" s="1"/>
  <c r="N316" i="3"/>
  <c r="M316" i="3"/>
  <c r="T335" i="2"/>
  <c r="J384" i="2"/>
  <c r="T384" i="2" s="1"/>
  <c r="T160" i="2"/>
  <c r="K30" i="86"/>
  <c r="K22" i="86"/>
  <c r="J468" i="2" l="1"/>
  <c r="D50" i="13"/>
  <c r="E50" i="13"/>
  <c r="F50" i="13"/>
  <c r="G50" i="13"/>
  <c r="H50" i="13"/>
  <c r="I50" i="13"/>
  <c r="J50" i="13"/>
  <c r="K50" i="13"/>
  <c r="K156" i="23" l="1"/>
  <c r="K61" i="75"/>
  <c r="D9" i="91" l="1"/>
  <c r="E9" i="91"/>
  <c r="F9" i="91"/>
  <c r="G9" i="91"/>
  <c r="H9" i="91"/>
  <c r="I9" i="91"/>
  <c r="J9" i="91"/>
  <c r="K9" i="91"/>
  <c r="D3" i="91"/>
  <c r="E3" i="91"/>
  <c r="F3" i="91"/>
  <c r="G3" i="91"/>
  <c r="H3" i="91"/>
  <c r="I3" i="91"/>
  <c r="J3" i="91"/>
  <c r="K3" i="91"/>
  <c r="K112" i="38" l="1"/>
  <c r="K113" i="38"/>
  <c r="K157" i="81"/>
  <c r="D207" i="81"/>
  <c r="E207" i="81"/>
  <c r="F207" i="81"/>
  <c r="G207" i="81"/>
  <c r="H207" i="81"/>
  <c r="I207" i="81"/>
  <c r="J207" i="81"/>
  <c r="K207" i="81"/>
  <c r="D205" i="81"/>
  <c r="E205" i="81"/>
  <c r="F205" i="81"/>
  <c r="G205" i="81"/>
  <c r="H205" i="81"/>
  <c r="I205" i="81"/>
  <c r="J205" i="81"/>
  <c r="K205" i="81"/>
  <c r="D208" i="81"/>
  <c r="E208" i="81"/>
  <c r="F208" i="81"/>
  <c r="G208" i="81"/>
  <c r="H208" i="81"/>
  <c r="I208" i="81"/>
  <c r="J208" i="81"/>
  <c r="K208" i="81"/>
  <c r="K201" i="81"/>
  <c r="J201" i="81"/>
  <c r="I201" i="81"/>
  <c r="H201" i="81"/>
  <c r="G201" i="81"/>
  <c r="F201" i="81"/>
  <c r="E201" i="81"/>
  <c r="D201" i="81"/>
  <c r="K184" i="19" l="1"/>
  <c r="K181" i="19"/>
  <c r="K134" i="19"/>
  <c r="K49" i="19"/>
  <c r="K107" i="19"/>
  <c r="K108" i="19"/>
  <c r="K109" i="19"/>
  <c r="K110" i="19"/>
  <c r="K111" i="19"/>
  <c r="K56" i="19"/>
  <c r="K443" i="43" l="1"/>
  <c r="K38" i="88" l="1"/>
  <c r="K196" i="70"/>
  <c r="K41" i="97" l="1"/>
  <c r="K232" i="64"/>
  <c r="K218" i="39"/>
  <c r="K9" i="51" l="1"/>
  <c r="K7" i="51"/>
  <c r="K5" i="20" l="1"/>
  <c r="D177" i="28" l="1"/>
  <c r="E177" i="28"/>
  <c r="F177" i="28"/>
  <c r="G177" i="28"/>
  <c r="H177" i="28"/>
  <c r="I177" i="28"/>
  <c r="J177" i="28"/>
  <c r="K177" i="28"/>
  <c r="K100" i="60"/>
  <c r="K101" i="60"/>
  <c r="K102" i="60"/>
  <c r="K103" i="60"/>
  <c r="D174" i="27" l="1"/>
  <c r="E174" i="27"/>
  <c r="F174" i="27"/>
  <c r="G174" i="27"/>
  <c r="H174" i="27"/>
  <c r="I174" i="27"/>
  <c r="J174" i="27"/>
  <c r="K174" i="27"/>
  <c r="K9" i="6"/>
  <c r="K7" i="6"/>
  <c r="K177" i="32" l="1"/>
  <c r="K130" i="32"/>
  <c r="K365" i="43" l="1"/>
  <c r="K86" i="81" l="1"/>
  <c r="K116" i="81"/>
  <c r="K117" i="81"/>
  <c r="K108" i="81"/>
  <c r="K118" i="74" l="1"/>
  <c r="K11" i="17"/>
  <c r="K9" i="17"/>
  <c r="K7" i="17"/>
  <c r="E65" i="87" l="1"/>
  <c r="F65" i="87"/>
  <c r="G65" i="87"/>
  <c r="H65" i="87"/>
  <c r="I65" i="87"/>
  <c r="J65" i="87"/>
  <c r="K65" i="87"/>
  <c r="D65" i="87"/>
  <c r="E89" i="87"/>
  <c r="F89" i="87"/>
  <c r="G89" i="87"/>
  <c r="H89" i="87"/>
  <c r="I89" i="87"/>
  <c r="J89" i="87"/>
  <c r="K89" i="87"/>
  <c r="D89" i="87"/>
  <c r="E90" i="87"/>
  <c r="F90" i="87"/>
  <c r="G90" i="87"/>
  <c r="H90" i="87"/>
  <c r="I90" i="87"/>
  <c r="J90" i="87"/>
  <c r="K90" i="87"/>
  <c r="D90" i="87"/>
  <c r="K87" i="87"/>
  <c r="J87" i="87"/>
  <c r="I87" i="87"/>
  <c r="H87" i="87"/>
  <c r="G87" i="87"/>
  <c r="F87" i="87"/>
  <c r="E87" i="87"/>
  <c r="D87" i="87"/>
  <c r="K81" i="87"/>
  <c r="J81" i="87"/>
  <c r="I81" i="87"/>
  <c r="H81" i="87"/>
  <c r="G81" i="87"/>
  <c r="F81" i="87"/>
  <c r="E81" i="87"/>
  <c r="D81" i="87"/>
  <c r="K76" i="87"/>
  <c r="J76" i="87"/>
  <c r="I76" i="87"/>
  <c r="H76" i="87"/>
  <c r="G76" i="87"/>
  <c r="F76" i="87"/>
  <c r="E76" i="87"/>
  <c r="D76" i="87"/>
  <c r="E336" i="49"/>
  <c r="F336" i="49"/>
  <c r="G336" i="49"/>
  <c r="H336" i="49"/>
  <c r="I336" i="49"/>
  <c r="J336" i="49"/>
  <c r="K336" i="49"/>
  <c r="D336" i="49"/>
  <c r="E357" i="49"/>
  <c r="F357" i="49"/>
  <c r="G357" i="49"/>
  <c r="H357" i="49"/>
  <c r="I357" i="49"/>
  <c r="J357" i="49"/>
  <c r="K357" i="49"/>
  <c r="D357" i="49"/>
  <c r="K348" i="49"/>
  <c r="J348" i="49"/>
  <c r="I348" i="49"/>
  <c r="H348" i="49"/>
  <c r="G348" i="49"/>
  <c r="F348" i="49"/>
  <c r="E348" i="49"/>
  <c r="D348" i="49"/>
  <c r="D7" i="91"/>
  <c r="E7" i="91"/>
  <c r="F7" i="91"/>
  <c r="G7" i="91"/>
  <c r="H7" i="91"/>
  <c r="I7" i="91"/>
  <c r="J7" i="91"/>
  <c r="K7" i="91"/>
  <c r="K23" i="91"/>
  <c r="J23" i="91"/>
  <c r="I23" i="91"/>
  <c r="H23" i="91"/>
  <c r="G23" i="91"/>
  <c r="F23" i="91"/>
  <c r="E23" i="91"/>
  <c r="D23" i="91"/>
  <c r="E37" i="91"/>
  <c r="F37" i="91"/>
  <c r="G37" i="91"/>
  <c r="H37" i="91"/>
  <c r="I37" i="91"/>
  <c r="J37" i="91"/>
  <c r="K37" i="91"/>
  <c r="D37" i="91"/>
  <c r="E195" i="27" l="1"/>
  <c r="F195" i="27"/>
  <c r="G195" i="27"/>
  <c r="H195" i="27"/>
  <c r="I195" i="27"/>
  <c r="J195" i="27"/>
  <c r="K195" i="27"/>
  <c r="E196" i="27"/>
  <c r="F196" i="27"/>
  <c r="G196" i="27"/>
  <c r="H196" i="27"/>
  <c r="I196" i="27"/>
  <c r="J196" i="27"/>
  <c r="K196" i="27"/>
  <c r="D196" i="27"/>
  <c r="D195" i="27"/>
  <c r="K193" i="27"/>
  <c r="J193" i="27"/>
  <c r="I193" i="27"/>
  <c r="H193" i="27"/>
  <c r="G193" i="27"/>
  <c r="F193" i="27"/>
  <c r="E193" i="27"/>
  <c r="D193" i="27"/>
  <c r="K189" i="27"/>
  <c r="J189" i="27"/>
  <c r="I189" i="27"/>
  <c r="H189" i="27"/>
  <c r="G189" i="27"/>
  <c r="F189" i="27"/>
  <c r="E189" i="27"/>
  <c r="D189" i="27"/>
  <c r="K185" i="27"/>
  <c r="J185" i="27"/>
  <c r="I185" i="27"/>
  <c r="H185" i="27"/>
  <c r="G185" i="27"/>
  <c r="F185" i="27"/>
  <c r="E185" i="27"/>
  <c r="D185" i="27"/>
  <c r="E443" i="43"/>
  <c r="F443" i="43"/>
  <c r="G443" i="43"/>
  <c r="H443" i="43"/>
  <c r="I443" i="43"/>
  <c r="J443" i="43"/>
  <c r="E444" i="43"/>
  <c r="F444" i="43"/>
  <c r="G444" i="43"/>
  <c r="H444" i="43"/>
  <c r="I444" i="43"/>
  <c r="J444" i="43"/>
  <c r="K444" i="43"/>
  <c r="D444" i="43"/>
  <c r="D443" i="43"/>
  <c r="E421" i="43"/>
  <c r="F421" i="43"/>
  <c r="G421" i="43"/>
  <c r="H421" i="43"/>
  <c r="I421" i="43"/>
  <c r="J421" i="43"/>
  <c r="K421" i="43"/>
  <c r="D421" i="43"/>
  <c r="K439" i="43"/>
  <c r="J439" i="43"/>
  <c r="I439" i="43"/>
  <c r="H439" i="43"/>
  <c r="G439" i="43"/>
  <c r="F439" i="43"/>
  <c r="E439" i="43"/>
  <c r="D439" i="43"/>
  <c r="K424" i="43"/>
  <c r="J424" i="43"/>
  <c r="I424" i="43"/>
  <c r="H424" i="43"/>
  <c r="G424" i="43"/>
  <c r="F424" i="43"/>
  <c r="E424" i="43"/>
  <c r="D424" i="43"/>
  <c r="E210" i="28"/>
  <c r="F210" i="28"/>
  <c r="G210" i="28"/>
  <c r="H210" i="28"/>
  <c r="I210" i="28"/>
  <c r="J210" i="28"/>
  <c r="K210" i="28"/>
  <c r="E211" i="28"/>
  <c r="F211" i="28"/>
  <c r="G211" i="28"/>
  <c r="H211" i="28"/>
  <c r="I211" i="28"/>
  <c r="J211" i="28"/>
  <c r="K211" i="28"/>
  <c r="D210" i="28"/>
  <c r="D211" i="28"/>
  <c r="K208" i="28"/>
  <c r="J208" i="28"/>
  <c r="I208" i="28"/>
  <c r="H208" i="28"/>
  <c r="G208" i="28"/>
  <c r="F208" i="28"/>
  <c r="E208" i="28"/>
  <c r="D208" i="28"/>
  <c r="K191" i="28"/>
  <c r="J191" i="28"/>
  <c r="I191" i="28"/>
  <c r="H191" i="28"/>
  <c r="G191" i="28"/>
  <c r="F191" i="28"/>
  <c r="E191" i="28"/>
  <c r="D191" i="28"/>
  <c r="E149" i="28"/>
  <c r="F149" i="28"/>
  <c r="G149" i="28"/>
  <c r="H149" i="28"/>
  <c r="I149" i="28"/>
  <c r="J149" i="28"/>
  <c r="K149" i="28"/>
  <c r="D149" i="28"/>
  <c r="E169" i="28"/>
  <c r="F169" i="28"/>
  <c r="G169" i="28"/>
  <c r="H169" i="28"/>
  <c r="I169" i="28"/>
  <c r="J169" i="28"/>
  <c r="K169" i="28"/>
  <c r="E170" i="28"/>
  <c r="F170" i="28"/>
  <c r="G170" i="28"/>
  <c r="H170" i="28"/>
  <c r="I170" i="28"/>
  <c r="J170" i="28"/>
  <c r="K170" i="28"/>
  <c r="D169" i="28"/>
  <c r="D170" i="28"/>
  <c r="E77" i="66" l="1"/>
  <c r="F77" i="66"/>
  <c r="G77" i="66"/>
  <c r="H77" i="66"/>
  <c r="I77" i="66"/>
  <c r="J77" i="66"/>
  <c r="K77" i="66"/>
  <c r="E78" i="66"/>
  <c r="F78" i="66"/>
  <c r="G78" i="66"/>
  <c r="H78" i="66"/>
  <c r="I78" i="66"/>
  <c r="J78" i="66"/>
  <c r="K78" i="66"/>
  <c r="E79" i="66"/>
  <c r="F79" i="66"/>
  <c r="G79" i="66"/>
  <c r="H79" i="66"/>
  <c r="I79" i="66"/>
  <c r="J79" i="66"/>
  <c r="K79" i="66"/>
  <c r="D79" i="66"/>
  <c r="D78" i="66"/>
  <c r="D77" i="66"/>
  <c r="E56" i="66"/>
  <c r="F56" i="66"/>
  <c r="G56" i="66"/>
  <c r="H56" i="66"/>
  <c r="I56" i="66"/>
  <c r="J56" i="66"/>
  <c r="K56" i="66"/>
  <c r="D56" i="66"/>
  <c r="K74" i="66"/>
  <c r="J74" i="66"/>
  <c r="I74" i="66"/>
  <c r="H74" i="66"/>
  <c r="G74" i="66"/>
  <c r="F74" i="66"/>
  <c r="E74" i="66"/>
  <c r="D74" i="66"/>
  <c r="E64" i="66"/>
  <c r="F64" i="66"/>
  <c r="G64" i="66"/>
  <c r="H64" i="66"/>
  <c r="I64" i="66"/>
  <c r="J64" i="66"/>
  <c r="K64" i="66"/>
  <c r="D64" i="66"/>
  <c r="E41" i="75" l="1"/>
  <c r="F41" i="75"/>
  <c r="G41" i="75"/>
  <c r="H41" i="75"/>
  <c r="I41" i="75"/>
  <c r="J41" i="75"/>
  <c r="K41" i="75"/>
  <c r="D41" i="75"/>
  <c r="E63" i="75"/>
  <c r="F63" i="75"/>
  <c r="G63" i="75"/>
  <c r="H63" i="75"/>
  <c r="I63" i="75"/>
  <c r="J63" i="75"/>
  <c r="K63" i="75"/>
  <c r="E64" i="75"/>
  <c r="F64" i="75"/>
  <c r="G64" i="75"/>
  <c r="H64" i="75"/>
  <c r="I64" i="75"/>
  <c r="J64" i="75"/>
  <c r="K64" i="75"/>
  <c r="E65" i="75"/>
  <c r="F65" i="75"/>
  <c r="G65" i="75"/>
  <c r="H65" i="75"/>
  <c r="I65" i="75"/>
  <c r="J65" i="75"/>
  <c r="K65" i="75"/>
  <c r="D63" i="75"/>
  <c r="D64" i="75"/>
  <c r="D65" i="75"/>
  <c r="J61" i="75"/>
  <c r="I61" i="75"/>
  <c r="H61" i="75"/>
  <c r="G61" i="75"/>
  <c r="F61" i="75"/>
  <c r="E61" i="75"/>
  <c r="D61" i="75"/>
  <c r="E56" i="75"/>
  <c r="F56" i="75"/>
  <c r="G56" i="75"/>
  <c r="H56" i="75"/>
  <c r="I56" i="75"/>
  <c r="J56" i="75"/>
  <c r="K56" i="75"/>
  <c r="D56" i="75"/>
  <c r="E7" i="17"/>
  <c r="F7" i="17"/>
  <c r="G7" i="17"/>
  <c r="H7" i="17"/>
  <c r="I7" i="17"/>
  <c r="J7" i="17"/>
  <c r="E9" i="17"/>
  <c r="F9" i="17"/>
  <c r="G9" i="17"/>
  <c r="H9" i="17"/>
  <c r="I9" i="17"/>
  <c r="J9" i="17"/>
  <c r="E11" i="17"/>
  <c r="F11" i="17"/>
  <c r="G11" i="17"/>
  <c r="H11" i="17"/>
  <c r="I11" i="17"/>
  <c r="J11" i="17"/>
  <c r="E13" i="17"/>
  <c r="F13" i="17"/>
  <c r="G13" i="17"/>
  <c r="H13" i="17"/>
  <c r="I13" i="17"/>
  <c r="J13" i="17"/>
  <c r="K13" i="17"/>
  <c r="D13" i="17"/>
  <c r="D11" i="17"/>
  <c r="D9" i="17"/>
  <c r="D7" i="17"/>
  <c r="E3" i="17"/>
  <c r="F3" i="17"/>
  <c r="G3" i="17"/>
  <c r="H3" i="17"/>
  <c r="I3" i="17"/>
  <c r="J3" i="17"/>
  <c r="K3" i="17"/>
  <c r="D3" i="17"/>
  <c r="K61" i="17"/>
  <c r="J61" i="17"/>
  <c r="I61" i="17"/>
  <c r="H61" i="17"/>
  <c r="G61" i="17"/>
  <c r="F61" i="17"/>
  <c r="E61" i="17"/>
  <c r="D61" i="17"/>
  <c r="K50" i="17"/>
  <c r="J50" i="17"/>
  <c r="I50" i="17"/>
  <c r="H50" i="17"/>
  <c r="G50" i="17"/>
  <c r="F50" i="17"/>
  <c r="E50" i="17"/>
  <c r="D50" i="17"/>
  <c r="K31" i="17"/>
  <c r="J31" i="17"/>
  <c r="I31" i="17"/>
  <c r="H31" i="17"/>
  <c r="G31" i="17"/>
  <c r="F31" i="17"/>
  <c r="E31" i="17"/>
  <c r="D31" i="17"/>
  <c r="K38" i="17"/>
  <c r="J38" i="17"/>
  <c r="I38" i="17"/>
  <c r="H38" i="17"/>
  <c r="G38" i="17"/>
  <c r="F38" i="17"/>
  <c r="E38" i="17"/>
  <c r="D38" i="17"/>
  <c r="E26" i="17"/>
  <c r="F26" i="17"/>
  <c r="G26" i="17"/>
  <c r="H26" i="17"/>
  <c r="I26" i="17"/>
  <c r="J26" i="17"/>
  <c r="K26" i="17"/>
  <c r="D26" i="17"/>
  <c r="D206" i="81"/>
  <c r="E206" i="81"/>
  <c r="F206" i="81"/>
  <c r="G206" i="81"/>
  <c r="H206" i="81"/>
  <c r="I206" i="81"/>
  <c r="J206" i="81"/>
  <c r="D209" i="81"/>
  <c r="E209" i="81"/>
  <c r="F209" i="81"/>
  <c r="G209" i="81"/>
  <c r="H209" i="81"/>
  <c r="I209" i="81"/>
  <c r="J209" i="81"/>
  <c r="D210" i="81"/>
  <c r="E210" i="81"/>
  <c r="F210" i="81"/>
  <c r="G210" i="81"/>
  <c r="H210" i="81"/>
  <c r="I210" i="81"/>
  <c r="J210" i="81"/>
  <c r="K210" i="81"/>
  <c r="K209" i="81"/>
  <c r="K206" i="81"/>
  <c r="E157" i="81"/>
  <c r="F157" i="81"/>
  <c r="G157" i="81"/>
  <c r="H157" i="81"/>
  <c r="I157" i="81"/>
  <c r="J157" i="81"/>
  <c r="D157" i="81"/>
  <c r="K194" i="81"/>
  <c r="J194" i="81"/>
  <c r="I194" i="81"/>
  <c r="H194" i="81"/>
  <c r="G194" i="81"/>
  <c r="F194" i="81"/>
  <c r="E194" i="81"/>
  <c r="D194" i="81"/>
  <c r="K187" i="81"/>
  <c r="J187" i="81"/>
  <c r="I187" i="81"/>
  <c r="H187" i="81"/>
  <c r="G187" i="81"/>
  <c r="F187" i="81"/>
  <c r="E187" i="81"/>
  <c r="D187" i="81"/>
  <c r="K182" i="81"/>
  <c r="J182" i="81"/>
  <c r="I182" i="81"/>
  <c r="H182" i="81"/>
  <c r="G182" i="81"/>
  <c r="F182" i="81"/>
  <c r="E182" i="81"/>
  <c r="D182" i="81"/>
  <c r="K178" i="81"/>
  <c r="J178" i="81"/>
  <c r="I178" i="81"/>
  <c r="H178" i="81"/>
  <c r="G178" i="81"/>
  <c r="F178" i="81"/>
  <c r="E178" i="81"/>
  <c r="D178" i="81"/>
  <c r="K174" i="81"/>
  <c r="J174" i="81"/>
  <c r="I174" i="81"/>
  <c r="H174" i="81"/>
  <c r="G174" i="81"/>
  <c r="F174" i="81"/>
  <c r="E174" i="81"/>
  <c r="D174" i="81"/>
  <c r="K170" i="81"/>
  <c r="J170" i="81"/>
  <c r="I170" i="81"/>
  <c r="H170" i="81"/>
  <c r="G170" i="81"/>
  <c r="F170" i="81"/>
  <c r="E170" i="81"/>
  <c r="D170" i="81"/>
  <c r="K164" i="81"/>
  <c r="J164" i="81"/>
  <c r="I164" i="81"/>
  <c r="H164" i="81"/>
  <c r="G164" i="81"/>
  <c r="F164" i="81"/>
  <c r="E164" i="81"/>
  <c r="D164" i="81"/>
  <c r="K160" i="81"/>
  <c r="J160" i="81"/>
  <c r="I160" i="81"/>
  <c r="H160" i="81"/>
  <c r="G160" i="81"/>
  <c r="F160" i="81"/>
  <c r="E160" i="81"/>
  <c r="D160" i="81"/>
  <c r="E447" i="38" l="1"/>
  <c r="F447" i="38"/>
  <c r="G447" i="38"/>
  <c r="H447" i="38"/>
  <c r="I447" i="38"/>
  <c r="J447" i="38"/>
  <c r="K447" i="38"/>
  <c r="E448" i="38"/>
  <c r="F448" i="38"/>
  <c r="G448" i="38"/>
  <c r="H448" i="38"/>
  <c r="I448" i="38"/>
  <c r="J448" i="38"/>
  <c r="K448" i="38"/>
  <c r="D448" i="38"/>
  <c r="D447" i="38"/>
  <c r="E430" i="38"/>
  <c r="F430" i="38"/>
  <c r="G430" i="38"/>
  <c r="H430" i="38"/>
  <c r="I430" i="38"/>
  <c r="J430" i="38"/>
  <c r="K430" i="38"/>
  <c r="D430" i="38"/>
  <c r="E441" i="38"/>
  <c r="F441" i="38"/>
  <c r="G441" i="38"/>
  <c r="H441" i="38"/>
  <c r="I441" i="38"/>
  <c r="J441" i="38"/>
  <c r="K441" i="38"/>
  <c r="D441" i="38"/>
  <c r="E82" i="13"/>
  <c r="F82" i="13"/>
  <c r="G82" i="13"/>
  <c r="H82" i="13"/>
  <c r="I82" i="13"/>
  <c r="J82" i="13"/>
  <c r="K82" i="13"/>
  <c r="E83" i="13"/>
  <c r="F83" i="13"/>
  <c r="G83" i="13"/>
  <c r="H83" i="13"/>
  <c r="I83" i="13"/>
  <c r="J83" i="13"/>
  <c r="K83" i="13"/>
  <c r="D83" i="13"/>
  <c r="D82" i="13"/>
  <c r="K67" i="13"/>
  <c r="J67" i="13"/>
  <c r="I67" i="13"/>
  <c r="H67" i="13"/>
  <c r="G67" i="13"/>
  <c r="F67" i="13"/>
  <c r="E67" i="13"/>
  <c r="D67" i="13"/>
  <c r="K64" i="13"/>
  <c r="J64" i="13"/>
  <c r="I64" i="13"/>
  <c r="H64" i="13"/>
  <c r="G64" i="13"/>
  <c r="F64" i="13"/>
  <c r="E64" i="13"/>
  <c r="D64" i="13"/>
  <c r="K55" i="13"/>
  <c r="J55" i="13"/>
  <c r="I55" i="13"/>
  <c r="H55" i="13"/>
  <c r="G55" i="13"/>
  <c r="F55" i="13"/>
  <c r="E55" i="13"/>
  <c r="D55" i="13"/>
  <c r="E353" i="87"/>
  <c r="F353" i="87"/>
  <c r="G353" i="87"/>
  <c r="H353" i="87"/>
  <c r="I353" i="87"/>
  <c r="J353" i="87"/>
  <c r="K353" i="87"/>
  <c r="K15" i="87" s="1"/>
  <c r="I315" i="2" s="1"/>
  <c r="D353" i="87"/>
  <c r="E365" i="87"/>
  <c r="F365" i="87"/>
  <c r="G365" i="87"/>
  <c r="H365" i="87"/>
  <c r="I365" i="87"/>
  <c r="J365" i="87"/>
  <c r="K365" i="87"/>
  <c r="K53" i="87" s="1"/>
  <c r="D365" i="87"/>
  <c r="I28" i="3"/>
  <c r="I164" i="3"/>
  <c r="I331" i="3"/>
  <c r="I327" i="3"/>
  <c r="I461" i="3"/>
  <c r="I381" i="3"/>
  <c r="I349" i="3"/>
  <c r="I393" i="3"/>
  <c r="I471" i="3"/>
  <c r="I465" i="3"/>
  <c r="I302" i="2"/>
  <c r="S302" i="2" s="1"/>
  <c r="I461" i="2"/>
  <c r="S461" i="2" s="1"/>
  <c r="K35" i="97"/>
  <c r="K31" i="97"/>
  <c r="K25" i="97"/>
  <c r="K3" i="97"/>
  <c r="K5" i="97" s="1"/>
  <c r="K7" i="97"/>
  <c r="I209" i="3" s="1"/>
  <c r="K9" i="97"/>
  <c r="K213" i="96"/>
  <c r="K28" i="96" s="1"/>
  <c r="I143" i="3" s="1"/>
  <c r="K190" i="96"/>
  <c r="K191" i="96"/>
  <c r="K192" i="96"/>
  <c r="K23" i="96" s="1"/>
  <c r="K199" i="96"/>
  <c r="K10" i="96" s="1"/>
  <c r="I427" i="2" s="1"/>
  <c r="S427" i="2" s="1"/>
  <c r="K149" i="96"/>
  <c r="K26" i="96" s="1"/>
  <c r="I252" i="3" s="1"/>
  <c r="K156" i="96"/>
  <c r="K9" i="96" s="1"/>
  <c r="I426" i="2" s="1"/>
  <c r="S426" i="2" s="1"/>
  <c r="K125" i="96"/>
  <c r="K132" i="96"/>
  <c r="K8" i="96" s="1"/>
  <c r="I425" i="2" s="1"/>
  <c r="S425" i="2" s="1"/>
  <c r="K104" i="96"/>
  <c r="K111" i="96"/>
  <c r="K7" i="96" s="1"/>
  <c r="I424" i="2" s="1"/>
  <c r="S424" i="2" s="1"/>
  <c r="K73" i="96"/>
  <c r="K14" i="96" s="1"/>
  <c r="I274" i="3" s="1"/>
  <c r="K80" i="96"/>
  <c r="K6" i="96" s="1"/>
  <c r="I423" i="2" s="1"/>
  <c r="K16" i="96"/>
  <c r="K18" i="96"/>
  <c r="K19" i="96"/>
  <c r="K22" i="96"/>
  <c r="K41" i="96"/>
  <c r="K5" i="96" s="1"/>
  <c r="I422" i="2" s="1"/>
  <c r="S422" i="2" s="1"/>
  <c r="K143" i="61"/>
  <c r="K7" i="61" s="1"/>
  <c r="I177" i="3" s="1"/>
  <c r="K144" i="61"/>
  <c r="K9" i="61" s="1"/>
  <c r="I351" i="3" s="1"/>
  <c r="K145" i="61"/>
  <c r="K11" i="61" s="1"/>
  <c r="I345" i="3" s="1"/>
  <c r="K146" i="61"/>
  <c r="K13" i="61" s="1"/>
  <c r="I294" i="3" s="1"/>
  <c r="K147" i="61"/>
  <c r="K15" i="61" s="1"/>
  <c r="I167" i="3" s="1"/>
  <c r="K137" i="61"/>
  <c r="K111" i="61"/>
  <c r="K92" i="61"/>
  <c r="K75" i="61"/>
  <c r="K71" i="61"/>
  <c r="K61" i="61"/>
  <c r="K41" i="61"/>
  <c r="K28" i="61"/>
  <c r="K3" i="61" s="1"/>
  <c r="K5" i="61" s="1"/>
  <c r="K252" i="95"/>
  <c r="K253" i="95"/>
  <c r="K48" i="95" s="1"/>
  <c r="K254" i="95"/>
  <c r="K255" i="95"/>
  <c r="K57" i="95" s="1"/>
  <c r="K215" i="95"/>
  <c r="K216" i="95"/>
  <c r="K217" i="95"/>
  <c r="K218" i="95"/>
  <c r="K219" i="95"/>
  <c r="K43" i="95" s="1"/>
  <c r="I517" i="3" s="1"/>
  <c r="K220" i="95"/>
  <c r="K221" i="95"/>
  <c r="K222" i="95"/>
  <c r="K53" i="95" s="1"/>
  <c r="I344" i="3" s="1"/>
  <c r="K229" i="95"/>
  <c r="K169" i="95"/>
  <c r="K170" i="95"/>
  <c r="K23" i="95" s="1"/>
  <c r="I49" i="3" s="1"/>
  <c r="K171" i="95"/>
  <c r="K25" i="95" s="1"/>
  <c r="I94" i="3" s="1"/>
  <c r="K172" i="95"/>
  <c r="K33" i="95" s="1"/>
  <c r="I483" i="3" s="1"/>
  <c r="K180" i="95"/>
  <c r="K8" i="95" s="1"/>
  <c r="I460" i="2" s="1"/>
  <c r="S460" i="2" s="1"/>
  <c r="K163" i="95"/>
  <c r="K133" i="95"/>
  <c r="K134" i="95"/>
  <c r="K29" i="95" s="1"/>
  <c r="I361" i="3" s="1"/>
  <c r="K141" i="95"/>
  <c r="K102" i="95"/>
  <c r="K103" i="95"/>
  <c r="K17" i="95" s="1"/>
  <c r="I418" i="3" s="1"/>
  <c r="K104" i="95"/>
  <c r="K19" i="95" s="1"/>
  <c r="I407" i="3" s="1"/>
  <c r="K105" i="95"/>
  <c r="K35" i="95" s="1"/>
  <c r="I338" i="3" s="1"/>
  <c r="K106" i="95"/>
  <c r="K114" i="95"/>
  <c r="K6" i="95" s="1"/>
  <c r="I458" i="2" s="1"/>
  <c r="S458" i="2" s="1"/>
  <c r="K99" i="95"/>
  <c r="K7" i="95"/>
  <c r="I459" i="2" s="1"/>
  <c r="S459" i="2" s="1"/>
  <c r="K9" i="95"/>
  <c r="K13" i="95"/>
  <c r="I126" i="3" s="1"/>
  <c r="K15" i="95"/>
  <c r="K21" i="95"/>
  <c r="I132" i="3" s="1"/>
  <c r="K27" i="95"/>
  <c r="I119" i="3" s="1"/>
  <c r="K31" i="95"/>
  <c r="I278" i="3" s="1"/>
  <c r="K37" i="95"/>
  <c r="I26" i="3" s="1"/>
  <c r="K39" i="95"/>
  <c r="K41" i="95"/>
  <c r="I410" i="3" s="1"/>
  <c r="K45" i="95"/>
  <c r="K47" i="95"/>
  <c r="K51" i="95"/>
  <c r="I54" i="3" s="1"/>
  <c r="K55" i="95"/>
  <c r="I271" i="3" s="1"/>
  <c r="K68" i="95"/>
  <c r="K5" i="95" s="1"/>
  <c r="I457" i="2" s="1"/>
  <c r="S457" i="2" s="1"/>
  <c r="K257" i="94"/>
  <c r="K28" i="94" s="1"/>
  <c r="K258" i="94"/>
  <c r="K38" i="94" s="1"/>
  <c r="K233" i="94"/>
  <c r="K18" i="94" s="1"/>
  <c r="K234" i="94"/>
  <c r="K235" i="94"/>
  <c r="K242" i="94"/>
  <c r="K11" i="94" s="1"/>
  <c r="I324" i="2" s="1"/>
  <c r="S324" i="2" s="1"/>
  <c r="K196" i="94"/>
  <c r="K17" i="94" s="1"/>
  <c r="K197" i="94"/>
  <c r="K205" i="94"/>
  <c r="K10" i="94" s="1"/>
  <c r="I323" i="2" s="1"/>
  <c r="S323" i="2" s="1"/>
  <c r="K165" i="94"/>
  <c r="K25" i="94" s="1"/>
  <c r="I261" i="3" s="1"/>
  <c r="K172" i="94"/>
  <c r="K140" i="94"/>
  <c r="K16" i="94" s="1"/>
  <c r="K141" i="94"/>
  <c r="K23" i="94" s="1"/>
  <c r="I31" i="3" s="1"/>
  <c r="K148" i="94"/>
  <c r="K100" i="94"/>
  <c r="K15" i="94" s="1"/>
  <c r="K101" i="94"/>
  <c r="K21" i="94" s="1"/>
  <c r="I148" i="3" s="1"/>
  <c r="K102" i="94"/>
  <c r="K37" i="94" s="1"/>
  <c r="K109" i="94"/>
  <c r="K7" i="94" s="1"/>
  <c r="I320" i="2" s="1"/>
  <c r="S320" i="2" s="1"/>
  <c r="K85" i="94"/>
  <c r="K66" i="94"/>
  <c r="K27" i="94" s="1"/>
  <c r="K73" i="94"/>
  <c r="K6" i="94" s="1"/>
  <c r="I319" i="2" s="1"/>
  <c r="K8" i="94"/>
  <c r="I321" i="2" s="1"/>
  <c r="S321" i="2" s="1"/>
  <c r="K9" i="94"/>
  <c r="I322" i="2" s="1"/>
  <c r="S322" i="2" s="1"/>
  <c r="K31" i="94"/>
  <c r="K32" i="94"/>
  <c r="K35" i="94"/>
  <c r="I32" i="3" s="1"/>
  <c r="K50" i="94"/>
  <c r="K5" i="94" s="1"/>
  <c r="I318" i="2" s="1"/>
  <c r="S318" i="2" s="1"/>
  <c r="K396" i="93"/>
  <c r="K67" i="93" s="1"/>
  <c r="I519" i="3" s="1"/>
  <c r="K397" i="93"/>
  <c r="K70" i="93" s="1"/>
  <c r="K398" i="93"/>
  <c r="K73" i="93" s="1"/>
  <c r="I527" i="3" s="1"/>
  <c r="K365" i="93"/>
  <c r="K15" i="93" s="1"/>
  <c r="I525" i="3" s="1"/>
  <c r="K366" i="93"/>
  <c r="K57" i="93" s="1"/>
  <c r="I435" i="3" s="1"/>
  <c r="K367" i="93"/>
  <c r="K59" i="93" s="1"/>
  <c r="I432" i="3" s="1"/>
  <c r="K374" i="93"/>
  <c r="K11" i="93" s="1"/>
  <c r="I419" i="2" s="1"/>
  <c r="S419" i="2" s="1"/>
  <c r="K335" i="93"/>
  <c r="K49" i="93" s="1"/>
  <c r="I56" i="3" s="1"/>
  <c r="K336" i="93"/>
  <c r="K51" i="93" s="1"/>
  <c r="I146" i="3" s="1"/>
  <c r="K343" i="93"/>
  <c r="K10" i="93" s="1"/>
  <c r="I418" i="2" s="1"/>
  <c r="S418" i="2" s="1"/>
  <c r="K306" i="93"/>
  <c r="K307" i="93"/>
  <c r="K61" i="93" s="1"/>
  <c r="I491" i="3" s="1"/>
  <c r="K308" i="93"/>
  <c r="K63" i="93" s="1"/>
  <c r="I481" i="3" s="1"/>
  <c r="K309" i="93"/>
  <c r="K65" i="93" s="1"/>
  <c r="I448" i="3" s="1"/>
  <c r="K316" i="93"/>
  <c r="K9" i="93" s="1"/>
  <c r="I417" i="2" s="1"/>
  <c r="S417" i="2" s="1"/>
  <c r="K269" i="93"/>
  <c r="K41" i="93" s="1"/>
  <c r="I512" i="3" s="1"/>
  <c r="K270" i="93"/>
  <c r="K43" i="93" s="1"/>
  <c r="I520" i="3" s="1"/>
  <c r="K271" i="93"/>
  <c r="K45" i="93" s="1"/>
  <c r="K272" i="93"/>
  <c r="K53" i="93" s="1"/>
  <c r="I366" i="3" s="1"/>
  <c r="K273" i="93"/>
  <c r="K69" i="93" s="1"/>
  <c r="K280" i="93"/>
  <c r="K8" i="93" s="1"/>
  <c r="I416" i="2" s="1"/>
  <c r="S416" i="2" s="1"/>
  <c r="K234" i="93"/>
  <c r="K35" i="93" s="1"/>
  <c r="I198" i="3" s="1"/>
  <c r="K235" i="93"/>
  <c r="K37" i="93" s="1"/>
  <c r="I239" i="3" s="1"/>
  <c r="K236" i="93"/>
  <c r="K39" i="93" s="1"/>
  <c r="I436" i="3" s="1"/>
  <c r="K243" i="93"/>
  <c r="K7" i="93" s="1"/>
  <c r="I415" i="2" s="1"/>
  <c r="S415" i="2" s="1"/>
  <c r="K17" i="93"/>
  <c r="I501" i="3" s="1"/>
  <c r="K19" i="93"/>
  <c r="I488" i="3" s="1"/>
  <c r="K21" i="93"/>
  <c r="I159" i="3" s="1"/>
  <c r="K23" i="93"/>
  <c r="I187" i="3" s="1"/>
  <c r="K25" i="93"/>
  <c r="I460" i="3" s="1"/>
  <c r="K27" i="93"/>
  <c r="I337" i="3" s="1"/>
  <c r="K29" i="93"/>
  <c r="I390" i="3" s="1"/>
  <c r="K31" i="93"/>
  <c r="I352" i="3" s="1"/>
  <c r="K33" i="93"/>
  <c r="I324" i="3" s="1"/>
  <c r="K55" i="93"/>
  <c r="I236" i="3" s="1"/>
  <c r="K214" i="93"/>
  <c r="K6" i="93" s="1"/>
  <c r="I414" i="2" s="1"/>
  <c r="S414" i="2" s="1"/>
  <c r="K46" i="93"/>
  <c r="K5" i="93"/>
  <c r="I413" i="2" s="1"/>
  <c r="S413" i="2" s="1"/>
  <c r="K212" i="32"/>
  <c r="K16" i="32" s="1"/>
  <c r="K213" i="32"/>
  <c r="K33" i="32" s="1"/>
  <c r="I237" i="3" s="1"/>
  <c r="K200" i="32"/>
  <c r="K197" i="32"/>
  <c r="K176" i="32"/>
  <c r="K15" i="32" s="1"/>
  <c r="K31" i="32"/>
  <c r="I320" i="3" s="1"/>
  <c r="K184" i="32"/>
  <c r="K9" i="32" s="1"/>
  <c r="I410" i="2" s="1"/>
  <c r="S410" i="2" s="1"/>
  <c r="K172" i="32"/>
  <c r="K161" i="32"/>
  <c r="K155" i="32"/>
  <c r="K148" i="32"/>
  <c r="K121" i="32"/>
  <c r="K14" i="32" s="1"/>
  <c r="K122" i="32"/>
  <c r="K28" i="32" s="1"/>
  <c r="K8" i="32"/>
  <c r="I409" i="2" s="1"/>
  <c r="S409" i="2" s="1"/>
  <c r="K109" i="32"/>
  <c r="K102" i="32"/>
  <c r="K90" i="32"/>
  <c r="K20" i="32" s="1"/>
  <c r="K91" i="32"/>
  <c r="K24" i="32" s="1"/>
  <c r="K92" i="32"/>
  <c r="K27" i="32" s="1"/>
  <c r="K99" i="32"/>
  <c r="K7" i="32" s="1"/>
  <c r="I408" i="2" s="1"/>
  <c r="S408" i="2" s="1"/>
  <c r="K63" i="32"/>
  <c r="K19" i="32" s="1"/>
  <c r="K64" i="32"/>
  <c r="K23" i="32" s="1"/>
  <c r="K71" i="32"/>
  <c r="K6" i="32" s="1"/>
  <c r="I407" i="2" s="1"/>
  <c r="S407" i="2" s="1"/>
  <c r="K44" i="32"/>
  <c r="K5" i="32" s="1"/>
  <c r="I406" i="2" s="1"/>
  <c r="S406" i="2" s="1"/>
  <c r="K5" i="91"/>
  <c r="K11" i="91"/>
  <c r="K3" i="90"/>
  <c r="K5" i="90" s="1"/>
  <c r="K7" i="90"/>
  <c r="K9" i="90"/>
  <c r="I506" i="3" s="1"/>
  <c r="K11" i="90"/>
  <c r="I242" i="3" s="1"/>
  <c r="K222" i="89"/>
  <c r="K22" i="89" s="1"/>
  <c r="I419" i="3" s="1"/>
  <c r="K223" i="89"/>
  <c r="K224" i="89"/>
  <c r="K42" i="89" s="1"/>
  <c r="I445" i="3" s="1"/>
  <c r="K187" i="89"/>
  <c r="K188" i="89"/>
  <c r="K36" i="89" s="1"/>
  <c r="I493" i="3" s="1"/>
  <c r="K195" i="89"/>
  <c r="K9" i="89" s="1"/>
  <c r="I178" i="2" s="1"/>
  <c r="S178" i="2" s="1"/>
  <c r="K159" i="89"/>
  <c r="K34" i="89" s="1"/>
  <c r="I142" i="3" s="1"/>
  <c r="K160" i="89"/>
  <c r="K40" i="89" s="1"/>
  <c r="I161" i="3" s="1"/>
  <c r="K167" i="89"/>
  <c r="K8" i="89" s="1"/>
  <c r="I177" i="2" s="1"/>
  <c r="K28" i="89"/>
  <c r="I536" i="3" s="1"/>
  <c r="K30" i="89"/>
  <c r="I528" i="3" s="1"/>
  <c r="K32" i="89"/>
  <c r="I439" i="3" s="1"/>
  <c r="K137" i="89"/>
  <c r="K7" i="89" s="1"/>
  <c r="I176" i="2" s="1"/>
  <c r="S176" i="2" s="1"/>
  <c r="K79" i="89"/>
  <c r="K14" i="89" s="1"/>
  <c r="I411" i="3" s="1"/>
  <c r="K80" i="89"/>
  <c r="K16" i="89" s="1"/>
  <c r="I476" i="3" s="1"/>
  <c r="K81" i="89"/>
  <c r="K18" i="89" s="1"/>
  <c r="K11" i="65" s="1"/>
  <c r="K82" i="89"/>
  <c r="K24" i="89" s="1"/>
  <c r="K6" i="89"/>
  <c r="I175" i="2" s="1"/>
  <c r="S175" i="2" s="1"/>
  <c r="K59" i="89"/>
  <c r="K25" i="89"/>
  <c r="K38" i="89"/>
  <c r="I305" i="3" s="1"/>
  <c r="K53" i="89"/>
  <c r="K5" i="89" s="1"/>
  <c r="I174" i="2" s="1"/>
  <c r="S174" i="2" s="1"/>
  <c r="K3" i="88"/>
  <c r="K5" i="88" s="1"/>
  <c r="K7" i="88"/>
  <c r="K9" i="88"/>
  <c r="I19" i="3" s="1"/>
  <c r="K3" i="86"/>
  <c r="K5" i="86" s="1"/>
  <c r="K7" i="86"/>
  <c r="K9" i="86"/>
  <c r="I272" i="3" s="1"/>
  <c r="K3" i="85"/>
  <c r="K5" i="85" s="1"/>
  <c r="K7" i="85"/>
  <c r="K11" i="85" s="1"/>
  <c r="K9" i="85"/>
  <c r="I354" i="3" s="1"/>
  <c r="K345" i="87"/>
  <c r="K31" i="87" s="1"/>
  <c r="K346" i="87"/>
  <c r="K44" i="87" s="1"/>
  <c r="I139" i="3" s="1"/>
  <c r="K306" i="87"/>
  <c r="K20" i="87" s="1"/>
  <c r="K314" i="87"/>
  <c r="K14" i="87" s="1"/>
  <c r="I314" i="2" s="1"/>
  <c r="S314" i="2" s="1"/>
  <c r="K277" i="87"/>
  <c r="K49" i="87" s="1"/>
  <c r="K284" i="87"/>
  <c r="K13" i="87" s="1"/>
  <c r="I313" i="2" s="1"/>
  <c r="S313" i="2" s="1"/>
  <c r="K252" i="87"/>
  <c r="K46" i="87" s="1"/>
  <c r="I279" i="3" s="1"/>
  <c r="K259" i="87"/>
  <c r="K12" i="87" s="1"/>
  <c r="I312" i="2" s="1"/>
  <c r="S312" i="2" s="1"/>
  <c r="K230" i="87"/>
  <c r="K41" i="87" s="1"/>
  <c r="K237" i="87"/>
  <c r="K11" i="87" s="1"/>
  <c r="I311" i="2" s="1"/>
  <c r="S311" i="2" s="1"/>
  <c r="K205" i="87"/>
  <c r="K19" i="87" s="1"/>
  <c r="K206" i="87"/>
  <c r="K25" i="87" s="1"/>
  <c r="K207" i="87"/>
  <c r="K38" i="87" s="1"/>
  <c r="I249" i="3" s="1"/>
  <c r="K214" i="87"/>
  <c r="K10" i="87" s="1"/>
  <c r="I310" i="2" s="1"/>
  <c r="S310" i="2" s="1"/>
  <c r="K176" i="87"/>
  <c r="K24" i="87" s="1"/>
  <c r="K177" i="87"/>
  <c r="K35" i="87" s="1"/>
  <c r="K184" i="87"/>
  <c r="K9" i="87" s="1"/>
  <c r="I309" i="2" s="1"/>
  <c r="S309" i="2" s="1"/>
  <c r="K143" i="87"/>
  <c r="K30" i="87" s="1"/>
  <c r="K144" i="87"/>
  <c r="K34" i="87" s="1"/>
  <c r="K145" i="87"/>
  <c r="K48" i="87" s="1"/>
  <c r="K146" i="87"/>
  <c r="K52" i="87" s="1"/>
  <c r="K153" i="87"/>
  <c r="K8" i="87" s="1"/>
  <c r="I308" i="2" s="1"/>
  <c r="S308" i="2" s="1"/>
  <c r="K112" i="87"/>
  <c r="K23" i="87" s="1"/>
  <c r="K119" i="87"/>
  <c r="K7" i="87" s="1"/>
  <c r="I307" i="2" s="1"/>
  <c r="S307" i="2" s="1"/>
  <c r="K40" i="87"/>
  <c r="K97" i="87"/>
  <c r="K6" i="87"/>
  <c r="I306" i="2" s="1"/>
  <c r="S306" i="2" s="1"/>
  <c r="K28" i="87"/>
  <c r="I99" i="3" s="1"/>
  <c r="K5" i="87"/>
  <c r="I305" i="2" s="1"/>
  <c r="S305" i="2" s="1"/>
  <c r="K284" i="84"/>
  <c r="K31" i="84" s="1"/>
  <c r="K285" i="84"/>
  <c r="K34" i="84" s="1"/>
  <c r="I82" i="3" s="1"/>
  <c r="K249" i="84"/>
  <c r="K251" i="84"/>
  <c r="K21" i="84" s="1"/>
  <c r="K252" i="84"/>
  <c r="K30" i="84" s="1"/>
  <c r="K259" i="84"/>
  <c r="K11" i="84" s="1"/>
  <c r="I62" i="2" s="1"/>
  <c r="S62" i="2" s="1"/>
  <c r="K246" i="84"/>
  <c r="K229" i="84"/>
  <c r="K208" i="84"/>
  <c r="K16" i="84" s="1"/>
  <c r="K209" i="84"/>
  <c r="K27" i="84" s="1"/>
  <c r="K210" i="84"/>
  <c r="K37" i="84" s="1"/>
  <c r="K217" i="84"/>
  <c r="K10" i="84" s="1"/>
  <c r="I61" i="2" s="1"/>
  <c r="S61" i="2" s="1"/>
  <c r="K167" i="84"/>
  <c r="K15" i="84" s="1"/>
  <c r="K168" i="84"/>
  <c r="K20" i="84" s="1"/>
  <c r="K175" i="84"/>
  <c r="K9" i="84" s="1"/>
  <c r="I60" i="2" s="1"/>
  <c r="S60" i="2" s="1"/>
  <c r="K127" i="84"/>
  <c r="K19" i="84" s="1"/>
  <c r="K128" i="84"/>
  <c r="K135" i="84"/>
  <c r="K8" i="84" s="1"/>
  <c r="I59" i="2" s="1"/>
  <c r="S59" i="2" s="1"/>
  <c r="K102" i="84"/>
  <c r="K36" i="84" s="1"/>
  <c r="K109" i="84"/>
  <c r="K7" i="84" s="1"/>
  <c r="I58" i="2" s="1"/>
  <c r="S58" i="2" s="1"/>
  <c r="K78" i="84"/>
  <c r="K26" i="84" s="1"/>
  <c r="K86" i="84"/>
  <c r="K6" i="84" s="1"/>
  <c r="I57" i="2" s="1"/>
  <c r="S57" i="2" s="1"/>
  <c r="K24" i="84"/>
  <c r="I234" i="3" s="1"/>
  <c r="K49" i="84"/>
  <c r="K5" i="84" s="1"/>
  <c r="I56" i="2" s="1"/>
  <c r="S56" i="2" s="1"/>
  <c r="K3" i="83"/>
  <c r="K5" i="83" s="1"/>
  <c r="K7" i="83"/>
  <c r="K11" i="83" s="1"/>
  <c r="K9" i="83"/>
  <c r="I189" i="3" s="1"/>
  <c r="K377" i="82"/>
  <c r="K54" i="82" s="1"/>
  <c r="K357" i="82"/>
  <c r="K37" i="82" s="1"/>
  <c r="K358" i="82"/>
  <c r="K365" i="82"/>
  <c r="K14" i="82" s="1"/>
  <c r="I401" i="2" s="1"/>
  <c r="S401" i="2" s="1"/>
  <c r="K320" i="82"/>
  <c r="K33" i="82" s="1"/>
  <c r="K321" i="82"/>
  <c r="K49" i="82" s="1"/>
  <c r="K328" i="82"/>
  <c r="K315" i="82"/>
  <c r="K309" i="82"/>
  <c r="K283" i="82"/>
  <c r="K30" i="82" s="1"/>
  <c r="I227" i="3" s="1"/>
  <c r="K284" i="82"/>
  <c r="K32" i="82" s="1"/>
  <c r="K291" i="82"/>
  <c r="K12" i="82" s="1"/>
  <c r="I399" i="2" s="1"/>
  <c r="S399" i="2" s="1"/>
  <c r="K28" i="82"/>
  <c r="I459" i="3" s="1"/>
  <c r="K36" i="82"/>
  <c r="K256" i="82"/>
  <c r="K11" i="82" s="1"/>
  <c r="I398" i="2" s="1"/>
  <c r="S398" i="2" s="1"/>
  <c r="K209" i="82"/>
  <c r="K211" i="82"/>
  <c r="K25" i="82" s="1"/>
  <c r="K212" i="82"/>
  <c r="K53" i="82" s="1"/>
  <c r="K10" i="82"/>
  <c r="I397" i="2" s="1"/>
  <c r="S397" i="2" s="1"/>
  <c r="K197" i="82"/>
  <c r="K175" i="82"/>
  <c r="K20" i="82" s="1"/>
  <c r="I224" i="3" s="1"/>
  <c r="K176" i="82"/>
  <c r="K24" i="82" s="1"/>
  <c r="K183" i="82"/>
  <c r="K9" i="82" s="1"/>
  <c r="I396" i="2" s="1"/>
  <c r="S396" i="2" s="1"/>
  <c r="K145" i="82"/>
  <c r="K22" i="82" s="1"/>
  <c r="I217" i="3" s="1"/>
  <c r="K152" i="82"/>
  <c r="K8" i="82" s="1"/>
  <c r="I395" i="2" s="1"/>
  <c r="S395" i="2" s="1"/>
  <c r="K120" i="82"/>
  <c r="K43" i="82" s="1"/>
  <c r="K46" i="82"/>
  <c r="I421" i="3" s="1"/>
  <c r="K128" i="82"/>
  <c r="K7" i="82" s="1"/>
  <c r="I394" i="2" s="1"/>
  <c r="S394" i="2" s="1"/>
  <c r="K114" i="82"/>
  <c r="K90" i="82"/>
  <c r="K78" i="82"/>
  <c r="K74" i="82"/>
  <c r="K71" i="82"/>
  <c r="K13" i="82"/>
  <c r="I400" i="2" s="1"/>
  <c r="S400" i="2" s="1"/>
  <c r="K40" i="82"/>
  <c r="I531" i="3" s="1"/>
  <c r="K42" i="82"/>
  <c r="K48" i="82"/>
  <c r="K50" i="82"/>
  <c r="K4" i="82"/>
  <c r="K17" i="82" s="1"/>
  <c r="K30" i="81"/>
  <c r="I306" i="3" s="1"/>
  <c r="K34" i="81"/>
  <c r="I194" i="3" s="1"/>
  <c r="K36" i="81"/>
  <c r="I394" i="3" s="1"/>
  <c r="K147" i="81"/>
  <c r="K26" i="81" s="1"/>
  <c r="I192" i="3" s="1"/>
  <c r="K148" i="81"/>
  <c r="K28" i="81" s="1"/>
  <c r="I503" i="3" s="1"/>
  <c r="K149" i="81"/>
  <c r="K41" i="81" s="1"/>
  <c r="K8" i="81"/>
  <c r="I454" i="2" s="1"/>
  <c r="S454" i="2" s="1"/>
  <c r="K115" i="81"/>
  <c r="K16" i="81" s="1"/>
  <c r="I270" i="3" s="1"/>
  <c r="K18" i="81"/>
  <c r="I257" i="3" s="1"/>
  <c r="K20" i="81"/>
  <c r="I208" i="3" s="1"/>
  <c r="K124" i="81"/>
  <c r="K7" i="81" s="1"/>
  <c r="I453" i="2" s="1"/>
  <c r="S453" i="2" s="1"/>
  <c r="K111" i="81"/>
  <c r="K105" i="81"/>
  <c r="K76" i="81"/>
  <c r="K12" i="81" s="1"/>
  <c r="I490" i="3" s="1"/>
  <c r="K77" i="81"/>
  <c r="K14" i="81" s="1"/>
  <c r="I396" i="3" s="1"/>
  <c r="K78" i="81"/>
  <c r="K22" i="81" s="1"/>
  <c r="K79" i="81"/>
  <c r="K40" i="81" s="1"/>
  <c r="K6" i="81"/>
  <c r="I452" i="2" s="1"/>
  <c r="S452" i="2" s="1"/>
  <c r="K23" i="81"/>
  <c r="K32" i="81"/>
  <c r="I112" i="3" s="1"/>
  <c r="K38" i="81"/>
  <c r="I365" i="3" s="1"/>
  <c r="K53" i="81"/>
  <c r="K5" i="81" s="1"/>
  <c r="I451" i="2" s="1"/>
  <c r="S451" i="2" s="1"/>
  <c r="K3" i="80"/>
  <c r="K5" i="80" s="1"/>
  <c r="K7" i="80"/>
  <c r="K15" i="80" s="1"/>
  <c r="K9" i="80"/>
  <c r="K11" i="80"/>
  <c r="I475" i="3" s="1"/>
  <c r="K221" i="70"/>
  <c r="K14" i="70" s="1"/>
  <c r="K21" i="70"/>
  <c r="I25" i="3" s="1"/>
  <c r="K203" i="70"/>
  <c r="K9" i="70" s="1"/>
  <c r="I377" i="2" s="1"/>
  <c r="S377" i="2" s="1"/>
  <c r="K160" i="70"/>
  <c r="K18" i="70" s="1"/>
  <c r="K161" i="70"/>
  <c r="K27" i="70" s="1"/>
  <c r="I65" i="3" s="1"/>
  <c r="K168" i="70"/>
  <c r="K8" i="70" s="1"/>
  <c r="I376" i="2" s="1"/>
  <c r="S376" i="2" s="1"/>
  <c r="K111" i="70"/>
  <c r="K13" i="70" s="1"/>
  <c r="K112" i="70"/>
  <c r="K24" i="70" s="1"/>
  <c r="K119" i="70"/>
  <c r="K7" i="70" s="1"/>
  <c r="I375" i="2" s="1"/>
  <c r="S375" i="2" s="1"/>
  <c r="K104" i="70"/>
  <c r="K99" i="70"/>
  <c r="K74" i="70"/>
  <c r="K17" i="70" s="1"/>
  <c r="K75" i="70"/>
  <c r="K23" i="70" s="1"/>
  <c r="K82" i="70"/>
  <c r="K6" i="70" s="1"/>
  <c r="I374" i="2" s="1"/>
  <c r="S374" i="2" s="1"/>
  <c r="K38" i="70"/>
  <c r="K5" i="70" s="1"/>
  <c r="I373" i="2" s="1"/>
  <c r="K145" i="60"/>
  <c r="K17" i="60" s="1"/>
  <c r="I429" i="3" s="1"/>
  <c r="K146" i="60"/>
  <c r="K135" i="60"/>
  <c r="K11" i="60"/>
  <c r="I417" i="3" s="1"/>
  <c r="K15" i="60"/>
  <c r="I109" i="3" s="1"/>
  <c r="K19" i="60"/>
  <c r="K111" i="60"/>
  <c r="K4" i="60" s="1"/>
  <c r="K8" i="60" s="1"/>
  <c r="K13" i="60"/>
  <c r="I81" i="3" s="1"/>
  <c r="K20" i="60"/>
  <c r="K35" i="60"/>
  <c r="K3" i="60" s="1"/>
  <c r="I390" i="2" s="1"/>
  <c r="K7" i="79"/>
  <c r="K17" i="79"/>
  <c r="K19" i="79"/>
  <c r="K3" i="79"/>
  <c r="K5" i="79" s="1"/>
  <c r="K8" i="79"/>
  <c r="K12" i="79"/>
  <c r="K15" i="79"/>
  <c r="K3" i="76"/>
  <c r="K5" i="76" s="1"/>
  <c r="K7" i="76"/>
  <c r="K9" i="76"/>
  <c r="K11" i="76" s="1"/>
  <c r="K13" i="76"/>
  <c r="K208" i="75"/>
  <c r="K30" i="75" s="1"/>
  <c r="I68" i="3" s="1"/>
  <c r="K171" i="75"/>
  <c r="K172" i="75"/>
  <c r="K27" i="75" s="1"/>
  <c r="K179" i="75"/>
  <c r="K165" i="75"/>
  <c r="K158" i="75"/>
  <c r="K133" i="75"/>
  <c r="K16" i="75" s="1"/>
  <c r="K134" i="75"/>
  <c r="K26" i="75" s="1"/>
  <c r="K141" i="75"/>
  <c r="K8" i="75" s="1"/>
  <c r="I301" i="2" s="1"/>
  <c r="S301" i="2" s="1"/>
  <c r="K124" i="75"/>
  <c r="K99" i="75"/>
  <c r="K19" i="75" s="1"/>
  <c r="I262" i="3" s="1"/>
  <c r="K100" i="75"/>
  <c r="K107" i="75"/>
  <c r="K7" i="75" s="1"/>
  <c r="I300" i="2" s="1"/>
  <c r="S300" i="2" s="1"/>
  <c r="K13" i="75"/>
  <c r="I16" i="3" s="1"/>
  <c r="K73" i="75"/>
  <c r="K6" i="75" s="1"/>
  <c r="I299" i="2" s="1"/>
  <c r="S299" i="2" s="1"/>
  <c r="K9" i="75"/>
  <c r="K15" i="75"/>
  <c r="K21" i="75"/>
  <c r="K22" i="75"/>
  <c r="K23" i="75"/>
  <c r="K5" i="75"/>
  <c r="I298" i="2" s="1"/>
  <c r="K298" i="74"/>
  <c r="K29" i="74" s="1"/>
  <c r="K299" i="74"/>
  <c r="K32" i="74" s="1"/>
  <c r="I215" i="3" s="1"/>
  <c r="K294" i="74"/>
  <c r="K278" i="74"/>
  <c r="K259" i="74"/>
  <c r="K28" i="74" s="1"/>
  <c r="K260" i="74"/>
  <c r="K36" i="74" s="1"/>
  <c r="K267" i="74"/>
  <c r="K255" i="74"/>
  <c r="K251" i="74"/>
  <c r="K242" i="74"/>
  <c r="K223" i="74"/>
  <c r="K25" i="74" s="1"/>
  <c r="I157" i="3" s="1"/>
  <c r="K230" i="74"/>
  <c r="K10" i="74" s="1"/>
  <c r="I116" i="2" s="1"/>
  <c r="S116" i="2" s="1"/>
  <c r="K177" i="74"/>
  <c r="K23" i="74" s="1"/>
  <c r="I330" i="3" s="1"/>
  <c r="K178" i="74"/>
  <c r="K35" i="74" s="1"/>
  <c r="K185" i="74"/>
  <c r="K9" i="74" s="1"/>
  <c r="I115" i="2" s="1"/>
  <c r="S115" i="2" s="1"/>
  <c r="K173" i="74"/>
  <c r="K169" i="74"/>
  <c r="K153" i="74"/>
  <c r="K142" i="74"/>
  <c r="K16" i="74" s="1"/>
  <c r="K143" i="74"/>
  <c r="K21" i="74" s="1"/>
  <c r="I303" i="3" s="1"/>
  <c r="K150" i="74"/>
  <c r="K8" i="74" s="1"/>
  <c r="I114" i="2" s="1"/>
  <c r="S114" i="2" s="1"/>
  <c r="K133" i="74"/>
  <c r="K110" i="74"/>
  <c r="K19" i="74" s="1"/>
  <c r="I144" i="3" s="1"/>
  <c r="K111" i="74"/>
  <c r="K27" i="74" s="1"/>
  <c r="K75" i="74"/>
  <c r="K15" i="74" s="1"/>
  <c r="K76" i="74"/>
  <c r="K34" i="74" s="1"/>
  <c r="K83" i="74"/>
  <c r="K6" i="74"/>
  <c r="I112" i="2" s="1"/>
  <c r="K7" i="74"/>
  <c r="I113" i="2" s="1"/>
  <c r="S113" i="2" s="1"/>
  <c r="K11" i="74"/>
  <c r="I117" i="2" s="1"/>
  <c r="S117" i="2" s="1"/>
  <c r="K50" i="74"/>
  <c r="K5" i="74" s="1"/>
  <c r="I111" i="2" s="1"/>
  <c r="S111" i="2" s="1"/>
  <c r="K3" i="73"/>
  <c r="K5" i="73" s="1"/>
  <c r="K7" i="73"/>
  <c r="K13" i="73" s="1"/>
  <c r="K9" i="73"/>
  <c r="K11" i="73"/>
  <c r="I204" i="3" s="1"/>
  <c r="K285" i="71"/>
  <c r="K24" i="71" s="1"/>
  <c r="K256" i="71"/>
  <c r="K257" i="71"/>
  <c r="K33" i="71" s="1"/>
  <c r="K264" i="71"/>
  <c r="K11" i="71" s="1"/>
  <c r="I446" i="2" s="1"/>
  <c r="S446" i="2" s="1"/>
  <c r="K222" i="71"/>
  <c r="K32" i="71" s="1"/>
  <c r="K229" i="71"/>
  <c r="K10" i="71" s="1"/>
  <c r="I445" i="2" s="1"/>
  <c r="S445" i="2" s="1"/>
  <c r="K193" i="71"/>
  <c r="K200" i="71"/>
  <c r="K9" i="71" s="1"/>
  <c r="I444" i="2" s="1"/>
  <c r="S444" i="2" s="1"/>
  <c r="K15" i="71"/>
  <c r="I158" i="3" s="1"/>
  <c r="K23" i="71"/>
  <c r="K28" i="71"/>
  <c r="K167" i="71"/>
  <c r="K8" i="71" s="1"/>
  <c r="I443" i="2" s="1"/>
  <c r="S443" i="2" s="1"/>
  <c r="K99" i="71"/>
  <c r="K17" i="71" s="1"/>
  <c r="K100" i="71"/>
  <c r="K7" i="71"/>
  <c r="I442" i="2" s="1"/>
  <c r="S442" i="2" s="1"/>
  <c r="K88" i="71"/>
  <c r="K80" i="71"/>
  <c r="K68" i="71"/>
  <c r="K27" i="71" s="1"/>
  <c r="K76" i="71"/>
  <c r="K6" i="71" s="1"/>
  <c r="I441" i="2" s="1"/>
  <c r="S441" i="2" s="1"/>
  <c r="K18" i="71"/>
  <c r="K21" i="71"/>
  <c r="I265" i="3" s="1"/>
  <c r="K31" i="71"/>
  <c r="K47" i="71"/>
  <c r="K5" i="71" s="1"/>
  <c r="I440" i="2" s="1"/>
  <c r="S440" i="2" s="1"/>
  <c r="K3" i="92"/>
  <c r="K5" i="92" s="1"/>
  <c r="K7" i="92"/>
  <c r="K9" i="92"/>
  <c r="I84" i="3" s="1"/>
  <c r="K102" i="65"/>
  <c r="K7" i="65" s="1"/>
  <c r="I530" i="3" s="1"/>
  <c r="K103" i="65"/>
  <c r="K9" i="65" s="1"/>
  <c r="I498" i="3" s="1"/>
  <c r="K104" i="65"/>
  <c r="K12" i="65" s="1"/>
  <c r="K105" i="65"/>
  <c r="K15" i="65" s="1"/>
  <c r="I509" i="3" s="1"/>
  <c r="K85" i="65"/>
  <c r="K80" i="65"/>
  <c r="K69" i="65"/>
  <c r="K3" i="65"/>
  <c r="K5" i="65" s="1"/>
  <c r="K28" i="65"/>
  <c r="K275" i="30"/>
  <c r="K276" i="30"/>
  <c r="K35" i="30" s="1"/>
  <c r="K264" i="30"/>
  <c r="K255" i="30"/>
  <c r="K11" i="30" s="1"/>
  <c r="I108" i="2" s="1"/>
  <c r="S108" i="2" s="1"/>
  <c r="K246" i="30"/>
  <c r="K247" i="30"/>
  <c r="K31" i="30" s="1"/>
  <c r="K208" i="30"/>
  <c r="K26" i="30" s="1"/>
  <c r="I529" i="3" s="1"/>
  <c r="K209" i="30"/>
  <c r="K28" i="30" s="1"/>
  <c r="I511" i="3" s="1"/>
  <c r="K210" i="30"/>
  <c r="K30" i="30" s="1"/>
  <c r="K217" i="30"/>
  <c r="K10" i="30" s="1"/>
  <c r="I107" i="2" s="1"/>
  <c r="S107" i="2" s="1"/>
  <c r="K202" i="30"/>
  <c r="K196" i="30"/>
  <c r="K191" i="30"/>
  <c r="K187" i="30"/>
  <c r="K166" i="30"/>
  <c r="K155" i="30"/>
  <c r="K24" i="30" s="1"/>
  <c r="I340" i="3" s="1"/>
  <c r="K163" i="30"/>
  <c r="K9" i="30" s="1"/>
  <c r="I106" i="2" s="1"/>
  <c r="S106" i="2" s="1"/>
  <c r="K127" i="30"/>
  <c r="K16" i="30" s="1"/>
  <c r="K128" i="30"/>
  <c r="K34" i="30" s="1"/>
  <c r="K136" i="30"/>
  <c r="K122" i="30"/>
  <c r="K107" i="30"/>
  <c r="K104" i="30"/>
  <c r="K101" i="30"/>
  <c r="K98" i="30"/>
  <c r="K86" i="30"/>
  <c r="K19" i="30" s="1"/>
  <c r="K93" i="30"/>
  <c r="K7" i="30" s="1"/>
  <c r="I104" i="2" s="1"/>
  <c r="S104" i="2" s="1"/>
  <c r="K61" i="30"/>
  <c r="K15" i="30" s="1"/>
  <c r="K68" i="30"/>
  <c r="K6" i="30" s="1"/>
  <c r="I103" i="2" s="1"/>
  <c r="S103" i="2" s="1"/>
  <c r="K8" i="30"/>
  <c r="I105" i="2" s="1"/>
  <c r="S105" i="2" s="1"/>
  <c r="K20" i="30"/>
  <c r="K21" i="30"/>
  <c r="K47" i="30"/>
  <c r="K5" i="30" s="1"/>
  <c r="I102" i="2" s="1"/>
  <c r="S102" i="2" s="1"/>
  <c r="K13" i="65" l="1"/>
  <c r="I522" i="3" s="1"/>
  <c r="K11" i="92"/>
  <c r="I15" i="3"/>
  <c r="K13" i="90"/>
  <c r="K17" i="90"/>
  <c r="I156" i="2"/>
  <c r="S156" i="2" s="1"/>
  <c r="I250" i="3"/>
  <c r="K15" i="90"/>
  <c r="K28" i="84"/>
  <c r="I175" i="3" s="1"/>
  <c r="K38" i="84"/>
  <c r="I154" i="3" s="1"/>
  <c r="K24" i="96"/>
  <c r="I213" i="3" s="1"/>
  <c r="I381" i="2"/>
  <c r="S381" i="2" s="1"/>
  <c r="K11" i="86"/>
  <c r="I72" i="3"/>
  <c r="I380" i="2"/>
  <c r="K17" i="80"/>
  <c r="I334" i="2"/>
  <c r="S334" i="2" s="1"/>
  <c r="I425" i="3"/>
  <c r="K24" i="75"/>
  <c r="I206" i="3" s="1"/>
  <c r="K17" i="73"/>
  <c r="K15" i="73"/>
  <c r="I119" i="2"/>
  <c r="S119" i="2" s="1"/>
  <c r="I485" i="3"/>
  <c r="K21" i="32"/>
  <c r="I369" i="3" s="1"/>
  <c r="K37" i="74"/>
  <c r="I163" i="3" s="1"/>
  <c r="K17" i="74"/>
  <c r="I135" i="3" s="1"/>
  <c r="K44" i="82"/>
  <c r="I332" i="3" s="1"/>
  <c r="I403" i="2"/>
  <c r="S403" i="2" s="1"/>
  <c r="I464" i="3"/>
  <c r="I169" i="2"/>
  <c r="S169" i="2" s="1"/>
  <c r="I172" i="2"/>
  <c r="S172" i="2" s="1"/>
  <c r="K19" i="89"/>
  <c r="K20" i="89" s="1"/>
  <c r="K15" i="70"/>
  <c r="I35" i="3" s="1"/>
  <c r="K21" i="79"/>
  <c r="I155" i="2"/>
  <c r="S155" i="2" s="1"/>
  <c r="I430" i="3"/>
  <c r="K11" i="88"/>
  <c r="I47" i="3"/>
  <c r="I154" i="2"/>
  <c r="S154" i="2" s="1"/>
  <c r="I153" i="2"/>
  <c r="S153" i="2" s="1"/>
  <c r="I378" i="2"/>
  <c r="S378" i="2" s="1"/>
  <c r="K47" i="93"/>
  <c r="I398" i="3" s="1"/>
  <c r="I230" i="3"/>
  <c r="I150" i="2"/>
  <c r="S150" i="2" s="1"/>
  <c r="K17" i="84"/>
  <c r="I12" i="3" s="1"/>
  <c r="K19" i="70"/>
  <c r="I40" i="3" s="1"/>
  <c r="K25" i="70"/>
  <c r="I57" i="3" s="1"/>
  <c r="S373" i="2"/>
  <c r="I420" i="2"/>
  <c r="S420" i="2" s="1"/>
  <c r="K11" i="97"/>
  <c r="I448" i="2"/>
  <c r="S448" i="2" s="1"/>
  <c r="I168" i="3"/>
  <c r="K29" i="94"/>
  <c r="I195" i="3" s="1"/>
  <c r="I391" i="2"/>
  <c r="S391" i="2" s="1"/>
  <c r="K38" i="82"/>
  <c r="I499" i="3" s="1"/>
  <c r="S390" i="2"/>
  <c r="K30" i="74"/>
  <c r="I199" i="3" s="1"/>
  <c r="K17" i="32"/>
  <c r="I454" i="3" s="1"/>
  <c r="K29" i="32"/>
  <c r="I313" i="3" s="1"/>
  <c r="I114" i="3"/>
  <c r="I333" i="2"/>
  <c r="S333" i="2" s="1"/>
  <c r="I63" i="2"/>
  <c r="S63" i="2" s="1"/>
  <c r="I179" i="2"/>
  <c r="S179" i="2" s="1"/>
  <c r="S177" i="2"/>
  <c r="I447" i="2"/>
  <c r="K34" i="71"/>
  <c r="I124" i="3" s="1"/>
  <c r="I310" i="3"/>
  <c r="I276" i="2"/>
  <c r="S276" i="2" s="1"/>
  <c r="I411" i="2"/>
  <c r="S411" i="2" s="1"/>
  <c r="K3" i="32"/>
  <c r="K12" i="32" s="1"/>
  <c r="I428" i="2"/>
  <c r="S428" i="2" s="1"/>
  <c r="S423" i="2"/>
  <c r="I402" i="2"/>
  <c r="I109" i="2"/>
  <c r="S109" i="2" s="1"/>
  <c r="I118" i="2"/>
  <c r="S112" i="2"/>
  <c r="I325" i="2"/>
  <c r="S325" i="2" s="1"/>
  <c r="S319" i="2"/>
  <c r="K26" i="87"/>
  <c r="I93" i="3" s="1"/>
  <c r="I188" i="2"/>
  <c r="S188" i="2" s="1"/>
  <c r="I342" i="3"/>
  <c r="K15" i="91"/>
  <c r="K17" i="75"/>
  <c r="I231" i="3" s="1"/>
  <c r="I303" i="2"/>
  <c r="S303" i="2" s="1"/>
  <c r="S298" i="2"/>
  <c r="K24" i="81"/>
  <c r="I301" i="3" s="1"/>
  <c r="I455" i="2"/>
  <c r="S455" i="2" s="1"/>
  <c r="K36" i="87"/>
  <c r="I225" i="3" s="1"/>
  <c r="K50" i="87"/>
  <c r="I87" i="3" s="1"/>
  <c r="I316" i="2"/>
  <c r="S316" i="2" s="1"/>
  <c r="S315" i="2"/>
  <c r="K15" i="97"/>
  <c r="K13" i="97"/>
  <c r="K20" i="96"/>
  <c r="I489" i="3" s="1"/>
  <c r="K3" i="96"/>
  <c r="K12" i="96" s="1"/>
  <c r="K17" i="61"/>
  <c r="K19" i="61"/>
  <c r="K21" i="61"/>
  <c r="K49" i="95"/>
  <c r="I169" i="3" s="1"/>
  <c r="K3" i="95"/>
  <c r="K11" i="95" s="1"/>
  <c r="K63" i="95"/>
  <c r="K39" i="94"/>
  <c r="I140" i="3" s="1"/>
  <c r="K33" i="94"/>
  <c r="I44" i="3" s="1"/>
  <c r="K19" i="94"/>
  <c r="I98" i="3" s="1"/>
  <c r="K3" i="94"/>
  <c r="K13" i="94" s="1"/>
  <c r="K71" i="93"/>
  <c r="I505" i="3" s="1"/>
  <c r="K3" i="93"/>
  <c r="K13" i="93" s="1"/>
  <c r="K25" i="32"/>
  <c r="I386" i="3" s="1"/>
  <c r="K13" i="91"/>
  <c r="K26" i="89"/>
  <c r="I468" i="3" s="1"/>
  <c r="K44" i="89"/>
  <c r="K3" i="89"/>
  <c r="K11" i="89" s="1"/>
  <c r="K46" i="89"/>
  <c r="K13" i="88"/>
  <c r="K15" i="88"/>
  <c r="K13" i="86"/>
  <c r="K15" i="86"/>
  <c r="K13" i="85"/>
  <c r="K15" i="85"/>
  <c r="K54" i="87"/>
  <c r="I211" i="3" s="1"/>
  <c r="K32" i="87"/>
  <c r="I248" i="3" s="1"/>
  <c r="K21" i="87"/>
  <c r="K42" i="87"/>
  <c r="I291" i="3" s="1"/>
  <c r="K3" i="87"/>
  <c r="K17" i="87" s="1"/>
  <c r="K32" i="84"/>
  <c r="I111" i="3" s="1"/>
  <c r="K22" i="84"/>
  <c r="K3" i="84"/>
  <c r="K13" i="84" s="1"/>
  <c r="K13" i="83"/>
  <c r="K15" i="83"/>
  <c r="K55" i="82"/>
  <c r="I289" i="3" s="1"/>
  <c r="K51" i="82"/>
  <c r="I404" i="3" s="1"/>
  <c r="K34" i="82"/>
  <c r="I343" i="3" s="1"/>
  <c r="K26" i="82"/>
  <c r="I233" i="3" s="1"/>
  <c r="K3" i="82"/>
  <c r="K5" i="82" s="1"/>
  <c r="K18" i="82" s="1"/>
  <c r="K42" i="81"/>
  <c r="K3" i="81"/>
  <c r="K10" i="81" s="1"/>
  <c r="K13" i="80"/>
  <c r="K3" i="70"/>
  <c r="K11" i="70" s="1"/>
  <c r="K31" i="70"/>
  <c r="K21" i="60"/>
  <c r="K25" i="60" s="1"/>
  <c r="K5" i="60"/>
  <c r="K9" i="60" s="1"/>
  <c r="K7" i="60"/>
  <c r="K11" i="79"/>
  <c r="K13" i="79" s="1"/>
  <c r="I484" i="3" s="1"/>
  <c r="K9" i="79"/>
  <c r="K15" i="76"/>
  <c r="K28" i="75"/>
  <c r="I23" i="3" s="1"/>
  <c r="K3" i="75"/>
  <c r="K11" i="75" s="1"/>
  <c r="K34" i="75"/>
  <c r="K3" i="74"/>
  <c r="K13" i="74" s="1"/>
  <c r="K25" i="71"/>
  <c r="I170" i="3" s="1"/>
  <c r="K29" i="71"/>
  <c r="I145" i="3" s="1"/>
  <c r="K19" i="71"/>
  <c r="K3" i="71"/>
  <c r="K13" i="71"/>
  <c r="K13" i="92"/>
  <c r="K15" i="92"/>
  <c r="K17" i="65"/>
  <c r="K21" i="65"/>
  <c r="K19" i="65"/>
  <c r="K36" i="30"/>
  <c r="I117" i="3" s="1"/>
  <c r="K22" i="30"/>
  <c r="I191" i="3" s="1"/>
  <c r="K32" i="30"/>
  <c r="I11" i="3" s="1"/>
  <c r="K17" i="30"/>
  <c r="I51" i="3" s="1"/>
  <c r="K3" i="30"/>
  <c r="K13" i="30" s="1"/>
  <c r="K321" i="29"/>
  <c r="K22" i="29" s="1"/>
  <c r="K322" i="29"/>
  <c r="K323" i="29"/>
  <c r="K37" i="29" s="1"/>
  <c r="I36" i="3" s="1"/>
  <c r="K304" i="29"/>
  <c r="K273" i="29"/>
  <c r="K274" i="29"/>
  <c r="K33" i="29" s="1"/>
  <c r="K281" i="29"/>
  <c r="K249" i="29"/>
  <c r="K250" i="29"/>
  <c r="K25" i="29" s="1"/>
  <c r="I382" i="3" s="1"/>
  <c r="K258" i="29"/>
  <c r="K10" i="29" s="1"/>
  <c r="I52" i="2" s="1"/>
  <c r="S52" i="2" s="1"/>
  <c r="K204" i="29"/>
  <c r="K27" i="29" s="1"/>
  <c r="I314" i="3" s="1"/>
  <c r="K205" i="29"/>
  <c r="K40" i="29" s="1"/>
  <c r="K213" i="29"/>
  <c r="K9" i="29" s="1"/>
  <c r="I51" i="2" s="1"/>
  <c r="K153" i="29"/>
  <c r="K19" i="29" s="1"/>
  <c r="I375" i="3" s="1"/>
  <c r="K160" i="29"/>
  <c r="K8" i="29" s="1"/>
  <c r="I50" i="2" s="1"/>
  <c r="S50" i="2" s="1"/>
  <c r="K126" i="29"/>
  <c r="K15" i="29" s="1"/>
  <c r="K127" i="29"/>
  <c r="K134" i="29"/>
  <c r="K89" i="29"/>
  <c r="K90" i="29"/>
  <c r="K39" i="29" s="1"/>
  <c r="K97" i="29"/>
  <c r="K6" i="29" s="1"/>
  <c r="I48" i="2" s="1"/>
  <c r="S48" i="2" s="1"/>
  <c r="K81" i="29"/>
  <c r="K71" i="29"/>
  <c r="K58" i="29"/>
  <c r="K55" i="29"/>
  <c r="K7" i="29"/>
  <c r="I49" i="2" s="1"/>
  <c r="S49" i="2" s="1"/>
  <c r="K11" i="29"/>
  <c r="I53" i="2" s="1"/>
  <c r="S53" i="2" s="1"/>
  <c r="K16" i="29"/>
  <c r="K21" i="29"/>
  <c r="K29" i="29"/>
  <c r="K30" i="29"/>
  <c r="K34" i="29"/>
  <c r="K52" i="29"/>
  <c r="K5" i="29" s="1"/>
  <c r="I47" i="2" s="1"/>
  <c r="S47" i="2" s="1"/>
  <c r="K3" i="72"/>
  <c r="K7" i="72"/>
  <c r="K9" i="72"/>
  <c r="I7" i="3" s="1"/>
  <c r="K47" i="69"/>
  <c r="K36" i="69"/>
  <c r="K33" i="69"/>
  <c r="K28" i="69"/>
  <c r="K25" i="69"/>
  <c r="K22" i="69"/>
  <c r="K3" i="69"/>
  <c r="K7" i="69"/>
  <c r="I9" i="3" s="1"/>
  <c r="K9" i="69"/>
  <c r="K88" i="68"/>
  <c r="K14" i="68" s="1"/>
  <c r="K89" i="68"/>
  <c r="K56" i="68"/>
  <c r="K11" i="68" s="1"/>
  <c r="I524" i="3" s="1"/>
  <c r="K57" i="68"/>
  <c r="K13" i="68" s="1"/>
  <c r="K64" i="68"/>
  <c r="K4" i="68" s="1"/>
  <c r="K52" i="68"/>
  <c r="K41" i="68"/>
  <c r="K33" i="68"/>
  <c r="K17" i="68"/>
  <c r="I453" i="3" s="1"/>
  <c r="K28" i="68"/>
  <c r="K3" i="68" s="1"/>
  <c r="I167" i="2" s="1"/>
  <c r="S167" i="2" s="1"/>
  <c r="K3" i="67"/>
  <c r="K7" i="67"/>
  <c r="K9" i="67"/>
  <c r="I467" i="3" s="1"/>
  <c r="K212" i="66"/>
  <c r="K13" i="66" s="1"/>
  <c r="I492" i="3" s="1"/>
  <c r="K213" i="66"/>
  <c r="K41" i="66" s="1"/>
  <c r="I447" i="3" s="1"/>
  <c r="K214" i="66"/>
  <c r="K215" i="66"/>
  <c r="K45" i="66" s="1"/>
  <c r="I535" i="3" s="1"/>
  <c r="K179" i="66"/>
  <c r="K15" i="66" s="1"/>
  <c r="I241" i="3" s="1"/>
  <c r="K180" i="66"/>
  <c r="K181" i="66"/>
  <c r="K39" i="66" s="1"/>
  <c r="I359" i="3" s="1"/>
  <c r="K188" i="66"/>
  <c r="K9" i="66" s="1"/>
  <c r="I232" i="2" s="1"/>
  <c r="S232" i="2" s="1"/>
  <c r="K147" i="66"/>
  <c r="K31" i="66" s="1"/>
  <c r="I176" i="3" s="1"/>
  <c r="K148" i="66"/>
  <c r="K34" i="66" s="1"/>
  <c r="K155" i="66"/>
  <c r="K8" i="66" s="1"/>
  <c r="I231" i="2" s="1"/>
  <c r="S231" i="2" s="1"/>
  <c r="K118" i="66"/>
  <c r="K18" i="66" s="1"/>
  <c r="K119" i="66"/>
  <c r="K23" i="66" s="1"/>
  <c r="I373" i="3" s="1"/>
  <c r="K120" i="66"/>
  <c r="K25" i="66" s="1"/>
  <c r="I508" i="3" s="1"/>
  <c r="K121" i="66"/>
  <c r="K27" i="66" s="1"/>
  <c r="I518" i="3" s="1"/>
  <c r="K122" i="66"/>
  <c r="K129" i="66"/>
  <c r="K7" i="66" s="1"/>
  <c r="I230" i="2" s="1"/>
  <c r="S230" i="2" s="1"/>
  <c r="K21" i="66"/>
  <c r="I53" i="3" s="1"/>
  <c r="K86" i="66"/>
  <c r="K6" i="66" s="1"/>
  <c r="I229" i="2" s="1"/>
  <c r="S229" i="2" s="1"/>
  <c r="K17" i="66"/>
  <c r="K29" i="66"/>
  <c r="I477" i="3" s="1"/>
  <c r="K33" i="66"/>
  <c r="K37" i="66"/>
  <c r="I372" i="3" s="1"/>
  <c r="K43" i="66"/>
  <c r="I532" i="3" s="1"/>
  <c r="K5" i="66"/>
  <c r="I228" i="2" s="1"/>
  <c r="S228" i="2" s="1"/>
  <c r="K278" i="64"/>
  <c r="K20" i="64" s="1"/>
  <c r="K247" i="64"/>
  <c r="K248" i="64"/>
  <c r="K32" i="64" s="1"/>
  <c r="K249" i="64"/>
  <c r="K36" i="64" s="1"/>
  <c r="K256" i="64"/>
  <c r="K11" i="64" s="1"/>
  <c r="I99" i="2" s="1"/>
  <c r="S99" i="2" s="1"/>
  <c r="K225" i="64"/>
  <c r="K214" i="64"/>
  <c r="K202" i="64"/>
  <c r="K35" i="64" s="1"/>
  <c r="K209" i="64"/>
  <c r="K172" i="64"/>
  <c r="K174" i="64"/>
  <c r="K26" i="64" s="1"/>
  <c r="K175" i="64"/>
  <c r="K31" i="64" s="1"/>
  <c r="K182" i="64"/>
  <c r="K9" i="64" s="1"/>
  <c r="I97" i="2" s="1"/>
  <c r="S97" i="2" s="1"/>
  <c r="K148" i="64"/>
  <c r="K135" i="64"/>
  <c r="K25" i="64" s="1"/>
  <c r="K142" i="64"/>
  <c r="K8" i="64" s="1"/>
  <c r="I96" i="2" s="1"/>
  <c r="S96" i="2" s="1"/>
  <c r="K113" i="64"/>
  <c r="K16" i="64" s="1"/>
  <c r="K114" i="64"/>
  <c r="K115" i="64"/>
  <c r="K29" i="64" s="1"/>
  <c r="I113" i="3" s="1"/>
  <c r="K122" i="64"/>
  <c r="K85" i="64"/>
  <c r="K65" i="64"/>
  <c r="K72" i="64"/>
  <c r="K6" i="64" s="1"/>
  <c r="I94" i="2" s="1"/>
  <c r="S94" i="2" s="1"/>
  <c r="K7" i="64"/>
  <c r="I95" i="2" s="1"/>
  <c r="S95" i="2" s="1"/>
  <c r="K10" i="64"/>
  <c r="I98" i="2" s="1"/>
  <c r="S98" i="2" s="1"/>
  <c r="K15" i="64"/>
  <c r="K19" i="64"/>
  <c r="K23" i="64"/>
  <c r="I77" i="3" s="1"/>
  <c r="K48" i="64"/>
  <c r="K5" i="64" s="1"/>
  <c r="I93" i="2" s="1"/>
  <c r="S93" i="2" s="1"/>
  <c r="K296" i="63"/>
  <c r="K277" i="63"/>
  <c r="K32" i="63" s="1"/>
  <c r="I156" i="3" s="1"/>
  <c r="K284" i="63"/>
  <c r="K13" i="63" s="1"/>
  <c r="I87" i="2" s="1"/>
  <c r="S87" i="2" s="1"/>
  <c r="K230" i="63"/>
  <c r="K35" i="63" s="1"/>
  <c r="K237" i="63"/>
  <c r="K12" i="63" s="1"/>
  <c r="I86" i="2" s="1"/>
  <c r="S86" i="2" s="1"/>
  <c r="K204" i="63"/>
  <c r="K19" i="63" s="1"/>
  <c r="I62" i="3" s="1"/>
  <c r="K205" i="63"/>
  <c r="K212" i="63"/>
  <c r="K11" i="63" s="1"/>
  <c r="I85" i="2" s="1"/>
  <c r="S85" i="2" s="1"/>
  <c r="K177" i="63"/>
  <c r="K26" i="63" s="1"/>
  <c r="K178" i="63"/>
  <c r="K179" i="63"/>
  <c r="K40" i="63" s="1"/>
  <c r="K186" i="63"/>
  <c r="K10" i="63" s="1"/>
  <c r="I84" i="2" s="1"/>
  <c r="S84" i="2" s="1"/>
  <c r="K142" i="63"/>
  <c r="K143" i="63"/>
  <c r="K30" i="63" s="1"/>
  <c r="I216" i="3" s="1"/>
  <c r="K150" i="63"/>
  <c r="K9" i="63" s="1"/>
  <c r="I83" i="2" s="1"/>
  <c r="S83" i="2" s="1"/>
  <c r="K101" i="63"/>
  <c r="K103" i="63"/>
  <c r="K21" i="63" s="1"/>
  <c r="K104" i="63"/>
  <c r="K39" i="63" s="1"/>
  <c r="K112" i="63"/>
  <c r="K8" i="63" s="1"/>
  <c r="I82" i="2" s="1"/>
  <c r="S82" i="2" s="1"/>
  <c r="K89" i="63"/>
  <c r="K72" i="63"/>
  <c r="K36" i="63" s="1"/>
  <c r="K79" i="63"/>
  <c r="K7" i="63" s="1"/>
  <c r="I81" i="2" s="1"/>
  <c r="K22" i="63"/>
  <c r="K23" i="63"/>
  <c r="K27" i="63"/>
  <c r="K34" i="63"/>
  <c r="K54" i="63"/>
  <c r="K4" i="63" s="1"/>
  <c r="K3" i="62"/>
  <c r="K7" i="62"/>
  <c r="K9" i="62"/>
  <c r="K11" i="62"/>
  <c r="I462" i="3" s="1"/>
  <c r="K525" i="31"/>
  <c r="K30" i="31" s="1"/>
  <c r="K526" i="31"/>
  <c r="K527" i="31"/>
  <c r="K73" i="31" s="1"/>
  <c r="K511" i="31"/>
  <c r="K498" i="31"/>
  <c r="K485" i="31"/>
  <c r="K486" i="31"/>
  <c r="K70" i="31" s="1"/>
  <c r="I277" i="3" s="1"/>
  <c r="K495" i="31"/>
  <c r="K19" i="31" s="1"/>
  <c r="I222" i="2" s="1"/>
  <c r="S222" i="2" s="1"/>
  <c r="K450" i="31"/>
  <c r="K58" i="31" s="1"/>
  <c r="K451" i="31"/>
  <c r="K458" i="31"/>
  <c r="K18" i="31" s="1"/>
  <c r="I221" i="2" s="1"/>
  <c r="S221" i="2" s="1"/>
  <c r="K443" i="31"/>
  <c r="K432" i="31"/>
  <c r="K413" i="31"/>
  <c r="K44" i="31" s="1"/>
  <c r="K414" i="31"/>
  <c r="K421" i="31"/>
  <c r="K17" i="31" s="1"/>
  <c r="I220" i="2" s="1"/>
  <c r="S220" i="2" s="1"/>
  <c r="K390" i="31"/>
  <c r="K57" i="31" s="1"/>
  <c r="K397" i="31"/>
  <c r="K16" i="31" s="1"/>
  <c r="I219" i="2" s="1"/>
  <c r="S219" i="2" s="1"/>
  <c r="K353" i="31"/>
  <c r="K354" i="31"/>
  <c r="K55" i="31" s="1"/>
  <c r="I534" i="3" s="1"/>
  <c r="K355" i="31"/>
  <c r="K72" i="31" s="1"/>
  <c r="K364" i="31"/>
  <c r="K15" i="31" s="1"/>
  <c r="I218" i="2" s="1"/>
  <c r="S218" i="2" s="1"/>
  <c r="K342" i="31"/>
  <c r="K319" i="31"/>
  <c r="K53" i="31" s="1"/>
  <c r="I480" i="3" s="1"/>
  <c r="K327" i="31"/>
  <c r="K14" i="31" s="1"/>
  <c r="I217" i="2" s="1"/>
  <c r="S217" i="2" s="1"/>
  <c r="K289" i="31"/>
  <c r="K290" i="31"/>
  <c r="K51" i="31" s="1"/>
  <c r="I399" i="3" s="1"/>
  <c r="K297" i="31"/>
  <c r="K253" i="31"/>
  <c r="K43" i="31" s="1"/>
  <c r="K260" i="31"/>
  <c r="K228" i="31"/>
  <c r="K39" i="31" s="1"/>
  <c r="K235" i="31"/>
  <c r="K11" i="31" s="1"/>
  <c r="I214" i="2" s="1"/>
  <c r="S214" i="2" s="1"/>
  <c r="K37" i="31"/>
  <c r="I162" i="3" s="1"/>
  <c r="K198" i="31"/>
  <c r="K65" i="31" s="1"/>
  <c r="K205" i="31"/>
  <c r="K10" i="31" s="1"/>
  <c r="I213" i="2" s="1"/>
  <c r="S213" i="2" s="1"/>
  <c r="K168" i="31"/>
  <c r="K35" i="31" s="1"/>
  <c r="I478" i="3" s="1"/>
  <c r="K175" i="31"/>
  <c r="K9" i="31" s="1"/>
  <c r="I212" i="2" s="1"/>
  <c r="S212" i="2" s="1"/>
  <c r="K143" i="31"/>
  <c r="K144" i="31"/>
  <c r="K33" i="31" s="1"/>
  <c r="I533" i="3" s="1"/>
  <c r="K151" i="31"/>
  <c r="K8" i="31" s="1"/>
  <c r="I211" i="2" s="1"/>
  <c r="S211" i="2" s="1"/>
  <c r="K112" i="31"/>
  <c r="K27" i="31" s="1"/>
  <c r="I362" i="3" s="1"/>
  <c r="K113" i="31"/>
  <c r="K120" i="31"/>
  <c r="K5" i="31" s="1"/>
  <c r="K12" i="31"/>
  <c r="I215" i="2" s="1"/>
  <c r="S215" i="2" s="1"/>
  <c r="K13" i="31"/>
  <c r="I216" i="2" s="1"/>
  <c r="S216" i="2" s="1"/>
  <c r="K29" i="31"/>
  <c r="K40" i="31"/>
  <c r="K47" i="31"/>
  <c r="K48" i="31"/>
  <c r="K61" i="31"/>
  <c r="K62" i="31"/>
  <c r="K66" i="31"/>
  <c r="K67" i="31"/>
  <c r="K87" i="31"/>
  <c r="K4" i="31" s="1"/>
  <c r="K3" i="58"/>
  <c r="K7" i="58"/>
  <c r="K19" i="58" s="1"/>
  <c r="K11" i="58"/>
  <c r="I201" i="3" s="1"/>
  <c r="K13" i="58"/>
  <c r="I131" i="3" s="1"/>
  <c r="I30" i="3"/>
  <c r="K17" i="58"/>
  <c r="K8" i="58"/>
  <c r="K3" i="55"/>
  <c r="K7" i="55"/>
  <c r="I83" i="3" s="1"/>
  <c r="K9" i="55"/>
  <c r="K7" i="56" s="1"/>
  <c r="K3" i="56"/>
  <c r="K8" i="56"/>
  <c r="K11" i="56"/>
  <c r="I58" i="3" s="1"/>
  <c r="K13" i="56"/>
  <c r="K502" i="57"/>
  <c r="K51" i="57" s="1"/>
  <c r="K503" i="57"/>
  <c r="K72" i="57" s="1"/>
  <c r="I251" i="3" s="1"/>
  <c r="K472" i="57"/>
  <c r="K473" i="57"/>
  <c r="K69" i="57" s="1"/>
  <c r="K480" i="57"/>
  <c r="K18" i="57" s="1"/>
  <c r="I293" i="2" s="1"/>
  <c r="S293" i="2" s="1"/>
  <c r="K438" i="57"/>
  <c r="K439" i="57"/>
  <c r="K65" i="57" s="1"/>
  <c r="K446" i="57"/>
  <c r="K17" i="57" s="1"/>
  <c r="I292" i="2" s="1"/>
  <c r="S292" i="2" s="1"/>
  <c r="K405" i="57"/>
  <c r="K39" i="57" s="1"/>
  <c r="K406" i="57"/>
  <c r="K62" i="57" s="1"/>
  <c r="I63" i="3" s="1"/>
  <c r="K413" i="57"/>
  <c r="K16" i="57" s="1"/>
  <c r="I291" i="2" s="1"/>
  <c r="S291" i="2" s="1"/>
  <c r="K372" i="57"/>
  <c r="K43" i="57" s="1"/>
  <c r="K379" i="57"/>
  <c r="K15" i="57" s="1"/>
  <c r="I290" i="2" s="1"/>
  <c r="S290" i="2" s="1"/>
  <c r="K347" i="57"/>
  <c r="K33" i="57" s="1"/>
  <c r="K348" i="57"/>
  <c r="K349" i="57"/>
  <c r="K357" i="57"/>
  <c r="K14" i="57" s="1"/>
  <c r="I289" i="2" s="1"/>
  <c r="S289" i="2" s="1"/>
  <c r="K310" i="57"/>
  <c r="K311" i="57"/>
  <c r="K319" i="57"/>
  <c r="K13" i="57" s="1"/>
  <c r="I288" i="2" s="1"/>
  <c r="S288" i="2" s="1"/>
  <c r="K275" i="57"/>
  <c r="K282" i="57"/>
  <c r="K12" i="57" s="1"/>
  <c r="I287" i="2" s="1"/>
  <c r="K247" i="57"/>
  <c r="K36" i="57" s="1"/>
  <c r="I205" i="3" s="1"/>
  <c r="K248" i="57"/>
  <c r="K64" i="57" s="1"/>
  <c r="K255" i="57"/>
  <c r="K11" i="57" s="1"/>
  <c r="I286" i="2" s="1"/>
  <c r="S286" i="2" s="1"/>
  <c r="K217" i="57"/>
  <c r="K32" i="57" s="1"/>
  <c r="K224" i="57"/>
  <c r="K10" i="57" s="1"/>
  <c r="I285" i="2" s="1"/>
  <c r="S285" i="2" s="1"/>
  <c r="K190" i="57"/>
  <c r="K26" i="57" s="1"/>
  <c r="I247" i="3" s="1"/>
  <c r="K191" i="57"/>
  <c r="K198" i="57"/>
  <c r="K9" i="57" s="1"/>
  <c r="I284" i="2" s="1"/>
  <c r="S284" i="2" s="1"/>
  <c r="K184" i="57"/>
  <c r="K181" i="57"/>
  <c r="K155" i="57"/>
  <c r="K24" i="57" s="1"/>
  <c r="I14" i="3" s="1"/>
  <c r="K156" i="57"/>
  <c r="K163" i="57"/>
  <c r="K109" i="57"/>
  <c r="K28" i="57" s="1"/>
  <c r="K110" i="57"/>
  <c r="K111" i="57"/>
  <c r="K58" i="57" s="1"/>
  <c r="I90" i="3" s="1"/>
  <c r="K118" i="57"/>
  <c r="K7" i="57" s="1"/>
  <c r="I282" i="2" s="1"/>
  <c r="S282" i="2" s="1"/>
  <c r="K8" i="57"/>
  <c r="I283" i="2" s="1"/>
  <c r="S283" i="2" s="1"/>
  <c r="K29" i="57"/>
  <c r="K38" i="57"/>
  <c r="K42" i="57"/>
  <c r="K46" i="57"/>
  <c r="I284" i="3" s="1"/>
  <c r="K48" i="57"/>
  <c r="I295" i="3" s="1"/>
  <c r="K50" i="57"/>
  <c r="K54" i="57"/>
  <c r="K55" i="57"/>
  <c r="K60" i="57"/>
  <c r="I335" i="3" s="1"/>
  <c r="K68" i="57"/>
  <c r="K85" i="57"/>
  <c r="K4" i="57" s="1"/>
  <c r="K3" i="54"/>
  <c r="K7" i="54"/>
  <c r="K9" i="54"/>
  <c r="I446" i="3" s="1"/>
  <c r="K3" i="53"/>
  <c r="K8" i="53"/>
  <c r="I4" i="3" s="1"/>
  <c r="K169" i="52"/>
  <c r="K170" i="52"/>
  <c r="K171" i="52"/>
  <c r="K142" i="52"/>
  <c r="K21" i="52" s="1"/>
  <c r="K143" i="52"/>
  <c r="K150" i="52"/>
  <c r="K6" i="52" s="1"/>
  <c r="K116" i="52"/>
  <c r="K117" i="52"/>
  <c r="K118" i="52"/>
  <c r="K125" i="52"/>
  <c r="K5" i="52" s="1"/>
  <c r="K80" i="52"/>
  <c r="K15" i="52" s="1"/>
  <c r="I103" i="3" s="1"/>
  <c r="K81" i="52"/>
  <c r="K82" i="52"/>
  <c r="K25" i="52" s="1"/>
  <c r="I91" i="3" s="1"/>
  <c r="K83" i="52"/>
  <c r="K29" i="52" s="1"/>
  <c r="I360" i="3" s="1"/>
  <c r="K84" i="52"/>
  <c r="K91" i="52"/>
  <c r="K4" i="52" s="1"/>
  <c r="K17" i="52"/>
  <c r="K18" i="52"/>
  <c r="K22" i="52"/>
  <c r="K27" i="52"/>
  <c r="I513" i="3" s="1"/>
  <c r="K31" i="52"/>
  <c r="I463" i="3" s="1"/>
  <c r="K33" i="52"/>
  <c r="I495" i="3" s="1"/>
  <c r="K35" i="52"/>
  <c r="K36" i="52"/>
  <c r="K39" i="52"/>
  <c r="I510" i="3" s="1"/>
  <c r="K52" i="52"/>
  <c r="K3" i="52" s="1"/>
  <c r="I434" i="2" s="1"/>
  <c r="S434" i="2" s="1"/>
  <c r="K3" i="51"/>
  <c r="I76" i="3"/>
  <c r="K356" i="49"/>
  <c r="K55" i="49"/>
  <c r="K329" i="49"/>
  <c r="K306" i="49"/>
  <c r="K38" i="49" s="1"/>
  <c r="K307" i="49"/>
  <c r="K42" i="49" s="1"/>
  <c r="K308" i="49"/>
  <c r="K50" i="49" s="1"/>
  <c r="K315" i="49"/>
  <c r="K13" i="49" s="1"/>
  <c r="I43" i="2" s="1"/>
  <c r="S43" i="2" s="1"/>
  <c r="K301" i="49"/>
  <c r="K296" i="49"/>
  <c r="K289" i="49"/>
  <c r="K286" i="49"/>
  <c r="K274" i="49"/>
  <c r="K34" i="49" s="1"/>
  <c r="K275" i="49"/>
  <c r="K47" i="49" s="1"/>
  <c r="K283" i="49"/>
  <c r="K12" i="49" s="1"/>
  <c r="I42" i="2" s="1"/>
  <c r="S42" i="2" s="1"/>
  <c r="K264" i="49"/>
  <c r="K246" i="49"/>
  <c r="K247" i="49"/>
  <c r="K248" i="49"/>
  <c r="K257" i="49"/>
  <c r="K11" i="49" s="1"/>
  <c r="I41" i="2" s="1"/>
  <c r="S41" i="2" s="1"/>
  <c r="K228" i="49"/>
  <c r="K213" i="49"/>
  <c r="K28" i="49" s="1"/>
  <c r="K214" i="49"/>
  <c r="K215" i="49"/>
  <c r="K46" i="49" s="1"/>
  <c r="K222" i="49"/>
  <c r="K10" i="49" s="1"/>
  <c r="I40" i="2" s="1"/>
  <c r="S40" i="2" s="1"/>
  <c r="K180" i="49"/>
  <c r="K26" i="49" s="1"/>
  <c r="I269" i="3" s="1"/>
  <c r="K187" i="49"/>
  <c r="K9" i="49" s="1"/>
  <c r="I39" i="2" s="1"/>
  <c r="S39" i="2" s="1"/>
  <c r="K153" i="49"/>
  <c r="K24" i="49" s="1"/>
  <c r="I66" i="3" s="1"/>
  <c r="K154" i="49"/>
  <c r="K32" i="49" s="1"/>
  <c r="K155" i="49"/>
  <c r="K45" i="49" s="1"/>
  <c r="K163" i="49"/>
  <c r="K8" i="49" s="1"/>
  <c r="I38" i="2" s="1"/>
  <c r="S38" i="2" s="1"/>
  <c r="K113" i="49"/>
  <c r="K22" i="49" s="1"/>
  <c r="I222" i="3" s="1"/>
  <c r="K114" i="49"/>
  <c r="K121" i="49"/>
  <c r="K7" i="49" s="1"/>
  <c r="I37" i="2" s="1"/>
  <c r="S37" i="2" s="1"/>
  <c r="K79" i="49"/>
  <c r="K18" i="49" s="1"/>
  <c r="K86" i="49"/>
  <c r="K6" i="49" s="1"/>
  <c r="I36" i="2" s="1"/>
  <c r="S36" i="2" s="1"/>
  <c r="K14" i="49"/>
  <c r="I44" i="2" s="1"/>
  <c r="S44" i="2" s="1"/>
  <c r="K19" i="49"/>
  <c r="K29" i="49"/>
  <c r="K33" i="49"/>
  <c r="K37" i="49"/>
  <c r="K41" i="49"/>
  <c r="K51" i="49"/>
  <c r="K54" i="49"/>
  <c r="K67" i="49"/>
  <c r="K5" i="49" s="1"/>
  <c r="I35" i="2" s="1"/>
  <c r="S35" i="2" s="1"/>
  <c r="K3" i="47"/>
  <c r="K7" i="47"/>
  <c r="I358" i="3" s="1"/>
  <c r="K9" i="47"/>
  <c r="K3" i="8"/>
  <c r="K7" i="8"/>
  <c r="I60" i="3" s="1"/>
  <c r="K9" i="8"/>
  <c r="K12" i="8"/>
  <c r="K10" i="4" s="1"/>
  <c r="K3" i="48"/>
  <c r="K7" i="48"/>
  <c r="I357" i="3" s="1"/>
  <c r="K3" i="45"/>
  <c r="K7" i="45"/>
  <c r="K9" i="45"/>
  <c r="K11" i="45"/>
  <c r="K3" i="46"/>
  <c r="K7" i="46"/>
  <c r="K15" i="45" s="1"/>
  <c r="K9" i="46"/>
  <c r="K10" i="46"/>
  <c r="K12" i="45" s="1"/>
  <c r="K13" i="45" s="1"/>
  <c r="K13" i="46"/>
  <c r="I406" i="3" s="1"/>
  <c r="K15" i="46"/>
  <c r="K3" i="44"/>
  <c r="K7" i="44"/>
  <c r="K9" i="44"/>
  <c r="I260" i="3" s="1"/>
  <c r="K43" i="43"/>
  <c r="K67" i="43"/>
  <c r="K413" i="43"/>
  <c r="K414" i="43"/>
  <c r="K59" i="43" s="1"/>
  <c r="K17" i="43"/>
  <c r="I274" i="2" s="1"/>
  <c r="S274" i="2" s="1"/>
  <c r="K380" i="43"/>
  <c r="K387" i="43"/>
  <c r="K356" i="43"/>
  <c r="K46" i="43" s="1"/>
  <c r="I267" i="3" s="1"/>
  <c r="K357" i="43"/>
  <c r="K15" i="43"/>
  <c r="I272" i="2" s="1"/>
  <c r="S272" i="2" s="1"/>
  <c r="K312" i="43"/>
  <c r="K39" i="43" s="1"/>
  <c r="I282" i="3" s="1"/>
  <c r="K313" i="43"/>
  <c r="K320" i="43"/>
  <c r="K288" i="43"/>
  <c r="K23" i="43" s="1"/>
  <c r="K289" i="43"/>
  <c r="K296" i="43"/>
  <c r="K285" i="43"/>
  <c r="K266" i="43"/>
  <c r="K36" i="43" s="1"/>
  <c r="K273" i="43"/>
  <c r="K12" i="43" s="1"/>
  <c r="I269" i="2" s="1"/>
  <c r="S269" i="2" s="1"/>
  <c r="K239" i="43"/>
  <c r="K240" i="43"/>
  <c r="K247" i="43"/>
  <c r="K11" i="43" s="1"/>
  <c r="I268" i="2" s="1"/>
  <c r="S268" i="2" s="1"/>
  <c r="K31" i="43"/>
  <c r="I73" i="3" s="1"/>
  <c r="K66" i="43"/>
  <c r="K222" i="43"/>
  <c r="K10" i="43" s="1"/>
  <c r="I267" i="2" s="1"/>
  <c r="S267" i="2" s="1"/>
  <c r="K190" i="43"/>
  <c r="K29" i="43" s="1"/>
  <c r="I235" i="3" s="1"/>
  <c r="K191" i="43"/>
  <c r="K198" i="43"/>
  <c r="K9" i="43" s="1"/>
  <c r="I266" i="2" s="1"/>
  <c r="S266" i="2" s="1"/>
  <c r="K141" i="43"/>
  <c r="K27" i="43" s="1"/>
  <c r="I59" i="3" s="1"/>
  <c r="K142" i="43"/>
  <c r="K50" i="43" s="1"/>
  <c r="K143" i="43"/>
  <c r="K54" i="43" s="1"/>
  <c r="K150" i="43"/>
  <c r="K8" i="43" s="1"/>
  <c r="I265" i="2" s="1"/>
  <c r="S265" i="2" s="1"/>
  <c r="K133" i="43"/>
  <c r="K99" i="43"/>
  <c r="K58" i="43" s="1"/>
  <c r="K100" i="43"/>
  <c r="K62" i="43" s="1"/>
  <c r="I380" i="3" s="1"/>
  <c r="K101" i="43"/>
  <c r="K64" i="43" s="1"/>
  <c r="I427" i="3" s="1"/>
  <c r="K108" i="43"/>
  <c r="K7" i="43" s="1"/>
  <c r="I264" i="2" s="1"/>
  <c r="S264" i="2" s="1"/>
  <c r="K13" i="43"/>
  <c r="I270" i="2" s="1"/>
  <c r="S270" i="2" s="1"/>
  <c r="K14" i="43"/>
  <c r="I271" i="2" s="1"/>
  <c r="S271" i="2" s="1"/>
  <c r="K16" i="43"/>
  <c r="I273" i="2" s="1"/>
  <c r="S273" i="2" s="1"/>
  <c r="K24" i="43"/>
  <c r="K33" i="43"/>
  <c r="I128" i="3" s="1"/>
  <c r="K35" i="43"/>
  <c r="K41" i="43"/>
  <c r="K42" i="43"/>
  <c r="K48" i="43"/>
  <c r="I388" i="3" s="1"/>
  <c r="K51" i="43"/>
  <c r="K55" i="43"/>
  <c r="K81" i="43"/>
  <c r="K4" i="43" s="1"/>
  <c r="K45" i="94" l="1"/>
  <c r="K77" i="93"/>
  <c r="K79" i="93"/>
  <c r="K44" i="84"/>
  <c r="K42" i="84"/>
  <c r="K33" i="70"/>
  <c r="K29" i="70"/>
  <c r="K49" i="31"/>
  <c r="I387" i="3" s="1"/>
  <c r="K41" i="31"/>
  <c r="I458" i="3" s="1"/>
  <c r="K15" i="58"/>
  <c r="K40" i="71"/>
  <c r="K38" i="71"/>
  <c r="K75" i="93"/>
  <c r="K5" i="47"/>
  <c r="I388" i="2"/>
  <c r="S388" i="2" s="1"/>
  <c r="K11" i="47"/>
  <c r="I424" i="3"/>
  <c r="K32" i="96"/>
  <c r="K30" i="96"/>
  <c r="K34" i="96"/>
  <c r="I382" i="2"/>
  <c r="S382" i="2" s="1"/>
  <c r="S380" i="2"/>
  <c r="K36" i="75"/>
  <c r="K11" i="72"/>
  <c r="I45" i="3"/>
  <c r="K5" i="72"/>
  <c r="I149" i="2"/>
  <c r="S149" i="2" s="1"/>
  <c r="K17" i="46"/>
  <c r="K21" i="46" s="1"/>
  <c r="I374" i="3"/>
  <c r="K19" i="45"/>
  <c r="I297" i="3"/>
  <c r="K5" i="45"/>
  <c r="I139" i="2"/>
  <c r="S139" i="2" s="1"/>
  <c r="K5" i="44"/>
  <c r="I138" i="2"/>
  <c r="S138" i="2" s="1"/>
  <c r="K11" i="44"/>
  <c r="I102" i="3"/>
  <c r="K36" i="71"/>
  <c r="I78" i="3"/>
  <c r="K43" i="74"/>
  <c r="K61" i="95"/>
  <c r="K59" i="95"/>
  <c r="K21" i="57"/>
  <c r="I295" i="2"/>
  <c r="S295" i="2" s="1"/>
  <c r="K5" i="53"/>
  <c r="I280" i="2"/>
  <c r="S280" i="2" s="1"/>
  <c r="K5" i="48"/>
  <c r="I166" i="2"/>
  <c r="S166" i="2" s="1"/>
  <c r="K48" i="89"/>
  <c r="K60" i="43"/>
  <c r="I456" i="3" s="1"/>
  <c r="I38" i="3"/>
  <c r="I152" i="2"/>
  <c r="S152" i="2" s="1"/>
  <c r="K13" i="55"/>
  <c r="K15" i="56"/>
  <c r="K10" i="55"/>
  <c r="K11" i="55" s="1"/>
  <c r="I123" i="3" s="1"/>
  <c r="K9" i="56"/>
  <c r="K17" i="56" s="1"/>
  <c r="K5" i="56"/>
  <c r="I151" i="2"/>
  <c r="S151" i="2" s="1"/>
  <c r="K23" i="79"/>
  <c r="I455" i="3"/>
  <c r="K56" i="57"/>
  <c r="I300" i="3" s="1"/>
  <c r="K33" i="64"/>
  <c r="I8" i="3" s="1"/>
  <c r="K12" i="52"/>
  <c r="I437" i="2"/>
  <c r="S437" i="2" s="1"/>
  <c r="K27" i="64"/>
  <c r="I392" i="3" s="1"/>
  <c r="K23" i="52"/>
  <c r="I259" i="3" s="1"/>
  <c r="K11" i="52"/>
  <c r="I436" i="2"/>
  <c r="S436" i="2" s="1"/>
  <c r="K15" i="62"/>
  <c r="I173" i="3"/>
  <c r="K13" i="62"/>
  <c r="I101" i="3"/>
  <c r="K17" i="62"/>
  <c r="K5" i="62"/>
  <c r="I89" i="2"/>
  <c r="S89" i="2" s="1"/>
  <c r="K5" i="58"/>
  <c r="I146" i="2"/>
  <c r="S146" i="2" s="1"/>
  <c r="K9" i="58"/>
  <c r="I185" i="3" s="1"/>
  <c r="K5" i="55"/>
  <c r="I145" i="2"/>
  <c r="S145" i="2" s="1"/>
  <c r="K10" i="52"/>
  <c r="I435" i="2"/>
  <c r="S435" i="2" s="1"/>
  <c r="K5" i="54"/>
  <c r="I143" i="2"/>
  <c r="S143" i="2" s="1"/>
  <c r="K11" i="54"/>
  <c r="I319" i="3"/>
  <c r="K11" i="51"/>
  <c r="I37" i="3"/>
  <c r="K5" i="51"/>
  <c r="I142" i="2"/>
  <c r="S142" i="2" s="1"/>
  <c r="K43" i="94"/>
  <c r="K5" i="46"/>
  <c r="I141" i="2"/>
  <c r="S141" i="2" s="1"/>
  <c r="K19" i="46"/>
  <c r="I292" i="3"/>
  <c r="K11" i="46"/>
  <c r="I264" i="3" s="1"/>
  <c r="K17" i="45"/>
  <c r="K23" i="45" s="1"/>
  <c r="K52" i="43"/>
  <c r="I184" i="3" s="1"/>
  <c r="K37" i="52"/>
  <c r="I526" i="3" s="1"/>
  <c r="K17" i="64"/>
  <c r="I391" i="3" s="1"/>
  <c r="K68" i="31"/>
  <c r="I183" i="3" s="1"/>
  <c r="K41" i="94"/>
  <c r="K17" i="29"/>
  <c r="I165" i="3" s="1"/>
  <c r="K41" i="29"/>
  <c r="I136" i="3" s="1"/>
  <c r="K23" i="29"/>
  <c r="I79" i="3" s="1"/>
  <c r="K24" i="31"/>
  <c r="I225" i="2"/>
  <c r="S225" i="2" s="1"/>
  <c r="K52" i="57"/>
  <c r="I283" i="3" s="1"/>
  <c r="K70" i="57"/>
  <c r="I133" i="3" s="1"/>
  <c r="I392" i="2"/>
  <c r="S392" i="2" s="1"/>
  <c r="K59" i="82"/>
  <c r="K57" i="82"/>
  <c r="K61" i="82"/>
  <c r="K27" i="60"/>
  <c r="I402" i="3"/>
  <c r="K41" i="74"/>
  <c r="K39" i="74"/>
  <c r="K45" i="31"/>
  <c r="I414" i="3" s="1"/>
  <c r="K28" i="63"/>
  <c r="I137" i="3" s="1"/>
  <c r="K19" i="66"/>
  <c r="I200" i="3" s="1"/>
  <c r="K5" i="8"/>
  <c r="I140" i="2"/>
  <c r="S140" i="2" s="1"/>
  <c r="K13" i="4"/>
  <c r="K17" i="8"/>
  <c r="I238" i="3"/>
  <c r="K15" i="4"/>
  <c r="I88" i="2"/>
  <c r="S88" i="2" s="1"/>
  <c r="S81" i="2"/>
  <c r="I100" i="2"/>
  <c r="S100" i="2" s="1"/>
  <c r="K42" i="30"/>
  <c r="K40" i="30"/>
  <c r="K38" i="30"/>
  <c r="K40" i="84"/>
  <c r="I134" i="3"/>
  <c r="I449" i="2"/>
  <c r="S449" i="2" s="1"/>
  <c r="S447" i="2"/>
  <c r="K16" i="63"/>
  <c r="I90" i="2"/>
  <c r="I223" i="2"/>
  <c r="S223" i="2" s="1"/>
  <c r="K8" i="68"/>
  <c r="I168" i="2"/>
  <c r="K39" i="32"/>
  <c r="K37" i="32"/>
  <c r="K11" i="32"/>
  <c r="K35" i="32"/>
  <c r="S51" i="2"/>
  <c r="I54" i="2"/>
  <c r="S54" i="2" s="1"/>
  <c r="K5" i="69"/>
  <c r="I252" i="2"/>
  <c r="S252" i="2" s="1"/>
  <c r="K11" i="69"/>
  <c r="I5" i="3"/>
  <c r="K11" i="67"/>
  <c r="I409" i="3"/>
  <c r="K5" i="67"/>
  <c r="I148" i="2"/>
  <c r="S148" i="2" s="1"/>
  <c r="I294" i="2"/>
  <c r="S287" i="2"/>
  <c r="I404" i="2"/>
  <c r="S402" i="2"/>
  <c r="K23" i="31"/>
  <c r="I224" i="2"/>
  <c r="I120" i="2"/>
  <c r="S118" i="2"/>
  <c r="K39" i="49"/>
  <c r="I80" i="3" s="1"/>
  <c r="K20" i="49"/>
  <c r="I263" i="3" s="1"/>
  <c r="I45" i="2"/>
  <c r="S45" i="2" s="1"/>
  <c r="K20" i="43"/>
  <c r="I277" i="2"/>
  <c r="S277" i="2" s="1"/>
  <c r="I275" i="2"/>
  <c r="I278" i="2" s="1"/>
  <c r="I233" i="2"/>
  <c r="K32" i="75"/>
  <c r="K44" i="81"/>
  <c r="I210" i="3"/>
  <c r="K46" i="81"/>
  <c r="K48" i="81"/>
  <c r="K60" i="87"/>
  <c r="K56" i="87"/>
  <c r="I70" i="3"/>
  <c r="K58" i="87"/>
  <c r="K12" i="89"/>
  <c r="K16" i="82"/>
  <c r="K23" i="60"/>
  <c r="K25" i="79"/>
  <c r="K35" i="29"/>
  <c r="I309" i="3" s="1"/>
  <c r="K31" i="29"/>
  <c r="K3" i="29"/>
  <c r="K13" i="29" s="1"/>
  <c r="K13" i="72"/>
  <c r="K15" i="72"/>
  <c r="K13" i="69"/>
  <c r="K15" i="69"/>
  <c r="K15" i="68"/>
  <c r="I311" i="3" s="1"/>
  <c r="K7" i="68"/>
  <c r="K5" i="68"/>
  <c r="K9" i="68" s="1"/>
  <c r="K21" i="68"/>
  <c r="K23" i="68"/>
  <c r="K13" i="67"/>
  <c r="K15" i="67"/>
  <c r="K35" i="66"/>
  <c r="I120" i="3" s="1"/>
  <c r="K49" i="66"/>
  <c r="K3" i="66"/>
  <c r="K11" i="66" s="1"/>
  <c r="K47" i="66"/>
  <c r="K21" i="64"/>
  <c r="I180" i="3" s="1"/>
  <c r="K37" i="64"/>
  <c r="I149" i="3" s="1"/>
  <c r="K3" i="64"/>
  <c r="K13" i="64" s="1"/>
  <c r="K24" i="63"/>
  <c r="I115" i="3" s="1"/>
  <c r="K41" i="63"/>
  <c r="I108" i="3" s="1"/>
  <c r="K3" i="63"/>
  <c r="K15" i="63" s="1"/>
  <c r="K37" i="63"/>
  <c r="K74" i="31"/>
  <c r="I268" i="3" s="1"/>
  <c r="K59" i="31"/>
  <c r="I147" i="3" s="1"/>
  <c r="K63" i="31"/>
  <c r="I293" i="3" s="1"/>
  <c r="K3" i="31"/>
  <c r="K21" i="31" s="1"/>
  <c r="K31" i="31"/>
  <c r="K15" i="55"/>
  <c r="K30" i="57"/>
  <c r="I364" i="3" s="1"/>
  <c r="K66" i="57"/>
  <c r="I329" i="3" s="1"/>
  <c r="K40" i="57"/>
  <c r="I363" i="3" s="1"/>
  <c r="K34" i="57"/>
  <c r="I97" i="3" s="1"/>
  <c r="K3" i="57"/>
  <c r="K20" i="57" s="1"/>
  <c r="K44" i="57"/>
  <c r="I18" i="3" s="1"/>
  <c r="K13" i="54"/>
  <c r="K15" i="54"/>
  <c r="K6" i="53"/>
  <c r="K19" i="52"/>
  <c r="I457" i="3" s="1"/>
  <c r="K7" i="52"/>
  <c r="K13" i="52" s="1"/>
  <c r="K9" i="52"/>
  <c r="K43" i="52"/>
  <c r="K13" i="51"/>
  <c r="K15" i="51"/>
  <c r="K56" i="49"/>
  <c r="I290" i="3" s="1"/>
  <c r="K52" i="49"/>
  <c r="I46" i="3" s="1"/>
  <c r="K43" i="49"/>
  <c r="K35" i="49"/>
  <c r="I172" i="3" s="1"/>
  <c r="K30" i="49"/>
  <c r="K48" i="49"/>
  <c r="I368" i="3" s="1"/>
  <c r="K3" i="49"/>
  <c r="K16" i="49" s="1"/>
  <c r="K15" i="47"/>
  <c r="K13" i="47"/>
  <c r="K21" i="45"/>
  <c r="K23" i="46"/>
  <c r="K13" i="44"/>
  <c r="K15" i="44"/>
  <c r="K44" i="43"/>
  <c r="I232" i="3" s="1"/>
  <c r="K68" i="43"/>
  <c r="I308" i="3" s="1"/>
  <c r="K56" i="43"/>
  <c r="I69" i="3" s="1"/>
  <c r="K25" i="43"/>
  <c r="K37" i="43"/>
  <c r="I223" i="3" s="1"/>
  <c r="K3" i="43"/>
  <c r="K5" i="43" s="1"/>
  <c r="K21" i="43" s="1"/>
  <c r="K3" i="41"/>
  <c r="K7" i="41"/>
  <c r="K15" i="41" s="1"/>
  <c r="K11" i="41"/>
  <c r="I350" i="3" s="1"/>
  <c r="K44" i="42"/>
  <c r="K39" i="42"/>
  <c r="K24" i="42"/>
  <c r="K3" i="42"/>
  <c r="K7" i="42"/>
  <c r="K8" i="42"/>
  <c r="K11" i="42"/>
  <c r="I515" i="3" s="1"/>
  <c r="K3" i="40"/>
  <c r="K7" i="40"/>
  <c r="K9" i="40"/>
  <c r="I125" i="3" s="1"/>
  <c r="K409" i="39"/>
  <c r="K410" i="39"/>
  <c r="K411" i="39"/>
  <c r="K412" i="39"/>
  <c r="K75" i="39" s="1"/>
  <c r="I207" i="3" s="1"/>
  <c r="K373" i="39"/>
  <c r="K374" i="39"/>
  <c r="K73" i="39" s="1"/>
  <c r="I336" i="3" s="1"/>
  <c r="K375" i="39"/>
  <c r="K382" i="39"/>
  <c r="K14" i="39" s="1"/>
  <c r="I208" i="2" s="1"/>
  <c r="S208" i="2" s="1"/>
  <c r="K341" i="39"/>
  <c r="K342" i="39"/>
  <c r="K343" i="39"/>
  <c r="K350" i="39"/>
  <c r="K13" i="39" s="1"/>
  <c r="I207" i="2" s="1"/>
  <c r="S207" i="2" s="1"/>
  <c r="K310" i="39"/>
  <c r="K311" i="39"/>
  <c r="K312" i="39"/>
  <c r="K313" i="39"/>
  <c r="K71" i="39" s="1"/>
  <c r="I494" i="3" s="1"/>
  <c r="K320" i="39"/>
  <c r="K12" i="39" s="1"/>
  <c r="I206" i="2" s="1"/>
  <c r="S206" i="2" s="1"/>
  <c r="K278" i="39"/>
  <c r="K279" i="39"/>
  <c r="K67" i="39" s="1"/>
  <c r="I166" i="3" s="1"/>
  <c r="K280" i="39"/>
  <c r="K77" i="39" s="1"/>
  <c r="I244" i="3" s="1"/>
  <c r="K287" i="39"/>
  <c r="K11" i="39" s="1"/>
  <c r="I205" i="2" s="1"/>
  <c r="S205" i="2" s="1"/>
  <c r="K248" i="39"/>
  <c r="K49" i="39" s="1"/>
  <c r="I92" i="3" s="1"/>
  <c r="K249" i="39"/>
  <c r="K65" i="39" s="1"/>
  <c r="I127" i="3" s="1"/>
  <c r="K256" i="39"/>
  <c r="K10" i="39" s="1"/>
  <c r="I204" i="2" s="1"/>
  <c r="S204" i="2" s="1"/>
  <c r="K217" i="39"/>
  <c r="K61" i="39"/>
  <c r="I328" i="3" s="1"/>
  <c r="K219" i="39"/>
  <c r="K63" i="39" s="1"/>
  <c r="I325" i="3" s="1"/>
  <c r="K226" i="39"/>
  <c r="K9" i="39" s="1"/>
  <c r="I203" i="2" s="1"/>
  <c r="S203" i="2" s="1"/>
  <c r="K184" i="39"/>
  <c r="K25" i="39" s="1"/>
  <c r="K185" i="39"/>
  <c r="K186" i="39"/>
  <c r="K187" i="39"/>
  <c r="K59" i="39" s="1"/>
  <c r="I307" i="3" s="1"/>
  <c r="K188" i="39"/>
  <c r="K79" i="39" s="1"/>
  <c r="K195" i="39"/>
  <c r="K8" i="39" s="1"/>
  <c r="I202" i="2" s="1"/>
  <c r="S202" i="2" s="1"/>
  <c r="K142" i="39"/>
  <c r="K143" i="39"/>
  <c r="K39" i="39" s="1"/>
  <c r="I253" i="3" s="1"/>
  <c r="K150" i="39"/>
  <c r="K7" i="39" s="1"/>
  <c r="I201" i="2" s="1"/>
  <c r="S201" i="2" s="1"/>
  <c r="K114" i="39"/>
  <c r="K29" i="39" s="1"/>
  <c r="I442" i="3" s="1"/>
  <c r="K115" i="39"/>
  <c r="K31" i="39" s="1"/>
  <c r="I408" i="3" s="1"/>
  <c r="K116" i="39"/>
  <c r="K33" i="39" s="1"/>
  <c r="K123" i="39"/>
  <c r="K6" i="39" s="1"/>
  <c r="I200" i="2" s="1"/>
  <c r="S200" i="2" s="1"/>
  <c r="K19" i="39"/>
  <c r="I280" i="3" s="1"/>
  <c r="K21" i="39"/>
  <c r="K22" i="39"/>
  <c r="K26" i="39"/>
  <c r="K34" i="39"/>
  <c r="K37" i="39"/>
  <c r="I428" i="3" s="1"/>
  <c r="K41" i="39"/>
  <c r="I258" i="3" s="1"/>
  <c r="K43" i="39"/>
  <c r="K45" i="39" s="1"/>
  <c r="I452" i="3" s="1"/>
  <c r="K44" i="39"/>
  <c r="K47" i="39"/>
  <c r="I502" i="3" s="1"/>
  <c r="K51" i="39"/>
  <c r="I182" i="3" s="1"/>
  <c r="K53" i="39"/>
  <c r="I240" i="3" s="1"/>
  <c r="K55" i="39"/>
  <c r="I10" i="3" s="1"/>
  <c r="K57" i="39"/>
  <c r="I214" i="3" s="1"/>
  <c r="K69" i="39"/>
  <c r="I304" i="3" s="1"/>
  <c r="K80" i="39"/>
  <c r="K92" i="39"/>
  <c r="K5" i="39" s="1"/>
  <c r="I199" i="2" s="1"/>
  <c r="K45" i="29" l="1"/>
  <c r="K43" i="64"/>
  <c r="K78" i="31"/>
  <c r="K23" i="58"/>
  <c r="K19" i="56"/>
  <c r="K11" i="40"/>
  <c r="I75" i="3"/>
  <c r="K5" i="40"/>
  <c r="I136" i="2"/>
  <c r="S136" i="2" s="1"/>
  <c r="K5" i="41"/>
  <c r="I137" i="2"/>
  <c r="S137" i="2" s="1"/>
  <c r="K13" i="42"/>
  <c r="K51" i="66"/>
  <c r="K21" i="58"/>
  <c r="K41" i="64"/>
  <c r="K23" i="39"/>
  <c r="I420" i="3" s="1"/>
  <c r="K27" i="39"/>
  <c r="I318" i="3" s="1"/>
  <c r="I438" i="2"/>
  <c r="S438" i="2" s="1"/>
  <c r="K15" i="42"/>
  <c r="K9" i="42"/>
  <c r="K17" i="42" s="1"/>
  <c r="K8" i="41"/>
  <c r="K9" i="41" s="1"/>
  <c r="K5" i="42"/>
  <c r="I144" i="2"/>
  <c r="S144" i="2" s="1"/>
  <c r="K13" i="41"/>
  <c r="K41" i="52"/>
  <c r="K45" i="52"/>
  <c r="K74" i="57"/>
  <c r="K47" i="29"/>
  <c r="K80" i="31"/>
  <c r="K76" i="31"/>
  <c r="I496" i="3"/>
  <c r="K39" i="64"/>
  <c r="K43" i="63"/>
  <c r="I130" i="3"/>
  <c r="S90" i="2"/>
  <c r="I91" i="2"/>
  <c r="S91" i="2" s="1"/>
  <c r="K19" i="68"/>
  <c r="S168" i="2"/>
  <c r="I170" i="2"/>
  <c r="K43" i="29"/>
  <c r="I449" i="3"/>
  <c r="I296" i="2"/>
  <c r="S296" i="2" s="1"/>
  <c r="S294" i="2"/>
  <c r="K78" i="57"/>
  <c r="K76" i="57"/>
  <c r="S404" i="2"/>
  <c r="I430" i="2"/>
  <c r="S430" i="2" s="1"/>
  <c r="I209" i="2"/>
  <c r="S209" i="2" s="1"/>
  <c r="S199" i="2"/>
  <c r="S224" i="2"/>
  <c r="I226" i="2"/>
  <c r="S226" i="2" s="1"/>
  <c r="S120" i="2"/>
  <c r="K62" i="49"/>
  <c r="I179" i="3"/>
  <c r="K60" i="49"/>
  <c r="K58" i="49"/>
  <c r="I288" i="3"/>
  <c r="K74" i="43"/>
  <c r="K19" i="43"/>
  <c r="K70" i="43"/>
  <c r="I276" i="3"/>
  <c r="K72" i="43"/>
  <c r="S275" i="2"/>
  <c r="S278" i="2"/>
  <c r="S233" i="2"/>
  <c r="K5" i="63"/>
  <c r="K17" i="63" s="1"/>
  <c r="K45" i="63"/>
  <c r="K47" i="63"/>
  <c r="K6" i="31"/>
  <c r="K25" i="31" s="1"/>
  <c r="K22" i="31"/>
  <c r="K17" i="55"/>
  <c r="K19" i="55"/>
  <c r="K5" i="57"/>
  <c r="K22" i="57" s="1"/>
  <c r="K13" i="40"/>
  <c r="K15" i="40"/>
  <c r="K81" i="39"/>
  <c r="I171" i="3" s="1"/>
  <c r="K3" i="39"/>
  <c r="K16" i="39" s="1"/>
  <c r="K35" i="39"/>
  <c r="I286" i="3" s="1"/>
  <c r="K242" i="28"/>
  <c r="K243" i="28"/>
  <c r="K26" i="28" s="1"/>
  <c r="K22" i="28"/>
  <c r="I39" i="3" s="1"/>
  <c r="K30" i="28"/>
  <c r="K218" i="28"/>
  <c r="K10" i="28" s="1"/>
  <c r="I370" i="2" s="1"/>
  <c r="S370" i="2" s="1"/>
  <c r="K25" i="28"/>
  <c r="K9" i="28"/>
  <c r="I369" i="2" s="1"/>
  <c r="S369" i="2" s="1"/>
  <c r="K142" i="28"/>
  <c r="K16" i="28" s="1"/>
  <c r="K8" i="28"/>
  <c r="I368" i="2" s="1"/>
  <c r="K106" i="28"/>
  <c r="K29" i="28" s="1"/>
  <c r="K113" i="28"/>
  <c r="K7" i="28" s="1"/>
  <c r="I367" i="2" s="1"/>
  <c r="S367" i="2" s="1"/>
  <c r="K64" i="28"/>
  <c r="K14" i="28" s="1"/>
  <c r="I150" i="3" s="1"/>
  <c r="K65" i="28"/>
  <c r="K72" i="28"/>
  <c r="K6" i="28" s="1"/>
  <c r="I366" i="2" s="1"/>
  <c r="S366" i="2" s="1"/>
  <c r="K17" i="28"/>
  <c r="K20" i="28"/>
  <c r="I22" i="3" s="1"/>
  <c r="K24" i="28"/>
  <c r="K42" i="28"/>
  <c r="K5" i="28" s="1"/>
  <c r="I365" i="2" s="1"/>
  <c r="S365" i="2" s="1"/>
  <c r="K524" i="38"/>
  <c r="K66" i="38" s="1"/>
  <c r="K492" i="38"/>
  <c r="K493" i="38"/>
  <c r="K50" i="38" s="1"/>
  <c r="K500" i="38"/>
  <c r="K19" i="38" s="1"/>
  <c r="I29" i="2" s="1"/>
  <c r="S29" i="2" s="1"/>
  <c r="K58" i="38"/>
  <c r="K455" i="38"/>
  <c r="K422" i="38"/>
  <c r="K54" i="38" s="1"/>
  <c r="K423" i="38"/>
  <c r="K79" i="38" s="1"/>
  <c r="K396" i="38"/>
  <c r="K46" i="38" s="1"/>
  <c r="K403" i="38"/>
  <c r="K373" i="38"/>
  <c r="K32" i="38" s="1"/>
  <c r="K374" i="38"/>
  <c r="K43" i="38" s="1"/>
  <c r="I219" i="3" s="1"/>
  <c r="K375" i="38"/>
  <c r="K45" i="38" s="1"/>
  <c r="K383" i="38"/>
  <c r="K15" i="38" s="1"/>
  <c r="I25" i="2" s="1"/>
  <c r="S25" i="2" s="1"/>
  <c r="K349" i="38"/>
  <c r="K328" i="38"/>
  <c r="K41" i="38" s="1"/>
  <c r="I152" i="3" s="1"/>
  <c r="K329" i="38"/>
  <c r="K49" i="38" s="1"/>
  <c r="K330" i="38"/>
  <c r="K337" i="38"/>
  <c r="K14" i="38" s="1"/>
  <c r="I24" i="2" s="1"/>
  <c r="S24" i="2" s="1"/>
  <c r="K319" i="38"/>
  <c r="K312" i="38"/>
  <c r="K306" i="38"/>
  <c r="K293" i="38"/>
  <c r="K37" i="38" s="1"/>
  <c r="I85" i="3" s="1"/>
  <c r="K294" i="38"/>
  <c r="K53" i="38" s="1"/>
  <c r="K295" i="38"/>
  <c r="K65" i="38" s="1"/>
  <c r="K303" i="38"/>
  <c r="K13" i="38" s="1"/>
  <c r="I23" i="2" s="1"/>
  <c r="S23" i="2" s="1"/>
  <c r="K260" i="38"/>
  <c r="K35" i="38" s="1"/>
  <c r="I378" i="3" s="1"/>
  <c r="K267" i="38"/>
  <c r="K12" i="38" s="1"/>
  <c r="I22" i="2" s="1"/>
  <c r="S22" i="2" s="1"/>
  <c r="K237" i="38"/>
  <c r="K31" i="38" s="1"/>
  <c r="K244" i="38"/>
  <c r="K212" i="38"/>
  <c r="K29" i="38" s="1"/>
  <c r="I196" i="3" s="1"/>
  <c r="K213" i="38"/>
  <c r="K77" i="38" s="1"/>
  <c r="K220" i="38"/>
  <c r="K10" i="38" s="1"/>
  <c r="I20" i="2" s="1"/>
  <c r="S20" i="2" s="1"/>
  <c r="K201" i="38"/>
  <c r="K192" i="38"/>
  <c r="K188" i="38"/>
  <c r="K168" i="38"/>
  <c r="K169" i="38"/>
  <c r="K170" i="38"/>
  <c r="K69" i="38" s="1"/>
  <c r="K178" i="38"/>
  <c r="K9" i="38" s="1"/>
  <c r="I19" i="2" s="1"/>
  <c r="S19" i="2" s="1"/>
  <c r="K142" i="38"/>
  <c r="K70" i="38" s="1"/>
  <c r="K143" i="38"/>
  <c r="K75" i="38" s="1"/>
  <c r="I129" i="3" s="1"/>
  <c r="K150" i="38"/>
  <c r="K8" i="38" s="1"/>
  <c r="I18" i="2" s="1"/>
  <c r="S18" i="2" s="1"/>
  <c r="K62" i="38"/>
  <c r="K73" i="38"/>
  <c r="I433" i="3" s="1"/>
  <c r="K120" i="38"/>
  <c r="K5" i="38" s="1"/>
  <c r="K11" i="38"/>
  <c r="I21" i="2" s="1"/>
  <c r="S21" i="2" s="1"/>
  <c r="K16" i="38"/>
  <c r="I26" i="2" s="1"/>
  <c r="S26" i="2" s="1"/>
  <c r="K17" i="38"/>
  <c r="I27" i="2" s="1"/>
  <c r="K18" i="38"/>
  <c r="I28" i="2" s="1"/>
  <c r="S28" i="2" s="1"/>
  <c r="K27" i="38"/>
  <c r="I376" i="3" s="1"/>
  <c r="K39" i="38"/>
  <c r="I400" i="3" s="1"/>
  <c r="K57" i="38"/>
  <c r="K61" i="38"/>
  <c r="K78" i="38"/>
  <c r="K93" i="38"/>
  <c r="K4" i="38" s="1"/>
  <c r="K3" i="36"/>
  <c r="K7" i="36"/>
  <c r="K9" i="36"/>
  <c r="K17" i="36" s="1"/>
  <c r="K11" i="36"/>
  <c r="I473" i="3" s="1"/>
  <c r="K235" i="37"/>
  <c r="K237" i="37"/>
  <c r="K18" i="37" s="1"/>
  <c r="K238" i="37"/>
  <c r="K239" i="37"/>
  <c r="K38" i="37" s="1"/>
  <c r="K240" i="37"/>
  <c r="K224" i="37"/>
  <c r="K220" i="37"/>
  <c r="K193" i="37"/>
  <c r="K182" i="37"/>
  <c r="K17" i="37" s="1"/>
  <c r="K183" i="37"/>
  <c r="K32" i="37" s="1"/>
  <c r="K190" i="37"/>
  <c r="K152" i="37"/>
  <c r="K22" i="37" s="1"/>
  <c r="K153" i="37"/>
  <c r="K160" i="37"/>
  <c r="K10" i="37" s="1"/>
  <c r="I258" i="2" s="1"/>
  <c r="S258" i="2" s="1"/>
  <c r="K122" i="37"/>
  <c r="K31" i="37" s="1"/>
  <c r="K129" i="37"/>
  <c r="K9" i="37" s="1"/>
  <c r="I257" i="2" s="1"/>
  <c r="S257" i="2" s="1"/>
  <c r="K97" i="37"/>
  <c r="K104" i="37"/>
  <c r="K8" i="37" s="1"/>
  <c r="I256" i="2" s="1"/>
  <c r="S256" i="2" s="1"/>
  <c r="K77" i="37"/>
  <c r="K21" i="37" s="1"/>
  <c r="K78" i="37"/>
  <c r="K79" i="37"/>
  <c r="K35" i="37" s="1"/>
  <c r="I317" i="3" s="1"/>
  <c r="K86" i="37"/>
  <c r="K7" i="37" s="1"/>
  <c r="I255" i="2" s="1"/>
  <c r="K11" i="37"/>
  <c r="I259" i="2" s="1"/>
  <c r="S259" i="2" s="1"/>
  <c r="K25" i="37"/>
  <c r="I334" i="3" s="1"/>
  <c r="K27" i="37"/>
  <c r="K28" i="37"/>
  <c r="K37" i="37"/>
  <c r="K41" i="37"/>
  <c r="I52" i="3" s="1"/>
  <c r="K54" i="37"/>
  <c r="K4" i="37" s="1"/>
  <c r="K3" i="35"/>
  <c r="K7" i="35"/>
  <c r="K9" i="35"/>
  <c r="I296" i="3" s="1"/>
  <c r="K11" i="35"/>
  <c r="K151" i="34"/>
  <c r="K11" i="34" s="1"/>
  <c r="I423" i="3" s="1"/>
  <c r="K152" i="34"/>
  <c r="K153" i="34"/>
  <c r="K17" i="34" s="1"/>
  <c r="I504" i="3" s="1"/>
  <c r="K154" i="34"/>
  <c r="K19" i="34" s="1"/>
  <c r="I434" i="3" s="1"/>
  <c r="K155" i="34"/>
  <c r="K21" i="34" s="1"/>
  <c r="I298" i="3" s="1"/>
  <c r="K156" i="34"/>
  <c r="K24" i="34" s="1"/>
  <c r="K147" i="34"/>
  <c r="K141" i="34"/>
  <c r="K115" i="34"/>
  <c r="K111" i="34"/>
  <c r="K103" i="34"/>
  <c r="K86" i="34"/>
  <c r="K65" i="34"/>
  <c r="K15" i="34" s="1"/>
  <c r="I438" i="3" s="1"/>
  <c r="K66" i="34"/>
  <c r="K73" i="34"/>
  <c r="K4" i="34" s="1"/>
  <c r="K57" i="34"/>
  <c r="K43" i="34"/>
  <c r="K13" i="34"/>
  <c r="I229" i="3" s="1"/>
  <c r="K23" i="34"/>
  <c r="K39" i="34"/>
  <c r="K3" i="34" s="1"/>
  <c r="I162" i="2" s="1"/>
  <c r="K288" i="33"/>
  <c r="K43" i="33" s="1"/>
  <c r="K263" i="33"/>
  <c r="K264" i="33"/>
  <c r="K46" i="33" s="1"/>
  <c r="I121" i="3" s="1"/>
  <c r="K271" i="33"/>
  <c r="K256" i="33"/>
  <c r="K239" i="33"/>
  <c r="K222" i="33"/>
  <c r="K224" i="33"/>
  <c r="K32" i="33" s="1"/>
  <c r="K225" i="33"/>
  <c r="K233" i="33"/>
  <c r="K12" i="33" s="1"/>
  <c r="I358" i="2" s="1"/>
  <c r="S358" i="2" s="1"/>
  <c r="K219" i="33"/>
  <c r="K208" i="33"/>
  <c r="K196" i="33"/>
  <c r="K36" i="33" s="1"/>
  <c r="K203" i="33"/>
  <c r="K11" i="33" s="1"/>
  <c r="I357" i="2" s="1"/>
  <c r="S357" i="2" s="1"/>
  <c r="K166" i="33"/>
  <c r="K27" i="33" s="1"/>
  <c r="K167" i="33"/>
  <c r="K168" i="33"/>
  <c r="K35" i="33" s="1"/>
  <c r="K175" i="33"/>
  <c r="K10" i="33" s="1"/>
  <c r="I356" i="2" s="1"/>
  <c r="K163" i="33"/>
  <c r="K158" i="33"/>
  <c r="K155" i="33"/>
  <c r="K145" i="33"/>
  <c r="K133" i="33"/>
  <c r="K140" i="33"/>
  <c r="K111" i="33"/>
  <c r="K23" i="33" s="1"/>
  <c r="K112" i="33"/>
  <c r="K113" i="33"/>
  <c r="K39" i="33" s="1"/>
  <c r="I255" i="3" s="1"/>
  <c r="K120" i="33"/>
  <c r="K8" i="33" s="1"/>
  <c r="I354" i="2" s="1"/>
  <c r="S354" i="2" s="1"/>
  <c r="K96" i="33"/>
  <c r="K93" i="33"/>
  <c r="K90" i="33"/>
  <c r="K79" i="33"/>
  <c r="K20" i="33" s="1"/>
  <c r="I220" i="3" s="1"/>
  <c r="K80" i="33"/>
  <c r="K22" i="33" s="1"/>
  <c r="K87" i="33"/>
  <c r="K5" i="33"/>
  <c r="K9" i="33"/>
  <c r="I355" i="2" s="1"/>
  <c r="S355" i="2" s="1"/>
  <c r="K13" i="33"/>
  <c r="I359" i="2" s="1"/>
  <c r="S359" i="2" s="1"/>
  <c r="K26" i="33"/>
  <c r="K30" i="33"/>
  <c r="K31" i="33"/>
  <c r="K41" i="33"/>
  <c r="K42" i="33"/>
  <c r="K59" i="33"/>
  <c r="K4" i="33" s="1"/>
  <c r="K399" i="27"/>
  <c r="K400" i="27"/>
  <c r="K54" i="27" s="1"/>
  <c r="K381" i="27"/>
  <c r="K370" i="27"/>
  <c r="K377" i="27"/>
  <c r="K15" i="27" s="1"/>
  <c r="I348" i="2" s="1"/>
  <c r="S348" i="2" s="1"/>
  <c r="K336" i="27"/>
  <c r="K25" i="27" s="1"/>
  <c r="K337" i="27"/>
  <c r="K35" i="27" s="1"/>
  <c r="I333" i="3" s="1"/>
  <c r="K345" i="27"/>
  <c r="K301" i="27"/>
  <c r="K44" i="27" s="1"/>
  <c r="K302" i="27"/>
  <c r="K57" i="27" s="1"/>
  <c r="K309" i="27"/>
  <c r="K290" i="27"/>
  <c r="K268" i="27"/>
  <c r="K277" i="27"/>
  <c r="K12" i="27" s="1"/>
  <c r="I345" i="2" s="1"/>
  <c r="S345" i="2" s="1"/>
  <c r="K229" i="27"/>
  <c r="K24" i="27" s="1"/>
  <c r="K230" i="27"/>
  <c r="K48" i="27" s="1"/>
  <c r="K239" i="27"/>
  <c r="K11" i="27" s="1"/>
  <c r="I344" i="2" s="1"/>
  <c r="S344" i="2" s="1"/>
  <c r="K203" i="27"/>
  <c r="K10" i="27" s="1"/>
  <c r="I343" i="2" s="1"/>
  <c r="S343" i="2" s="1"/>
  <c r="K164" i="27"/>
  <c r="K23" i="27" s="1"/>
  <c r="K165" i="27"/>
  <c r="K29" i="27" s="1"/>
  <c r="K166" i="27"/>
  <c r="K47" i="27" s="1"/>
  <c r="K9" i="27"/>
  <c r="I342" i="2" s="1"/>
  <c r="K145" i="27"/>
  <c r="K120" i="27"/>
  <c r="K51" i="27" s="1"/>
  <c r="I203" i="3" s="1"/>
  <c r="K121" i="27"/>
  <c r="K58" i="27" s="1"/>
  <c r="K128" i="27"/>
  <c r="K8" i="27" s="1"/>
  <c r="I341" i="2" s="1"/>
  <c r="S341" i="2" s="1"/>
  <c r="K94" i="27"/>
  <c r="K39" i="27" s="1"/>
  <c r="I401" i="3" s="1"/>
  <c r="K95" i="27"/>
  <c r="K41" i="27" s="1"/>
  <c r="I266" i="3" s="1"/>
  <c r="K96" i="27"/>
  <c r="K43" i="27" s="1"/>
  <c r="K103" i="27"/>
  <c r="K5" i="27" s="1"/>
  <c r="I351" i="2" s="1"/>
  <c r="S351" i="2" s="1"/>
  <c r="K13" i="27"/>
  <c r="I346" i="2" s="1"/>
  <c r="S346" i="2" s="1"/>
  <c r="K14" i="27"/>
  <c r="I347" i="2" s="1"/>
  <c r="S347" i="2" s="1"/>
  <c r="K26" i="27"/>
  <c r="K30" i="27"/>
  <c r="K33" i="27"/>
  <c r="I188" i="3" s="1"/>
  <c r="K37" i="27"/>
  <c r="I212" i="3" s="1"/>
  <c r="K53" i="27"/>
  <c r="K72" i="27"/>
  <c r="K4" i="27" s="1"/>
  <c r="K338" i="26"/>
  <c r="K313" i="26"/>
  <c r="K314" i="26"/>
  <c r="K46" i="26" s="1"/>
  <c r="K321" i="26"/>
  <c r="K279" i="26"/>
  <c r="K38" i="26" s="1"/>
  <c r="I287" i="3" s="1"/>
  <c r="K286" i="26"/>
  <c r="K13" i="26" s="1"/>
  <c r="I75" i="2" s="1"/>
  <c r="S75" i="2" s="1"/>
  <c r="K241" i="26"/>
  <c r="K36" i="26" s="1"/>
  <c r="I321" i="3" s="1"/>
  <c r="K242" i="26"/>
  <c r="K249" i="26"/>
  <c r="K12" i="26" s="1"/>
  <c r="I74" i="2" s="1"/>
  <c r="S74" i="2" s="1"/>
  <c r="K213" i="26"/>
  <c r="K29" i="26" s="1"/>
  <c r="K220" i="26"/>
  <c r="K11" i="26" s="1"/>
  <c r="I73" i="2" s="1"/>
  <c r="S73" i="2" s="1"/>
  <c r="K178" i="26"/>
  <c r="K179" i="26"/>
  <c r="K186" i="26"/>
  <c r="K10" i="26" s="1"/>
  <c r="I72" i="2" s="1"/>
  <c r="S72" i="2" s="1"/>
  <c r="K149" i="26"/>
  <c r="K22" i="26" s="1"/>
  <c r="K24" i="26" s="1"/>
  <c r="I245" i="3" s="1"/>
  <c r="K157" i="26"/>
  <c r="K117" i="26"/>
  <c r="K118" i="26"/>
  <c r="K28" i="26" s="1"/>
  <c r="K119" i="26"/>
  <c r="K40" i="26" s="1"/>
  <c r="K127" i="26"/>
  <c r="K8" i="26" s="1"/>
  <c r="I70" i="2" s="1"/>
  <c r="S70" i="2" s="1"/>
  <c r="K107" i="26"/>
  <c r="K81" i="26"/>
  <c r="K82" i="26"/>
  <c r="K83" i="26"/>
  <c r="K90" i="26"/>
  <c r="K7" i="26" s="1"/>
  <c r="I69" i="2" s="1"/>
  <c r="S69" i="2" s="1"/>
  <c r="K9" i="26"/>
  <c r="I71" i="2" s="1"/>
  <c r="K14" i="26"/>
  <c r="I76" i="2" s="1"/>
  <c r="S76" i="2" s="1"/>
  <c r="K20" i="26"/>
  <c r="I384" i="3" s="1"/>
  <c r="K23" i="26"/>
  <c r="K26" i="26"/>
  <c r="I326" i="3" s="1"/>
  <c r="K32" i="26"/>
  <c r="I389" i="3" s="1"/>
  <c r="K34" i="26"/>
  <c r="I377" i="3" s="1"/>
  <c r="K41" i="26"/>
  <c r="K42" i="26"/>
  <c r="K45" i="26"/>
  <c r="K49" i="26"/>
  <c r="I107" i="3" s="1"/>
  <c r="K62" i="26"/>
  <c r="K4" i="26" s="1"/>
  <c r="I441" i="3"/>
  <c r="K204" i="25"/>
  <c r="K26" i="25" s="1"/>
  <c r="I196" i="2"/>
  <c r="S196" i="2" s="1"/>
  <c r="K165" i="25"/>
  <c r="K21" i="25" s="1"/>
  <c r="K172" i="25"/>
  <c r="K9" i="25" s="1"/>
  <c r="I195" i="2" s="1"/>
  <c r="S195" i="2" s="1"/>
  <c r="K130" i="25"/>
  <c r="K18" i="25" s="1"/>
  <c r="I474" i="3" s="1"/>
  <c r="K131" i="25"/>
  <c r="K25" i="25" s="1"/>
  <c r="K138" i="25"/>
  <c r="K8" i="25" s="1"/>
  <c r="I194" i="2" s="1"/>
  <c r="K99" i="25"/>
  <c r="K14" i="25" s="1"/>
  <c r="K106" i="25"/>
  <c r="K7" i="25" s="1"/>
  <c r="I193" i="2" s="1"/>
  <c r="S193" i="2" s="1"/>
  <c r="K75" i="25"/>
  <c r="K76" i="25"/>
  <c r="K24" i="25" s="1"/>
  <c r="K77" i="25"/>
  <c r="K31" i="25" s="1"/>
  <c r="I523" i="3" s="1"/>
  <c r="K84" i="25"/>
  <c r="K6" i="25" s="1"/>
  <c r="I192" i="2" s="1"/>
  <c r="S192" i="2" s="1"/>
  <c r="K20" i="25"/>
  <c r="K42" i="25"/>
  <c r="K5" i="25" s="1"/>
  <c r="I191" i="2" s="1"/>
  <c r="S191" i="2" s="1"/>
  <c r="K3" i="24"/>
  <c r="K7" i="24"/>
  <c r="K9" i="24"/>
  <c r="K17" i="24" s="1"/>
  <c r="K11" i="24"/>
  <c r="I43" i="3" s="1"/>
  <c r="K199" i="23"/>
  <c r="K19" i="23" s="1"/>
  <c r="K179" i="23"/>
  <c r="K10" i="23" s="1"/>
  <c r="I431" i="3" s="1"/>
  <c r="K180" i="23"/>
  <c r="K181" i="23"/>
  <c r="K14" i="23" s="1"/>
  <c r="I339" i="3" s="1"/>
  <c r="K182" i="23"/>
  <c r="K16" i="23" s="1"/>
  <c r="I138" i="3" s="1"/>
  <c r="K183" i="23"/>
  <c r="K18" i="23" s="1"/>
  <c r="K184" i="23"/>
  <c r="K22" i="23" s="1"/>
  <c r="I281" i="3" s="1"/>
  <c r="K192" i="23"/>
  <c r="K4" i="23" s="1"/>
  <c r="I338" i="2" s="1"/>
  <c r="K137" i="23"/>
  <c r="K134" i="23"/>
  <c r="K126" i="23"/>
  <c r="K105" i="23"/>
  <c r="K96" i="23"/>
  <c r="K73" i="23"/>
  <c r="K59" i="23"/>
  <c r="K54" i="23"/>
  <c r="K44" i="23"/>
  <c r="K12" i="23"/>
  <c r="I413" i="3" s="1"/>
  <c r="K35" i="23"/>
  <c r="K3" i="23" s="1"/>
  <c r="I337" i="2" s="1"/>
  <c r="S337" i="2" s="1"/>
  <c r="K3" i="20"/>
  <c r="I158" i="2" s="1"/>
  <c r="S158" i="2" s="1"/>
  <c r="K3" i="21"/>
  <c r="K7" i="21"/>
  <c r="K8" i="21"/>
  <c r="K11" i="21"/>
  <c r="I486" i="3" s="1"/>
  <c r="K217" i="19"/>
  <c r="K25" i="19" s="1"/>
  <c r="I254" i="3" s="1"/>
  <c r="K218" i="19"/>
  <c r="K33" i="19" s="1"/>
  <c r="K183" i="19"/>
  <c r="K13" i="19" s="1"/>
  <c r="I202" i="3" s="1"/>
  <c r="K20" i="19"/>
  <c r="K185" i="19"/>
  <c r="K23" i="19" s="1"/>
  <c r="I371" i="3" s="1"/>
  <c r="K186" i="19"/>
  <c r="K30" i="19" s="1"/>
  <c r="K187" i="19"/>
  <c r="K34" i="19" s="1"/>
  <c r="K194" i="19"/>
  <c r="K5" i="19" s="1"/>
  <c r="K176" i="19"/>
  <c r="K170" i="19"/>
  <c r="K151" i="19"/>
  <c r="K139" i="19"/>
  <c r="K128" i="19"/>
  <c r="K125" i="19"/>
  <c r="K15" i="19"/>
  <c r="I141" i="3" s="1"/>
  <c r="K19" i="19"/>
  <c r="K27" i="19"/>
  <c r="I178" i="3" s="1"/>
  <c r="K29" i="19"/>
  <c r="K118" i="19"/>
  <c r="K4" i="19" s="1"/>
  <c r="K77" i="19"/>
  <c r="K17" i="19"/>
  <c r="I110" i="3" s="1"/>
  <c r="K3" i="19"/>
  <c r="I185" i="2" s="1"/>
  <c r="S185" i="2" s="1"/>
  <c r="K30" i="26" l="1"/>
  <c r="I482" i="3" s="1"/>
  <c r="K19" i="42"/>
  <c r="K13" i="21"/>
  <c r="K9" i="21"/>
  <c r="I516" i="3" s="1"/>
  <c r="K5" i="21"/>
  <c r="I157" i="2"/>
  <c r="S157" i="2" s="1"/>
  <c r="K6" i="20"/>
  <c r="K7" i="20" s="1"/>
  <c r="K29" i="37"/>
  <c r="I155" i="3" s="1"/>
  <c r="K19" i="37"/>
  <c r="I74" i="3" s="1"/>
  <c r="K83" i="39"/>
  <c r="K23" i="37"/>
  <c r="I472" i="3" s="1"/>
  <c r="K25" i="34"/>
  <c r="I487" i="3" s="1"/>
  <c r="K8" i="34"/>
  <c r="I163" i="2"/>
  <c r="S163" i="2" s="1"/>
  <c r="S162" i="2"/>
  <c r="K28" i="33"/>
  <c r="I370" i="3" s="1"/>
  <c r="K35" i="19"/>
  <c r="I353" i="3" s="1"/>
  <c r="K9" i="19"/>
  <c r="I186" i="2"/>
  <c r="S186" i="2" s="1"/>
  <c r="K55" i="38"/>
  <c r="I323" i="3" s="1"/>
  <c r="K51" i="38"/>
  <c r="I322" i="3" s="1"/>
  <c r="K16" i="25"/>
  <c r="I379" i="3" s="1"/>
  <c r="K85" i="39"/>
  <c r="K87" i="39"/>
  <c r="I497" i="3"/>
  <c r="K17" i="41"/>
  <c r="K19" i="41"/>
  <c r="K13" i="36"/>
  <c r="I469" i="3"/>
  <c r="K5" i="36"/>
  <c r="I134" i="2"/>
  <c r="S134" i="2" s="1"/>
  <c r="K15" i="36"/>
  <c r="I415" i="3"/>
  <c r="K15" i="35"/>
  <c r="I507" i="3"/>
  <c r="K13" i="35"/>
  <c r="I383" i="3"/>
  <c r="K5" i="35"/>
  <c r="I133" i="2"/>
  <c r="S133" i="2" s="1"/>
  <c r="K17" i="26"/>
  <c r="I78" i="2"/>
  <c r="S78" i="2" s="1"/>
  <c r="K13" i="24"/>
  <c r="I105" i="3"/>
  <c r="K5" i="24"/>
  <c r="I132" i="2"/>
  <c r="S132" i="2" s="1"/>
  <c r="K15" i="24"/>
  <c r="I17" i="3"/>
  <c r="I197" i="2"/>
  <c r="S197" i="2" s="1"/>
  <c r="S194" i="2"/>
  <c r="K17" i="33"/>
  <c r="I362" i="2"/>
  <c r="S362" i="2" s="1"/>
  <c r="K47" i="26"/>
  <c r="I299" i="3" s="1"/>
  <c r="K37" i="33"/>
  <c r="I190" i="3" s="1"/>
  <c r="I360" i="2"/>
  <c r="S360" i="2" s="1"/>
  <c r="S356" i="2"/>
  <c r="S338" i="2"/>
  <c r="I339" i="2"/>
  <c r="S339" i="2" s="1"/>
  <c r="I260" i="2"/>
  <c r="S260" i="2" s="1"/>
  <c r="S255" i="2"/>
  <c r="K67" i="38"/>
  <c r="I55" i="3" s="1"/>
  <c r="K16" i="33"/>
  <c r="I361" i="2"/>
  <c r="S170" i="2"/>
  <c r="K10" i="19"/>
  <c r="I187" i="2"/>
  <c r="S71" i="2"/>
  <c r="I77" i="2"/>
  <c r="K14" i="37"/>
  <c r="I261" i="2"/>
  <c r="K49" i="27"/>
  <c r="I64" i="3" s="1"/>
  <c r="K18" i="27"/>
  <c r="I350" i="2"/>
  <c r="S350" i="2" s="1"/>
  <c r="K55" i="27"/>
  <c r="I96" i="3" s="1"/>
  <c r="K59" i="27"/>
  <c r="I416" i="3" s="1"/>
  <c r="S342" i="2"/>
  <c r="I349" i="2"/>
  <c r="K31" i="28"/>
  <c r="I88" i="3" s="1"/>
  <c r="S368" i="2"/>
  <c r="I371" i="2"/>
  <c r="S371" i="2" s="1"/>
  <c r="K63" i="38"/>
  <c r="I275" i="3" s="1"/>
  <c r="K23" i="38"/>
  <c r="I32" i="2"/>
  <c r="S32" i="2" s="1"/>
  <c r="K33" i="38"/>
  <c r="I221" i="3" s="1"/>
  <c r="K22" i="38"/>
  <c r="I31" i="2"/>
  <c r="S31" i="2" s="1"/>
  <c r="K59" i="38"/>
  <c r="I122" i="3" s="1"/>
  <c r="S27" i="2"/>
  <c r="I30" i="2"/>
  <c r="K17" i="39"/>
  <c r="K27" i="28"/>
  <c r="I42" i="3" s="1"/>
  <c r="K18" i="28"/>
  <c r="I341" i="3" s="1"/>
  <c r="K3" i="28"/>
  <c r="K12" i="28" s="1"/>
  <c r="K47" i="38"/>
  <c r="I422" i="3" s="1"/>
  <c r="K80" i="38"/>
  <c r="I397" i="3" s="1"/>
  <c r="K3" i="38"/>
  <c r="K6" i="38" s="1"/>
  <c r="K25" i="38" s="1"/>
  <c r="K71" i="38"/>
  <c r="I228" i="3" s="1"/>
  <c r="K24" i="38"/>
  <c r="K39" i="37"/>
  <c r="I385" i="3" s="1"/>
  <c r="K33" i="37"/>
  <c r="I153" i="3" s="1"/>
  <c r="K3" i="37"/>
  <c r="K5" i="37" s="1"/>
  <c r="K15" i="37" s="1"/>
  <c r="K17" i="35"/>
  <c r="K5" i="34"/>
  <c r="K9" i="34" s="1"/>
  <c r="K7" i="34"/>
  <c r="K44" i="33"/>
  <c r="I315" i="3" s="1"/>
  <c r="K3" i="33"/>
  <c r="K15" i="33" s="1"/>
  <c r="K24" i="33"/>
  <c r="I285" i="3" s="1"/>
  <c r="K33" i="33"/>
  <c r="I479" i="3" s="1"/>
  <c r="K27" i="27"/>
  <c r="I218" i="3" s="1"/>
  <c r="K45" i="27"/>
  <c r="I356" i="3" s="1"/>
  <c r="K31" i="27"/>
  <c r="I50" i="3" s="1"/>
  <c r="K3" i="27"/>
  <c r="K17" i="27" s="1"/>
  <c r="K20" i="27"/>
  <c r="K19" i="27"/>
  <c r="K3" i="26"/>
  <c r="K5" i="26" s="1"/>
  <c r="K18" i="26" s="1"/>
  <c r="K43" i="26"/>
  <c r="I426" i="3" s="1"/>
  <c r="K27" i="25"/>
  <c r="I451" i="3" s="1"/>
  <c r="K22" i="25"/>
  <c r="I514" i="3" s="1"/>
  <c r="K3" i="25"/>
  <c r="K12" i="25" s="1"/>
  <c r="K20" i="23"/>
  <c r="I444" i="3" s="1"/>
  <c r="K5" i="23"/>
  <c r="K7" i="23" s="1"/>
  <c r="K31" i="19"/>
  <c r="I405" i="3" s="1"/>
  <c r="K21" i="19"/>
  <c r="I302" i="3" s="1"/>
  <c r="K8" i="19"/>
  <c r="K6" i="19"/>
  <c r="K11" i="19" s="1"/>
  <c r="K32" i="13"/>
  <c r="K36" i="13"/>
  <c r="K19" i="13"/>
  <c r="I33" i="3" s="1"/>
  <c r="K25" i="13"/>
  <c r="K11" i="13"/>
  <c r="I13" i="2" s="1"/>
  <c r="S13" i="2" s="1"/>
  <c r="K202" i="13"/>
  <c r="K169" i="13"/>
  <c r="K22" i="13" s="1"/>
  <c r="K10" i="13"/>
  <c r="I12" i="2" s="1"/>
  <c r="S12" i="2" s="1"/>
  <c r="K135" i="13"/>
  <c r="K21" i="13" s="1"/>
  <c r="K136" i="13"/>
  <c r="K35" i="13" s="1"/>
  <c r="K143" i="13"/>
  <c r="K9" i="13" s="1"/>
  <c r="I11" i="2" s="1"/>
  <c r="S11" i="2" s="1"/>
  <c r="K106" i="13"/>
  <c r="K17" i="13" s="1"/>
  <c r="I193" i="3" s="1"/>
  <c r="K107" i="13"/>
  <c r="K31" i="13" s="1"/>
  <c r="K114" i="13"/>
  <c r="K8" i="13" s="1"/>
  <c r="I10" i="2" s="1"/>
  <c r="S10" i="2" s="1"/>
  <c r="K90" i="13"/>
  <c r="K7" i="13" s="1"/>
  <c r="I9" i="2" s="1"/>
  <c r="K59" i="13"/>
  <c r="K26" i="13"/>
  <c r="K29" i="13"/>
  <c r="I346" i="3" s="1"/>
  <c r="K4" i="13"/>
  <c r="K174" i="18"/>
  <c r="K175" i="18"/>
  <c r="K17" i="18" s="1"/>
  <c r="K176" i="18"/>
  <c r="K21" i="18" s="1"/>
  <c r="K177" i="18"/>
  <c r="K26" i="18" s="1"/>
  <c r="I160" i="3" s="1"/>
  <c r="K137" i="18"/>
  <c r="K144" i="18"/>
  <c r="K8" i="18" s="1"/>
  <c r="I250" i="2" s="1"/>
  <c r="S250" i="2" s="1"/>
  <c r="K115" i="18"/>
  <c r="K123" i="18"/>
  <c r="K7" i="18" s="1"/>
  <c r="I249" i="2" s="1"/>
  <c r="S249" i="2" s="1"/>
  <c r="K80" i="18"/>
  <c r="K81" i="18"/>
  <c r="K88" i="18"/>
  <c r="K74" i="18"/>
  <c r="K65" i="18"/>
  <c r="K59" i="18"/>
  <c r="K48" i="18"/>
  <c r="K6" i="18"/>
  <c r="I248" i="2" s="1"/>
  <c r="S248" i="2" s="1"/>
  <c r="K12" i="18"/>
  <c r="K13" i="18"/>
  <c r="K16" i="18"/>
  <c r="K20" i="18"/>
  <c r="K24" i="18"/>
  <c r="I312" i="3" s="1"/>
  <c r="K37" i="18"/>
  <c r="K5" i="18" s="1"/>
  <c r="I247" i="2" s="1"/>
  <c r="K3" i="15"/>
  <c r="K7" i="15"/>
  <c r="I412" i="3" s="1"/>
  <c r="K9" i="15"/>
  <c r="I470" i="3" s="1"/>
  <c r="K11" i="15"/>
  <c r="K13" i="15"/>
  <c r="K17" i="15"/>
  <c r="K11" i="16" s="1"/>
  <c r="K3" i="16"/>
  <c r="K7" i="16"/>
  <c r="I197" i="3" s="1"/>
  <c r="K9" i="16"/>
  <c r="K12" i="16"/>
  <c r="K18" i="15" s="1"/>
  <c r="K15" i="16"/>
  <c r="I273" i="3"/>
  <c r="I67" i="3"/>
  <c r="I24" i="3"/>
  <c r="K19" i="17"/>
  <c r="K3" i="12"/>
  <c r="K6" i="12"/>
  <c r="K8" i="12"/>
  <c r="K10" i="12"/>
  <c r="I61" i="3" s="1"/>
  <c r="K12" i="12"/>
  <c r="K3" i="14"/>
  <c r="K7" i="14"/>
  <c r="K8" i="14"/>
  <c r="K17" i="14" s="1"/>
  <c r="K11" i="14"/>
  <c r="I20" i="3" s="1"/>
  <c r="K15" i="14"/>
  <c r="K9" i="11"/>
  <c r="I450" i="3"/>
  <c r="K3" i="11"/>
  <c r="K7" i="11"/>
  <c r="K10" i="11"/>
  <c r="K13" i="11"/>
  <c r="I226" i="3" s="1"/>
  <c r="K239" i="9"/>
  <c r="K240" i="9"/>
  <c r="K24" i="9" s="1"/>
  <c r="K241" i="9"/>
  <c r="K242" i="9"/>
  <c r="K45" i="9" s="1"/>
  <c r="K204" i="9"/>
  <c r="K23" i="9" s="1"/>
  <c r="K205" i="9"/>
  <c r="K41" i="9" s="1"/>
  <c r="K212" i="9"/>
  <c r="K8" i="9" s="1"/>
  <c r="K170" i="9"/>
  <c r="K27" i="9" s="1"/>
  <c r="I48" i="3" s="1"/>
  <c r="K171" i="9"/>
  <c r="K34" i="9" s="1"/>
  <c r="K172" i="9"/>
  <c r="K179" i="9"/>
  <c r="K7" i="9" s="1"/>
  <c r="K130" i="9"/>
  <c r="K131" i="9"/>
  <c r="K40" i="9" s="1"/>
  <c r="K138" i="9"/>
  <c r="K6" i="9" s="1"/>
  <c r="K105" i="9"/>
  <c r="K29" i="9" s="1"/>
  <c r="K106" i="9"/>
  <c r="K33" i="9" s="1"/>
  <c r="K113" i="9"/>
  <c r="K79" i="9"/>
  <c r="K19" i="9" s="1"/>
  <c r="K80" i="9"/>
  <c r="K39" i="9" s="1"/>
  <c r="K87" i="9"/>
  <c r="K4" i="9" s="1"/>
  <c r="K5" i="9"/>
  <c r="I241" i="2" s="1"/>
  <c r="S241" i="2" s="1"/>
  <c r="K13" i="9"/>
  <c r="K20" i="9"/>
  <c r="K30" i="9"/>
  <c r="K37" i="9"/>
  <c r="I71" i="3" s="1"/>
  <c r="K44" i="9"/>
  <c r="K59" i="9"/>
  <c r="K3" i="9" s="1"/>
  <c r="I239" i="2" s="1"/>
  <c r="S239" i="2" s="1"/>
  <c r="K15" i="21" l="1"/>
  <c r="K17" i="21"/>
  <c r="K5" i="11"/>
  <c r="I135" i="2"/>
  <c r="S135" i="2" s="1"/>
  <c r="K11" i="11"/>
  <c r="K19" i="11"/>
  <c r="I500" i="3"/>
  <c r="K18" i="18"/>
  <c r="I151" i="3" s="1"/>
  <c r="K22" i="18"/>
  <c r="I89" i="3" s="1"/>
  <c r="K14" i="18"/>
  <c r="I41" i="3" s="1"/>
  <c r="K55" i="26"/>
  <c r="K53" i="26"/>
  <c r="K51" i="26"/>
  <c r="K28" i="23"/>
  <c r="K26" i="23"/>
  <c r="K15" i="9"/>
  <c r="I243" i="2"/>
  <c r="S243" i="2" s="1"/>
  <c r="K25" i="9"/>
  <c r="I181" i="3" s="1"/>
  <c r="K14" i="9"/>
  <c r="I242" i="2"/>
  <c r="S242" i="2" s="1"/>
  <c r="K45" i="37"/>
  <c r="K47" i="37"/>
  <c r="K43" i="37"/>
  <c r="K12" i="9"/>
  <c r="I240" i="2"/>
  <c r="S240" i="2" s="1"/>
  <c r="K31" i="9"/>
  <c r="I256" i="3" s="1"/>
  <c r="K29" i="34"/>
  <c r="K31" i="34"/>
  <c r="K27" i="34"/>
  <c r="I164" i="2"/>
  <c r="K41" i="19"/>
  <c r="K39" i="19"/>
  <c r="K37" i="19"/>
  <c r="K21" i="16"/>
  <c r="I443" i="3"/>
  <c r="K13" i="16"/>
  <c r="I316" i="3" s="1"/>
  <c r="K5" i="16"/>
  <c r="I147" i="2"/>
  <c r="S147" i="2" s="1"/>
  <c r="K15" i="15"/>
  <c r="K37" i="25"/>
  <c r="K35" i="25"/>
  <c r="K33" i="25"/>
  <c r="K13" i="12"/>
  <c r="K14" i="12" s="1"/>
  <c r="K9" i="14"/>
  <c r="I86" i="3" s="1"/>
  <c r="K5" i="14"/>
  <c r="I131" i="2"/>
  <c r="S131" i="2" s="1"/>
  <c r="K16" i="12"/>
  <c r="K5" i="15"/>
  <c r="I130" i="2"/>
  <c r="S130" i="2" s="1"/>
  <c r="K19" i="16"/>
  <c r="I403" i="3"/>
  <c r="I466" i="3"/>
  <c r="K17" i="11"/>
  <c r="I128" i="2"/>
  <c r="S128" i="2" s="1"/>
  <c r="K15" i="11"/>
  <c r="K6" i="33"/>
  <c r="K18" i="33" s="1"/>
  <c r="K24" i="23"/>
  <c r="K8" i="23"/>
  <c r="K13" i="37"/>
  <c r="K48" i="33"/>
  <c r="S361" i="2"/>
  <c r="I363" i="2"/>
  <c r="S363" i="2" s="1"/>
  <c r="K16" i="9"/>
  <c r="I244" i="2"/>
  <c r="K27" i="13"/>
  <c r="I6" i="3" s="1"/>
  <c r="S187" i="2"/>
  <c r="I189" i="2"/>
  <c r="K86" i="38"/>
  <c r="I79" i="2"/>
  <c r="S77" i="2"/>
  <c r="S261" i="2"/>
  <c r="I262" i="2"/>
  <c r="S262" i="2" s="1"/>
  <c r="K5" i="12"/>
  <c r="I129" i="2"/>
  <c r="K13" i="14"/>
  <c r="I100" i="3"/>
  <c r="S247" i="2"/>
  <c r="I251" i="2"/>
  <c r="K63" i="27"/>
  <c r="K61" i="27"/>
  <c r="K65" i="27"/>
  <c r="I352" i="2"/>
  <c r="S352" i="2" s="1"/>
  <c r="S349" i="2"/>
  <c r="K35" i="28"/>
  <c r="K33" i="28"/>
  <c r="K37" i="28"/>
  <c r="K15" i="17"/>
  <c r="I347" i="3"/>
  <c r="K5" i="17"/>
  <c r="I332" i="2"/>
  <c r="K82" i="38"/>
  <c r="K84" i="38"/>
  <c r="I33" i="2"/>
  <c r="S33" i="2" s="1"/>
  <c r="S30" i="2"/>
  <c r="K21" i="38"/>
  <c r="K23" i="13"/>
  <c r="I34" i="3" s="1"/>
  <c r="K14" i="13"/>
  <c r="I15" i="2"/>
  <c r="S15" i="2" s="1"/>
  <c r="S9" i="2"/>
  <c r="I14" i="2"/>
  <c r="K37" i="13"/>
  <c r="I21" i="3" s="1"/>
  <c r="K50" i="33"/>
  <c r="K52" i="33"/>
  <c r="K6" i="27"/>
  <c r="K21" i="27" s="1"/>
  <c r="K16" i="26"/>
  <c r="K33" i="13"/>
  <c r="I29" i="3" s="1"/>
  <c r="K3" i="13"/>
  <c r="K13" i="13" s="1"/>
  <c r="K3" i="18"/>
  <c r="K10" i="18" s="1"/>
  <c r="K30" i="18"/>
  <c r="K32" i="18"/>
  <c r="K28" i="18"/>
  <c r="K21" i="15"/>
  <c r="K19" i="15"/>
  <c r="K23" i="15" s="1"/>
  <c r="K17" i="16"/>
  <c r="K17" i="17"/>
  <c r="K18" i="12"/>
  <c r="I395" i="3"/>
  <c r="K46" i="9"/>
  <c r="I104" i="3" s="1"/>
  <c r="K21" i="9"/>
  <c r="K42" i="9"/>
  <c r="I243" i="3" s="1"/>
  <c r="K35" i="9"/>
  <c r="I246" i="3" s="1"/>
  <c r="K9" i="9"/>
  <c r="K17" i="9" s="1"/>
  <c r="K11" i="9"/>
  <c r="K162" i="7"/>
  <c r="K15" i="7" s="1"/>
  <c r="I437" i="3" s="1"/>
  <c r="K163" i="7"/>
  <c r="K17" i="7" s="1"/>
  <c r="K131" i="7"/>
  <c r="K132" i="7"/>
  <c r="K22" i="7" s="1"/>
  <c r="K133" i="7"/>
  <c r="K26" i="7" s="1"/>
  <c r="K134" i="7"/>
  <c r="K29" i="7" s="1"/>
  <c r="I95" i="3" s="1"/>
  <c r="K141" i="7"/>
  <c r="K120" i="7"/>
  <c r="K103" i="7"/>
  <c r="K96" i="7"/>
  <c r="K83" i="7"/>
  <c r="K13" i="7" s="1"/>
  <c r="I348" i="3" s="1"/>
  <c r="K84" i="7"/>
  <c r="K21" i="7" s="1"/>
  <c r="K85" i="7"/>
  <c r="K25" i="7" s="1"/>
  <c r="K92" i="7"/>
  <c r="K4" i="7" s="1"/>
  <c r="K69" i="7"/>
  <c r="K61" i="7"/>
  <c r="K58" i="7"/>
  <c r="K55" i="7"/>
  <c r="K50" i="7"/>
  <c r="K5" i="7"/>
  <c r="K18" i="7"/>
  <c r="K43" i="7"/>
  <c r="K3" i="7" s="1"/>
  <c r="K3" i="6"/>
  <c r="I355" i="3"/>
  <c r="K3" i="5"/>
  <c r="K7" i="5"/>
  <c r="K9" i="5"/>
  <c r="I186" i="3" s="1"/>
  <c r="K11" i="5"/>
  <c r="I116" i="3" s="1"/>
  <c r="K3" i="4"/>
  <c r="K7" i="4"/>
  <c r="K17" i="4" s="1"/>
  <c r="K9" i="4"/>
  <c r="K11" i="8" s="1"/>
  <c r="K13" i="8" s="1"/>
  <c r="I556" i="3"/>
  <c r="I462" i="2"/>
  <c r="K21" i="14" l="1"/>
  <c r="K19" i="14"/>
  <c r="K21" i="11"/>
  <c r="K23" i="11"/>
  <c r="K52" i="9"/>
  <c r="S164" i="2"/>
  <c r="I181" i="2"/>
  <c r="S181" i="2" s="1"/>
  <c r="K19" i="7"/>
  <c r="I440" i="3" s="1"/>
  <c r="K9" i="7"/>
  <c r="I5" i="2"/>
  <c r="S5" i="2" s="1"/>
  <c r="I464" i="2"/>
  <c r="S464" i="2" s="1"/>
  <c r="S462" i="2"/>
  <c r="K23" i="7"/>
  <c r="I27" i="3" s="1"/>
  <c r="I4" i="2"/>
  <c r="S4" i="2" s="1"/>
  <c r="K8" i="7"/>
  <c r="K20" i="12"/>
  <c r="K22" i="12"/>
  <c r="K23" i="16"/>
  <c r="K17" i="5"/>
  <c r="K13" i="5"/>
  <c r="I118" i="3"/>
  <c r="K15" i="5"/>
  <c r="K5" i="5"/>
  <c r="I127" i="2"/>
  <c r="S127" i="2" s="1"/>
  <c r="K19" i="4"/>
  <c r="K5" i="4"/>
  <c r="I126" i="2"/>
  <c r="S126" i="2" s="1"/>
  <c r="I174" i="3"/>
  <c r="K15" i="8"/>
  <c r="K21" i="8" s="1"/>
  <c r="K11" i="4"/>
  <c r="I367" i="3" s="1"/>
  <c r="K21" i="4"/>
  <c r="K5" i="6"/>
  <c r="I331" i="2"/>
  <c r="S331" i="2" s="1"/>
  <c r="K11" i="6"/>
  <c r="I521" i="3"/>
  <c r="K50" i="9"/>
  <c r="I106" i="3"/>
  <c r="S244" i="2"/>
  <c r="I245" i="2"/>
  <c r="S245" i="2" s="1"/>
  <c r="K10" i="7"/>
  <c r="I6" i="2"/>
  <c r="K5" i="13"/>
  <c r="K15" i="13" s="1"/>
  <c r="S189" i="2"/>
  <c r="I235" i="2"/>
  <c r="S235" i="2" s="1"/>
  <c r="S79" i="2"/>
  <c r="I122" i="2"/>
  <c r="S122" i="2" s="1"/>
  <c r="S129" i="2"/>
  <c r="I253" i="2"/>
  <c r="S251" i="2"/>
  <c r="S332" i="2"/>
  <c r="I335" i="2"/>
  <c r="K43" i="13"/>
  <c r="K41" i="13"/>
  <c r="I16" i="2"/>
  <c r="S14" i="2"/>
  <c r="K39" i="13"/>
  <c r="K25" i="16"/>
  <c r="K25" i="15"/>
  <c r="K48" i="9"/>
  <c r="K27" i="7"/>
  <c r="I13" i="3" s="1"/>
  <c r="K6" i="7"/>
  <c r="K11" i="7" s="1"/>
  <c r="K13" i="6"/>
  <c r="K15" i="6"/>
  <c r="I563" i="3"/>
  <c r="I562" i="3"/>
  <c r="I558" i="3"/>
  <c r="I561" i="3"/>
  <c r="I557" i="3"/>
  <c r="J145" i="60"/>
  <c r="J146" i="60"/>
  <c r="J111" i="60"/>
  <c r="J135" i="60"/>
  <c r="K33" i="7" l="1"/>
  <c r="K35" i="7"/>
  <c r="K31" i="7"/>
  <c r="I541" i="3"/>
  <c r="I160" i="2"/>
  <c r="S160" i="2" s="1"/>
  <c r="K19" i="8"/>
  <c r="I542" i="3"/>
  <c r="I538" i="3"/>
  <c r="I543" i="3"/>
  <c r="I540" i="3"/>
  <c r="S6" i="2"/>
  <c r="I7" i="2"/>
  <c r="S7" i="2" s="1"/>
  <c r="S253" i="2"/>
  <c r="I327" i="2"/>
  <c r="S327" i="2" s="1"/>
  <c r="S335" i="2"/>
  <c r="I384" i="2"/>
  <c r="S384" i="2" s="1"/>
  <c r="S16" i="2"/>
  <c r="H544" i="3"/>
  <c r="H558" i="3" s="1"/>
  <c r="D329" i="38"/>
  <c r="E329" i="38"/>
  <c r="E49" i="38" s="1"/>
  <c r="F329" i="38"/>
  <c r="G329" i="38"/>
  <c r="H329" i="38"/>
  <c r="I329" i="38"/>
  <c r="I49" i="38" s="1"/>
  <c r="J329" i="38"/>
  <c r="D328" i="38"/>
  <c r="E328" i="38"/>
  <c r="F328" i="38"/>
  <c r="F41" i="38" s="1"/>
  <c r="D152" i="3" s="1"/>
  <c r="G328" i="38"/>
  <c r="H328" i="38"/>
  <c r="I328" i="38"/>
  <c r="D330" i="38"/>
  <c r="D78" i="38" s="1"/>
  <c r="E330" i="38"/>
  <c r="F330" i="38"/>
  <c r="G330" i="38"/>
  <c r="H330" i="38"/>
  <c r="H78" i="38" s="1"/>
  <c r="I330" i="38"/>
  <c r="J330" i="38"/>
  <c r="J328" i="38"/>
  <c r="D303" i="38"/>
  <c r="D13" i="38" s="1"/>
  <c r="B23" i="2" s="1"/>
  <c r="L23" i="2" s="1"/>
  <c r="E303" i="38"/>
  <c r="F303" i="38"/>
  <c r="G303" i="38"/>
  <c r="H303" i="38"/>
  <c r="H13" i="38" s="1"/>
  <c r="F23" i="2" s="1"/>
  <c r="P23" i="2" s="1"/>
  <c r="I303" i="38"/>
  <c r="J303" i="38"/>
  <c r="J319" i="38"/>
  <c r="I319" i="38"/>
  <c r="H319" i="38"/>
  <c r="G319" i="38"/>
  <c r="F319" i="38"/>
  <c r="E319" i="38"/>
  <c r="D319" i="38"/>
  <c r="J312" i="38"/>
  <c r="I312" i="38"/>
  <c r="H312" i="38"/>
  <c r="G312" i="38"/>
  <c r="F312" i="38"/>
  <c r="E312" i="38"/>
  <c r="D312" i="38"/>
  <c r="I306" i="38"/>
  <c r="J306" i="38"/>
  <c r="H306" i="38"/>
  <c r="G306" i="38"/>
  <c r="F306" i="38"/>
  <c r="E306" i="38"/>
  <c r="D306" i="38"/>
  <c r="J9" i="47"/>
  <c r="J7" i="47"/>
  <c r="J3" i="47"/>
  <c r="D15" i="63"/>
  <c r="E15" i="63"/>
  <c r="F15" i="63"/>
  <c r="G15" i="63"/>
  <c r="H15" i="63"/>
  <c r="I15" i="63"/>
  <c r="J15" i="63"/>
  <c r="J5" i="20"/>
  <c r="E251" i="84"/>
  <c r="F251" i="84"/>
  <c r="G251" i="84"/>
  <c r="H251" i="84"/>
  <c r="I251" i="84"/>
  <c r="E252" i="84"/>
  <c r="F252" i="84"/>
  <c r="G252" i="84"/>
  <c r="H252" i="84"/>
  <c r="I252" i="84"/>
  <c r="D252" i="84"/>
  <c r="D251" i="84"/>
  <c r="E217" i="84"/>
  <c r="F217" i="84"/>
  <c r="G217" i="84"/>
  <c r="H217" i="84"/>
  <c r="I217" i="84"/>
  <c r="J217" i="84"/>
  <c r="D217" i="84"/>
  <c r="J229" i="84"/>
  <c r="I229" i="84"/>
  <c r="H229" i="84"/>
  <c r="G229" i="84"/>
  <c r="F229" i="84"/>
  <c r="E229" i="84"/>
  <c r="D229" i="84"/>
  <c r="J130" i="32"/>
  <c r="J8" i="32" s="1"/>
  <c r="J176" i="32"/>
  <c r="J177" i="32"/>
  <c r="J31" i="32" s="1"/>
  <c r="H320" i="3" s="1"/>
  <c r="J155" i="32"/>
  <c r="D130" i="32"/>
  <c r="E130" i="32"/>
  <c r="F130" i="32"/>
  <c r="G130" i="32"/>
  <c r="G8" i="32" s="1"/>
  <c r="E409" i="2" s="1"/>
  <c r="O409" i="2" s="1"/>
  <c r="H130" i="32"/>
  <c r="I130" i="32"/>
  <c r="D176" i="32"/>
  <c r="E176" i="32"/>
  <c r="E15" i="32" s="1"/>
  <c r="F176" i="32"/>
  <c r="G176" i="32"/>
  <c r="H176" i="32"/>
  <c r="H15" i="32" s="1"/>
  <c r="I176" i="32"/>
  <c r="I15" i="32" s="1"/>
  <c r="D177" i="32"/>
  <c r="E177" i="32"/>
  <c r="F177" i="32"/>
  <c r="G177" i="32"/>
  <c r="G31" i="32" s="1"/>
  <c r="E320" i="3" s="1"/>
  <c r="H177" i="32"/>
  <c r="I177" i="32"/>
  <c r="J161" i="32"/>
  <c r="I161" i="32"/>
  <c r="H161" i="32"/>
  <c r="G161" i="32"/>
  <c r="F161" i="32"/>
  <c r="E161" i="32"/>
  <c r="D161" i="32"/>
  <c r="E263" i="33"/>
  <c r="F263" i="33"/>
  <c r="G263" i="33"/>
  <c r="H263" i="33"/>
  <c r="I263" i="33"/>
  <c r="J263" i="33"/>
  <c r="E264" i="33"/>
  <c r="F264" i="33"/>
  <c r="G264" i="33"/>
  <c r="H264" i="33"/>
  <c r="I264" i="33"/>
  <c r="J264" i="33"/>
  <c r="D264" i="33"/>
  <c r="D263" i="33"/>
  <c r="E233" i="33"/>
  <c r="F233" i="33"/>
  <c r="G233" i="33"/>
  <c r="H233" i="33"/>
  <c r="I233" i="33"/>
  <c r="J233" i="33"/>
  <c r="D233" i="33"/>
  <c r="J256" i="33"/>
  <c r="I256" i="33"/>
  <c r="H256" i="33"/>
  <c r="G256" i="33"/>
  <c r="F256" i="33"/>
  <c r="E256" i="33"/>
  <c r="D256" i="33"/>
  <c r="E239" i="33"/>
  <c r="F239" i="33"/>
  <c r="G239" i="33"/>
  <c r="H239" i="33"/>
  <c r="I239" i="33"/>
  <c r="J239" i="33"/>
  <c r="D239" i="33"/>
  <c r="D3" i="97"/>
  <c r="E3" i="97"/>
  <c r="F3" i="97"/>
  <c r="G3" i="97"/>
  <c r="G5" i="97" s="1"/>
  <c r="H3" i="97"/>
  <c r="I3" i="97"/>
  <c r="J3" i="97"/>
  <c r="J5" i="97" s="1"/>
  <c r="D225" i="33"/>
  <c r="E225" i="33"/>
  <c r="F225" i="33"/>
  <c r="G225" i="33"/>
  <c r="H225" i="33"/>
  <c r="I225" i="33"/>
  <c r="J225" i="33"/>
  <c r="D203" i="33"/>
  <c r="E203" i="33"/>
  <c r="F203" i="33"/>
  <c r="G203" i="33"/>
  <c r="H203" i="33"/>
  <c r="I203" i="33"/>
  <c r="J203" i="33"/>
  <c r="E12" i="9"/>
  <c r="F12" i="9"/>
  <c r="G12" i="9"/>
  <c r="H12" i="9"/>
  <c r="I12" i="9"/>
  <c r="J12" i="9"/>
  <c r="D12" i="9"/>
  <c r="D39" i="34"/>
  <c r="E39" i="34"/>
  <c r="F39" i="34"/>
  <c r="G39" i="34"/>
  <c r="H39" i="34"/>
  <c r="I39" i="34"/>
  <c r="J39" i="34"/>
  <c r="J66" i="34"/>
  <c r="J65" i="34"/>
  <c r="D7" i="97"/>
  <c r="E7" i="97"/>
  <c r="F7" i="97"/>
  <c r="D209" i="3" s="1"/>
  <c r="G7" i="97"/>
  <c r="H7" i="97"/>
  <c r="I7" i="97"/>
  <c r="J7" i="97"/>
  <c r="J11" i="97" s="1"/>
  <c r="I9" i="97"/>
  <c r="J31" i="97"/>
  <c r="I31" i="97"/>
  <c r="H31" i="97"/>
  <c r="G31" i="97"/>
  <c r="F31" i="97"/>
  <c r="E31" i="97"/>
  <c r="D31" i="97"/>
  <c r="J137" i="89"/>
  <c r="J211" i="82"/>
  <c r="J77" i="37"/>
  <c r="J78" i="37"/>
  <c r="J79" i="37"/>
  <c r="J37" i="40"/>
  <c r="J34" i="40"/>
  <c r="J24" i="40"/>
  <c r="D400" i="27"/>
  <c r="D54" i="27" s="1"/>
  <c r="E400" i="27"/>
  <c r="F400" i="27"/>
  <c r="G400" i="27"/>
  <c r="H400" i="27"/>
  <c r="H54" i="27" s="1"/>
  <c r="I400" i="27"/>
  <c r="J400" i="27"/>
  <c r="J290" i="27"/>
  <c r="D140" i="33"/>
  <c r="E140" i="33"/>
  <c r="F140" i="33"/>
  <c r="G140" i="33"/>
  <c r="H140" i="33"/>
  <c r="I140" i="33"/>
  <c r="J140" i="33"/>
  <c r="D166" i="33"/>
  <c r="E166" i="33"/>
  <c r="F166" i="33"/>
  <c r="G166" i="33"/>
  <c r="H166" i="33"/>
  <c r="I166" i="33"/>
  <c r="D167" i="33"/>
  <c r="E167" i="33"/>
  <c r="F167" i="33"/>
  <c r="G167" i="33"/>
  <c r="H167" i="33"/>
  <c r="I167" i="33"/>
  <c r="D168" i="33"/>
  <c r="E168" i="33"/>
  <c r="F168" i="33"/>
  <c r="G168" i="33"/>
  <c r="H168" i="33"/>
  <c r="I168" i="33"/>
  <c r="J168" i="33"/>
  <c r="J167" i="33"/>
  <c r="J166" i="33"/>
  <c r="J80" i="33"/>
  <c r="J79" i="33"/>
  <c r="J472" i="57"/>
  <c r="J473" i="57"/>
  <c r="J446" i="57"/>
  <c r="J232" i="64"/>
  <c r="D100" i="60"/>
  <c r="E100" i="60"/>
  <c r="F100" i="60"/>
  <c r="G100" i="60"/>
  <c r="H100" i="60"/>
  <c r="I100" i="60"/>
  <c r="D101" i="60"/>
  <c r="E101" i="60"/>
  <c r="F101" i="60"/>
  <c r="G101" i="60"/>
  <c r="H101" i="60"/>
  <c r="I101" i="60"/>
  <c r="D102" i="60"/>
  <c r="E102" i="60"/>
  <c r="F102" i="60"/>
  <c r="G102" i="60"/>
  <c r="H102" i="60"/>
  <c r="I102" i="60"/>
  <c r="D103" i="60"/>
  <c r="E103" i="60"/>
  <c r="F103" i="60"/>
  <c r="G103" i="60"/>
  <c r="H103" i="60"/>
  <c r="I103" i="60"/>
  <c r="J103" i="60"/>
  <c r="J102" i="60"/>
  <c r="J101" i="60"/>
  <c r="J13" i="60" s="1"/>
  <c r="H81" i="3" s="1"/>
  <c r="J100" i="60"/>
  <c r="D133" i="75"/>
  <c r="E133" i="75"/>
  <c r="F133" i="75"/>
  <c r="G133" i="75"/>
  <c r="H133" i="75"/>
  <c r="I133" i="75"/>
  <c r="D134" i="75"/>
  <c r="E134" i="75"/>
  <c r="F134" i="75"/>
  <c r="G134" i="75"/>
  <c r="H134" i="75"/>
  <c r="I134" i="75"/>
  <c r="J133" i="75"/>
  <c r="J134" i="75"/>
  <c r="J107" i="75"/>
  <c r="J145" i="61"/>
  <c r="J111" i="61"/>
  <c r="J156" i="23"/>
  <c r="J134" i="23"/>
  <c r="J137" i="23"/>
  <c r="J44" i="42"/>
  <c r="J39" i="42"/>
  <c r="J24" i="42"/>
  <c r="J320" i="82"/>
  <c r="D184" i="32"/>
  <c r="E184" i="32"/>
  <c r="E9" i="32" s="1"/>
  <c r="C410" i="2" s="1"/>
  <c r="M410" i="2" s="1"/>
  <c r="F184" i="32"/>
  <c r="G184" i="32"/>
  <c r="H184" i="32"/>
  <c r="I184" i="32"/>
  <c r="I9" i="32" s="1"/>
  <c r="G410" i="2" s="1"/>
  <c r="Q410" i="2" s="1"/>
  <c r="J184" i="32"/>
  <c r="D212" i="32"/>
  <c r="E212" i="32"/>
  <c r="F212" i="32"/>
  <c r="F16" i="32" s="1"/>
  <c r="G212" i="32"/>
  <c r="H212" i="32"/>
  <c r="I212" i="32"/>
  <c r="I16" i="32" s="1"/>
  <c r="D213" i="32"/>
  <c r="D33" i="32" s="1"/>
  <c r="B237" i="3" s="1"/>
  <c r="K237" i="3" s="1"/>
  <c r="E213" i="32"/>
  <c r="F213" i="32"/>
  <c r="G213" i="32"/>
  <c r="H213" i="32"/>
  <c r="H33" i="32" s="1"/>
  <c r="F237" i="3" s="1"/>
  <c r="I213" i="32"/>
  <c r="J213" i="32"/>
  <c r="J212" i="32"/>
  <c r="J16" i="32" s="1"/>
  <c r="J122" i="66"/>
  <c r="J118" i="66"/>
  <c r="J451" i="31"/>
  <c r="J450" i="31"/>
  <c r="J58" i="31" s="1"/>
  <c r="J421" i="31"/>
  <c r="J17" i="31" s="1"/>
  <c r="H220" i="2" s="1"/>
  <c r="R220" i="2" s="1"/>
  <c r="J432" i="31"/>
  <c r="J47" i="30"/>
  <c r="J202" i="13"/>
  <c r="J188" i="38"/>
  <c r="J135" i="84"/>
  <c r="J8" i="84" s="1"/>
  <c r="H59" i="2" s="1"/>
  <c r="R59" i="2" s="1"/>
  <c r="J15" i="71"/>
  <c r="J89" i="68"/>
  <c r="J88" i="68"/>
  <c r="J30" i="89"/>
  <c r="H528" i="3" s="1"/>
  <c r="J32" i="89"/>
  <c r="H439" i="3" s="1"/>
  <c r="J9" i="88"/>
  <c r="J7" i="88"/>
  <c r="J13" i="88" s="1"/>
  <c r="J38" i="88"/>
  <c r="J10" i="12"/>
  <c r="J8" i="12"/>
  <c r="D101" i="94"/>
  <c r="E101" i="94"/>
  <c r="F101" i="94"/>
  <c r="G101" i="94"/>
  <c r="H101" i="94"/>
  <c r="I101" i="94"/>
  <c r="J101" i="94"/>
  <c r="E127" i="30"/>
  <c r="F127" i="30"/>
  <c r="G127" i="30"/>
  <c r="H127" i="30"/>
  <c r="I127" i="30"/>
  <c r="J127" i="30"/>
  <c r="E128" i="30"/>
  <c r="F128" i="30"/>
  <c r="G128" i="30"/>
  <c r="H128" i="30"/>
  <c r="I128" i="30"/>
  <c r="J128" i="30"/>
  <c r="D128" i="30"/>
  <c r="D127" i="30"/>
  <c r="E93" i="30"/>
  <c r="F93" i="30"/>
  <c r="G93" i="30"/>
  <c r="H93" i="30"/>
  <c r="I93" i="30"/>
  <c r="J93" i="30"/>
  <c r="D93" i="30"/>
  <c r="J122" i="30"/>
  <c r="I122" i="30"/>
  <c r="H122" i="30"/>
  <c r="G122" i="30"/>
  <c r="F122" i="30"/>
  <c r="E122" i="30"/>
  <c r="D122" i="30"/>
  <c r="J101" i="30"/>
  <c r="I101" i="30"/>
  <c r="H101" i="30"/>
  <c r="G101" i="30"/>
  <c r="F101" i="30"/>
  <c r="E101" i="30"/>
  <c r="D101" i="30"/>
  <c r="E98" i="30"/>
  <c r="F98" i="30"/>
  <c r="G98" i="30"/>
  <c r="H98" i="30"/>
  <c r="I98" i="30"/>
  <c r="J98" i="30"/>
  <c r="D98" i="30"/>
  <c r="J107" i="30"/>
  <c r="I107" i="30"/>
  <c r="H107" i="30"/>
  <c r="G107" i="30"/>
  <c r="F107" i="30"/>
  <c r="E107" i="30"/>
  <c r="D107" i="30"/>
  <c r="E104" i="30"/>
  <c r="F104" i="30"/>
  <c r="G104" i="30"/>
  <c r="H104" i="30"/>
  <c r="I104" i="30"/>
  <c r="J104" i="30"/>
  <c r="D104" i="30"/>
  <c r="D100" i="94"/>
  <c r="E100" i="94"/>
  <c r="F100" i="94"/>
  <c r="G100" i="94"/>
  <c r="H100" i="94"/>
  <c r="I100" i="94"/>
  <c r="D102" i="94"/>
  <c r="E102" i="94"/>
  <c r="F102" i="94"/>
  <c r="G102" i="94"/>
  <c r="H102" i="94"/>
  <c r="I102" i="94"/>
  <c r="J102" i="94"/>
  <c r="J100" i="94"/>
  <c r="E73" i="94"/>
  <c r="F73" i="94"/>
  <c r="G73" i="94"/>
  <c r="H73" i="94"/>
  <c r="I73" i="94"/>
  <c r="J73" i="94"/>
  <c r="D73" i="94"/>
  <c r="E85" i="94"/>
  <c r="F85" i="94"/>
  <c r="G85" i="94"/>
  <c r="H85" i="94"/>
  <c r="I85" i="94"/>
  <c r="J85" i="94"/>
  <c r="D85" i="94"/>
  <c r="J197" i="32"/>
  <c r="I197" i="32"/>
  <c r="H197" i="32"/>
  <c r="G197" i="32"/>
  <c r="F197" i="32"/>
  <c r="E197" i="32"/>
  <c r="D197" i="32"/>
  <c r="E200" i="32"/>
  <c r="F200" i="32"/>
  <c r="G200" i="32"/>
  <c r="H200" i="32"/>
  <c r="I200" i="32"/>
  <c r="J200" i="32"/>
  <c r="D200" i="32"/>
  <c r="E121" i="32"/>
  <c r="F121" i="32"/>
  <c r="G121" i="32"/>
  <c r="H121" i="32"/>
  <c r="H14" i="32" s="1"/>
  <c r="I121" i="32"/>
  <c r="J121" i="32"/>
  <c r="E122" i="32"/>
  <c r="F122" i="32"/>
  <c r="F28" i="32" s="1"/>
  <c r="G122" i="32"/>
  <c r="H122" i="32"/>
  <c r="I122" i="32"/>
  <c r="I28" i="32" s="1"/>
  <c r="J122" i="32"/>
  <c r="J28" i="32" s="1"/>
  <c r="D122" i="32"/>
  <c r="D121" i="32"/>
  <c r="E99" i="32"/>
  <c r="F99" i="32"/>
  <c r="F7" i="32" s="1"/>
  <c r="D408" i="2" s="1"/>
  <c r="N408" i="2" s="1"/>
  <c r="G99" i="32"/>
  <c r="H99" i="32"/>
  <c r="I99" i="32"/>
  <c r="I7" i="32" s="1"/>
  <c r="G408" i="2" s="1"/>
  <c r="Q408" i="2" s="1"/>
  <c r="J99" i="32"/>
  <c r="J7" i="32" s="1"/>
  <c r="H408" i="2" s="1"/>
  <c r="R408" i="2" s="1"/>
  <c r="D99" i="32"/>
  <c r="E102" i="32"/>
  <c r="F102" i="32"/>
  <c r="G102" i="32"/>
  <c r="H102" i="32"/>
  <c r="I102" i="32"/>
  <c r="J102" i="32"/>
  <c r="D102" i="32"/>
  <c r="J249" i="84"/>
  <c r="I249" i="84"/>
  <c r="H249" i="84"/>
  <c r="G249" i="84"/>
  <c r="F249" i="84"/>
  <c r="E249" i="84"/>
  <c r="D249" i="84"/>
  <c r="E246" i="84"/>
  <c r="F246" i="84"/>
  <c r="G246" i="84"/>
  <c r="H246" i="84"/>
  <c r="I246" i="84"/>
  <c r="J246" i="84"/>
  <c r="D246" i="84"/>
  <c r="E291" i="82"/>
  <c r="F291" i="82"/>
  <c r="G291" i="82"/>
  <c r="H291" i="82"/>
  <c r="I291" i="82"/>
  <c r="J291" i="82"/>
  <c r="J12" i="82" s="1"/>
  <c r="H399" i="2" s="1"/>
  <c r="R399" i="2" s="1"/>
  <c r="D291" i="82"/>
  <c r="D320" i="82"/>
  <c r="E320" i="82"/>
  <c r="F320" i="82"/>
  <c r="F33" i="82" s="1"/>
  <c r="G320" i="82"/>
  <c r="H320" i="82"/>
  <c r="I320" i="82"/>
  <c r="D321" i="82"/>
  <c r="E321" i="82"/>
  <c r="F321" i="82"/>
  <c r="G321" i="82"/>
  <c r="H321" i="82"/>
  <c r="H49" i="82" s="1"/>
  <c r="I321" i="82"/>
  <c r="J321" i="82"/>
  <c r="J315" i="82"/>
  <c r="I315" i="82"/>
  <c r="H315" i="82"/>
  <c r="G315" i="82"/>
  <c r="F315" i="82"/>
  <c r="E315" i="82"/>
  <c r="D315" i="82"/>
  <c r="E309" i="82"/>
  <c r="F309" i="82"/>
  <c r="G309" i="82"/>
  <c r="H309" i="82"/>
  <c r="I309" i="82"/>
  <c r="J309" i="82"/>
  <c r="D309" i="82"/>
  <c r="E183" i="82"/>
  <c r="F183" i="82"/>
  <c r="G183" i="82"/>
  <c r="H183" i="82"/>
  <c r="H9" i="82" s="1"/>
  <c r="F396" i="2" s="1"/>
  <c r="P396" i="2" s="1"/>
  <c r="I183" i="82"/>
  <c r="J183" i="82"/>
  <c r="D183" i="82"/>
  <c r="D211" i="82"/>
  <c r="E211" i="82"/>
  <c r="F211" i="82"/>
  <c r="G211" i="82"/>
  <c r="H211" i="82"/>
  <c r="H25" i="82" s="1"/>
  <c r="I211" i="82"/>
  <c r="D212" i="82"/>
  <c r="E212" i="82"/>
  <c r="F212" i="82"/>
  <c r="F53" i="82" s="1"/>
  <c r="G212" i="82"/>
  <c r="H212" i="82"/>
  <c r="I212" i="82"/>
  <c r="J212" i="82"/>
  <c r="J53" i="82" s="1"/>
  <c r="J209" i="82"/>
  <c r="I209" i="82"/>
  <c r="H209" i="82"/>
  <c r="G209" i="82"/>
  <c r="F209" i="82"/>
  <c r="E209" i="82"/>
  <c r="D209" i="82"/>
  <c r="E197" i="82"/>
  <c r="F197" i="82"/>
  <c r="G197" i="82"/>
  <c r="H197" i="82"/>
  <c r="I197" i="82"/>
  <c r="J197" i="82"/>
  <c r="D197" i="82"/>
  <c r="J115" i="81"/>
  <c r="J16" i="81" s="1"/>
  <c r="H270" i="3" s="1"/>
  <c r="D115" i="81"/>
  <c r="D16" i="81" s="1"/>
  <c r="B270" i="3" s="1"/>
  <c r="K270" i="3" s="1"/>
  <c r="E115" i="81"/>
  <c r="F115" i="81"/>
  <c r="G115" i="81"/>
  <c r="G16" i="81" s="1"/>
  <c r="E270" i="3" s="1"/>
  <c r="H115" i="81"/>
  <c r="H16" i="81" s="1"/>
  <c r="F270" i="3" s="1"/>
  <c r="I115" i="81"/>
  <c r="D116" i="81"/>
  <c r="E116" i="81"/>
  <c r="E18" i="81" s="1"/>
  <c r="C257" i="3" s="1"/>
  <c r="F116" i="81"/>
  <c r="F18" i="81" s="1"/>
  <c r="D257" i="3" s="1"/>
  <c r="G116" i="81"/>
  <c r="H116" i="81"/>
  <c r="H18" i="81" s="1"/>
  <c r="F257" i="3" s="1"/>
  <c r="I116" i="81"/>
  <c r="I18" i="81" s="1"/>
  <c r="G257" i="3" s="1"/>
  <c r="D117" i="81"/>
  <c r="D20" i="81" s="1"/>
  <c r="B208" i="3" s="1"/>
  <c r="K208" i="3" s="1"/>
  <c r="E117" i="81"/>
  <c r="F117" i="81"/>
  <c r="G117" i="81"/>
  <c r="G20" i="81" s="1"/>
  <c r="E208" i="3" s="1"/>
  <c r="H117" i="81"/>
  <c r="H20" i="81" s="1"/>
  <c r="F208" i="3" s="1"/>
  <c r="I117" i="81"/>
  <c r="J117" i="81"/>
  <c r="J20" i="81" s="1"/>
  <c r="H208" i="3" s="1"/>
  <c r="J116" i="81"/>
  <c r="J18" i="81" s="1"/>
  <c r="H257" i="3" s="1"/>
  <c r="E86" i="81"/>
  <c r="E6" i="81" s="1"/>
  <c r="C452" i="2" s="1"/>
  <c r="M452" i="2" s="1"/>
  <c r="F86" i="81"/>
  <c r="G86" i="81"/>
  <c r="H86" i="81"/>
  <c r="H6" i="81" s="1"/>
  <c r="F452" i="2" s="1"/>
  <c r="P452" i="2" s="1"/>
  <c r="I86" i="81"/>
  <c r="I6" i="81" s="1"/>
  <c r="G452" i="2" s="1"/>
  <c r="Q452" i="2" s="1"/>
  <c r="J86" i="81"/>
  <c r="D86" i="81"/>
  <c r="J111" i="81"/>
  <c r="I111" i="81"/>
  <c r="H111" i="81"/>
  <c r="G111" i="81"/>
  <c r="F111" i="81"/>
  <c r="E111" i="81"/>
  <c r="D111" i="81"/>
  <c r="J108" i="81"/>
  <c r="I108" i="81"/>
  <c r="H108" i="81"/>
  <c r="G108" i="81"/>
  <c r="F108" i="81"/>
  <c r="E108" i="81"/>
  <c r="D108" i="81"/>
  <c r="E105" i="81"/>
  <c r="F105" i="81"/>
  <c r="G105" i="81"/>
  <c r="H105" i="81"/>
  <c r="I105" i="81"/>
  <c r="J105" i="81"/>
  <c r="D105" i="81"/>
  <c r="D145" i="60"/>
  <c r="E145" i="60"/>
  <c r="F145" i="60"/>
  <c r="G145" i="60"/>
  <c r="H145" i="60"/>
  <c r="I145" i="60"/>
  <c r="J17" i="60"/>
  <c r="H429" i="3" s="1"/>
  <c r="D146" i="60"/>
  <c r="E146" i="60"/>
  <c r="F146" i="60"/>
  <c r="G146" i="60"/>
  <c r="H146" i="60"/>
  <c r="I146" i="60"/>
  <c r="I20" i="60" s="1"/>
  <c r="I21" i="60" s="1"/>
  <c r="J20" i="60"/>
  <c r="E111" i="60"/>
  <c r="F111" i="60"/>
  <c r="G111" i="60"/>
  <c r="H111" i="60"/>
  <c r="H4" i="60" s="1"/>
  <c r="I111" i="60"/>
  <c r="D111" i="60"/>
  <c r="E135" i="60"/>
  <c r="F135" i="60"/>
  <c r="G135" i="60"/>
  <c r="H135" i="60"/>
  <c r="I135" i="60"/>
  <c r="D135" i="60"/>
  <c r="E141" i="75"/>
  <c r="F141" i="75"/>
  <c r="G141" i="75"/>
  <c r="H141" i="75"/>
  <c r="I141" i="75"/>
  <c r="J141" i="75"/>
  <c r="D141" i="75"/>
  <c r="J171" i="75"/>
  <c r="E171" i="75"/>
  <c r="F171" i="75"/>
  <c r="G171" i="75"/>
  <c r="H171" i="75"/>
  <c r="I171" i="75"/>
  <c r="E172" i="75"/>
  <c r="F172" i="75"/>
  <c r="G172" i="75"/>
  <c r="H172" i="75"/>
  <c r="I172" i="75"/>
  <c r="J172" i="75"/>
  <c r="D172" i="75"/>
  <c r="D171" i="75"/>
  <c r="J165" i="75"/>
  <c r="I165" i="75"/>
  <c r="H165" i="75"/>
  <c r="G165" i="75"/>
  <c r="F165" i="75"/>
  <c r="E165" i="75"/>
  <c r="D165" i="75"/>
  <c r="E158" i="75"/>
  <c r="F158" i="75"/>
  <c r="G158" i="75"/>
  <c r="H158" i="75"/>
  <c r="I158" i="75"/>
  <c r="J158" i="75"/>
  <c r="D158" i="75"/>
  <c r="E107" i="75"/>
  <c r="F107" i="75"/>
  <c r="G107" i="75"/>
  <c r="H107" i="75"/>
  <c r="I107" i="75"/>
  <c r="D107" i="75"/>
  <c r="E118" i="74"/>
  <c r="F118" i="74"/>
  <c r="G118" i="74"/>
  <c r="H118" i="74"/>
  <c r="I118" i="74"/>
  <c r="J118" i="74"/>
  <c r="D118" i="74"/>
  <c r="E124" i="75"/>
  <c r="F124" i="75"/>
  <c r="G124" i="75"/>
  <c r="H124" i="75"/>
  <c r="I124" i="75"/>
  <c r="J124" i="75"/>
  <c r="D124" i="75"/>
  <c r="E142" i="74"/>
  <c r="F142" i="74"/>
  <c r="G142" i="74"/>
  <c r="H142" i="74"/>
  <c r="I142" i="74"/>
  <c r="J142" i="74"/>
  <c r="E143" i="74"/>
  <c r="F143" i="74"/>
  <c r="G143" i="74"/>
  <c r="H143" i="74"/>
  <c r="I143" i="74"/>
  <c r="J143" i="74"/>
  <c r="D143" i="74"/>
  <c r="D142" i="74"/>
  <c r="E133" i="74"/>
  <c r="F133" i="74"/>
  <c r="G133" i="74"/>
  <c r="H133" i="74"/>
  <c r="I133" i="74"/>
  <c r="J133" i="74"/>
  <c r="D133" i="74"/>
  <c r="J9" i="92"/>
  <c r="J7" i="92"/>
  <c r="D7" i="92"/>
  <c r="E7" i="92"/>
  <c r="F7" i="92"/>
  <c r="G7" i="92"/>
  <c r="H7" i="92"/>
  <c r="H13" i="92" s="1"/>
  <c r="I7" i="92"/>
  <c r="E9" i="92"/>
  <c r="F9" i="92"/>
  <c r="G9" i="92"/>
  <c r="H9" i="92"/>
  <c r="I9" i="92"/>
  <c r="D9" i="92"/>
  <c r="E56" i="68"/>
  <c r="F56" i="68"/>
  <c r="G56" i="68"/>
  <c r="H56" i="68"/>
  <c r="I56" i="68"/>
  <c r="J56" i="68"/>
  <c r="E57" i="68"/>
  <c r="F57" i="68"/>
  <c r="G57" i="68"/>
  <c r="H57" i="68"/>
  <c r="I57" i="68"/>
  <c r="J57" i="68"/>
  <c r="D56" i="68"/>
  <c r="D57" i="68"/>
  <c r="E28" i="68"/>
  <c r="F28" i="68"/>
  <c r="G28" i="68"/>
  <c r="H28" i="68"/>
  <c r="I28" i="68"/>
  <c r="J28" i="68"/>
  <c r="D28" i="68"/>
  <c r="J52" i="68"/>
  <c r="I52" i="68"/>
  <c r="H52" i="68"/>
  <c r="G52" i="68"/>
  <c r="F52" i="68"/>
  <c r="E52" i="68"/>
  <c r="D52" i="68"/>
  <c r="J41" i="68"/>
  <c r="I41" i="68"/>
  <c r="H41" i="68"/>
  <c r="G41" i="68"/>
  <c r="F41" i="68"/>
  <c r="E41" i="68"/>
  <c r="D41" i="68"/>
  <c r="E33" i="68"/>
  <c r="F33" i="68"/>
  <c r="G33" i="68"/>
  <c r="H33" i="68"/>
  <c r="I33" i="68"/>
  <c r="J33" i="68"/>
  <c r="D33" i="68"/>
  <c r="E247" i="64"/>
  <c r="F247" i="64"/>
  <c r="G247" i="64"/>
  <c r="G23" i="64" s="1"/>
  <c r="E77" i="3" s="1"/>
  <c r="H247" i="64"/>
  <c r="I247" i="64"/>
  <c r="J247" i="64"/>
  <c r="J23" i="64" s="1"/>
  <c r="H77" i="3" s="1"/>
  <c r="D247" i="64"/>
  <c r="D23" i="64" s="1"/>
  <c r="B77" i="3" s="1"/>
  <c r="K77" i="3" s="1"/>
  <c r="E248" i="64"/>
  <c r="F248" i="64"/>
  <c r="G248" i="64"/>
  <c r="H248" i="64"/>
  <c r="H32" i="64" s="1"/>
  <c r="I248" i="64"/>
  <c r="J248" i="64"/>
  <c r="D248" i="64"/>
  <c r="E249" i="64"/>
  <c r="E36" i="64" s="1"/>
  <c r="F249" i="64"/>
  <c r="G249" i="64"/>
  <c r="H249" i="64"/>
  <c r="I249" i="64"/>
  <c r="I36" i="64" s="1"/>
  <c r="J249" i="64"/>
  <c r="D249" i="64"/>
  <c r="E209" i="64"/>
  <c r="F209" i="64"/>
  <c r="F10" i="64" s="1"/>
  <c r="D98" i="2" s="1"/>
  <c r="N98" i="2" s="1"/>
  <c r="G209" i="64"/>
  <c r="H209" i="64"/>
  <c r="I209" i="64"/>
  <c r="J209" i="64"/>
  <c r="J10" i="64" s="1"/>
  <c r="H98" i="2" s="1"/>
  <c r="R98" i="2" s="1"/>
  <c r="D209" i="64"/>
  <c r="I232" i="64"/>
  <c r="H232" i="64"/>
  <c r="G232" i="64"/>
  <c r="F232" i="64"/>
  <c r="E232" i="64"/>
  <c r="D232" i="64"/>
  <c r="J225" i="64"/>
  <c r="I225" i="64"/>
  <c r="H225" i="64"/>
  <c r="G225" i="64"/>
  <c r="F225" i="64"/>
  <c r="E225" i="64"/>
  <c r="D225" i="64"/>
  <c r="E214" i="64"/>
  <c r="F214" i="64"/>
  <c r="G214" i="64"/>
  <c r="H214" i="64"/>
  <c r="I214" i="64"/>
  <c r="J214" i="64"/>
  <c r="D214" i="64"/>
  <c r="E103" i="63"/>
  <c r="F103" i="63"/>
  <c r="G103" i="63"/>
  <c r="H103" i="63"/>
  <c r="I103" i="63"/>
  <c r="J103" i="63"/>
  <c r="E104" i="63"/>
  <c r="F104" i="63"/>
  <c r="G104" i="63"/>
  <c r="H104" i="63"/>
  <c r="I104" i="63"/>
  <c r="J104" i="63"/>
  <c r="D104" i="63"/>
  <c r="D103" i="63"/>
  <c r="E79" i="63"/>
  <c r="F79" i="63"/>
  <c r="G79" i="63"/>
  <c r="H79" i="63"/>
  <c r="I79" i="63"/>
  <c r="J79" i="63"/>
  <c r="D79" i="63"/>
  <c r="E89" i="63"/>
  <c r="F89" i="63"/>
  <c r="G89" i="63"/>
  <c r="H89" i="63"/>
  <c r="I89" i="63"/>
  <c r="J89" i="63"/>
  <c r="D89" i="63"/>
  <c r="E101" i="63"/>
  <c r="F101" i="63"/>
  <c r="G101" i="63"/>
  <c r="H101" i="63"/>
  <c r="I101" i="63"/>
  <c r="J101" i="63"/>
  <c r="D101" i="63"/>
  <c r="E450" i="31"/>
  <c r="F450" i="31"/>
  <c r="F58" i="31" s="1"/>
  <c r="G450" i="31"/>
  <c r="H450" i="31"/>
  <c r="I450" i="31"/>
  <c r="I58" i="31" s="1"/>
  <c r="E451" i="31"/>
  <c r="F451" i="31"/>
  <c r="G451" i="31"/>
  <c r="H451" i="31"/>
  <c r="H66" i="31" s="1"/>
  <c r="I451" i="31"/>
  <c r="I66" i="31" s="1"/>
  <c r="D451" i="31"/>
  <c r="D421" i="31"/>
  <c r="D450" i="31"/>
  <c r="E421" i="31"/>
  <c r="E17" i="31" s="1"/>
  <c r="C220" i="2" s="1"/>
  <c r="M220" i="2" s="1"/>
  <c r="F421" i="31"/>
  <c r="G421" i="31"/>
  <c r="H421" i="31"/>
  <c r="H17" i="31" s="1"/>
  <c r="F220" i="2" s="1"/>
  <c r="P220" i="2" s="1"/>
  <c r="I421" i="31"/>
  <c r="I17" i="31" s="1"/>
  <c r="G220" i="2" s="1"/>
  <c r="Q220" i="2" s="1"/>
  <c r="J443" i="31"/>
  <c r="I443" i="31"/>
  <c r="H443" i="31"/>
  <c r="G443" i="31"/>
  <c r="F443" i="31"/>
  <c r="E443" i="31"/>
  <c r="D443" i="31"/>
  <c r="E432" i="31"/>
  <c r="F432" i="31"/>
  <c r="G432" i="31"/>
  <c r="H432" i="31"/>
  <c r="I432" i="31"/>
  <c r="D432" i="31"/>
  <c r="E289" i="31"/>
  <c r="F289" i="31"/>
  <c r="G289" i="31"/>
  <c r="H289" i="31"/>
  <c r="I289" i="31"/>
  <c r="J289" i="31"/>
  <c r="E290" i="31"/>
  <c r="E51" i="31" s="1"/>
  <c r="C399" i="3" s="1"/>
  <c r="F290" i="31"/>
  <c r="G290" i="31"/>
  <c r="H290" i="31"/>
  <c r="H51" i="31" s="1"/>
  <c r="F399" i="3" s="1"/>
  <c r="I290" i="31"/>
  <c r="I51" i="31" s="1"/>
  <c r="G399" i="3" s="1"/>
  <c r="J290" i="31"/>
  <c r="J51" i="31" s="1"/>
  <c r="H399" i="3" s="1"/>
  <c r="D290" i="31"/>
  <c r="D289" i="31"/>
  <c r="D406" i="57"/>
  <c r="D405" i="57"/>
  <c r="E405" i="57"/>
  <c r="F405" i="57"/>
  <c r="G405" i="57"/>
  <c r="H405" i="57"/>
  <c r="I405" i="57"/>
  <c r="J405" i="57"/>
  <c r="E406" i="57"/>
  <c r="F406" i="57"/>
  <c r="G406" i="57"/>
  <c r="H406" i="57"/>
  <c r="I406" i="57"/>
  <c r="J406" i="57"/>
  <c r="E65" i="34"/>
  <c r="F65" i="34"/>
  <c r="G65" i="34"/>
  <c r="H65" i="34"/>
  <c r="I65" i="34"/>
  <c r="E66" i="34"/>
  <c r="F66" i="34"/>
  <c r="G66" i="34"/>
  <c r="H66" i="34"/>
  <c r="I66" i="34"/>
  <c r="D65" i="34"/>
  <c r="D66" i="34"/>
  <c r="J57" i="34"/>
  <c r="I57" i="34"/>
  <c r="H57" i="34"/>
  <c r="G57" i="34"/>
  <c r="F57" i="34"/>
  <c r="E57" i="34"/>
  <c r="D57" i="34"/>
  <c r="E43" i="34"/>
  <c r="F43" i="34"/>
  <c r="G43" i="34"/>
  <c r="H43" i="34"/>
  <c r="I43" i="34"/>
  <c r="J43" i="34"/>
  <c r="D43" i="34"/>
  <c r="E72" i="28"/>
  <c r="E6" i="28" s="1"/>
  <c r="C366" i="2" s="1"/>
  <c r="M366" i="2" s="1"/>
  <c r="F72" i="28"/>
  <c r="G72" i="28"/>
  <c r="H72" i="28"/>
  <c r="I72" i="28"/>
  <c r="I6" i="28" s="1"/>
  <c r="G366" i="2" s="1"/>
  <c r="Q366" i="2" s="1"/>
  <c r="J72" i="28"/>
  <c r="D72" i="28"/>
  <c r="D106" i="28"/>
  <c r="E106" i="28"/>
  <c r="E29" i="28" s="1"/>
  <c r="F106" i="28"/>
  <c r="G106" i="28"/>
  <c r="I106" i="28"/>
  <c r="J106" i="28"/>
  <c r="J29" i="28" s="1"/>
  <c r="H106" i="28"/>
  <c r="E224" i="33"/>
  <c r="F224" i="33"/>
  <c r="G224" i="33"/>
  <c r="H224" i="33"/>
  <c r="I224" i="33"/>
  <c r="J224" i="33"/>
  <c r="D224" i="33"/>
  <c r="J208" i="33"/>
  <c r="I208" i="33"/>
  <c r="H208" i="33"/>
  <c r="G208" i="33"/>
  <c r="F208" i="33"/>
  <c r="E208" i="33"/>
  <c r="D208" i="33"/>
  <c r="J219" i="33"/>
  <c r="I219" i="33"/>
  <c r="H219" i="33"/>
  <c r="G219" i="33"/>
  <c r="F219" i="33"/>
  <c r="E219" i="33"/>
  <c r="D219" i="33"/>
  <c r="E222" i="33"/>
  <c r="F222" i="33"/>
  <c r="G222" i="33"/>
  <c r="H222" i="33"/>
  <c r="I222" i="33"/>
  <c r="J222" i="33"/>
  <c r="D222" i="33"/>
  <c r="E9" i="47"/>
  <c r="F9" i="47"/>
  <c r="G9" i="47"/>
  <c r="H9" i="47"/>
  <c r="I9" i="47"/>
  <c r="D9" i="47"/>
  <c r="E7" i="47"/>
  <c r="F7" i="47"/>
  <c r="G7" i="47"/>
  <c r="H7" i="47"/>
  <c r="I7" i="47"/>
  <c r="D7" i="47"/>
  <c r="E3" i="47"/>
  <c r="F3" i="47"/>
  <c r="G3" i="47"/>
  <c r="H3" i="47"/>
  <c r="I3" i="47"/>
  <c r="D3" i="47"/>
  <c r="J66" i="47"/>
  <c r="I66" i="47"/>
  <c r="H66" i="47"/>
  <c r="G66" i="47"/>
  <c r="F66" i="47"/>
  <c r="E66" i="47"/>
  <c r="D66" i="47"/>
  <c r="E41" i="47"/>
  <c r="F41" i="47"/>
  <c r="G41" i="47"/>
  <c r="H41" i="47"/>
  <c r="I41" i="47"/>
  <c r="J41" i="47"/>
  <c r="D41" i="47"/>
  <c r="J11" i="47"/>
  <c r="J13" i="47"/>
  <c r="J15" i="47"/>
  <c r="E75" i="74"/>
  <c r="F75" i="74"/>
  <c r="G75" i="74"/>
  <c r="H75" i="74"/>
  <c r="I75" i="74"/>
  <c r="J75" i="74"/>
  <c r="D75" i="74"/>
  <c r="E50" i="74"/>
  <c r="F50" i="74"/>
  <c r="G50" i="74"/>
  <c r="H50" i="74"/>
  <c r="I50" i="74"/>
  <c r="J50" i="74"/>
  <c r="D50" i="74"/>
  <c r="E76" i="74"/>
  <c r="F76" i="74"/>
  <c r="G76" i="74"/>
  <c r="H76" i="74"/>
  <c r="I76" i="74"/>
  <c r="J76" i="74"/>
  <c r="D76" i="74"/>
  <c r="J163" i="33"/>
  <c r="I163" i="33"/>
  <c r="H163" i="33"/>
  <c r="G163" i="33"/>
  <c r="F163" i="33"/>
  <c r="E163" i="33"/>
  <c r="D163" i="33"/>
  <c r="J158" i="33"/>
  <c r="I158" i="33"/>
  <c r="H158" i="33"/>
  <c r="G158" i="33"/>
  <c r="F158" i="33"/>
  <c r="E158" i="33"/>
  <c r="D158" i="33"/>
  <c r="J155" i="33"/>
  <c r="I155" i="33"/>
  <c r="H155" i="33"/>
  <c r="G155" i="33"/>
  <c r="F155" i="33"/>
  <c r="E155" i="33"/>
  <c r="D155" i="33"/>
  <c r="E145" i="33"/>
  <c r="F145" i="33"/>
  <c r="G145" i="33"/>
  <c r="H145" i="33"/>
  <c r="I145" i="33"/>
  <c r="J145" i="33"/>
  <c r="D145" i="33"/>
  <c r="E111" i="33"/>
  <c r="F111" i="33"/>
  <c r="G111" i="33"/>
  <c r="H111" i="33"/>
  <c r="I111" i="33"/>
  <c r="J111" i="33"/>
  <c r="E112" i="33"/>
  <c r="F112" i="33"/>
  <c r="G112" i="33"/>
  <c r="H112" i="33"/>
  <c r="I112" i="33"/>
  <c r="J112" i="33"/>
  <c r="E113" i="33"/>
  <c r="F113" i="33"/>
  <c r="G113" i="33"/>
  <c r="H113" i="33"/>
  <c r="I113" i="33"/>
  <c r="J113" i="33"/>
  <c r="D113" i="33"/>
  <c r="D112" i="33"/>
  <c r="D111" i="33"/>
  <c r="E87" i="33"/>
  <c r="F87" i="33"/>
  <c r="G87" i="33"/>
  <c r="H87" i="33"/>
  <c r="I87" i="33"/>
  <c r="J87" i="33"/>
  <c r="D87" i="33"/>
  <c r="J96" i="33"/>
  <c r="I96" i="33"/>
  <c r="H96" i="33"/>
  <c r="G96" i="33"/>
  <c r="F96" i="33"/>
  <c r="E96" i="33"/>
  <c r="D96" i="33"/>
  <c r="J93" i="33"/>
  <c r="I93" i="33"/>
  <c r="H93" i="33"/>
  <c r="G93" i="33"/>
  <c r="F93" i="33"/>
  <c r="E93" i="33"/>
  <c r="D93" i="33"/>
  <c r="E90" i="33"/>
  <c r="F90" i="33"/>
  <c r="G90" i="33"/>
  <c r="H90" i="33"/>
  <c r="I90" i="33"/>
  <c r="J90" i="33"/>
  <c r="D90" i="33"/>
  <c r="E399" i="27"/>
  <c r="F399" i="27"/>
  <c r="G399" i="27"/>
  <c r="H399" i="27"/>
  <c r="I399" i="27"/>
  <c r="I26" i="27" s="1"/>
  <c r="J399" i="27"/>
  <c r="D399" i="27"/>
  <c r="E377" i="27"/>
  <c r="E15" i="27" s="1"/>
  <c r="C348" i="2" s="1"/>
  <c r="M348" i="2" s="1"/>
  <c r="F377" i="27"/>
  <c r="F15" i="27" s="1"/>
  <c r="D348" i="2" s="1"/>
  <c r="N348" i="2" s="1"/>
  <c r="G377" i="27"/>
  <c r="H377" i="27"/>
  <c r="I377" i="27"/>
  <c r="I15" i="27" s="1"/>
  <c r="G348" i="2" s="1"/>
  <c r="Q348" i="2" s="1"/>
  <c r="J377" i="27"/>
  <c r="D377" i="27"/>
  <c r="E381" i="27"/>
  <c r="F381" i="27"/>
  <c r="G381" i="27"/>
  <c r="H381" i="27"/>
  <c r="I381" i="27"/>
  <c r="J381" i="27"/>
  <c r="D381" i="27"/>
  <c r="E241" i="26"/>
  <c r="F241" i="26"/>
  <c r="G241" i="26"/>
  <c r="H241" i="26"/>
  <c r="I241" i="26"/>
  <c r="J241" i="26"/>
  <c r="E242" i="26"/>
  <c r="F242" i="26"/>
  <c r="G242" i="26"/>
  <c r="H242" i="26"/>
  <c r="I242" i="26"/>
  <c r="J242" i="26"/>
  <c r="D242" i="26"/>
  <c r="D241" i="26"/>
  <c r="E80" i="18"/>
  <c r="F80" i="18"/>
  <c r="G80" i="18"/>
  <c r="H80" i="18"/>
  <c r="I80" i="18"/>
  <c r="J80" i="18"/>
  <c r="E81" i="18"/>
  <c r="F81" i="18"/>
  <c r="G81" i="18"/>
  <c r="H81" i="18"/>
  <c r="I81" i="18"/>
  <c r="J81" i="18"/>
  <c r="D81" i="18"/>
  <c r="D80" i="18"/>
  <c r="E37" i="18"/>
  <c r="F37" i="18"/>
  <c r="G37" i="18"/>
  <c r="H37" i="18"/>
  <c r="I37" i="18"/>
  <c r="J37" i="18"/>
  <c r="D37" i="18"/>
  <c r="E59" i="18"/>
  <c r="F59" i="18"/>
  <c r="G59" i="18"/>
  <c r="H59" i="18"/>
  <c r="I59" i="18"/>
  <c r="J59" i="18"/>
  <c r="D59" i="18"/>
  <c r="E48" i="18"/>
  <c r="F48" i="18"/>
  <c r="G48" i="18"/>
  <c r="H48" i="18"/>
  <c r="I48" i="18"/>
  <c r="J48" i="18"/>
  <c r="D48" i="18"/>
  <c r="H54" i="3"/>
  <c r="H47" i="3"/>
  <c r="H189" i="3"/>
  <c r="H26" i="3"/>
  <c r="H310" i="3"/>
  <c r="H209" i="3"/>
  <c r="H361" i="3"/>
  <c r="H461" i="3"/>
  <c r="H475" i="3"/>
  <c r="H393" i="3"/>
  <c r="H506" i="3"/>
  <c r="H169" i="2"/>
  <c r="J213" i="96"/>
  <c r="J28" i="96"/>
  <c r="H143" i="3"/>
  <c r="J190" i="96"/>
  <c r="J191" i="96"/>
  <c r="J192" i="96"/>
  <c r="J23" i="96"/>
  <c r="J199" i="96"/>
  <c r="J10" i="96"/>
  <c r="H427" i="2"/>
  <c r="J149" i="96"/>
  <c r="J26" i="96"/>
  <c r="H252" i="3"/>
  <c r="J156" i="96"/>
  <c r="J9" i="96"/>
  <c r="H426" i="2"/>
  <c r="J125" i="96"/>
  <c r="J18" i="96"/>
  <c r="J132" i="96"/>
  <c r="J8" i="96"/>
  <c r="H425" i="2"/>
  <c r="R425" i="2" s="1"/>
  <c r="J104" i="96"/>
  <c r="J22" i="96"/>
  <c r="J111" i="96"/>
  <c r="J7" i="96"/>
  <c r="H424" i="2"/>
  <c r="J73" i="96"/>
  <c r="J14" i="96"/>
  <c r="H274" i="3"/>
  <c r="J80" i="96"/>
  <c r="J6" i="96"/>
  <c r="H423" i="2"/>
  <c r="R423" i="2" s="1"/>
  <c r="J16" i="96"/>
  <c r="H164" i="3"/>
  <c r="J19" i="96"/>
  <c r="J41" i="96"/>
  <c r="J5" i="96"/>
  <c r="H422" i="2"/>
  <c r="J143" i="61"/>
  <c r="J144" i="61"/>
  <c r="J9" i="61" s="1"/>
  <c r="J11" i="61"/>
  <c r="H345" i="3"/>
  <c r="J146" i="61"/>
  <c r="J13" i="61" s="1"/>
  <c r="H294" i="3" s="1"/>
  <c r="J147" i="61"/>
  <c r="J15" i="61" s="1"/>
  <c r="H167" i="3" s="1"/>
  <c r="J137" i="61"/>
  <c r="J92" i="61"/>
  <c r="J75" i="61"/>
  <c r="J71" i="61"/>
  <c r="J61" i="61"/>
  <c r="J41" i="61"/>
  <c r="J7" i="61"/>
  <c r="H177" i="3" s="1"/>
  <c r="J28" i="61"/>
  <c r="J3" i="61" s="1"/>
  <c r="J252" i="95"/>
  <c r="J31" i="95"/>
  <c r="H278" i="3"/>
  <c r="J253" i="95"/>
  <c r="J254" i="95"/>
  <c r="J255" i="95"/>
  <c r="J57" i="95"/>
  <c r="H381" i="3"/>
  <c r="J215" i="95"/>
  <c r="J216" i="95"/>
  <c r="J217" i="95"/>
  <c r="J218" i="95"/>
  <c r="J41" i="95"/>
  <c r="H410" i="3"/>
  <c r="J219" i="95"/>
  <c r="J220" i="95"/>
  <c r="J221" i="95"/>
  <c r="J222" i="95"/>
  <c r="J53" i="95"/>
  <c r="H344" i="3"/>
  <c r="J229" i="95"/>
  <c r="J9" i="95"/>
  <c r="H461" i="2"/>
  <c r="J169" i="95"/>
  <c r="J170" i="95"/>
  <c r="J171" i="95"/>
  <c r="J25" i="95"/>
  <c r="H94" i="3"/>
  <c r="J172" i="95"/>
  <c r="J33" i="95"/>
  <c r="H483" i="3"/>
  <c r="J180" i="95"/>
  <c r="J8" i="95"/>
  <c r="H460" i="2"/>
  <c r="J163" i="95"/>
  <c r="J133" i="95"/>
  <c r="J21" i="95"/>
  <c r="H132" i="3"/>
  <c r="J134" i="95"/>
  <c r="J141" i="95"/>
  <c r="J7" i="95"/>
  <c r="H459" i="2"/>
  <c r="J102" i="95"/>
  <c r="J103" i="95"/>
  <c r="J17" i="95"/>
  <c r="H418" i="3"/>
  <c r="J104" i="95"/>
  <c r="J19" i="95"/>
  <c r="H407" i="3"/>
  <c r="J105" i="95"/>
  <c r="J35" i="95"/>
  <c r="H338" i="3"/>
  <c r="J106" i="95"/>
  <c r="J55" i="95"/>
  <c r="H271" i="3"/>
  <c r="J114" i="95"/>
  <c r="J6" i="95"/>
  <c r="H458" i="2"/>
  <c r="J99" i="95"/>
  <c r="J13" i="95"/>
  <c r="H126" i="3"/>
  <c r="J15" i="95"/>
  <c r="H349" i="3"/>
  <c r="J23" i="95"/>
  <c r="H49" i="3"/>
  <c r="J27" i="95"/>
  <c r="H119" i="3"/>
  <c r="J29" i="95"/>
  <c r="J37" i="95"/>
  <c r="J39" i="95"/>
  <c r="H471" i="3"/>
  <c r="J43" i="95"/>
  <c r="H517" i="3"/>
  <c r="J45" i="95"/>
  <c r="H465" i="3"/>
  <c r="J47" i="95"/>
  <c r="J48" i="95"/>
  <c r="J51" i="95"/>
  <c r="J68" i="95"/>
  <c r="J5" i="95"/>
  <c r="H457" i="2"/>
  <c r="R457" i="2" s="1"/>
  <c r="J257" i="94"/>
  <c r="J28" i="94" s="1"/>
  <c r="J258" i="94"/>
  <c r="J38" i="94" s="1"/>
  <c r="J39" i="94" s="1"/>
  <c r="H140" i="3" s="1"/>
  <c r="J233" i="94"/>
  <c r="J18" i="94" s="1"/>
  <c r="J234" i="94"/>
  <c r="J32" i="94" s="1"/>
  <c r="J235" i="94"/>
  <c r="J35" i="94" s="1"/>
  <c r="H32" i="3" s="1"/>
  <c r="J242" i="94"/>
  <c r="J11" i="94"/>
  <c r="H324" i="2" s="1"/>
  <c r="R324" i="2" s="1"/>
  <c r="J196" i="94"/>
  <c r="J17" i="94" s="1"/>
  <c r="J19" i="94" s="1"/>
  <c r="J197" i="94"/>
  <c r="J31" i="94" s="1"/>
  <c r="J33" i="94" s="1"/>
  <c r="H44" i="3" s="1"/>
  <c r="J205" i="94"/>
  <c r="J10" i="94" s="1"/>
  <c r="H323" i="2" s="1"/>
  <c r="R323" i="2" s="1"/>
  <c r="J165" i="94"/>
  <c r="J25" i="94"/>
  <c r="H261" i="3" s="1"/>
  <c r="J172" i="94"/>
  <c r="J9" i="94" s="1"/>
  <c r="H322" i="2" s="1"/>
  <c r="R322" i="2" s="1"/>
  <c r="J140" i="94"/>
  <c r="J141" i="94"/>
  <c r="J23" i="94" s="1"/>
  <c r="H31" i="3" s="1"/>
  <c r="J148" i="94"/>
  <c r="J8" i="94"/>
  <c r="H321" i="2" s="1"/>
  <c r="R321" i="2" s="1"/>
  <c r="J37" i="94"/>
  <c r="J109" i="94"/>
  <c r="J7" i="94"/>
  <c r="H320" i="2" s="1"/>
  <c r="R320" i="2" s="1"/>
  <c r="J66" i="94"/>
  <c r="J27" i="94" s="1"/>
  <c r="J29" i="94" s="1"/>
  <c r="H195" i="3" s="1"/>
  <c r="J6" i="94"/>
  <c r="H319" i="2"/>
  <c r="R319" i="2" s="1"/>
  <c r="J15" i="94"/>
  <c r="J16" i="94"/>
  <c r="J21" i="94"/>
  <c r="H148" i="3"/>
  <c r="J50" i="94"/>
  <c r="J5" i="94" s="1"/>
  <c r="J396" i="93"/>
  <c r="J67" i="93" s="1"/>
  <c r="H519" i="3" s="1"/>
  <c r="J397" i="93"/>
  <c r="J70" i="93" s="1"/>
  <c r="J73" i="93"/>
  <c r="H527" i="3" s="1"/>
  <c r="J365" i="93"/>
  <c r="J15" i="93" s="1"/>
  <c r="H525" i="3" s="1"/>
  <c r="J366" i="93"/>
  <c r="J57" i="93" s="1"/>
  <c r="H435" i="3" s="1"/>
  <c r="J367" i="93"/>
  <c r="J59" i="93" s="1"/>
  <c r="H432" i="3" s="1"/>
  <c r="J374" i="93"/>
  <c r="J11" i="93" s="1"/>
  <c r="H419" i="2" s="1"/>
  <c r="R419" i="2" s="1"/>
  <c r="J335" i="93"/>
  <c r="J49" i="93" s="1"/>
  <c r="H56" i="3" s="1"/>
  <c r="J336" i="93"/>
  <c r="J51" i="93" s="1"/>
  <c r="H146" i="3" s="1"/>
  <c r="J343" i="93"/>
  <c r="J10" i="93" s="1"/>
  <c r="H418" i="2" s="1"/>
  <c r="R418" i="2" s="1"/>
  <c r="J306" i="93"/>
  <c r="J46" i="93" s="1"/>
  <c r="J307" i="93"/>
  <c r="J61" i="93" s="1"/>
  <c r="H491" i="3" s="1"/>
  <c r="J308" i="93"/>
  <c r="J63" i="93" s="1"/>
  <c r="H481" i="3" s="1"/>
  <c r="J309" i="93"/>
  <c r="J65" i="93" s="1"/>
  <c r="H448" i="3" s="1"/>
  <c r="J316" i="93"/>
  <c r="J9" i="93" s="1"/>
  <c r="H417" i="2" s="1"/>
  <c r="R417" i="2" s="1"/>
  <c r="J269" i="93"/>
  <c r="J41" i="93" s="1"/>
  <c r="H512" i="3" s="1"/>
  <c r="J270" i="93"/>
  <c r="J271" i="93"/>
  <c r="J45" i="93" s="1"/>
  <c r="J272" i="93"/>
  <c r="J53" i="93" s="1"/>
  <c r="H366" i="3" s="1"/>
  <c r="J273" i="93"/>
  <c r="J69" i="93" s="1"/>
  <c r="J280" i="93"/>
  <c r="J8" i="93" s="1"/>
  <c r="H416" i="2" s="1"/>
  <c r="R416" i="2" s="1"/>
  <c r="J234" i="93"/>
  <c r="J35" i="93" s="1"/>
  <c r="H198" i="3" s="1"/>
  <c r="J235" i="93"/>
  <c r="J37" i="93" s="1"/>
  <c r="H239" i="3" s="1"/>
  <c r="J236" i="93"/>
  <c r="J39" i="93" s="1"/>
  <c r="H436" i="3" s="1"/>
  <c r="J243" i="93"/>
  <c r="J7" i="93" s="1"/>
  <c r="H415" i="2" s="1"/>
  <c r="R415" i="2" s="1"/>
  <c r="J17" i="93"/>
  <c r="H501" i="3" s="1"/>
  <c r="J19" i="93"/>
  <c r="H488" i="3" s="1"/>
  <c r="J21" i="93"/>
  <c r="H159" i="3" s="1"/>
  <c r="J23" i="93"/>
  <c r="H187" i="3" s="1"/>
  <c r="J25" i="93"/>
  <c r="H460" i="3" s="1"/>
  <c r="J27" i="93"/>
  <c r="H337" i="3" s="1"/>
  <c r="J29" i="93"/>
  <c r="H390" i="3" s="1"/>
  <c r="J31" i="93"/>
  <c r="H352" i="3" s="1"/>
  <c r="J33" i="93"/>
  <c r="J55" i="93"/>
  <c r="H236" i="3" s="1"/>
  <c r="J214" i="93"/>
  <c r="J6" i="93" s="1"/>
  <c r="H414" i="2" s="1"/>
  <c r="R414" i="2" s="1"/>
  <c r="J43" i="93"/>
  <c r="H520" i="3" s="1"/>
  <c r="J5" i="93"/>
  <c r="J33" i="32"/>
  <c r="H237" i="3"/>
  <c r="J15" i="32"/>
  <c r="J9" i="32"/>
  <c r="H410" i="2" s="1"/>
  <c r="R410" i="2" s="1"/>
  <c r="J172" i="32"/>
  <c r="J148" i="32"/>
  <c r="J109" i="32"/>
  <c r="J90" i="32"/>
  <c r="J20" i="32" s="1"/>
  <c r="J91" i="32"/>
  <c r="J24" i="32" s="1"/>
  <c r="J92" i="32"/>
  <c r="J27" i="32" s="1"/>
  <c r="J63" i="32"/>
  <c r="J19" i="32" s="1"/>
  <c r="J64" i="32"/>
  <c r="J23" i="32" s="1"/>
  <c r="J71" i="32"/>
  <c r="J6" i="32" s="1"/>
  <c r="H407" i="2" s="1"/>
  <c r="R407" i="2" s="1"/>
  <c r="J14" i="32"/>
  <c r="J17" i="32" s="1"/>
  <c r="H454" i="3" s="1"/>
  <c r="J44" i="32"/>
  <c r="J5" i="32" s="1"/>
  <c r="H406" i="2" s="1"/>
  <c r="R406" i="2" s="1"/>
  <c r="J5" i="91"/>
  <c r="H28" i="3"/>
  <c r="J3" i="90"/>
  <c r="J5" i="90"/>
  <c r="J7" i="90"/>
  <c r="J13" i="90"/>
  <c r="J9" i="90"/>
  <c r="J11" i="90"/>
  <c r="H242" i="3"/>
  <c r="J222" i="89"/>
  <c r="J22" i="89" s="1"/>
  <c r="H419" i="3" s="1"/>
  <c r="J223" i="89"/>
  <c r="J224" i="89"/>
  <c r="J42" i="89" s="1"/>
  <c r="H445" i="3" s="1"/>
  <c r="J187" i="89"/>
  <c r="J188" i="89"/>
  <c r="J36" i="89" s="1"/>
  <c r="H493" i="3" s="1"/>
  <c r="J195" i="89"/>
  <c r="J159" i="89"/>
  <c r="J34" i="89" s="1"/>
  <c r="H142" i="3" s="1"/>
  <c r="J160" i="89"/>
  <c r="J40" i="89" s="1"/>
  <c r="H161" i="3" s="1"/>
  <c r="J167" i="89"/>
  <c r="J3" i="88"/>
  <c r="J5" i="88" s="1"/>
  <c r="H19" i="3"/>
  <c r="J30" i="86"/>
  <c r="J22" i="86"/>
  <c r="J3" i="86"/>
  <c r="H380" i="2"/>
  <c r="R380" i="2" s="1"/>
  <c r="J7" i="86"/>
  <c r="J9" i="86"/>
  <c r="H272" i="3"/>
  <c r="J3" i="85"/>
  <c r="J5" i="85"/>
  <c r="J7" i="85"/>
  <c r="J11" i="85"/>
  <c r="J9" i="85"/>
  <c r="H354" i="3"/>
  <c r="J345" i="87"/>
  <c r="J31" i="87" s="1"/>
  <c r="J346" i="87"/>
  <c r="J44" i="87" s="1"/>
  <c r="H139" i="3" s="1"/>
  <c r="J15" i="87"/>
  <c r="J306" i="87"/>
  <c r="J20" i="87" s="1"/>
  <c r="J314" i="87"/>
  <c r="J14" i="87" s="1"/>
  <c r="H314" i="2" s="1"/>
  <c r="R314" i="2" s="1"/>
  <c r="J277" i="87"/>
  <c r="J49" i="87" s="1"/>
  <c r="J284" i="87"/>
  <c r="J13" i="87" s="1"/>
  <c r="H313" i="2" s="1"/>
  <c r="R313" i="2" s="1"/>
  <c r="J252" i="87"/>
  <c r="J259" i="87"/>
  <c r="J230" i="87"/>
  <c r="J41" i="87" s="1"/>
  <c r="J237" i="87"/>
  <c r="J11" i="87" s="1"/>
  <c r="H311" i="2" s="1"/>
  <c r="R311" i="2" s="1"/>
  <c r="J19" i="87"/>
  <c r="J25" i="87"/>
  <c r="J214" i="87"/>
  <c r="J10" i="87" s="1"/>
  <c r="H310" i="2" s="1"/>
  <c r="R310" i="2" s="1"/>
  <c r="J176" i="87"/>
  <c r="J24" i="87"/>
  <c r="J177" i="87"/>
  <c r="J35" i="87" s="1"/>
  <c r="J184" i="87"/>
  <c r="J9" i="87"/>
  <c r="H309" i="2"/>
  <c r="R309" i="2" s="1"/>
  <c r="J143" i="87"/>
  <c r="J30" i="87" s="1"/>
  <c r="J144" i="87"/>
  <c r="J34" i="87" s="1"/>
  <c r="J145" i="87"/>
  <c r="J48" i="87" s="1"/>
  <c r="J146" i="87"/>
  <c r="J52" i="87" s="1"/>
  <c r="J153" i="87"/>
  <c r="J8" i="87" s="1"/>
  <c r="H308" i="2" s="1"/>
  <c r="R308" i="2" s="1"/>
  <c r="J112" i="87"/>
  <c r="J23" i="87" s="1"/>
  <c r="J119" i="87"/>
  <c r="J28" i="87"/>
  <c r="H99" i="3" s="1"/>
  <c r="J40" i="87"/>
  <c r="J97" i="87"/>
  <c r="J6" i="87" s="1"/>
  <c r="H306" i="2" s="1"/>
  <c r="R306" i="2" s="1"/>
  <c r="J7" i="87"/>
  <c r="H307" i="2" s="1"/>
  <c r="R307" i="2" s="1"/>
  <c r="J12" i="87"/>
  <c r="H312" i="2" s="1"/>
  <c r="R312" i="2" s="1"/>
  <c r="J38" i="87"/>
  <c r="H249" i="3" s="1"/>
  <c r="J46" i="87"/>
  <c r="H279" i="3" s="1"/>
  <c r="J53" i="87"/>
  <c r="J5" i="87"/>
  <c r="H305" i="2" s="1"/>
  <c r="R305" i="2" s="1"/>
  <c r="J284" i="84"/>
  <c r="J31" i="84" s="1"/>
  <c r="J285" i="84"/>
  <c r="J34" i="84" s="1"/>
  <c r="H82" i="3" s="1"/>
  <c r="J30" i="84"/>
  <c r="J259" i="84"/>
  <c r="J11" i="84" s="1"/>
  <c r="H62" i="2" s="1"/>
  <c r="R62" i="2" s="1"/>
  <c r="J208" i="84"/>
  <c r="J16" i="84" s="1"/>
  <c r="J209" i="84"/>
  <c r="J210" i="84"/>
  <c r="J37" i="84" s="1"/>
  <c r="J10" i="84"/>
  <c r="H61" i="2" s="1"/>
  <c r="R61" i="2" s="1"/>
  <c r="J167" i="84"/>
  <c r="J15" i="84" s="1"/>
  <c r="J17" i="84" s="1"/>
  <c r="J168" i="84"/>
  <c r="J175" i="84"/>
  <c r="J9" i="84" s="1"/>
  <c r="H60" i="2" s="1"/>
  <c r="R60" i="2" s="1"/>
  <c r="J127" i="84"/>
  <c r="J128" i="84"/>
  <c r="J24" i="84" s="1"/>
  <c r="H234" i="3" s="1"/>
  <c r="J102" i="84"/>
  <c r="J36" i="84" s="1"/>
  <c r="J109" i="84"/>
  <c r="J7" i="84" s="1"/>
  <c r="H58" i="2" s="1"/>
  <c r="R58" i="2" s="1"/>
  <c r="J78" i="84"/>
  <c r="J26" i="84" s="1"/>
  <c r="J86" i="84"/>
  <c r="J6" i="84" s="1"/>
  <c r="H57" i="2" s="1"/>
  <c r="R57" i="2" s="1"/>
  <c r="J19" i="84"/>
  <c r="J20" i="84"/>
  <c r="J21" i="84"/>
  <c r="J27" i="84"/>
  <c r="J49" i="84"/>
  <c r="J5" i="84" s="1"/>
  <c r="J3" i="83"/>
  <c r="J5" i="83"/>
  <c r="J7" i="83"/>
  <c r="J9" i="83"/>
  <c r="J377" i="82"/>
  <c r="J54" i="82" s="1"/>
  <c r="J357" i="82"/>
  <c r="J358" i="82"/>
  <c r="J50" i="82" s="1"/>
  <c r="J365" i="82"/>
  <c r="J14" i="82" s="1"/>
  <c r="H401" i="2" s="1"/>
  <c r="R401" i="2" s="1"/>
  <c r="J33" i="82"/>
  <c r="J49" i="82"/>
  <c r="J328" i="82"/>
  <c r="J13" i="82" s="1"/>
  <c r="H400" i="2" s="1"/>
  <c r="R400" i="2" s="1"/>
  <c r="J283" i="82"/>
  <c r="J30" i="82" s="1"/>
  <c r="H227" i="3" s="1"/>
  <c r="J284" i="82"/>
  <c r="J28" i="82"/>
  <c r="H459" i="3" s="1"/>
  <c r="J36" i="82"/>
  <c r="J42" i="82"/>
  <c r="J48" i="82"/>
  <c r="J256" i="82"/>
  <c r="J11" i="82" s="1"/>
  <c r="J25" i="82"/>
  <c r="J10" i="82"/>
  <c r="H397" i="2" s="1"/>
  <c r="R397" i="2" s="1"/>
  <c r="J175" i="82"/>
  <c r="J20" i="82" s="1"/>
  <c r="H224" i="3" s="1"/>
  <c r="J176" i="82"/>
  <c r="J24" i="82" s="1"/>
  <c r="J26" i="82" s="1"/>
  <c r="H233" i="3" s="1"/>
  <c r="J9" i="82"/>
  <c r="H396" i="2"/>
  <c r="R396" i="2" s="1"/>
  <c r="J145" i="82"/>
  <c r="J22" i="82" s="1"/>
  <c r="H217" i="3" s="1"/>
  <c r="J152" i="82"/>
  <c r="J8" i="82" s="1"/>
  <c r="H395" i="2" s="1"/>
  <c r="R395" i="2" s="1"/>
  <c r="J40" i="82"/>
  <c r="H531" i="3"/>
  <c r="J120" i="82"/>
  <c r="J43" i="82" s="1"/>
  <c r="J46" i="82"/>
  <c r="J128" i="82"/>
  <c r="J7" i="82" s="1"/>
  <c r="H394" i="2" s="1"/>
  <c r="R394" i="2" s="1"/>
  <c r="J114" i="82"/>
  <c r="J90" i="82"/>
  <c r="J78" i="82"/>
  <c r="J74" i="82"/>
  <c r="J71" i="82"/>
  <c r="J32" i="82"/>
  <c r="J37" i="82"/>
  <c r="J4" i="82"/>
  <c r="J23" i="81"/>
  <c r="J30" i="81"/>
  <c r="H306" i="3" s="1"/>
  <c r="J32" i="81"/>
  <c r="H112" i="3" s="1"/>
  <c r="J34" i="81"/>
  <c r="H194" i="3" s="1"/>
  <c r="J36" i="81"/>
  <c r="H394" i="3" s="1"/>
  <c r="J38" i="81"/>
  <c r="J147" i="81"/>
  <c r="J148" i="81"/>
  <c r="J28" i="81" s="1"/>
  <c r="H503" i="3" s="1"/>
  <c r="J149" i="81"/>
  <c r="J41" i="81" s="1"/>
  <c r="J8" i="81"/>
  <c r="J124" i="81"/>
  <c r="J7" i="81" s="1"/>
  <c r="H453" i="2" s="1"/>
  <c r="R453" i="2" s="1"/>
  <c r="J76" i="81"/>
  <c r="J12" i="81" s="1"/>
  <c r="H490" i="3" s="1"/>
  <c r="J77" i="81"/>
  <c r="J14" i="81" s="1"/>
  <c r="H396" i="3" s="1"/>
  <c r="J78" i="81"/>
  <c r="J22" i="81" s="1"/>
  <c r="J79" i="81"/>
  <c r="J40" i="81" s="1"/>
  <c r="J6" i="81"/>
  <c r="H452" i="2" s="1"/>
  <c r="R452" i="2" s="1"/>
  <c r="J26" i="81"/>
  <c r="H192" i="3" s="1"/>
  <c r="J53" i="81"/>
  <c r="J5" i="81" s="1"/>
  <c r="H451" i="2" s="1"/>
  <c r="R451" i="2" s="1"/>
  <c r="J3" i="80"/>
  <c r="H334" i="2"/>
  <c r="R334" i="2" s="1"/>
  <c r="J5" i="80"/>
  <c r="J7" i="80"/>
  <c r="J13" i="80"/>
  <c r="J9" i="80"/>
  <c r="J11" i="80"/>
  <c r="J221" i="70"/>
  <c r="J14" i="70" s="1"/>
  <c r="J196" i="70"/>
  <c r="J21" i="70"/>
  <c r="H25" i="3" s="1"/>
  <c r="J203" i="70"/>
  <c r="J9" i="70" s="1"/>
  <c r="H377" i="2" s="1"/>
  <c r="R377" i="2" s="1"/>
  <c r="J160" i="70"/>
  <c r="J18" i="70" s="1"/>
  <c r="J161" i="70"/>
  <c r="J27" i="70" s="1"/>
  <c r="H65" i="3" s="1"/>
  <c r="J168" i="70"/>
  <c r="J8" i="70" s="1"/>
  <c r="J111" i="70"/>
  <c r="J13" i="70" s="1"/>
  <c r="J15" i="70" s="1"/>
  <c r="J112" i="70"/>
  <c r="J24" i="70" s="1"/>
  <c r="J119" i="70"/>
  <c r="J7" i="70"/>
  <c r="H375" i="2" s="1"/>
  <c r="R375" i="2" s="1"/>
  <c r="J104" i="70"/>
  <c r="J99" i="70"/>
  <c r="J74" i="70"/>
  <c r="J17" i="70" s="1"/>
  <c r="J19" i="70" s="1"/>
  <c r="H40" i="3" s="1"/>
  <c r="J75" i="70"/>
  <c r="J23" i="70" s="1"/>
  <c r="J25" i="70" s="1"/>
  <c r="H57" i="3" s="1"/>
  <c r="J82" i="70"/>
  <c r="J6" i="70" s="1"/>
  <c r="H374" i="2" s="1"/>
  <c r="R374" i="2" s="1"/>
  <c r="J38" i="70"/>
  <c r="J5" i="70" s="1"/>
  <c r="H373" i="2" s="1"/>
  <c r="R373" i="2" s="1"/>
  <c r="J11" i="60"/>
  <c r="H417" i="3"/>
  <c r="J15" i="60"/>
  <c r="H109" i="3"/>
  <c r="J19" i="60"/>
  <c r="J4" i="60"/>
  <c r="J8" i="60" s="1"/>
  <c r="J35" i="60"/>
  <c r="J3" i="60" s="1"/>
  <c r="H150" i="2"/>
  <c r="R150" i="2" s="1"/>
  <c r="J7" i="79"/>
  <c r="J9" i="79" s="1"/>
  <c r="H455" i="3" s="1"/>
  <c r="J17" i="79"/>
  <c r="J19" i="79"/>
  <c r="J3" i="79"/>
  <c r="J5" i="79" s="1"/>
  <c r="J8" i="79"/>
  <c r="J12" i="79"/>
  <c r="J15" i="79"/>
  <c r="H430" i="3"/>
  <c r="J3" i="76"/>
  <c r="J5" i="76"/>
  <c r="J7" i="76"/>
  <c r="J11" i="76"/>
  <c r="J9" i="76"/>
  <c r="J208" i="75"/>
  <c r="J30" i="75" s="1"/>
  <c r="H68" i="3" s="1"/>
  <c r="J23" i="75"/>
  <c r="J27" i="75"/>
  <c r="J179" i="75"/>
  <c r="J9" i="75" s="1"/>
  <c r="H302" i="2" s="1"/>
  <c r="R302" i="2" s="1"/>
  <c r="J16" i="75"/>
  <c r="J26" i="75"/>
  <c r="J8" i="75"/>
  <c r="H301" i="2"/>
  <c r="R301" i="2" s="1"/>
  <c r="J99" i="75"/>
  <c r="J19" i="75" s="1"/>
  <c r="H262" i="3" s="1"/>
  <c r="J100" i="75"/>
  <c r="J22" i="75" s="1"/>
  <c r="J7" i="75"/>
  <c r="H300" i="2"/>
  <c r="J13" i="75"/>
  <c r="J21" i="75"/>
  <c r="J24" i="75" s="1"/>
  <c r="H206" i="3" s="1"/>
  <c r="J73" i="75"/>
  <c r="J6" i="75" s="1"/>
  <c r="H299" i="2" s="1"/>
  <c r="R299" i="2" s="1"/>
  <c r="J15" i="75"/>
  <c r="J17" i="75" s="1"/>
  <c r="H231" i="3" s="1"/>
  <c r="J5" i="75"/>
  <c r="J298" i="74"/>
  <c r="J29" i="74"/>
  <c r="J299" i="74"/>
  <c r="J32" i="74"/>
  <c r="H215" i="3"/>
  <c r="J294" i="74"/>
  <c r="J278" i="74"/>
  <c r="J259" i="74"/>
  <c r="J28" i="74"/>
  <c r="J260" i="74"/>
  <c r="J36" i="74"/>
  <c r="J267" i="74"/>
  <c r="J255" i="74"/>
  <c r="J251" i="74"/>
  <c r="J242" i="74"/>
  <c r="J223" i="74"/>
  <c r="J25" i="74" s="1"/>
  <c r="J230" i="74"/>
  <c r="J10" i="74"/>
  <c r="H116" i="2"/>
  <c r="R116" i="2" s="1"/>
  <c r="J177" i="74"/>
  <c r="J23" i="74"/>
  <c r="H330" i="3"/>
  <c r="J178" i="74"/>
  <c r="J35" i="74"/>
  <c r="J185" i="74"/>
  <c r="J9" i="74" s="1"/>
  <c r="J173" i="74"/>
  <c r="J169" i="74"/>
  <c r="J153" i="74"/>
  <c r="J150" i="74"/>
  <c r="J8" i="74"/>
  <c r="H114" i="2"/>
  <c r="R114" i="2" s="1"/>
  <c r="J110" i="74"/>
  <c r="J19" i="74"/>
  <c r="H144" i="3"/>
  <c r="J111" i="74"/>
  <c r="J7" i="74"/>
  <c r="H113" i="2"/>
  <c r="R113" i="2" s="1"/>
  <c r="J83" i="74"/>
  <c r="J6" i="74"/>
  <c r="H112" i="2"/>
  <c r="R112" i="2" s="1"/>
  <c r="J11" i="74"/>
  <c r="H117" i="2"/>
  <c r="R117" i="2" s="1"/>
  <c r="J15" i="74"/>
  <c r="J17" i="74"/>
  <c r="H135" i="3"/>
  <c r="J16" i="74"/>
  <c r="J21" i="74"/>
  <c r="H303" i="3"/>
  <c r="J27" i="74"/>
  <c r="J34" i="74"/>
  <c r="J5" i="74"/>
  <c r="H111" i="2"/>
  <c r="J41" i="97"/>
  <c r="J35" i="97"/>
  <c r="J25" i="97"/>
  <c r="J9" i="97"/>
  <c r="H168" i="3"/>
  <c r="J3" i="73"/>
  <c r="H119" i="2" s="1"/>
  <c r="R119" i="2" s="1"/>
  <c r="J5" i="73"/>
  <c r="J7" i="73"/>
  <c r="J13" i="73" s="1"/>
  <c r="J9" i="73"/>
  <c r="J11" i="73"/>
  <c r="H204" i="3"/>
  <c r="J285" i="71"/>
  <c r="J24" i="71" s="1"/>
  <c r="J256" i="71"/>
  <c r="J257" i="71"/>
  <c r="J264" i="71"/>
  <c r="J222" i="71"/>
  <c r="J229" i="71"/>
  <c r="J10" i="71" s="1"/>
  <c r="H445" i="2" s="1"/>
  <c r="R445" i="2" s="1"/>
  <c r="J193" i="71"/>
  <c r="J18" i="71" s="1"/>
  <c r="J200" i="71"/>
  <c r="J23" i="71"/>
  <c r="J28" i="71"/>
  <c r="J167" i="71"/>
  <c r="J8" i="71" s="1"/>
  <c r="H443" i="2" s="1"/>
  <c r="R443" i="2" s="1"/>
  <c r="J99" i="71"/>
  <c r="J17" i="71" s="1"/>
  <c r="J19" i="71" s="1"/>
  <c r="H78" i="3" s="1"/>
  <c r="J100" i="71"/>
  <c r="J31" i="71"/>
  <c r="J7" i="71"/>
  <c r="J88" i="71"/>
  <c r="J80" i="71"/>
  <c r="J68" i="71"/>
  <c r="J27" i="71" s="1"/>
  <c r="J76" i="71"/>
  <c r="J6" i="71" s="1"/>
  <c r="H441" i="2" s="1"/>
  <c r="R441" i="2" s="1"/>
  <c r="J9" i="71"/>
  <c r="H444" i="2"/>
  <c r="R444" i="2" s="1"/>
  <c r="J11" i="71"/>
  <c r="H446" i="2"/>
  <c r="R446" i="2" s="1"/>
  <c r="J21" i="71"/>
  <c r="H265" i="3" s="1"/>
  <c r="J32" i="71"/>
  <c r="J33" i="71"/>
  <c r="J47" i="71"/>
  <c r="J5" i="71" s="1"/>
  <c r="H440" i="2" s="1"/>
  <c r="R440" i="2" s="1"/>
  <c r="J3" i="92"/>
  <c r="J5" i="92" s="1"/>
  <c r="J11" i="92"/>
  <c r="J15" i="92"/>
  <c r="J102" i="65"/>
  <c r="J7" i="65" s="1"/>
  <c r="J103" i="65"/>
  <c r="J9" i="65" s="1"/>
  <c r="H498" i="3" s="1"/>
  <c r="J104" i="65"/>
  <c r="J12" i="65" s="1"/>
  <c r="J105" i="65"/>
  <c r="J15" i="65"/>
  <c r="H509" i="3" s="1"/>
  <c r="J85" i="65"/>
  <c r="J80" i="65"/>
  <c r="J69" i="65"/>
  <c r="J3" i="65"/>
  <c r="J5" i="65" s="1"/>
  <c r="J28" i="65"/>
  <c r="J79" i="89"/>
  <c r="J14" i="89" s="1"/>
  <c r="H411" i="3" s="1"/>
  <c r="J80" i="89"/>
  <c r="J16" i="89" s="1"/>
  <c r="H476" i="3" s="1"/>
  <c r="J81" i="89"/>
  <c r="J18" i="89" s="1"/>
  <c r="J11" i="65" s="1"/>
  <c r="J82" i="89"/>
  <c r="J24" i="89" s="1"/>
  <c r="J6" i="89"/>
  <c r="H175" i="2" s="1"/>
  <c r="R175" i="2" s="1"/>
  <c r="J59" i="89"/>
  <c r="J7" i="89"/>
  <c r="H176" i="2" s="1"/>
  <c r="R176" i="2" s="1"/>
  <c r="J8" i="89"/>
  <c r="H177" i="2" s="1"/>
  <c r="R177" i="2" s="1"/>
  <c r="J9" i="89"/>
  <c r="H178" i="2" s="1"/>
  <c r="R178" i="2" s="1"/>
  <c r="J25" i="89"/>
  <c r="J28" i="89"/>
  <c r="H536" i="3" s="1"/>
  <c r="J38" i="89"/>
  <c r="H305" i="3" s="1"/>
  <c r="J53" i="89"/>
  <c r="J5" i="89" s="1"/>
  <c r="J275" i="30"/>
  <c r="J21" i="30"/>
  <c r="J276" i="30"/>
  <c r="J35" i="30"/>
  <c r="J264" i="30"/>
  <c r="J246" i="30"/>
  <c r="J247" i="30"/>
  <c r="J255" i="30"/>
  <c r="J208" i="30"/>
  <c r="J26" i="30" s="1"/>
  <c r="J209" i="30"/>
  <c r="J28" i="30" s="1"/>
  <c r="H511" i="3" s="1"/>
  <c r="J210" i="30"/>
  <c r="J217" i="30"/>
  <c r="J10" i="30"/>
  <c r="H107" i="2"/>
  <c r="R107" i="2" s="1"/>
  <c r="J202" i="30"/>
  <c r="J196" i="30"/>
  <c r="J191" i="30"/>
  <c r="J187" i="30"/>
  <c r="J166" i="30"/>
  <c r="J155" i="30"/>
  <c r="J24" i="30"/>
  <c r="H340" i="3"/>
  <c r="J163" i="30"/>
  <c r="J9" i="30" s="1"/>
  <c r="J16" i="30"/>
  <c r="J34" i="30"/>
  <c r="J136" i="30"/>
  <c r="J8" i="30"/>
  <c r="H105" i="2"/>
  <c r="R105" i="2" s="1"/>
  <c r="J86" i="30"/>
  <c r="J7" i="30"/>
  <c r="H104" i="2"/>
  <c r="J61" i="30"/>
  <c r="J15" i="30"/>
  <c r="J68" i="30"/>
  <c r="J6" i="30"/>
  <c r="H103" i="2"/>
  <c r="R103" i="2" s="1"/>
  <c r="J11" i="30"/>
  <c r="H108" i="2"/>
  <c r="R108" i="2" s="1"/>
  <c r="J19" i="30"/>
  <c r="J20" i="30"/>
  <c r="J30" i="30"/>
  <c r="J31" i="30"/>
  <c r="J5" i="30"/>
  <c r="H102" i="2"/>
  <c r="R102" i="2" s="1"/>
  <c r="J321" i="29"/>
  <c r="J22" i="29" s="1"/>
  <c r="J23" i="29" s="1"/>
  <c r="H79" i="3" s="1"/>
  <c r="J322" i="29"/>
  <c r="J34" i="29" s="1"/>
  <c r="J323" i="29"/>
  <c r="J37" i="29" s="1"/>
  <c r="H36" i="3" s="1"/>
  <c r="J304" i="29"/>
  <c r="J273" i="29"/>
  <c r="J30" i="29" s="1"/>
  <c r="J274" i="29"/>
  <c r="J33" i="29" s="1"/>
  <c r="J35" i="29" s="1"/>
  <c r="H309" i="3" s="1"/>
  <c r="J281" i="29"/>
  <c r="J11" i="29" s="1"/>
  <c r="H53" i="2" s="1"/>
  <c r="R53" i="2" s="1"/>
  <c r="J249" i="29"/>
  <c r="J16" i="29"/>
  <c r="J250" i="29"/>
  <c r="J25" i="29"/>
  <c r="H382" i="3" s="1"/>
  <c r="J258" i="29"/>
  <c r="J10" i="29" s="1"/>
  <c r="H52" i="2" s="1"/>
  <c r="R52" i="2" s="1"/>
  <c r="J204" i="29"/>
  <c r="J27" i="29" s="1"/>
  <c r="H314" i="3" s="1"/>
  <c r="J205" i="29"/>
  <c r="J213" i="29"/>
  <c r="J9" i="29" s="1"/>
  <c r="H51" i="2" s="1"/>
  <c r="R51" i="2" s="1"/>
  <c r="J153" i="29"/>
  <c r="J19" i="29" s="1"/>
  <c r="J160" i="29"/>
  <c r="J8" i="29" s="1"/>
  <c r="H50" i="2" s="1"/>
  <c r="R50" i="2" s="1"/>
  <c r="J126" i="29"/>
  <c r="J15" i="29" s="1"/>
  <c r="J17" i="29" s="1"/>
  <c r="H165" i="3" s="1"/>
  <c r="J127" i="29"/>
  <c r="J29" i="29" s="1"/>
  <c r="J31" i="29" s="1"/>
  <c r="H449" i="3" s="1"/>
  <c r="J134" i="29"/>
  <c r="J7" i="29" s="1"/>
  <c r="J89" i="29"/>
  <c r="J21" i="29"/>
  <c r="J90" i="29"/>
  <c r="J39" i="29"/>
  <c r="J97" i="29"/>
  <c r="J6" i="29"/>
  <c r="H48" i="2" s="1"/>
  <c r="R48" i="2" s="1"/>
  <c r="J81" i="29"/>
  <c r="J71" i="29"/>
  <c r="J58" i="29"/>
  <c r="J55" i="29"/>
  <c r="J40" i="29"/>
  <c r="J52" i="29"/>
  <c r="J5" i="29"/>
  <c r="H47" i="2" s="1"/>
  <c r="R47" i="2" s="1"/>
  <c r="H327" i="3"/>
  <c r="H153" i="2"/>
  <c r="H448" i="2"/>
  <c r="R448" i="2" s="1"/>
  <c r="J24" i="96"/>
  <c r="H213" i="3"/>
  <c r="H331" i="3"/>
  <c r="H276" i="2"/>
  <c r="J37" i="74"/>
  <c r="H163" i="3"/>
  <c r="J11" i="86"/>
  <c r="J5" i="86"/>
  <c r="H72" i="3"/>
  <c r="J15" i="86"/>
  <c r="H425" i="3"/>
  <c r="J17" i="80"/>
  <c r="J15" i="80"/>
  <c r="J17" i="90"/>
  <c r="H250" i="3"/>
  <c r="H156" i="2"/>
  <c r="J15" i="90"/>
  <c r="H188" i="2"/>
  <c r="R188" i="2" s="1"/>
  <c r="J21" i="79"/>
  <c r="J32" i="30"/>
  <c r="H11" i="3"/>
  <c r="J41" i="29"/>
  <c r="H136" i="3" s="1"/>
  <c r="J11" i="83"/>
  <c r="H464" i="3"/>
  <c r="H154" i="2"/>
  <c r="R154" i="2" s="1"/>
  <c r="J11" i="88"/>
  <c r="J17" i="30"/>
  <c r="H51" i="3"/>
  <c r="J28" i="75"/>
  <c r="H23" i="3" s="1"/>
  <c r="H333" i="2"/>
  <c r="H114" i="3"/>
  <c r="H84" i="3"/>
  <c r="J20" i="96"/>
  <c r="H489" i="3"/>
  <c r="J3" i="96"/>
  <c r="J12" i="96"/>
  <c r="J30" i="96"/>
  <c r="J34" i="96"/>
  <c r="J32" i="96"/>
  <c r="J49" i="95"/>
  <c r="H169" i="3"/>
  <c r="J3" i="95"/>
  <c r="J11" i="95"/>
  <c r="J59" i="95"/>
  <c r="J61" i="95"/>
  <c r="J63" i="95"/>
  <c r="J13" i="86"/>
  <c r="J13" i="85"/>
  <c r="J15" i="85"/>
  <c r="J22" i="84"/>
  <c r="H134" i="3" s="1"/>
  <c r="J13" i="83"/>
  <c r="J15" i="83"/>
  <c r="J34" i="82"/>
  <c r="H343" i="3" s="1"/>
  <c r="J11" i="79"/>
  <c r="J13" i="79" s="1"/>
  <c r="J15" i="76"/>
  <c r="J13" i="76"/>
  <c r="J30" i="74"/>
  <c r="H199" i="3"/>
  <c r="J34" i="71"/>
  <c r="H124" i="3" s="1"/>
  <c r="J13" i="92"/>
  <c r="J22" i="30"/>
  <c r="H191" i="3"/>
  <c r="J36" i="30"/>
  <c r="H117" i="3"/>
  <c r="J3" i="72"/>
  <c r="J7" i="72"/>
  <c r="J15" i="72"/>
  <c r="J9" i="72"/>
  <c r="H7" i="3"/>
  <c r="J47" i="69"/>
  <c r="J36" i="69"/>
  <c r="J33" i="69"/>
  <c r="J28" i="69"/>
  <c r="J25" i="69"/>
  <c r="J22" i="69"/>
  <c r="J3" i="69"/>
  <c r="J7" i="69"/>
  <c r="H9" i="3"/>
  <c r="J9" i="69"/>
  <c r="J14" i="68"/>
  <c r="J17" i="68"/>
  <c r="H453" i="3"/>
  <c r="J11" i="68"/>
  <c r="H524" i="3"/>
  <c r="J13" i="68"/>
  <c r="J64" i="68"/>
  <c r="J4" i="68"/>
  <c r="J3" i="68"/>
  <c r="H167" i="2"/>
  <c r="J3" i="67"/>
  <c r="J7" i="67"/>
  <c r="J9" i="67"/>
  <c r="H467" i="3"/>
  <c r="J212" i="66"/>
  <c r="J213" i="66"/>
  <c r="J41" i="66"/>
  <c r="H447" i="3"/>
  <c r="J214" i="66"/>
  <c r="J215" i="66"/>
  <c r="J45" i="66"/>
  <c r="H535" i="3"/>
  <c r="J179" i="66"/>
  <c r="J180" i="66"/>
  <c r="J181" i="66"/>
  <c r="J39" i="66" s="1"/>
  <c r="H359" i="3" s="1"/>
  <c r="J188" i="66"/>
  <c r="J9" i="66" s="1"/>
  <c r="H232" i="2" s="1"/>
  <c r="R232" i="2" s="1"/>
  <c r="J147" i="66"/>
  <c r="J31" i="66"/>
  <c r="H176" i="3" s="1"/>
  <c r="J148" i="66"/>
  <c r="J155" i="66"/>
  <c r="J8" i="66"/>
  <c r="H231" i="2" s="1"/>
  <c r="R231" i="2" s="1"/>
  <c r="J119" i="66"/>
  <c r="J23" i="66"/>
  <c r="H373" i="3"/>
  <c r="J120" i="66"/>
  <c r="J25" i="66"/>
  <c r="H508" i="3"/>
  <c r="J121" i="66"/>
  <c r="J27" i="66" s="1"/>
  <c r="H518" i="3" s="1"/>
  <c r="J129" i="66"/>
  <c r="J7" i="66"/>
  <c r="H230" i="2" s="1"/>
  <c r="R230" i="2" s="1"/>
  <c r="J17" i="66"/>
  <c r="J21" i="66"/>
  <c r="J33" i="66"/>
  <c r="J35" i="66" s="1"/>
  <c r="H120" i="3" s="1"/>
  <c r="J86" i="66"/>
  <c r="J6" i="66"/>
  <c r="H229" i="2"/>
  <c r="J13" i="66"/>
  <c r="H492" i="3" s="1"/>
  <c r="J15" i="66"/>
  <c r="H241" i="3"/>
  <c r="J18" i="66"/>
  <c r="J29" i="66"/>
  <c r="H477" i="3"/>
  <c r="J34" i="66"/>
  <c r="J37" i="66"/>
  <c r="H372" i="3" s="1"/>
  <c r="J43" i="66"/>
  <c r="H532" i="3" s="1"/>
  <c r="J5" i="66"/>
  <c r="J278" i="64"/>
  <c r="J20" i="64" s="1"/>
  <c r="J32" i="64"/>
  <c r="J36" i="64"/>
  <c r="J256" i="64"/>
  <c r="J11" i="64" s="1"/>
  <c r="H99" i="2" s="1"/>
  <c r="R99" i="2" s="1"/>
  <c r="J202" i="64"/>
  <c r="J35" i="64" s="1"/>
  <c r="J37" i="64" s="1"/>
  <c r="H149" i="3" s="1"/>
  <c r="J172" i="64"/>
  <c r="J174" i="64"/>
  <c r="J26" i="64" s="1"/>
  <c r="J175" i="64"/>
  <c r="J31" i="64" s="1"/>
  <c r="J33" i="64" s="1"/>
  <c r="H8" i="3" s="1"/>
  <c r="J182" i="64"/>
  <c r="J9" i="64" s="1"/>
  <c r="H97" i="2" s="1"/>
  <c r="R97" i="2" s="1"/>
  <c r="J148" i="64"/>
  <c r="J135" i="64"/>
  <c r="J25" i="64" s="1"/>
  <c r="J27" i="64" s="1"/>
  <c r="H392" i="3" s="1"/>
  <c r="J142" i="64"/>
  <c r="J8" i="64" s="1"/>
  <c r="H96" i="2" s="1"/>
  <c r="R96" i="2" s="1"/>
  <c r="J113" i="64"/>
  <c r="J16" i="64" s="1"/>
  <c r="J114" i="64"/>
  <c r="J19" i="64" s="1"/>
  <c r="J115" i="64"/>
  <c r="J29" i="64" s="1"/>
  <c r="H113" i="3" s="1"/>
  <c r="J122" i="64"/>
  <c r="J7" i="64" s="1"/>
  <c r="H95" i="2" s="1"/>
  <c r="R95" i="2" s="1"/>
  <c r="J85" i="64"/>
  <c r="J65" i="64"/>
  <c r="J15" i="64" s="1"/>
  <c r="J72" i="64"/>
  <c r="J6" i="64" s="1"/>
  <c r="H94" i="2" s="1"/>
  <c r="R94" i="2" s="1"/>
  <c r="J48" i="64"/>
  <c r="J5" i="64"/>
  <c r="H93" i="2" s="1"/>
  <c r="R93" i="2" s="1"/>
  <c r="J296" i="63"/>
  <c r="J27" i="63"/>
  <c r="J277" i="63"/>
  <c r="J284" i="63"/>
  <c r="J13" i="63"/>
  <c r="H87" i="2"/>
  <c r="R87" i="2" s="1"/>
  <c r="J230" i="63"/>
  <c r="J35" i="63"/>
  <c r="J237" i="63"/>
  <c r="J204" i="63"/>
  <c r="J19" i="63"/>
  <c r="H62" i="3"/>
  <c r="J205" i="63"/>
  <c r="J212" i="63"/>
  <c r="J11" i="63"/>
  <c r="H85" i="2"/>
  <c r="R85" i="2" s="1"/>
  <c r="J177" i="63"/>
  <c r="J26" i="63"/>
  <c r="J178" i="63"/>
  <c r="J179" i="63"/>
  <c r="J40" i="63"/>
  <c r="J186" i="63"/>
  <c r="J142" i="63"/>
  <c r="J22" i="63"/>
  <c r="J143" i="63"/>
  <c r="J30" i="63"/>
  <c r="H216" i="3"/>
  <c r="J150" i="63"/>
  <c r="J112" i="63"/>
  <c r="J8" i="63"/>
  <c r="H82" i="2"/>
  <c r="J72" i="63"/>
  <c r="J7" i="63"/>
  <c r="H81" i="2"/>
  <c r="R81" i="2" s="1"/>
  <c r="J9" i="63"/>
  <c r="H83" i="2"/>
  <c r="J10" i="63"/>
  <c r="H84" i="2"/>
  <c r="R84" i="2" s="1"/>
  <c r="J12" i="63"/>
  <c r="H86" i="2"/>
  <c r="R86" i="2" s="1"/>
  <c r="J21" i="63"/>
  <c r="J23" i="63"/>
  <c r="J32" i="63"/>
  <c r="H156" i="3"/>
  <c r="J34" i="63"/>
  <c r="J36" i="63"/>
  <c r="J39" i="63"/>
  <c r="J54" i="63"/>
  <c r="J4" i="63"/>
  <c r="J3" i="62"/>
  <c r="J7" i="62"/>
  <c r="J17" i="62"/>
  <c r="J9" i="62"/>
  <c r="J11" i="62"/>
  <c r="H462" i="3"/>
  <c r="J525" i="31"/>
  <c r="J30" i="31" s="1"/>
  <c r="J526" i="31"/>
  <c r="J48" i="31" s="1"/>
  <c r="J527" i="31"/>
  <c r="J73" i="31" s="1"/>
  <c r="J511" i="31"/>
  <c r="J498" i="31"/>
  <c r="J485" i="31"/>
  <c r="J67" i="31" s="1"/>
  <c r="J486" i="31"/>
  <c r="J70" i="31" s="1"/>
  <c r="H277" i="3" s="1"/>
  <c r="J495" i="31"/>
  <c r="J19" i="31" s="1"/>
  <c r="H222" i="2" s="1"/>
  <c r="R222" i="2" s="1"/>
  <c r="J66" i="31"/>
  <c r="J458" i="31"/>
  <c r="J18" i="31" s="1"/>
  <c r="H221" i="2" s="1"/>
  <c r="R221" i="2" s="1"/>
  <c r="J413" i="31"/>
  <c r="J44" i="31" s="1"/>
  <c r="J414" i="31"/>
  <c r="J62" i="31" s="1"/>
  <c r="J390" i="31"/>
  <c r="J57" i="31"/>
  <c r="J397" i="31"/>
  <c r="J16" i="31" s="1"/>
  <c r="H219" i="2" s="1"/>
  <c r="R219" i="2" s="1"/>
  <c r="J353" i="31"/>
  <c r="J40" i="31" s="1"/>
  <c r="J354" i="31"/>
  <c r="J55" i="31" s="1"/>
  <c r="H534" i="3" s="1"/>
  <c r="J355" i="31"/>
  <c r="J72" i="31" s="1"/>
  <c r="J364" i="31"/>
  <c r="J15" i="31" s="1"/>
  <c r="H218" i="2" s="1"/>
  <c r="R218" i="2" s="1"/>
  <c r="J342" i="31"/>
  <c r="J319" i="31"/>
  <c r="J53" i="31" s="1"/>
  <c r="H480" i="3" s="1"/>
  <c r="J327" i="31"/>
  <c r="J14" i="31" s="1"/>
  <c r="H217" i="2" s="1"/>
  <c r="R217" i="2" s="1"/>
  <c r="J47" i="31"/>
  <c r="J297" i="31"/>
  <c r="J13" i="31" s="1"/>
  <c r="H216" i="2" s="1"/>
  <c r="R216" i="2" s="1"/>
  <c r="J253" i="31"/>
  <c r="J43" i="31" s="1"/>
  <c r="J260" i="31"/>
  <c r="J12" i="31" s="1"/>
  <c r="H215" i="2" s="1"/>
  <c r="R215" i="2" s="1"/>
  <c r="J228" i="31"/>
  <c r="J39" i="31" s="1"/>
  <c r="J235" i="31"/>
  <c r="J11" i="31" s="1"/>
  <c r="H214" i="2" s="1"/>
  <c r="R214" i="2" s="1"/>
  <c r="J197" i="31"/>
  <c r="J37" i="31" s="1"/>
  <c r="H162" i="3" s="1"/>
  <c r="J198" i="31"/>
  <c r="J65" i="31" s="1"/>
  <c r="J205" i="31"/>
  <c r="J10" i="31" s="1"/>
  <c r="H213" i="2" s="1"/>
  <c r="R213" i="2" s="1"/>
  <c r="J168" i="31"/>
  <c r="J35" i="31" s="1"/>
  <c r="H478" i="3" s="1"/>
  <c r="J175" i="31"/>
  <c r="J9" i="31" s="1"/>
  <c r="H212" i="2" s="1"/>
  <c r="J143" i="31"/>
  <c r="J29" i="31" s="1"/>
  <c r="J144" i="31"/>
  <c r="J33" i="31" s="1"/>
  <c r="H533" i="3" s="1"/>
  <c r="J151" i="31"/>
  <c r="J8" i="31" s="1"/>
  <c r="H211" i="2" s="1"/>
  <c r="R211" i="2" s="1"/>
  <c r="J112" i="31"/>
  <c r="J27" i="31" s="1"/>
  <c r="J113" i="31"/>
  <c r="J61" i="31" s="1"/>
  <c r="J63" i="31" s="1"/>
  <c r="H293" i="3" s="1"/>
  <c r="J120" i="31"/>
  <c r="J5" i="31" s="1"/>
  <c r="J87" i="31"/>
  <c r="J4" i="31" s="1"/>
  <c r="J3" i="58"/>
  <c r="J7" i="58"/>
  <c r="J11" i="58"/>
  <c r="H201" i="3"/>
  <c r="J13" i="58"/>
  <c r="H131" i="3"/>
  <c r="H152" i="2"/>
  <c r="R152" i="2" s="1"/>
  <c r="J15" i="58"/>
  <c r="H38" i="3"/>
  <c r="J8" i="58"/>
  <c r="J9" i="58" s="1"/>
  <c r="H185" i="3" s="1"/>
  <c r="J3" i="55"/>
  <c r="J7" i="55"/>
  <c r="H83" i="3"/>
  <c r="J9" i="55"/>
  <c r="J3" i="56"/>
  <c r="J8" i="56"/>
  <c r="J10" i="55"/>
  <c r="J11" i="55" s="1"/>
  <c r="J11" i="56"/>
  <c r="H58" i="3"/>
  <c r="J502" i="57"/>
  <c r="J503" i="57"/>
  <c r="J29" i="57"/>
  <c r="J69" i="57"/>
  <c r="J480" i="57"/>
  <c r="J18" i="57"/>
  <c r="H293" i="2"/>
  <c r="R293" i="2" s="1"/>
  <c r="J438" i="57"/>
  <c r="J55" i="57"/>
  <c r="J439" i="57"/>
  <c r="J65" i="57"/>
  <c r="J17" i="57"/>
  <c r="H292" i="2"/>
  <c r="R292" i="2" s="1"/>
  <c r="J62" i="57"/>
  <c r="H63" i="3"/>
  <c r="J413" i="57"/>
  <c r="J16" i="57"/>
  <c r="H291" i="2"/>
  <c r="R291" i="2" s="1"/>
  <c r="J372" i="57"/>
  <c r="J43" i="57"/>
  <c r="J379" i="57"/>
  <c r="J15" i="57"/>
  <c r="H290" i="2"/>
  <c r="J347" i="57"/>
  <c r="J33" i="57"/>
  <c r="J348" i="57"/>
  <c r="J60" i="57"/>
  <c r="H335" i="3"/>
  <c r="J349" i="57"/>
  <c r="J357" i="57"/>
  <c r="J14" i="57"/>
  <c r="H289" i="2"/>
  <c r="R289" i="2" s="1"/>
  <c r="J310" i="57"/>
  <c r="J311" i="57"/>
  <c r="J50" i="57"/>
  <c r="J319" i="57"/>
  <c r="J13" i="57"/>
  <c r="H288" i="2"/>
  <c r="R288" i="2" s="1"/>
  <c r="J275" i="57"/>
  <c r="J48" i="57"/>
  <c r="H295" i="3"/>
  <c r="J282" i="57"/>
  <c r="J12" i="57"/>
  <c r="H287" i="2"/>
  <c r="R287" i="2" s="1"/>
  <c r="J247" i="57"/>
  <c r="J36" i="57"/>
  <c r="H205" i="3"/>
  <c r="J248" i="57"/>
  <c r="J64" i="57"/>
  <c r="J255" i="57"/>
  <c r="J11" i="57"/>
  <c r="H286" i="2"/>
  <c r="R286" i="2" s="1"/>
  <c r="J217" i="57"/>
  <c r="J224" i="57"/>
  <c r="J10" i="57"/>
  <c r="H285" i="2"/>
  <c r="J190" i="57"/>
  <c r="J26" i="57"/>
  <c r="H247" i="3"/>
  <c r="J191" i="57"/>
  <c r="J54" i="57"/>
  <c r="J198" i="57"/>
  <c r="J9" i="57"/>
  <c r="H284" i="2"/>
  <c r="R284" i="2" s="1"/>
  <c r="J184" i="57"/>
  <c r="J181" i="57"/>
  <c r="J155" i="57"/>
  <c r="J24" i="57"/>
  <c r="H14" i="3"/>
  <c r="J156" i="57"/>
  <c r="J42" i="57"/>
  <c r="J163" i="57"/>
  <c r="J8" i="57"/>
  <c r="H283" i="2"/>
  <c r="R283" i="2" s="1"/>
  <c r="J109" i="57"/>
  <c r="J28" i="57"/>
  <c r="J110" i="57"/>
  <c r="J46" i="57"/>
  <c r="H284" i="3"/>
  <c r="J111" i="57"/>
  <c r="J58" i="57"/>
  <c r="H90" i="3"/>
  <c r="J118" i="57"/>
  <c r="J7" i="57"/>
  <c r="H282" i="2"/>
  <c r="R282" i="2" s="1"/>
  <c r="J32" i="57"/>
  <c r="J38" i="57"/>
  <c r="J39" i="57"/>
  <c r="J51" i="57"/>
  <c r="J68" i="57"/>
  <c r="J72" i="57"/>
  <c r="H251" i="3"/>
  <c r="J85" i="57"/>
  <c r="J4" i="57"/>
  <c r="J3" i="54"/>
  <c r="J7" i="54"/>
  <c r="H319" i="3"/>
  <c r="J9" i="54"/>
  <c r="J3" i="53"/>
  <c r="J8" i="53"/>
  <c r="H4" i="3"/>
  <c r="J169" i="52"/>
  <c r="J18" i="52"/>
  <c r="J170" i="52"/>
  <c r="J171" i="52"/>
  <c r="J39" i="52"/>
  <c r="H510" i="3"/>
  <c r="J142" i="52"/>
  <c r="J21" i="52"/>
  <c r="J143" i="52"/>
  <c r="J150" i="52"/>
  <c r="J116" i="52"/>
  <c r="J31" i="52"/>
  <c r="H463" i="3"/>
  <c r="J117" i="52"/>
  <c r="J33" i="52"/>
  <c r="H495" i="3"/>
  <c r="J118" i="52"/>
  <c r="J36" i="52"/>
  <c r="J125" i="52"/>
  <c r="J5" i="52"/>
  <c r="J80" i="52"/>
  <c r="J15" i="52"/>
  <c r="H103" i="3"/>
  <c r="J81" i="52"/>
  <c r="J82" i="52"/>
  <c r="J25" i="52"/>
  <c r="H91" i="3"/>
  <c r="J83" i="52"/>
  <c r="J29" i="52"/>
  <c r="H360" i="3"/>
  <c r="J84" i="52"/>
  <c r="J91" i="52"/>
  <c r="J4" i="52"/>
  <c r="J6" i="52"/>
  <c r="J17" i="52"/>
  <c r="J22" i="52"/>
  <c r="J27" i="52"/>
  <c r="H513" i="3"/>
  <c r="J35" i="52"/>
  <c r="J52" i="52"/>
  <c r="J3" i="52"/>
  <c r="H434" i="2"/>
  <c r="R434" i="2" s="1"/>
  <c r="J3" i="51"/>
  <c r="J7" i="51"/>
  <c r="H37" i="3" s="1"/>
  <c r="J9" i="51"/>
  <c r="J356" i="49"/>
  <c r="J55" i="49"/>
  <c r="J329" i="49"/>
  <c r="J14" i="49"/>
  <c r="H44" i="2" s="1"/>
  <c r="R44" i="2" s="1"/>
  <c r="J306" i="49"/>
  <c r="J38" i="49" s="1"/>
  <c r="J307" i="49"/>
  <c r="J42" i="49"/>
  <c r="J308" i="49"/>
  <c r="J50" i="49" s="1"/>
  <c r="J52" i="49" s="1"/>
  <c r="H46" i="3" s="1"/>
  <c r="J315" i="49"/>
  <c r="J13" i="49" s="1"/>
  <c r="H43" i="2" s="1"/>
  <c r="R43" i="2" s="1"/>
  <c r="J301" i="49"/>
  <c r="J296" i="49"/>
  <c r="J289" i="49"/>
  <c r="J286" i="49"/>
  <c r="J274" i="49"/>
  <c r="J34" i="49" s="1"/>
  <c r="J275" i="49"/>
  <c r="J47" i="49" s="1"/>
  <c r="J283" i="49"/>
  <c r="J12" i="49"/>
  <c r="H42" i="2" s="1"/>
  <c r="R42" i="2" s="1"/>
  <c r="J264" i="49"/>
  <c r="J246" i="49"/>
  <c r="J29" i="49"/>
  <c r="J247" i="49"/>
  <c r="J41" i="49" s="1"/>
  <c r="J43" i="49" s="1"/>
  <c r="H288" i="3" s="1"/>
  <c r="J248" i="49"/>
  <c r="J54" i="49" s="1"/>
  <c r="J257" i="49"/>
  <c r="J11" i="49" s="1"/>
  <c r="H41" i="2" s="1"/>
  <c r="R41" i="2" s="1"/>
  <c r="J228" i="49"/>
  <c r="J213" i="49"/>
  <c r="J214" i="49"/>
  <c r="J215" i="49"/>
  <c r="J46" i="49"/>
  <c r="J222" i="49"/>
  <c r="J10" i="49" s="1"/>
  <c r="H40" i="2" s="1"/>
  <c r="R40" i="2" s="1"/>
  <c r="J180" i="49"/>
  <c r="J26" i="49" s="1"/>
  <c r="H269" i="3" s="1"/>
  <c r="J187" i="49"/>
  <c r="J9" i="49" s="1"/>
  <c r="H39" i="2" s="1"/>
  <c r="R39" i="2" s="1"/>
  <c r="J153" i="49"/>
  <c r="J24" i="49"/>
  <c r="H66" i="3" s="1"/>
  <c r="J154" i="49"/>
  <c r="J32" i="49"/>
  <c r="J35" i="49" s="1"/>
  <c r="H172" i="3" s="1"/>
  <c r="J155" i="49"/>
  <c r="J45" i="49" s="1"/>
  <c r="J163" i="49"/>
  <c r="J8" i="49" s="1"/>
  <c r="J113" i="49"/>
  <c r="J22" i="49"/>
  <c r="H222" i="3" s="1"/>
  <c r="J114" i="49"/>
  <c r="J121" i="49"/>
  <c r="J7" i="49"/>
  <c r="H37" i="2" s="1"/>
  <c r="R37" i="2" s="1"/>
  <c r="J79" i="49"/>
  <c r="J18" i="49"/>
  <c r="J86" i="49"/>
  <c r="J6" i="49" s="1"/>
  <c r="H36" i="2" s="1"/>
  <c r="J19" i="49"/>
  <c r="J28" i="49"/>
  <c r="J33" i="49"/>
  <c r="J37" i="49"/>
  <c r="J39" i="49" s="1"/>
  <c r="H80" i="3" s="1"/>
  <c r="J51" i="49"/>
  <c r="J67" i="49"/>
  <c r="J5" i="49"/>
  <c r="H35" i="2" s="1"/>
  <c r="R35" i="2" s="1"/>
  <c r="J3" i="48"/>
  <c r="J7" i="48"/>
  <c r="H357" i="3"/>
  <c r="J3" i="45"/>
  <c r="J7" i="45"/>
  <c r="J9" i="45"/>
  <c r="J11" i="45"/>
  <c r="J3" i="46"/>
  <c r="J7" i="46"/>
  <c r="J15" i="45"/>
  <c r="J9" i="46"/>
  <c r="J11" i="46" s="1"/>
  <c r="J10" i="46"/>
  <c r="J12" i="45"/>
  <c r="J13" i="46"/>
  <c r="H406" i="3"/>
  <c r="J3" i="44"/>
  <c r="J7" i="44"/>
  <c r="J9" i="44"/>
  <c r="H260" i="3"/>
  <c r="J43" i="43"/>
  <c r="J67" i="43"/>
  <c r="J413" i="43"/>
  <c r="J55" i="43" s="1"/>
  <c r="J414" i="43"/>
  <c r="J59" i="43" s="1"/>
  <c r="J60" i="43" s="1"/>
  <c r="H456" i="3" s="1"/>
  <c r="J17" i="43"/>
  <c r="H274" i="2" s="1"/>
  <c r="R274" i="2" s="1"/>
  <c r="J380" i="43"/>
  <c r="J24" i="43" s="1"/>
  <c r="J387" i="43"/>
  <c r="J16" i="43"/>
  <c r="H273" i="2" s="1"/>
  <c r="R273" i="2" s="1"/>
  <c r="J356" i="43"/>
  <c r="J357" i="43"/>
  <c r="J365" i="43"/>
  <c r="J15" i="43" s="1"/>
  <c r="H272" i="2" s="1"/>
  <c r="R272" i="2" s="1"/>
  <c r="J312" i="43"/>
  <c r="J39" i="43" s="1"/>
  <c r="H282" i="3" s="1"/>
  <c r="J313" i="43"/>
  <c r="J42" i="43"/>
  <c r="J320" i="43"/>
  <c r="J288" i="43"/>
  <c r="J23" i="43" s="1"/>
  <c r="J25" i="43" s="1"/>
  <c r="H276" i="3" s="1"/>
  <c r="J289" i="43"/>
  <c r="J296" i="43"/>
  <c r="J13" i="43" s="1"/>
  <c r="H270" i="2" s="1"/>
  <c r="R270" i="2" s="1"/>
  <c r="J285" i="43"/>
  <c r="J266" i="43"/>
  <c r="J273" i="43"/>
  <c r="J12" i="43"/>
  <c r="H269" i="2" s="1"/>
  <c r="R269" i="2" s="1"/>
  <c r="J239" i="43"/>
  <c r="J33" i="43" s="1"/>
  <c r="H128" i="3" s="1"/>
  <c r="J240" i="43"/>
  <c r="J247" i="43"/>
  <c r="J31" i="43"/>
  <c r="H73" i="3" s="1"/>
  <c r="J66" i="43"/>
  <c r="J222" i="43"/>
  <c r="J10" i="43" s="1"/>
  <c r="H267" i="2" s="1"/>
  <c r="R267" i="2" s="1"/>
  <c r="J190" i="43"/>
  <c r="J191" i="43"/>
  <c r="J41" i="43" s="1"/>
  <c r="J198" i="43"/>
  <c r="J9" i="43" s="1"/>
  <c r="H266" i="2" s="1"/>
  <c r="R266" i="2" s="1"/>
  <c r="J141" i="43"/>
  <c r="J27" i="43" s="1"/>
  <c r="H59" i="3" s="1"/>
  <c r="J142" i="43"/>
  <c r="J143" i="43"/>
  <c r="J54" i="43" s="1"/>
  <c r="J150" i="43"/>
  <c r="J8" i="43"/>
  <c r="H265" i="2" s="1"/>
  <c r="R265" i="2" s="1"/>
  <c r="J133" i="43"/>
  <c r="J99" i="43"/>
  <c r="J58" i="43"/>
  <c r="J100" i="43"/>
  <c r="J62" i="43" s="1"/>
  <c r="H380" i="3" s="1"/>
  <c r="J101" i="43"/>
  <c r="J108" i="43"/>
  <c r="J7" i="43" s="1"/>
  <c r="H264" i="2" s="1"/>
  <c r="R264" i="2" s="1"/>
  <c r="J11" i="43"/>
  <c r="H268" i="2" s="1"/>
  <c r="R268" i="2" s="1"/>
  <c r="J14" i="43"/>
  <c r="H271" i="2" s="1"/>
  <c r="R271" i="2" s="1"/>
  <c r="J29" i="43"/>
  <c r="H235" i="3" s="1"/>
  <c r="J35" i="43"/>
  <c r="J36" i="43"/>
  <c r="J46" i="43"/>
  <c r="H267" i="3" s="1"/>
  <c r="J48" i="43"/>
  <c r="H388" i="3" s="1"/>
  <c r="J50" i="43"/>
  <c r="J51" i="43"/>
  <c r="J64" i="43"/>
  <c r="H427" i="3" s="1"/>
  <c r="J81" i="43"/>
  <c r="J4" i="43" s="1"/>
  <c r="J3" i="41"/>
  <c r="J7" i="41"/>
  <c r="J8" i="41"/>
  <c r="J9" i="41" s="1"/>
  <c r="J11" i="41"/>
  <c r="H350" i="3"/>
  <c r="J15" i="41"/>
  <c r="J3" i="42"/>
  <c r="J7" i="42"/>
  <c r="J9" i="42" s="1"/>
  <c r="J8" i="42"/>
  <c r="J11" i="42"/>
  <c r="H515" i="3"/>
  <c r="J13" i="42"/>
  <c r="J3" i="40"/>
  <c r="J7" i="40"/>
  <c r="J9" i="40"/>
  <c r="H125" i="3"/>
  <c r="J409" i="39"/>
  <c r="J410" i="39"/>
  <c r="J411" i="39"/>
  <c r="J53" i="39"/>
  <c r="H240" i="3"/>
  <c r="J412" i="39"/>
  <c r="J75" i="39"/>
  <c r="H207" i="3"/>
  <c r="J373" i="39"/>
  <c r="J19" i="39"/>
  <c r="H280" i="3"/>
  <c r="J374" i="39"/>
  <c r="J73" i="39"/>
  <c r="H336" i="3"/>
  <c r="J375" i="39"/>
  <c r="J382" i="39"/>
  <c r="J14" i="39"/>
  <c r="H208" i="2"/>
  <c r="J341" i="39"/>
  <c r="J342" i="39"/>
  <c r="J44" i="39"/>
  <c r="J343" i="39"/>
  <c r="J69" i="39"/>
  <c r="H304" i="3"/>
  <c r="J350" i="39"/>
  <c r="J13" i="39"/>
  <c r="H207" i="2"/>
  <c r="J310" i="39"/>
  <c r="J311" i="39"/>
  <c r="J312" i="39"/>
  <c r="J47" i="39"/>
  <c r="H502" i="3"/>
  <c r="J313" i="39"/>
  <c r="J320" i="39"/>
  <c r="J278" i="39"/>
  <c r="J26" i="39"/>
  <c r="J279" i="39"/>
  <c r="J280" i="39"/>
  <c r="J287" i="39"/>
  <c r="J11" i="39"/>
  <c r="H205" i="2"/>
  <c r="J248" i="39"/>
  <c r="J49" i="39"/>
  <c r="H92" i="3"/>
  <c r="J249" i="39"/>
  <c r="J256" i="39"/>
  <c r="J217" i="39"/>
  <c r="J218" i="39"/>
  <c r="J61" i="39"/>
  <c r="H328" i="3" s="1"/>
  <c r="J219" i="39"/>
  <c r="J63" i="39"/>
  <c r="H325" i="3"/>
  <c r="J226" i="39"/>
  <c r="J9" i="39"/>
  <c r="H203" i="2"/>
  <c r="R203" i="2" s="1"/>
  <c r="J184" i="39"/>
  <c r="J185" i="39"/>
  <c r="J186" i="39"/>
  <c r="J57" i="39"/>
  <c r="H214" i="3"/>
  <c r="J187" i="39"/>
  <c r="J59" i="39"/>
  <c r="H307" i="3"/>
  <c r="J188" i="39"/>
  <c r="J195" i="39"/>
  <c r="J142" i="39"/>
  <c r="J143" i="39"/>
  <c r="J39" i="39"/>
  <c r="H253" i="3"/>
  <c r="J150" i="39"/>
  <c r="J7" i="39"/>
  <c r="H201" i="2"/>
  <c r="R201" i="2" s="1"/>
  <c r="J114" i="39"/>
  <c r="J29" i="39"/>
  <c r="H442" i="3"/>
  <c r="J115" i="39"/>
  <c r="J31" i="39"/>
  <c r="H408" i="3"/>
  <c r="J116" i="39"/>
  <c r="J123" i="39"/>
  <c r="J6" i="39"/>
  <c r="H200" i="2"/>
  <c r="J8" i="39"/>
  <c r="J3" i="39" s="1"/>
  <c r="H202" i="2"/>
  <c r="R202" i="2" s="1"/>
  <c r="J10" i="39"/>
  <c r="H204" i="2"/>
  <c r="J12" i="39"/>
  <c r="H206" i="2"/>
  <c r="R206" i="2" s="1"/>
  <c r="J21" i="39"/>
  <c r="J22" i="39"/>
  <c r="J25" i="39"/>
  <c r="J33" i="39"/>
  <c r="J34" i="39"/>
  <c r="J37" i="39"/>
  <c r="H428" i="3"/>
  <c r="J41" i="39"/>
  <c r="H258" i="3"/>
  <c r="J43" i="39"/>
  <c r="J51" i="39"/>
  <c r="H182" i="3"/>
  <c r="J55" i="39"/>
  <c r="H10" i="3"/>
  <c r="J65" i="39"/>
  <c r="H127" i="3"/>
  <c r="J67" i="39"/>
  <c r="H166" i="3"/>
  <c r="J71" i="39"/>
  <c r="H494" i="3"/>
  <c r="J77" i="39"/>
  <c r="H244" i="3"/>
  <c r="J79" i="39"/>
  <c r="J80" i="39"/>
  <c r="J92" i="39"/>
  <c r="J5" i="39"/>
  <c r="H199" i="2"/>
  <c r="R199" i="2" s="1"/>
  <c r="J242" i="28"/>
  <c r="J17" i="28" s="1"/>
  <c r="J243" i="28"/>
  <c r="J22" i="28"/>
  <c r="H39" i="3" s="1"/>
  <c r="J30" i="28"/>
  <c r="J218" i="28"/>
  <c r="J10" i="28" s="1"/>
  <c r="H370" i="2" s="1"/>
  <c r="R370" i="2" s="1"/>
  <c r="J20" i="28"/>
  <c r="H22" i="3" s="1"/>
  <c r="J25" i="28"/>
  <c r="J9" i="28"/>
  <c r="H369" i="2" s="1"/>
  <c r="R369" i="2" s="1"/>
  <c r="J142" i="28"/>
  <c r="J16" i="28" s="1"/>
  <c r="J8" i="28"/>
  <c r="J113" i="28"/>
  <c r="J7" i="28" s="1"/>
  <c r="H367" i="2" s="1"/>
  <c r="R367" i="2" s="1"/>
  <c r="J64" i="28"/>
  <c r="J14" i="28" s="1"/>
  <c r="H150" i="3" s="1"/>
  <c r="J65" i="28"/>
  <c r="J24" i="28" s="1"/>
  <c r="J6" i="28"/>
  <c r="H366" i="2" s="1"/>
  <c r="R366" i="2" s="1"/>
  <c r="J26" i="28"/>
  <c r="J42" i="28"/>
  <c r="J5" i="28" s="1"/>
  <c r="H365" i="2" s="1"/>
  <c r="J524" i="38"/>
  <c r="J66" i="38" s="1"/>
  <c r="J492" i="38"/>
  <c r="J39" i="38" s="1"/>
  <c r="H400" i="3" s="1"/>
  <c r="J493" i="38"/>
  <c r="J50" i="38" s="1"/>
  <c r="J51" i="38" s="1"/>
  <c r="H322" i="3" s="1"/>
  <c r="J500" i="38"/>
  <c r="J19" i="38" s="1"/>
  <c r="H29" i="2" s="1"/>
  <c r="R29" i="2" s="1"/>
  <c r="J58" i="38"/>
  <c r="J61" i="38"/>
  <c r="J455" i="38"/>
  <c r="J18" i="38" s="1"/>
  <c r="H28" i="2" s="1"/>
  <c r="R28" i="2" s="1"/>
  <c r="J422" i="38"/>
  <c r="J423" i="38"/>
  <c r="J79" i="38"/>
  <c r="J17" i="38"/>
  <c r="H27" i="2" s="1"/>
  <c r="R27" i="2" s="1"/>
  <c r="J396" i="38"/>
  <c r="J46" i="38" s="1"/>
  <c r="J403" i="38"/>
  <c r="J16" i="38" s="1"/>
  <c r="H26" i="2" s="1"/>
  <c r="R26" i="2" s="1"/>
  <c r="J373" i="38"/>
  <c r="J32" i="38" s="1"/>
  <c r="J374" i="38"/>
  <c r="J43" i="38" s="1"/>
  <c r="H219" i="3" s="1"/>
  <c r="J375" i="38"/>
  <c r="J45" i="38" s="1"/>
  <c r="J383" i="38"/>
  <c r="J15" i="38" s="1"/>
  <c r="H25" i="2" s="1"/>
  <c r="R25" i="2" s="1"/>
  <c r="J349" i="38"/>
  <c r="J41" i="38"/>
  <c r="H152" i="3" s="1"/>
  <c r="J49" i="38"/>
  <c r="J78" i="38"/>
  <c r="J337" i="38"/>
  <c r="J14" i="38" s="1"/>
  <c r="H24" i="2" s="1"/>
  <c r="R24" i="2" s="1"/>
  <c r="J293" i="38"/>
  <c r="J37" i="38" s="1"/>
  <c r="H85" i="3" s="1"/>
  <c r="J294" i="38"/>
  <c r="J53" i="38" s="1"/>
  <c r="J295" i="38"/>
  <c r="J65" i="38" s="1"/>
  <c r="J13" i="38"/>
  <c r="H23" i="2" s="1"/>
  <c r="R23" i="2" s="1"/>
  <c r="J260" i="38"/>
  <c r="J35" i="38" s="1"/>
  <c r="H378" i="3" s="1"/>
  <c r="J267" i="38"/>
  <c r="J12" i="38"/>
  <c r="H22" i="2" s="1"/>
  <c r="J237" i="38"/>
  <c r="J31" i="38" s="1"/>
  <c r="J244" i="38"/>
  <c r="J11" i="38" s="1"/>
  <c r="H21" i="2" s="1"/>
  <c r="R21" i="2" s="1"/>
  <c r="J212" i="38"/>
  <c r="J29" i="38" s="1"/>
  <c r="H196" i="3" s="1"/>
  <c r="J213" i="38"/>
  <c r="J77" i="38" s="1"/>
  <c r="J220" i="38"/>
  <c r="J10" i="38" s="1"/>
  <c r="H20" i="2" s="1"/>
  <c r="R20" i="2" s="1"/>
  <c r="J201" i="38"/>
  <c r="J192" i="38"/>
  <c r="J168" i="38"/>
  <c r="J27" i="38" s="1"/>
  <c r="H376" i="3" s="1"/>
  <c r="J169" i="38"/>
  <c r="J57" i="38" s="1"/>
  <c r="J170" i="38"/>
  <c r="J69" i="38" s="1"/>
  <c r="J178" i="38"/>
  <c r="J9" i="38" s="1"/>
  <c r="H19" i="2" s="1"/>
  <c r="R19" i="2" s="1"/>
  <c r="J142" i="38"/>
  <c r="J70" i="38" s="1"/>
  <c r="J143" i="38"/>
  <c r="J75" i="38" s="1"/>
  <c r="H129" i="3" s="1"/>
  <c r="J150" i="38"/>
  <c r="J8" i="38" s="1"/>
  <c r="H18" i="2" s="1"/>
  <c r="R18" i="2" s="1"/>
  <c r="J112" i="38"/>
  <c r="J62" i="38" s="1"/>
  <c r="J113" i="38"/>
  <c r="J73" i="38" s="1"/>
  <c r="H433" i="3" s="1"/>
  <c r="J120" i="38"/>
  <c r="J5" i="38" s="1"/>
  <c r="J54" i="38"/>
  <c r="J93" i="38"/>
  <c r="J4" i="38" s="1"/>
  <c r="J3" i="36"/>
  <c r="J7" i="36"/>
  <c r="J9" i="36"/>
  <c r="J11" i="36"/>
  <c r="H473" i="3"/>
  <c r="J17" i="36"/>
  <c r="J235" i="37"/>
  <c r="J237" i="37"/>
  <c r="J18" i="37"/>
  <c r="J238" i="37"/>
  <c r="J239" i="37"/>
  <c r="J38" i="37"/>
  <c r="J240" i="37"/>
  <c r="J41" i="37"/>
  <c r="H52" i="3"/>
  <c r="J224" i="37"/>
  <c r="J220" i="37"/>
  <c r="J193" i="37"/>
  <c r="J182" i="37"/>
  <c r="J17" i="37"/>
  <c r="J183" i="37"/>
  <c r="J190" i="37"/>
  <c r="J11" i="37"/>
  <c r="H259" i="2"/>
  <c r="R259" i="2" s="1"/>
  <c r="J152" i="37"/>
  <c r="J22" i="37"/>
  <c r="J153" i="37"/>
  <c r="J37" i="37"/>
  <c r="J160" i="37"/>
  <c r="J122" i="37"/>
  <c r="J31" i="37" s="1"/>
  <c r="J33" i="37" s="1"/>
  <c r="J129" i="37"/>
  <c r="J9" i="37"/>
  <c r="H257" i="2"/>
  <c r="R257" i="2" s="1"/>
  <c r="J97" i="37"/>
  <c r="J27" i="37"/>
  <c r="J104" i="37"/>
  <c r="J8" i="37" s="1"/>
  <c r="J21" i="37"/>
  <c r="J25" i="37"/>
  <c r="H334" i="3"/>
  <c r="J35" i="37"/>
  <c r="H317" i="3"/>
  <c r="J86" i="37"/>
  <c r="J7" i="37"/>
  <c r="H255" i="2"/>
  <c r="J10" i="37"/>
  <c r="H258" i="2"/>
  <c r="R258" i="2" s="1"/>
  <c r="J28" i="37"/>
  <c r="J32" i="37"/>
  <c r="J54" i="37"/>
  <c r="J4" i="37"/>
  <c r="J3" i="35"/>
  <c r="J7" i="35"/>
  <c r="J9" i="35"/>
  <c r="J11" i="35"/>
  <c r="H507" i="3"/>
  <c r="J17" i="35"/>
  <c r="J151" i="34"/>
  <c r="J11" i="34"/>
  <c r="H423" i="3"/>
  <c r="J152" i="34"/>
  <c r="J13" i="34"/>
  <c r="H229" i="3"/>
  <c r="J153" i="34"/>
  <c r="J154" i="34"/>
  <c r="J19" i="34"/>
  <c r="H434" i="3"/>
  <c r="J155" i="34"/>
  <c r="J21" i="34"/>
  <c r="H298" i="3"/>
  <c r="J156" i="34"/>
  <c r="J24" i="34"/>
  <c r="J147" i="34"/>
  <c r="J141" i="34"/>
  <c r="J115" i="34"/>
  <c r="J111" i="34"/>
  <c r="J103" i="34"/>
  <c r="J86" i="34"/>
  <c r="J15" i="34"/>
  <c r="H438" i="3"/>
  <c r="J23" i="34"/>
  <c r="J73" i="34"/>
  <c r="J4" i="34"/>
  <c r="J17" i="34"/>
  <c r="H504" i="3"/>
  <c r="J3" i="34"/>
  <c r="H162" i="2"/>
  <c r="J288" i="33"/>
  <c r="J42" i="33"/>
  <c r="J46" i="33"/>
  <c r="H121" i="3"/>
  <c r="J271" i="33"/>
  <c r="J13" i="33"/>
  <c r="H359" i="2"/>
  <c r="R359" i="2" s="1"/>
  <c r="J32" i="33"/>
  <c r="J12" i="33"/>
  <c r="H358" i="2"/>
  <c r="J196" i="33"/>
  <c r="J36" i="33"/>
  <c r="J11" i="33"/>
  <c r="H357" i="2"/>
  <c r="J27" i="33"/>
  <c r="J30" i="33"/>
  <c r="J35" i="33"/>
  <c r="J175" i="33"/>
  <c r="J10" i="33"/>
  <c r="H356" i="2"/>
  <c r="R356" i="2" s="1"/>
  <c r="J133" i="33"/>
  <c r="J26" i="33"/>
  <c r="J9" i="33"/>
  <c r="H355" i="2"/>
  <c r="R355" i="2" s="1"/>
  <c r="J120" i="33"/>
  <c r="J8" i="33"/>
  <c r="H354" i="2"/>
  <c r="J20" i="33"/>
  <c r="H220" i="3"/>
  <c r="J22" i="33"/>
  <c r="J5" i="33"/>
  <c r="J23" i="33"/>
  <c r="J31" i="33"/>
  <c r="J39" i="33"/>
  <c r="H255" i="3"/>
  <c r="J41" i="33"/>
  <c r="J43" i="33"/>
  <c r="J59" i="33"/>
  <c r="J4" i="33"/>
  <c r="J370" i="27"/>
  <c r="J53" i="27" s="1"/>
  <c r="J15" i="27"/>
  <c r="H348" i="2" s="1"/>
  <c r="R348" i="2" s="1"/>
  <c r="J336" i="27"/>
  <c r="J25" i="27" s="1"/>
  <c r="J337" i="27"/>
  <c r="J35" i="27" s="1"/>
  <c r="H333" i="3" s="1"/>
  <c r="J345" i="27"/>
  <c r="J14" i="27" s="1"/>
  <c r="H347" i="2" s="1"/>
  <c r="R347" i="2" s="1"/>
  <c r="J301" i="27"/>
  <c r="J44" i="27"/>
  <c r="J302" i="27"/>
  <c r="J57" i="27"/>
  <c r="J309" i="27"/>
  <c r="J13" i="27" s="1"/>
  <c r="H346" i="2" s="1"/>
  <c r="R346" i="2" s="1"/>
  <c r="J268" i="27"/>
  <c r="J37" i="27" s="1"/>
  <c r="H212" i="3" s="1"/>
  <c r="J277" i="27"/>
  <c r="J12" i="27" s="1"/>
  <c r="H345" i="2" s="1"/>
  <c r="R345" i="2" s="1"/>
  <c r="J229" i="27"/>
  <c r="J24" i="27" s="1"/>
  <c r="J230" i="27"/>
  <c r="J48" i="27" s="1"/>
  <c r="J239" i="27"/>
  <c r="J11" i="27" s="1"/>
  <c r="H344" i="2" s="1"/>
  <c r="R344" i="2" s="1"/>
  <c r="J30" i="27"/>
  <c r="J33" i="27"/>
  <c r="J203" i="27"/>
  <c r="J10" i="27" s="1"/>
  <c r="H343" i="2" s="1"/>
  <c r="R343" i="2" s="1"/>
  <c r="J164" i="27"/>
  <c r="J23" i="27" s="1"/>
  <c r="J165" i="27"/>
  <c r="J29" i="27" s="1"/>
  <c r="J166" i="27"/>
  <c r="J47" i="27" s="1"/>
  <c r="J49" i="27" s="1"/>
  <c r="H64" i="3" s="1"/>
  <c r="J9" i="27"/>
  <c r="J145" i="27"/>
  <c r="J120" i="27"/>
  <c r="J51" i="27" s="1"/>
  <c r="H203" i="3" s="1"/>
  <c r="J121" i="27"/>
  <c r="J58" i="27" s="1"/>
  <c r="J59" i="27" s="1"/>
  <c r="H416" i="3" s="1"/>
  <c r="J128" i="27"/>
  <c r="J8" i="27" s="1"/>
  <c r="H341" i="2" s="1"/>
  <c r="R341" i="2" s="1"/>
  <c r="J94" i="27"/>
  <c r="J39" i="27" s="1"/>
  <c r="H401" i="3" s="1"/>
  <c r="J95" i="27"/>
  <c r="J41" i="27" s="1"/>
  <c r="H266" i="3" s="1"/>
  <c r="J96" i="27"/>
  <c r="J43" i="27" s="1"/>
  <c r="J45" i="27" s="1"/>
  <c r="H356" i="3" s="1"/>
  <c r="J103" i="27"/>
  <c r="J5" i="27" s="1"/>
  <c r="J26" i="27"/>
  <c r="J54" i="27"/>
  <c r="J72" i="27"/>
  <c r="J4" i="27" s="1"/>
  <c r="J338" i="26"/>
  <c r="J49" i="26"/>
  <c r="H107" i="3"/>
  <c r="J313" i="26"/>
  <c r="J314" i="26"/>
  <c r="J321" i="26"/>
  <c r="J14" i="26"/>
  <c r="H76" i="2"/>
  <c r="R76" i="2" s="1"/>
  <c r="J279" i="26"/>
  <c r="J38" i="26" s="1"/>
  <c r="J286" i="26"/>
  <c r="J36" i="26"/>
  <c r="H321" i="3"/>
  <c r="J42" i="26"/>
  <c r="J249" i="26"/>
  <c r="J12" i="26"/>
  <c r="H74" i="2" s="1"/>
  <c r="R74" i="2" s="1"/>
  <c r="J213" i="26"/>
  <c r="J220" i="26"/>
  <c r="J11" i="26"/>
  <c r="H73" i="2"/>
  <c r="J178" i="26"/>
  <c r="J26" i="26"/>
  <c r="H326" i="3"/>
  <c r="J179" i="26"/>
  <c r="J45" i="26"/>
  <c r="J186" i="26"/>
  <c r="J10" i="26"/>
  <c r="H72" i="2"/>
  <c r="J149" i="26"/>
  <c r="J22" i="26"/>
  <c r="J157" i="26"/>
  <c r="J9" i="26"/>
  <c r="H71" i="2"/>
  <c r="J117" i="26"/>
  <c r="J20" i="26"/>
  <c r="H384" i="3"/>
  <c r="J118" i="26"/>
  <c r="J28" i="26"/>
  <c r="J119" i="26"/>
  <c r="J40" i="26"/>
  <c r="J127" i="26"/>
  <c r="J8" i="26"/>
  <c r="H70" i="2"/>
  <c r="R70" i="2" s="1"/>
  <c r="J107" i="26"/>
  <c r="J81" i="26"/>
  <c r="J32" i="26"/>
  <c r="H389" i="3"/>
  <c r="J82" i="26"/>
  <c r="J34" i="26"/>
  <c r="H377" i="3"/>
  <c r="J83" i="26"/>
  <c r="J90" i="26"/>
  <c r="J7" i="26"/>
  <c r="H69" i="2"/>
  <c r="J13" i="26"/>
  <c r="H75" i="2"/>
  <c r="R75" i="2" s="1"/>
  <c r="J23" i="26"/>
  <c r="J29" i="26"/>
  <c r="J41" i="26"/>
  <c r="J46" i="26"/>
  <c r="J62" i="26"/>
  <c r="J4" i="26"/>
  <c r="J23" i="39"/>
  <c r="H420" i="3"/>
  <c r="J27" i="39"/>
  <c r="H318" i="3"/>
  <c r="J35" i="39"/>
  <c r="H286" i="3"/>
  <c r="J15" i="51"/>
  <c r="H76" i="3"/>
  <c r="J5" i="51"/>
  <c r="H142" i="2"/>
  <c r="R142" i="2" s="1"/>
  <c r="J11" i="51"/>
  <c r="J13" i="45"/>
  <c r="J17" i="45"/>
  <c r="J5" i="46"/>
  <c r="H141" i="2"/>
  <c r="R141" i="2" s="1"/>
  <c r="J19" i="46"/>
  <c r="H292" i="3"/>
  <c r="J11" i="40"/>
  <c r="H75" i="3"/>
  <c r="J5" i="40"/>
  <c r="H136" i="2"/>
  <c r="R136" i="2" s="1"/>
  <c r="J5" i="48"/>
  <c r="H166" i="2"/>
  <c r="R166" i="2" s="1"/>
  <c r="J11" i="52"/>
  <c r="H436" i="2"/>
  <c r="R436" i="2" s="1"/>
  <c r="J17" i="58"/>
  <c r="J5" i="35"/>
  <c r="H133" i="2"/>
  <c r="R133" i="2" s="1"/>
  <c r="J15" i="35"/>
  <c r="H296" i="3"/>
  <c r="J13" i="35"/>
  <c r="H383" i="3"/>
  <c r="J5" i="53"/>
  <c r="H280" i="2"/>
  <c r="R280" i="2" s="1"/>
  <c r="J56" i="57"/>
  <c r="H300" i="3"/>
  <c r="J5" i="62"/>
  <c r="H89" i="2"/>
  <c r="R89" i="2" s="1"/>
  <c r="J13" i="62"/>
  <c r="H101" i="3"/>
  <c r="J15" i="62"/>
  <c r="H173" i="3"/>
  <c r="J12" i="52"/>
  <c r="H437" i="2"/>
  <c r="J29" i="37"/>
  <c r="H155" i="3"/>
  <c r="J19" i="37"/>
  <c r="H74" i="3"/>
  <c r="J14" i="37"/>
  <c r="H261" i="2"/>
  <c r="R261" i="2" s="1"/>
  <c r="J5" i="69"/>
  <c r="H252" i="2"/>
  <c r="R252" i="2" s="1"/>
  <c r="J11" i="69"/>
  <c r="H5" i="3"/>
  <c r="J11" i="67"/>
  <c r="H409" i="3"/>
  <c r="J5" i="67"/>
  <c r="H148" i="2"/>
  <c r="R148" i="2" s="1"/>
  <c r="J15" i="56"/>
  <c r="J13" i="55"/>
  <c r="J5" i="56"/>
  <c r="H151" i="2"/>
  <c r="R151" i="2" s="1"/>
  <c r="J15" i="42"/>
  <c r="J13" i="41"/>
  <c r="J5" i="42"/>
  <c r="H144" i="2"/>
  <c r="R144" i="2" s="1"/>
  <c r="J13" i="36"/>
  <c r="H469" i="3"/>
  <c r="J5" i="36"/>
  <c r="H134" i="2"/>
  <c r="J15" i="36"/>
  <c r="H415" i="3"/>
  <c r="J45" i="39"/>
  <c r="H452" i="3"/>
  <c r="J5" i="41"/>
  <c r="H137" i="2"/>
  <c r="J16" i="63"/>
  <c r="H90" i="2"/>
  <c r="J30" i="49"/>
  <c r="H179" i="3" s="1"/>
  <c r="J10" i="52"/>
  <c r="H435" i="2"/>
  <c r="R435" i="2" s="1"/>
  <c r="J5" i="72"/>
  <c r="H149" i="2"/>
  <c r="R149" i="2" s="1"/>
  <c r="J11" i="72"/>
  <c r="H45" i="3"/>
  <c r="J5" i="58"/>
  <c r="H146" i="2"/>
  <c r="R146" i="2" s="1"/>
  <c r="J5" i="55"/>
  <c r="H145" i="2"/>
  <c r="J5" i="54"/>
  <c r="H143" i="2"/>
  <c r="R143" i="2" s="1"/>
  <c r="J11" i="54"/>
  <c r="H446" i="3"/>
  <c r="H374" i="3"/>
  <c r="J19" i="45"/>
  <c r="H297" i="3"/>
  <c r="J5" i="45"/>
  <c r="H139" i="2"/>
  <c r="R139" i="2" s="1"/>
  <c r="J11" i="44"/>
  <c r="H102" i="3"/>
  <c r="J5" i="44"/>
  <c r="H138" i="2"/>
  <c r="R138" i="2" s="1"/>
  <c r="J8" i="68"/>
  <c r="H168" i="2"/>
  <c r="R168" i="2" s="1"/>
  <c r="J15" i="68"/>
  <c r="H311" i="3"/>
  <c r="J66" i="57"/>
  <c r="H329" i="3"/>
  <c r="J21" i="57"/>
  <c r="H295" i="2"/>
  <c r="J8" i="34"/>
  <c r="H163" i="2"/>
  <c r="R163" i="2" s="1"/>
  <c r="J24" i="33"/>
  <c r="H285" i="3"/>
  <c r="H358" i="3"/>
  <c r="J5" i="47"/>
  <c r="H388" i="2"/>
  <c r="R388" i="2" s="1"/>
  <c r="H424" i="3"/>
  <c r="J16" i="33"/>
  <c r="H361" i="2"/>
  <c r="R361" i="2" s="1"/>
  <c r="J33" i="33"/>
  <c r="H479" i="3"/>
  <c r="J17" i="33"/>
  <c r="H362" i="2"/>
  <c r="J17" i="26"/>
  <c r="H78" i="2"/>
  <c r="R78" i="2" s="1"/>
  <c r="J24" i="26"/>
  <c r="H245" i="3"/>
  <c r="J13" i="72"/>
  <c r="J15" i="69"/>
  <c r="J13" i="69"/>
  <c r="J5" i="68"/>
  <c r="J9" i="68"/>
  <c r="J7" i="68"/>
  <c r="J13" i="67"/>
  <c r="J15" i="67"/>
  <c r="J28" i="63"/>
  <c r="H137" i="3"/>
  <c r="J41" i="63"/>
  <c r="H108" i="3"/>
  <c r="J24" i="63"/>
  <c r="H115" i="3"/>
  <c r="J3" i="63"/>
  <c r="J5" i="63"/>
  <c r="J17" i="63"/>
  <c r="J37" i="63"/>
  <c r="H130" i="3"/>
  <c r="J19" i="58"/>
  <c r="J7" i="56"/>
  <c r="J9" i="56" s="1"/>
  <c r="J15" i="55"/>
  <c r="J13" i="56"/>
  <c r="J52" i="57"/>
  <c r="H283" i="3"/>
  <c r="J70" i="57"/>
  <c r="H133" i="3"/>
  <c r="J30" i="57"/>
  <c r="J40" i="57"/>
  <c r="H363" i="3"/>
  <c r="J34" i="57"/>
  <c r="H97" i="3"/>
  <c r="J3" i="57"/>
  <c r="J5" i="57"/>
  <c r="J22" i="57"/>
  <c r="J44" i="57"/>
  <c r="J15" i="54"/>
  <c r="J13" i="54"/>
  <c r="J6" i="53"/>
  <c r="J19" i="52"/>
  <c r="H457" i="3"/>
  <c r="J23" i="52"/>
  <c r="H259" i="3"/>
  <c r="J37" i="52"/>
  <c r="H526" i="3"/>
  <c r="J7" i="52"/>
  <c r="J13" i="52"/>
  <c r="J9" i="52"/>
  <c r="J43" i="52"/>
  <c r="J20" i="49"/>
  <c r="H263" i="3" s="1"/>
  <c r="J17" i="46"/>
  <c r="J15" i="46"/>
  <c r="J13" i="44"/>
  <c r="J15" i="44"/>
  <c r="J52" i="43"/>
  <c r="H184" i="3" s="1"/>
  <c r="J13" i="40"/>
  <c r="J15" i="40"/>
  <c r="J81" i="39"/>
  <c r="H171" i="3"/>
  <c r="J39" i="37"/>
  <c r="H385" i="3"/>
  <c r="J23" i="37"/>
  <c r="H472" i="3"/>
  <c r="J25" i="34"/>
  <c r="H487" i="3"/>
  <c r="J29" i="34"/>
  <c r="J5" i="34"/>
  <c r="J9" i="34"/>
  <c r="J7" i="34"/>
  <c r="J31" i="34"/>
  <c r="J44" i="33"/>
  <c r="H315" i="3"/>
  <c r="J37" i="33"/>
  <c r="H190" i="3"/>
  <c r="J28" i="33"/>
  <c r="J3" i="33"/>
  <c r="J15" i="33"/>
  <c r="J43" i="26"/>
  <c r="H426" i="3"/>
  <c r="J30" i="26"/>
  <c r="H482" i="3"/>
  <c r="J47" i="26"/>
  <c r="H441" i="3"/>
  <c r="J204" i="25"/>
  <c r="J26" i="25" s="1"/>
  <c r="H196" i="2"/>
  <c r="R196" i="2" s="1"/>
  <c r="J165" i="25"/>
  <c r="J21" i="25" s="1"/>
  <c r="J22" i="25" s="1"/>
  <c r="H514" i="3" s="1"/>
  <c r="J172" i="25"/>
  <c r="J130" i="25"/>
  <c r="J131" i="25"/>
  <c r="J25" i="25" s="1"/>
  <c r="J138" i="25"/>
  <c r="J8" i="25"/>
  <c r="H194" i="2"/>
  <c r="R194" i="2" s="1"/>
  <c r="J99" i="25"/>
  <c r="J14" i="25" s="1"/>
  <c r="J16" i="25" s="1"/>
  <c r="H379" i="3" s="1"/>
  <c r="J106" i="25"/>
  <c r="J7" i="25"/>
  <c r="H193" i="2" s="1"/>
  <c r="R193" i="2" s="1"/>
  <c r="J75" i="25"/>
  <c r="J20" i="25"/>
  <c r="J76" i="25"/>
  <c r="J24" i="25" s="1"/>
  <c r="J77" i="25"/>
  <c r="J31" i="25" s="1"/>
  <c r="H523" i="3" s="1"/>
  <c r="J84" i="25"/>
  <c r="J6" i="25" s="1"/>
  <c r="H192" i="2" s="1"/>
  <c r="R192" i="2" s="1"/>
  <c r="J9" i="25"/>
  <c r="H195" i="2" s="1"/>
  <c r="R195" i="2" s="1"/>
  <c r="J18" i="25"/>
  <c r="H474" i="3" s="1"/>
  <c r="J42" i="25"/>
  <c r="J5" i="25" s="1"/>
  <c r="J3" i="24"/>
  <c r="J7" i="24"/>
  <c r="J9" i="24"/>
  <c r="J11" i="24"/>
  <c r="H43" i="3"/>
  <c r="J199" i="23"/>
  <c r="J179" i="23"/>
  <c r="J10" i="23" s="1"/>
  <c r="H431" i="3" s="1"/>
  <c r="J180" i="23"/>
  <c r="J12" i="23" s="1"/>
  <c r="J181" i="23"/>
  <c r="J14" i="23" s="1"/>
  <c r="H339" i="3" s="1"/>
  <c r="J182" i="23"/>
  <c r="J16" i="23" s="1"/>
  <c r="H138" i="3" s="1"/>
  <c r="J183" i="23"/>
  <c r="J18" i="23" s="1"/>
  <c r="J184" i="23"/>
  <c r="J22" i="23" s="1"/>
  <c r="H281" i="3" s="1"/>
  <c r="J192" i="23"/>
  <c r="J4" i="23" s="1"/>
  <c r="H338" i="2" s="1"/>
  <c r="R338" i="2" s="1"/>
  <c r="J126" i="23"/>
  <c r="J105" i="23"/>
  <c r="J96" i="23"/>
  <c r="J73" i="23"/>
  <c r="J59" i="23"/>
  <c r="J54" i="23"/>
  <c r="J44" i="23"/>
  <c r="J19" i="23"/>
  <c r="J35" i="23"/>
  <c r="J3" i="23"/>
  <c r="H337" i="2" s="1"/>
  <c r="J3" i="20"/>
  <c r="H158" i="2"/>
  <c r="R158" i="2" s="1"/>
  <c r="J3" i="21"/>
  <c r="J7" i="21"/>
  <c r="J9" i="21" s="1"/>
  <c r="H516" i="3" s="1"/>
  <c r="J8" i="21"/>
  <c r="J11" i="21"/>
  <c r="H486" i="3"/>
  <c r="J217" i="19"/>
  <c r="J25" i="19"/>
  <c r="H254" i="3"/>
  <c r="J218" i="19"/>
  <c r="J33" i="19"/>
  <c r="J181" i="19"/>
  <c r="J183" i="19"/>
  <c r="J13" i="19"/>
  <c r="H202" i="3"/>
  <c r="J184" i="19"/>
  <c r="J20" i="19"/>
  <c r="J185" i="19"/>
  <c r="J23" i="19"/>
  <c r="H371" i="3"/>
  <c r="J186" i="19"/>
  <c r="J30" i="19"/>
  <c r="J187" i="19"/>
  <c r="J34" i="19"/>
  <c r="J194" i="19"/>
  <c r="J5" i="19"/>
  <c r="J176" i="19"/>
  <c r="J170" i="19"/>
  <c r="J151" i="19"/>
  <c r="J139" i="19"/>
  <c r="J134" i="19"/>
  <c r="J128" i="19"/>
  <c r="J125" i="19"/>
  <c r="J107" i="19"/>
  <c r="J15" i="19" s="1"/>
  <c r="J108" i="19"/>
  <c r="J17" i="19" s="1"/>
  <c r="H110" i="3" s="1"/>
  <c r="J109" i="19"/>
  <c r="J110" i="19"/>
  <c r="J27" i="19" s="1"/>
  <c r="H178" i="3" s="1"/>
  <c r="J111" i="19"/>
  <c r="J29" i="19" s="1"/>
  <c r="J31" i="19" s="1"/>
  <c r="H405" i="3" s="1"/>
  <c r="J118" i="19"/>
  <c r="J4" i="19"/>
  <c r="J77" i="19"/>
  <c r="J56" i="19"/>
  <c r="J19" i="19"/>
  <c r="J21" i="19" s="1"/>
  <c r="H302" i="3" s="1"/>
  <c r="J49" i="19"/>
  <c r="J3" i="19" s="1"/>
  <c r="J32" i="13"/>
  <c r="J36" i="13"/>
  <c r="J19" i="13"/>
  <c r="H33" i="3" s="1"/>
  <c r="J25" i="13"/>
  <c r="J11" i="13"/>
  <c r="H13" i="2" s="1"/>
  <c r="R13" i="2" s="1"/>
  <c r="J169" i="13"/>
  <c r="J22" i="13" s="1"/>
  <c r="J10" i="13"/>
  <c r="H12" i="2" s="1"/>
  <c r="R12" i="2" s="1"/>
  <c r="J135" i="13"/>
  <c r="J21" i="13" s="1"/>
  <c r="J136" i="13"/>
  <c r="J35" i="13" s="1"/>
  <c r="J143" i="13"/>
  <c r="J9" i="13" s="1"/>
  <c r="H11" i="2" s="1"/>
  <c r="R11" i="2" s="1"/>
  <c r="J106" i="13"/>
  <c r="J17" i="13" s="1"/>
  <c r="H193" i="3" s="1"/>
  <c r="J107" i="13"/>
  <c r="J31" i="13" s="1"/>
  <c r="J114" i="13"/>
  <c r="J8" i="13" s="1"/>
  <c r="J26" i="13"/>
  <c r="J29" i="13"/>
  <c r="H346" i="3" s="1"/>
  <c r="J90" i="13"/>
  <c r="J7" i="13" s="1"/>
  <c r="H9" i="2" s="1"/>
  <c r="R9" i="2" s="1"/>
  <c r="J59" i="13"/>
  <c r="J4" i="13"/>
  <c r="J174" i="18"/>
  <c r="J13" i="18"/>
  <c r="J175" i="18"/>
  <c r="J17" i="18"/>
  <c r="J176" i="18"/>
  <c r="J21" i="18"/>
  <c r="J177" i="18"/>
  <c r="J26" i="18"/>
  <c r="H160" i="3"/>
  <c r="J137" i="18"/>
  <c r="J16" i="18"/>
  <c r="J144" i="18"/>
  <c r="J8" i="18"/>
  <c r="H250" i="2"/>
  <c r="R250" i="2" s="1"/>
  <c r="J115" i="18"/>
  <c r="J24" i="18"/>
  <c r="H312" i="3"/>
  <c r="J123" i="18"/>
  <c r="J7" i="18"/>
  <c r="H249" i="2"/>
  <c r="R249" i="2" s="1"/>
  <c r="J12" i="18"/>
  <c r="J14" i="18"/>
  <c r="H41" i="3"/>
  <c r="J88" i="18"/>
  <c r="J6" i="18"/>
  <c r="H248" i="2"/>
  <c r="J74" i="18"/>
  <c r="J20" i="18"/>
  <c r="J65" i="18"/>
  <c r="J5" i="18"/>
  <c r="H247" i="2"/>
  <c r="R247" i="2" s="1"/>
  <c r="J3" i="15"/>
  <c r="J7" i="15"/>
  <c r="H412" i="3"/>
  <c r="J9" i="15"/>
  <c r="J11" i="15"/>
  <c r="H403" i="3"/>
  <c r="J17" i="15"/>
  <c r="J18" i="15"/>
  <c r="J3" i="16"/>
  <c r="H147" i="2"/>
  <c r="J7" i="16"/>
  <c r="H197" i="3"/>
  <c r="J9" i="16"/>
  <c r="J12" i="16"/>
  <c r="J19" i="16"/>
  <c r="J5" i="17"/>
  <c r="H347" i="3"/>
  <c r="H67" i="3"/>
  <c r="H24" i="3"/>
  <c r="J3" i="12"/>
  <c r="J6" i="12"/>
  <c r="H61" i="3"/>
  <c r="J12" i="12"/>
  <c r="J3" i="14"/>
  <c r="J7" i="14"/>
  <c r="J9" i="14" s="1"/>
  <c r="J8" i="14"/>
  <c r="J11" i="14"/>
  <c r="H20" i="3"/>
  <c r="J15" i="14"/>
  <c r="H128" i="2"/>
  <c r="R128" i="2" s="1"/>
  <c r="H466" i="3"/>
  <c r="H450" i="3"/>
  <c r="J3" i="11"/>
  <c r="J7" i="11"/>
  <c r="J10" i="11"/>
  <c r="J13" i="11"/>
  <c r="H226" i="3"/>
  <c r="J15" i="11"/>
  <c r="J17" i="11"/>
  <c r="J239" i="9"/>
  <c r="J20" i="9"/>
  <c r="J240" i="9"/>
  <c r="J241" i="9"/>
  <c r="J30" i="9"/>
  <c r="J242" i="9"/>
  <c r="J45" i="9"/>
  <c r="J204" i="9"/>
  <c r="J23" i="9"/>
  <c r="J205" i="9"/>
  <c r="J212" i="9"/>
  <c r="J8" i="9"/>
  <c r="J170" i="9"/>
  <c r="J27" i="9"/>
  <c r="H48" i="3"/>
  <c r="J171" i="9"/>
  <c r="J34" i="9"/>
  <c r="J172" i="9"/>
  <c r="J179" i="9"/>
  <c r="J7" i="9"/>
  <c r="J130" i="9"/>
  <c r="J37" i="9"/>
  <c r="H71" i="3"/>
  <c r="J131" i="9"/>
  <c r="J138" i="9"/>
  <c r="J6" i="9"/>
  <c r="J105" i="9"/>
  <c r="J29" i="9"/>
  <c r="J106" i="9"/>
  <c r="J33" i="9"/>
  <c r="J113" i="9"/>
  <c r="J79" i="9"/>
  <c r="J19" i="9"/>
  <c r="J80" i="9"/>
  <c r="J39" i="9"/>
  <c r="J87" i="9"/>
  <c r="J4" i="9"/>
  <c r="J5" i="9"/>
  <c r="J24" i="9"/>
  <c r="J40" i="9"/>
  <c r="J41" i="9"/>
  <c r="J44" i="9"/>
  <c r="J59" i="9"/>
  <c r="J3" i="9"/>
  <c r="H239" i="2"/>
  <c r="R239" i="2" s="1"/>
  <c r="J162" i="7"/>
  <c r="J15" i="7" s="1"/>
  <c r="J163" i="7"/>
  <c r="J17" i="7" s="1"/>
  <c r="J19" i="7" s="1"/>
  <c r="H440" i="3" s="1"/>
  <c r="J131" i="7"/>
  <c r="J18" i="7"/>
  <c r="J132" i="7"/>
  <c r="J22" i="7" s="1"/>
  <c r="J133" i="7"/>
  <c r="J26" i="7" s="1"/>
  <c r="J134" i="7"/>
  <c r="J29" i="7"/>
  <c r="H95" i="3" s="1"/>
  <c r="J141" i="7"/>
  <c r="J5" i="7"/>
  <c r="J120" i="7"/>
  <c r="J103" i="7"/>
  <c r="J96" i="7"/>
  <c r="J83" i="7"/>
  <c r="J13" i="7"/>
  <c r="H348" i="3" s="1"/>
  <c r="J84" i="7"/>
  <c r="J85" i="7"/>
  <c r="J25" i="7"/>
  <c r="J27" i="7" s="1"/>
  <c r="H13" i="3" s="1"/>
  <c r="J92" i="7"/>
  <c r="J4" i="7" s="1"/>
  <c r="J69" i="7"/>
  <c r="J61" i="7"/>
  <c r="J58" i="7"/>
  <c r="J55" i="7"/>
  <c r="J50" i="7"/>
  <c r="J21" i="7"/>
  <c r="J23" i="7" s="1"/>
  <c r="H27" i="3" s="1"/>
  <c r="J43" i="7"/>
  <c r="J3" i="7" s="1"/>
  <c r="J3" i="6"/>
  <c r="J5" i="6" s="1"/>
  <c r="J7" i="6"/>
  <c r="J9" i="6"/>
  <c r="H355" i="3" s="1"/>
  <c r="J3" i="5"/>
  <c r="J7" i="5"/>
  <c r="J9" i="5"/>
  <c r="J11" i="5"/>
  <c r="H116" i="3"/>
  <c r="J3" i="4"/>
  <c r="J7" i="4"/>
  <c r="J9" i="4"/>
  <c r="J11" i="8"/>
  <c r="J15" i="4"/>
  <c r="J3" i="8"/>
  <c r="H140" i="2"/>
  <c r="J7" i="8"/>
  <c r="J9" i="8"/>
  <c r="H238" i="3"/>
  <c r="J12" i="8"/>
  <c r="J10" i="4"/>
  <c r="H556" i="3"/>
  <c r="R69" i="2"/>
  <c r="R72" i="2"/>
  <c r="R73" i="2"/>
  <c r="R82" i="2"/>
  <c r="R90" i="2"/>
  <c r="R104" i="2"/>
  <c r="R111" i="2"/>
  <c r="R134" i="2"/>
  <c r="R137" i="2"/>
  <c r="R140" i="2"/>
  <c r="R145" i="2"/>
  <c r="R147" i="2"/>
  <c r="R153" i="2"/>
  <c r="R156" i="2"/>
  <c r="R167" i="2"/>
  <c r="R169" i="2"/>
  <c r="R200" i="2"/>
  <c r="R204" i="2"/>
  <c r="R207" i="2"/>
  <c r="R208" i="2"/>
  <c r="R229" i="2"/>
  <c r="R276" i="2"/>
  <c r="R285" i="2"/>
  <c r="R290" i="2"/>
  <c r="R295" i="2"/>
  <c r="R333" i="2"/>
  <c r="R354" i="2"/>
  <c r="R357" i="2"/>
  <c r="R358" i="2"/>
  <c r="R362" i="2"/>
  <c r="R422" i="2"/>
  <c r="R424" i="2"/>
  <c r="R426" i="2"/>
  <c r="R427" i="2"/>
  <c r="R437" i="2"/>
  <c r="R458" i="2"/>
  <c r="R459" i="2"/>
  <c r="R460" i="2"/>
  <c r="R461" i="2"/>
  <c r="H462" i="2"/>
  <c r="R462" i="2" s="1"/>
  <c r="J13" i="9"/>
  <c r="H241" i="2"/>
  <c r="R241" i="2" s="1"/>
  <c r="H240" i="2"/>
  <c r="R240" i="2" s="1"/>
  <c r="J35" i="9"/>
  <c r="H246" i="3"/>
  <c r="J87" i="39"/>
  <c r="J13" i="21"/>
  <c r="J5" i="21"/>
  <c r="H157" i="2"/>
  <c r="R157" i="2" s="1"/>
  <c r="J6" i="20"/>
  <c r="J7" i="20" s="1"/>
  <c r="J16" i="12"/>
  <c r="J17" i="14"/>
  <c r="J13" i="12"/>
  <c r="J14" i="12" s="1"/>
  <c r="J22" i="12" s="1"/>
  <c r="J5" i="14"/>
  <c r="H131" i="2"/>
  <c r="R131" i="2" s="1"/>
  <c r="J78" i="57"/>
  <c r="H187" i="2"/>
  <c r="R187" i="2" s="1"/>
  <c r="J10" i="19"/>
  <c r="J9" i="19"/>
  <c r="H186" i="2"/>
  <c r="J16" i="9"/>
  <c r="H244" i="2"/>
  <c r="R244" i="2" s="1"/>
  <c r="J21" i="9"/>
  <c r="H106" i="3"/>
  <c r="J42" i="9"/>
  <c r="H243" i="3"/>
  <c r="J15" i="9"/>
  <c r="H243" i="2"/>
  <c r="R243" i="2" s="1"/>
  <c r="J14" i="9"/>
  <c r="H242" i="2"/>
  <c r="R242" i="2" s="1"/>
  <c r="J46" i="9"/>
  <c r="H104" i="3"/>
  <c r="H273" i="3"/>
  <c r="J11" i="6"/>
  <c r="H521" i="3"/>
  <c r="H331" i="2"/>
  <c r="J5" i="24"/>
  <c r="H132" i="2"/>
  <c r="R132" i="2" s="1"/>
  <c r="J15" i="24"/>
  <c r="H17" i="3"/>
  <c r="J13" i="24"/>
  <c r="H105" i="3"/>
  <c r="J10" i="7"/>
  <c r="H6" i="2"/>
  <c r="R6" i="2" s="1"/>
  <c r="J45" i="52"/>
  <c r="J41" i="52"/>
  <c r="J21" i="16"/>
  <c r="H443" i="3"/>
  <c r="J5" i="16"/>
  <c r="J15" i="15"/>
  <c r="J19" i="15"/>
  <c r="J25" i="15" s="1"/>
  <c r="J13" i="15"/>
  <c r="J17" i="8"/>
  <c r="H60" i="3"/>
  <c r="J13" i="4"/>
  <c r="J5" i="8"/>
  <c r="J13" i="8"/>
  <c r="J19" i="11"/>
  <c r="H500" i="3"/>
  <c r="J5" i="11"/>
  <c r="H135" i="2"/>
  <c r="R135" i="2" s="1"/>
  <c r="J5" i="15"/>
  <c r="H130" i="2"/>
  <c r="R130" i="2" s="1"/>
  <c r="J17" i="16"/>
  <c r="H470" i="3"/>
  <c r="J5" i="12"/>
  <c r="H129" i="2"/>
  <c r="R129" i="2" s="1"/>
  <c r="J13" i="14"/>
  <c r="H100" i="3"/>
  <c r="J17" i="4"/>
  <c r="H174" i="3"/>
  <c r="J5" i="4"/>
  <c r="H126" i="2"/>
  <c r="R126" i="2" s="1"/>
  <c r="J15" i="5"/>
  <c r="H186" i="3"/>
  <c r="J13" i="5"/>
  <c r="H118" i="3"/>
  <c r="J5" i="5"/>
  <c r="H127" i="2"/>
  <c r="J19" i="68"/>
  <c r="J23" i="68"/>
  <c r="J21" i="68"/>
  <c r="J76" i="57"/>
  <c r="H18" i="3"/>
  <c r="J74" i="57"/>
  <c r="H364" i="3"/>
  <c r="J27" i="34"/>
  <c r="J52" i="33"/>
  <c r="J50" i="33"/>
  <c r="J48" i="33"/>
  <c r="H370" i="3"/>
  <c r="H299" i="3"/>
  <c r="J22" i="18"/>
  <c r="H89" i="3"/>
  <c r="J47" i="63"/>
  <c r="J45" i="63"/>
  <c r="J43" i="63"/>
  <c r="J20" i="57"/>
  <c r="J6" i="33"/>
  <c r="J18" i="33"/>
  <c r="J17" i="24"/>
  <c r="J35" i="19"/>
  <c r="H353" i="3"/>
  <c r="J18" i="18"/>
  <c r="H151" i="3"/>
  <c r="J3" i="18"/>
  <c r="J10" i="18"/>
  <c r="J32" i="18"/>
  <c r="J11" i="16"/>
  <c r="J13" i="16"/>
  <c r="H316" i="3" s="1"/>
  <c r="J21" i="15"/>
  <c r="J15" i="16"/>
  <c r="J15" i="17"/>
  <c r="J18" i="12"/>
  <c r="J9" i="11"/>
  <c r="J11" i="11" s="1"/>
  <c r="J25" i="9"/>
  <c r="J31" i="9"/>
  <c r="H256" i="3"/>
  <c r="J9" i="9"/>
  <c r="J17" i="9"/>
  <c r="J11" i="9"/>
  <c r="J13" i="6"/>
  <c r="J15" i="6"/>
  <c r="J17" i="5"/>
  <c r="J15" i="8"/>
  <c r="J11" i="4"/>
  <c r="H367" i="3" s="1"/>
  <c r="E259" i="74"/>
  <c r="F259" i="74"/>
  <c r="G259" i="74"/>
  <c r="G28" i="74"/>
  <c r="H259" i="74"/>
  <c r="I259" i="74"/>
  <c r="D259" i="74"/>
  <c r="E260" i="74"/>
  <c r="F260" i="74"/>
  <c r="G260" i="74"/>
  <c r="H260" i="74"/>
  <c r="I260" i="74"/>
  <c r="I36" i="74"/>
  <c r="I37" i="74"/>
  <c r="G163" i="3"/>
  <c r="D260" i="74"/>
  <c r="E230" i="74"/>
  <c r="F230" i="74"/>
  <c r="G230" i="74"/>
  <c r="H230" i="74"/>
  <c r="I230" i="74"/>
  <c r="D230" i="74"/>
  <c r="I255" i="74"/>
  <c r="H255" i="74"/>
  <c r="G255" i="74"/>
  <c r="F255" i="74"/>
  <c r="E255" i="74"/>
  <c r="D255" i="74"/>
  <c r="I251" i="74"/>
  <c r="H251" i="74"/>
  <c r="G251" i="74"/>
  <c r="F251" i="74"/>
  <c r="E251" i="74"/>
  <c r="D251" i="74"/>
  <c r="E242" i="74"/>
  <c r="F242" i="74"/>
  <c r="G242" i="74"/>
  <c r="H242" i="74"/>
  <c r="I242" i="74"/>
  <c r="D242" i="74"/>
  <c r="D9" i="97"/>
  <c r="D13" i="97" s="1"/>
  <c r="E9" i="97"/>
  <c r="F9" i="97"/>
  <c r="G9" i="97"/>
  <c r="H9" i="97"/>
  <c r="H13" i="97" s="1"/>
  <c r="I5" i="97"/>
  <c r="I41" i="97"/>
  <c r="H41" i="97"/>
  <c r="G41" i="97"/>
  <c r="F41" i="97"/>
  <c r="E41" i="97"/>
  <c r="D41" i="97"/>
  <c r="I35" i="97"/>
  <c r="H35" i="97"/>
  <c r="G35" i="97"/>
  <c r="F35" i="97"/>
  <c r="E35" i="97"/>
  <c r="D35" i="97"/>
  <c r="E25" i="97"/>
  <c r="F25" i="97"/>
  <c r="G25" i="97"/>
  <c r="H25" i="97"/>
  <c r="I25" i="97"/>
  <c r="D25" i="97"/>
  <c r="I9" i="16"/>
  <c r="I7" i="16"/>
  <c r="I185" i="19"/>
  <c r="I134" i="19"/>
  <c r="E276" i="30"/>
  <c r="F276" i="30"/>
  <c r="G276" i="30"/>
  <c r="H276" i="30"/>
  <c r="I276" i="30"/>
  <c r="D276" i="30"/>
  <c r="E275" i="30"/>
  <c r="F275" i="30"/>
  <c r="G275" i="30"/>
  <c r="H275" i="30"/>
  <c r="I275" i="30"/>
  <c r="I21" i="30"/>
  <c r="D275" i="30"/>
  <c r="E255" i="30"/>
  <c r="F255" i="30"/>
  <c r="G255" i="30"/>
  <c r="H255" i="30"/>
  <c r="I255" i="30"/>
  <c r="D255" i="30"/>
  <c r="E264" i="30"/>
  <c r="F264" i="30"/>
  <c r="G264" i="30"/>
  <c r="H264" i="30"/>
  <c r="I264" i="30"/>
  <c r="D264" i="30"/>
  <c r="I110" i="74"/>
  <c r="D298" i="74"/>
  <c r="E298" i="74"/>
  <c r="F298" i="74"/>
  <c r="G298" i="74"/>
  <c r="H298" i="74"/>
  <c r="D299" i="74"/>
  <c r="E299" i="74"/>
  <c r="F299" i="74"/>
  <c r="G299" i="74"/>
  <c r="H299" i="74"/>
  <c r="H32" i="74"/>
  <c r="F215" i="3"/>
  <c r="I299" i="74"/>
  <c r="I298" i="74"/>
  <c r="E267" i="74"/>
  <c r="F267" i="74"/>
  <c r="F11" i="74"/>
  <c r="D117" i="2"/>
  <c r="N117" i="2" s="1"/>
  <c r="G267" i="74"/>
  <c r="H267" i="74"/>
  <c r="I267" i="74"/>
  <c r="D267" i="74"/>
  <c r="I294" i="74"/>
  <c r="H294" i="74"/>
  <c r="G294" i="74"/>
  <c r="F294" i="74"/>
  <c r="E294" i="74"/>
  <c r="D294" i="74"/>
  <c r="E278" i="74"/>
  <c r="F278" i="74"/>
  <c r="G278" i="74"/>
  <c r="H278" i="74"/>
  <c r="I278" i="74"/>
  <c r="D278" i="74"/>
  <c r="D177" i="74"/>
  <c r="E177" i="74"/>
  <c r="F177" i="74"/>
  <c r="G177" i="74"/>
  <c r="G23" i="74"/>
  <c r="E330" i="3"/>
  <c r="H177" i="74"/>
  <c r="D178" i="74"/>
  <c r="E178" i="74"/>
  <c r="F178" i="74"/>
  <c r="F35" i="74"/>
  <c r="F37" i="74"/>
  <c r="D163" i="3"/>
  <c r="G178" i="74"/>
  <c r="H178" i="74"/>
  <c r="I178" i="74"/>
  <c r="I177" i="74"/>
  <c r="I23" i="74"/>
  <c r="G330" i="3"/>
  <c r="E150" i="74"/>
  <c r="F150" i="74"/>
  <c r="G150" i="74"/>
  <c r="H150" i="74"/>
  <c r="I150" i="74"/>
  <c r="D150" i="74"/>
  <c r="I173" i="74"/>
  <c r="H173" i="74"/>
  <c r="G173" i="74"/>
  <c r="F173" i="74"/>
  <c r="E173" i="74"/>
  <c r="D173" i="74"/>
  <c r="I169" i="74"/>
  <c r="H169" i="74"/>
  <c r="G169" i="74"/>
  <c r="F169" i="74"/>
  <c r="E169" i="74"/>
  <c r="D169" i="74"/>
  <c r="E153" i="74"/>
  <c r="F153" i="74"/>
  <c r="G153" i="74"/>
  <c r="H153" i="74"/>
  <c r="I153" i="74"/>
  <c r="D153" i="74"/>
  <c r="E237" i="63"/>
  <c r="F237" i="63"/>
  <c r="G237" i="63"/>
  <c r="H237" i="63"/>
  <c r="I237" i="63"/>
  <c r="D237" i="63"/>
  <c r="E277" i="63"/>
  <c r="F277" i="63"/>
  <c r="G277" i="63"/>
  <c r="H277" i="63"/>
  <c r="I277" i="63"/>
  <c r="D277" i="63"/>
  <c r="I11" i="62"/>
  <c r="I9" i="62"/>
  <c r="I7" i="62"/>
  <c r="H11" i="62"/>
  <c r="G11" i="62"/>
  <c r="F11" i="62"/>
  <c r="E11" i="62"/>
  <c r="D11" i="62"/>
  <c r="H9" i="62"/>
  <c r="G9" i="62"/>
  <c r="F9" i="62"/>
  <c r="E9" i="62"/>
  <c r="D9" i="62"/>
  <c r="H7" i="62"/>
  <c r="G7" i="62"/>
  <c r="F7" i="62"/>
  <c r="E7" i="62"/>
  <c r="D7" i="62"/>
  <c r="D213" i="38"/>
  <c r="D77" i="38" s="1"/>
  <c r="E213" i="38"/>
  <c r="E77" i="38" s="1"/>
  <c r="F213" i="38"/>
  <c r="F77" i="38" s="1"/>
  <c r="G213" i="38"/>
  <c r="G77" i="38" s="1"/>
  <c r="H213" i="38"/>
  <c r="H77" i="38" s="1"/>
  <c r="I213" i="38"/>
  <c r="E178" i="38"/>
  <c r="E9" i="38" s="1"/>
  <c r="C19" i="2" s="1"/>
  <c r="M19" i="2" s="1"/>
  <c r="F178" i="38"/>
  <c r="F9" i="38" s="1"/>
  <c r="D19" i="2" s="1"/>
  <c r="N19" i="2" s="1"/>
  <c r="G178" i="38"/>
  <c r="G9" i="38" s="1"/>
  <c r="E19" i="2" s="1"/>
  <c r="O19" i="2" s="1"/>
  <c r="H178" i="38"/>
  <c r="H9" i="38" s="1"/>
  <c r="F19" i="2" s="1"/>
  <c r="P19" i="2" s="1"/>
  <c r="I178" i="38"/>
  <c r="D178" i="38"/>
  <c r="D212" i="38"/>
  <c r="D29" i="38" s="1"/>
  <c r="B196" i="3" s="1"/>
  <c r="K196" i="3" s="1"/>
  <c r="E212" i="38"/>
  <c r="E29" i="38" s="1"/>
  <c r="C196" i="3" s="1"/>
  <c r="F212" i="38"/>
  <c r="F29" i="38" s="1"/>
  <c r="D196" i="3" s="1"/>
  <c r="G212" i="38"/>
  <c r="H212" i="38"/>
  <c r="H29" i="38" s="1"/>
  <c r="F196" i="3" s="1"/>
  <c r="I212" i="38"/>
  <c r="I29" i="38" s="1"/>
  <c r="G196" i="3" s="1"/>
  <c r="I201" i="38"/>
  <c r="H201" i="38"/>
  <c r="G201" i="38"/>
  <c r="F201" i="38"/>
  <c r="E201" i="38"/>
  <c r="D201" i="38"/>
  <c r="I192" i="38"/>
  <c r="H192" i="38"/>
  <c r="G192" i="38"/>
  <c r="F192" i="38"/>
  <c r="E192" i="38"/>
  <c r="D192" i="38"/>
  <c r="E188" i="38"/>
  <c r="F188" i="38"/>
  <c r="G188" i="38"/>
  <c r="H188" i="38"/>
  <c r="I188" i="38"/>
  <c r="D188" i="38"/>
  <c r="I215" i="95"/>
  <c r="D525" i="31"/>
  <c r="E525" i="31"/>
  <c r="E30" i="31" s="1"/>
  <c r="F525" i="31"/>
  <c r="F30" i="31" s="1"/>
  <c r="G525" i="31"/>
  <c r="H525" i="31"/>
  <c r="H30" i="31" s="1"/>
  <c r="D526" i="31"/>
  <c r="D48" i="31" s="1"/>
  <c r="E526" i="31"/>
  <c r="F526" i="31"/>
  <c r="F48" i="31" s="1"/>
  <c r="G526" i="31"/>
  <c r="G48" i="31" s="1"/>
  <c r="H526" i="31"/>
  <c r="H48" i="31" s="1"/>
  <c r="D527" i="31"/>
  <c r="E527" i="31"/>
  <c r="E73" i="31" s="1"/>
  <c r="F527" i="31"/>
  <c r="F73" i="31" s="1"/>
  <c r="G527" i="31"/>
  <c r="G73" i="31" s="1"/>
  <c r="H527" i="31"/>
  <c r="H73" i="31" s="1"/>
  <c r="D495" i="31"/>
  <c r="D19" i="31" s="1"/>
  <c r="B222" i="2" s="1"/>
  <c r="L222" i="2" s="1"/>
  <c r="E495" i="31"/>
  <c r="F495" i="31"/>
  <c r="G495" i="31"/>
  <c r="G19" i="31" s="1"/>
  <c r="E222" i="2" s="1"/>
  <c r="O222" i="2" s="1"/>
  <c r="H495" i="31"/>
  <c r="H19" i="31" s="1"/>
  <c r="F222" i="2" s="1"/>
  <c r="P222" i="2" s="1"/>
  <c r="I495" i="31"/>
  <c r="I19" i="31" s="1"/>
  <c r="G222" i="2" s="1"/>
  <c r="Q222" i="2" s="1"/>
  <c r="I525" i="31"/>
  <c r="I217" i="39"/>
  <c r="I218" i="39"/>
  <c r="I219" i="39"/>
  <c r="I8" i="42"/>
  <c r="I11" i="42"/>
  <c r="D472" i="57"/>
  <c r="E472" i="57"/>
  <c r="F472" i="57"/>
  <c r="G472" i="57"/>
  <c r="H472" i="57"/>
  <c r="D473" i="57"/>
  <c r="E473" i="57"/>
  <c r="F473" i="57"/>
  <c r="G473" i="57"/>
  <c r="H473" i="57"/>
  <c r="I473" i="57"/>
  <c r="I472" i="57"/>
  <c r="D301" i="27"/>
  <c r="E301" i="27"/>
  <c r="E44" i="27" s="1"/>
  <c r="F301" i="27"/>
  <c r="F44" i="27" s="1"/>
  <c r="G301" i="27"/>
  <c r="H301" i="27"/>
  <c r="D302" i="27"/>
  <c r="D57" i="27" s="1"/>
  <c r="E302" i="27"/>
  <c r="E57" i="27" s="1"/>
  <c r="F302" i="27"/>
  <c r="G302" i="27"/>
  <c r="H302" i="27"/>
  <c r="I302" i="27"/>
  <c r="I57" i="27" s="1"/>
  <c r="I301" i="27"/>
  <c r="I44" i="27" s="1"/>
  <c r="E277" i="27"/>
  <c r="E12" i="27" s="1"/>
  <c r="C345" i="2" s="1"/>
  <c r="M345" i="2" s="1"/>
  <c r="F277" i="27"/>
  <c r="F12" i="27" s="1"/>
  <c r="D345" i="2" s="1"/>
  <c r="N345" i="2" s="1"/>
  <c r="G277" i="27"/>
  <c r="G12" i="27" s="1"/>
  <c r="E345" i="2" s="1"/>
  <c r="O345" i="2" s="1"/>
  <c r="H277" i="27"/>
  <c r="H12" i="27" s="1"/>
  <c r="F345" i="2" s="1"/>
  <c r="P345" i="2" s="1"/>
  <c r="I277" i="27"/>
  <c r="D277" i="27"/>
  <c r="D12" i="27" s="1"/>
  <c r="B345" i="2" s="1"/>
  <c r="L345" i="2" s="1"/>
  <c r="E290" i="27"/>
  <c r="F290" i="27"/>
  <c r="G290" i="27"/>
  <c r="H290" i="27"/>
  <c r="I290" i="27"/>
  <c r="D290" i="27"/>
  <c r="D113" i="64"/>
  <c r="E113" i="64"/>
  <c r="E16" i="64" s="1"/>
  <c r="F113" i="64"/>
  <c r="G113" i="64"/>
  <c r="G16" i="64" s="1"/>
  <c r="H113" i="64"/>
  <c r="D114" i="64"/>
  <c r="D19" i="64" s="1"/>
  <c r="E114" i="64"/>
  <c r="F114" i="64"/>
  <c r="G114" i="64"/>
  <c r="H114" i="64"/>
  <c r="H19" i="64" s="1"/>
  <c r="D115" i="64"/>
  <c r="E115" i="64"/>
  <c r="E29" i="64" s="1"/>
  <c r="C113" i="3" s="1"/>
  <c r="F115" i="64"/>
  <c r="G115" i="64"/>
  <c r="G29" i="64" s="1"/>
  <c r="E113" i="3" s="1"/>
  <c r="H115" i="64"/>
  <c r="I115" i="64"/>
  <c r="I29" i="64" s="1"/>
  <c r="G113" i="3" s="1"/>
  <c r="I113" i="64"/>
  <c r="I16" i="64" s="1"/>
  <c r="E72" i="64"/>
  <c r="F72" i="64"/>
  <c r="G72" i="64"/>
  <c r="G6" i="64" s="1"/>
  <c r="E94" i="2" s="1"/>
  <c r="O94" i="2" s="1"/>
  <c r="H72" i="64"/>
  <c r="H6" i="64" s="1"/>
  <c r="F94" i="2" s="1"/>
  <c r="P94" i="2" s="1"/>
  <c r="I72" i="64"/>
  <c r="D72" i="64"/>
  <c r="E85" i="64"/>
  <c r="F85" i="64"/>
  <c r="G85" i="64"/>
  <c r="H85" i="64"/>
  <c r="I85" i="64"/>
  <c r="D85" i="64"/>
  <c r="D190" i="57"/>
  <c r="E190" i="57"/>
  <c r="F190" i="57"/>
  <c r="G190" i="57"/>
  <c r="H190" i="57"/>
  <c r="D191" i="57"/>
  <c r="E191" i="57"/>
  <c r="F191" i="57"/>
  <c r="G191" i="57"/>
  <c r="H191" i="57"/>
  <c r="I191" i="57"/>
  <c r="I190" i="57"/>
  <c r="D163" i="57"/>
  <c r="E163" i="57"/>
  <c r="F163" i="57"/>
  <c r="G163" i="57"/>
  <c r="H163" i="57"/>
  <c r="I163" i="57"/>
  <c r="I184" i="57"/>
  <c r="H184" i="57"/>
  <c r="G184" i="57"/>
  <c r="F184" i="57"/>
  <c r="E184" i="57"/>
  <c r="D184" i="57"/>
  <c r="E181" i="57"/>
  <c r="F181" i="57"/>
  <c r="G181" i="57"/>
  <c r="H181" i="57"/>
  <c r="I181" i="57"/>
  <c r="D181" i="57"/>
  <c r="D90" i="29"/>
  <c r="D52" i="29"/>
  <c r="E52" i="29"/>
  <c r="F52" i="29"/>
  <c r="G52" i="29"/>
  <c r="H52" i="29"/>
  <c r="I52" i="29"/>
  <c r="D89" i="29"/>
  <c r="E89" i="29"/>
  <c r="F89" i="29"/>
  <c r="G89" i="29"/>
  <c r="H89" i="29"/>
  <c r="E90" i="29"/>
  <c r="F90" i="29"/>
  <c r="G90" i="29"/>
  <c r="H90" i="29"/>
  <c r="I90" i="29"/>
  <c r="I89" i="29"/>
  <c r="I81" i="29"/>
  <c r="H81" i="29"/>
  <c r="G81" i="29"/>
  <c r="F81" i="29"/>
  <c r="E81" i="29"/>
  <c r="D81" i="29"/>
  <c r="I71" i="29"/>
  <c r="H71" i="29"/>
  <c r="G71" i="29"/>
  <c r="F71" i="29"/>
  <c r="E71" i="29"/>
  <c r="D71" i="29"/>
  <c r="I58" i="29"/>
  <c r="H58" i="29"/>
  <c r="G58" i="29"/>
  <c r="F58" i="29"/>
  <c r="E58" i="29"/>
  <c r="D58" i="29"/>
  <c r="E55" i="29"/>
  <c r="F55" i="29"/>
  <c r="G55" i="29"/>
  <c r="H55" i="29"/>
  <c r="I55" i="29"/>
  <c r="D55" i="29"/>
  <c r="I61" i="61"/>
  <c r="E230" i="87"/>
  <c r="E41" i="87" s="1"/>
  <c r="F230" i="87"/>
  <c r="G230" i="87"/>
  <c r="G41" i="87" s="1"/>
  <c r="H230" i="87"/>
  <c r="H41" i="87" s="1"/>
  <c r="I230" i="87"/>
  <c r="I41" i="87" s="1"/>
  <c r="D230" i="87"/>
  <c r="D41" i="87" s="1"/>
  <c r="I403" i="38"/>
  <c r="D283" i="49"/>
  <c r="E283" i="49"/>
  <c r="F283" i="49"/>
  <c r="G283" i="49"/>
  <c r="H283" i="49"/>
  <c r="I283" i="49"/>
  <c r="D306" i="49"/>
  <c r="E306" i="49"/>
  <c r="F306" i="49"/>
  <c r="G306" i="49"/>
  <c r="H306" i="49"/>
  <c r="H38" i="49" s="1"/>
  <c r="I306" i="49"/>
  <c r="I289" i="49"/>
  <c r="H289" i="49"/>
  <c r="G289" i="49"/>
  <c r="F289" i="49"/>
  <c r="E289" i="49"/>
  <c r="D289" i="49"/>
  <c r="I296" i="49"/>
  <c r="I54" i="27"/>
  <c r="I3" i="86"/>
  <c r="I7" i="86"/>
  <c r="I9" i="86"/>
  <c r="I15" i="86"/>
  <c r="I30" i="86"/>
  <c r="I22" i="86"/>
  <c r="I77" i="37"/>
  <c r="I79" i="37"/>
  <c r="I35" i="37"/>
  <c r="G317" i="3"/>
  <c r="I78" i="37"/>
  <c r="I11" i="86"/>
  <c r="I13" i="86"/>
  <c r="D99" i="71"/>
  <c r="E99" i="71"/>
  <c r="F99" i="71"/>
  <c r="G99" i="71"/>
  <c r="H99" i="71"/>
  <c r="D100" i="71"/>
  <c r="E100" i="71"/>
  <c r="F100" i="71"/>
  <c r="G100" i="71"/>
  <c r="H100" i="71"/>
  <c r="I100" i="71"/>
  <c r="I99" i="71"/>
  <c r="I76" i="71"/>
  <c r="I88" i="71"/>
  <c r="H88" i="71"/>
  <c r="G88" i="71"/>
  <c r="F88" i="71"/>
  <c r="E88" i="71"/>
  <c r="D88" i="71"/>
  <c r="E80" i="71"/>
  <c r="F80" i="71"/>
  <c r="G80" i="71"/>
  <c r="H80" i="71"/>
  <c r="I80" i="71"/>
  <c r="D80" i="71"/>
  <c r="I73" i="96"/>
  <c r="I527" i="31"/>
  <c r="I526" i="31"/>
  <c r="I48" i="31" s="1"/>
  <c r="I49" i="31" s="1"/>
  <c r="G387" i="3" s="1"/>
  <c r="I511" i="31"/>
  <c r="H511" i="31"/>
  <c r="G511" i="31"/>
  <c r="F511" i="31"/>
  <c r="E511" i="31"/>
  <c r="D511" i="31"/>
  <c r="E498" i="31"/>
  <c r="F498" i="31"/>
  <c r="G498" i="31"/>
  <c r="H498" i="31"/>
  <c r="I498" i="31"/>
  <c r="D498" i="31"/>
  <c r="E307" i="49"/>
  <c r="F307" i="49"/>
  <c r="G307" i="49"/>
  <c r="H307" i="49"/>
  <c r="H42" i="49" s="1"/>
  <c r="I307" i="49"/>
  <c r="D307" i="49"/>
  <c r="E308" i="49"/>
  <c r="F308" i="49"/>
  <c r="G308" i="49"/>
  <c r="H308" i="49"/>
  <c r="I308" i="49"/>
  <c r="I50" i="49" s="1"/>
  <c r="D308" i="49"/>
  <c r="H296" i="49"/>
  <c r="G296" i="49"/>
  <c r="F296" i="49"/>
  <c r="E296" i="49"/>
  <c r="D296" i="49"/>
  <c r="I301" i="49"/>
  <c r="H301" i="49"/>
  <c r="G301" i="49"/>
  <c r="F301" i="49"/>
  <c r="E301" i="49"/>
  <c r="D301" i="49"/>
  <c r="I286" i="49"/>
  <c r="H286" i="49"/>
  <c r="G286" i="49"/>
  <c r="F286" i="49"/>
  <c r="E286" i="49"/>
  <c r="D286" i="49"/>
  <c r="D22" i="69"/>
  <c r="E22" i="69"/>
  <c r="F22" i="69"/>
  <c r="G22" i="69"/>
  <c r="H22" i="69"/>
  <c r="D25" i="69"/>
  <c r="E25" i="69"/>
  <c r="F25" i="69"/>
  <c r="G25" i="69"/>
  <c r="H25" i="69"/>
  <c r="D28" i="69"/>
  <c r="E28" i="69"/>
  <c r="F28" i="69"/>
  <c r="G28" i="69"/>
  <c r="H28" i="69"/>
  <c r="D33" i="69"/>
  <c r="E33" i="69"/>
  <c r="F33" i="69"/>
  <c r="G33" i="69"/>
  <c r="H33" i="69"/>
  <c r="D36" i="69"/>
  <c r="E36" i="69"/>
  <c r="F36" i="69"/>
  <c r="G36" i="69"/>
  <c r="H36" i="69"/>
  <c r="D47" i="69"/>
  <c r="E47" i="69"/>
  <c r="F47" i="69"/>
  <c r="G47" i="69"/>
  <c r="H47" i="69"/>
  <c r="D3" i="69"/>
  <c r="E3" i="69"/>
  <c r="F3" i="69"/>
  <c r="G3" i="69"/>
  <c r="H3" i="69"/>
  <c r="D7" i="69"/>
  <c r="E7" i="69"/>
  <c r="F7" i="69"/>
  <c r="G7" i="69"/>
  <c r="H7" i="69"/>
  <c r="D9" i="69"/>
  <c r="E9" i="69"/>
  <c r="F9" i="69"/>
  <c r="G9" i="69"/>
  <c r="H9" i="69"/>
  <c r="I9" i="69"/>
  <c r="I7" i="69"/>
  <c r="I3" i="69"/>
  <c r="I47" i="69"/>
  <c r="I36" i="69"/>
  <c r="I33" i="69"/>
  <c r="I28" i="69"/>
  <c r="I25" i="69"/>
  <c r="I22" i="69"/>
  <c r="D38" i="88"/>
  <c r="E38" i="88"/>
  <c r="F38" i="88"/>
  <c r="G38" i="88"/>
  <c r="H38" i="88"/>
  <c r="D7" i="88"/>
  <c r="E7" i="88"/>
  <c r="F7" i="88"/>
  <c r="G7" i="88"/>
  <c r="H7" i="88"/>
  <c r="D9" i="88"/>
  <c r="E9" i="88"/>
  <c r="F9" i="88"/>
  <c r="G9" i="88"/>
  <c r="H9" i="88"/>
  <c r="I9" i="88"/>
  <c r="G19" i="3" s="1"/>
  <c r="I7" i="88"/>
  <c r="I13" i="88" s="1"/>
  <c r="D3" i="88"/>
  <c r="E3" i="88"/>
  <c r="F3" i="88"/>
  <c r="G3" i="88"/>
  <c r="H3" i="88"/>
  <c r="I3" i="88"/>
  <c r="I38" i="88"/>
  <c r="D8" i="42"/>
  <c r="E8" i="42"/>
  <c r="F8" i="42"/>
  <c r="G8" i="42"/>
  <c r="H8" i="42"/>
  <c r="D11" i="42"/>
  <c r="E11" i="42"/>
  <c r="F11" i="42"/>
  <c r="G11" i="42"/>
  <c r="H11" i="42"/>
  <c r="D3" i="42"/>
  <c r="E3" i="42"/>
  <c r="F3" i="42"/>
  <c r="G3" i="42"/>
  <c r="H3" i="42"/>
  <c r="I3" i="42"/>
  <c r="D44" i="42"/>
  <c r="E44" i="42"/>
  <c r="F44" i="42"/>
  <c r="G44" i="42"/>
  <c r="H44" i="42"/>
  <c r="D39" i="42"/>
  <c r="E39" i="42"/>
  <c r="F39" i="42"/>
  <c r="G39" i="42"/>
  <c r="H39" i="42"/>
  <c r="D24" i="42"/>
  <c r="E24" i="42"/>
  <c r="F24" i="42"/>
  <c r="G24" i="42"/>
  <c r="H24" i="42"/>
  <c r="I44" i="42"/>
  <c r="I39" i="42"/>
  <c r="I24" i="42"/>
  <c r="D7" i="40"/>
  <c r="E7" i="40"/>
  <c r="F7" i="40"/>
  <c r="G7" i="40"/>
  <c r="H7" i="40"/>
  <c r="D9" i="40"/>
  <c r="E9" i="40"/>
  <c r="F9" i="40"/>
  <c r="G9" i="40"/>
  <c r="H9" i="40"/>
  <c r="D3" i="40"/>
  <c r="E3" i="40"/>
  <c r="F3" i="40"/>
  <c r="G3" i="40"/>
  <c r="H3" i="40"/>
  <c r="D37" i="40"/>
  <c r="E37" i="40"/>
  <c r="F37" i="40"/>
  <c r="G37" i="40"/>
  <c r="H37" i="40"/>
  <c r="D34" i="40"/>
  <c r="E34" i="40"/>
  <c r="F34" i="40"/>
  <c r="G34" i="40"/>
  <c r="H34" i="40"/>
  <c r="D24" i="40"/>
  <c r="E24" i="40"/>
  <c r="F24" i="40"/>
  <c r="G24" i="40"/>
  <c r="H24" i="40"/>
  <c r="I3" i="40"/>
  <c r="I5" i="40"/>
  <c r="I9" i="40"/>
  <c r="I7" i="40"/>
  <c r="I37" i="40"/>
  <c r="I34" i="40"/>
  <c r="I24" i="40"/>
  <c r="I13" i="40"/>
  <c r="I15" i="40"/>
  <c r="I11" i="40"/>
  <c r="G544" i="3"/>
  <c r="G562" i="3" s="1"/>
  <c r="G168" i="3"/>
  <c r="I213" i="96"/>
  <c r="I28" i="96"/>
  <c r="I190" i="96"/>
  <c r="I16" i="96"/>
  <c r="G164" i="3"/>
  <c r="I191" i="96"/>
  <c r="I19" i="96"/>
  <c r="I192" i="96"/>
  <c r="I23" i="96"/>
  <c r="I199" i="96"/>
  <c r="I10" i="96"/>
  <c r="I149" i="96"/>
  <c r="I26" i="96"/>
  <c r="G252" i="3"/>
  <c r="I156" i="96"/>
  <c r="I9" i="96"/>
  <c r="G426" i="2"/>
  <c r="Q426" i="2" s="1"/>
  <c r="I125" i="96"/>
  <c r="I18" i="96"/>
  <c r="I132" i="96"/>
  <c r="I8" i="96"/>
  <c r="G425" i="2"/>
  <c r="Q425" i="2" s="1"/>
  <c r="I104" i="96"/>
  <c r="I22" i="96"/>
  <c r="I24" i="96"/>
  <c r="G213" i="3"/>
  <c r="I111" i="96"/>
  <c r="I7" i="96"/>
  <c r="G424" i="2"/>
  <c r="Q424" i="2" s="1"/>
  <c r="I14" i="96"/>
  <c r="G274" i="3"/>
  <c r="I80" i="96"/>
  <c r="I6" i="96"/>
  <c r="G423" i="2"/>
  <c r="Q423" i="2" s="1"/>
  <c r="I41" i="96"/>
  <c r="I5" i="96"/>
  <c r="G422" i="2"/>
  <c r="Q422" i="2" s="1"/>
  <c r="I143" i="61"/>
  <c r="I7" i="61" s="1"/>
  <c r="I144" i="61"/>
  <c r="I9" i="61" s="1"/>
  <c r="G351" i="3" s="1"/>
  <c r="I145" i="61"/>
  <c r="I11" i="61" s="1"/>
  <c r="G345" i="3" s="1"/>
  <c r="I146" i="61"/>
  <c r="I147" i="61"/>
  <c r="I15" i="61" s="1"/>
  <c r="G167" i="3" s="1"/>
  <c r="I137" i="61"/>
  <c r="I111" i="61"/>
  <c r="I92" i="61"/>
  <c r="I75" i="61"/>
  <c r="I71" i="61"/>
  <c r="I41" i="61"/>
  <c r="I13" i="61"/>
  <c r="G294" i="3" s="1"/>
  <c r="I28" i="61"/>
  <c r="I3" i="61" s="1"/>
  <c r="I252" i="95"/>
  <c r="I31" i="95"/>
  <c r="G278" i="3"/>
  <c r="I253" i="95"/>
  <c r="I48" i="95"/>
  <c r="I254" i="95"/>
  <c r="I51" i="95"/>
  <c r="G54" i="3"/>
  <c r="I255" i="95"/>
  <c r="I27" i="95"/>
  <c r="G119" i="3"/>
  <c r="I216" i="95"/>
  <c r="I37" i="95"/>
  <c r="G26" i="3"/>
  <c r="I217" i="95"/>
  <c r="I218" i="95"/>
  <c r="I41" i="95"/>
  <c r="G410" i="3"/>
  <c r="I219" i="95"/>
  <c r="I43" i="95"/>
  <c r="G517" i="3"/>
  <c r="I220" i="95"/>
  <c r="I45" i="95"/>
  <c r="G465" i="3"/>
  <c r="I221" i="95"/>
  <c r="I47" i="95"/>
  <c r="I222" i="95"/>
  <c r="I53" i="95"/>
  <c r="G344" i="3"/>
  <c r="I229" i="95"/>
  <c r="I9" i="95"/>
  <c r="G461" i="2"/>
  <c r="Q461" i="2" s="1"/>
  <c r="I169" i="95"/>
  <c r="I13" i="95"/>
  <c r="G126" i="3"/>
  <c r="I170" i="95"/>
  <c r="I23" i="95"/>
  <c r="G49" i="3"/>
  <c r="I171" i="95"/>
  <c r="I25" i="95"/>
  <c r="G94" i="3"/>
  <c r="I172" i="95"/>
  <c r="I33" i="95"/>
  <c r="G483" i="3"/>
  <c r="I180" i="95"/>
  <c r="I8" i="95"/>
  <c r="G460" i="2"/>
  <c r="Q460" i="2" s="1"/>
  <c r="I163" i="95"/>
  <c r="I133" i="95"/>
  <c r="I21" i="95"/>
  <c r="G132" i="3"/>
  <c r="I134" i="95"/>
  <c r="I29" i="95"/>
  <c r="G361" i="3"/>
  <c r="I141" i="95"/>
  <c r="I102" i="95"/>
  <c r="I15" i="95"/>
  <c r="G349" i="3"/>
  <c r="I103" i="95"/>
  <c r="I17" i="95"/>
  <c r="G418" i="3"/>
  <c r="I104" i="95"/>
  <c r="I19" i="95"/>
  <c r="G407" i="3"/>
  <c r="I105" i="95"/>
  <c r="I35" i="95"/>
  <c r="G338" i="3"/>
  <c r="I106" i="95"/>
  <c r="I55" i="95"/>
  <c r="G271" i="3"/>
  <c r="I114" i="95"/>
  <c r="I6" i="95"/>
  <c r="G458" i="2"/>
  <c r="Q458" i="2" s="1"/>
  <c r="I99" i="95"/>
  <c r="I7" i="95"/>
  <c r="G459" i="2"/>
  <c r="Q459" i="2" s="1"/>
  <c r="I39" i="95"/>
  <c r="G471" i="3"/>
  <c r="I57" i="95"/>
  <c r="G381" i="3"/>
  <c r="I68" i="95"/>
  <c r="I5" i="95"/>
  <c r="G457" i="2"/>
  <c r="Q457" i="2" s="1"/>
  <c r="I257" i="94"/>
  <c r="I28" i="94" s="1"/>
  <c r="I258" i="94"/>
  <c r="I38" i="94" s="1"/>
  <c r="I39" i="94" s="1"/>
  <c r="G140" i="3" s="1"/>
  <c r="I233" i="94"/>
  <c r="I18" i="94" s="1"/>
  <c r="I234" i="94"/>
  <c r="I32" i="94" s="1"/>
  <c r="I235" i="94"/>
  <c r="I35" i="94" s="1"/>
  <c r="G32" i="3" s="1"/>
  <c r="I242" i="94"/>
  <c r="I11" i="94"/>
  <c r="G324" i="2" s="1"/>
  <c r="Q324" i="2" s="1"/>
  <c r="I196" i="94"/>
  <c r="I17" i="94" s="1"/>
  <c r="I197" i="94"/>
  <c r="I31" i="94" s="1"/>
  <c r="I33" i="94" s="1"/>
  <c r="G44" i="3" s="1"/>
  <c r="I205" i="94"/>
  <c r="I10" i="94" s="1"/>
  <c r="G323" i="2" s="1"/>
  <c r="Q323" i="2" s="1"/>
  <c r="I165" i="94"/>
  <c r="I25" i="94"/>
  <c r="G261" i="3" s="1"/>
  <c r="I172" i="94"/>
  <c r="I9" i="94" s="1"/>
  <c r="I140" i="94"/>
  <c r="I16" i="94"/>
  <c r="I141" i="94"/>
  <c r="I23" i="94" s="1"/>
  <c r="G31" i="3" s="1"/>
  <c r="I148" i="94"/>
  <c r="I8" i="94"/>
  <c r="G321" i="2" s="1"/>
  <c r="Q321" i="2" s="1"/>
  <c r="I15" i="94"/>
  <c r="I21" i="94"/>
  <c r="I37" i="94"/>
  <c r="I109" i="94"/>
  <c r="I66" i="94"/>
  <c r="I27" i="94" s="1"/>
  <c r="I29" i="94" s="1"/>
  <c r="G195" i="3" s="1"/>
  <c r="I6" i="94"/>
  <c r="G319" i="2"/>
  <c r="I7" i="94"/>
  <c r="G320" i="2" s="1"/>
  <c r="I50" i="94"/>
  <c r="I5" i="94"/>
  <c r="G318" i="2"/>
  <c r="Q318" i="2" s="1"/>
  <c r="I396" i="93"/>
  <c r="I67" i="93" s="1"/>
  <c r="G519" i="3" s="1"/>
  <c r="I397" i="93"/>
  <c r="I70" i="93" s="1"/>
  <c r="I398" i="93"/>
  <c r="I73" i="93" s="1"/>
  <c r="G527" i="3" s="1"/>
  <c r="I365" i="93"/>
  <c r="I15" i="93" s="1"/>
  <c r="G525" i="3" s="1"/>
  <c r="I366" i="93"/>
  <c r="I57" i="93" s="1"/>
  <c r="G435" i="3" s="1"/>
  <c r="I367" i="93"/>
  <c r="I59" i="93" s="1"/>
  <c r="G432" i="3" s="1"/>
  <c r="I374" i="93"/>
  <c r="I11" i="93" s="1"/>
  <c r="G419" i="2" s="1"/>
  <c r="Q419" i="2" s="1"/>
  <c r="I335" i="93"/>
  <c r="I49" i="93" s="1"/>
  <c r="G56" i="3" s="1"/>
  <c r="I336" i="93"/>
  <c r="I51" i="93" s="1"/>
  <c r="G146" i="3" s="1"/>
  <c r="I343" i="93"/>
  <c r="I10" i="93" s="1"/>
  <c r="G418" i="2" s="1"/>
  <c r="Q418" i="2" s="1"/>
  <c r="I306" i="93"/>
  <c r="I46" i="93" s="1"/>
  <c r="I307" i="93"/>
  <c r="I61" i="93" s="1"/>
  <c r="G491" i="3" s="1"/>
  <c r="I308" i="93"/>
  <c r="I63" i="93" s="1"/>
  <c r="G481" i="3" s="1"/>
  <c r="I309" i="93"/>
  <c r="I65" i="93" s="1"/>
  <c r="G448" i="3" s="1"/>
  <c r="I316" i="93"/>
  <c r="I9" i="93" s="1"/>
  <c r="G417" i="2" s="1"/>
  <c r="Q417" i="2" s="1"/>
  <c r="I269" i="93"/>
  <c r="I41" i="93" s="1"/>
  <c r="G512" i="3" s="1"/>
  <c r="I270" i="93"/>
  <c r="I43" i="93" s="1"/>
  <c r="G520" i="3" s="1"/>
  <c r="I271" i="93"/>
  <c r="I45" i="93" s="1"/>
  <c r="I272" i="93"/>
  <c r="I53" i="93" s="1"/>
  <c r="G366" i="3" s="1"/>
  <c r="I273" i="93"/>
  <c r="I69" i="93" s="1"/>
  <c r="I280" i="93"/>
  <c r="I8" i="93" s="1"/>
  <c r="G416" i="2" s="1"/>
  <c r="Q416" i="2" s="1"/>
  <c r="I234" i="93"/>
  <c r="I35" i="93" s="1"/>
  <c r="G198" i="3" s="1"/>
  <c r="I235" i="93"/>
  <c r="I37" i="93" s="1"/>
  <c r="G239" i="3" s="1"/>
  <c r="I236" i="93"/>
  <c r="I39" i="93" s="1"/>
  <c r="G436" i="3" s="1"/>
  <c r="I243" i="93"/>
  <c r="I7" i="93" s="1"/>
  <c r="G415" i="2" s="1"/>
  <c r="Q415" i="2" s="1"/>
  <c r="I17" i="93"/>
  <c r="G501" i="3" s="1"/>
  <c r="I19" i="93"/>
  <c r="G488" i="3" s="1"/>
  <c r="I21" i="93"/>
  <c r="G159" i="3" s="1"/>
  <c r="I23" i="93"/>
  <c r="G187" i="3" s="1"/>
  <c r="I25" i="93"/>
  <c r="G460" i="3" s="1"/>
  <c r="I27" i="93"/>
  <c r="G337" i="3" s="1"/>
  <c r="I29" i="93"/>
  <c r="G390" i="3" s="1"/>
  <c r="I31" i="93"/>
  <c r="G352" i="3" s="1"/>
  <c r="I33" i="93"/>
  <c r="I55" i="93"/>
  <c r="G236" i="3" s="1"/>
  <c r="I214" i="93"/>
  <c r="I6" i="93" s="1"/>
  <c r="G414" i="2" s="1"/>
  <c r="Q414" i="2" s="1"/>
  <c r="I5" i="93"/>
  <c r="I3" i="21"/>
  <c r="I5" i="21"/>
  <c r="I8" i="21"/>
  <c r="I11" i="21"/>
  <c r="G486" i="3"/>
  <c r="I33" i="32"/>
  <c r="G237" i="3" s="1"/>
  <c r="I31" i="32"/>
  <c r="G320" i="3" s="1"/>
  <c r="I155" i="32"/>
  <c r="I172" i="32"/>
  <c r="I148" i="32"/>
  <c r="I14" i="32"/>
  <c r="I8" i="32"/>
  <c r="G409" i="2"/>
  <c r="Q409" i="2" s="1"/>
  <c r="I109" i="32"/>
  <c r="I90" i="32"/>
  <c r="I20" i="32" s="1"/>
  <c r="I91" i="32"/>
  <c r="I24" i="32" s="1"/>
  <c r="I92" i="32"/>
  <c r="I27" i="32" s="1"/>
  <c r="I29" i="32" s="1"/>
  <c r="G313" i="3" s="1"/>
  <c r="I63" i="32"/>
  <c r="I19" i="32" s="1"/>
  <c r="I64" i="32"/>
  <c r="I23" i="32" s="1"/>
  <c r="I71" i="32"/>
  <c r="I6" i="32" s="1"/>
  <c r="G407" i="2" s="1"/>
  <c r="Q407" i="2" s="1"/>
  <c r="I44" i="32"/>
  <c r="I5" i="32" s="1"/>
  <c r="G188" i="2"/>
  <c r="G28" i="3"/>
  <c r="I3" i="90"/>
  <c r="I5" i="90"/>
  <c r="I7" i="90"/>
  <c r="I9" i="90"/>
  <c r="G506" i="3"/>
  <c r="I11" i="90"/>
  <c r="G242" i="3"/>
  <c r="I222" i="89"/>
  <c r="I22" i="89" s="1"/>
  <c r="G419" i="3" s="1"/>
  <c r="I223" i="89"/>
  <c r="I38" i="89" s="1"/>
  <c r="G305" i="3" s="1"/>
  <c r="I224" i="89"/>
  <c r="I42" i="89" s="1"/>
  <c r="G445" i="3" s="1"/>
  <c r="I187" i="89"/>
  <c r="I25" i="89" s="1"/>
  <c r="I188" i="89"/>
  <c r="I36" i="89" s="1"/>
  <c r="I195" i="89"/>
  <c r="I9" i="89" s="1"/>
  <c r="G178" i="2" s="1"/>
  <c r="Q178" i="2" s="1"/>
  <c r="I159" i="89"/>
  <c r="I34" i="89" s="1"/>
  <c r="G142" i="3" s="1"/>
  <c r="I160" i="89"/>
  <c r="I40" i="89" s="1"/>
  <c r="G161" i="3" s="1"/>
  <c r="I167" i="89"/>
  <c r="I8" i="89" s="1"/>
  <c r="I28" i="89"/>
  <c r="G536" i="3" s="1"/>
  <c r="I30" i="89"/>
  <c r="G528" i="3" s="1"/>
  <c r="I32" i="89"/>
  <c r="G439" i="3" s="1"/>
  <c r="I137" i="89"/>
  <c r="I7" i="89" s="1"/>
  <c r="G176" i="2" s="1"/>
  <c r="Q176" i="2" s="1"/>
  <c r="I79" i="89"/>
  <c r="I14" i="89" s="1"/>
  <c r="G411" i="3" s="1"/>
  <c r="I80" i="89"/>
  <c r="I16" i="89" s="1"/>
  <c r="G476" i="3" s="1"/>
  <c r="I81" i="89"/>
  <c r="I18" i="89" s="1"/>
  <c r="I11" i="65" s="1"/>
  <c r="I82" i="89"/>
  <c r="I24" i="89" s="1"/>
  <c r="I6" i="89"/>
  <c r="G175" i="2" s="1"/>
  <c r="Q175" i="2" s="1"/>
  <c r="I59" i="89"/>
  <c r="I53" i="89"/>
  <c r="I5" i="89" s="1"/>
  <c r="G174" i="2" s="1"/>
  <c r="Q174" i="2" s="1"/>
  <c r="I15" i="88"/>
  <c r="I5" i="86"/>
  <c r="G272" i="3"/>
  <c r="I3" i="85"/>
  <c r="I7" i="85"/>
  <c r="I9" i="85"/>
  <c r="I53" i="87"/>
  <c r="I345" i="87"/>
  <c r="I31" i="87" s="1"/>
  <c r="I346" i="87"/>
  <c r="I44" i="87" s="1"/>
  <c r="G139" i="3" s="1"/>
  <c r="I15" i="87"/>
  <c r="G315" i="2" s="1"/>
  <c r="I306" i="87"/>
  <c r="I20" i="87" s="1"/>
  <c r="I314" i="87"/>
  <c r="I14" i="87" s="1"/>
  <c r="G314" i="2" s="1"/>
  <c r="Q314" i="2" s="1"/>
  <c r="I277" i="87"/>
  <c r="I49" i="87" s="1"/>
  <c r="I284" i="87"/>
  <c r="I13" i="87" s="1"/>
  <c r="G313" i="2" s="1"/>
  <c r="Q313" i="2" s="1"/>
  <c r="I252" i="87"/>
  <c r="I46" i="87" s="1"/>
  <c r="G279" i="3" s="1"/>
  <c r="I259" i="87"/>
  <c r="I12" i="87" s="1"/>
  <c r="G312" i="2" s="1"/>
  <c r="Q312" i="2" s="1"/>
  <c r="I237" i="87"/>
  <c r="I11" i="87" s="1"/>
  <c r="G311" i="2" s="1"/>
  <c r="Q311" i="2" s="1"/>
  <c r="I205" i="87"/>
  <c r="I19" i="87" s="1"/>
  <c r="I206" i="87"/>
  <c r="I25" i="87" s="1"/>
  <c r="I207" i="87"/>
  <c r="I38" i="87" s="1"/>
  <c r="G249" i="3" s="1"/>
  <c r="I214" i="87"/>
  <c r="I10" i="87" s="1"/>
  <c r="G310" i="2" s="1"/>
  <c r="Q310" i="2" s="1"/>
  <c r="I176" i="87"/>
  <c r="I24" i="87" s="1"/>
  <c r="I177" i="87"/>
  <c r="I35" i="87" s="1"/>
  <c r="I184" i="87"/>
  <c r="I9" i="87" s="1"/>
  <c r="G309" i="2" s="1"/>
  <c r="Q309" i="2" s="1"/>
  <c r="I143" i="87"/>
  <c r="I30" i="87" s="1"/>
  <c r="I144" i="87"/>
  <c r="I145" i="87"/>
  <c r="I48" i="87" s="1"/>
  <c r="I146" i="87"/>
  <c r="I52" i="87" s="1"/>
  <c r="I153" i="87"/>
  <c r="I8" i="87" s="1"/>
  <c r="G308" i="2" s="1"/>
  <c r="Q308" i="2" s="1"/>
  <c r="I112" i="87"/>
  <c r="I23" i="87" s="1"/>
  <c r="I119" i="87"/>
  <c r="I7" i="87" s="1"/>
  <c r="G307" i="2" s="1"/>
  <c r="Q307" i="2" s="1"/>
  <c r="I28" i="87"/>
  <c r="G99" i="3" s="1"/>
  <c r="I40" i="87"/>
  <c r="I97" i="87"/>
  <c r="I6" i="87" s="1"/>
  <c r="G306" i="2" s="1"/>
  <c r="Q306" i="2" s="1"/>
  <c r="I34" i="87"/>
  <c r="I36" i="87" s="1"/>
  <c r="G225" i="3" s="1"/>
  <c r="I5" i="87"/>
  <c r="G305" i="2" s="1"/>
  <c r="I284" i="84"/>
  <c r="I31" i="84" s="1"/>
  <c r="I285" i="84"/>
  <c r="I34" i="84" s="1"/>
  <c r="G82" i="3" s="1"/>
  <c r="I21" i="84"/>
  <c r="I30" i="84"/>
  <c r="I259" i="84"/>
  <c r="I11" i="84" s="1"/>
  <c r="G62" i="2" s="1"/>
  <c r="Q62" i="2" s="1"/>
  <c r="I208" i="84"/>
  <c r="I16" i="84" s="1"/>
  <c r="I209" i="84"/>
  <c r="I27" i="84" s="1"/>
  <c r="I210" i="84"/>
  <c r="I37" i="84" s="1"/>
  <c r="I10" i="84"/>
  <c r="I167" i="84"/>
  <c r="I15" i="84" s="1"/>
  <c r="I168" i="84"/>
  <c r="I20" i="84" s="1"/>
  <c r="I175" i="84"/>
  <c r="I9" i="84" s="1"/>
  <c r="G60" i="2" s="1"/>
  <c r="Q60" i="2" s="1"/>
  <c r="I127" i="84"/>
  <c r="I19" i="84" s="1"/>
  <c r="I128" i="84"/>
  <c r="I24" i="84" s="1"/>
  <c r="G234" i="3" s="1"/>
  <c r="I135" i="84"/>
  <c r="I8" i="84" s="1"/>
  <c r="G59" i="2" s="1"/>
  <c r="Q59" i="2" s="1"/>
  <c r="I102" i="84"/>
  <c r="I36" i="84" s="1"/>
  <c r="I109" i="84"/>
  <c r="I7" i="84" s="1"/>
  <c r="G58" i="2" s="1"/>
  <c r="Q58" i="2" s="1"/>
  <c r="I78" i="84"/>
  <c r="I26" i="84" s="1"/>
  <c r="I86" i="84"/>
  <c r="I6" i="84" s="1"/>
  <c r="I49" i="84"/>
  <c r="I5" i="84" s="1"/>
  <c r="G56" i="2" s="1"/>
  <c r="Q56" i="2" s="1"/>
  <c r="I3" i="83"/>
  <c r="I5" i="83"/>
  <c r="I7" i="83"/>
  <c r="I11" i="83"/>
  <c r="I9" i="83"/>
  <c r="G189" i="3"/>
  <c r="I377" i="82"/>
  <c r="I54" i="82" s="1"/>
  <c r="I357" i="82"/>
  <c r="I37" i="82" s="1"/>
  <c r="I358" i="82"/>
  <c r="I50" i="82" s="1"/>
  <c r="I365" i="82"/>
  <c r="I33" i="82"/>
  <c r="I49" i="82"/>
  <c r="I328" i="82"/>
  <c r="I13" i="82" s="1"/>
  <c r="G400" i="2" s="1"/>
  <c r="Q400" i="2" s="1"/>
  <c r="I283" i="82"/>
  <c r="I30" i="82" s="1"/>
  <c r="G227" i="3" s="1"/>
  <c r="I284" i="82"/>
  <c r="I32" i="82" s="1"/>
  <c r="I34" i="82" s="1"/>
  <c r="G343" i="3" s="1"/>
  <c r="I12" i="82"/>
  <c r="G399" i="2" s="1"/>
  <c r="Q399" i="2" s="1"/>
  <c r="I28" i="82"/>
  <c r="G459" i="3" s="1"/>
  <c r="I36" i="82"/>
  <c r="I42" i="82"/>
  <c r="I48" i="82"/>
  <c r="I256" i="82"/>
  <c r="I11" i="82" s="1"/>
  <c r="G398" i="2" s="1"/>
  <c r="I25" i="82"/>
  <c r="I53" i="82"/>
  <c r="I10" i="82"/>
  <c r="G397" i="2" s="1"/>
  <c r="Q397" i="2" s="1"/>
  <c r="I175" i="82"/>
  <c r="I20" i="82" s="1"/>
  <c r="G224" i="3" s="1"/>
  <c r="I176" i="82"/>
  <c r="I24" i="82" s="1"/>
  <c r="I26" i="82" s="1"/>
  <c r="G233" i="3" s="1"/>
  <c r="I9" i="82"/>
  <c r="I145" i="82"/>
  <c r="I22" i="82" s="1"/>
  <c r="G217" i="3" s="1"/>
  <c r="I152" i="82"/>
  <c r="I8" i="82" s="1"/>
  <c r="I114" i="82"/>
  <c r="I90" i="82"/>
  <c r="I78" i="82"/>
  <c r="I74" i="82"/>
  <c r="I71" i="82"/>
  <c r="I40" i="82"/>
  <c r="G531" i="3" s="1"/>
  <c r="I120" i="82"/>
  <c r="I43" i="82" s="1"/>
  <c r="I46" i="82"/>
  <c r="I128" i="82"/>
  <c r="I7" i="82" s="1"/>
  <c r="G394" i="2" s="1"/>
  <c r="Q394" i="2" s="1"/>
  <c r="I14" i="82"/>
  <c r="G401" i="2" s="1"/>
  <c r="Q401" i="2" s="1"/>
  <c r="I4" i="82"/>
  <c r="G403" i="2" s="1"/>
  <c r="Q403" i="2" s="1"/>
  <c r="I23" i="81"/>
  <c r="I30" i="81"/>
  <c r="G306" i="3" s="1"/>
  <c r="I32" i="81"/>
  <c r="G112" i="3" s="1"/>
  <c r="I34" i="81"/>
  <c r="G194" i="3" s="1"/>
  <c r="I36" i="81"/>
  <c r="I38" i="81"/>
  <c r="G365" i="3" s="1"/>
  <c r="I147" i="81"/>
  <c r="I26" i="81" s="1"/>
  <c r="G192" i="3" s="1"/>
  <c r="I148" i="81"/>
  <c r="I28" i="81" s="1"/>
  <c r="G503" i="3" s="1"/>
  <c r="I149" i="81"/>
  <c r="I41" i="81" s="1"/>
  <c r="I8" i="81"/>
  <c r="I16" i="81"/>
  <c r="G270" i="3" s="1"/>
  <c r="I20" i="81"/>
  <c r="G208" i="3" s="1"/>
  <c r="I124" i="81"/>
  <c r="I7" i="81" s="1"/>
  <c r="G453" i="2" s="1"/>
  <c r="Q453" i="2" s="1"/>
  <c r="I76" i="81"/>
  <c r="I12" i="81" s="1"/>
  <c r="G490" i="3" s="1"/>
  <c r="I77" i="81"/>
  <c r="I14" i="81" s="1"/>
  <c r="G396" i="3" s="1"/>
  <c r="I78" i="81"/>
  <c r="I22" i="81" s="1"/>
  <c r="I79" i="81"/>
  <c r="I40" i="81" s="1"/>
  <c r="I53" i="81"/>
  <c r="I5" i="81" s="1"/>
  <c r="G451" i="2" s="1"/>
  <c r="Q451" i="2" s="1"/>
  <c r="I15" i="97"/>
  <c r="I15" i="90"/>
  <c r="I15" i="85"/>
  <c r="I13" i="21"/>
  <c r="I5" i="91"/>
  <c r="G354" i="3"/>
  <c r="I11" i="97"/>
  <c r="G209" i="3"/>
  <c r="I6" i="20"/>
  <c r="I7" i="20" s="1"/>
  <c r="G157" i="2"/>
  <c r="Q157" i="2" s="1"/>
  <c r="I17" i="90"/>
  <c r="G156" i="2"/>
  <c r="Q156" i="2" s="1"/>
  <c r="G250" i="3"/>
  <c r="G380" i="2"/>
  <c r="Q380" i="2" s="1"/>
  <c r="G72" i="3"/>
  <c r="I11" i="85"/>
  <c r="G153" i="2"/>
  <c r="Q153" i="2" s="1"/>
  <c r="G327" i="3"/>
  <c r="I15" i="83"/>
  <c r="G169" i="2"/>
  <c r="G464" i="3"/>
  <c r="G154" i="2"/>
  <c r="Q154" i="2" s="1"/>
  <c r="G47" i="3"/>
  <c r="I13" i="97"/>
  <c r="I20" i="96"/>
  <c r="G489" i="3"/>
  <c r="I49" i="95"/>
  <c r="I3" i="95"/>
  <c r="I11" i="95"/>
  <c r="I13" i="90"/>
  <c r="I5" i="88"/>
  <c r="I13" i="85"/>
  <c r="I5" i="85"/>
  <c r="I13" i="83"/>
  <c r="I3" i="80"/>
  <c r="I7" i="80"/>
  <c r="I9" i="80"/>
  <c r="I11" i="80"/>
  <c r="I221" i="70"/>
  <c r="I14" i="70" s="1"/>
  <c r="I196" i="70"/>
  <c r="I21" i="70" s="1"/>
  <c r="G25" i="3" s="1"/>
  <c r="I203" i="70"/>
  <c r="I9" i="70" s="1"/>
  <c r="G377" i="2" s="1"/>
  <c r="Q377" i="2" s="1"/>
  <c r="I160" i="70"/>
  <c r="I18" i="70" s="1"/>
  <c r="I161" i="70"/>
  <c r="I27" i="70" s="1"/>
  <c r="G65" i="3" s="1"/>
  <c r="I168" i="70"/>
  <c r="I8" i="70"/>
  <c r="G376" i="2" s="1"/>
  <c r="Q376" i="2" s="1"/>
  <c r="I111" i="70"/>
  <c r="I13" i="70" s="1"/>
  <c r="I112" i="70"/>
  <c r="I24" i="70" s="1"/>
  <c r="I119" i="70"/>
  <c r="I7" i="70"/>
  <c r="G375" i="2" s="1"/>
  <c r="Q375" i="2" s="1"/>
  <c r="I104" i="70"/>
  <c r="I99" i="70"/>
  <c r="I74" i="70"/>
  <c r="I17" i="70" s="1"/>
  <c r="I19" i="70" s="1"/>
  <c r="G40" i="3" s="1"/>
  <c r="I75" i="70"/>
  <c r="I23" i="70" s="1"/>
  <c r="I25" i="70" s="1"/>
  <c r="G57" i="3" s="1"/>
  <c r="I82" i="70"/>
  <c r="I6" i="70" s="1"/>
  <c r="G374" i="2" s="1"/>
  <c r="Q374" i="2" s="1"/>
  <c r="I38" i="70"/>
  <c r="I5" i="70" s="1"/>
  <c r="I17" i="60"/>
  <c r="G429" i="3"/>
  <c r="I11" i="60"/>
  <c r="G417" i="3" s="1"/>
  <c r="I13" i="60"/>
  <c r="G81" i="3" s="1"/>
  <c r="I15" i="60"/>
  <c r="G109" i="3" s="1"/>
  <c r="I19" i="60"/>
  <c r="I4" i="60"/>
  <c r="I35" i="60"/>
  <c r="I3" i="60" s="1"/>
  <c r="G150" i="2"/>
  <c r="Q150" i="2" s="1"/>
  <c r="G230" i="3"/>
  <c r="I3" i="79"/>
  <c r="I8" i="79"/>
  <c r="I12" i="79"/>
  <c r="I15" i="79"/>
  <c r="I3" i="76"/>
  <c r="I7" i="76"/>
  <c r="I9" i="76"/>
  <c r="G310" i="3"/>
  <c r="I208" i="75"/>
  <c r="I30" i="75" s="1"/>
  <c r="G68" i="3" s="1"/>
  <c r="I23" i="75"/>
  <c r="I27" i="75"/>
  <c r="I179" i="75"/>
  <c r="I9" i="75"/>
  <c r="G302" i="2"/>
  <c r="Q302" i="2" s="1"/>
  <c r="I16" i="75"/>
  <c r="I26" i="75"/>
  <c r="I8" i="75"/>
  <c r="G301" i="2"/>
  <c r="Q301" i="2" s="1"/>
  <c r="I99" i="75"/>
  <c r="I19" i="75" s="1"/>
  <c r="G262" i="3" s="1"/>
  <c r="I100" i="75"/>
  <c r="I22" i="75" s="1"/>
  <c r="I7" i="75"/>
  <c r="I13" i="75"/>
  <c r="I15" i="75"/>
  <c r="I17" i="75" s="1"/>
  <c r="G231" i="3" s="1"/>
  <c r="I21" i="75"/>
  <c r="I24" i="75" s="1"/>
  <c r="G206" i="3" s="1"/>
  <c r="I73" i="75"/>
  <c r="I6" i="75"/>
  <c r="G299" i="2"/>
  <c r="Q299" i="2" s="1"/>
  <c r="I5" i="75"/>
  <c r="I29" i="74"/>
  <c r="I32" i="74"/>
  <c r="G215" i="3"/>
  <c r="I28" i="74"/>
  <c r="I11" i="74"/>
  <c r="G117" i="2"/>
  <c r="Q117" i="2" s="1"/>
  <c r="I223" i="74"/>
  <c r="I25" i="74" s="1"/>
  <c r="I10" i="74"/>
  <c r="G116" i="2"/>
  <c r="Q116" i="2" s="1"/>
  <c r="I35" i="74"/>
  <c r="I185" i="74"/>
  <c r="I9" i="74" s="1"/>
  <c r="I16" i="74"/>
  <c r="I21" i="74"/>
  <c r="G303" i="3"/>
  <c r="I8" i="74"/>
  <c r="G114" i="2"/>
  <c r="Q114" i="2" s="1"/>
  <c r="I19" i="74"/>
  <c r="G144" i="3"/>
  <c r="I111" i="74"/>
  <c r="I27" i="74"/>
  <c r="I7" i="74"/>
  <c r="G113" i="2"/>
  <c r="Q113" i="2" s="1"/>
  <c r="I15" i="74"/>
  <c r="I34" i="74"/>
  <c r="I83" i="74"/>
  <c r="I6" i="74"/>
  <c r="G112" i="2"/>
  <c r="Q112" i="2" s="1"/>
  <c r="I5" i="74"/>
  <c r="G111" i="2"/>
  <c r="Q111" i="2" s="1"/>
  <c r="I3" i="73"/>
  <c r="I7" i="73"/>
  <c r="I9" i="73"/>
  <c r="I11" i="73"/>
  <c r="I285" i="71"/>
  <c r="I24" i="71" s="1"/>
  <c r="I256" i="71"/>
  <c r="I21" i="71" s="1"/>
  <c r="G265" i="3" s="1"/>
  <c r="I257" i="71"/>
  <c r="I33" i="71"/>
  <c r="I264" i="71"/>
  <c r="I11" i="71"/>
  <c r="G446" i="2" s="1"/>
  <c r="Q446" i="2" s="1"/>
  <c r="I222" i="71"/>
  <c r="I32" i="71" s="1"/>
  <c r="I229" i="71"/>
  <c r="I10" i="71" s="1"/>
  <c r="G445" i="2" s="1"/>
  <c r="Q445" i="2" s="1"/>
  <c r="I193" i="71"/>
  <c r="I18" i="71" s="1"/>
  <c r="I19" i="71" s="1"/>
  <c r="G78" i="3" s="1"/>
  <c r="I200" i="71"/>
  <c r="I9" i="71" s="1"/>
  <c r="G444" i="2" s="1"/>
  <c r="Q444" i="2" s="1"/>
  <c r="I15" i="71"/>
  <c r="I23" i="71"/>
  <c r="I28" i="71"/>
  <c r="I167" i="71"/>
  <c r="I8" i="71"/>
  <c r="G443" i="2"/>
  <c r="Q443" i="2" s="1"/>
  <c r="I17" i="71"/>
  <c r="I31" i="71"/>
  <c r="I7" i="71"/>
  <c r="I68" i="71"/>
  <c r="I27" i="71" s="1"/>
  <c r="I6" i="71"/>
  <c r="G441" i="2"/>
  <c r="Q441" i="2" s="1"/>
  <c r="I47" i="71"/>
  <c r="I5" i="71" s="1"/>
  <c r="G440" i="2" s="1"/>
  <c r="Q440" i="2" s="1"/>
  <c r="I3" i="92"/>
  <c r="I13" i="92"/>
  <c r="I11" i="92"/>
  <c r="I102" i="65"/>
  <c r="I7" i="65" s="1"/>
  <c r="I103" i="65"/>
  <c r="I9" i="65" s="1"/>
  <c r="G498" i="3" s="1"/>
  <c r="I104" i="65"/>
  <c r="I12" i="65" s="1"/>
  <c r="I19" i="89" s="1"/>
  <c r="I105" i="65"/>
  <c r="I15" i="65" s="1"/>
  <c r="G509" i="3" s="1"/>
  <c r="I85" i="65"/>
  <c r="I80" i="65"/>
  <c r="I69" i="65"/>
  <c r="I3" i="65"/>
  <c r="I5" i="65" s="1"/>
  <c r="I28" i="65"/>
  <c r="I35" i="30"/>
  <c r="I246" i="30"/>
  <c r="I20" i="30"/>
  <c r="I247" i="30"/>
  <c r="I31" i="30"/>
  <c r="I11" i="30"/>
  <c r="G108" i="2"/>
  <c r="I208" i="30"/>
  <c r="I26" i="30"/>
  <c r="G529" i="3"/>
  <c r="I209" i="30"/>
  <c r="I28" i="30"/>
  <c r="G511" i="3"/>
  <c r="I210" i="30"/>
  <c r="I30" i="30"/>
  <c r="I217" i="30"/>
  <c r="I10" i="30"/>
  <c r="G107" i="2"/>
  <c r="Q107" i="2" s="1"/>
  <c r="I202" i="30"/>
  <c r="I196" i="30"/>
  <c r="I191" i="30"/>
  <c r="I187" i="30"/>
  <c r="I166" i="30"/>
  <c r="I155" i="30"/>
  <c r="I24" i="30"/>
  <c r="G340" i="3"/>
  <c r="I163" i="30"/>
  <c r="I9" i="30"/>
  <c r="G106" i="2"/>
  <c r="Q106" i="2" s="1"/>
  <c r="I16" i="30"/>
  <c r="I34" i="30"/>
  <c r="I36" i="30"/>
  <c r="G117" i="3"/>
  <c r="I136" i="30"/>
  <c r="I8" i="30"/>
  <c r="G105" i="2"/>
  <c r="Q105" i="2" s="1"/>
  <c r="I86" i="30"/>
  <c r="I19" i="30"/>
  <c r="I7" i="30"/>
  <c r="G104" i="2"/>
  <c r="Q104" i="2" s="1"/>
  <c r="I61" i="30"/>
  <c r="I15" i="30"/>
  <c r="I68" i="30"/>
  <c r="I6" i="30"/>
  <c r="G103" i="2"/>
  <c r="Q103" i="2" s="1"/>
  <c r="I47" i="30"/>
  <c r="I5" i="30"/>
  <c r="I321" i="29"/>
  <c r="I22" i="29" s="1"/>
  <c r="I23" i="29" s="1"/>
  <c r="G79" i="3" s="1"/>
  <c r="I322" i="29"/>
  <c r="I34" i="29"/>
  <c r="I323" i="29"/>
  <c r="I37" i="29" s="1"/>
  <c r="G36" i="3" s="1"/>
  <c r="I304" i="29"/>
  <c r="I273" i="29"/>
  <c r="I30" i="29" s="1"/>
  <c r="I274" i="29"/>
  <c r="I33" i="29"/>
  <c r="I35" i="29" s="1"/>
  <c r="G309" i="3" s="1"/>
  <c r="I281" i="29"/>
  <c r="I11" i="29" s="1"/>
  <c r="G53" i="2" s="1"/>
  <c r="Q53" i="2" s="1"/>
  <c r="I249" i="29"/>
  <c r="I16" i="29" s="1"/>
  <c r="I17" i="29" s="1"/>
  <c r="I250" i="29"/>
  <c r="I25" i="29" s="1"/>
  <c r="G382" i="3" s="1"/>
  <c r="I258" i="29"/>
  <c r="I10" i="29" s="1"/>
  <c r="G52" i="2" s="1"/>
  <c r="Q52" i="2" s="1"/>
  <c r="I204" i="29"/>
  <c r="I27" i="29" s="1"/>
  <c r="G314" i="3" s="1"/>
  <c r="I205" i="29"/>
  <c r="I40" i="29"/>
  <c r="I41" i="29" s="1"/>
  <c r="G136" i="3" s="1"/>
  <c r="I213" i="29"/>
  <c r="I9" i="29" s="1"/>
  <c r="G51" i="2" s="1"/>
  <c r="Q51" i="2" s="1"/>
  <c r="I153" i="29"/>
  <c r="I19" i="29" s="1"/>
  <c r="G375" i="3" s="1"/>
  <c r="I160" i="29"/>
  <c r="I8" i="29"/>
  <c r="G50" i="2" s="1"/>
  <c r="Q50" i="2" s="1"/>
  <c r="I126" i="29"/>
  <c r="I15" i="29"/>
  <c r="I127" i="29"/>
  <c r="I29" i="29" s="1"/>
  <c r="I31" i="29" s="1"/>
  <c r="G449" i="3" s="1"/>
  <c r="I134" i="29"/>
  <c r="I7" i="29" s="1"/>
  <c r="G49" i="2" s="1"/>
  <c r="I21" i="29"/>
  <c r="I39" i="29"/>
  <c r="I97" i="29"/>
  <c r="I6" i="29"/>
  <c r="G48" i="2" s="1"/>
  <c r="Q48" i="2" s="1"/>
  <c r="I5" i="29"/>
  <c r="G47" i="2"/>
  <c r="I15" i="76"/>
  <c r="I63" i="95"/>
  <c r="G169" i="3"/>
  <c r="I61" i="95"/>
  <c r="I59" i="95"/>
  <c r="I21" i="79"/>
  <c r="G430" i="3"/>
  <c r="I5" i="79"/>
  <c r="G155" i="2"/>
  <c r="Q155" i="2" s="1"/>
  <c r="I17" i="80"/>
  <c r="G475" i="3"/>
  <c r="I5" i="80"/>
  <c r="G334" i="2"/>
  <c r="Q334" i="2" s="1"/>
  <c r="I15" i="80"/>
  <c r="G461" i="3"/>
  <c r="I13" i="80"/>
  <c r="G425" i="3"/>
  <c r="I11" i="79"/>
  <c r="I13" i="79" s="1"/>
  <c r="I13" i="76"/>
  <c r="G331" i="3"/>
  <c r="I11" i="76"/>
  <c r="I5" i="76"/>
  <c r="G276" i="2"/>
  <c r="Q276" i="2" s="1"/>
  <c r="I17" i="73"/>
  <c r="G204" i="3"/>
  <c r="I5" i="73"/>
  <c r="G119" i="2"/>
  <c r="Q119" i="2" s="1"/>
  <c r="I15" i="73"/>
  <c r="G393" i="3"/>
  <c r="I13" i="73"/>
  <c r="G485" i="3"/>
  <c r="G84" i="3"/>
  <c r="G114" i="3"/>
  <c r="I5" i="92"/>
  <c r="G333" i="2"/>
  <c r="G172" i="2"/>
  <c r="Q172" i="2" s="1"/>
  <c r="I7" i="79"/>
  <c r="I9" i="79" s="1"/>
  <c r="G455" i="3" s="1"/>
  <c r="I30" i="74"/>
  <c r="I3" i="72"/>
  <c r="G149" i="2"/>
  <c r="Q149" i="2" s="1"/>
  <c r="I7" i="72"/>
  <c r="I9" i="72"/>
  <c r="G7" i="3"/>
  <c r="G9" i="3"/>
  <c r="I88" i="68"/>
  <c r="I14" i="68"/>
  <c r="I89" i="68"/>
  <c r="I17" i="68"/>
  <c r="G453" i="3"/>
  <c r="I11" i="68"/>
  <c r="I13" i="68"/>
  <c r="I64" i="68"/>
  <c r="I4" i="68"/>
  <c r="G168" i="2"/>
  <c r="Q168" i="2" s="1"/>
  <c r="I3" i="68"/>
  <c r="G167" i="2"/>
  <c r="Q167" i="2" s="1"/>
  <c r="I3" i="67"/>
  <c r="I7" i="67"/>
  <c r="I9" i="67"/>
  <c r="I212" i="66"/>
  <c r="I13" i="66" s="1"/>
  <c r="G492" i="3" s="1"/>
  <c r="I213" i="66"/>
  <c r="I41" i="66" s="1"/>
  <c r="G447" i="3" s="1"/>
  <c r="I214" i="66"/>
  <c r="I43" i="66" s="1"/>
  <c r="G532" i="3" s="1"/>
  <c r="I215" i="66"/>
  <c r="I45" i="66"/>
  <c r="G535" i="3"/>
  <c r="I179" i="66"/>
  <c r="I15" i="66" s="1"/>
  <c r="G241" i="3" s="1"/>
  <c r="I180" i="66"/>
  <c r="I37" i="66" s="1"/>
  <c r="G372" i="3" s="1"/>
  <c r="I181" i="66"/>
  <c r="I39" i="66" s="1"/>
  <c r="G359" i="3" s="1"/>
  <c r="I188" i="66"/>
  <c r="I9" i="66"/>
  <c r="G232" i="2" s="1"/>
  <c r="Q232" i="2" s="1"/>
  <c r="I147" i="66"/>
  <c r="I31" i="66" s="1"/>
  <c r="G176" i="3" s="1"/>
  <c r="I148" i="66"/>
  <c r="I34" i="66"/>
  <c r="I155" i="66"/>
  <c r="I8" i="66" s="1"/>
  <c r="G231" i="2" s="1"/>
  <c r="Q231" i="2" s="1"/>
  <c r="I118" i="66"/>
  <c r="I18" i="66"/>
  <c r="I119" i="66"/>
  <c r="I23" i="66" s="1"/>
  <c r="G373" i="3" s="1"/>
  <c r="I120" i="66"/>
  <c r="I25" i="66" s="1"/>
  <c r="G508" i="3" s="1"/>
  <c r="I121" i="66"/>
  <c r="I27" i="66" s="1"/>
  <c r="G518" i="3" s="1"/>
  <c r="I122" i="66"/>
  <c r="I29" i="66"/>
  <c r="G477" i="3"/>
  <c r="I129" i="66"/>
  <c r="I7" i="66" s="1"/>
  <c r="G230" i="2" s="1"/>
  <c r="Q230" i="2" s="1"/>
  <c r="I17" i="66"/>
  <c r="I19" i="66" s="1"/>
  <c r="G200" i="3" s="1"/>
  <c r="I21" i="66"/>
  <c r="I33" i="66"/>
  <c r="I86" i="66"/>
  <c r="I6" i="66"/>
  <c r="G229" i="2" s="1"/>
  <c r="Q229" i="2" s="1"/>
  <c r="I5" i="66"/>
  <c r="I278" i="64"/>
  <c r="I20" i="64" s="1"/>
  <c r="I23" i="64"/>
  <c r="G77" i="3" s="1"/>
  <c r="I32" i="64"/>
  <c r="I256" i="64"/>
  <c r="I11" i="64" s="1"/>
  <c r="G99" i="2" s="1"/>
  <c r="Q99" i="2" s="1"/>
  <c r="I202" i="64"/>
  <c r="I35" i="64" s="1"/>
  <c r="I37" i="64" s="1"/>
  <c r="G149" i="3" s="1"/>
  <c r="I10" i="64"/>
  <c r="G98" i="2" s="1"/>
  <c r="Q98" i="2" s="1"/>
  <c r="I172" i="64"/>
  <c r="I174" i="64"/>
  <c r="I26" i="64" s="1"/>
  <c r="I175" i="64"/>
  <c r="I31" i="64" s="1"/>
  <c r="I33" i="64" s="1"/>
  <c r="G8" i="3" s="1"/>
  <c r="I182" i="64"/>
  <c r="I9" i="64" s="1"/>
  <c r="G97" i="2" s="1"/>
  <c r="Q97" i="2" s="1"/>
  <c r="I148" i="64"/>
  <c r="I135" i="64"/>
  <c r="I25" i="64" s="1"/>
  <c r="I27" i="64" s="1"/>
  <c r="G392" i="3" s="1"/>
  <c r="I142" i="64"/>
  <c r="I8" i="64" s="1"/>
  <c r="G96" i="2" s="1"/>
  <c r="Q96" i="2" s="1"/>
  <c r="I114" i="64"/>
  <c r="I19" i="64" s="1"/>
  <c r="I122" i="64"/>
  <c r="I7" i="64" s="1"/>
  <c r="G95" i="2" s="1"/>
  <c r="Q95" i="2" s="1"/>
  <c r="I65" i="64"/>
  <c r="I15" i="64" s="1"/>
  <c r="I6" i="64"/>
  <c r="G94" i="2" s="1"/>
  <c r="Q94" i="2" s="1"/>
  <c r="I48" i="64"/>
  <c r="I5" i="64" s="1"/>
  <c r="G199" i="3"/>
  <c r="I11" i="72"/>
  <c r="G45" i="3"/>
  <c r="I5" i="72"/>
  <c r="I15" i="72"/>
  <c r="I15" i="67"/>
  <c r="G467" i="3"/>
  <c r="I11" i="67"/>
  <c r="G409" i="3"/>
  <c r="G148" i="2"/>
  <c r="Q148" i="2" s="1"/>
  <c r="I11" i="69"/>
  <c r="G5" i="3"/>
  <c r="G252" i="2"/>
  <c r="Q252" i="2" s="1"/>
  <c r="I13" i="72"/>
  <c r="I15" i="69"/>
  <c r="I13" i="69"/>
  <c r="I5" i="69"/>
  <c r="I13" i="67"/>
  <c r="I5" i="67"/>
  <c r="I296" i="63"/>
  <c r="I27" i="63"/>
  <c r="I284" i="63"/>
  <c r="I13" i="63"/>
  <c r="G87" i="2"/>
  <c r="Q87" i="2" s="1"/>
  <c r="I230" i="63"/>
  <c r="I204" i="63"/>
  <c r="I19" i="63"/>
  <c r="G62" i="3"/>
  <c r="I205" i="63"/>
  <c r="I23" i="63"/>
  <c r="I212" i="63"/>
  <c r="I177" i="63"/>
  <c r="I26" i="63"/>
  <c r="I178" i="63"/>
  <c r="I34" i="63"/>
  <c r="I179" i="63"/>
  <c r="I40" i="63"/>
  <c r="I186" i="63"/>
  <c r="I10" i="63"/>
  <c r="G84" i="2"/>
  <c r="Q84" i="2" s="1"/>
  <c r="I142" i="63"/>
  <c r="I22" i="63"/>
  <c r="I143" i="63"/>
  <c r="I30" i="63"/>
  <c r="G216" i="3"/>
  <c r="I150" i="63"/>
  <c r="I9" i="63"/>
  <c r="G83" i="2"/>
  <c r="Q83" i="2" s="1"/>
  <c r="I39" i="63"/>
  <c r="I41" i="63"/>
  <c r="I112" i="63"/>
  <c r="I8" i="63"/>
  <c r="G82" i="2"/>
  <c r="I72" i="63"/>
  <c r="I36" i="63"/>
  <c r="I7" i="63"/>
  <c r="G81" i="2"/>
  <c r="Q81" i="2" s="1"/>
  <c r="I11" i="63"/>
  <c r="G85" i="2"/>
  <c r="Q85" i="2" s="1"/>
  <c r="I12" i="63"/>
  <c r="G86" i="2"/>
  <c r="Q86" i="2" s="1"/>
  <c r="I21" i="63"/>
  <c r="I32" i="63"/>
  <c r="G156" i="3"/>
  <c r="I35" i="63"/>
  <c r="I54" i="63"/>
  <c r="I4" i="63"/>
  <c r="G90" i="2"/>
  <c r="Q90" i="2" s="1"/>
  <c r="I16" i="63"/>
  <c r="I28" i="63"/>
  <c r="G137" i="3"/>
  <c r="I24" i="63"/>
  <c r="G115" i="3"/>
  <c r="I37" i="63"/>
  <c r="I3" i="62"/>
  <c r="G173" i="3"/>
  <c r="G462" i="3"/>
  <c r="I30" i="31"/>
  <c r="I31" i="31" s="1"/>
  <c r="G496" i="3" s="1"/>
  <c r="I73" i="31"/>
  <c r="I485" i="31"/>
  <c r="I67" i="31" s="1"/>
  <c r="I486" i="31"/>
  <c r="I70" i="31" s="1"/>
  <c r="G277" i="3" s="1"/>
  <c r="I458" i="31"/>
  <c r="I18" i="31" s="1"/>
  <c r="G221" i="2" s="1"/>
  <c r="Q221" i="2" s="1"/>
  <c r="I413" i="31"/>
  <c r="I44" i="31" s="1"/>
  <c r="I414" i="31"/>
  <c r="I62" i="31" s="1"/>
  <c r="I390" i="31"/>
  <c r="I57" i="31" s="1"/>
  <c r="I59" i="31" s="1"/>
  <c r="G147" i="3" s="1"/>
  <c r="I397" i="31"/>
  <c r="I16" i="31" s="1"/>
  <c r="G219" i="2" s="1"/>
  <c r="Q219" i="2" s="1"/>
  <c r="I353" i="31"/>
  <c r="I40" i="31" s="1"/>
  <c r="I354" i="31"/>
  <c r="I55" i="31" s="1"/>
  <c r="G534" i="3" s="1"/>
  <c r="I355" i="31"/>
  <c r="I72" i="31" s="1"/>
  <c r="I364" i="31"/>
  <c r="I15" i="31" s="1"/>
  <c r="G218" i="2" s="1"/>
  <c r="Q218" i="2" s="1"/>
  <c r="I342" i="31"/>
  <c r="I319" i="31"/>
  <c r="I53" i="31" s="1"/>
  <c r="G480" i="3" s="1"/>
  <c r="I327" i="31"/>
  <c r="I14" i="31" s="1"/>
  <c r="G217" i="2" s="1"/>
  <c r="Q217" i="2" s="1"/>
  <c r="I47" i="31"/>
  <c r="I297" i="31"/>
  <c r="I13" i="31" s="1"/>
  <c r="G216" i="2" s="1"/>
  <c r="Q216" i="2" s="1"/>
  <c r="I253" i="31"/>
  <c r="I43" i="31" s="1"/>
  <c r="I260" i="31"/>
  <c r="I12" i="31" s="1"/>
  <c r="G215" i="2" s="1"/>
  <c r="Q215" i="2" s="1"/>
  <c r="I228" i="31"/>
  <c r="I39" i="31" s="1"/>
  <c r="I41" i="31" s="1"/>
  <c r="G458" i="3" s="1"/>
  <c r="I235" i="31"/>
  <c r="I11" i="31" s="1"/>
  <c r="G214" i="2" s="1"/>
  <c r="Q214" i="2" s="1"/>
  <c r="I197" i="31"/>
  <c r="I37" i="31" s="1"/>
  <c r="G162" i="3" s="1"/>
  <c r="I198" i="31"/>
  <c r="I65" i="31" s="1"/>
  <c r="I205" i="31"/>
  <c r="I10" i="31" s="1"/>
  <c r="G213" i="2" s="1"/>
  <c r="Q213" i="2" s="1"/>
  <c r="I168" i="31"/>
  <c r="I35" i="31" s="1"/>
  <c r="G478" i="3" s="1"/>
  <c r="I175" i="31"/>
  <c r="I9" i="31" s="1"/>
  <c r="G212" i="2" s="1"/>
  <c r="Q212" i="2" s="1"/>
  <c r="I143" i="31"/>
  <c r="I29" i="31" s="1"/>
  <c r="I144" i="31"/>
  <c r="I33" i="31" s="1"/>
  <c r="I151" i="31"/>
  <c r="I8" i="31" s="1"/>
  <c r="G211" i="2" s="1"/>
  <c r="Q211" i="2" s="1"/>
  <c r="I112" i="31"/>
  <c r="I27" i="31" s="1"/>
  <c r="G362" i="3" s="1"/>
  <c r="I113" i="31"/>
  <c r="I61" i="31" s="1"/>
  <c r="I120" i="31"/>
  <c r="I5" i="31" s="1"/>
  <c r="I87" i="31"/>
  <c r="I4" i="31" s="1"/>
  <c r="I23" i="31" s="1"/>
  <c r="I3" i="58"/>
  <c r="G146" i="2"/>
  <c r="Q146" i="2" s="1"/>
  <c r="I7" i="58"/>
  <c r="I11" i="58"/>
  <c r="G201" i="3"/>
  <c r="I13" i="58"/>
  <c r="G30" i="3"/>
  <c r="G38" i="3"/>
  <c r="I8" i="58"/>
  <c r="I9" i="58" s="1"/>
  <c r="I3" i="55"/>
  <c r="I7" i="55"/>
  <c r="I9" i="55"/>
  <c r="I7" i="56"/>
  <c r="I9" i="56" s="1"/>
  <c r="I3" i="56"/>
  <c r="I5" i="56"/>
  <c r="I8" i="56"/>
  <c r="I10" i="55"/>
  <c r="I11" i="55"/>
  <c r="G123" i="3" s="1"/>
  <c r="I11" i="56"/>
  <c r="I13" i="55"/>
  <c r="I502" i="57"/>
  <c r="I51" i="57"/>
  <c r="I503" i="57"/>
  <c r="I72" i="57"/>
  <c r="G251" i="3"/>
  <c r="I29" i="57"/>
  <c r="I69" i="57"/>
  <c r="I70" i="57" s="1"/>
  <c r="I480" i="57"/>
  <c r="I18" i="57"/>
  <c r="G293" i="2"/>
  <c r="Q293" i="2" s="1"/>
  <c r="I438" i="57"/>
  <c r="I55" i="57"/>
  <c r="I56" i="57"/>
  <c r="G300" i="3"/>
  <c r="I439" i="57"/>
  <c r="I65" i="57"/>
  <c r="I66" i="57"/>
  <c r="G329" i="3"/>
  <c r="I446" i="57"/>
  <c r="I17" i="57" s="1"/>
  <c r="I39" i="57"/>
  <c r="I62" i="57"/>
  <c r="G63" i="3"/>
  <c r="I413" i="57"/>
  <c r="I16" i="57"/>
  <c r="G291" i="2"/>
  <c r="Q291" i="2" s="1"/>
  <c r="I372" i="57"/>
  <c r="I43" i="57"/>
  <c r="I379" i="57"/>
  <c r="I15" i="57"/>
  <c r="G290" i="2"/>
  <c r="Q290" i="2" s="1"/>
  <c r="I347" i="57"/>
  <c r="I33" i="57"/>
  <c r="I348" i="57"/>
  <c r="I60" i="57"/>
  <c r="G335" i="3"/>
  <c r="I349" i="57"/>
  <c r="I68" i="57"/>
  <c r="I357" i="57"/>
  <c r="I14" i="57"/>
  <c r="G289" i="2"/>
  <c r="Q289" i="2" s="1"/>
  <c r="I310" i="57"/>
  <c r="I38" i="57"/>
  <c r="I40" i="57"/>
  <c r="G363" i="3"/>
  <c r="I311" i="57"/>
  <c r="I50" i="57"/>
  <c r="I52" i="57"/>
  <c r="G283" i="3"/>
  <c r="I319" i="57"/>
  <c r="I13" i="57"/>
  <c r="G288" i="2"/>
  <c r="Q288" i="2" s="1"/>
  <c r="I275" i="57"/>
  <c r="I48" i="57"/>
  <c r="G295" i="3"/>
  <c r="I282" i="57"/>
  <c r="I12" i="57"/>
  <c r="G287" i="2"/>
  <c r="Q287" i="2" s="1"/>
  <c r="I247" i="57"/>
  <c r="I36" i="57"/>
  <c r="G205" i="3"/>
  <c r="I248" i="57"/>
  <c r="I64" i="57"/>
  <c r="I255" i="57"/>
  <c r="I11" i="57"/>
  <c r="G286" i="2"/>
  <c r="Q286" i="2" s="1"/>
  <c r="I217" i="57"/>
  <c r="I32" i="57"/>
  <c r="I34" i="57"/>
  <c r="G97" i="3"/>
  <c r="I224" i="57"/>
  <c r="I10" i="57"/>
  <c r="I26" i="57"/>
  <c r="G247" i="3"/>
  <c r="I54" i="57"/>
  <c r="I198" i="57"/>
  <c r="I9" i="57"/>
  <c r="G284" i="2"/>
  <c r="Q284" i="2" s="1"/>
  <c r="I155" i="57"/>
  <c r="I24" i="57"/>
  <c r="I156" i="57"/>
  <c r="I42" i="57"/>
  <c r="I8" i="57"/>
  <c r="G283" i="2"/>
  <c r="Q283" i="2" s="1"/>
  <c r="I109" i="57"/>
  <c r="I28" i="57"/>
  <c r="I110" i="57"/>
  <c r="I46" i="57"/>
  <c r="G284" i="3"/>
  <c r="I111" i="57"/>
  <c r="I58" i="57"/>
  <c r="G90" i="3"/>
  <c r="I118" i="57"/>
  <c r="I7" i="57"/>
  <c r="G282" i="2"/>
  <c r="Q282" i="2" s="1"/>
  <c r="I85" i="57"/>
  <c r="I4" i="57"/>
  <c r="I3" i="54"/>
  <c r="G143" i="2"/>
  <c r="Q143" i="2" s="1"/>
  <c r="I7" i="54"/>
  <c r="I9" i="54"/>
  <c r="G446" i="3"/>
  <c r="I3" i="53"/>
  <c r="I8" i="53"/>
  <c r="G4" i="3"/>
  <c r="I169" i="52"/>
  <c r="I18" i="52"/>
  <c r="I170" i="52"/>
  <c r="I22" i="52"/>
  <c r="I171" i="52"/>
  <c r="I39" i="52"/>
  <c r="G510" i="3"/>
  <c r="I142" i="52"/>
  <c r="I21" i="52"/>
  <c r="I143" i="52"/>
  <c r="I27" i="52"/>
  <c r="G513" i="3"/>
  <c r="I150" i="52"/>
  <c r="I116" i="52"/>
  <c r="I31" i="52"/>
  <c r="G463" i="3"/>
  <c r="I117" i="52"/>
  <c r="I33" i="52"/>
  <c r="G495" i="3"/>
  <c r="I118" i="52"/>
  <c r="I36" i="52"/>
  <c r="I125" i="52"/>
  <c r="I80" i="52"/>
  <c r="I15" i="52"/>
  <c r="G103" i="3"/>
  <c r="I81" i="52"/>
  <c r="I17" i="52"/>
  <c r="I82" i="52"/>
  <c r="I25" i="52"/>
  <c r="G91" i="3"/>
  <c r="I83" i="52"/>
  <c r="I29" i="52"/>
  <c r="G360" i="3"/>
  <c r="I84" i="52"/>
  <c r="I35" i="52"/>
  <c r="I91" i="52"/>
  <c r="I4" i="52"/>
  <c r="G435" i="2"/>
  <c r="I5" i="52"/>
  <c r="I11" i="52"/>
  <c r="I6" i="52"/>
  <c r="I52" i="52"/>
  <c r="I3" i="52"/>
  <c r="I3" i="51"/>
  <c r="I7" i="51"/>
  <c r="I9" i="51"/>
  <c r="I11" i="51"/>
  <c r="I356" i="49"/>
  <c r="I19" i="49" s="1"/>
  <c r="I55" i="49"/>
  <c r="I329" i="49"/>
  <c r="I51" i="49" s="1"/>
  <c r="I14" i="49"/>
  <c r="G44" i="2" s="1"/>
  <c r="Q44" i="2" s="1"/>
  <c r="I38" i="49"/>
  <c r="I315" i="49"/>
  <c r="I13" i="49" s="1"/>
  <c r="G43" i="2" s="1"/>
  <c r="Q43" i="2" s="1"/>
  <c r="I274" i="49"/>
  <c r="I34" i="49" s="1"/>
  <c r="I275" i="49"/>
  <c r="I47" i="49" s="1"/>
  <c r="I12" i="49"/>
  <c r="G42" i="2"/>
  <c r="Q42" i="2" s="1"/>
  <c r="I264" i="49"/>
  <c r="I246" i="49"/>
  <c r="I29" i="49"/>
  <c r="I247" i="49"/>
  <c r="I41" i="49" s="1"/>
  <c r="I43" i="49" s="1"/>
  <c r="G288" i="3" s="1"/>
  <c r="I248" i="49"/>
  <c r="I54" i="49"/>
  <c r="I257" i="49"/>
  <c r="I11" i="49" s="1"/>
  <c r="G41" i="2" s="1"/>
  <c r="I228" i="49"/>
  <c r="I213" i="49"/>
  <c r="I28" i="49"/>
  <c r="I214" i="49"/>
  <c r="I33" i="49"/>
  <c r="I215" i="49"/>
  <c r="I46" i="49"/>
  <c r="I222" i="49"/>
  <c r="I10" i="49"/>
  <c r="G40" i="2" s="1"/>
  <c r="Q40" i="2" s="1"/>
  <c r="I180" i="49"/>
  <c r="I26" i="49"/>
  <c r="G269" i="3"/>
  <c r="I187" i="49"/>
  <c r="I9" i="49" s="1"/>
  <c r="G39" i="2" s="1"/>
  <c r="Q39" i="2" s="1"/>
  <c r="I153" i="49"/>
  <c r="I24" i="49" s="1"/>
  <c r="G66" i="3" s="1"/>
  <c r="I154" i="49"/>
  <c r="I32" i="49"/>
  <c r="I35" i="49" s="1"/>
  <c r="G172" i="3" s="1"/>
  <c r="I155" i="49"/>
  <c r="I45" i="49"/>
  <c r="I163" i="49"/>
  <c r="I8" i="49"/>
  <c r="G38" i="2" s="1"/>
  <c r="Q38" i="2" s="1"/>
  <c r="I113" i="49"/>
  <c r="I22" i="49"/>
  <c r="G222" i="3"/>
  <c r="I114" i="49"/>
  <c r="I37" i="49"/>
  <c r="I121" i="49"/>
  <c r="I7" i="49"/>
  <c r="G37" i="2" s="1"/>
  <c r="Q37" i="2" s="1"/>
  <c r="I79" i="49"/>
  <c r="I18" i="49"/>
  <c r="I86" i="49"/>
  <c r="I6" i="49" s="1"/>
  <c r="G36" i="2" s="1"/>
  <c r="Q36" i="2" s="1"/>
  <c r="I42" i="49"/>
  <c r="I67" i="49"/>
  <c r="I5" i="49"/>
  <c r="G35" i="2"/>
  <c r="Q35" i="2" s="1"/>
  <c r="I5" i="47"/>
  <c r="G358" i="3"/>
  <c r="G424" i="3"/>
  <c r="I3" i="48"/>
  <c r="I7" i="48"/>
  <c r="G357" i="3"/>
  <c r="I3" i="45"/>
  <c r="I7" i="45"/>
  <c r="I9" i="45"/>
  <c r="G374" i="3"/>
  <c r="I11" i="45"/>
  <c r="I3" i="46"/>
  <c r="I7" i="46"/>
  <c r="I15" i="45"/>
  <c r="I10" i="46"/>
  <c r="I12" i="45"/>
  <c r="I13" i="46"/>
  <c r="G406" i="3"/>
  <c r="I3" i="44"/>
  <c r="I7" i="44"/>
  <c r="I9" i="44"/>
  <c r="I413" i="43"/>
  <c r="I55" i="43" s="1"/>
  <c r="I414" i="43"/>
  <c r="I380" i="43"/>
  <c r="I387" i="43"/>
  <c r="I16" i="43" s="1"/>
  <c r="G273" i="2" s="1"/>
  <c r="Q273" i="2" s="1"/>
  <c r="I356" i="43"/>
  <c r="I357" i="43"/>
  <c r="I365" i="43"/>
  <c r="I312" i="43"/>
  <c r="I39" i="43" s="1"/>
  <c r="G282" i="3" s="1"/>
  <c r="I313" i="43"/>
  <c r="I320" i="43"/>
  <c r="I288" i="43"/>
  <c r="I289" i="43"/>
  <c r="I51" i="43" s="1"/>
  <c r="I296" i="43"/>
  <c r="I285" i="43"/>
  <c r="I266" i="43"/>
  <c r="I273" i="43"/>
  <c r="I12" i="43" s="1"/>
  <c r="G269" i="2" s="1"/>
  <c r="Q269" i="2" s="1"/>
  <c r="I239" i="43"/>
  <c r="I240" i="43"/>
  <c r="I247" i="43"/>
  <c r="I31" i="43"/>
  <c r="I222" i="43"/>
  <c r="I190" i="43"/>
  <c r="I191" i="43"/>
  <c r="I41" i="43" s="1"/>
  <c r="I198" i="43"/>
  <c r="I141" i="43"/>
  <c r="I142" i="43"/>
  <c r="I143" i="43"/>
  <c r="I150" i="43"/>
  <c r="I8" i="43" s="1"/>
  <c r="I133" i="43"/>
  <c r="I15" i="62"/>
  <c r="I5" i="58"/>
  <c r="I11" i="44"/>
  <c r="I17" i="58"/>
  <c r="G151" i="2"/>
  <c r="Q151" i="2" s="1"/>
  <c r="I15" i="56"/>
  <c r="G58" i="3"/>
  <c r="G130" i="3"/>
  <c r="G89" i="2"/>
  <c r="Q89" i="2" s="1"/>
  <c r="I17" i="62"/>
  <c r="I13" i="62"/>
  <c r="G101" i="3"/>
  <c r="G131" i="3"/>
  <c r="I5" i="55"/>
  <c r="G145" i="2"/>
  <c r="Q145" i="2" s="1"/>
  <c r="I15" i="55"/>
  <c r="G83" i="3"/>
  <c r="I11" i="54"/>
  <c r="G319" i="3"/>
  <c r="I5" i="54"/>
  <c r="I15" i="54"/>
  <c r="I5" i="53"/>
  <c r="G280" i="2"/>
  <c r="Q280" i="2" s="1"/>
  <c r="I9" i="52"/>
  <c r="G434" i="2"/>
  <c r="Q434" i="2" s="1"/>
  <c r="G437" i="2"/>
  <c r="Q437" i="2" s="1"/>
  <c r="I37" i="52"/>
  <c r="G526" i="3"/>
  <c r="I12" i="52"/>
  <c r="G436" i="2"/>
  <c r="I23" i="52"/>
  <c r="G259" i="3"/>
  <c r="I15" i="51"/>
  <c r="G76" i="3"/>
  <c r="I5" i="51"/>
  <c r="G142" i="2"/>
  <c r="Q142" i="2" s="1"/>
  <c r="I13" i="51"/>
  <c r="G37" i="3"/>
  <c r="G141" i="2"/>
  <c r="Q141" i="2" s="1"/>
  <c r="I13" i="45"/>
  <c r="I23" i="45" s="1"/>
  <c r="I17" i="45"/>
  <c r="I19" i="46"/>
  <c r="G292" i="3"/>
  <c r="I39" i="49"/>
  <c r="G80" i="3" s="1"/>
  <c r="I5" i="48"/>
  <c r="G166" i="2"/>
  <c r="Q166" i="2" s="1"/>
  <c r="I5" i="45"/>
  <c r="G139" i="2"/>
  <c r="Q139" i="2" s="1"/>
  <c r="I19" i="45"/>
  <c r="G297" i="3"/>
  <c r="I15" i="44"/>
  <c r="G260" i="3"/>
  <c r="I5" i="44"/>
  <c r="G138" i="2"/>
  <c r="Q138" i="2" s="1"/>
  <c r="I13" i="44"/>
  <c r="G102" i="3"/>
  <c r="I5" i="62"/>
  <c r="I19" i="58"/>
  <c r="I13" i="56"/>
  <c r="I30" i="57"/>
  <c r="G364" i="3"/>
  <c r="I44" i="57"/>
  <c r="G18" i="3"/>
  <c r="I13" i="54"/>
  <c r="I6" i="53"/>
  <c r="I19" i="52"/>
  <c r="I7" i="52"/>
  <c r="I10" i="52"/>
  <c r="I30" i="49"/>
  <c r="G179" i="3"/>
  <c r="I17" i="46"/>
  <c r="I9" i="46"/>
  <c r="I11" i="46" s="1"/>
  <c r="I15" i="46"/>
  <c r="I5" i="46"/>
  <c r="I99" i="43"/>
  <c r="I58" i="43" s="1"/>
  <c r="I100" i="43"/>
  <c r="I62" i="43" s="1"/>
  <c r="G380" i="3" s="1"/>
  <c r="I101" i="43"/>
  <c r="I108" i="43"/>
  <c r="I45" i="52"/>
  <c r="I43" i="52"/>
  <c r="G457" i="3"/>
  <c r="I41" i="52"/>
  <c r="I13" i="52"/>
  <c r="I7" i="43"/>
  <c r="G264" i="2" s="1"/>
  <c r="Q264" i="2" s="1"/>
  <c r="I9" i="43"/>
  <c r="G266" i="2" s="1"/>
  <c r="Q266" i="2" s="1"/>
  <c r="I10" i="43"/>
  <c r="G267" i="2" s="1"/>
  <c r="Q267" i="2" s="1"/>
  <c r="I11" i="43"/>
  <c r="G268" i="2"/>
  <c r="Q268" i="2" s="1"/>
  <c r="I13" i="43"/>
  <c r="G270" i="2" s="1"/>
  <c r="Q270" i="2" s="1"/>
  <c r="I14" i="43"/>
  <c r="G271" i="2"/>
  <c r="Q271" i="2" s="1"/>
  <c r="I15" i="43"/>
  <c r="G272" i="2" s="1"/>
  <c r="Q272" i="2" s="1"/>
  <c r="I17" i="43"/>
  <c r="G274" i="2" s="1"/>
  <c r="I23" i="43"/>
  <c r="I24" i="43"/>
  <c r="I27" i="43"/>
  <c r="G59" i="3"/>
  <c r="I29" i="43"/>
  <c r="G235" i="3"/>
  <c r="I33" i="43"/>
  <c r="G128" i="3"/>
  <c r="I35" i="43"/>
  <c r="I36" i="43"/>
  <c r="I37" i="43" s="1"/>
  <c r="G223" i="3" s="1"/>
  <c r="I42" i="43"/>
  <c r="I43" i="43"/>
  <c r="I46" i="43"/>
  <c r="G267" i="3"/>
  <c r="I48" i="43"/>
  <c r="G388" i="3" s="1"/>
  <c r="I50" i="43"/>
  <c r="I54" i="43"/>
  <c r="I56" i="43" s="1"/>
  <c r="G69" i="3" s="1"/>
  <c r="I59" i="43"/>
  <c r="I64" i="43"/>
  <c r="G427" i="3" s="1"/>
  <c r="I66" i="43"/>
  <c r="I67" i="43"/>
  <c r="I81" i="43"/>
  <c r="I4" i="43" s="1"/>
  <c r="I13" i="41"/>
  <c r="I15" i="42"/>
  <c r="G515" i="3"/>
  <c r="I3" i="41"/>
  <c r="I7" i="41"/>
  <c r="I15" i="41"/>
  <c r="I11" i="41"/>
  <c r="G350" i="3"/>
  <c r="G125" i="3"/>
  <c r="I409" i="39"/>
  <c r="I34" i="39"/>
  <c r="I410" i="39"/>
  <c r="I51" i="39"/>
  <c r="G182" i="3"/>
  <c r="I411" i="39"/>
  <c r="I53" i="39"/>
  <c r="G240" i="3"/>
  <c r="I412" i="39"/>
  <c r="I75" i="39"/>
  <c r="G207" i="3"/>
  <c r="I373" i="39"/>
  <c r="I374" i="39"/>
  <c r="I73" i="39"/>
  <c r="G336" i="3"/>
  <c r="I375" i="39"/>
  <c r="I80" i="39"/>
  <c r="I382" i="39"/>
  <c r="I14" i="39"/>
  <c r="G208" i="2"/>
  <c r="Q208" i="2" s="1"/>
  <c r="I341" i="39"/>
  <c r="I22" i="39"/>
  <c r="I342" i="39"/>
  <c r="I44" i="39"/>
  <c r="I343" i="39"/>
  <c r="I350" i="39"/>
  <c r="I13" i="39"/>
  <c r="G207" i="2"/>
  <c r="Q207" i="2" s="1"/>
  <c r="I310" i="39"/>
  <c r="I41" i="39"/>
  <c r="G258" i="3"/>
  <c r="I311" i="39"/>
  <c r="I43" i="39"/>
  <c r="I312" i="39"/>
  <c r="I313" i="39"/>
  <c r="I71" i="39"/>
  <c r="G494" i="3"/>
  <c r="I320" i="39"/>
  <c r="I12" i="39"/>
  <c r="G206" i="2"/>
  <c r="Q206" i="2" s="1"/>
  <c r="I278" i="39"/>
  <c r="I26" i="39"/>
  <c r="I279" i="39"/>
  <c r="I67" i="39"/>
  <c r="G166" i="3"/>
  <c r="I280" i="39"/>
  <c r="I77" i="39"/>
  <c r="G244" i="3"/>
  <c r="I287" i="39"/>
  <c r="I11" i="39"/>
  <c r="G205" i="2"/>
  <c r="Q205" i="2" s="1"/>
  <c r="I248" i="39"/>
  <c r="I49" i="39"/>
  <c r="G92" i="3"/>
  <c r="I249" i="39"/>
  <c r="I256" i="39"/>
  <c r="I10" i="39"/>
  <c r="G204" i="2"/>
  <c r="Q204" i="2" s="1"/>
  <c r="I21" i="39"/>
  <c r="I23" i="39"/>
  <c r="G420" i="3"/>
  <c r="I61" i="39"/>
  <c r="G328" i="3"/>
  <c r="I226" i="39"/>
  <c r="I9" i="39"/>
  <c r="G203" i="2"/>
  <c r="Q203" i="2" s="1"/>
  <c r="I184" i="39"/>
  <c r="I25" i="39"/>
  <c r="I185" i="39"/>
  <c r="I186" i="39"/>
  <c r="I57" i="39"/>
  <c r="G214" i="3"/>
  <c r="I187" i="39"/>
  <c r="I59" i="39"/>
  <c r="G307" i="3"/>
  <c r="I188" i="39"/>
  <c r="I79" i="39"/>
  <c r="I195" i="39"/>
  <c r="I8" i="39"/>
  <c r="G202" i="2"/>
  <c r="Q202" i="2" s="1"/>
  <c r="I142" i="39"/>
  <c r="I37" i="39"/>
  <c r="G428" i="3"/>
  <c r="I143" i="39"/>
  <c r="I39" i="39"/>
  <c r="G253" i="3"/>
  <c r="I150" i="39"/>
  <c r="I7" i="39"/>
  <c r="G201" i="2"/>
  <c r="I114" i="39"/>
  <c r="I115" i="39"/>
  <c r="I31" i="39"/>
  <c r="G408" i="3"/>
  <c r="I116" i="39"/>
  <c r="I33" i="39"/>
  <c r="I123" i="39"/>
  <c r="I6" i="39"/>
  <c r="G200" i="2"/>
  <c r="Q200" i="2" s="1"/>
  <c r="I19" i="39"/>
  <c r="G280" i="3"/>
  <c r="I29" i="39"/>
  <c r="G442" i="3"/>
  <c r="I47" i="39"/>
  <c r="G502" i="3"/>
  <c r="I55" i="39"/>
  <c r="G10" i="3"/>
  <c r="I63" i="39"/>
  <c r="G325" i="3"/>
  <c r="I65" i="39"/>
  <c r="G127" i="3"/>
  <c r="I69" i="39"/>
  <c r="G304" i="3"/>
  <c r="I92" i="39"/>
  <c r="I5" i="39"/>
  <c r="G199" i="2"/>
  <c r="Q199" i="2" s="1"/>
  <c r="I242" i="28"/>
  <c r="I17" i="28" s="1"/>
  <c r="I243" i="28"/>
  <c r="I26" i="28" s="1"/>
  <c r="I22" i="28"/>
  <c r="G39" i="3" s="1"/>
  <c r="I30" i="28"/>
  <c r="I218" i="28"/>
  <c r="I10" i="28" s="1"/>
  <c r="G370" i="2" s="1"/>
  <c r="Q370" i="2" s="1"/>
  <c r="I20" i="28"/>
  <c r="I25" i="28"/>
  <c r="I9" i="28"/>
  <c r="G369" i="2" s="1"/>
  <c r="Q369" i="2" s="1"/>
  <c r="I142" i="28"/>
  <c r="I16" i="28" s="1"/>
  <c r="I8" i="28"/>
  <c r="I29" i="28"/>
  <c r="I113" i="28"/>
  <c r="I7" i="28" s="1"/>
  <c r="G367" i="2" s="1"/>
  <c r="Q367" i="2" s="1"/>
  <c r="I64" i="28"/>
  <c r="I14" i="28" s="1"/>
  <c r="G150" i="3" s="1"/>
  <c r="I65" i="28"/>
  <c r="I24" i="28" s="1"/>
  <c r="I42" i="28"/>
  <c r="I5" i="28" s="1"/>
  <c r="G365" i="2" s="1"/>
  <c r="Q365" i="2" s="1"/>
  <c r="I524" i="38"/>
  <c r="I66" i="38" s="1"/>
  <c r="I492" i="38"/>
  <c r="I39" i="38" s="1"/>
  <c r="G400" i="3" s="1"/>
  <c r="I493" i="38"/>
  <c r="I50" i="38" s="1"/>
  <c r="I500" i="38"/>
  <c r="I19" i="38" s="1"/>
  <c r="G29" i="2" s="1"/>
  <c r="Q29" i="2" s="1"/>
  <c r="I58" i="38"/>
  <c r="I61" i="38"/>
  <c r="I455" i="38"/>
  <c r="I18" i="38" s="1"/>
  <c r="G28" i="2" s="1"/>
  <c r="Q28" i="2" s="1"/>
  <c r="I422" i="38"/>
  <c r="I54" i="38" s="1"/>
  <c r="I423" i="38"/>
  <c r="I79" i="38" s="1"/>
  <c r="I17" i="38"/>
  <c r="I396" i="38"/>
  <c r="I46" i="38" s="1"/>
  <c r="I16" i="38"/>
  <c r="G26" i="2" s="1"/>
  <c r="Q26" i="2" s="1"/>
  <c r="I373" i="38"/>
  <c r="I32" i="38" s="1"/>
  <c r="I374" i="38"/>
  <c r="I43" i="38" s="1"/>
  <c r="G219" i="3" s="1"/>
  <c r="I375" i="38"/>
  <c r="I45" i="38" s="1"/>
  <c r="I383" i="38"/>
  <c r="I15" i="38" s="1"/>
  <c r="G25" i="2" s="1"/>
  <c r="Q25" i="2" s="1"/>
  <c r="I349" i="38"/>
  <c r="I41" i="38"/>
  <c r="G152" i="3" s="1"/>
  <c r="I78" i="38"/>
  <c r="I337" i="38"/>
  <c r="I14" i="38" s="1"/>
  <c r="G24" i="2" s="1"/>
  <c r="Q24" i="2" s="1"/>
  <c r="I293" i="38"/>
  <c r="I37" i="38" s="1"/>
  <c r="G85" i="3" s="1"/>
  <c r="I294" i="38"/>
  <c r="I53" i="38" s="1"/>
  <c r="I295" i="38"/>
  <c r="I65" i="38" s="1"/>
  <c r="I13" i="38"/>
  <c r="G23" i="2" s="1"/>
  <c r="Q23" i="2" s="1"/>
  <c r="I260" i="38"/>
  <c r="I35" i="38" s="1"/>
  <c r="G378" i="3" s="1"/>
  <c r="I267" i="38"/>
  <c r="I12" i="38" s="1"/>
  <c r="G22" i="2" s="1"/>
  <c r="Q22" i="2" s="1"/>
  <c r="I237" i="38"/>
  <c r="I31" i="38" s="1"/>
  <c r="I244" i="38"/>
  <c r="I11" i="38" s="1"/>
  <c r="G21" i="2" s="1"/>
  <c r="Q21" i="2" s="1"/>
  <c r="I77" i="38"/>
  <c r="I220" i="38"/>
  <c r="I10" i="38" s="1"/>
  <c r="G20" i="2" s="1"/>
  <c r="Q20" i="2" s="1"/>
  <c r="I168" i="38"/>
  <c r="I27" i="38" s="1"/>
  <c r="G376" i="3" s="1"/>
  <c r="I169" i="38"/>
  <c r="I57" i="38" s="1"/>
  <c r="I170" i="38"/>
  <c r="I69" i="38" s="1"/>
  <c r="I9" i="38"/>
  <c r="G19" i="2" s="1"/>
  <c r="Q19" i="2" s="1"/>
  <c r="I142" i="38"/>
  <c r="I70" i="38" s="1"/>
  <c r="I143" i="38"/>
  <c r="I75" i="38" s="1"/>
  <c r="G129" i="3" s="1"/>
  <c r="I150" i="38"/>
  <c r="I8" i="38" s="1"/>
  <c r="G18" i="2" s="1"/>
  <c r="Q18" i="2" s="1"/>
  <c r="I112" i="38"/>
  <c r="I62" i="38" s="1"/>
  <c r="I113" i="38"/>
  <c r="I73" i="38" s="1"/>
  <c r="G433" i="3" s="1"/>
  <c r="I120" i="38"/>
  <c r="I5" i="38" s="1"/>
  <c r="I93" i="38"/>
  <c r="I4" i="38" s="1"/>
  <c r="I3" i="36"/>
  <c r="I7" i="36"/>
  <c r="I9" i="36"/>
  <c r="I11" i="36"/>
  <c r="G473" i="3"/>
  <c r="I235" i="37"/>
  <c r="I237" i="37"/>
  <c r="I18" i="37"/>
  <c r="I238" i="37"/>
  <c r="I28" i="37"/>
  <c r="I239" i="37"/>
  <c r="I38" i="37"/>
  <c r="I240" i="37"/>
  <c r="I41" i="37"/>
  <c r="G52" i="3"/>
  <c r="I224" i="37"/>
  <c r="I220" i="37"/>
  <c r="I193" i="37"/>
  <c r="I182" i="37"/>
  <c r="I17" i="37"/>
  <c r="I19" i="37"/>
  <c r="I183" i="37"/>
  <c r="I32" i="37"/>
  <c r="I190" i="37"/>
  <c r="I11" i="37"/>
  <c r="G259" i="2"/>
  <c r="Q259" i="2" s="1"/>
  <c r="I152" i="37"/>
  <c r="I153" i="37"/>
  <c r="I37" i="37"/>
  <c r="I39" i="37"/>
  <c r="G385" i="3"/>
  <c r="I160" i="37"/>
  <c r="I10" i="37"/>
  <c r="G258" i="2"/>
  <c r="Q258" i="2" s="1"/>
  <c r="I122" i="37"/>
  <c r="I31" i="37" s="1"/>
  <c r="I33" i="37" s="1"/>
  <c r="I129" i="37"/>
  <c r="I9" i="37"/>
  <c r="G257" i="2"/>
  <c r="Q257" i="2" s="1"/>
  <c r="I97" i="37"/>
  <c r="I27" i="37"/>
  <c r="I29" i="37"/>
  <c r="G155" i="3"/>
  <c r="I104" i="37"/>
  <c r="I21" i="37"/>
  <c r="I23" i="37"/>
  <c r="G472" i="3"/>
  <c r="I25" i="37"/>
  <c r="G334" i="3"/>
  <c r="I86" i="37"/>
  <c r="I7" i="37"/>
  <c r="I8" i="37"/>
  <c r="G256" i="2" s="1"/>
  <c r="I22" i="37"/>
  <c r="I54" i="37"/>
  <c r="I4" i="37"/>
  <c r="G261" i="2"/>
  <c r="Q261" i="2" s="1"/>
  <c r="I25" i="43"/>
  <c r="G276" i="3" s="1"/>
  <c r="I5" i="41"/>
  <c r="G137" i="2"/>
  <c r="Q137" i="2" s="1"/>
  <c r="I13" i="42"/>
  <c r="I7" i="42"/>
  <c r="I9" i="42" s="1"/>
  <c r="I27" i="39"/>
  <c r="G318" i="3"/>
  <c r="I81" i="39"/>
  <c r="G171" i="3"/>
  <c r="I15" i="36"/>
  <c r="G415" i="3"/>
  <c r="I13" i="36"/>
  <c r="G469" i="3"/>
  <c r="I17" i="36"/>
  <c r="G134" i="2"/>
  <c r="Q134" i="2" s="1"/>
  <c r="I5" i="42"/>
  <c r="G144" i="2"/>
  <c r="Q144" i="2" s="1"/>
  <c r="I8" i="41"/>
  <c r="I9" i="41" s="1"/>
  <c r="G497" i="3" s="1"/>
  <c r="G75" i="3"/>
  <c r="G136" i="2"/>
  <c r="Q136" i="2" s="1"/>
  <c r="I35" i="39"/>
  <c r="I45" i="39"/>
  <c r="G452" i="3"/>
  <c r="I3" i="39"/>
  <c r="I5" i="36"/>
  <c r="I14" i="37"/>
  <c r="I3" i="35"/>
  <c r="G133" i="2"/>
  <c r="Q133" i="2" s="1"/>
  <c r="I7" i="35"/>
  <c r="I9" i="35"/>
  <c r="G296" i="3"/>
  <c r="I11" i="35"/>
  <c r="G507" i="3"/>
  <c r="I151" i="34"/>
  <c r="I11" i="34"/>
  <c r="I152" i="34"/>
  <c r="I13" i="34"/>
  <c r="G229" i="3"/>
  <c r="I153" i="34"/>
  <c r="I154" i="34"/>
  <c r="I19" i="34"/>
  <c r="G434" i="3"/>
  <c r="I155" i="34"/>
  <c r="I156" i="34"/>
  <c r="I24" i="34"/>
  <c r="I147" i="34"/>
  <c r="I141" i="34"/>
  <c r="I115" i="34"/>
  <c r="I111" i="34"/>
  <c r="I103" i="34"/>
  <c r="I86" i="34"/>
  <c r="I15" i="34"/>
  <c r="G438" i="3"/>
  <c r="I23" i="34"/>
  <c r="I25" i="34"/>
  <c r="G487" i="3"/>
  <c r="I73" i="34"/>
  <c r="I4" i="34"/>
  <c r="I17" i="34"/>
  <c r="G504" i="3"/>
  <c r="I21" i="34"/>
  <c r="G298" i="3"/>
  <c r="I3" i="34"/>
  <c r="G162" i="2"/>
  <c r="Q162" i="2" s="1"/>
  <c r="I288" i="33"/>
  <c r="I43" i="33"/>
  <c r="I42" i="33"/>
  <c r="I46" i="33"/>
  <c r="G121" i="3"/>
  <c r="I271" i="33"/>
  <c r="I13" i="33"/>
  <c r="G359" i="2"/>
  <c r="Q359" i="2" s="1"/>
  <c r="I32" i="33"/>
  <c r="I41" i="33"/>
  <c r="I12" i="33"/>
  <c r="G358" i="2"/>
  <c r="Q358" i="2" s="1"/>
  <c r="I196" i="33"/>
  <c r="I36" i="33"/>
  <c r="I11" i="33"/>
  <c r="G357" i="2"/>
  <c r="Q357" i="2" s="1"/>
  <c r="I27" i="33"/>
  <c r="I30" i="33"/>
  <c r="I35" i="33"/>
  <c r="I175" i="33"/>
  <c r="I10" i="33"/>
  <c r="G356" i="2"/>
  <c r="I133" i="33"/>
  <c r="I26" i="33"/>
  <c r="I9" i="33"/>
  <c r="G355" i="2"/>
  <c r="Q355" i="2" s="1"/>
  <c r="I23" i="33"/>
  <c r="I31" i="33"/>
  <c r="I39" i="33"/>
  <c r="G255" i="3"/>
  <c r="I120" i="33"/>
  <c r="I8" i="33"/>
  <c r="G354" i="2"/>
  <c r="Q354" i="2" s="1"/>
  <c r="I79" i="33"/>
  <c r="I20" i="33"/>
  <c r="G220" i="3"/>
  <c r="I80" i="33"/>
  <c r="I22" i="33"/>
  <c r="I5" i="33"/>
  <c r="G362" i="2"/>
  <c r="Q362" i="2" s="1"/>
  <c r="I59" i="33"/>
  <c r="I4" i="33"/>
  <c r="I370" i="27"/>
  <c r="I53" i="27" s="1"/>
  <c r="I55" i="27" s="1"/>
  <c r="G96" i="3" s="1"/>
  <c r="I336" i="27"/>
  <c r="I25" i="27" s="1"/>
  <c r="I337" i="27"/>
  <c r="I35" i="27" s="1"/>
  <c r="G333" i="3" s="1"/>
  <c r="I345" i="27"/>
  <c r="I14" i="27" s="1"/>
  <c r="G347" i="2" s="1"/>
  <c r="Q347" i="2" s="1"/>
  <c r="I309" i="27"/>
  <c r="I13" i="27" s="1"/>
  <c r="G346" i="2" s="1"/>
  <c r="Q346" i="2" s="1"/>
  <c r="I268" i="27"/>
  <c r="I37" i="27" s="1"/>
  <c r="G212" i="3" s="1"/>
  <c r="I12" i="27"/>
  <c r="G345" i="2" s="1"/>
  <c r="Q345" i="2" s="1"/>
  <c r="I229" i="27"/>
  <c r="I24" i="27" s="1"/>
  <c r="I230" i="27"/>
  <c r="I48" i="27" s="1"/>
  <c r="I239" i="27"/>
  <c r="I11" i="27" s="1"/>
  <c r="G344" i="2" s="1"/>
  <c r="Q344" i="2" s="1"/>
  <c r="I30" i="27"/>
  <c r="I33" i="27"/>
  <c r="I203" i="27"/>
  <c r="I10" i="27"/>
  <c r="G343" i="2" s="1"/>
  <c r="Q343" i="2" s="1"/>
  <c r="I164" i="27"/>
  <c r="I165" i="27"/>
  <c r="I29" i="27" s="1"/>
  <c r="I31" i="27" s="1"/>
  <c r="G50" i="3" s="1"/>
  <c r="I166" i="27"/>
  <c r="I47" i="27" s="1"/>
  <c r="I49" i="27" s="1"/>
  <c r="G64" i="3" s="1"/>
  <c r="I9" i="27"/>
  <c r="I145" i="27"/>
  <c r="I120" i="27"/>
  <c r="I51" i="27" s="1"/>
  <c r="G203" i="3" s="1"/>
  <c r="I121" i="27"/>
  <c r="I58" i="27" s="1"/>
  <c r="I128" i="27"/>
  <c r="I8" i="27" s="1"/>
  <c r="G341" i="2" s="1"/>
  <c r="Q341" i="2" s="1"/>
  <c r="I94" i="27"/>
  <c r="I39" i="27"/>
  <c r="G401" i="3" s="1"/>
  <c r="I95" i="27"/>
  <c r="I41" i="27"/>
  <c r="G266" i="3" s="1"/>
  <c r="I96" i="27"/>
  <c r="I43" i="27" s="1"/>
  <c r="I103" i="27"/>
  <c r="I5" i="27" s="1"/>
  <c r="I23" i="27"/>
  <c r="I72" i="27"/>
  <c r="I4" i="27" s="1"/>
  <c r="I338" i="26"/>
  <c r="I49" i="26"/>
  <c r="G107" i="3"/>
  <c r="I313" i="26"/>
  <c r="I23" i="26"/>
  <c r="I314" i="26"/>
  <c r="I46" i="26"/>
  <c r="I47" i="26"/>
  <c r="G299" i="3"/>
  <c r="I321" i="26"/>
  <c r="I14" i="26"/>
  <c r="G76" i="2"/>
  <c r="Q76" i="2" s="1"/>
  <c r="I279" i="26"/>
  <c r="I38" i="26"/>
  <c r="G287" i="3"/>
  <c r="I286" i="26"/>
  <c r="I36" i="26"/>
  <c r="G321" i="3"/>
  <c r="I42" i="26"/>
  <c r="I249" i="26"/>
  <c r="I12" i="26"/>
  <c r="G74" i="2"/>
  <c r="Q74" i="2" s="1"/>
  <c r="I213" i="26"/>
  <c r="I29" i="26"/>
  <c r="I220" i="26"/>
  <c r="I11" i="26"/>
  <c r="G73" i="2"/>
  <c r="Q73" i="2" s="1"/>
  <c r="I178" i="26"/>
  <c r="I26" i="26"/>
  <c r="G326" i="3"/>
  <c r="I179" i="26"/>
  <c r="I186" i="26"/>
  <c r="I10" i="26"/>
  <c r="G72" i="2"/>
  <c r="Q72" i="2" s="1"/>
  <c r="I149" i="26"/>
  <c r="I22" i="26"/>
  <c r="I24" i="26"/>
  <c r="I157" i="26"/>
  <c r="I9" i="26"/>
  <c r="G71" i="2"/>
  <c r="I117" i="26"/>
  <c r="I118" i="26"/>
  <c r="I28" i="26"/>
  <c r="I30" i="26"/>
  <c r="G482" i="3"/>
  <c r="I119" i="26"/>
  <c r="I40" i="26"/>
  <c r="I127" i="26"/>
  <c r="I8" i="26"/>
  <c r="G70" i="2"/>
  <c r="Q70" i="2" s="1"/>
  <c r="I107" i="26"/>
  <c r="I81" i="26"/>
  <c r="I32" i="26"/>
  <c r="G389" i="3"/>
  <c r="I82" i="26"/>
  <c r="I34" i="26"/>
  <c r="G377" i="3"/>
  <c r="I83" i="26"/>
  <c r="I41" i="26"/>
  <c r="I90" i="26"/>
  <c r="I7" i="26"/>
  <c r="I13" i="26"/>
  <c r="G75" i="2"/>
  <c r="Q75" i="2" s="1"/>
  <c r="I20" i="26"/>
  <c r="G384" i="3"/>
  <c r="I45" i="26"/>
  <c r="I62" i="26"/>
  <c r="I4" i="26"/>
  <c r="G441" i="3"/>
  <c r="I204" i="25"/>
  <c r="I26" i="25" s="1"/>
  <c r="G196" i="2"/>
  <c r="Q196" i="2" s="1"/>
  <c r="I165" i="25"/>
  <c r="I172" i="25"/>
  <c r="I9" i="25" s="1"/>
  <c r="I130" i="25"/>
  <c r="I18" i="25" s="1"/>
  <c r="G474" i="3" s="1"/>
  <c r="I131" i="25"/>
  <c r="I25" i="25" s="1"/>
  <c r="I138" i="25"/>
  <c r="I8" i="25"/>
  <c r="G194" i="2"/>
  <c r="Q194" i="2" s="1"/>
  <c r="I99" i="25"/>
  <c r="I14" i="25" s="1"/>
  <c r="I16" i="25" s="1"/>
  <c r="G379" i="3" s="1"/>
  <c r="I106" i="25"/>
  <c r="I7" i="25"/>
  <c r="G193" i="2" s="1"/>
  <c r="Q193" i="2" s="1"/>
  <c r="I75" i="25"/>
  <c r="I20" i="25"/>
  <c r="I76" i="25"/>
  <c r="I24" i="25" s="1"/>
  <c r="I77" i="25"/>
  <c r="I31" i="25" s="1"/>
  <c r="G523" i="3" s="1"/>
  <c r="I84" i="25"/>
  <c r="I6" i="25" s="1"/>
  <c r="G192" i="2" s="1"/>
  <c r="Q192" i="2" s="1"/>
  <c r="I21" i="25"/>
  <c r="I22" i="25" s="1"/>
  <c r="G514" i="3" s="1"/>
  <c r="I42" i="25"/>
  <c r="I5" i="25" s="1"/>
  <c r="G191" i="2" s="1"/>
  <c r="Q191" i="2" s="1"/>
  <c r="I3" i="24"/>
  <c r="I7" i="24"/>
  <c r="I9" i="24"/>
  <c r="I11" i="24"/>
  <c r="I199" i="23"/>
  <c r="I19" i="23" s="1"/>
  <c r="I179" i="23"/>
  <c r="I10" i="23" s="1"/>
  <c r="I180" i="23"/>
  <c r="I12" i="23"/>
  <c r="G413" i="3" s="1"/>
  <c r="I181" i="23"/>
  <c r="I14" i="23" s="1"/>
  <c r="G339" i="3" s="1"/>
  <c r="I182" i="23"/>
  <c r="I16" i="23"/>
  <c r="G138" i="3" s="1"/>
  <c r="I183" i="23"/>
  <c r="I18" i="23" s="1"/>
  <c r="I184" i="23"/>
  <c r="I22" i="23" s="1"/>
  <c r="G281" i="3" s="1"/>
  <c r="I192" i="23"/>
  <c r="I4" i="23" s="1"/>
  <c r="G338" i="2" s="1"/>
  <c r="Q338" i="2" s="1"/>
  <c r="I156" i="23"/>
  <c r="I137" i="23"/>
  <c r="I134" i="23"/>
  <c r="I126" i="23"/>
  <c r="I105" i="23"/>
  <c r="I96" i="23"/>
  <c r="I73" i="23"/>
  <c r="I59" i="23"/>
  <c r="I54" i="23"/>
  <c r="I44" i="23"/>
  <c r="I35" i="23"/>
  <c r="I3" i="23" s="1"/>
  <c r="I3" i="20"/>
  <c r="G158" i="2"/>
  <c r="Q158" i="2" s="1"/>
  <c r="I5" i="20"/>
  <c r="I7" i="21"/>
  <c r="I9" i="21" s="1"/>
  <c r="I17" i="21" s="1"/>
  <c r="I217" i="19"/>
  <c r="I25" i="19"/>
  <c r="G254" i="3"/>
  <c r="I218" i="19"/>
  <c r="I33" i="19"/>
  <c r="I183" i="19"/>
  <c r="I13" i="19"/>
  <c r="G202" i="3"/>
  <c r="I184" i="19"/>
  <c r="I23" i="19"/>
  <c r="G371" i="3"/>
  <c r="I186" i="19"/>
  <c r="I30" i="19"/>
  <c r="I187" i="19"/>
  <c r="I34" i="19"/>
  <c r="I194" i="19"/>
  <c r="I5" i="19"/>
  <c r="I181" i="19"/>
  <c r="I176" i="19"/>
  <c r="I170" i="19"/>
  <c r="I151" i="19"/>
  <c r="I139" i="19"/>
  <c r="I128" i="19"/>
  <c r="I125" i="19"/>
  <c r="I107" i="19"/>
  <c r="I15" i="19" s="1"/>
  <c r="I108" i="19"/>
  <c r="I17" i="19" s="1"/>
  <c r="G110" i="3" s="1"/>
  <c r="I109" i="19"/>
  <c r="I19" i="19" s="1"/>
  <c r="I21" i="19" s="1"/>
  <c r="G302" i="3" s="1"/>
  <c r="I110" i="19"/>
  <c r="I27" i="19" s="1"/>
  <c r="G178" i="3" s="1"/>
  <c r="I111" i="19"/>
  <c r="I29" i="19"/>
  <c r="I118" i="19"/>
  <c r="I4" i="19"/>
  <c r="G186" i="2"/>
  <c r="Q186" i="2" s="1"/>
  <c r="I77" i="19"/>
  <c r="I56" i="19"/>
  <c r="I20" i="19"/>
  <c r="I49" i="19"/>
  <c r="I3" i="19" s="1"/>
  <c r="I3" i="14"/>
  <c r="I5" i="14"/>
  <c r="I8" i="14"/>
  <c r="I13" i="12"/>
  <c r="I11" i="14"/>
  <c r="G20" i="3"/>
  <c r="I32" i="13"/>
  <c r="I36" i="13"/>
  <c r="I19" i="13"/>
  <c r="G33" i="3" s="1"/>
  <c r="I25" i="13"/>
  <c r="I11" i="13"/>
  <c r="G13" i="2" s="1"/>
  <c r="Q13" i="2" s="1"/>
  <c r="I202" i="13"/>
  <c r="I169" i="13"/>
  <c r="I22" i="13" s="1"/>
  <c r="I10" i="13"/>
  <c r="G12" i="2" s="1"/>
  <c r="Q12" i="2" s="1"/>
  <c r="I135" i="13"/>
  <c r="I21" i="13" s="1"/>
  <c r="I136" i="13"/>
  <c r="I35" i="13" s="1"/>
  <c r="I143" i="13"/>
  <c r="I9" i="13" s="1"/>
  <c r="I106" i="13"/>
  <c r="I17" i="13" s="1"/>
  <c r="G193" i="3" s="1"/>
  <c r="I107" i="13"/>
  <c r="I31" i="13" s="1"/>
  <c r="I114" i="13"/>
  <c r="I8" i="13" s="1"/>
  <c r="G10" i="2" s="1"/>
  <c r="Q10" i="2" s="1"/>
  <c r="I26" i="13"/>
  <c r="I29" i="13"/>
  <c r="I90" i="13"/>
  <c r="I7" i="13" s="1"/>
  <c r="G9" i="2" s="1"/>
  <c r="Q9" i="2" s="1"/>
  <c r="I59" i="13"/>
  <c r="I4" i="13"/>
  <c r="I174" i="18"/>
  <c r="I13" i="18"/>
  <c r="I175" i="18"/>
  <c r="I17" i="18"/>
  <c r="I176" i="18"/>
  <c r="I21" i="18"/>
  <c r="I177" i="18"/>
  <c r="I26" i="18"/>
  <c r="G160" i="3"/>
  <c r="I137" i="18"/>
  <c r="I16" i="18"/>
  <c r="I18" i="18"/>
  <c r="G151" i="3"/>
  <c r="I144" i="18"/>
  <c r="I8" i="18"/>
  <c r="G250" i="2"/>
  <c r="Q250" i="2" s="1"/>
  <c r="I115" i="18"/>
  <c r="I24" i="18"/>
  <c r="G312" i="3"/>
  <c r="I123" i="18"/>
  <c r="I7" i="18"/>
  <c r="G249" i="2"/>
  <c r="I12" i="18"/>
  <c r="I88" i="18"/>
  <c r="I6" i="18"/>
  <c r="G248" i="2"/>
  <c r="Q248" i="2" s="1"/>
  <c r="I74" i="18"/>
  <c r="I20" i="18"/>
  <c r="I65" i="18"/>
  <c r="I5" i="18"/>
  <c r="I3" i="15"/>
  <c r="I7" i="15"/>
  <c r="G412" i="3"/>
  <c r="I9" i="15"/>
  <c r="I11" i="15"/>
  <c r="I17" i="15"/>
  <c r="I3" i="16"/>
  <c r="G197" i="3"/>
  <c r="I11" i="16"/>
  <c r="I12" i="16"/>
  <c r="I18" i="15"/>
  <c r="I19" i="15" s="1"/>
  <c r="I17" i="16"/>
  <c r="G332" i="2"/>
  <c r="G67" i="3"/>
  <c r="G24" i="3"/>
  <c r="I3" i="12"/>
  <c r="I5" i="12"/>
  <c r="I8" i="12"/>
  <c r="G100" i="3"/>
  <c r="I10" i="12"/>
  <c r="G61" i="3"/>
  <c r="I12" i="12"/>
  <c r="I7" i="14"/>
  <c r="I9" i="14" s="1"/>
  <c r="G128" i="2"/>
  <c r="Q128" i="2" s="1"/>
  <c r="I15" i="11"/>
  <c r="I9" i="11"/>
  <c r="I11" i="11" s="1"/>
  <c r="G450" i="3"/>
  <c r="I3" i="11"/>
  <c r="I7" i="11"/>
  <c r="I10" i="11"/>
  <c r="I13" i="11"/>
  <c r="G226" i="3"/>
  <c r="I239" i="9"/>
  <c r="I240" i="9"/>
  <c r="I24" i="9"/>
  <c r="I25" i="9"/>
  <c r="G181" i="3"/>
  <c r="I241" i="9"/>
  <c r="I30" i="9"/>
  <c r="I242" i="9"/>
  <c r="I45" i="9"/>
  <c r="I204" i="9"/>
  <c r="I23" i="9"/>
  <c r="I205" i="9"/>
  <c r="I41" i="9"/>
  <c r="I212" i="9"/>
  <c r="I8" i="9"/>
  <c r="G244" i="2"/>
  <c r="Q244" i="2" s="1"/>
  <c r="I170" i="9"/>
  <c r="I27" i="9"/>
  <c r="G48" i="3"/>
  <c r="I171" i="9"/>
  <c r="I34" i="9"/>
  <c r="I172" i="9"/>
  <c r="I44" i="9"/>
  <c r="I46" i="9"/>
  <c r="G104" i="3"/>
  <c r="I179" i="9"/>
  <c r="I7" i="9"/>
  <c r="I130" i="9"/>
  <c r="I37" i="9"/>
  <c r="G71" i="3"/>
  <c r="I131" i="9"/>
  <c r="I40" i="9"/>
  <c r="I138" i="9"/>
  <c r="I6" i="9"/>
  <c r="I105" i="9"/>
  <c r="I29" i="9"/>
  <c r="I31" i="9"/>
  <c r="G256" i="3"/>
  <c r="I106" i="9"/>
  <c r="I33" i="9"/>
  <c r="I35" i="9"/>
  <c r="G246" i="3"/>
  <c r="I113" i="9"/>
  <c r="I5" i="9"/>
  <c r="G241" i="2"/>
  <c r="Q241" i="2" s="1"/>
  <c r="I79" i="9"/>
  <c r="I19" i="9"/>
  <c r="I80" i="9"/>
  <c r="I39" i="9"/>
  <c r="I42" i="9"/>
  <c r="G243" i="3"/>
  <c r="I87" i="9"/>
  <c r="I4" i="9"/>
  <c r="G240" i="2"/>
  <c r="I20" i="9"/>
  <c r="I21" i="9"/>
  <c r="I59" i="9"/>
  <c r="I3" i="9"/>
  <c r="I162" i="7"/>
  <c r="I15" i="7"/>
  <c r="G437" i="3" s="1"/>
  <c r="I163" i="7"/>
  <c r="I17" i="7"/>
  <c r="I131" i="7"/>
  <c r="I18" i="7" s="1"/>
  <c r="I19" i="7" s="1"/>
  <c r="G440" i="3" s="1"/>
  <c r="I132" i="7"/>
  <c r="I22" i="7" s="1"/>
  <c r="I133" i="7"/>
  <c r="I26" i="7" s="1"/>
  <c r="I134" i="7"/>
  <c r="I29" i="7" s="1"/>
  <c r="G95" i="3" s="1"/>
  <c r="I141" i="7"/>
  <c r="I5" i="7"/>
  <c r="I120" i="7"/>
  <c r="I103" i="7"/>
  <c r="I96" i="7"/>
  <c r="I83" i="7"/>
  <c r="I13" i="7" s="1"/>
  <c r="I84" i="7"/>
  <c r="I85" i="7"/>
  <c r="I25" i="7" s="1"/>
  <c r="I27" i="7" s="1"/>
  <c r="G13" i="3" s="1"/>
  <c r="I92" i="7"/>
  <c r="I4" i="7" s="1"/>
  <c r="I69" i="7"/>
  <c r="I61" i="7"/>
  <c r="I58" i="7"/>
  <c r="I55" i="7"/>
  <c r="I50" i="7"/>
  <c r="I21" i="7"/>
  <c r="I23" i="7" s="1"/>
  <c r="G27" i="3" s="1"/>
  <c r="I43" i="7"/>
  <c r="I3" i="7"/>
  <c r="G4" i="2" s="1"/>
  <c r="Q4" i="2" s="1"/>
  <c r="I3" i="6"/>
  <c r="I7" i="6"/>
  <c r="I9" i="6"/>
  <c r="I3" i="5"/>
  <c r="I5" i="5"/>
  <c r="G127" i="2"/>
  <c r="Q127" i="2" s="1"/>
  <c r="I7" i="5"/>
  <c r="I9" i="5"/>
  <c r="G186" i="3"/>
  <c r="I11" i="5"/>
  <c r="G116" i="3"/>
  <c r="I7" i="4"/>
  <c r="G174" i="3"/>
  <c r="I9" i="4"/>
  <c r="I3" i="8"/>
  <c r="G140" i="2"/>
  <c r="Q140" i="2" s="1"/>
  <c r="I7" i="8"/>
  <c r="I9" i="8"/>
  <c r="G238" i="3"/>
  <c r="I12" i="8"/>
  <c r="I10" i="4"/>
  <c r="I11" i="4" s="1"/>
  <c r="I3" i="4"/>
  <c r="I13" i="15"/>
  <c r="I23" i="15" s="1"/>
  <c r="I18" i="12"/>
  <c r="I6" i="12"/>
  <c r="I15" i="14"/>
  <c r="I15" i="16"/>
  <c r="G147" i="2"/>
  <c r="Q147" i="2" s="1"/>
  <c r="I13" i="16"/>
  <c r="I21" i="16"/>
  <c r="G443" i="3"/>
  <c r="I15" i="15"/>
  <c r="I17" i="8"/>
  <c r="G60" i="3"/>
  <c r="I15" i="4"/>
  <c r="I5" i="8"/>
  <c r="I13" i="4"/>
  <c r="I19" i="11"/>
  <c r="G500" i="3"/>
  <c r="I5" i="11"/>
  <c r="G135" i="2"/>
  <c r="Q135" i="2" s="1"/>
  <c r="I87" i="39"/>
  <c r="I83" i="39"/>
  <c r="G286" i="3"/>
  <c r="I85" i="39"/>
  <c r="I17" i="35"/>
  <c r="G383" i="3"/>
  <c r="I15" i="35"/>
  <c r="I5" i="35"/>
  <c r="I15" i="24"/>
  <c r="G17" i="3"/>
  <c r="I13" i="24"/>
  <c r="G105" i="3"/>
  <c r="I17" i="24"/>
  <c r="G43" i="3"/>
  <c r="I5" i="24"/>
  <c r="G132" i="2"/>
  <c r="Q132" i="2" s="1"/>
  <c r="G187" i="2"/>
  <c r="Q187" i="2" s="1"/>
  <c r="I10" i="19"/>
  <c r="I31" i="19"/>
  <c r="G405" i="3" s="1"/>
  <c r="I17" i="14"/>
  <c r="I16" i="12"/>
  <c r="G131" i="2"/>
  <c r="Q131" i="2"/>
  <c r="I5" i="15"/>
  <c r="G130" i="2"/>
  <c r="Q130" i="2" s="1"/>
  <c r="I21" i="15"/>
  <c r="G470" i="3"/>
  <c r="I19" i="16"/>
  <c r="G403" i="3"/>
  <c r="I15" i="17"/>
  <c r="G273" i="3"/>
  <c r="I17" i="17"/>
  <c r="I19" i="17"/>
  <c r="G347" i="3"/>
  <c r="G129" i="2"/>
  <c r="Q129" i="2" s="1"/>
  <c r="I13" i="14"/>
  <c r="I16" i="9"/>
  <c r="G6" i="2"/>
  <c r="Q6" i="2" s="1"/>
  <c r="I10" i="7"/>
  <c r="I11" i="6"/>
  <c r="G521" i="3"/>
  <c r="G331" i="2"/>
  <c r="Q331" i="2" s="1"/>
  <c r="I15" i="6"/>
  <c r="G355" i="3"/>
  <c r="G118" i="3"/>
  <c r="G126" i="2"/>
  <c r="Q126" i="2" s="1"/>
  <c r="I15" i="8"/>
  <c r="I17" i="4"/>
  <c r="I11" i="8"/>
  <c r="I13" i="8" s="1"/>
  <c r="I19" i="8" s="1"/>
  <c r="I17" i="39"/>
  <c r="I16" i="39"/>
  <c r="I13" i="35"/>
  <c r="I35" i="19"/>
  <c r="G353" i="3"/>
  <c r="I9" i="19"/>
  <c r="I14" i="12"/>
  <c r="I20" i="12" s="1"/>
  <c r="I5" i="16"/>
  <c r="I8" i="7"/>
  <c r="I13" i="6"/>
  <c r="I5" i="6"/>
  <c r="I13" i="5"/>
  <c r="I5" i="4"/>
  <c r="H58" i="31"/>
  <c r="H313" i="43"/>
  <c r="H296" i="43"/>
  <c r="H159" i="89"/>
  <c r="H160" i="89"/>
  <c r="H137" i="89"/>
  <c r="H7" i="89" s="1"/>
  <c r="F176" i="2" s="1"/>
  <c r="P176" i="2" s="1"/>
  <c r="H176" i="19"/>
  <c r="D273" i="43"/>
  <c r="E273" i="43"/>
  <c r="F273" i="43"/>
  <c r="G273" i="43"/>
  <c r="H273" i="43"/>
  <c r="D3" i="65"/>
  <c r="D5" i="65" s="1"/>
  <c r="E3" i="65"/>
  <c r="F3" i="65"/>
  <c r="G3" i="65"/>
  <c r="E172" i="2" s="1"/>
  <c r="O172" i="2" s="1"/>
  <c r="H3" i="65"/>
  <c r="F172" i="2" s="1"/>
  <c r="H102" i="65"/>
  <c r="H7" i="65" s="1"/>
  <c r="H103" i="65"/>
  <c r="H9" i="65"/>
  <c r="F498" i="3" s="1"/>
  <c r="H104" i="65"/>
  <c r="H12" i="65" s="1"/>
  <c r="H105" i="65"/>
  <c r="H15" i="65" s="1"/>
  <c r="F509" i="3" s="1"/>
  <c r="E28" i="65"/>
  <c r="F28" i="65"/>
  <c r="G28" i="65"/>
  <c r="H28" i="65"/>
  <c r="D28" i="65"/>
  <c r="E102" i="65"/>
  <c r="F102" i="65"/>
  <c r="F7" i="65" s="1"/>
  <c r="G102" i="65"/>
  <c r="E104" i="65"/>
  <c r="E12" i="65" s="1"/>
  <c r="F104" i="65"/>
  <c r="G104" i="65"/>
  <c r="G12" i="65" s="1"/>
  <c r="D104" i="65"/>
  <c r="D102" i="65"/>
  <c r="D7" i="65" s="1"/>
  <c r="H85" i="65"/>
  <c r="G85" i="65"/>
  <c r="F85" i="65"/>
  <c r="E85" i="65"/>
  <c r="D85" i="65"/>
  <c r="H80" i="52"/>
  <c r="H81" i="52"/>
  <c r="H82" i="52"/>
  <c r="H83" i="52"/>
  <c r="H84" i="52"/>
  <c r="H113" i="9"/>
  <c r="H41" i="38"/>
  <c r="F152" i="3" s="1"/>
  <c r="D41" i="38"/>
  <c r="B152" i="3" s="1"/>
  <c r="K152" i="3" s="1"/>
  <c r="H181" i="23"/>
  <c r="H179" i="23"/>
  <c r="H182" i="23"/>
  <c r="H180" i="23"/>
  <c r="H12" i="23" s="1"/>
  <c r="F413" i="3" s="1"/>
  <c r="H184" i="23"/>
  <c r="H35" i="23"/>
  <c r="H134" i="23"/>
  <c r="E134" i="23"/>
  <c r="F134" i="23"/>
  <c r="G134" i="23"/>
  <c r="H126" i="23"/>
  <c r="E163" i="95"/>
  <c r="F163" i="95"/>
  <c r="G163" i="95"/>
  <c r="H163" i="95"/>
  <c r="E141" i="95"/>
  <c r="F141" i="95"/>
  <c r="G141" i="95"/>
  <c r="H141" i="95"/>
  <c r="D141" i="95"/>
  <c r="D163" i="95"/>
  <c r="E170" i="95"/>
  <c r="F170" i="95"/>
  <c r="G170" i="95"/>
  <c r="H170" i="95"/>
  <c r="E171" i="95"/>
  <c r="F171" i="95"/>
  <c r="G171" i="95"/>
  <c r="H171" i="95"/>
  <c r="E172" i="95"/>
  <c r="F172" i="95"/>
  <c r="G172" i="95"/>
  <c r="H172" i="95"/>
  <c r="D172" i="95"/>
  <c r="D170" i="95"/>
  <c r="D171" i="95"/>
  <c r="H183" i="23"/>
  <c r="D35" i="23"/>
  <c r="E35" i="23"/>
  <c r="F35" i="23"/>
  <c r="F3" i="23" s="1"/>
  <c r="G35" i="23"/>
  <c r="D184" i="23"/>
  <c r="E184" i="23"/>
  <c r="F184" i="23"/>
  <c r="G184" i="23"/>
  <c r="D179" i="23"/>
  <c r="E179" i="23"/>
  <c r="F179" i="23"/>
  <c r="F10" i="23" s="1"/>
  <c r="G179" i="23"/>
  <c r="H137" i="23"/>
  <c r="G137" i="23"/>
  <c r="F137" i="23"/>
  <c r="E137" i="23"/>
  <c r="D137" i="23"/>
  <c r="D182" i="23"/>
  <c r="E182" i="23"/>
  <c r="F182" i="23"/>
  <c r="G182" i="23"/>
  <c r="H105" i="23"/>
  <c r="G105" i="23"/>
  <c r="F105" i="23"/>
  <c r="E105" i="23"/>
  <c r="D105" i="23"/>
  <c r="D183" i="23"/>
  <c r="E183" i="23"/>
  <c r="F183" i="23"/>
  <c r="G183" i="23"/>
  <c r="D180" i="23"/>
  <c r="E180" i="23"/>
  <c r="F180" i="23"/>
  <c r="G180" i="23"/>
  <c r="H73" i="23"/>
  <c r="G73" i="23"/>
  <c r="F73" i="23"/>
  <c r="E73" i="23"/>
  <c r="D73" i="23"/>
  <c r="H210" i="30"/>
  <c r="H198" i="57"/>
  <c r="H109" i="57"/>
  <c r="H110" i="57"/>
  <c r="H111" i="57"/>
  <c r="H155" i="57"/>
  <c r="H156" i="57"/>
  <c r="H118" i="57"/>
  <c r="H193" i="37"/>
  <c r="H220" i="37"/>
  <c r="H224" i="37"/>
  <c r="H202" i="13"/>
  <c r="H77" i="37"/>
  <c r="H78" i="37"/>
  <c r="H79" i="37"/>
  <c r="H111" i="61"/>
  <c r="H13" i="68"/>
  <c r="H11" i="68"/>
  <c r="F524" i="3"/>
  <c r="H375" i="39"/>
  <c r="D374" i="39"/>
  <c r="E374" i="39"/>
  <c r="F374" i="39"/>
  <c r="G374" i="39"/>
  <c r="H374" i="39"/>
  <c r="H373" i="39"/>
  <c r="H236" i="93"/>
  <c r="H39" i="93" s="1"/>
  <c r="F436" i="3" s="1"/>
  <c r="H235" i="93"/>
  <c r="H37" i="93" s="1"/>
  <c r="F239" i="3" s="1"/>
  <c r="H234" i="93"/>
  <c r="H35" i="93" s="1"/>
  <c r="F198" i="3" s="1"/>
  <c r="H28" i="89"/>
  <c r="F536" i="3" s="1"/>
  <c r="G373" i="39"/>
  <c r="F373" i="39"/>
  <c r="E373" i="39"/>
  <c r="D373" i="39"/>
  <c r="D285" i="43"/>
  <c r="E285" i="43"/>
  <c r="F285" i="43"/>
  <c r="G285" i="43"/>
  <c r="D288" i="43"/>
  <c r="E288" i="43"/>
  <c r="F288" i="43"/>
  <c r="G288" i="43"/>
  <c r="D289" i="43"/>
  <c r="E289" i="43"/>
  <c r="F289" i="43"/>
  <c r="G289" i="43"/>
  <c r="H289" i="43"/>
  <c r="H288" i="43"/>
  <c r="H285" i="43"/>
  <c r="H13" i="69"/>
  <c r="H15" i="69"/>
  <c r="H5" i="69"/>
  <c r="H11" i="69"/>
  <c r="H15" i="42"/>
  <c r="D5" i="40"/>
  <c r="E5" i="40"/>
  <c r="F5" i="40"/>
  <c r="G5" i="40"/>
  <c r="H13" i="40"/>
  <c r="H5" i="40"/>
  <c r="F13" i="40"/>
  <c r="G15" i="40"/>
  <c r="F15" i="40"/>
  <c r="E11" i="40"/>
  <c r="E13" i="40"/>
  <c r="E15" i="40"/>
  <c r="G13" i="40"/>
  <c r="F11" i="40"/>
  <c r="G11" i="40"/>
  <c r="D11" i="40"/>
  <c r="D15" i="40"/>
  <c r="D13" i="40"/>
  <c r="H15" i="40"/>
  <c r="H11" i="40"/>
  <c r="H5" i="97"/>
  <c r="H73" i="96"/>
  <c r="H14" i="96"/>
  <c r="F274" i="3"/>
  <c r="H80" i="96"/>
  <c r="H6" i="96"/>
  <c r="F423" i="2"/>
  <c r="P423" i="2" s="1"/>
  <c r="H104" i="96"/>
  <c r="H22" i="96"/>
  <c r="H24" i="96"/>
  <c r="F213" i="3"/>
  <c r="H111" i="96"/>
  <c r="H7" i="96"/>
  <c r="F424" i="2"/>
  <c r="H125" i="96"/>
  <c r="H18" i="96"/>
  <c r="H20" i="96"/>
  <c r="F489" i="3"/>
  <c r="H132" i="96"/>
  <c r="H8" i="96"/>
  <c r="H149" i="96"/>
  <c r="H26" i="96"/>
  <c r="F252" i="3"/>
  <c r="H156" i="96"/>
  <c r="H9" i="96"/>
  <c r="F426" i="2"/>
  <c r="P426" i="2" s="1"/>
  <c r="H190" i="96"/>
  <c r="H16" i="96"/>
  <c r="F164" i="3"/>
  <c r="H191" i="96"/>
  <c r="H19" i="96"/>
  <c r="H192" i="96"/>
  <c r="H23" i="96"/>
  <c r="H199" i="96"/>
  <c r="H10" i="96"/>
  <c r="H213" i="96"/>
  <c r="H28" i="96"/>
  <c r="H41" i="96"/>
  <c r="H5" i="96"/>
  <c r="F422" i="2"/>
  <c r="P422" i="2" s="1"/>
  <c r="H143" i="61"/>
  <c r="H7" i="61" s="1"/>
  <c r="H144" i="61"/>
  <c r="H9" i="61" s="1"/>
  <c r="F351" i="3" s="1"/>
  <c r="H145" i="61"/>
  <c r="H11" i="61" s="1"/>
  <c r="F345" i="3" s="1"/>
  <c r="H146" i="61"/>
  <c r="H13" i="61" s="1"/>
  <c r="F294" i="3" s="1"/>
  <c r="H147" i="61"/>
  <c r="H15" i="61" s="1"/>
  <c r="F167" i="3" s="1"/>
  <c r="H137" i="61"/>
  <c r="H92" i="61"/>
  <c r="H75" i="61"/>
  <c r="H71" i="61"/>
  <c r="H61" i="61"/>
  <c r="H41" i="61"/>
  <c r="H28" i="61"/>
  <c r="H3" i="61" s="1"/>
  <c r="H99" i="95"/>
  <c r="H102" i="95"/>
  <c r="H15" i="95"/>
  <c r="F349" i="3"/>
  <c r="H103" i="95"/>
  <c r="H17" i="95"/>
  <c r="F418" i="3"/>
  <c r="H104" i="95"/>
  <c r="H105" i="95"/>
  <c r="H35" i="95"/>
  <c r="F338" i="3"/>
  <c r="H106" i="95"/>
  <c r="H55" i="95"/>
  <c r="F271" i="3"/>
  <c r="H114" i="95"/>
  <c r="H6" i="95"/>
  <c r="F458" i="2"/>
  <c r="P458" i="2" s="1"/>
  <c r="H133" i="95"/>
  <c r="H21" i="95"/>
  <c r="F132" i="3"/>
  <c r="H134" i="95"/>
  <c r="H29" i="95"/>
  <c r="F361" i="3"/>
  <c r="H169" i="95"/>
  <c r="H13" i="95"/>
  <c r="F126" i="3"/>
  <c r="H23" i="95"/>
  <c r="F49" i="3"/>
  <c r="H25" i="95"/>
  <c r="F94" i="3"/>
  <c r="H180" i="95"/>
  <c r="H8" i="95"/>
  <c r="H215" i="95"/>
  <c r="H27" i="95"/>
  <c r="F119" i="3"/>
  <c r="H216" i="95"/>
  <c r="H37" i="95"/>
  <c r="F26" i="3"/>
  <c r="H217" i="95"/>
  <c r="H218" i="95"/>
  <c r="H41" i="95"/>
  <c r="F410" i="3"/>
  <c r="H219" i="95"/>
  <c r="H43" i="95"/>
  <c r="F517" i="3"/>
  <c r="H220" i="95"/>
  <c r="H45" i="95"/>
  <c r="F465" i="3"/>
  <c r="H221" i="95"/>
  <c r="H222" i="95"/>
  <c r="H53" i="95"/>
  <c r="F344" i="3"/>
  <c r="H229" i="95"/>
  <c r="H9" i="95"/>
  <c r="H252" i="95"/>
  <c r="H31" i="95"/>
  <c r="F278" i="3"/>
  <c r="H253" i="95"/>
  <c r="H48" i="95"/>
  <c r="H254" i="95"/>
  <c r="H51" i="95"/>
  <c r="F54" i="3"/>
  <c r="H255" i="95"/>
  <c r="H57" i="95"/>
  <c r="F381" i="3"/>
  <c r="H7" i="95"/>
  <c r="F459" i="2"/>
  <c r="P459" i="2" s="1"/>
  <c r="H19" i="95"/>
  <c r="F407" i="3"/>
  <c r="H33" i="95"/>
  <c r="F483" i="3"/>
  <c r="H39" i="95"/>
  <c r="F471" i="3"/>
  <c r="H47" i="95"/>
  <c r="H68" i="95"/>
  <c r="H5" i="95"/>
  <c r="F457" i="2"/>
  <c r="H66" i="94"/>
  <c r="H27" i="94" s="1"/>
  <c r="H29" i="94" s="1"/>
  <c r="F195" i="3" s="1"/>
  <c r="H6" i="94"/>
  <c r="H15" i="94"/>
  <c r="H21" i="94"/>
  <c r="F148" i="3"/>
  <c r="H37" i="94"/>
  <c r="H109" i="94"/>
  <c r="H7" i="94" s="1"/>
  <c r="F320" i="2" s="1"/>
  <c r="P320" i="2" s="1"/>
  <c r="H140" i="94"/>
  <c r="H16" i="94" s="1"/>
  <c r="H19" i="94" s="1"/>
  <c r="H141" i="94"/>
  <c r="H23" i="94" s="1"/>
  <c r="F31" i="3" s="1"/>
  <c r="H148" i="94"/>
  <c r="H165" i="94"/>
  <c r="H25" i="94" s="1"/>
  <c r="F261" i="3" s="1"/>
  <c r="H172" i="94"/>
  <c r="H9" i="94"/>
  <c r="F322" i="2" s="1"/>
  <c r="P322" i="2" s="1"/>
  <c r="H196" i="94"/>
  <c r="H17" i="94"/>
  <c r="H197" i="94"/>
  <c r="H31" i="94" s="1"/>
  <c r="H33" i="94" s="1"/>
  <c r="F44" i="3" s="1"/>
  <c r="H205" i="94"/>
  <c r="H10" i="94" s="1"/>
  <c r="F323" i="2" s="1"/>
  <c r="P323" i="2" s="1"/>
  <c r="H233" i="94"/>
  <c r="H18" i="94"/>
  <c r="H234" i="94"/>
  <c r="H32" i="94"/>
  <c r="H235" i="94"/>
  <c r="H35" i="94"/>
  <c r="F32" i="3" s="1"/>
  <c r="H242" i="94"/>
  <c r="H11" i="94" s="1"/>
  <c r="F324" i="2" s="1"/>
  <c r="P324" i="2" s="1"/>
  <c r="H257" i="94"/>
  <c r="H258" i="94"/>
  <c r="H38" i="94" s="1"/>
  <c r="H39" i="94" s="1"/>
  <c r="F140" i="3" s="1"/>
  <c r="H8" i="94"/>
  <c r="F321" i="2" s="1"/>
  <c r="P321" i="2" s="1"/>
  <c r="H28" i="94"/>
  <c r="H50" i="94"/>
  <c r="H5" i="94" s="1"/>
  <c r="H17" i="93"/>
  <c r="F501" i="3" s="1"/>
  <c r="H21" i="93"/>
  <c r="F159" i="3" s="1"/>
  <c r="H23" i="93"/>
  <c r="F187" i="3" s="1"/>
  <c r="H25" i="93"/>
  <c r="F460" i="3" s="1"/>
  <c r="H27" i="93"/>
  <c r="F337" i="3" s="1"/>
  <c r="H29" i="93"/>
  <c r="F390" i="3" s="1"/>
  <c r="H31" i="93"/>
  <c r="F352" i="3" s="1"/>
  <c r="H33" i="93"/>
  <c r="H55" i="93"/>
  <c r="F236" i="3" s="1"/>
  <c r="H214" i="93"/>
  <c r="H6" i="93" s="1"/>
  <c r="F414" i="2" s="1"/>
  <c r="P414" i="2" s="1"/>
  <c r="H243" i="93"/>
  <c r="H7" i="93" s="1"/>
  <c r="F415" i="2" s="1"/>
  <c r="H269" i="93"/>
  <c r="H41" i="93" s="1"/>
  <c r="F512" i="3" s="1"/>
  <c r="H270" i="93"/>
  <c r="H43" i="93" s="1"/>
  <c r="F520" i="3" s="1"/>
  <c r="H271" i="93"/>
  <c r="H45" i="93" s="1"/>
  <c r="H272" i="93"/>
  <c r="H53" i="93" s="1"/>
  <c r="F366" i="3" s="1"/>
  <c r="H273" i="93"/>
  <c r="H69" i="93" s="1"/>
  <c r="H280" i="93"/>
  <c r="H8" i="93" s="1"/>
  <c r="F416" i="2" s="1"/>
  <c r="P416" i="2" s="1"/>
  <c r="H306" i="93"/>
  <c r="H46" i="93" s="1"/>
  <c r="H307" i="93"/>
  <c r="H61" i="93" s="1"/>
  <c r="F491" i="3" s="1"/>
  <c r="H308" i="93"/>
  <c r="H63" i="93" s="1"/>
  <c r="F481" i="3" s="1"/>
  <c r="H309" i="93"/>
  <c r="H65" i="93" s="1"/>
  <c r="F448" i="3" s="1"/>
  <c r="H316" i="93"/>
  <c r="H9" i="93" s="1"/>
  <c r="F417" i="2" s="1"/>
  <c r="P417" i="2" s="1"/>
  <c r="H335" i="93"/>
  <c r="H49" i="93" s="1"/>
  <c r="F56" i="3" s="1"/>
  <c r="H336" i="93"/>
  <c r="H51" i="93" s="1"/>
  <c r="F146" i="3" s="1"/>
  <c r="H343" i="93"/>
  <c r="H10" i="93" s="1"/>
  <c r="F418" i="2" s="1"/>
  <c r="P418" i="2" s="1"/>
  <c r="H365" i="93"/>
  <c r="H15" i="93" s="1"/>
  <c r="F525" i="3" s="1"/>
  <c r="H366" i="93"/>
  <c r="H57" i="93" s="1"/>
  <c r="F435" i="3" s="1"/>
  <c r="H367" i="93"/>
  <c r="H59" i="93" s="1"/>
  <c r="F432" i="3" s="1"/>
  <c r="H374" i="93"/>
  <c r="H11" i="93" s="1"/>
  <c r="F419" i="2" s="1"/>
  <c r="P419" i="2" s="1"/>
  <c r="H396" i="93"/>
  <c r="H67" i="93" s="1"/>
  <c r="F519" i="3" s="1"/>
  <c r="H397" i="93"/>
  <c r="H70" i="93" s="1"/>
  <c r="H398" i="93"/>
  <c r="H73" i="93" s="1"/>
  <c r="F527" i="3" s="1"/>
  <c r="H19" i="93"/>
  <c r="F488" i="3" s="1"/>
  <c r="H5" i="93"/>
  <c r="H63" i="32"/>
  <c r="H19" i="32" s="1"/>
  <c r="H64" i="32"/>
  <c r="H23" i="32" s="1"/>
  <c r="H71" i="32"/>
  <c r="H6" i="32" s="1"/>
  <c r="F407" i="2" s="1"/>
  <c r="P407" i="2" s="1"/>
  <c r="H90" i="32"/>
  <c r="H20" i="32"/>
  <c r="H91" i="32"/>
  <c r="H24" i="32" s="1"/>
  <c r="H92" i="32"/>
  <c r="H27" i="32" s="1"/>
  <c r="H7" i="32"/>
  <c r="F408" i="2" s="1"/>
  <c r="P408" i="2" s="1"/>
  <c r="H109" i="32"/>
  <c r="H28" i="32"/>
  <c r="H8" i="32"/>
  <c r="F409" i="2" s="1"/>
  <c r="P409" i="2" s="1"/>
  <c r="H148" i="32"/>
  <c r="H172" i="32"/>
  <c r="H155" i="32"/>
  <c r="H31" i="32"/>
  <c r="F320" i="3" s="1"/>
  <c r="H9" i="32"/>
  <c r="F410" i="2" s="1"/>
  <c r="P410" i="2" s="1"/>
  <c r="H16" i="32"/>
  <c r="H44" i="32"/>
  <c r="H5" i="32" s="1"/>
  <c r="H5" i="91"/>
  <c r="F342" i="3"/>
  <c r="F28" i="3"/>
  <c r="H3" i="90"/>
  <c r="H5" i="90"/>
  <c r="H7" i="90"/>
  <c r="H9" i="90"/>
  <c r="F506" i="3"/>
  <c r="H11" i="90"/>
  <c r="F448" i="2"/>
  <c r="P448" i="2" s="1"/>
  <c r="F156" i="2"/>
  <c r="P156" i="2" s="1"/>
  <c r="F209" i="3"/>
  <c r="H11" i="97"/>
  <c r="F460" i="2"/>
  <c r="P460" i="2" s="1"/>
  <c r="H13" i="90"/>
  <c r="F250" i="3"/>
  <c r="H17" i="90"/>
  <c r="H15" i="90"/>
  <c r="F242" i="3"/>
  <c r="F425" i="2"/>
  <c r="P425" i="2" s="1"/>
  <c r="F461" i="2"/>
  <c r="P461" i="2" s="1"/>
  <c r="H3" i="95"/>
  <c r="H49" i="95"/>
  <c r="F169" i="3"/>
  <c r="H61" i="95"/>
  <c r="H30" i="86"/>
  <c r="H22" i="86"/>
  <c r="H3" i="86"/>
  <c r="H7" i="86"/>
  <c r="H9" i="86"/>
  <c r="F272" i="3"/>
  <c r="H3" i="85"/>
  <c r="H7" i="85"/>
  <c r="H9" i="85"/>
  <c r="F354" i="3"/>
  <c r="H28" i="87"/>
  <c r="F99" i="3" s="1"/>
  <c r="H40" i="87"/>
  <c r="H97" i="87"/>
  <c r="H6" i="87" s="1"/>
  <c r="F306" i="2" s="1"/>
  <c r="P306" i="2" s="1"/>
  <c r="H112" i="87"/>
  <c r="H23" i="87" s="1"/>
  <c r="H119" i="87"/>
  <c r="H7" i="87" s="1"/>
  <c r="F307" i="2" s="1"/>
  <c r="P307" i="2" s="1"/>
  <c r="H143" i="87"/>
  <c r="H144" i="87"/>
  <c r="H34" i="87" s="1"/>
  <c r="H145" i="87"/>
  <c r="H48" i="87" s="1"/>
  <c r="H146" i="87"/>
  <c r="H52" i="87" s="1"/>
  <c r="H153" i="87"/>
  <c r="H8" i="87" s="1"/>
  <c r="F308" i="2" s="1"/>
  <c r="P308" i="2" s="1"/>
  <c r="H176" i="87"/>
  <c r="H177" i="87"/>
  <c r="H35" i="87" s="1"/>
  <c r="H184" i="87"/>
  <c r="H9" i="87" s="1"/>
  <c r="F309" i="2" s="1"/>
  <c r="P309" i="2" s="1"/>
  <c r="H205" i="87"/>
  <c r="H19" i="87" s="1"/>
  <c r="H206" i="87"/>
  <c r="H25" i="87" s="1"/>
  <c r="H207" i="87"/>
  <c r="H38" i="87" s="1"/>
  <c r="F249" i="3" s="1"/>
  <c r="H214" i="87"/>
  <c r="H10" i="87"/>
  <c r="F310" i="2" s="1"/>
  <c r="P310" i="2" s="1"/>
  <c r="H237" i="87"/>
  <c r="H11" i="87" s="1"/>
  <c r="F311" i="2" s="1"/>
  <c r="P311" i="2" s="1"/>
  <c r="H252" i="87"/>
  <c r="H46" i="87" s="1"/>
  <c r="F279" i="3" s="1"/>
  <c r="H259" i="87"/>
  <c r="H12" i="87" s="1"/>
  <c r="F312" i="2" s="1"/>
  <c r="P312" i="2" s="1"/>
  <c r="H277" i="87"/>
  <c r="H49" i="87" s="1"/>
  <c r="H284" i="87"/>
  <c r="H13" i="87" s="1"/>
  <c r="F313" i="2" s="1"/>
  <c r="P313" i="2" s="1"/>
  <c r="H306" i="87"/>
  <c r="H20" i="87" s="1"/>
  <c r="H314" i="87"/>
  <c r="H14" i="87" s="1"/>
  <c r="F314" i="2" s="1"/>
  <c r="P314" i="2" s="1"/>
  <c r="H345" i="87"/>
  <c r="H31" i="87" s="1"/>
  <c r="H346" i="87"/>
  <c r="H44" i="87" s="1"/>
  <c r="F139" i="3" s="1"/>
  <c r="H15" i="87"/>
  <c r="H53" i="87"/>
  <c r="H24" i="87"/>
  <c r="H30" i="87"/>
  <c r="H5" i="87"/>
  <c r="F305" i="2" s="1"/>
  <c r="P305" i="2" s="1"/>
  <c r="H13" i="86"/>
  <c r="F72" i="3"/>
  <c r="H15" i="86"/>
  <c r="H11" i="86"/>
  <c r="H5" i="86"/>
  <c r="F380" i="2"/>
  <c r="F153" i="2"/>
  <c r="P153" i="2" s="1"/>
  <c r="H11" i="85"/>
  <c r="F327" i="3"/>
  <c r="H5" i="85"/>
  <c r="H59" i="95"/>
  <c r="H63" i="95"/>
  <c r="H11" i="95"/>
  <c r="F154" i="2"/>
  <c r="P154" i="2" s="1"/>
  <c r="H15" i="88"/>
  <c r="F19" i="3"/>
  <c r="H11" i="88"/>
  <c r="F47" i="3"/>
  <c r="H13" i="88"/>
  <c r="H5" i="88"/>
  <c r="H15" i="85"/>
  <c r="H13" i="85"/>
  <c r="H78" i="84"/>
  <c r="H26" i="84" s="1"/>
  <c r="H86" i="84"/>
  <c r="H6" i="84" s="1"/>
  <c r="F57" i="2" s="1"/>
  <c r="P57" i="2" s="1"/>
  <c r="H102" i="84"/>
  <c r="H36" i="84"/>
  <c r="H109" i="84"/>
  <c r="H7" i="84" s="1"/>
  <c r="F58" i="2" s="1"/>
  <c r="P58" i="2" s="1"/>
  <c r="H127" i="84"/>
  <c r="H19" i="84" s="1"/>
  <c r="H128" i="84"/>
  <c r="H24" i="84" s="1"/>
  <c r="F234" i="3" s="1"/>
  <c r="H135" i="84"/>
  <c r="H8" i="84" s="1"/>
  <c r="H167" i="84"/>
  <c r="H15" i="84" s="1"/>
  <c r="H168" i="84"/>
  <c r="H20" i="84" s="1"/>
  <c r="H175" i="84"/>
  <c r="H9" i="84" s="1"/>
  <c r="F60" i="2" s="1"/>
  <c r="P60" i="2" s="1"/>
  <c r="H208" i="84"/>
  <c r="H16" i="84" s="1"/>
  <c r="H209" i="84"/>
  <c r="H27" i="84" s="1"/>
  <c r="H210" i="84"/>
  <c r="H37" i="84" s="1"/>
  <c r="H10" i="84"/>
  <c r="H21" i="84"/>
  <c r="H30" i="84"/>
  <c r="H259" i="84"/>
  <c r="H11" i="84" s="1"/>
  <c r="F62" i="2" s="1"/>
  <c r="P62" i="2" s="1"/>
  <c r="H284" i="84"/>
  <c r="H31" i="84" s="1"/>
  <c r="H285" i="84"/>
  <c r="H34" i="84" s="1"/>
  <c r="F82" i="3" s="1"/>
  <c r="H49" i="84"/>
  <c r="H5" i="84" s="1"/>
  <c r="F56" i="2" s="1"/>
  <c r="P56" i="2" s="1"/>
  <c r="H3" i="83"/>
  <c r="H7" i="83"/>
  <c r="F464" i="3"/>
  <c r="H9" i="83"/>
  <c r="H71" i="82"/>
  <c r="H74" i="82"/>
  <c r="H78" i="82"/>
  <c r="H90" i="82"/>
  <c r="H114" i="82"/>
  <c r="H40" i="82"/>
  <c r="F531" i="3"/>
  <c r="H120" i="82"/>
  <c r="H43" i="82" s="1"/>
  <c r="H46" i="82"/>
  <c r="H128" i="82"/>
  <c r="H145" i="82"/>
  <c r="H22" i="82" s="1"/>
  <c r="F217" i="3" s="1"/>
  <c r="H152" i="82"/>
  <c r="H8" i="82" s="1"/>
  <c r="H175" i="82"/>
  <c r="H20" i="82" s="1"/>
  <c r="F224" i="3" s="1"/>
  <c r="H176" i="82"/>
  <c r="H24" i="82"/>
  <c r="H53" i="82"/>
  <c r="H10" i="82"/>
  <c r="F397" i="2" s="1"/>
  <c r="P397" i="2" s="1"/>
  <c r="H28" i="82"/>
  <c r="F459" i="3" s="1"/>
  <c r="H36" i="82"/>
  <c r="H42" i="82"/>
  <c r="H44" i="82" s="1"/>
  <c r="F332" i="3" s="1"/>
  <c r="H48" i="82"/>
  <c r="H256" i="82"/>
  <c r="H11" i="82" s="1"/>
  <c r="F398" i="2" s="1"/>
  <c r="P398" i="2" s="1"/>
  <c r="H283" i="82"/>
  <c r="H30" i="82" s="1"/>
  <c r="F227" i="3" s="1"/>
  <c r="H284" i="82"/>
  <c r="H32" i="82" s="1"/>
  <c r="H12" i="82"/>
  <c r="F399" i="2" s="1"/>
  <c r="P399" i="2" s="1"/>
  <c r="H33" i="82"/>
  <c r="H328" i="82"/>
  <c r="H13" i="82" s="1"/>
  <c r="F400" i="2" s="1"/>
  <c r="P400" i="2" s="1"/>
  <c r="H357" i="82"/>
  <c r="H37" i="82" s="1"/>
  <c r="H358" i="82"/>
  <c r="H50" i="82" s="1"/>
  <c r="H365" i="82"/>
  <c r="H14" i="82" s="1"/>
  <c r="F401" i="2" s="1"/>
  <c r="P401" i="2" s="1"/>
  <c r="H377" i="82"/>
  <c r="H54" i="82" s="1"/>
  <c r="H7" i="82"/>
  <c r="F394" i="2" s="1"/>
  <c r="P394" i="2" s="1"/>
  <c r="H4" i="82"/>
  <c r="H76" i="81"/>
  <c r="H12" i="81" s="1"/>
  <c r="F490" i="3" s="1"/>
  <c r="H77" i="81"/>
  <c r="H14" i="81" s="1"/>
  <c r="F396" i="3" s="1"/>
  <c r="H78" i="81"/>
  <c r="H22" i="81" s="1"/>
  <c r="H79" i="81"/>
  <c r="H40" i="81" s="1"/>
  <c r="H124" i="81"/>
  <c r="H7" i="81" s="1"/>
  <c r="F453" i="2" s="1"/>
  <c r="P453" i="2" s="1"/>
  <c r="H147" i="81"/>
  <c r="H26" i="81" s="1"/>
  <c r="F192" i="3" s="1"/>
  <c r="H148" i="81"/>
  <c r="H28" i="81" s="1"/>
  <c r="F503" i="3" s="1"/>
  <c r="H149" i="81"/>
  <c r="H41" i="81" s="1"/>
  <c r="H8" i="81"/>
  <c r="H23" i="81"/>
  <c r="H30" i="81"/>
  <c r="F306" i="3" s="1"/>
  <c r="H32" i="81"/>
  <c r="F112" i="3" s="1"/>
  <c r="H34" i="81"/>
  <c r="F194" i="3" s="1"/>
  <c r="H36" i="81"/>
  <c r="H38" i="81"/>
  <c r="F365" i="3" s="1"/>
  <c r="H53" i="81"/>
  <c r="H5" i="81" s="1"/>
  <c r="F451" i="2" s="1"/>
  <c r="P451" i="2" s="1"/>
  <c r="H3" i="80"/>
  <c r="H7" i="80"/>
  <c r="F425" i="3"/>
  <c r="H9" i="80"/>
  <c r="H11" i="80"/>
  <c r="H74" i="70"/>
  <c r="H17" i="70"/>
  <c r="H75" i="70"/>
  <c r="H23" i="70" s="1"/>
  <c r="H25" i="70" s="1"/>
  <c r="F57" i="3" s="1"/>
  <c r="H82" i="70"/>
  <c r="H6" i="70" s="1"/>
  <c r="F374" i="2" s="1"/>
  <c r="P374" i="2" s="1"/>
  <c r="H99" i="70"/>
  <c r="H104" i="70"/>
  <c r="H111" i="70"/>
  <c r="H13" i="70"/>
  <c r="H112" i="70"/>
  <c r="H24" i="70"/>
  <c r="H119" i="70"/>
  <c r="H7" i="70" s="1"/>
  <c r="F375" i="2" s="1"/>
  <c r="P375" i="2" s="1"/>
  <c r="H160" i="70"/>
  <c r="H18" i="70" s="1"/>
  <c r="H19" i="70" s="1"/>
  <c r="F40" i="3" s="1"/>
  <c r="H161" i="70"/>
  <c r="H27" i="70"/>
  <c r="F65" i="3"/>
  <c r="H168" i="70"/>
  <c r="H8" i="70"/>
  <c r="H196" i="70"/>
  <c r="H21" i="70"/>
  <c r="F25" i="3" s="1"/>
  <c r="H203" i="70"/>
  <c r="H9" i="70"/>
  <c r="F377" i="2" s="1"/>
  <c r="P377" i="2" s="1"/>
  <c r="H221" i="70"/>
  <c r="H14" i="70" s="1"/>
  <c r="H15" i="70" s="1"/>
  <c r="H38" i="70"/>
  <c r="H5" i="70"/>
  <c r="F150" i="2"/>
  <c r="P150" i="2" s="1"/>
  <c r="H7" i="79"/>
  <c r="H9" i="79" s="1"/>
  <c r="F455" i="3" s="1"/>
  <c r="H17" i="79"/>
  <c r="F15" i="3"/>
  <c r="H3" i="79"/>
  <c r="H8" i="79"/>
  <c r="H11" i="79"/>
  <c r="H13" i="79" s="1"/>
  <c r="F484" i="3" s="1"/>
  <c r="H12" i="79"/>
  <c r="H15" i="79"/>
  <c r="F430" i="3"/>
  <c r="H11" i="83"/>
  <c r="H15" i="83"/>
  <c r="F189" i="3"/>
  <c r="F169" i="2"/>
  <c r="P169" i="2" s="1"/>
  <c r="H13" i="83"/>
  <c r="H5" i="83"/>
  <c r="H17" i="80"/>
  <c r="F475" i="3"/>
  <c r="H15" i="80"/>
  <c r="F461" i="3"/>
  <c r="F334" i="2"/>
  <c r="P334" i="2" s="1"/>
  <c r="H5" i="80"/>
  <c r="F155" i="2"/>
  <c r="P155" i="2" s="1"/>
  <c r="H21" i="79"/>
  <c r="H5" i="79"/>
  <c r="F376" i="2"/>
  <c r="P376" i="2" s="1"/>
  <c r="H13" i="80"/>
  <c r="H3" i="76"/>
  <c r="H7" i="76"/>
  <c r="F331" i="3"/>
  <c r="H9" i="76"/>
  <c r="H15" i="74"/>
  <c r="H34" i="74"/>
  <c r="H37" i="74"/>
  <c r="F163" i="3"/>
  <c r="H83" i="74"/>
  <c r="H6" i="74"/>
  <c r="H110" i="74"/>
  <c r="H19" i="74"/>
  <c r="F144" i="3"/>
  <c r="H111" i="74"/>
  <c r="H27" i="74"/>
  <c r="H30" i="74"/>
  <c r="F199" i="3"/>
  <c r="H7" i="74"/>
  <c r="F113" i="2"/>
  <c r="P113" i="2" s="1"/>
  <c r="H16" i="74"/>
  <c r="H21" i="74"/>
  <c r="F303" i="3"/>
  <c r="H8" i="74"/>
  <c r="H23" i="74"/>
  <c r="F330" i="3"/>
  <c r="H35" i="74"/>
  <c r="H185" i="74"/>
  <c r="H9" i="74"/>
  <c r="F115" i="2"/>
  <c r="P115" i="2" s="1"/>
  <c r="H223" i="74"/>
  <c r="H25" i="74"/>
  <c r="F157" i="3"/>
  <c r="H10" i="74"/>
  <c r="F116" i="2"/>
  <c r="P116" i="2" s="1"/>
  <c r="H28" i="74"/>
  <c r="H36" i="74"/>
  <c r="H11" i="74"/>
  <c r="F117" i="2"/>
  <c r="P117" i="2" s="1"/>
  <c r="H29" i="74"/>
  <c r="H5" i="74"/>
  <c r="H3" i="73"/>
  <c r="H7" i="73"/>
  <c r="H9" i="73"/>
  <c r="H11" i="73"/>
  <c r="H3" i="92"/>
  <c r="H5" i="92" s="1"/>
  <c r="H61" i="30"/>
  <c r="H15" i="30"/>
  <c r="H68" i="30"/>
  <c r="H6" i="30"/>
  <c r="F103" i="2"/>
  <c r="P103" i="2" s="1"/>
  <c r="H86" i="30"/>
  <c r="H19" i="30"/>
  <c r="H7" i="30"/>
  <c r="F104" i="2"/>
  <c r="P104" i="2" s="1"/>
  <c r="H16" i="30"/>
  <c r="H34" i="30"/>
  <c r="H36" i="30"/>
  <c r="F117" i="3"/>
  <c r="H136" i="30"/>
  <c r="H8" i="30"/>
  <c r="F105" i="2"/>
  <c r="H155" i="30"/>
  <c r="H24" i="30"/>
  <c r="F340" i="3"/>
  <c r="H163" i="30"/>
  <c r="H9" i="30"/>
  <c r="F106" i="2"/>
  <c r="P106" i="2" s="1"/>
  <c r="H166" i="30"/>
  <c r="H187" i="30"/>
  <c r="H191" i="30"/>
  <c r="H196" i="30"/>
  <c r="H202" i="30"/>
  <c r="H208" i="30"/>
  <c r="H26" i="30"/>
  <c r="F529" i="3"/>
  <c r="H209" i="30"/>
  <c r="H28" i="30"/>
  <c r="F511" i="3"/>
  <c r="H30" i="30"/>
  <c r="H32" i="30"/>
  <c r="F11" i="3"/>
  <c r="H217" i="30"/>
  <c r="H10" i="30"/>
  <c r="H246" i="30"/>
  <c r="H20" i="30"/>
  <c r="H22" i="30"/>
  <c r="F191" i="3"/>
  <c r="H247" i="30"/>
  <c r="H31" i="30"/>
  <c r="H11" i="30"/>
  <c r="H21" i="30"/>
  <c r="H35" i="30"/>
  <c r="H47" i="30"/>
  <c r="H5" i="30"/>
  <c r="H3" i="72"/>
  <c r="H7" i="72"/>
  <c r="H9" i="72"/>
  <c r="F9" i="3"/>
  <c r="H88" i="68"/>
  <c r="H14" i="68"/>
  <c r="H89" i="68"/>
  <c r="H17" i="68"/>
  <c r="F453" i="3"/>
  <c r="H64" i="68"/>
  <c r="H4" i="68"/>
  <c r="H3" i="68"/>
  <c r="H3" i="67"/>
  <c r="H7" i="67"/>
  <c r="H9" i="67"/>
  <c r="H17" i="66"/>
  <c r="H21" i="66"/>
  <c r="H33" i="66"/>
  <c r="H86" i="66"/>
  <c r="H6" i="66"/>
  <c r="H118" i="66"/>
  <c r="H18" i="66" s="1"/>
  <c r="H119" i="66"/>
  <c r="H23" i="66"/>
  <c r="F373" i="3"/>
  <c r="H120" i="66"/>
  <c r="H25" i="66" s="1"/>
  <c r="F508" i="3" s="1"/>
  <c r="H121" i="66"/>
  <c r="H27" i="66" s="1"/>
  <c r="F518" i="3" s="1"/>
  <c r="H122" i="66"/>
  <c r="H29" i="66"/>
  <c r="F477" i="3" s="1"/>
  <c r="H129" i="66"/>
  <c r="H7" i="66"/>
  <c r="F230" i="2" s="1"/>
  <c r="P230" i="2" s="1"/>
  <c r="H147" i="66"/>
  <c r="H31" i="66" s="1"/>
  <c r="F176" i="3" s="1"/>
  <c r="H148" i="66"/>
  <c r="H34" i="66"/>
  <c r="H155" i="66"/>
  <c r="H8" i="66" s="1"/>
  <c r="F231" i="2" s="1"/>
  <c r="P231" i="2" s="1"/>
  <c r="H179" i="66"/>
  <c r="H15" i="66"/>
  <c r="F241" i="3"/>
  <c r="H180" i="66"/>
  <c r="H37" i="66"/>
  <c r="F372" i="3"/>
  <c r="H181" i="66"/>
  <c r="H39" i="66" s="1"/>
  <c r="F359" i="3" s="1"/>
  <c r="H188" i="66"/>
  <c r="H9" i="66" s="1"/>
  <c r="F232" i="2" s="1"/>
  <c r="P232" i="2" s="1"/>
  <c r="H212" i="66"/>
  <c r="H13" i="66"/>
  <c r="F492" i="3"/>
  <c r="H213" i="66"/>
  <c r="H41" i="66" s="1"/>
  <c r="F447" i="3" s="1"/>
  <c r="H214" i="66"/>
  <c r="H215" i="66"/>
  <c r="H45" i="66" s="1"/>
  <c r="F535" i="3" s="1"/>
  <c r="H43" i="66"/>
  <c r="F532" i="3"/>
  <c r="H5" i="66"/>
  <c r="H65" i="64"/>
  <c r="H15" i="64" s="1"/>
  <c r="H16" i="64"/>
  <c r="H29" i="64"/>
  <c r="F113" i="3" s="1"/>
  <c r="H122" i="64"/>
  <c r="H7" i="64" s="1"/>
  <c r="H135" i="64"/>
  <c r="H25" i="64"/>
  <c r="H142" i="64"/>
  <c r="H8" i="64" s="1"/>
  <c r="F96" i="2" s="1"/>
  <c r="P96" i="2" s="1"/>
  <c r="H148" i="64"/>
  <c r="H172" i="64"/>
  <c r="H174" i="64"/>
  <c r="H26" i="64" s="1"/>
  <c r="H175" i="64"/>
  <c r="H31" i="64" s="1"/>
  <c r="H182" i="64"/>
  <c r="H9" i="64" s="1"/>
  <c r="F97" i="2" s="1"/>
  <c r="P97" i="2" s="1"/>
  <c r="H202" i="64"/>
  <c r="H35" i="64" s="1"/>
  <c r="H10" i="64"/>
  <c r="F98" i="2" s="1"/>
  <c r="P98" i="2" s="1"/>
  <c r="H23" i="64"/>
  <c r="F77" i="3"/>
  <c r="H36" i="64"/>
  <c r="H256" i="64"/>
  <c r="H11" i="64" s="1"/>
  <c r="F99" i="2" s="1"/>
  <c r="P99" i="2" s="1"/>
  <c r="H278" i="64"/>
  <c r="H20" i="64" s="1"/>
  <c r="H48" i="64"/>
  <c r="H5" i="64" s="1"/>
  <c r="F93" i="2" s="1"/>
  <c r="P93" i="2" s="1"/>
  <c r="H72" i="63"/>
  <c r="H36" i="63"/>
  <c r="H7" i="63"/>
  <c r="H21" i="63"/>
  <c r="H39" i="63"/>
  <c r="H41" i="63"/>
  <c r="H112" i="63"/>
  <c r="H8" i="63"/>
  <c r="H142" i="63"/>
  <c r="H22" i="63"/>
  <c r="H143" i="63"/>
  <c r="H30" i="63"/>
  <c r="F216" i="3"/>
  <c r="H150" i="63"/>
  <c r="H9" i="63"/>
  <c r="H177" i="63"/>
  <c r="H26" i="63"/>
  <c r="H178" i="63"/>
  <c r="H179" i="63"/>
  <c r="H40" i="63"/>
  <c r="H186" i="63"/>
  <c r="H10" i="63"/>
  <c r="H204" i="63"/>
  <c r="H19" i="63"/>
  <c r="F62" i="3"/>
  <c r="H205" i="63"/>
  <c r="H23" i="63"/>
  <c r="H212" i="63"/>
  <c r="H11" i="63"/>
  <c r="H230" i="63"/>
  <c r="H12" i="63"/>
  <c r="H32" i="63"/>
  <c r="F156" i="3"/>
  <c r="H284" i="63"/>
  <c r="H13" i="63"/>
  <c r="H296" i="63"/>
  <c r="H27" i="63"/>
  <c r="H34" i="63"/>
  <c r="H35" i="63"/>
  <c r="H54" i="63"/>
  <c r="H4" i="63"/>
  <c r="H3" i="62"/>
  <c r="F101" i="3"/>
  <c r="H13" i="76"/>
  <c r="H11" i="67"/>
  <c r="H11" i="76"/>
  <c r="F84" i="2"/>
  <c r="P84" i="2" s="1"/>
  <c r="F90" i="2"/>
  <c r="P90" i="2" s="1"/>
  <c r="H16" i="63"/>
  <c r="F85" i="2"/>
  <c r="P85" i="2" s="1"/>
  <c r="F86" i="2"/>
  <c r="P86" i="2" s="1"/>
  <c r="H5" i="76"/>
  <c r="F276" i="2"/>
  <c r="P276" i="2" s="1"/>
  <c r="H15" i="76"/>
  <c r="F310" i="3"/>
  <c r="H15" i="73"/>
  <c r="F393" i="3"/>
  <c r="H13" i="73"/>
  <c r="F485" i="3"/>
  <c r="H17" i="73"/>
  <c r="F204" i="3"/>
  <c r="H5" i="73"/>
  <c r="F119" i="2"/>
  <c r="P119" i="2" s="1"/>
  <c r="H13" i="67"/>
  <c r="F409" i="3"/>
  <c r="H5" i="67"/>
  <c r="F148" i="2"/>
  <c r="P148" i="2" s="1"/>
  <c r="H15" i="67"/>
  <c r="F467" i="3"/>
  <c r="F114" i="2"/>
  <c r="P114" i="2" s="1"/>
  <c r="F112" i="2"/>
  <c r="P112" i="2" s="1"/>
  <c r="F108" i="2"/>
  <c r="P108" i="2" s="1"/>
  <c r="F107" i="2"/>
  <c r="P107" i="2" s="1"/>
  <c r="F87" i="2"/>
  <c r="P87" i="2" s="1"/>
  <c r="F83" i="2"/>
  <c r="P83" i="2" s="1"/>
  <c r="F82" i="2"/>
  <c r="P82" i="2" s="1"/>
  <c r="F84" i="3"/>
  <c r="F89" i="2"/>
  <c r="P89" i="2" s="1"/>
  <c r="H13" i="62"/>
  <c r="H5" i="62"/>
  <c r="H15" i="62"/>
  <c r="F173" i="3"/>
  <c r="H17" i="62"/>
  <c r="F462" i="3"/>
  <c r="H15" i="72"/>
  <c r="F7" i="3"/>
  <c r="H13" i="72"/>
  <c r="F45" i="3"/>
  <c r="H11" i="72"/>
  <c r="H5" i="72"/>
  <c r="F149" i="2"/>
  <c r="P149" i="2" s="1"/>
  <c r="F5" i="3"/>
  <c r="F252" i="2"/>
  <c r="P252" i="2" s="1"/>
  <c r="F229" i="2"/>
  <c r="P229" i="2" s="1"/>
  <c r="H24" i="63"/>
  <c r="F115" i="3"/>
  <c r="H37" i="63"/>
  <c r="F130" i="3"/>
  <c r="H28" i="63"/>
  <c r="F137" i="3"/>
  <c r="H112" i="31"/>
  <c r="H27" i="31" s="1"/>
  <c r="F362" i="3" s="1"/>
  <c r="H113" i="31"/>
  <c r="H61" i="31" s="1"/>
  <c r="H120" i="31"/>
  <c r="H5" i="31" s="1"/>
  <c r="H143" i="31"/>
  <c r="H29" i="31" s="1"/>
  <c r="H144" i="31"/>
  <c r="H33" i="31" s="1"/>
  <c r="F533" i="3" s="1"/>
  <c r="H151" i="31"/>
  <c r="H8" i="31" s="1"/>
  <c r="F211" i="2" s="1"/>
  <c r="P211" i="2" s="1"/>
  <c r="H168" i="31"/>
  <c r="H35" i="31" s="1"/>
  <c r="F478" i="3" s="1"/>
  <c r="H175" i="31"/>
  <c r="H9" i="31" s="1"/>
  <c r="F212" i="2" s="1"/>
  <c r="P212" i="2" s="1"/>
  <c r="H197" i="31"/>
  <c r="H37" i="31" s="1"/>
  <c r="F162" i="3" s="1"/>
  <c r="H198" i="31"/>
  <c r="H65" i="31" s="1"/>
  <c r="H205" i="31"/>
  <c r="H10" i="31" s="1"/>
  <c r="F213" i="2" s="1"/>
  <c r="P213" i="2" s="1"/>
  <c r="H228" i="31"/>
  <c r="H39" i="31" s="1"/>
  <c r="H235" i="31"/>
  <c r="H11" i="31" s="1"/>
  <c r="F214" i="2" s="1"/>
  <c r="P214" i="2" s="1"/>
  <c r="H253" i="31"/>
  <c r="H43" i="31" s="1"/>
  <c r="H260" i="31"/>
  <c r="H12" i="31" s="1"/>
  <c r="F215" i="2" s="1"/>
  <c r="P215" i="2" s="1"/>
  <c r="H47" i="31"/>
  <c r="H297" i="31"/>
  <c r="H13" i="31" s="1"/>
  <c r="F216" i="2" s="1"/>
  <c r="P216" i="2" s="1"/>
  <c r="H319" i="31"/>
  <c r="H53" i="31" s="1"/>
  <c r="F480" i="3" s="1"/>
  <c r="H327" i="31"/>
  <c r="H14" i="31" s="1"/>
  <c r="F217" i="2" s="1"/>
  <c r="P217" i="2" s="1"/>
  <c r="H342" i="31"/>
  <c r="H353" i="31"/>
  <c r="H40" i="31" s="1"/>
  <c r="H354" i="31"/>
  <c r="H55" i="31" s="1"/>
  <c r="F534" i="3" s="1"/>
  <c r="H355" i="31"/>
  <c r="H72" i="31" s="1"/>
  <c r="H364" i="31"/>
  <c r="H15" i="31" s="1"/>
  <c r="F218" i="2" s="1"/>
  <c r="P218" i="2" s="1"/>
  <c r="H390" i="31"/>
  <c r="H57" i="31" s="1"/>
  <c r="H59" i="31" s="1"/>
  <c r="F147" i="3" s="1"/>
  <c r="H397" i="31"/>
  <c r="H16" i="31" s="1"/>
  <c r="F219" i="2" s="1"/>
  <c r="P219" i="2" s="1"/>
  <c r="H413" i="31"/>
  <c r="H44" i="31" s="1"/>
  <c r="H414" i="31"/>
  <c r="H62" i="31" s="1"/>
  <c r="H458" i="31"/>
  <c r="H18" i="31" s="1"/>
  <c r="F221" i="2" s="1"/>
  <c r="P221" i="2" s="1"/>
  <c r="H485" i="31"/>
  <c r="H67" i="31" s="1"/>
  <c r="H486" i="31"/>
  <c r="H70" i="31" s="1"/>
  <c r="F277" i="3" s="1"/>
  <c r="H87" i="31"/>
  <c r="H4" i="31" s="1"/>
  <c r="H3" i="58"/>
  <c r="H7" i="58"/>
  <c r="H11" i="58"/>
  <c r="F201" i="3"/>
  <c r="H13" i="58"/>
  <c r="F131" i="3"/>
  <c r="F30" i="3"/>
  <c r="F38" i="3"/>
  <c r="H8" i="58"/>
  <c r="H9" i="58" s="1"/>
  <c r="H3" i="55"/>
  <c r="H7" i="55"/>
  <c r="H9" i="55"/>
  <c r="H3" i="56"/>
  <c r="H5" i="56"/>
  <c r="H8" i="56"/>
  <c r="H10" i="55"/>
  <c r="H11" i="55" s="1"/>
  <c r="H11" i="56"/>
  <c r="H13" i="55"/>
  <c r="H217" i="57"/>
  <c r="H32" i="57"/>
  <c r="H34" i="57"/>
  <c r="H224" i="57"/>
  <c r="H10" i="57"/>
  <c r="H247" i="57"/>
  <c r="H36" i="57"/>
  <c r="F205" i="3"/>
  <c r="H248" i="57"/>
  <c r="H64" i="57"/>
  <c r="H255" i="57"/>
  <c r="H11" i="57"/>
  <c r="H275" i="57"/>
  <c r="H48" i="57"/>
  <c r="F295" i="3"/>
  <c r="H282" i="57"/>
  <c r="H12" i="57"/>
  <c r="F287" i="2"/>
  <c r="P287" i="2" s="1"/>
  <c r="H310" i="57"/>
  <c r="H38" i="57"/>
  <c r="H311" i="57"/>
  <c r="H319" i="57"/>
  <c r="H13" i="57"/>
  <c r="H347" i="57"/>
  <c r="H33" i="57"/>
  <c r="H348" i="57"/>
  <c r="H60" i="57"/>
  <c r="F335" i="3"/>
  <c r="H349" i="57"/>
  <c r="H68" i="57"/>
  <c r="H70" i="57"/>
  <c r="F133" i="3"/>
  <c r="H357" i="57"/>
  <c r="H14" i="57"/>
  <c r="F289" i="2"/>
  <c r="P289" i="2" s="1"/>
  <c r="H372" i="57"/>
  <c r="H43" i="57"/>
  <c r="H44" i="57"/>
  <c r="F18" i="3"/>
  <c r="H379" i="57"/>
  <c r="H15" i="57"/>
  <c r="F290" i="2"/>
  <c r="P290" i="2" s="1"/>
  <c r="H39" i="57"/>
  <c r="H62" i="57"/>
  <c r="F63" i="3"/>
  <c r="H413" i="57"/>
  <c r="H16" i="57"/>
  <c r="H438" i="57"/>
  <c r="H55" i="57"/>
  <c r="H439" i="57"/>
  <c r="H65" i="57"/>
  <c r="H446" i="57"/>
  <c r="H17" i="57"/>
  <c r="H29" i="57"/>
  <c r="H69" i="57"/>
  <c r="H480" i="57"/>
  <c r="H18" i="57"/>
  <c r="F293" i="2"/>
  <c r="P293" i="2" s="1"/>
  <c r="H502" i="57"/>
  <c r="H51" i="57"/>
  <c r="H503" i="57"/>
  <c r="H72" i="57"/>
  <c r="F251" i="3"/>
  <c r="H7" i="57"/>
  <c r="H8" i="57"/>
  <c r="H9" i="57"/>
  <c r="H24" i="57"/>
  <c r="F14" i="3"/>
  <c r="H26" i="57"/>
  <c r="F247" i="3"/>
  <c r="H28" i="57"/>
  <c r="H42" i="57"/>
  <c r="H46" i="57"/>
  <c r="F284" i="3"/>
  <c r="H50" i="57"/>
  <c r="H54" i="57"/>
  <c r="H58" i="57"/>
  <c r="F90" i="3"/>
  <c r="H85" i="57"/>
  <c r="H4" i="57"/>
  <c r="F292" i="2"/>
  <c r="P292" i="2" s="1"/>
  <c r="H15" i="56"/>
  <c r="F58" i="3"/>
  <c r="F151" i="2"/>
  <c r="P151" i="2" s="1"/>
  <c r="F286" i="2"/>
  <c r="P286" i="2" s="1"/>
  <c r="H52" i="57"/>
  <c r="F283" i="3"/>
  <c r="F291" i="2"/>
  <c r="P291" i="2" s="1"/>
  <c r="H56" i="57"/>
  <c r="F300" i="3"/>
  <c r="F288" i="2"/>
  <c r="P288" i="2" s="1"/>
  <c r="F284" i="2"/>
  <c r="F283" i="2"/>
  <c r="P283" i="2" s="1"/>
  <c r="F282" i="2"/>
  <c r="P282" i="2" s="1"/>
  <c r="H19" i="58"/>
  <c r="H5" i="58"/>
  <c r="F146" i="2"/>
  <c r="P146" i="2" s="1"/>
  <c r="H7" i="56"/>
  <c r="H9" i="56" s="1"/>
  <c r="F145" i="2"/>
  <c r="P145" i="2" s="1"/>
  <c r="H15" i="55"/>
  <c r="F83" i="3"/>
  <c r="H5" i="55"/>
  <c r="H13" i="56"/>
  <c r="H66" i="57"/>
  <c r="F329" i="3"/>
  <c r="H30" i="57"/>
  <c r="F364" i="3"/>
  <c r="H3" i="54"/>
  <c r="H7" i="54"/>
  <c r="H9" i="54"/>
  <c r="H3" i="53"/>
  <c r="H8" i="53"/>
  <c r="F4" i="3"/>
  <c r="H15" i="52"/>
  <c r="F103" i="3"/>
  <c r="H25" i="52"/>
  <c r="F91" i="3"/>
  <c r="H29" i="52"/>
  <c r="F360" i="3"/>
  <c r="H35" i="52"/>
  <c r="H91" i="52"/>
  <c r="H4" i="52"/>
  <c r="H116" i="52"/>
  <c r="H31" i="52"/>
  <c r="F463" i="3"/>
  <c r="H117" i="52"/>
  <c r="H33" i="52"/>
  <c r="F495" i="3"/>
  <c r="H118" i="52"/>
  <c r="H36" i="52"/>
  <c r="H125" i="52"/>
  <c r="H5" i="52"/>
  <c r="H142" i="52"/>
  <c r="H143" i="52"/>
  <c r="H27" i="52"/>
  <c r="F513" i="3"/>
  <c r="H150" i="52"/>
  <c r="H6" i="52"/>
  <c r="H169" i="52"/>
  <c r="H18" i="52"/>
  <c r="H170" i="52"/>
  <c r="H22" i="52"/>
  <c r="H171" i="52"/>
  <c r="H39" i="52"/>
  <c r="F510" i="3"/>
  <c r="H17" i="52"/>
  <c r="H21" i="52"/>
  <c r="H52" i="52"/>
  <c r="H3" i="52"/>
  <c r="H3" i="51"/>
  <c r="H7" i="51"/>
  <c r="H9" i="51"/>
  <c r="H3" i="48"/>
  <c r="H7" i="48"/>
  <c r="F357" i="3"/>
  <c r="H3" i="45"/>
  <c r="H7" i="45"/>
  <c r="F297" i="3"/>
  <c r="H9" i="45"/>
  <c r="F374" i="3"/>
  <c r="H11" i="45"/>
  <c r="H9" i="46"/>
  <c r="H11" i="46" s="1"/>
  <c r="H3" i="46"/>
  <c r="H7" i="46"/>
  <c r="H10" i="46"/>
  <c r="H12" i="45"/>
  <c r="H13" i="45" s="1"/>
  <c r="H13" i="46"/>
  <c r="F406" i="3"/>
  <c r="H3" i="44"/>
  <c r="H7" i="44"/>
  <c r="H9" i="44"/>
  <c r="H99" i="43"/>
  <c r="H58" i="43" s="1"/>
  <c r="H100" i="43"/>
  <c r="H62" i="43" s="1"/>
  <c r="F380" i="3" s="1"/>
  <c r="H101" i="43"/>
  <c r="H64" i="43" s="1"/>
  <c r="F427" i="3" s="1"/>
  <c r="H108" i="43"/>
  <c r="H7" i="43" s="1"/>
  <c r="F264" i="2" s="1"/>
  <c r="P264" i="2" s="1"/>
  <c r="H133" i="43"/>
  <c r="H141" i="43"/>
  <c r="H27" i="43" s="1"/>
  <c r="F59" i="3" s="1"/>
  <c r="H142" i="43"/>
  <c r="H50" i="43"/>
  <c r="H143" i="43"/>
  <c r="H54" i="43"/>
  <c r="H150" i="43"/>
  <c r="H8" i="43" s="1"/>
  <c r="F265" i="2" s="1"/>
  <c r="P265" i="2" s="1"/>
  <c r="H190" i="43"/>
  <c r="H29" i="43" s="1"/>
  <c r="F235" i="3" s="1"/>
  <c r="H191" i="43"/>
  <c r="H41" i="43" s="1"/>
  <c r="H198" i="43"/>
  <c r="H9" i="43" s="1"/>
  <c r="F266" i="2" s="1"/>
  <c r="P266" i="2" s="1"/>
  <c r="H31" i="43"/>
  <c r="F73" i="3" s="1"/>
  <c r="H66" i="43"/>
  <c r="H222" i="43"/>
  <c r="H239" i="43"/>
  <c r="H33" i="43" s="1"/>
  <c r="F128" i="3" s="1"/>
  <c r="H240" i="43"/>
  <c r="H35" i="43" s="1"/>
  <c r="H37" i="43" s="1"/>
  <c r="F223" i="3" s="1"/>
  <c r="H247" i="43"/>
  <c r="H11" i="43" s="1"/>
  <c r="F268" i="2" s="1"/>
  <c r="P268" i="2" s="1"/>
  <c r="H266" i="43"/>
  <c r="H36" i="43" s="1"/>
  <c r="H23" i="43"/>
  <c r="H13" i="43"/>
  <c r="H312" i="43"/>
  <c r="H39" i="43" s="1"/>
  <c r="F282" i="3" s="1"/>
  <c r="H42" i="43"/>
  <c r="H320" i="43"/>
  <c r="H14" i="43"/>
  <c r="F271" i="2" s="1"/>
  <c r="P271" i="2" s="1"/>
  <c r="H356" i="43"/>
  <c r="H46" i="43" s="1"/>
  <c r="F267" i="3" s="1"/>
  <c r="H357" i="43"/>
  <c r="H48" i="43" s="1"/>
  <c r="F388" i="3" s="1"/>
  <c r="H365" i="43"/>
  <c r="H15" i="43"/>
  <c r="F272" i="2" s="1"/>
  <c r="P272" i="2" s="1"/>
  <c r="H380" i="43"/>
  <c r="H24" i="43" s="1"/>
  <c r="H25" i="43" s="1"/>
  <c r="F276" i="3" s="1"/>
  <c r="H387" i="43"/>
  <c r="H16" i="43" s="1"/>
  <c r="F273" i="2" s="1"/>
  <c r="P273" i="2" s="1"/>
  <c r="H413" i="43"/>
  <c r="H55" i="43" s="1"/>
  <c r="H414" i="43"/>
  <c r="H59" i="43" s="1"/>
  <c r="H17" i="43"/>
  <c r="H43" i="43"/>
  <c r="H67" i="43"/>
  <c r="H10" i="43"/>
  <c r="H81" i="43"/>
  <c r="H4" i="43"/>
  <c r="H3" i="41"/>
  <c r="H7" i="41"/>
  <c r="H11" i="41"/>
  <c r="H8" i="41"/>
  <c r="H9" i="41" s="1"/>
  <c r="H17" i="46"/>
  <c r="H11" i="44"/>
  <c r="H17" i="45"/>
  <c r="H5" i="44"/>
  <c r="F138" i="2"/>
  <c r="P138" i="2" s="1"/>
  <c r="H15" i="44"/>
  <c r="F260" i="3"/>
  <c r="H13" i="44"/>
  <c r="F102" i="3"/>
  <c r="F437" i="2"/>
  <c r="P437" i="2" s="1"/>
  <c r="F137" i="2"/>
  <c r="P137" i="2" s="1"/>
  <c r="H15" i="41"/>
  <c r="H7" i="42"/>
  <c r="H9" i="42" s="1"/>
  <c r="H13" i="42"/>
  <c r="F350" i="3"/>
  <c r="H5" i="41"/>
  <c r="H11" i="52"/>
  <c r="F436" i="2"/>
  <c r="P436" i="2" s="1"/>
  <c r="F434" i="2"/>
  <c r="H11" i="51"/>
  <c r="F37" i="3"/>
  <c r="F142" i="2"/>
  <c r="P142" i="2" s="1"/>
  <c r="H15" i="51"/>
  <c r="F76" i="3"/>
  <c r="F435" i="2"/>
  <c r="P435" i="2" s="1"/>
  <c r="F166" i="2"/>
  <c r="F139" i="2"/>
  <c r="P139" i="2" s="1"/>
  <c r="H5" i="45"/>
  <c r="F280" i="2"/>
  <c r="P280" i="2" s="1"/>
  <c r="H11" i="54"/>
  <c r="F319" i="3"/>
  <c r="F143" i="2"/>
  <c r="P143" i="2" s="1"/>
  <c r="H15" i="54"/>
  <c r="F446" i="3"/>
  <c r="H19" i="46"/>
  <c r="F292" i="3"/>
  <c r="F141" i="2"/>
  <c r="P141" i="2" s="1"/>
  <c r="H15" i="45"/>
  <c r="F267" i="2"/>
  <c r="P267" i="2" s="1"/>
  <c r="F270" i="2"/>
  <c r="P270" i="2" s="1"/>
  <c r="H20" i="43"/>
  <c r="F277" i="2"/>
  <c r="P277" i="2" s="1"/>
  <c r="H5" i="42"/>
  <c r="F136" i="2"/>
  <c r="P136" i="2" s="1"/>
  <c r="F125" i="3"/>
  <c r="F75" i="3"/>
  <c r="F515" i="3"/>
  <c r="F144" i="2"/>
  <c r="P144" i="2" s="1"/>
  <c r="H13" i="41"/>
  <c r="H13" i="54"/>
  <c r="H5" i="54"/>
  <c r="H6" i="53"/>
  <c r="H5" i="53"/>
  <c r="H10" i="52"/>
  <c r="H19" i="52"/>
  <c r="F457" i="3"/>
  <c r="H37" i="52"/>
  <c r="F526" i="3"/>
  <c r="H23" i="52"/>
  <c r="F259" i="3"/>
  <c r="H7" i="52"/>
  <c r="H13" i="52"/>
  <c r="H9" i="52"/>
  <c r="H12" i="52"/>
  <c r="H13" i="51"/>
  <c r="H5" i="51"/>
  <c r="H5" i="48"/>
  <c r="H15" i="46"/>
  <c r="H19" i="45"/>
  <c r="H5" i="46"/>
  <c r="H114" i="39"/>
  <c r="H29" i="39"/>
  <c r="F442" i="3"/>
  <c r="H115" i="39"/>
  <c r="H31" i="39"/>
  <c r="F408" i="3"/>
  <c r="H116" i="39"/>
  <c r="H123" i="39"/>
  <c r="H6" i="39"/>
  <c r="H142" i="39"/>
  <c r="H143" i="39"/>
  <c r="H39" i="39"/>
  <c r="F253" i="3"/>
  <c r="H150" i="39"/>
  <c r="H7" i="39"/>
  <c r="H184" i="39"/>
  <c r="H25" i="39"/>
  <c r="H185" i="39"/>
  <c r="H55" i="39"/>
  <c r="F10" i="3"/>
  <c r="H186" i="39"/>
  <c r="H57" i="39"/>
  <c r="F214" i="3"/>
  <c r="H187" i="39"/>
  <c r="H59" i="39"/>
  <c r="F307" i="3"/>
  <c r="H188" i="39"/>
  <c r="H79" i="39"/>
  <c r="H195" i="39"/>
  <c r="H8" i="39"/>
  <c r="H217" i="39"/>
  <c r="H21" i="39"/>
  <c r="H218" i="39"/>
  <c r="H61" i="39"/>
  <c r="F328" i="3"/>
  <c r="H219" i="39"/>
  <c r="H226" i="39"/>
  <c r="H9" i="39"/>
  <c r="H248" i="39"/>
  <c r="H49" i="39"/>
  <c r="F92" i="3"/>
  <c r="H249" i="39"/>
  <c r="H65" i="39"/>
  <c r="F127" i="3"/>
  <c r="H256" i="39"/>
  <c r="H10" i="39"/>
  <c r="H278" i="39"/>
  <c r="H26" i="39"/>
  <c r="H279" i="39"/>
  <c r="H280" i="39"/>
  <c r="H77" i="39"/>
  <c r="F244" i="3"/>
  <c r="H287" i="39"/>
  <c r="H11" i="39"/>
  <c r="H310" i="39"/>
  <c r="H41" i="39"/>
  <c r="F258" i="3"/>
  <c r="H311" i="39"/>
  <c r="H43" i="39"/>
  <c r="H312" i="39"/>
  <c r="H47" i="39"/>
  <c r="F502" i="3"/>
  <c r="H313" i="39"/>
  <c r="H71" i="39"/>
  <c r="F494" i="3"/>
  <c r="H320" i="39"/>
  <c r="H12" i="39"/>
  <c r="H341" i="39"/>
  <c r="H22" i="39"/>
  <c r="H342" i="39"/>
  <c r="H44" i="39"/>
  <c r="H343" i="39"/>
  <c r="H69" i="39"/>
  <c r="F304" i="3"/>
  <c r="H350" i="39"/>
  <c r="H13" i="39"/>
  <c r="H19" i="39"/>
  <c r="F280" i="3"/>
  <c r="H73" i="39"/>
  <c r="F336" i="3"/>
  <c r="H80" i="39"/>
  <c r="H382" i="39"/>
  <c r="H14" i="39"/>
  <c r="H409" i="39"/>
  <c r="H34" i="39"/>
  <c r="H410" i="39"/>
  <c r="H51" i="39"/>
  <c r="F182" i="3"/>
  <c r="H411" i="39"/>
  <c r="H53" i="39"/>
  <c r="F240" i="3"/>
  <c r="H412" i="39"/>
  <c r="H75" i="39"/>
  <c r="F207" i="3"/>
  <c r="H33" i="39"/>
  <c r="H37" i="39"/>
  <c r="F428" i="3"/>
  <c r="H63" i="39"/>
  <c r="F325" i="3"/>
  <c r="H67" i="39"/>
  <c r="F166" i="3"/>
  <c r="H92" i="39"/>
  <c r="H5" i="39"/>
  <c r="H64" i="28"/>
  <c r="H14" i="28" s="1"/>
  <c r="F150" i="3" s="1"/>
  <c r="H65" i="28"/>
  <c r="H24" i="28" s="1"/>
  <c r="H6" i="28"/>
  <c r="F366" i="2" s="1"/>
  <c r="P366" i="2" s="1"/>
  <c r="H29" i="28"/>
  <c r="H113" i="28"/>
  <c r="H7" i="28" s="1"/>
  <c r="F367" i="2" s="1"/>
  <c r="P367" i="2" s="1"/>
  <c r="H142" i="28"/>
  <c r="H16" i="28" s="1"/>
  <c r="H8" i="28"/>
  <c r="H20" i="28"/>
  <c r="H25" i="28"/>
  <c r="H9" i="28"/>
  <c r="F369" i="2" s="1"/>
  <c r="P369" i="2" s="1"/>
  <c r="H22" i="28"/>
  <c r="F39" i="3" s="1"/>
  <c r="H30" i="28"/>
  <c r="H218" i="28"/>
  <c r="H10" i="28" s="1"/>
  <c r="F370" i="2" s="1"/>
  <c r="P370" i="2" s="1"/>
  <c r="H242" i="28"/>
  <c r="H17" i="28" s="1"/>
  <c r="H243" i="28"/>
  <c r="H26" i="28" s="1"/>
  <c r="H42" i="28"/>
  <c r="H5" i="28" s="1"/>
  <c r="F365" i="2" s="1"/>
  <c r="P365" i="2" s="1"/>
  <c r="H112" i="38"/>
  <c r="H62" i="38" s="1"/>
  <c r="H113" i="38"/>
  <c r="H73" i="38" s="1"/>
  <c r="F433" i="3" s="1"/>
  <c r="H120" i="38"/>
  <c r="H5" i="38" s="1"/>
  <c r="H142" i="38"/>
  <c r="H70" i="38" s="1"/>
  <c r="H143" i="38"/>
  <c r="H75" i="38" s="1"/>
  <c r="F129" i="3" s="1"/>
  <c r="H150" i="38"/>
  <c r="H8" i="38" s="1"/>
  <c r="F18" i="2" s="1"/>
  <c r="P18" i="2" s="1"/>
  <c r="H168" i="38"/>
  <c r="H27" i="38" s="1"/>
  <c r="F376" i="3" s="1"/>
  <c r="H169" i="38"/>
  <c r="H57" i="38" s="1"/>
  <c r="H170" i="38"/>
  <c r="H69" i="38" s="1"/>
  <c r="H220" i="38"/>
  <c r="H10" i="38" s="1"/>
  <c r="F20" i="2" s="1"/>
  <c r="P20" i="2" s="1"/>
  <c r="H237" i="38"/>
  <c r="H31" i="38" s="1"/>
  <c r="H244" i="38"/>
  <c r="H11" i="38" s="1"/>
  <c r="F21" i="2" s="1"/>
  <c r="P21" i="2" s="1"/>
  <c r="H260" i="38"/>
  <c r="H35" i="38" s="1"/>
  <c r="F378" i="3" s="1"/>
  <c r="H267" i="38"/>
  <c r="H12" i="38" s="1"/>
  <c r="F22" i="2" s="1"/>
  <c r="P22" i="2" s="1"/>
  <c r="H293" i="38"/>
  <c r="H37" i="38" s="1"/>
  <c r="F85" i="3" s="1"/>
  <c r="H294" i="38"/>
  <c r="H53" i="38" s="1"/>
  <c r="H295" i="38"/>
  <c r="H65" i="38" s="1"/>
  <c r="H49" i="38"/>
  <c r="H337" i="38"/>
  <c r="H14" i="38" s="1"/>
  <c r="F24" i="2" s="1"/>
  <c r="P24" i="2" s="1"/>
  <c r="H349" i="38"/>
  <c r="H373" i="38"/>
  <c r="H32" i="38" s="1"/>
  <c r="H374" i="38"/>
  <c r="H43" i="38" s="1"/>
  <c r="F219" i="3" s="1"/>
  <c r="H375" i="38"/>
  <c r="H45" i="38" s="1"/>
  <c r="H383" i="38"/>
  <c r="H15" i="38" s="1"/>
  <c r="F25" i="2" s="1"/>
  <c r="P25" i="2" s="1"/>
  <c r="H396" i="38"/>
  <c r="H46" i="38" s="1"/>
  <c r="H403" i="38"/>
  <c r="H16" i="38" s="1"/>
  <c r="F26" i="2" s="1"/>
  <c r="P26" i="2" s="1"/>
  <c r="H422" i="38"/>
  <c r="H54" i="38" s="1"/>
  <c r="H423" i="38"/>
  <c r="H79" i="38"/>
  <c r="H17" i="38"/>
  <c r="H58" i="38"/>
  <c r="H61" i="38"/>
  <c r="H455" i="38"/>
  <c r="H18" i="38" s="1"/>
  <c r="F28" i="2" s="1"/>
  <c r="P28" i="2" s="1"/>
  <c r="H492" i="38"/>
  <c r="H39" i="38" s="1"/>
  <c r="F400" i="3" s="1"/>
  <c r="H493" i="38"/>
  <c r="H50" i="38" s="1"/>
  <c r="H51" i="38" s="1"/>
  <c r="F322" i="3" s="1"/>
  <c r="H500" i="38"/>
  <c r="H19" i="38" s="1"/>
  <c r="F29" i="2" s="1"/>
  <c r="P29" i="2" s="1"/>
  <c r="H524" i="38"/>
  <c r="H66" i="38" s="1"/>
  <c r="H93" i="38"/>
  <c r="H4" i="38" s="1"/>
  <c r="F31" i="2" s="1"/>
  <c r="P31" i="2" s="1"/>
  <c r="H3" i="36"/>
  <c r="H7" i="36"/>
  <c r="H9" i="36"/>
  <c r="H11" i="36"/>
  <c r="H25" i="37"/>
  <c r="F334" i="3"/>
  <c r="H35" i="37"/>
  <c r="F317" i="3"/>
  <c r="H86" i="37"/>
  <c r="H7" i="37"/>
  <c r="H97" i="37"/>
  <c r="H27" i="37"/>
  <c r="H29" i="37"/>
  <c r="F155" i="3"/>
  <c r="H104" i="37"/>
  <c r="H8" i="37" s="1"/>
  <c r="H122" i="37"/>
  <c r="H31" i="37" s="1"/>
  <c r="H33" i="37" s="1"/>
  <c r="H129" i="37"/>
  <c r="H9" i="37"/>
  <c r="F257" i="2"/>
  <c r="P257" i="2" s="1"/>
  <c r="H152" i="37"/>
  <c r="H22" i="37"/>
  <c r="H23" i="37"/>
  <c r="F472" i="3"/>
  <c r="H153" i="37"/>
  <c r="H160" i="37"/>
  <c r="H10" i="37"/>
  <c r="F258" i="2"/>
  <c r="H182" i="37"/>
  <c r="H17" i="37"/>
  <c r="H19" i="37"/>
  <c r="H183" i="37"/>
  <c r="H32" i="37"/>
  <c r="H190" i="37"/>
  <c r="H11" i="37"/>
  <c r="F259" i="2"/>
  <c r="P259" i="2" s="1"/>
  <c r="H235" i="37"/>
  <c r="H237" i="37"/>
  <c r="H18" i="37"/>
  <c r="H238" i="37"/>
  <c r="H28" i="37"/>
  <c r="H239" i="37"/>
  <c r="H38" i="37"/>
  <c r="H240" i="37"/>
  <c r="H41" i="37"/>
  <c r="F52" i="3"/>
  <c r="H21" i="37"/>
  <c r="H37" i="37"/>
  <c r="H54" i="37"/>
  <c r="H4" i="37"/>
  <c r="F202" i="2"/>
  <c r="P202" i="2" s="1"/>
  <c r="F203" i="2"/>
  <c r="P203" i="2" s="1"/>
  <c r="F201" i="2"/>
  <c r="P201" i="2" s="1"/>
  <c r="F200" i="2"/>
  <c r="P200" i="2" s="1"/>
  <c r="F205" i="2"/>
  <c r="P205" i="2" s="1"/>
  <c r="F204" i="2"/>
  <c r="P204" i="2" s="1"/>
  <c r="H17" i="36"/>
  <c r="F473" i="3"/>
  <c r="H15" i="36"/>
  <c r="F415" i="3"/>
  <c r="H5" i="36"/>
  <c r="F134" i="2"/>
  <c r="P134" i="2" s="1"/>
  <c r="H13" i="36"/>
  <c r="F469" i="3"/>
  <c r="F208" i="2"/>
  <c r="P208" i="2" s="1"/>
  <c r="F206" i="2"/>
  <c r="H45" i="39"/>
  <c r="F452" i="3"/>
  <c r="H14" i="37"/>
  <c r="F261" i="2"/>
  <c r="P261" i="2" s="1"/>
  <c r="F207" i="2"/>
  <c r="P207" i="2" s="1"/>
  <c r="F199" i="2"/>
  <c r="H41" i="52"/>
  <c r="H45" i="52"/>
  <c r="H43" i="52"/>
  <c r="H27" i="39"/>
  <c r="F318" i="3"/>
  <c r="H23" i="39"/>
  <c r="F420" i="3"/>
  <c r="H81" i="39"/>
  <c r="F171" i="3"/>
  <c r="H3" i="39"/>
  <c r="H35" i="39"/>
  <c r="F286" i="3"/>
  <c r="H39" i="37"/>
  <c r="F385" i="3"/>
  <c r="H3" i="35"/>
  <c r="H7" i="35"/>
  <c r="H9" i="35"/>
  <c r="H11" i="35"/>
  <c r="H151" i="34"/>
  <c r="H11" i="34"/>
  <c r="F423" i="3"/>
  <c r="H152" i="34"/>
  <c r="H13" i="34"/>
  <c r="F229" i="3"/>
  <c r="H153" i="34"/>
  <c r="H17" i="34"/>
  <c r="F504" i="3"/>
  <c r="H154" i="34"/>
  <c r="H19" i="34"/>
  <c r="F434" i="3"/>
  <c r="H155" i="34"/>
  <c r="H21" i="34"/>
  <c r="F298" i="3"/>
  <c r="H156" i="34"/>
  <c r="H24" i="34"/>
  <c r="H147" i="34"/>
  <c r="H141" i="34"/>
  <c r="H115" i="34"/>
  <c r="H111" i="34"/>
  <c r="H103" i="34"/>
  <c r="H86" i="34"/>
  <c r="H15" i="34"/>
  <c r="F438" i="3"/>
  <c r="H23" i="34"/>
  <c r="H25" i="34"/>
  <c r="F487" i="3"/>
  <c r="H73" i="34"/>
  <c r="H4" i="34"/>
  <c r="F163" i="2"/>
  <c r="P163" i="2" s="1"/>
  <c r="H3" i="34"/>
  <c r="H79" i="33"/>
  <c r="H20" i="33"/>
  <c r="F220" i="3"/>
  <c r="H80" i="33"/>
  <c r="H22" i="33"/>
  <c r="H5" i="33"/>
  <c r="H23" i="33"/>
  <c r="H31" i="33"/>
  <c r="H39" i="33"/>
  <c r="F255" i="3"/>
  <c r="H120" i="33"/>
  <c r="H8" i="33"/>
  <c r="F354" i="2"/>
  <c r="H133" i="33"/>
  <c r="H26" i="33"/>
  <c r="H9" i="33"/>
  <c r="H27" i="33"/>
  <c r="H30" i="33"/>
  <c r="H175" i="33"/>
  <c r="H10" i="33"/>
  <c r="F356" i="2"/>
  <c r="P356" i="2" s="1"/>
  <c r="H196" i="33"/>
  <c r="H36" i="33"/>
  <c r="H11" i="33"/>
  <c r="F357" i="2"/>
  <c r="P357" i="2" s="1"/>
  <c r="H32" i="33"/>
  <c r="H41" i="33"/>
  <c r="H12" i="33"/>
  <c r="F358" i="2"/>
  <c r="P358" i="2" s="1"/>
  <c r="H42" i="33"/>
  <c r="H46" i="33"/>
  <c r="F121" i="3"/>
  <c r="H271" i="33"/>
  <c r="H13" i="33"/>
  <c r="F359" i="2"/>
  <c r="P359" i="2" s="1"/>
  <c r="H288" i="33"/>
  <c r="H43" i="33"/>
  <c r="H35" i="33"/>
  <c r="H59" i="33"/>
  <c r="H4" i="33"/>
  <c r="H94" i="27"/>
  <c r="H39" i="27" s="1"/>
  <c r="F401" i="3" s="1"/>
  <c r="H95" i="27"/>
  <c r="H41" i="27" s="1"/>
  <c r="F266" i="3" s="1"/>
  <c r="H96" i="27"/>
  <c r="H43" i="27"/>
  <c r="H103" i="27"/>
  <c r="H5" i="27" s="1"/>
  <c r="H120" i="27"/>
  <c r="H51" i="27" s="1"/>
  <c r="F203" i="3" s="1"/>
  <c r="H121" i="27"/>
  <c r="H58" i="27"/>
  <c r="H128" i="27"/>
  <c r="H8" i="27" s="1"/>
  <c r="F341" i="2" s="1"/>
  <c r="P341" i="2" s="1"/>
  <c r="H145" i="27"/>
  <c r="H164" i="27"/>
  <c r="H23" i="27"/>
  <c r="H165" i="27"/>
  <c r="H29" i="27" s="1"/>
  <c r="H166" i="27"/>
  <c r="H47" i="27" s="1"/>
  <c r="H9" i="27"/>
  <c r="H30" i="27"/>
  <c r="H33" i="27"/>
  <c r="H203" i="27"/>
  <c r="H10" i="27" s="1"/>
  <c r="F343" i="2" s="1"/>
  <c r="P343" i="2" s="1"/>
  <c r="H229" i="27"/>
  <c r="H24" i="27" s="1"/>
  <c r="H230" i="27"/>
  <c r="H48" i="27" s="1"/>
  <c r="H239" i="27"/>
  <c r="H11" i="27" s="1"/>
  <c r="F344" i="2" s="1"/>
  <c r="P344" i="2" s="1"/>
  <c r="H268" i="27"/>
  <c r="H37" i="27" s="1"/>
  <c r="F212" i="3" s="1"/>
  <c r="H44" i="27"/>
  <c r="H45" i="27" s="1"/>
  <c r="F356" i="3" s="1"/>
  <c r="H57" i="27"/>
  <c r="H59" i="27" s="1"/>
  <c r="F416" i="3" s="1"/>
  <c r="H309" i="27"/>
  <c r="H13" i="27" s="1"/>
  <c r="F346" i="2" s="1"/>
  <c r="P346" i="2" s="1"/>
  <c r="H336" i="27"/>
  <c r="H25" i="27" s="1"/>
  <c r="H337" i="27"/>
  <c r="H35" i="27" s="1"/>
  <c r="F333" i="3" s="1"/>
  <c r="H345" i="27"/>
  <c r="H14" i="27" s="1"/>
  <c r="F347" i="2" s="1"/>
  <c r="P347" i="2" s="1"/>
  <c r="H370" i="27"/>
  <c r="H53" i="27" s="1"/>
  <c r="H15" i="27"/>
  <c r="F348" i="2"/>
  <c r="P348" i="2" s="1"/>
  <c r="H26" i="27"/>
  <c r="H72" i="27"/>
  <c r="H4" i="27"/>
  <c r="F350" i="2" s="1"/>
  <c r="P350" i="2" s="1"/>
  <c r="H81" i="26"/>
  <c r="H32" i="26"/>
  <c r="F389" i="3"/>
  <c r="H82" i="26"/>
  <c r="H34" i="26"/>
  <c r="F377" i="3"/>
  <c r="H83" i="26"/>
  <c r="H41" i="26"/>
  <c r="H90" i="26"/>
  <c r="H7" i="26"/>
  <c r="H107" i="26"/>
  <c r="H117" i="26"/>
  <c r="H20" i="26"/>
  <c r="H118" i="26"/>
  <c r="H28" i="26"/>
  <c r="H30" i="26"/>
  <c r="F482" i="3"/>
  <c r="H119" i="26"/>
  <c r="H40" i="26"/>
  <c r="H127" i="26"/>
  <c r="H8" i="26"/>
  <c r="F70" i="2"/>
  <c r="P70" i="2" s="1"/>
  <c r="H149" i="26"/>
  <c r="H22" i="26"/>
  <c r="H24" i="26"/>
  <c r="F245" i="3"/>
  <c r="H157" i="26"/>
  <c r="H9" i="26"/>
  <c r="F71" i="2"/>
  <c r="P71" i="2" s="1"/>
  <c r="H178" i="26"/>
  <c r="H26" i="26"/>
  <c r="F326" i="3"/>
  <c r="H179" i="26"/>
  <c r="H186" i="26"/>
  <c r="H213" i="26"/>
  <c r="H29" i="26"/>
  <c r="H220" i="26"/>
  <c r="H11" i="26"/>
  <c r="F73" i="2"/>
  <c r="P73" i="2" s="1"/>
  <c r="H36" i="26"/>
  <c r="F321" i="3"/>
  <c r="H42" i="26"/>
  <c r="H249" i="26"/>
  <c r="H12" i="26"/>
  <c r="F74" i="2"/>
  <c r="P74" i="2" s="1"/>
  <c r="H279" i="26"/>
  <c r="H38" i="26"/>
  <c r="F287" i="3"/>
  <c r="H286" i="26"/>
  <c r="H13" i="26"/>
  <c r="H313" i="26"/>
  <c r="H23" i="26"/>
  <c r="H314" i="26"/>
  <c r="H46" i="26"/>
  <c r="H321" i="26"/>
  <c r="H14" i="26"/>
  <c r="H338" i="26"/>
  <c r="H10" i="26"/>
  <c r="H45" i="26"/>
  <c r="H49" i="26"/>
  <c r="F107" i="3"/>
  <c r="H62" i="26"/>
  <c r="H4" i="26"/>
  <c r="H75" i="25"/>
  <c r="H20" i="25" s="1"/>
  <c r="H76" i="25"/>
  <c r="H24" i="25"/>
  <c r="H77" i="25"/>
  <c r="H31" i="25" s="1"/>
  <c r="F523" i="3" s="1"/>
  <c r="H84" i="25"/>
  <c r="H6" i="25" s="1"/>
  <c r="F192" i="2" s="1"/>
  <c r="P192" i="2" s="1"/>
  <c r="H99" i="25"/>
  <c r="H14" i="25" s="1"/>
  <c r="H16" i="25" s="1"/>
  <c r="F379" i="3" s="1"/>
  <c r="H106" i="25"/>
  <c r="H7" i="25"/>
  <c r="F193" i="2" s="1"/>
  <c r="P193" i="2" s="1"/>
  <c r="H130" i="25"/>
  <c r="H18" i="25" s="1"/>
  <c r="F474" i="3" s="1"/>
  <c r="H131" i="25"/>
  <c r="H25" i="25" s="1"/>
  <c r="H138" i="25"/>
  <c r="H8" i="25"/>
  <c r="H165" i="25"/>
  <c r="H21" i="25" s="1"/>
  <c r="H172" i="25"/>
  <c r="H9" i="25" s="1"/>
  <c r="H204" i="25"/>
  <c r="H26" i="25" s="1"/>
  <c r="F441" i="3"/>
  <c r="H42" i="25"/>
  <c r="H5" i="25"/>
  <c r="H3" i="24"/>
  <c r="H7" i="24"/>
  <c r="H9" i="24"/>
  <c r="F17" i="3"/>
  <c r="H11" i="24"/>
  <c r="F43" i="3"/>
  <c r="H16" i="23"/>
  <c r="F138" i="3"/>
  <c r="H18" i="23"/>
  <c r="H3" i="23"/>
  <c r="D181" i="23"/>
  <c r="E181" i="23"/>
  <c r="F181" i="23"/>
  <c r="G181" i="23"/>
  <c r="D156" i="23"/>
  <c r="E156" i="23"/>
  <c r="F156" i="23"/>
  <c r="G156" i="23"/>
  <c r="D134" i="23"/>
  <c r="D126" i="23"/>
  <c r="E126" i="23"/>
  <c r="F126" i="23"/>
  <c r="G126" i="23"/>
  <c r="D96" i="23"/>
  <c r="E96" i="23"/>
  <c r="F96" i="23"/>
  <c r="G96" i="23"/>
  <c r="D59" i="23"/>
  <c r="E59" i="23"/>
  <c r="F59" i="23"/>
  <c r="G59" i="23"/>
  <c r="D54" i="23"/>
  <c r="E54" i="23"/>
  <c r="F54" i="23"/>
  <c r="G54" i="23"/>
  <c r="D44" i="23"/>
  <c r="E44" i="23"/>
  <c r="F44" i="23"/>
  <c r="G44" i="23"/>
  <c r="D3" i="23"/>
  <c r="E3" i="23"/>
  <c r="G3" i="23"/>
  <c r="H22" i="23"/>
  <c r="F281" i="3" s="1"/>
  <c r="H14" i="23"/>
  <c r="F339" i="3" s="1"/>
  <c r="H10" i="23"/>
  <c r="F431" i="3" s="1"/>
  <c r="H156" i="23"/>
  <c r="H96" i="23"/>
  <c r="H59" i="23"/>
  <c r="H54" i="23"/>
  <c r="H44" i="23"/>
  <c r="H199" i="23"/>
  <c r="H19" i="23" s="1"/>
  <c r="H20" i="23" s="1"/>
  <c r="F444" i="3" s="1"/>
  <c r="H192" i="23"/>
  <c r="H4" i="23" s="1"/>
  <c r="H13" i="35"/>
  <c r="F383" i="3"/>
  <c r="H17" i="35"/>
  <c r="F507" i="3"/>
  <c r="H5" i="35"/>
  <c r="F133" i="2"/>
  <c r="P133" i="2" s="1"/>
  <c r="H15" i="35"/>
  <c r="F296" i="3"/>
  <c r="F337" i="2"/>
  <c r="P337" i="2" s="1"/>
  <c r="H8" i="34"/>
  <c r="P199" i="2"/>
  <c r="H16" i="39"/>
  <c r="H17" i="39"/>
  <c r="F76" i="2"/>
  <c r="P76" i="2" s="1"/>
  <c r="F75" i="2"/>
  <c r="P75" i="2" s="1"/>
  <c r="F72" i="2"/>
  <c r="P72" i="2" s="1"/>
  <c r="F191" i="2"/>
  <c r="P191" i="2" s="1"/>
  <c r="F196" i="2"/>
  <c r="P196" i="2" s="1"/>
  <c r="F194" i="2"/>
  <c r="P194" i="2" s="1"/>
  <c r="H17" i="24"/>
  <c r="F105" i="3"/>
  <c r="H15" i="24"/>
  <c r="F132" i="2"/>
  <c r="P132" i="2" s="1"/>
  <c r="H85" i="39"/>
  <c r="H83" i="39"/>
  <c r="H87" i="39"/>
  <c r="H47" i="26"/>
  <c r="F299" i="3"/>
  <c r="H13" i="24"/>
  <c r="H5" i="24"/>
  <c r="H5" i="47"/>
  <c r="F358" i="3"/>
  <c r="E257" i="49"/>
  <c r="F257" i="49"/>
  <c r="G257" i="49"/>
  <c r="H257" i="49"/>
  <c r="E275" i="49"/>
  <c r="F275" i="49"/>
  <c r="F47" i="49" s="1"/>
  <c r="G275" i="49"/>
  <c r="H275" i="49"/>
  <c r="H47" i="49"/>
  <c r="D257" i="49"/>
  <c r="D11" i="49" s="1"/>
  <c r="B41" i="2" s="1"/>
  <c r="L41" i="2" s="1"/>
  <c r="E264" i="49"/>
  <c r="F264" i="49"/>
  <c r="G264" i="49"/>
  <c r="H264" i="49"/>
  <c r="D275" i="49"/>
  <c r="D264" i="49"/>
  <c r="E274" i="49"/>
  <c r="E34" i="49"/>
  <c r="F274" i="49"/>
  <c r="F34" i="49" s="1"/>
  <c r="F35" i="49" s="1"/>
  <c r="D172" i="3" s="1"/>
  <c r="G274" i="49"/>
  <c r="G34" i="49"/>
  <c r="H274" i="49"/>
  <c r="H34" i="49" s="1"/>
  <c r="D274" i="49"/>
  <c r="D34" i="49"/>
  <c r="H79" i="49"/>
  <c r="H18" i="49" s="1"/>
  <c r="H86" i="49"/>
  <c r="H6" i="49"/>
  <c r="H113" i="49"/>
  <c r="H22" i="49" s="1"/>
  <c r="F222" i="3" s="1"/>
  <c r="H114" i="49"/>
  <c r="H37" i="49" s="1"/>
  <c r="H39" i="49" s="1"/>
  <c r="F80" i="3" s="1"/>
  <c r="H121" i="49"/>
  <c r="H153" i="49"/>
  <c r="H24" i="49"/>
  <c r="F66" i="3" s="1"/>
  <c r="H154" i="49"/>
  <c r="H32" i="49"/>
  <c r="H155" i="49"/>
  <c r="H45" i="49" s="1"/>
  <c r="H48" i="49" s="1"/>
  <c r="F368" i="3" s="1"/>
  <c r="H163" i="49"/>
  <c r="H8" i="49"/>
  <c r="H180" i="49"/>
  <c r="H26" i="49" s="1"/>
  <c r="F269" i="3" s="1"/>
  <c r="H187" i="49"/>
  <c r="H9" i="49"/>
  <c r="F39" i="2" s="1"/>
  <c r="P39" i="2" s="1"/>
  <c r="H228" i="49"/>
  <c r="H213" i="49"/>
  <c r="H28" i="49"/>
  <c r="H214" i="49"/>
  <c r="H33" i="49" s="1"/>
  <c r="H35" i="49" s="1"/>
  <c r="F172" i="3" s="1"/>
  <c r="H215" i="49"/>
  <c r="H46" i="49"/>
  <c r="H222" i="49"/>
  <c r="H10" i="49" s="1"/>
  <c r="F40" i="2" s="1"/>
  <c r="P40" i="2" s="1"/>
  <c r="H246" i="49"/>
  <c r="H29" i="49"/>
  <c r="H247" i="49"/>
  <c r="H41" i="49" s="1"/>
  <c r="H43" i="49" s="1"/>
  <c r="F288" i="3" s="1"/>
  <c r="H248" i="49"/>
  <c r="H54" i="49"/>
  <c r="H12" i="49"/>
  <c r="F42" i="2" s="1"/>
  <c r="P42" i="2" s="1"/>
  <c r="H50" i="49"/>
  <c r="H315" i="49"/>
  <c r="H13" i="49" s="1"/>
  <c r="H329" i="49"/>
  <c r="H51" i="49" s="1"/>
  <c r="H14" i="49"/>
  <c r="F44" i="2" s="1"/>
  <c r="P44" i="2" s="1"/>
  <c r="H356" i="49"/>
  <c r="H19" i="49"/>
  <c r="H55" i="49"/>
  <c r="H56" i="49" s="1"/>
  <c r="F290" i="3" s="1"/>
  <c r="H7" i="49"/>
  <c r="H67" i="49"/>
  <c r="H5" i="49"/>
  <c r="F35" i="2" s="1"/>
  <c r="P35" i="2" s="1"/>
  <c r="G79" i="89"/>
  <c r="G14" i="89" s="1"/>
  <c r="E411" i="3" s="1"/>
  <c r="E81" i="89"/>
  <c r="E18" i="89" s="1"/>
  <c r="E11" i="65" s="1"/>
  <c r="F81" i="89"/>
  <c r="F18" i="89" s="1"/>
  <c r="F11" i="65" s="1"/>
  <c r="G81" i="89"/>
  <c r="G18" i="89" s="1"/>
  <c r="G11" i="65" s="1"/>
  <c r="H81" i="89"/>
  <c r="H18" i="89" s="1"/>
  <c r="H11" i="65" s="1"/>
  <c r="D81" i="89"/>
  <c r="D18" i="89" s="1"/>
  <c r="D11" i="65" s="1"/>
  <c r="E53" i="89"/>
  <c r="E5" i="89" s="1"/>
  <c r="C174" i="2" s="1"/>
  <c r="M174" i="2" s="1"/>
  <c r="F53" i="89"/>
  <c r="G53" i="89"/>
  <c r="G5" i="89" s="1"/>
  <c r="E174" i="2" s="1"/>
  <c r="O174" i="2" s="1"/>
  <c r="H53" i="89"/>
  <c r="H5" i="89" s="1"/>
  <c r="F174" i="2" s="1"/>
  <c r="P174" i="2" s="1"/>
  <c r="D53" i="89"/>
  <c r="D5" i="89" s="1"/>
  <c r="B174" i="2" s="1"/>
  <c r="E59" i="89"/>
  <c r="F59" i="89"/>
  <c r="G59" i="89"/>
  <c r="H59" i="89"/>
  <c r="D59" i="89"/>
  <c r="H79" i="89"/>
  <c r="H14" i="89" s="1"/>
  <c r="F411" i="3" s="1"/>
  <c r="H80" i="89"/>
  <c r="H16" i="89" s="1"/>
  <c r="F476" i="3" s="1"/>
  <c r="H82" i="89"/>
  <c r="H24" i="89" s="1"/>
  <c r="H6" i="89"/>
  <c r="F175" i="2" s="1"/>
  <c r="P175" i="2" s="1"/>
  <c r="H32" i="89"/>
  <c r="F439" i="3" s="1"/>
  <c r="H34" i="89"/>
  <c r="F142" i="3" s="1"/>
  <c r="H40" i="89"/>
  <c r="F161" i="3" s="1"/>
  <c r="H167" i="89"/>
  <c r="H8" i="89" s="1"/>
  <c r="H187" i="89"/>
  <c r="H25" i="89" s="1"/>
  <c r="H188" i="89"/>
  <c r="H36" i="89" s="1"/>
  <c r="H195" i="89"/>
  <c r="H9" i="89" s="1"/>
  <c r="F178" i="2" s="1"/>
  <c r="P178" i="2" s="1"/>
  <c r="H222" i="89"/>
  <c r="H22" i="89" s="1"/>
  <c r="F419" i="3" s="1"/>
  <c r="H223" i="89"/>
  <c r="H38" i="89" s="1"/>
  <c r="F305" i="3" s="1"/>
  <c r="H224" i="89"/>
  <c r="H42" i="89" s="1"/>
  <c r="F445" i="3" s="1"/>
  <c r="H30" i="89"/>
  <c r="F528" i="3" s="1"/>
  <c r="D103" i="65"/>
  <c r="E103" i="65"/>
  <c r="E9" i="65" s="1"/>
  <c r="C498" i="3" s="1"/>
  <c r="F103" i="65"/>
  <c r="F9" i="65" s="1"/>
  <c r="D498" i="3" s="1"/>
  <c r="G103" i="65"/>
  <c r="G9" i="65" s="1"/>
  <c r="E498" i="3" s="1"/>
  <c r="D105" i="65"/>
  <c r="D15" i="65" s="1"/>
  <c r="B509" i="3" s="1"/>
  <c r="K509" i="3" s="1"/>
  <c r="E105" i="65"/>
  <c r="F105" i="65"/>
  <c r="F15" i="65" s="1"/>
  <c r="D509" i="3" s="1"/>
  <c r="G105" i="65"/>
  <c r="G15" i="65" s="1"/>
  <c r="E509" i="3" s="1"/>
  <c r="D80" i="65"/>
  <c r="E80" i="65"/>
  <c r="F80" i="65"/>
  <c r="G80" i="65"/>
  <c r="D69" i="65"/>
  <c r="E69" i="65"/>
  <c r="F69" i="65"/>
  <c r="G69" i="65"/>
  <c r="H80" i="65"/>
  <c r="H69" i="65"/>
  <c r="F37" i="2"/>
  <c r="P37" i="2" s="1"/>
  <c r="F38" i="2"/>
  <c r="P38" i="2" s="1"/>
  <c r="F424" i="3"/>
  <c r="H11" i="49"/>
  <c r="F36" i="2"/>
  <c r="P36" i="2" s="1"/>
  <c r="H30" i="49"/>
  <c r="F179" i="3"/>
  <c r="F41" i="2"/>
  <c r="P41" i="2" s="1"/>
  <c r="H5" i="65"/>
  <c r="H21" i="29"/>
  <c r="H39" i="29"/>
  <c r="H97" i="29"/>
  <c r="H6" i="29" s="1"/>
  <c r="H126" i="29"/>
  <c r="H15" i="29"/>
  <c r="H127" i="29"/>
  <c r="H29" i="29" s="1"/>
  <c r="H31" i="29" s="1"/>
  <c r="F449" i="3" s="1"/>
  <c r="H134" i="29"/>
  <c r="H7" i="29"/>
  <c r="F49" i="2" s="1"/>
  <c r="P49" i="2" s="1"/>
  <c r="H153" i="29"/>
  <c r="H19" i="29" s="1"/>
  <c r="F375" i="3" s="1"/>
  <c r="H160" i="29"/>
  <c r="H8" i="29" s="1"/>
  <c r="F50" i="2" s="1"/>
  <c r="P50" i="2" s="1"/>
  <c r="H204" i="29"/>
  <c r="H27" i="29" s="1"/>
  <c r="F314" i="3" s="1"/>
  <c r="H205" i="29"/>
  <c r="H40" i="29" s="1"/>
  <c r="H213" i="29"/>
  <c r="H9" i="29"/>
  <c r="F51" i="2" s="1"/>
  <c r="P51" i="2" s="1"/>
  <c r="H249" i="29"/>
  <c r="H16" i="29" s="1"/>
  <c r="H250" i="29"/>
  <c r="H25" i="29"/>
  <c r="F382" i="3" s="1"/>
  <c r="H258" i="29"/>
  <c r="H273" i="29"/>
  <c r="H30" i="29"/>
  <c r="H274" i="29"/>
  <c r="H33" i="29" s="1"/>
  <c r="H281" i="29"/>
  <c r="H11" i="29"/>
  <c r="F53" i="2" s="1"/>
  <c r="P53" i="2" s="1"/>
  <c r="H304" i="29"/>
  <c r="H321" i="29"/>
  <c r="H22" i="29"/>
  <c r="H322" i="29"/>
  <c r="H34" i="29" s="1"/>
  <c r="H323" i="29"/>
  <c r="H37" i="29" s="1"/>
  <c r="F36" i="3" s="1"/>
  <c r="H10" i="29"/>
  <c r="H5" i="29"/>
  <c r="H68" i="71"/>
  <c r="H27" i="71" s="1"/>
  <c r="H76" i="71"/>
  <c r="H6" i="71" s="1"/>
  <c r="F441" i="2" s="1"/>
  <c r="H17" i="71"/>
  <c r="H31" i="71"/>
  <c r="H7" i="71"/>
  <c r="H15" i="71"/>
  <c r="H23" i="71"/>
  <c r="H28" i="71"/>
  <c r="H167" i="71"/>
  <c r="H8" i="71"/>
  <c r="H193" i="71"/>
  <c r="H18" i="71" s="1"/>
  <c r="H19" i="71" s="1"/>
  <c r="F78" i="3" s="1"/>
  <c r="H200" i="71"/>
  <c r="H9" i="71" s="1"/>
  <c r="F444" i="2" s="1"/>
  <c r="P444" i="2" s="1"/>
  <c r="H222" i="71"/>
  <c r="H32" i="71" s="1"/>
  <c r="H34" i="71" s="1"/>
  <c r="F124" i="3" s="1"/>
  <c r="H229" i="71"/>
  <c r="H10" i="71" s="1"/>
  <c r="F445" i="2" s="1"/>
  <c r="P445" i="2" s="1"/>
  <c r="H285" i="71"/>
  <c r="H24" i="71" s="1"/>
  <c r="H256" i="71"/>
  <c r="H21" i="71" s="1"/>
  <c r="F265" i="3" s="1"/>
  <c r="H257" i="71"/>
  <c r="H33" i="71"/>
  <c r="H264" i="71"/>
  <c r="H11" i="71"/>
  <c r="H47" i="71"/>
  <c r="H5" i="71"/>
  <c r="F52" i="2"/>
  <c r="F47" i="2"/>
  <c r="P47" i="2" s="1"/>
  <c r="F446" i="2"/>
  <c r="P446" i="2" s="1"/>
  <c r="F440" i="2"/>
  <c r="P440" i="2" s="1"/>
  <c r="F443" i="2"/>
  <c r="P443" i="2" s="1"/>
  <c r="H23" i="29"/>
  <c r="F79" i="3" s="1"/>
  <c r="H13" i="75"/>
  <c r="H15" i="75"/>
  <c r="H21" i="75"/>
  <c r="H24" i="75" s="1"/>
  <c r="F206" i="3" s="1"/>
  <c r="H73" i="75"/>
  <c r="H6" i="75"/>
  <c r="F299" i="2"/>
  <c r="P299" i="2" s="1"/>
  <c r="H99" i="75"/>
  <c r="H19" i="75" s="1"/>
  <c r="F262" i="3" s="1"/>
  <c r="H100" i="75"/>
  <c r="H22" i="75" s="1"/>
  <c r="H7" i="75"/>
  <c r="F300" i="2"/>
  <c r="P300" i="2" s="1"/>
  <c r="H16" i="75"/>
  <c r="H26" i="75"/>
  <c r="H8" i="75"/>
  <c r="F301" i="2"/>
  <c r="P301" i="2" s="1"/>
  <c r="H208" i="75"/>
  <c r="H30" i="75" s="1"/>
  <c r="F68" i="3" s="1"/>
  <c r="H23" i="75"/>
  <c r="H27" i="75"/>
  <c r="H179" i="75"/>
  <c r="H9" i="75" s="1"/>
  <c r="F302" i="2" s="1"/>
  <c r="P302" i="2" s="1"/>
  <c r="H5" i="75"/>
  <c r="H17" i="60"/>
  <c r="F429" i="3"/>
  <c r="H20" i="60"/>
  <c r="H13" i="60"/>
  <c r="F81" i="3"/>
  <c r="H15" i="60"/>
  <c r="F109" i="3" s="1"/>
  <c r="H11" i="60"/>
  <c r="F417" i="3"/>
  <c r="H19" i="60"/>
  <c r="H35" i="60"/>
  <c r="H3" i="60" s="1"/>
  <c r="H3" i="20"/>
  <c r="H5" i="20"/>
  <c r="H7" i="21"/>
  <c r="H3" i="21"/>
  <c r="H5" i="21"/>
  <c r="H8" i="21"/>
  <c r="H6" i="20"/>
  <c r="H11" i="21"/>
  <c r="F486" i="3"/>
  <c r="H56" i="19"/>
  <c r="H77" i="19"/>
  <c r="H107" i="19"/>
  <c r="H15" i="19" s="1"/>
  <c r="H108" i="19"/>
  <c r="H17" i="19" s="1"/>
  <c r="F110" i="3" s="1"/>
  <c r="H109" i="19"/>
  <c r="H19" i="19"/>
  <c r="H21" i="19" s="1"/>
  <c r="F302" i="3" s="1"/>
  <c r="H110" i="19"/>
  <c r="H27" i="19" s="1"/>
  <c r="F178" i="3" s="1"/>
  <c r="H111" i="19"/>
  <c r="H29" i="19" s="1"/>
  <c r="H31" i="19" s="1"/>
  <c r="F405" i="3" s="1"/>
  <c r="H118" i="19"/>
  <c r="H4" i="19"/>
  <c r="H125" i="19"/>
  <c r="H128" i="19"/>
  <c r="H134" i="19"/>
  <c r="H139" i="19"/>
  <c r="H151" i="19"/>
  <c r="H170" i="19"/>
  <c r="H181" i="19"/>
  <c r="H183" i="19"/>
  <c r="H13" i="19"/>
  <c r="F202" i="3"/>
  <c r="H184" i="19"/>
  <c r="H20" i="19"/>
  <c r="H185" i="19"/>
  <c r="H23" i="19"/>
  <c r="F371" i="3"/>
  <c r="H186" i="19"/>
  <c r="H30" i="19"/>
  <c r="H187" i="19"/>
  <c r="H34" i="19"/>
  <c r="H194" i="19"/>
  <c r="H5" i="19"/>
  <c r="H217" i="19"/>
  <c r="H25" i="19"/>
  <c r="F254" i="3"/>
  <c r="H218" i="19"/>
  <c r="H33" i="19"/>
  <c r="H49" i="19"/>
  <c r="H3" i="19" s="1"/>
  <c r="H9" i="19"/>
  <c r="F186" i="2"/>
  <c r="P186" i="2" s="1"/>
  <c r="H7" i="20"/>
  <c r="F158" i="2"/>
  <c r="P158" i="2" s="1"/>
  <c r="H13" i="21"/>
  <c r="F157" i="2"/>
  <c r="P157" i="2" s="1"/>
  <c r="H9" i="21"/>
  <c r="F516" i="3" s="1"/>
  <c r="H10" i="19"/>
  <c r="F187" i="2"/>
  <c r="P187" i="2" s="1"/>
  <c r="H35" i="19"/>
  <c r="F353" i="3"/>
  <c r="H32" i="13"/>
  <c r="H36" i="13"/>
  <c r="H19" i="13"/>
  <c r="F33" i="3" s="1"/>
  <c r="H25" i="13"/>
  <c r="H11" i="13"/>
  <c r="F13" i="2" s="1"/>
  <c r="P13" i="2" s="1"/>
  <c r="H135" i="13"/>
  <c r="H21" i="13" s="1"/>
  <c r="H136" i="13"/>
  <c r="H35" i="13" s="1"/>
  <c r="H143" i="13"/>
  <c r="H106" i="13"/>
  <c r="H17" i="13" s="1"/>
  <c r="F193" i="3" s="1"/>
  <c r="H107" i="13"/>
  <c r="H31" i="13" s="1"/>
  <c r="H114" i="13"/>
  <c r="H8" i="13" s="1"/>
  <c r="F10" i="2" s="1"/>
  <c r="P10" i="2" s="1"/>
  <c r="H26" i="13"/>
  <c r="H29" i="13"/>
  <c r="F346" i="3" s="1"/>
  <c r="H90" i="13"/>
  <c r="H7" i="13" s="1"/>
  <c r="H59" i="13"/>
  <c r="H9" i="13"/>
  <c r="F11" i="2" s="1"/>
  <c r="P11" i="2" s="1"/>
  <c r="H4" i="13"/>
  <c r="F15" i="2" s="1"/>
  <c r="H169" i="13"/>
  <c r="H22" i="13"/>
  <c r="H10" i="13"/>
  <c r="F12" i="2" s="1"/>
  <c r="P12" i="2" s="1"/>
  <c r="H5" i="18"/>
  <c r="F247" i="2"/>
  <c r="H65" i="18"/>
  <c r="H74" i="18"/>
  <c r="H20" i="18"/>
  <c r="H12" i="18"/>
  <c r="H88" i="18"/>
  <c r="H6" i="18"/>
  <c r="F248" i="2"/>
  <c r="P248" i="2"/>
  <c r="H115" i="18"/>
  <c r="H24" i="18"/>
  <c r="F312" i="3"/>
  <c r="H123" i="18"/>
  <c r="H7" i="18"/>
  <c r="F249" i="2"/>
  <c r="P249" i="2" s="1"/>
  <c r="H137" i="18"/>
  <c r="H16" i="18"/>
  <c r="H144" i="18"/>
  <c r="H8" i="18"/>
  <c r="F250" i="2"/>
  <c r="P250" i="2" s="1"/>
  <c r="H174" i="18"/>
  <c r="H13" i="18"/>
  <c r="H175" i="18"/>
  <c r="H17" i="18"/>
  <c r="H176" i="18"/>
  <c r="H21" i="18"/>
  <c r="H177" i="18"/>
  <c r="H26" i="18"/>
  <c r="F160" i="3"/>
  <c r="H3" i="15"/>
  <c r="H7" i="15"/>
  <c r="F412" i="3"/>
  <c r="H9" i="15"/>
  <c r="H11" i="15"/>
  <c r="F403" i="3"/>
  <c r="H17" i="15"/>
  <c r="H11" i="16"/>
  <c r="H13" i="16" s="1"/>
  <c r="H3" i="16"/>
  <c r="H7" i="16"/>
  <c r="F197" i="3"/>
  <c r="H9" i="16"/>
  <c r="F443" i="3"/>
  <c r="H12" i="16"/>
  <c r="H18" i="15"/>
  <c r="H19" i="15" s="1"/>
  <c r="H5" i="17"/>
  <c r="F273" i="3"/>
  <c r="F67" i="3"/>
  <c r="F24" i="3"/>
  <c r="H3" i="12"/>
  <c r="H6" i="12"/>
  <c r="H8" i="12"/>
  <c r="F100" i="3"/>
  <c r="H10" i="12"/>
  <c r="F61" i="3"/>
  <c r="H12" i="12"/>
  <c r="H3" i="14"/>
  <c r="H8" i="14"/>
  <c r="H11" i="14"/>
  <c r="F20" i="3"/>
  <c r="F466" i="3"/>
  <c r="H9" i="11"/>
  <c r="H11" i="11" s="1"/>
  <c r="F450" i="3"/>
  <c r="H3" i="11"/>
  <c r="H5" i="11"/>
  <c r="H7" i="11"/>
  <c r="F500" i="3"/>
  <c r="H10" i="11"/>
  <c r="H13" i="11"/>
  <c r="F226" i="3"/>
  <c r="H15" i="11"/>
  <c r="G130" i="9"/>
  <c r="G37" i="9"/>
  <c r="E71" i="3"/>
  <c r="H79" i="9"/>
  <c r="H19" i="9"/>
  <c r="H21" i="9"/>
  <c r="H80" i="9"/>
  <c r="H39" i="9"/>
  <c r="H87" i="9"/>
  <c r="H4" i="9"/>
  <c r="H105" i="9"/>
  <c r="H29" i="9"/>
  <c r="H106" i="9"/>
  <c r="H33" i="9"/>
  <c r="H35" i="9"/>
  <c r="F246" i="3"/>
  <c r="H5" i="9"/>
  <c r="H13" i="9"/>
  <c r="H130" i="9"/>
  <c r="H37" i="9"/>
  <c r="F71" i="3"/>
  <c r="H131" i="9"/>
  <c r="H40" i="9"/>
  <c r="H138" i="9"/>
  <c r="H6" i="9"/>
  <c r="H170" i="9"/>
  <c r="H27" i="9"/>
  <c r="F48" i="3"/>
  <c r="H171" i="9"/>
  <c r="H34" i="9"/>
  <c r="H172" i="9"/>
  <c r="H44" i="9"/>
  <c r="H179" i="9"/>
  <c r="H7" i="9"/>
  <c r="H15" i="9"/>
  <c r="H204" i="9"/>
  <c r="H23" i="9"/>
  <c r="H25" i="9"/>
  <c r="F181" i="3"/>
  <c r="H205" i="9"/>
  <c r="H41" i="9"/>
  <c r="H212" i="9"/>
  <c r="H8" i="9"/>
  <c r="H239" i="9"/>
  <c r="H20" i="9"/>
  <c r="H240" i="9"/>
  <c r="H24" i="9"/>
  <c r="H241" i="9"/>
  <c r="H30" i="9"/>
  <c r="H242" i="9"/>
  <c r="H45" i="9"/>
  <c r="H59" i="9"/>
  <c r="H3" i="9"/>
  <c r="H9" i="9"/>
  <c r="H17" i="9"/>
  <c r="H50" i="7"/>
  <c r="H55" i="7"/>
  <c r="H58" i="7"/>
  <c r="H61" i="7"/>
  <c r="H69" i="7"/>
  <c r="H83" i="7"/>
  <c r="H13" i="7" s="1"/>
  <c r="H84" i="7"/>
  <c r="H21" i="7"/>
  <c r="H23" i="7" s="1"/>
  <c r="F27" i="3" s="1"/>
  <c r="H85" i="7"/>
  <c r="H25" i="7" s="1"/>
  <c r="H27" i="7" s="1"/>
  <c r="F13" i="3" s="1"/>
  <c r="H92" i="7"/>
  <c r="H4" i="7"/>
  <c r="H96" i="7"/>
  <c r="H103" i="7"/>
  <c r="H120" i="7"/>
  <c r="H162" i="7"/>
  <c r="H15" i="7" s="1"/>
  <c r="F437" i="3" s="1"/>
  <c r="H163" i="7"/>
  <c r="H17" i="7"/>
  <c r="H19" i="7" s="1"/>
  <c r="F440" i="3" s="1"/>
  <c r="H131" i="7"/>
  <c r="H18" i="7" s="1"/>
  <c r="H132" i="7"/>
  <c r="H133" i="7"/>
  <c r="H134" i="7"/>
  <c r="H29" i="7" s="1"/>
  <c r="F95" i="3" s="1"/>
  <c r="H141" i="7"/>
  <c r="H5" i="7" s="1"/>
  <c r="H22" i="7"/>
  <c r="H26" i="7"/>
  <c r="H43" i="7"/>
  <c r="H3" i="7" s="1"/>
  <c r="H3" i="6"/>
  <c r="H7" i="6"/>
  <c r="H15" i="6"/>
  <c r="H9" i="6"/>
  <c r="F355" i="3"/>
  <c r="H3" i="5"/>
  <c r="H7" i="5"/>
  <c r="F118" i="3"/>
  <c r="H9" i="5"/>
  <c r="F186" i="3"/>
  <c r="H11" i="5"/>
  <c r="F116" i="3"/>
  <c r="H3" i="4"/>
  <c r="H7" i="4"/>
  <c r="H9" i="4"/>
  <c r="H11" i="8"/>
  <c r="H13" i="8" s="1"/>
  <c r="H3" i="8"/>
  <c r="H7" i="8"/>
  <c r="H13" i="4"/>
  <c r="H9" i="8"/>
  <c r="F238" i="3"/>
  <c r="H12" i="8"/>
  <c r="H10" i="4"/>
  <c r="H11" i="4" s="1"/>
  <c r="H15" i="8"/>
  <c r="F544" i="3"/>
  <c r="F560" i="3" s="1"/>
  <c r="H15" i="4"/>
  <c r="H13" i="15"/>
  <c r="H19" i="16"/>
  <c r="H13" i="14"/>
  <c r="H18" i="12"/>
  <c r="F135" i="2"/>
  <c r="P135" i="2" s="1"/>
  <c r="F347" i="3"/>
  <c r="H17" i="14"/>
  <c r="H16" i="12"/>
  <c r="F131" i="2"/>
  <c r="P131" i="2" s="1"/>
  <c r="H5" i="14"/>
  <c r="H13" i="12"/>
  <c r="H14" i="12" s="1"/>
  <c r="F129" i="2"/>
  <c r="P129" i="2" s="1"/>
  <c r="H15" i="14"/>
  <c r="H7" i="14"/>
  <c r="H9" i="14" s="1"/>
  <c r="H5" i="12"/>
  <c r="F241" i="2"/>
  <c r="P241" i="2" s="1"/>
  <c r="F331" i="2"/>
  <c r="P331" i="2" s="1"/>
  <c r="H11" i="6"/>
  <c r="F521" i="3"/>
  <c r="H17" i="8"/>
  <c r="F60" i="3"/>
  <c r="H5" i="8"/>
  <c r="F140" i="2"/>
  <c r="P140" i="2" s="1"/>
  <c r="F242" i="2"/>
  <c r="P242" i="2" s="1"/>
  <c r="F239" i="2"/>
  <c r="F5" i="2"/>
  <c r="P5" i="2" s="1"/>
  <c r="H15" i="16"/>
  <c r="H17" i="16"/>
  <c r="F470" i="3"/>
  <c r="F130" i="2"/>
  <c r="P130" i="2" s="1"/>
  <c r="F127" i="2"/>
  <c r="P127" i="2" s="1"/>
  <c r="H5" i="4"/>
  <c r="H17" i="4"/>
  <c r="F174" i="3"/>
  <c r="F126" i="2"/>
  <c r="F147" i="2"/>
  <c r="P147" i="2" s="1"/>
  <c r="H21" i="16"/>
  <c r="H15" i="15"/>
  <c r="H21" i="15"/>
  <c r="H5" i="15"/>
  <c r="H5" i="16"/>
  <c r="H19" i="11"/>
  <c r="H31" i="9"/>
  <c r="F256" i="3"/>
  <c r="H14" i="9"/>
  <c r="H9" i="7"/>
  <c r="H13" i="6"/>
  <c r="H5" i="6"/>
  <c r="H5" i="5"/>
  <c r="D13" i="68"/>
  <c r="D11" i="68"/>
  <c r="B524" i="3"/>
  <c r="K524" i="3" s="1"/>
  <c r="C544" i="3"/>
  <c r="C560" i="3" s="1"/>
  <c r="D544" i="3"/>
  <c r="E544" i="3"/>
  <c r="E563" i="3" s="1"/>
  <c r="B544" i="3"/>
  <c r="G121" i="27"/>
  <c r="G120" i="27"/>
  <c r="G51" i="27" s="1"/>
  <c r="E203" i="3" s="1"/>
  <c r="G21" i="94"/>
  <c r="E148" i="3"/>
  <c r="G150" i="38"/>
  <c r="G8" i="38" s="1"/>
  <c r="E18" i="2" s="1"/>
  <c r="O18" i="2" s="1"/>
  <c r="G168" i="38"/>
  <c r="G27" i="38" s="1"/>
  <c r="E376" i="3" s="1"/>
  <c r="G169" i="38"/>
  <c r="G57" i="38" s="1"/>
  <c r="G170" i="38"/>
  <c r="G69" i="38" s="1"/>
  <c r="G128" i="27"/>
  <c r="G8" i="27" s="1"/>
  <c r="E341" i="2" s="1"/>
  <c r="O341" i="2" s="1"/>
  <c r="G164" i="27"/>
  <c r="G23" i="27" s="1"/>
  <c r="G165" i="27"/>
  <c r="G29" i="27" s="1"/>
  <c r="G166" i="27"/>
  <c r="G47" i="27" s="1"/>
  <c r="D147" i="34"/>
  <c r="E147" i="34"/>
  <c r="F147" i="34"/>
  <c r="D141" i="34"/>
  <c r="E141" i="34"/>
  <c r="F141" i="34"/>
  <c r="D115" i="34"/>
  <c r="E115" i="34"/>
  <c r="F115" i="34"/>
  <c r="D111" i="34"/>
  <c r="E111" i="34"/>
  <c r="F111" i="34"/>
  <c r="D103" i="34"/>
  <c r="E103" i="34"/>
  <c r="F103" i="34"/>
  <c r="D86" i="34"/>
  <c r="E86" i="34"/>
  <c r="F86" i="34"/>
  <c r="D73" i="34"/>
  <c r="E73" i="34"/>
  <c r="F73" i="34"/>
  <c r="D151" i="34"/>
  <c r="E151" i="34"/>
  <c r="F151" i="34"/>
  <c r="F11" i="34"/>
  <c r="D152" i="34"/>
  <c r="E152" i="34"/>
  <c r="F152" i="34"/>
  <c r="D153" i="34"/>
  <c r="E153" i="34"/>
  <c r="F153" i="34"/>
  <c r="D154" i="34"/>
  <c r="E154" i="34"/>
  <c r="F154" i="34"/>
  <c r="D155" i="34"/>
  <c r="E155" i="34"/>
  <c r="F155" i="34"/>
  <c r="F21" i="34"/>
  <c r="D298" i="3"/>
  <c r="D156" i="34"/>
  <c r="E156" i="34"/>
  <c r="F156" i="34"/>
  <c r="G156" i="34"/>
  <c r="G24" i="34"/>
  <c r="G155" i="34"/>
  <c r="G21" i="34"/>
  <c r="G154" i="34"/>
  <c r="G19" i="34"/>
  <c r="E434" i="3"/>
  <c r="G153" i="34"/>
  <c r="G17" i="34"/>
  <c r="G152" i="34"/>
  <c r="G13" i="34"/>
  <c r="G151" i="34"/>
  <c r="G11" i="34"/>
  <c r="G147" i="34"/>
  <c r="G141" i="34"/>
  <c r="G115" i="34"/>
  <c r="G111" i="34"/>
  <c r="G103" i="34"/>
  <c r="G86" i="34"/>
  <c r="G73" i="34"/>
  <c r="G7" i="65"/>
  <c r="G17" i="65" s="1"/>
  <c r="G165" i="94"/>
  <c r="D69" i="7"/>
  <c r="E69" i="7"/>
  <c r="F69" i="7"/>
  <c r="G69" i="7"/>
  <c r="G3" i="83"/>
  <c r="G7" i="83"/>
  <c r="G9" i="83"/>
  <c r="E189" i="3"/>
  <c r="G83" i="7"/>
  <c r="G84" i="7"/>
  <c r="D83" i="7"/>
  <c r="E83" i="7"/>
  <c r="D84" i="7"/>
  <c r="E84" i="7"/>
  <c r="F84" i="7"/>
  <c r="F21" i="7" s="1"/>
  <c r="F23" i="7" s="1"/>
  <c r="D27" i="3" s="1"/>
  <c r="F83" i="7"/>
  <c r="G15" i="83"/>
  <c r="E464" i="3"/>
  <c r="G5" i="83"/>
  <c r="E169" i="2"/>
  <c r="O169" i="2" s="1"/>
  <c r="G11" i="83"/>
  <c r="G13" i="83"/>
  <c r="G190" i="43"/>
  <c r="G184" i="19"/>
  <c r="E504" i="3"/>
  <c r="E298" i="3"/>
  <c r="G3" i="34"/>
  <c r="G15" i="34"/>
  <c r="E438" i="3"/>
  <c r="G23" i="34"/>
  <c r="G25" i="34"/>
  <c r="E487" i="3"/>
  <c r="G4" i="34"/>
  <c r="E28" i="32"/>
  <c r="E168" i="3"/>
  <c r="G213" i="96"/>
  <c r="G28" i="96"/>
  <c r="G190" i="96"/>
  <c r="G16" i="96"/>
  <c r="E164" i="3"/>
  <c r="G191" i="96"/>
  <c r="G19" i="96"/>
  <c r="G192" i="96"/>
  <c r="G23" i="96"/>
  <c r="G199" i="96"/>
  <c r="G10" i="96"/>
  <c r="G149" i="96"/>
  <c r="G26" i="96"/>
  <c r="E252" i="3"/>
  <c r="G156" i="96"/>
  <c r="G9" i="96"/>
  <c r="E426" i="2"/>
  <c r="O426" i="2" s="1"/>
  <c r="G125" i="96"/>
  <c r="G18" i="96"/>
  <c r="G20" i="96"/>
  <c r="E489" i="3"/>
  <c r="G132" i="96"/>
  <c r="G8" i="96"/>
  <c r="E425" i="2"/>
  <c r="O425" i="2" s="1"/>
  <c r="G104" i="96"/>
  <c r="G22" i="96"/>
  <c r="G24" i="96"/>
  <c r="E213" i="3"/>
  <c r="G111" i="96"/>
  <c r="G7" i="96"/>
  <c r="E424" i="2"/>
  <c r="O424" i="2" s="1"/>
  <c r="G73" i="96"/>
  <c r="G14" i="96"/>
  <c r="E274" i="3"/>
  <c r="G80" i="96"/>
  <c r="G6" i="96"/>
  <c r="G41" i="96"/>
  <c r="G5" i="96"/>
  <c r="E422" i="2"/>
  <c r="O422" i="2" s="1"/>
  <c r="G143" i="61"/>
  <c r="G7" i="61" s="1"/>
  <c r="G144" i="61"/>
  <c r="G9" i="61" s="1"/>
  <c r="E351" i="3" s="1"/>
  <c r="G145" i="61"/>
  <c r="G11" i="61" s="1"/>
  <c r="E345" i="3" s="1"/>
  <c r="G146" i="61"/>
  <c r="G13" i="61" s="1"/>
  <c r="E294" i="3" s="1"/>
  <c r="G147" i="61"/>
  <c r="G15" i="61" s="1"/>
  <c r="E167" i="3" s="1"/>
  <c r="G137" i="61"/>
  <c r="G111" i="61"/>
  <c r="G92" i="61"/>
  <c r="G75" i="61"/>
  <c r="G71" i="61"/>
  <c r="G61" i="61"/>
  <c r="G41" i="61"/>
  <c r="G28" i="61"/>
  <c r="G3" i="61" s="1"/>
  <c r="G252" i="95"/>
  <c r="G31" i="95"/>
  <c r="E278" i="3"/>
  <c r="G253" i="95"/>
  <c r="G48" i="95"/>
  <c r="G254" i="95"/>
  <c r="G51" i="95"/>
  <c r="E54" i="3"/>
  <c r="G255" i="95"/>
  <c r="G57" i="95"/>
  <c r="E381" i="3"/>
  <c r="G215" i="95"/>
  <c r="G27" i="95"/>
  <c r="E119" i="3"/>
  <c r="G216" i="95"/>
  <c r="G37" i="95"/>
  <c r="E26" i="3"/>
  <c r="G217" i="95"/>
  <c r="G39" i="95"/>
  <c r="E471" i="3"/>
  <c r="G218" i="95"/>
  <c r="G41" i="95"/>
  <c r="E410" i="3"/>
  <c r="G219" i="95"/>
  <c r="G43" i="95"/>
  <c r="E517" i="3"/>
  <c r="G220" i="95"/>
  <c r="G45" i="95"/>
  <c r="E465" i="3"/>
  <c r="G221" i="95"/>
  <c r="G47" i="95"/>
  <c r="G222" i="95"/>
  <c r="G53" i="95"/>
  <c r="E344" i="3"/>
  <c r="G229" i="95"/>
  <c r="G9" i="95"/>
  <c r="E461" i="2"/>
  <c r="O461" i="2" s="1"/>
  <c r="G169" i="95"/>
  <c r="G13" i="95"/>
  <c r="E126" i="3"/>
  <c r="G23" i="95"/>
  <c r="E49" i="3"/>
  <c r="G25" i="95"/>
  <c r="E94" i="3"/>
  <c r="G33" i="95"/>
  <c r="E483" i="3"/>
  <c r="G180" i="95"/>
  <c r="G8" i="95"/>
  <c r="E460" i="2"/>
  <c r="G133" i="95"/>
  <c r="G21" i="95"/>
  <c r="E132" i="3"/>
  <c r="G134" i="95"/>
  <c r="G29" i="95"/>
  <c r="E361" i="3"/>
  <c r="G102" i="95"/>
  <c r="G15" i="95"/>
  <c r="E349" i="3"/>
  <c r="G103" i="95"/>
  <c r="G17" i="95"/>
  <c r="E418" i="3"/>
  <c r="G104" i="95"/>
  <c r="G19" i="95"/>
  <c r="E407" i="3"/>
  <c r="G105" i="95"/>
  <c r="G35" i="95"/>
  <c r="E338" i="3"/>
  <c r="G106" i="95"/>
  <c r="G55" i="95"/>
  <c r="E271" i="3"/>
  <c r="G114" i="95"/>
  <c r="G6" i="95"/>
  <c r="G99" i="95"/>
  <c r="G7" i="95"/>
  <c r="G68" i="95"/>
  <c r="G5" i="95"/>
  <c r="E457" i="2"/>
  <c r="G257" i="94"/>
  <c r="G28" i="94" s="1"/>
  <c r="G258" i="94"/>
  <c r="G38" i="94" s="1"/>
  <c r="G39" i="94" s="1"/>
  <c r="E140" i="3" s="1"/>
  <c r="G233" i="94"/>
  <c r="G18" i="94" s="1"/>
  <c r="G234" i="94"/>
  <c r="G235" i="94"/>
  <c r="G35" i="94" s="1"/>
  <c r="E32" i="3" s="1"/>
  <c r="G242" i="94"/>
  <c r="G11" i="94"/>
  <c r="G196" i="94"/>
  <c r="G17" i="94"/>
  <c r="G197" i="94"/>
  <c r="G31" i="94" s="1"/>
  <c r="G33" i="94" s="1"/>
  <c r="E44" i="3" s="1"/>
  <c r="G205" i="94"/>
  <c r="G10" i="94" s="1"/>
  <c r="E323" i="2" s="1"/>
  <c r="O323" i="2" s="1"/>
  <c r="G25" i="94"/>
  <c r="E261" i="3"/>
  <c r="G172" i="94"/>
  <c r="G9" i="94"/>
  <c r="E322" i="2" s="1"/>
  <c r="O322" i="2" s="1"/>
  <c r="G140" i="94"/>
  <c r="G16" i="94" s="1"/>
  <c r="G19" i="94" s="1"/>
  <c r="G141" i="94"/>
  <c r="G23" i="94" s="1"/>
  <c r="E31" i="3" s="1"/>
  <c r="G148" i="94"/>
  <c r="G8" i="94"/>
  <c r="E321" i="2" s="1"/>
  <c r="O321" i="2" s="1"/>
  <c r="G15" i="94"/>
  <c r="G109" i="94"/>
  <c r="G7" i="94" s="1"/>
  <c r="G66" i="94"/>
  <c r="G27" i="94"/>
  <c r="G6" i="94"/>
  <c r="G32" i="94"/>
  <c r="G37" i="94"/>
  <c r="G50" i="94"/>
  <c r="G5" i="94"/>
  <c r="E318" i="2"/>
  <c r="O318" i="2" s="1"/>
  <c r="G396" i="93"/>
  <c r="G67" i="93" s="1"/>
  <c r="E519" i="3" s="1"/>
  <c r="G397" i="93"/>
  <c r="G70" i="93" s="1"/>
  <c r="G398" i="93"/>
  <c r="G73" i="93" s="1"/>
  <c r="E527" i="3" s="1"/>
  <c r="G365" i="93"/>
  <c r="G15" i="93" s="1"/>
  <c r="E525" i="3" s="1"/>
  <c r="G366" i="93"/>
  <c r="G57" i="93" s="1"/>
  <c r="E435" i="3" s="1"/>
  <c r="G367" i="93"/>
  <c r="G59" i="93" s="1"/>
  <c r="E432" i="3" s="1"/>
  <c r="G374" i="93"/>
  <c r="G11" i="93" s="1"/>
  <c r="E419" i="2" s="1"/>
  <c r="O419" i="2" s="1"/>
  <c r="G335" i="93"/>
  <c r="G49" i="93" s="1"/>
  <c r="E56" i="3" s="1"/>
  <c r="G336" i="93"/>
  <c r="G51" i="93" s="1"/>
  <c r="E146" i="3" s="1"/>
  <c r="G343" i="93"/>
  <c r="G10" i="93" s="1"/>
  <c r="E418" i="2" s="1"/>
  <c r="O418" i="2" s="1"/>
  <c r="G306" i="93"/>
  <c r="G46" i="93" s="1"/>
  <c r="G307" i="93"/>
  <c r="G61" i="93" s="1"/>
  <c r="E491" i="3" s="1"/>
  <c r="G308" i="93"/>
  <c r="G63" i="93" s="1"/>
  <c r="E481" i="3" s="1"/>
  <c r="G309" i="93"/>
  <c r="G65" i="93" s="1"/>
  <c r="E448" i="3" s="1"/>
  <c r="G316" i="93"/>
  <c r="G9" i="93" s="1"/>
  <c r="E417" i="2" s="1"/>
  <c r="O417" i="2" s="1"/>
  <c r="G269" i="93"/>
  <c r="G41" i="93" s="1"/>
  <c r="E512" i="3" s="1"/>
  <c r="G270" i="93"/>
  <c r="G43" i="93" s="1"/>
  <c r="E520" i="3" s="1"/>
  <c r="G271" i="93"/>
  <c r="G45" i="93" s="1"/>
  <c r="G272" i="93"/>
  <c r="G53" i="93" s="1"/>
  <c r="E366" i="3" s="1"/>
  <c r="G273" i="93"/>
  <c r="G69" i="93" s="1"/>
  <c r="G280" i="93"/>
  <c r="G8" i="93" s="1"/>
  <c r="E416" i="2" s="1"/>
  <c r="O416" i="2" s="1"/>
  <c r="G234" i="93"/>
  <c r="G35" i="93" s="1"/>
  <c r="E198" i="3" s="1"/>
  <c r="G235" i="93"/>
  <c r="G37" i="93" s="1"/>
  <c r="E239" i="3" s="1"/>
  <c r="G236" i="93"/>
  <c r="G39" i="93" s="1"/>
  <c r="E436" i="3" s="1"/>
  <c r="G243" i="93"/>
  <c r="G7" i="93" s="1"/>
  <c r="E415" i="2" s="1"/>
  <c r="O415" i="2" s="1"/>
  <c r="G17" i="93"/>
  <c r="E501" i="3" s="1"/>
  <c r="G19" i="93"/>
  <c r="E488" i="3" s="1"/>
  <c r="G21" i="93"/>
  <c r="E159" i="3" s="1"/>
  <c r="G23" i="93"/>
  <c r="E187" i="3" s="1"/>
  <c r="G25" i="93"/>
  <c r="E460" i="3" s="1"/>
  <c r="G27" i="93"/>
  <c r="E337" i="3" s="1"/>
  <c r="G29" i="93"/>
  <c r="E390" i="3" s="1"/>
  <c r="G31" i="93"/>
  <c r="E352" i="3" s="1"/>
  <c r="G33" i="93"/>
  <c r="G55" i="93"/>
  <c r="E236" i="3" s="1"/>
  <c r="G214" i="93"/>
  <c r="G6" i="93" s="1"/>
  <c r="E414" i="2" s="1"/>
  <c r="O414" i="2" s="1"/>
  <c r="G5" i="93"/>
  <c r="G3" i="90"/>
  <c r="G7" i="90"/>
  <c r="G9" i="90"/>
  <c r="E506" i="3"/>
  <c r="G11" i="90"/>
  <c r="E242" i="3"/>
  <c r="G222" i="89"/>
  <c r="G22" i="89" s="1"/>
  <c r="E419" i="3" s="1"/>
  <c r="G223" i="89"/>
  <c r="G38" i="89" s="1"/>
  <c r="E305" i="3" s="1"/>
  <c r="G224" i="89"/>
  <c r="G42" i="89" s="1"/>
  <c r="E445" i="3" s="1"/>
  <c r="G187" i="89"/>
  <c r="G25" i="89" s="1"/>
  <c r="G188" i="89"/>
  <c r="G36" i="89" s="1"/>
  <c r="E493" i="3" s="1"/>
  <c r="G195" i="89"/>
  <c r="G9" i="89" s="1"/>
  <c r="E178" i="2" s="1"/>
  <c r="O178" i="2" s="1"/>
  <c r="G159" i="89"/>
  <c r="G34" i="89" s="1"/>
  <c r="E142" i="3" s="1"/>
  <c r="G160" i="89"/>
  <c r="G40" i="89" s="1"/>
  <c r="E161" i="3" s="1"/>
  <c r="G167" i="89"/>
  <c r="G8" i="89" s="1"/>
  <c r="G28" i="89"/>
  <c r="E536" i="3" s="1"/>
  <c r="G30" i="89"/>
  <c r="E528" i="3" s="1"/>
  <c r="G32" i="89"/>
  <c r="E439" i="3" s="1"/>
  <c r="G137" i="89"/>
  <c r="G7" i="89" s="1"/>
  <c r="E176" i="2" s="1"/>
  <c r="O176" i="2" s="1"/>
  <c r="G80" i="89"/>
  <c r="G16" i="89" s="1"/>
  <c r="E476" i="3" s="1"/>
  <c r="G82" i="89"/>
  <c r="G24" i="89" s="1"/>
  <c r="G6" i="89"/>
  <c r="E175" i="2" s="1"/>
  <c r="O175" i="2" s="1"/>
  <c r="G3" i="85"/>
  <c r="G7" i="85"/>
  <c r="G9" i="85"/>
  <c r="E354" i="3"/>
  <c r="G53" i="87"/>
  <c r="G345" i="87"/>
  <c r="G31" i="87" s="1"/>
  <c r="G346" i="87"/>
  <c r="G44" i="87" s="1"/>
  <c r="E139" i="3" s="1"/>
  <c r="G15" i="87"/>
  <c r="G306" i="87"/>
  <c r="G20" i="87" s="1"/>
  <c r="G314" i="87"/>
  <c r="G14" i="87" s="1"/>
  <c r="E314" i="2" s="1"/>
  <c r="O314" i="2" s="1"/>
  <c r="G277" i="87"/>
  <c r="G49" i="87" s="1"/>
  <c r="G284" i="87"/>
  <c r="G13" i="87" s="1"/>
  <c r="E313" i="2" s="1"/>
  <c r="O313" i="2" s="1"/>
  <c r="G252" i="87"/>
  <c r="G46" i="87" s="1"/>
  <c r="E279" i="3" s="1"/>
  <c r="G259" i="87"/>
  <c r="G12" i="87" s="1"/>
  <c r="E312" i="2" s="1"/>
  <c r="O312" i="2" s="1"/>
  <c r="G237" i="87"/>
  <c r="G11" i="87" s="1"/>
  <c r="E311" i="2" s="1"/>
  <c r="O311" i="2" s="1"/>
  <c r="G205" i="87"/>
  <c r="G19" i="87" s="1"/>
  <c r="G206" i="87"/>
  <c r="G25" i="87" s="1"/>
  <c r="G207" i="87"/>
  <c r="G38" i="87" s="1"/>
  <c r="E249" i="3" s="1"/>
  <c r="G214" i="87"/>
  <c r="G10" i="87"/>
  <c r="E310" i="2" s="1"/>
  <c r="O310" i="2" s="1"/>
  <c r="G176" i="87"/>
  <c r="G24" i="87" s="1"/>
  <c r="G177" i="87"/>
  <c r="G35" i="87" s="1"/>
  <c r="G184" i="87"/>
  <c r="G9" i="87" s="1"/>
  <c r="E309" i="2" s="1"/>
  <c r="O309" i="2" s="1"/>
  <c r="G143" i="87"/>
  <c r="G30" i="87"/>
  <c r="G144" i="87"/>
  <c r="G34" i="87" s="1"/>
  <c r="G145" i="87"/>
  <c r="G48" i="87" s="1"/>
  <c r="G146" i="87"/>
  <c r="G52" i="87" s="1"/>
  <c r="G153" i="87"/>
  <c r="G8" i="87" s="1"/>
  <c r="E308" i="2" s="1"/>
  <c r="O308" i="2" s="1"/>
  <c r="G112" i="87"/>
  <c r="G23" i="87" s="1"/>
  <c r="G119" i="87"/>
  <c r="G7" i="87" s="1"/>
  <c r="E307" i="2" s="1"/>
  <c r="O307" i="2" s="1"/>
  <c r="G28" i="87"/>
  <c r="E99" i="3" s="1"/>
  <c r="G40" i="87"/>
  <c r="G97" i="87"/>
  <c r="G6" i="87" s="1"/>
  <c r="E306" i="2" s="1"/>
  <c r="O306" i="2" s="1"/>
  <c r="G5" i="87"/>
  <c r="E305" i="2" s="1"/>
  <c r="O305" i="2" s="1"/>
  <c r="G284" i="84"/>
  <c r="G31" i="84" s="1"/>
  <c r="G32" i="84" s="1"/>
  <c r="E111" i="3" s="1"/>
  <c r="G285" i="84"/>
  <c r="G34" i="84" s="1"/>
  <c r="E82" i="3" s="1"/>
  <c r="G21" i="84"/>
  <c r="G30" i="84"/>
  <c r="G259" i="84"/>
  <c r="G11" i="84" s="1"/>
  <c r="E62" i="2" s="1"/>
  <c r="O62" i="2" s="1"/>
  <c r="G208" i="84"/>
  <c r="G16" i="84" s="1"/>
  <c r="G209" i="84"/>
  <c r="G27" i="84" s="1"/>
  <c r="G210" i="84"/>
  <c r="G37" i="84" s="1"/>
  <c r="G10" i="84"/>
  <c r="E61" i="2" s="1"/>
  <c r="O61" i="2" s="1"/>
  <c r="G167" i="84"/>
  <c r="G15" i="84" s="1"/>
  <c r="G17" i="84" s="1"/>
  <c r="G168" i="84"/>
  <c r="G20" i="84" s="1"/>
  <c r="G175" i="84"/>
  <c r="G9" i="84" s="1"/>
  <c r="E60" i="2" s="1"/>
  <c r="O60" i="2" s="1"/>
  <c r="G127" i="84"/>
  <c r="G19" i="84" s="1"/>
  <c r="G128" i="84"/>
  <c r="G24" i="84"/>
  <c r="E234" i="3" s="1"/>
  <c r="G135" i="84"/>
  <c r="G8" i="84" s="1"/>
  <c r="E59" i="2" s="1"/>
  <c r="O59" i="2" s="1"/>
  <c r="G102" i="84"/>
  <c r="G36" i="84" s="1"/>
  <c r="G38" i="84" s="1"/>
  <c r="E154" i="3" s="1"/>
  <c r="G109" i="84"/>
  <c r="G7" i="84" s="1"/>
  <c r="E58" i="2" s="1"/>
  <c r="G78" i="84"/>
  <c r="G26" i="84" s="1"/>
  <c r="G28" i="84" s="1"/>
  <c r="E175" i="3" s="1"/>
  <c r="G86" i="84"/>
  <c r="G6" i="84" s="1"/>
  <c r="G49" i="84"/>
  <c r="G5" i="84" s="1"/>
  <c r="E56" i="2" s="1"/>
  <c r="O56" i="2" s="1"/>
  <c r="G23" i="81"/>
  <c r="G30" i="81"/>
  <c r="E306" i="3" s="1"/>
  <c r="G32" i="81"/>
  <c r="E112" i="3" s="1"/>
  <c r="G34" i="81"/>
  <c r="E194" i="3" s="1"/>
  <c r="G36" i="81"/>
  <c r="G38" i="81"/>
  <c r="E365" i="3" s="1"/>
  <c r="G147" i="81"/>
  <c r="G26" i="81" s="1"/>
  <c r="E192" i="3" s="1"/>
  <c r="G148" i="81"/>
  <c r="G28" i="81" s="1"/>
  <c r="E503" i="3" s="1"/>
  <c r="G149" i="81"/>
  <c r="G41" i="81" s="1"/>
  <c r="G8" i="81"/>
  <c r="G18" i="81"/>
  <c r="E257" i="3" s="1"/>
  <c r="G124" i="81"/>
  <c r="G7" i="81" s="1"/>
  <c r="E453" i="2" s="1"/>
  <c r="O453" i="2" s="1"/>
  <c r="G76" i="81"/>
  <c r="G12" i="81" s="1"/>
  <c r="E490" i="3" s="1"/>
  <c r="G77" i="81"/>
  <c r="G14" i="81" s="1"/>
  <c r="E396" i="3" s="1"/>
  <c r="G78" i="81"/>
  <c r="G22" i="81" s="1"/>
  <c r="G79" i="81"/>
  <c r="G40" i="81" s="1"/>
  <c r="G6" i="81"/>
  <c r="E452" i="2" s="1"/>
  <c r="O452" i="2" s="1"/>
  <c r="G53" i="81"/>
  <c r="G5" i="81" s="1"/>
  <c r="E451" i="2" s="1"/>
  <c r="O451" i="2" s="1"/>
  <c r="G3" i="80"/>
  <c r="G7" i="80"/>
  <c r="G9" i="80"/>
  <c r="E461" i="3"/>
  <c r="G11" i="80"/>
  <c r="E475" i="3"/>
  <c r="G17" i="60"/>
  <c r="E429" i="3"/>
  <c r="G20" i="60"/>
  <c r="G11" i="60"/>
  <c r="E417" i="3"/>
  <c r="G13" i="60"/>
  <c r="E81" i="3"/>
  <c r="G15" i="60"/>
  <c r="E109" i="3"/>
  <c r="G19" i="60"/>
  <c r="G21" i="60" s="1"/>
  <c r="G4" i="60"/>
  <c r="G35" i="60"/>
  <c r="G3" i="60" s="1"/>
  <c r="E230" i="3"/>
  <c r="E15" i="3"/>
  <c r="G3" i="79"/>
  <c r="G8" i="79"/>
  <c r="G12" i="79"/>
  <c r="G15" i="79"/>
  <c r="E430" i="3"/>
  <c r="G3" i="76"/>
  <c r="G7" i="76"/>
  <c r="G9" i="76"/>
  <c r="G208" i="75"/>
  <c r="G30" i="75" s="1"/>
  <c r="E68" i="3" s="1"/>
  <c r="G23" i="75"/>
  <c r="G27" i="75"/>
  <c r="G179" i="75"/>
  <c r="G9" i="75" s="1"/>
  <c r="E302" i="2" s="1"/>
  <c r="O302" i="2" s="1"/>
  <c r="G16" i="75"/>
  <c r="G26" i="75"/>
  <c r="G8" i="75"/>
  <c r="E301" i="2"/>
  <c r="O301" i="2" s="1"/>
  <c r="G99" i="75"/>
  <c r="G19" i="75" s="1"/>
  <c r="E262" i="3" s="1"/>
  <c r="G100" i="75"/>
  <c r="G22" i="75"/>
  <c r="G7" i="75"/>
  <c r="G13" i="75"/>
  <c r="G15" i="75"/>
  <c r="G17" i="75" s="1"/>
  <c r="E231" i="3" s="1"/>
  <c r="G21" i="75"/>
  <c r="G24" i="75" s="1"/>
  <c r="E206" i="3" s="1"/>
  <c r="G73" i="75"/>
  <c r="G6" i="75"/>
  <c r="E299" i="2" s="1"/>
  <c r="O299" i="2" s="1"/>
  <c r="G5" i="75"/>
  <c r="G285" i="71"/>
  <c r="G24" i="71" s="1"/>
  <c r="G256" i="71"/>
  <c r="G21" i="71" s="1"/>
  <c r="E265" i="3" s="1"/>
  <c r="G257" i="71"/>
  <c r="G33" i="71"/>
  <c r="G264" i="71"/>
  <c r="G11" i="71"/>
  <c r="G222" i="71"/>
  <c r="G32" i="71"/>
  <c r="G229" i="71"/>
  <c r="G10" i="71" s="1"/>
  <c r="E445" i="2" s="1"/>
  <c r="O445" i="2" s="1"/>
  <c r="G193" i="71"/>
  <c r="G18" i="71" s="1"/>
  <c r="G19" i="71" s="1"/>
  <c r="E78" i="3" s="1"/>
  <c r="G200" i="71"/>
  <c r="G9" i="71" s="1"/>
  <c r="E444" i="2" s="1"/>
  <c r="O444" i="2" s="1"/>
  <c r="G15" i="71"/>
  <c r="G23" i="71"/>
  <c r="G28" i="71"/>
  <c r="G167" i="71"/>
  <c r="G8" i="71"/>
  <c r="E443" i="2" s="1"/>
  <c r="O443" i="2" s="1"/>
  <c r="G17" i="71"/>
  <c r="G31" i="71"/>
  <c r="G7" i="71"/>
  <c r="G68" i="71"/>
  <c r="G27" i="71"/>
  <c r="G76" i="71"/>
  <c r="G6" i="71"/>
  <c r="G47" i="71"/>
  <c r="G5" i="71" s="1"/>
  <c r="E440" i="2" s="1"/>
  <c r="G3" i="92"/>
  <c r="G5" i="92" s="1"/>
  <c r="E114" i="3"/>
  <c r="E84" i="3"/>
  <c r="G321" i="29"/>
  <c r="G22" i="29"/>
  <c r="G23" i="29" s="1"/>
  <c r="E79" i="3" s="1"/>
  <c r="G322" i="29"/>
  <c r="G34" i="29" s="1"/>
  <c r="G323" i="29"/>
  <c r="G37" i="29"/>
  <c r="E36" i="3" s="1"/>
  <c r="G304" i="29"/>
  <c r="G273" i="29"/>
  <c r="G30" i="29"/>
  <c r="G274" i="29"/>
  <c r="G33" i="29" s="1"/>
  <c r="G35" i="29" s="1"/>
  <c r="E309" i="3" s="1"/>
  <c r="G281" i="29"/>
  <c r="G11" i="29"/>
  <c r="G249" i="29"/>
  <c r="G16" i="29" s="1"/>
  <c r="G250" i="29"/>
  <c r="G25" i="29"/>
  <c r="E382" i="3" s="1"/>
  <c r="G258" i="29"/>
  <c r="G10" i="29"/>
  <c r="G204" i="29"/>
  <c r="G27" i="29" s="1"/>
  <c r="E314" i="3" s="1"/>
  <c r="G205" i="29"/>
  <c r="G40" i="29"/>
  <c r="G213" i="29"/>
  <c r="G9" i="29" s="1"/>
  <c r="E51" i="2" s="1"/>
  <c r="O51" i="2" s="1"/>
  <c r="G153" i="29"/>
  <c r="G19" i="29"/>
  <c r="E375" i="3" s="1"/>
  <c r="G160" i="29"/>
  <c r="G8" i="29"/>
  <c r="G126" i="29"/>
  <c r="G15" i="29" s="1"/>
  <c r="G17" i="29" s="1"/>
  <c r="G127" i="29"/>
  <c r="G29" i="29"/>
  <c r="G134" i="29"/>
  <c r="G7" i="29" s="1"/>
  <c r="E49" i="2" s="1"/>
  <c r="O49" i="2" s="1"/>
  <c r="G21" i="29"/>
  <c r="G39" i="29"/>
  <c r="G97" i="29"/>
  <c r="G6" i="29" s="1"/>
  <c r="G5" i="29"/>
  <c r="G3" i="72"/>
  <c r="G7" i="72"/>
  <c r="G9" i="72"/>
  <c r="E7" i="3"/>
  <c r="E5" i="3"/>
  <c r="G88" i="68"/>
  <c r="G14" i="68"/>
  <c r="G89" i="68"/>
  <c r="G17" i="68"/>
  <c r="E453" i="3"/>
  <c r="G11" i="68"/>
  <c r="G13" i="68"/>
  <c r="G64" i="68"/>
  <c r="G4" i="68"/>
  <c r="G3" i="68"/>
  <c r="G3" i="67"/>
  <c r="G7" i="67"/>
  <c r="G9" i="67"/>
  <c r="E467" i="3"/>
  <c r="G212" i="66"/>
  <c r="G13" i="66" s="1"/>
  <c r="E492" i="3" s="1"/>
  <c r="G213" i="66"/>
  <c r="G41" i="66" s="1"/>
  <c r="E447" i="3" s="1"/>
  <c r="G214" i="66"/>
  <c r="G43" i="66" s="1"/>
  <c r="E532" i="3" s="1"/>
  <c r="G215" i="66"/>
  <c r="G45" i="66"/>
  <c r="E535" i="3"/>
  <c r="G179" i="66"/>
  <c r="G15" i="66" s="1"/>
  <c r="E241" i="3" s="1"/>
  <c r="G180" i="66"/>
  <c r="G37" i="66" s="1"/>
  <c r="E372" i="3" s="1"/>
  <c r="G181" i="66"/>
  <c r="G39" i="66" s="1"/>
  <c r="E359" i="3" s="1"/>
  <c r="G188" i="66"/>
  <c r="G9" i="66"/>
  <c r="E232" i="2" s="1"/>
  <c r="O232" i="2" s="1"/>
  <c r="G147" i="66"/>
  <c r="G31" i="66" s="1"/>
  <c r="E176" i="3" s="1"/>
  <c r="G148" i="66"/>
  <c r="G34" i="66" s="1"/>
  <c r="G155" i="66"/>
  <c r="G8" i="66"/>
  <c r="G118" i="66"/>
  <c r="G18" i="66" s="1"/>
  <c r="G119" i="66"/>
  <c r="G23" i="66"/>
  <c r="E373" i="3"/>
  <c r="G120" i="66"/>
  <c r="G25" i="66" s="1"/>
  <c r="E508" i="3" s="1"/>
  <c r="G121" i="66"/>
  <c r="G27" i="66" s="1"/>
  <c r="E518" i="3" s="1"/>
  <c r="G122" i="66"/>
  <c r="G29" i="66"/>
  <c r="E477" i="3" s="1"/>
  <c r="G129" i="66"/>
  <c r="G7" i="66"/>
  <c r="G17" i="66"/>
  <c r="G21" i="66"/>
  <c r="G33" i="66"/>
  <c r="G86" i="66"/>
  <c r="G6" i="66" s="1"/>
  <c r="E229" i="2" s="1"/>
  <c r="O229" i="2" s="1"/>
  <c r="G5" i="66"/>
  <c r="G278" i="64"/>
  <c r="G20" i="64" s="1"/>
  <c r="G32" i="64"/>
  <c r="G36" i="64"/>
  <c r="G256" i="64"/>
  <c r="G11" i="64" s="1"/>
  <c r="E99" i="2" s="1"/>
  <c r="O99" i="2" s="1"/>
  <c r="G202" i="64"/>
  <c r="G35" i="64" s="1"/>
  <c r="G37" i="64" s="1"/>
  <c r="E149" i="3" s="1"/>
  <c r="G10" i="64"/>
  <c r="E98" i="2" s="1"/>
  <c r="O98" i="2" s="1"/>
  <c r="G172" i="64"/>
  <c r="G174" i="64"/>
  <c r="G175" i="64"/>
  <c r="G31" i="64" s="1"/>
  <c r="G33" i="64" s="1"/>
  <c r="E8" i="3" s="1"/>
  <c r="G182" i="64"/>
  <c r="G9" i="64" s="1"/>
  <c r="E97" i="2" s="1"/>
  <c r="O97" i="2" s="1"/>
  <c r="G148" i="64"/>
  <c r="G135" i="64"/>
  <c r="G25" i="64" s="1"/>
  <c r="G142" i="64"/>
  <c r="G8" i="64" s="1"/>
  <c r="E96" i="2" s="1"/>
  <c r="O96" i="2" s="1"/>
  <c r="G19" i="64"/>
  <c r="G122" i="64"/>
  <c r="G7" i="64"/>
  <c r="E95" i="2" s="1"/>
  <c r="O95" i="2" s="1"/>
  <c r="G65" i="64"/>
  <c r="G15" i="64" s="1"/>
  <c r="G26" i="64"/>
  <c r="G48" i="64"/>
  <c r="G5" i="64" s="1"/>
  <c r="G296" i="63"/>
  <c r="G27" i="63"/>
  <c r="G32" i="63"/>
  <c r="E156" i="3"/>
  <c r="G284" i="63"/>
  <c r="G13" i="63"/>
  <c r="G230" i="63"/>
  <c r="G35" i="63"/>
  <c r="G12" i="63"/>
  <c r="E86" i="2"/>
  <c r="G204" i="63"/>
  <c r="G19" i="63"/>
  <c r="E62" i="3"/>
  <c r="G205" i="63"/>
  <c r="G23" i="63"/>
  <c r="G212" i="63"/>
  <c r="G11" i="63"/>
  <c r="G177" i="63"/>
  <c r="G26" i="63"/>
  <c r="G178" i="63"/>
  <c r="G34" i="63"/>
  <c r="G179" i="63"/>
  <c r="G40" i="63"/>
  <c r="G186" i="63"/>
  <c r="G10" i="63"/>
  <c r="E84" i="2"/>
  <c r="G142" i="63"/>
  <c r="G22" i="63"/>
  <c r="G143" i="63"/>
  <c r="G30" i="63"/>
  <c r="E216" i="3"/>
  <c r="G150" i="63"/>
  <c r="G9" i="63"/>
  <c r="E83" i="2"/>
  <c r="G21" i="63"/>
  <c r="G24" i="63"/>
  <c r="E115" i="3"/>
  <c r="G39" i="63"/>
  <c r="G41" i="63"/>
  <c r="G112" i="63"/>
  <c r="G8" i="63"/>
  <c r="G72" i="63"/>
  <c r="G36" i="63"/>
  <c r="G7" i="63"/>
  <c r="G54" i="63"/>
  <c r="G4" i="63"/>
  <c r="G3" i="62"/>
  <c r="E173" i="3"/>
  <c r="E462" i="3"/>
  <c r="G30" i="31"/>
  <c r="G485" i="31"/>
  <c r="G67" i="31" s="1"/>
  <c r="G486" i="31"/>
  <c r="G70" i="31" s="1"/>
  <c r="E277" i="3" s="1"/>
  <c r="G58" i="31"/>
  <c r="G66" i="31"/>
  <c r="G458" i="31"/>
  <c r="G18" i="31" s="1"/>
  <c r="E221" i="2" s="1"/>
  <c r="O221" i="2" s="1"/>
  <c r="G413" i="31"/>
  <c r="G44" i="31" s="1"/>
  <c r="G414" i="31"/>
  <c r="G62" i="31" s="1"/>
  <c r="G17" i="31"/>
  <c r="E220" i="2" s="1"/>
  <c r="O220" i="2" s="1"/>
  <c r="G390" i="31"/>
  <c r="G57" i="31" s="1"/>
  <c r="G397" i="31"/>
  <c r="G16" i="31" s="1"/>
  <c r="E219" i="2" s="1"/>
  <c r="O219" i="2" s="1"/>
  <c r="G353" i="31"/>
  <c r="G40" i="31"/>
  <c r="G354" i="31"/>
  <c r="G55" i="31" s="1"/>
  <c r="E534" i="3" s="1"/>
  <c r="G355" i="31"/>
  <c r="G72" i="31" s="1"/>
  <c r="G364" i="31"/>
  <c r="G15" i="31" s="1"/>
  <c r="E218" i="2" s="1"/>
  <c r="G342" i="31"/>
  <c r="G319" i="31"/>
  <c r="G53" i="31" s="1"/>
  <c r="E480" i="3" s="1"/>
  <c r="G327" i="31"/>
  <c r="G14" i="31" s="1"/>
  <c r="E217" i="2" s="1"/>
  <c r="O217" i="2" s="1"/>
  <c r="G47" i="31"/>
  <c r="G51" i="31"/>
  <c r="E399" i="3"/>
  <c r="G297" i="31"/>
  <c r="G13" i="31" s="1"/>
  <c r="E216" i="2" s="1"/>
  <c r="O216" i="2" s="1"/>
  <c r="G253" i="31"/>
  <c r="G43" i="31" s="1"/>
  <c r="G260" i="31"/>
  <c r="G12" i="31" s="1"/>
  <c r="E215" i="2" s="1"/>
  <c r="O215" i="2" s="1"/>
  <c r="G228" i="31"/>
  <c r="G39" i="31" s="1"/>
  <c r="G41" i="31" s="1"/>
  <c r="E458" i="3" s="1"/>
  <c r="G235" i="31"/>
  <c r="G11" i="31" s="1"/>
  <c r="E214" i="2" s="1"/>
  <c r="O214" i="2" s="1"/>
  <c r="G197" i="31"/>
  <c r="G37" i="31" s="1"/>
  <c r="E162" i="3" s="1"/>
  <c r="G198" i="31"/>
  <c r="G65" i="31" s="1"/>
  <c r="G68" i="31" s="1"/>
  <c r="E183" i="3" s="1"/>
  <c r="G205" i="31"/>
  <c r="G10" i="31" s="1"/>
  <c r="E213" i="2" s="1"/>
  <c r="O213" i="2" s="1"/>
  <c r="G168" i="31"/>
  <c r="G35" i="31" s="1"/>
  <c r="E478" i="3" s="1"/>
  <c r="G175" i="31"/>
  <c r="G9" i="31" s="1"/>
  <c r="E212" i="2" s="1"/>
  <c r="O212" i="2" s="1"/>
  <c r="G143" i="31"/>
  <c r="G29" i="31" s="1"/>
  <c r="G31" i="31" s="1"/>
  <c r="E496" i="3" s="1"/>
  <c r="G144" i="31"/>
  <c r="G33" i="31" s="1"/>
  <c r="E533" i="3" s="1"/>
  <c r="G151" i="31"/>
  <c r="G8" i="31" s="1"/>
  <c r="E211" i="2" s="1"/>
  <c r="O211" i="2" s="1"/>
  <c r="G112" i="31"/>
  <c r="G27" i="31"/>
  <c r="E362" i="3" s="1"/>
  <c r="G113" i="31"/>
  <c r="G61" i="31" s="1"/>
  <c r="G120" i="31"/>
  <c r="G5" i="31" s="1"/>
  <c r="G87" i="31"/>
  <c r="G4" i="31" s="1"/>
  <c r="G23" i="31" s="1"/>
  <c r="G3" i="58"/>
  <c r="G7" i="58"/>
  <c r="G11" i="58"/>
  <c r="E201" i="3"/>
  <c r="G13" i="58"/>
  <c r="E131" i="3"/>
  <c r="E30" i="3"/>
  <c r="E38" i="3"/>
  <c r="G8" i="58"/>
  <c r="G9" i="58" s="1"/>
  <c r="G3" i="55"/>
  <c r="G7" i="55"/>
  <c r="G9" i="55"/>
  <c r="G3" i="56"/>
  <c r="G8" i="56"/>
  <c r="G11" i="56"/>
  <c r="E58" i="3"/>
  <c r="G502" i="57"/>
  <c r="G51" i="57"/>
  <c r="G503" i="57"/>
  <c r="G72" i="57"/>
  <c r="E251" i="3"/>
  <c r="G29" i="57"/>
  <c r="G69" i="57"/>
  <c r="G480" i="57"/>
  <c r="G18" i="57"/>
  <c r="E293" i="2"/>
  <c r="O293" i="2" s="1"/>
  <c r="G438" i="57"/>
  <c r="G55" i="57"/>
  <c r="G56" i="57"/>
  <c r="G439" i="57"/>
  <c r="G65" i="57"/>
  <c r="G446" i="57"/>
  <c r="G17" i="57"/>
  <c r="E292" i="2"/>
  <c r="O292" i="2" s="1"/>
  <c r="G39" i="57"/>
  <c r="G62" i="57"/>
  <c r="E63" i="3"/>
  <c r="G413" i="57"/>
  <c r="G16" i="57"/>
  <c r="G372" i="57"/>
  <c r="G43" i="57"/>
  <c r="G44" i="57"/>
  <c r="G379" i="57"/>
  <c r="G15" i="57"/>
  <c r="E290" i="2"/>
  <c r="O290" i="2" s="1"/>
  <c r="G347" i="57"/>
  <c r="G33" i="57"/>
  <c r="G348" i="57"/>
  <c r="G60" i="57"/>
  <c r="E335" i="3"/>
  <c r="G349" i="57"/>
  <c r="G68" i="57"/>
  <c r="G70" i="57"/>
  <c r="G357" i="57"/>
  <c r="G14" i="57"/>
  <c r="E289" i="2"/>
  <c r="O289" i="2" s="1"/>
  <c r="G310" i="57"/>
  <c r="G38" i="57"/>
  <c r="G40" i="57"/>
  <c r="E363" i="3"/>
  <c r="G311" i="57"/>
  <c r="G50" i="57"/>
  <c r="G52" i="57"/>
  <c r="E283" i="3"/>
  <c r="G319" i="57"/>
  <c r="G13" i="57"/>
  <c r="E288" i="2"/>
  <c r="O288" i="2" s="1"/>
  <c r="G275" i="57"/>
  <c r="G48" i="57"/>
  <c r="E295" i="3"/>
  <c r="G282" i="57"/>
  <c r="G12" i="57"/>
  <c r="G247" i="57"/>
  <c r="G36" i="57"/>
  <c r="E205" i="3"/>
  <c r="G248" i="57"/>
  <c r="G64" i="57"/>
  <c r="G66" i="57"/>
  <c r="E329" i="3"/>
  <c r="G255" i="57"/>
  <c r="G11" i="57"/>
  <c r="E286" i="2"/>
  <c r="O286" i="2" s="1"/>
  <c r="G217" i="57"/>
  <c r="G32" i="57"/>
  <c r="G224" i="57"/>
  <c r="G10" i="57"/>
  <c r="E285" i="2"/>
  <c r="O285" i="2" s="1"/>
  <c r="G26" i="57"/>
  <c r="E247" i="3"/>
  <c r="G54" i="57"/>
  <c r="G198" i="57"/>
  <c r="G9" i="57"/>
  <c r="G155" i="57"/>
  <c r="G24" i="57"/>
  <c r="E14" i="3"/>
  <c r="G156" i="57"/>
  <c r="G42" i="57"/>
  <c r="G8" i="57"/>
  <c r="E283" i="2"/>
  <c r="O283" i="2" s="1"/>
  <c r="G109" i="57"/>
  <c r="G28" i="57"/>
  <c r="G110" i="57"/>
  <c r="G46" i="57"/>
  <c r="E284" i="3"/>
  <c r="G111" i="57"/>
  <c r="G58" i="57"/>
  <c r="E90" i="3"/>
  <c r="G118" i="57"/>
  <c r="G7" i="57"/>
  <c r="G85" i="57"/>
  <c r="G4" i="57"/>
  <c r="G3" i="54"/>
  <c r="G7" i="54"/>
  <c r="E319" i="3"/>
  <c r="G9" i="54"/>
  <c r="E446" i="3"/>
  <c r="G3" i="53"/>
  <c r="G8" i="53"/>
  <c r="E4" i="3"/>
  <c r="G169" i="52"/>
  <c r="G18" i="52"/>
  <c r="G170" i="52"/>
  <c r="G22" i="52"/>
  <c r="G171" i="52"/>
  <c r="G39" i="52"/>
  <c r="E510" i="3"/>
  <c r="G142" i="52"/>
  <c r="G21" i="52"/>
  <c r="G143" i="52"/>
  <c r="G27" i="52"/>
  <c r="E513" i="3"/>
  <c r="G150" i="52"/>
  <c r="G6" i="52"/>
  <c r="G116" i="52"/>
  <c r="G31" i="52"/>
  <c r="E463" i="3"/>
  <c r="G117" i="52"/>
  <c r="G33" i="52"/>
  <c r="E495" i="3"/>
  <c r="G118" i="52"/>
  <c r="G36" i="52"/>
  <c r="G125" i="52"/>
  <c r="G5" i="52"/>
  <c r="G80" i="52"/>
  <c r="G15" i="52"/>
  <c r="E103" i="3"/>
  <c r="G81" i="52"/>
  <c r="G17" i="52"/>
  <c r="G82" i="52"/>
  <c r="G25" i="52"/>
  <c r="E91" i="3"/>
  <c r="G83" i="52"/>
  <c r="G29" i="52"/>
  <c r="E360" i="3"/>
  <c r="G84" i="52"/>
  <c r="G35" i="52"/>
  <c r="G91" i="52"/>
  <c r="G4" i="52"/>
  <c r="G52" i="52"/>
  <c r="G3" i="52"/>
  <c r="G3" i="51"/>
  <c r="G7" i="51"/>
  <c r="E37" i="3"/>
  <c r="G9" i="51"/>
  <c r="E76" i="3"/>
  <c r="G3" i="45"/>
  <c r="G7" i="45"/>
  <c r="G15" i="46"/>
  <c r="G9" i="45"/>
  <c r="E374" i="3"/>
  <c r="G11" i="45"/>
  <c r="G9" i="46"/>
  <c r="G11" i="46" s="1"/>
  <c r="G3" i="46"/>
  <c r="G7" i="46"/>
  <c r="E292" i="3"/>
  <c r="G10" i="46"/>
  <c r="G12" i="45"/>
  <c r="G13" i="45" s="1"/>
  <c r="G13" i="46"/>
  <c r="G17" i="45"/>
  <c r="G3" i="44"/>
  <c r="G7" i="44"/>
  <c r="G9" i="44"/>
  <c r="E260" i="3"/>
  <c r="G3" i="41"/>
  <c r="G7" i="41"/>
  <c r="G11" i="41"/>
  <c r="G13" i="42"/>
  <c r="G8" i="41"/>
  <c r="G13" i="41"/>
  <c r="E125" i="3"/>
  <c r="G409" i="39"/>
  <c r="G34" i="39"/>
  <c r="G410" i="39"/>
  <c r="G51" i="39"/>
  <c r="E182" i="3"/>
  <c r="G411" i="39"/>
  <c r="G53" i="39"/>
  <c r="E240" i="3"/>
  <c r="G412" i="39"/>
  <c r="G75" i="39"/>
  <c r="E207" i="3"/>
  <c r="G73" i="39"/>
  <c r="E336" i="3"/>
  <c r="G375" i="39"/>
  <c r="G80" i="39"/>
  <c r="G382" i="39"/>
  <c r="G14" i="39"/>
  <c r="G341" i="39"/>
  <c r="G22" i="39"/>
  <c r="G342" i="39"/>
  <c r="G44" i="39"/>
  <c r="G343" i="39"/>
  <c r="G69" i="39"/>
  <c r="E304" i="3"/>
  <c r="G350" i="39"/>
  <c r="G13" i="39"/>
  <c r="G310" i="39"/>
  <c r="G41" i="39"/>
  <c r="E258" i="3"/>
  <c r="G311" i="39"/>
  <c r="G43" i="39"/>
  <c r="G312" i="39"/>
  <c r="G47" i="39"/>
  <c r="E502" i="3"/>
  <c r="G313" i="39"/>
  <c r="G71" i="39"/>
  <c r="E494" i="3"/>
  <c r="G320" i="39"/>
  <c r="G12" i="39"/>
  <c r="G278" i="39"/>
  <c r="G26" i="39"/>
  <c r="G279" i="39"/>
  <c r="G67" i="39"/>
  <c r="E166" i="3"/>
  <c r="G280" i="39"/>
  <c r="G77" i="39"/>
  <c r="E244" i="3"/>
  <c r="G287" i="39"/>
  <c r="G11" i="39"/>
  <c r="G248" i="39"/>
  <c r="G49" i="39"/>
  <c r="E92" i="3"/>
  <c r="G249" i="39"/>
  <c r="G65" i="39"/>
  <c r="E127" i="3"/>
  <c r="G256" i="39"/>
  <c r="G10" i="39"/>
  <c r="G217" i="39"/>
  <c r="G21" i="39"/>
  <c r="G218" i="39"/>
  <c r="G61" i="39"/>
  <c r="E328" i="3"/>
  <c r="G219" i="39"/>
  <c r="G63" i="39"/>
  <c r="E325" i="3"/>
  <c r="G226" i="39"/>
  <c r="G9" i="39"/>
  <c r="G184" i="39"/>
  <c r="G25" i="39"/>
  <c r="G185" i="39"/>
  <c r="G55" i="39"/>
  <c r="E10" i="3"/>
  <c r="G186" i="39"/>
  <c r="G57" i="39"/>
  <c r="E214" i="3"/>
  <c r="G187" i="39"/>
  <c r="G59" i="39"/>
  <c r="E307" i="3"/>
  <c r="G188" i="39"/>
  <c r="G79" i="39"/>
  <c r="G195" i="39"/>
  <c r="G8" i="39"/>
  <c r="E202" i="2"/>
  <c r="O202" i="2" s="1"/>
  <c r="G142" i="39"/>
  <c r="G37" i="39"/>
  <c r="E428" i="3"/>
  <c r="G143" i="39"/>
  <c r="G39" i="39"/>
  <c r="E253" i="3"/>
  <c r="G150" i="39"/>
  <c r="G7" i="39"/>
  <c r="G114" i="39"/>
  <c r="G29" i="39"/>
  <c r="E442" i="3"/>
  <c r="G115" i="39"/>
  <c r="G31" i="39"/>
  <c r="E408" i="3"/>
  <c r="G116" i="39"/>
  <c r="G33" i="39"/>
  <c r="G123" i="39"/>
  <c r="G6" i="39"/>
  <c r="G19" i="39"/>
  <c r="E280" i="3"/>
  <c r="G92" i="39"/>
  <c r="G5" i="39"/>
  <c r="E199" i="2"/>
  <c r="O199" i="2" s="1"/>
  <c r="G242" i="28"/>
  <c r="G243" i="28"/>
  <c r="G26" i="28" s="1"/>
  <c r="G22" i="28"/>
  <c r="E39" i="3" s="1"/>
  <c r="G30" i="28"/>
  <c r="G218" i="28"/>
  <c r="G10" i="28" s="1"/>
  <c r="E370" i="2" s="1"/>
  <c r="O370" i="2" s="1"/>
  <c r="G20" i="28"/>
  <c r="G25" i="28"/>
  <c r="G9" i="28"/>
  <c r="E369" i="2" s="1"/>
  <c r="O369" i="2" s="1"/>
  <c r="G142" i="28"/>
  <c r="G16" i="28" s="1"/>
  <c r="G8" i="28"/>
  <c r="G29" i="28"/>
  <c r="G113" i="28"/>
  <c r="G7" i="28" s="1"/>
  <c r="E367" i="2" s="1"/>
  <c r="O367" i="2" s="1"/>
  <c r="G64" i="28"/>
  <c r="G14" i="28" s="1"/>
  <c r="E150" i="3" s="1"/>
  <c r="G65" i="28"/>
  <c r="G24" i="28" s="1"/>
  <c r="G27" i="28" s="1"/>
  <c r="E42" i="3" s="1"/>
  <c r="G6" i="28"/>
  <c r="G17" i="28"/>
  <c r="G42" i="28"/>
  <c r="G5" i="28" s="1"/>
  <c r="E365" i="2" s="1"/>
  <c r="O365" i="2" s="1"/>
  <c r="G524" i="38"/>
  <c r="G66" i="38" s="1"/>
  <c r="G492" i="38"/>
  <c r="G39" i="38" s="1"/>
  <c r="E400" i="3" s="1"/>
  <c r="G493" i="38"/>
  <c r="G50" i="38" s="1"/>
  <c r="G500" i="38"/>
  <c r="G19" i="38" s="1"/>
  <c r="E29" i="2" s="1"/>
  <c r="O29" i="2" s="1"/>
  <c r="G58" i="38"/>
  <c r="G61" i="38"/>
  <c r="G455" i="38"/>
  <c r="G18" i="38" s="1"/>
  <c r="E28" i="2" s="1"/>
  <c r="O28" i="2" s="1"/>
  <c r="G422" i="38"/>
  <c r="G54" i="38" s="1"/>
  <c r="G423" i="38"/>
  <c r="G79" i="38" s="1"/>
  <c r="G17" i="38"/>
  <c r="G396" i="38"/>
  <c r="G46" i="38" s="1"/>
  <c r="G403" i="38"/>
  <c r="G16" i="38" s="1"/>
  <c r="E26" i="2" s="1"/>
  <c r="O26" i="2" s="1"/>
  <c r="G373" i="38"/>
  <c r="G32" i="38" s="1"/>
  <c r="G374" i="38"/>
  <c r="G43" i="38" s="1"/>
  <c r="E219" i="3" s="1"/>
  <c r="G375" i="38"/>
  <c r="G45" i="38" s="1"/>
  <c r="G47" i="38" s="1"/>
  <c r="E422" i="3" s="1"/>
  <c r="G383" i="38"/>
  <c r="G15" i="38" s="1"/>
  <c r="E25" i="2" s="1"/>
  <c r="O25" i="2" s="1"/>
  <c r="G349" i="38"/>
  <c r="G41" i="38"/>
  <c r="E152" i="3" s="1"/>
  <c r="G49" i="38"/>
  <c r="G78" i="38"/>
  <c r="G337" i="38"/>
  <c r="G14" i="38" s="1"/>
  <c r="E24" i="2" s="1"/>
  <c r="O24" i="2" s="1"/>
  <c r="G293" i="38"/>
  <c r="G37" i="38" s="1"/>
  <c r="E85" i="3" s="1"/>
  <c r="G294" i="38"/>
  <c r="G53" i="38" s="1"/>
  <c r="G55" i="38" s="1"/>
  <c r="E323" i="3" s="1"/>
  <c r="G295" i="38"/>
  <c r="G65" i="38" s="1"/>
  <c r="G13" i="38"/>
  <c r="G260" i="38"/>
  <c r="G35" i="38" s="1"/>
  <c r="E378" i="3" s="1"/>
  <c r="G267" i="38"/>
  <c r="G12" i="38" s="1"/>
  <c r="E22" i="2" s="1"/>
  <c r="O22" i="2" s="1"/>
  <c r="G237" i="38"/>
  <c r="G31" i="38" s="1"/>
  <c r="G244" i="38"/>
  <c r="G11" i="38"/>
  <c r="E21" i="2" s="1"/>
  <c r="O21" i="2" s="1"/>
  <c r="G29" i="38"/>
  <c r="E196" i="3" s="1"/>
  <c r="G220" i="38"/>
  <c r="G10" i="38" s="1"/>
  <c r="E20" i="2" s="1"/>
  <c r="O20" i="2" s="1"/>
  <c r="G142" i="38"/>
  <c r="G70" i="38" s="1"/>
  <c r="G143" i="38"/>
  <c r="G75" i="38" s="1"/>
  <c r="E129" i="3" s="1"/>
  <c r="G112" i="38"/>
  <c r="G62" i="38" s="1"/>
  <c r="G113" i="38"/>
  <c r="G73" i="38" s="1"/>
  <c r="E433" i="3" s="1"/>
  <c r="G120" i="38"/>
  <c r="G5" i="38" s="1"/>
  <c r="E32" i="2" s="1"/>
  <c r="O32" i="2" s="1"/>
  <c r="G93" i="38"/>
  <c r="G4" i="38" s="1"/>
  <c r="G3" i="36"/>
  <c r="G7" i="36"/>
  <c r="G9" i="36"/>
  <c r="E415" i="3"/>
  <c r="G11" i="36"/>
  <c r="E473" i="3"/>
  <c r="G235" i="37"/>
  <c r="G237" i="37"/>
  <c r="G18" i="37"/>
  <c r="G238" i="37"/>
  <c r="G28" i="37"/>
  <c r="G239" i="37"/>
  <c r="G38" i="37"/>
  <c r="G240" i="37"/>
  <c r="G41" i="37"/>
  <c r="E52" i="3"/>
  <c r="G224" i="37"/>
  <c r="G220" i="37"/>
  <c r="G193" i="37"/>
  <c r="G182" i="37"/>
  <c r="G17" i="37"/>
  <c r="G183" i="37"/>
  <c r="G32" i="37"/>
  <c r="G190" i="37"/>
  <c r="G11" i="37"/>
  <c r="E259" i="2"/>
  <c r="O259" i="2" s="1"/>
  <c r="G152" i="37"/>
  <c r="G22" i="37"/>
  <c r="G153" i="37"/>
  <c r="G37" i="37"/>
  <c r="G39" i="37"/>
  <c r="E385" i="3"/>
  <c r="G160" i="37"/>
  <c r="G10" i="37"/>
  <c r="E258" i="2"/>
  <c r="O258" i="2" s="1"/>
  <c r="G122" i="37"/>
  <c r="G31" i="37" s="1"/>
  <c r="G33" i="37" s="1"/>
  <c r="G129" i="37"/>
  <c r="G9" i="37"/>
  <c r="G97" i="37"/>
  <c r="G27" i="37"/>
  <c r="G29" i="37"/>
  <c r="E155" i="3"/>
  <c r="G104" i="37"/>
  <c r="G8" i="37" s="1"/>
  <c r="G77" i="37"/>
  <c r="G21" i="37"/>
  <c r="G23" i="37"/>
  <c r="E472" i="3"/>
  <c r="G78" i="37"/>
  <c r="G25" i="37"/>
  <c r="E334" i="3"/>
  <c r="G79" i="37"/>
  <c r="G35" i="37"/>
  <c r="E317" i="3"/>
  <c r="G86" i="37"/>
  <c r="G7" i="37"/>
  <c r="G54" i="37"/>
  <c r="G4" i="37"/>
  <c r="E261" i="2"/>
  <c r="O261" i="2" s="1"/>
  <c r="G3" i="35"/>
  <c r="G7" i="35"/>
  <c r="G9" i="35"/>
  <c r="E296" i="3"/>
  <c r="G11" i="35"/>
  <c r="E507" i="3"/>
  <c r="G288" i="33"/>
  <c r="G43" i="33"/>
  <c r="G42" i="33"/>
  <c r="G46" i="33"/>
  <c r="E121" i="3"/>
  <c r="G271" i="33"/>
  <c r="G13" i="33"/>
  <c r="E359" i="2"/>
  <c r="O359" i="2" s="1"/>
  <c r="G32" i="33"/>
  <c r="G41" i="33"/>
  <c r="G12" i="33"/>
  <c r="E358" i="2"/>
  <c r="O358" i="2" s="1"/>
  <c r="G196" i="33"/>
  <c r="G36" i="33"/>
  <c r="G11" i="33"/>
  <c r="E357" i="2"/>
  <c r="O357" i="2" s="1"/>
  <c r="G27" i="33"/>
  <c r="G30" i="33"/>
  <c r="G35" i="33"/>
  <c r="G175" i="33"/>
  <c r="G10" i="33"/>
  <c r="E356" i="2"/>
  <c r="O356" i="2" s="1"/>
  <c r="G133" i="33"/>
  <c r="G26" i="33"/>
  <c r="G9" i="33"/>
  <c r="G23" i="33"/>
  <c r="G31" i="33"/>
  <c r="G39" i="33"/>
  <c r="E255" i="3"/>
  <c r="G120" i="33"/>
  <c r="G8" i="33"/>
  <c r="E354" i="2"/>
  <c r="O354" i="2" s="1"/>
  <c r="G79" i="33"/>
  <c r="G20" i="33"/>
  <c r="E220" i="3"/>
  <c r="G80" i="33"/>
  <c r="G22" i="33"/>
  <c r="G5" i="33"/>
  <c r="G59" i="33"/>
  <c r="G4" i="33"/>
  <c r="G26" i="27"/>
  <c r="G54" i="27"/>
  <c r="G370" i="27"/>
  <c r="G53" i="27" s="1"/>
  <c r="G55" i="27" s="1"/>
  <c r="E96" i="3" s="1"/>
  <c r="G15" i="27"/>
  <c r="E348" i="2" s="1"/>
  <c r="O348" i="2" s="1"/>
  <c r="G336" i="27"/>
  <c r="G25" i="27" s="1"/>
  <c r="G337" i="27"/>
  <c r="G35" i="27" s="1"/>
  <c r="E333" i="3" s="1"/>
  <c r="G345" i="27"/>
  <c r="G14" i="27" s="1"/>
  <c r="E347" i="2" s="1"/>
  <c r="O347" i="2" s="1"/>
  <c r="G44" i="27"/>
  <c r="G57" i="27"/>
  <c r="G309" i="27"/>
  <c r="G13" i="27" s="1"/>
  <c r="E346" i="2" s="1"/>
  <c r="O346" i="2" s="1"/>
  <c r="G268" i="27"/>
  <c r="G37" i="27" s="1"/>
  <c r="E212" i="3" s="1"/>
  <c r="G229" i="27"/>
  <c r="G24" i="27" s="1"/>
  <c r="G230" i="27"/>
  <c r="G48" i="27" s="1"/>
  <c r="G239" i="27"/>
  <c r="G11" i="27" s="1"/>
  <c r="E344" i="2" s="1"/>
  <c r="O344" i="2" s="1"/>
  <c r="G30" i="27"/>
  <c r="G33" i="27"/>
  <c r="G203" i="27"/>
  <c r="G10" i="27" s="1"/>
  <c r="E343" i="2" s="1"/>
  <c r="O343" i="2" s="1"/>
  <c r="G9" i="27"/>
  <c r="G145" i="27"/>
  <c r="G58" i="27"/>
  <c r="G59" i="27"/>
  <c r="E416" i="3" s="1"/>
  <c r="G94" i="27"/>
  <c r="G39" i="27" s="1"/>
  <c r="E401" i="3" s="1"/>
  <c r="G95" i="27"/>
  <c r="G41" i="27" s="1"/>
  <c r="E266" i="3" s="1"/>
  <c r="G96" i="27"/>
  <c r="G43" i="27" s="1"/>
  <c r="G45" i="27" s="1"/>
  <c r="E356" i="3" s="1"/>
  <c r="G103" i="27"/>
  <c r="G5" i="27" s="1"/>
  <c r="G72" i="27"/>
  <c r="G4" i="27" s="1"/>
  <c r="E441" i="3"/>
  <c r="G204" i="25"/>
  <c r="G26" i="25" s="1"/>
  <c r="G165" i="25"/>
  <c r="G21" i="25" s="1"/>
  <c r="G172" i="25"/>
  <c r="G9" i="25" s="1"/>
  <c r="G130" i="25"/>
  <c r="G18" i="25" s="1"/>
  <c r="E474" i="3" s="1"/>
  <c r="G131" i="25"/>
  <c r="G25" i="25"/>
  <c r="G138" i="25"/>
  <c r="G8" i="25" s="1"/>
  <c r="E194" i="2" s="1"/>
  <c r="O194" i="2" s="1"/>
  <c r="G99" i="25"/>
  <c r="G14" i="25"/>
  <c r="G16" i="25" s="1"/>
  <c r="E379" i="3" s="1"/>
  <c r="G106" i="25"/>
  <c r="G7" i="25" s="1"/>
  <c r="E193" i="2" s="1"/>
  <c r="O193" i="2" s="1"/>
  <c r="G75" i="25"/>
  <c r="G20" i="25" s="1"/>
  <c r="G76" i="25"/>
  <c r="G24" i="25"/>
  <c r="G77" i="25"/>
  <c r="G31" i="25" s="1"/>
  <c r="E523" i="3" s="1"/>
  <c r="G84" i="25"/>
  <c r="G6" i="25"/>
  <c r="E192" i="2" s="1"/>
  <c r="O192" i="2" s="1"/>
  <c r="G42" i="25"/>
  <c r="G5" i="25" s="1"/>
  <c r="E191" i="2" s="1"/>
  <c r="O191" i="2" s="1"/>
  <c r="G3" i="24"/>
  <c r="G7" i="24"/>
  <c r="G9" i="24"/>
  <c r="E17" i="3"/>
  <c r="G11" i="24"/>
  <c r="E43" i="3"/>
  <c r="G15" i="67"/>
  <c r="G5" i="90"/>
  <c r="G5" i="79"/>
  <c r="G5" i="80"/>
  <c r="G15" i="92"/>
  <c r="G5" i="72"/>
  <c r="G5" i="67"/>
  <c r="G5" i="58"/>
  <c r="G5" i="54"/>
  <c r="G6" i="53"/>
  <c r="E142" i="2"/>
  <c r="O142" i="2" s="1"/>
  <c r="G5" i="46"/>
  <c r="G5" i="41"/>
  <c r="G5" i="36"/>
  <c r="G5" i="35"/>
  <c r="G8" i="34"/>
  <c r="G5" i="69"/>
  <c r="G5" i="55"/>
  <c r="G5" i="42"/>
  <c r="E446" i="2"/>
  <c r="O446" i="2" s="1"/>
  <c r="E50" i="2"/>
  <c r="O50" i="2" s="1"/>
  <c r="E85" i="2"/>
  <c r="O85" i="2" s="1"/>
  <c r="E196" i="2"/>
  <c r="G5" i="51"/>
  <c r="G5" i="44"/>
  <c r="E138" i="2"/>
  <c r="O138" i="2" s="1"/>
  <c r="E206" i="2"/>
  <c r="O206" i="2" s="1"/>
  <c r="E203" i="2"/>
  <c r="O203" i="2" s="1"/>
  <c r="E324" i="2"/>
  <c r="O324" i="2" s="1"/>
  <c r="E205" i="2"/>
  <c r="G15" i="85"/>
  <c r="E327" i="3"/>
  <c r="G17" i="24"/>
  <c r="G13" i="24"/>
  <c r="E105" i="3"/>
  <c r="G5" i="85"/>
  <c r="E153" i="2"/>
  <c r="G15" i="24"/>
  <c r="E132" i="2"/>
  <c r="G19" i="45"/>
  <c r="E297" i="3"/>
  <c r="G15" i="62"/>
  <c r="E101" i="3"/>
  <c r="G11" i="76"/>
  <c r="E331" i="3"/>
  <c r="E423" i="2"/>
  <c r="E434" i="2"/>
  <c r="O434" i="2"/>
  <c r="E87" i="2"/>
  <c r="O87" i="2" s="1"/>
  <c r="E276" i="2"/>
  <c r="O276" i="2" s="1"/>
  <c r="G15" i="97"/>
  <c r="E209" i="3"/>
  <c r="G15" i="51"/>
  <c r="G15" i="76"/>
  <c r="E310" i="3"/>
  <c r="G15" i="44"/>
  <c r="E102" i="3"/>
  <c r="G5" i="45"/>
  <c r="E139" i="2"/>
  <c r="E437" i="2"/>
  <c r="G34" i="57"/>
  <c r="E97" i="3"/>
  <c r="G17" i="62"/>
  <c r="G5" i="62"/>
  <c r="E89" i="2"/>
  <c r="O89" i="2" s="1"/>
  <c r="G5" i="76"/>
  <c r="E207" i="2"/>
  <c r="O207" i="2" s="1"/>
  <c r="E146" i="2"/>
  <c r="O146" i="2" s="1"/>
  <c r="E90" i="2"/>
  <c r="O90" i="2" s="1"/>
  <c r="E436" i="2"/>
  <c r="O436" i="2" s="1"/>
  <c r="E231" i="2"/>
  <c r="O231" i="2" s="1"/>
  <c r="E200" i="2"/>
  <c r="O200" i="2" s="1"/>
  <c r="G15" i="90"/>
  <c r="E250" i="3"/>
  <c r="E156" i="2"/>
  <c r="G17" i="90"/>
  <c r="E155" i="2"/>
  <c r="G21" i="79"/>
  <c r="G13" i="55"/>
  <c r="G15" i="56"/>
  <c r="G10" i="55"/>
  <c r="G11" i="55" s="1"/>
  <c r="G5" i="56"/>
  <c r="E151" i="2"/>
  <c r="O151" i="2" s="1"/>
  <c r="G19" i="79"/>
  <c r="G17" i="79"/>
  <c r="G7" i="79"/>
  <c r="G9" i="79" s="1"/>
  <c r="G15" i="72"/>
  <c r="E149" i="2"/>
  <c r="O149" i="2" s="1"/>
  <c r="E45" i="3"/>
  <c r="E409" i="3"/>
  <c r="E148" i="2"/>
  <c r="O148" i="2" s="1"/>
  <c r="G7" i="56"/>
  <c r="G9" i="56" s="1"/>
  <c r="G13" i="56"/>
  <c r="E145" i="2"/>
  <c r="O145" i="2" s="1"/>
  <c r="E83" i="3"/>
  <c r="G9" i="41"/>
  <c r="G19" i="41" s="1"/>
  <c r="G15" i="42"/>
  <c r="E515" i="3"/>
  <c r="E144" i="2"/>
  <c r="O144" i="2" s="1"/>
  <c r="G15" i="54"/>
  <c r="E143" i="2"/>
  <c r="O143" i="2" s="1"/>
  <c r="E406" i="3"/>
  <c r="G15" i="45"/>
  <c r="E141" i="2"/>
  <c r="O141" i="2"/>
  <c r="G7" i="42"/>
  <c r="G9" i="42" s="1"/>
  <c r="G15" i="41"/>
  <c r="E137" i="2"/>
  <c r="O137" i="2" s="1"/>
  <c r="E350" i="3"/>
  <c r="E136" i="2"/>
  <c r="E75" i="3"/>
  <c r="G15" i="36"/>
  <c r="E469" i="3"/>
  <c r="G17" i="36"/>
  <c r="E134" i="2"/>
  <c r="O134" i="2" s="1"/>
  <c r="G15" i="35"/>
  <c r="E133" i="2"/>
  <c r="O133" i="2" s="1"/>
  <c r="E383" i="3"/>
  <c r="G17" i="35"/>
  <c r="E441" i="2"/>
  <c r="O441" i="2" s="1"/>
  <c r="E52" i="2"/>
  <c r="O52" i="2" s="1"/>
  <c r="E287" i="2"/>
  <c r="O287" i="2" s="1"/>
  <c r="E201" i="2"/>
  <c r="O201" i="2" s="1"/>
  <c r="E291" i="2"/>
  <c r="O291" i="2" s="1"/>
  <c r="E257" i="2"/>
  <c r="O257" i="2" s="1"/>
  <c r="E53" i="2"/>
  <c r="O53" i="2" s="1"/>
  <c r="E82" i="2"/>
  <c r="O82" i="2"/>
  <c r="E435" i="2"/>
  <c r="O435" i="2" s="1"/>
  <c r="G15" i="80"/>
  <c r="E425" i="3"/>
  <c r="G17" i="80"/>
  <c r="E334" i="2"/>
  <c r="G15" i="69"/>
  <c r="E252" i="2"/>
  <c r="O252" i="2" s="1"/>
  <c r="E9" i="3"/>
  <c r="E230" i="2"/>
  <c r="O230" i="2" s="1"/>
  <c r="E208" i="2"/>
  <c r="O208" i="2" s="1"/>
  <c r="E204" i="2"/>
  <c r="O204" i="2" s="1"/>
  <c r="E282" i="2"/>
  <c r="O282" i="2" s="1"/>
  <c r="E47" i="2"/>
  <c r="G30" i="57"/>
  <c r="E364" i="3"/>
  <c r="E280" i="2"/>
  <c r="O280" i="2" s="1"/>
  <c r="E163" i="2"/>
  <c r="O163" i="2" s="1"/>
  <c r="E423" i="3"/>
  <c r="E458" i="2"/>
  <c r="O458" i="2" s="1"/>
  <c r="E459" i="2"/>
  <c r="O459" i="2" s="1"/>
  <c r="G11" i="97"/>
  <c r="G13" i="97"/>
  <c r="G49" i="95"/>
  <c r="G63" i="95"/>
  <c r="G3" i="95"/>
  <c r="G13" i="90"/>
  <c r="G11" i="85"/>
  <c r="G13" i="85"/>
  <c r="G13" i="80"/>
  <c r="G11" i="79"/>
  <c r="G13" i="79" s="1"/>
  <c r="E484" i="3" s="1"/>
  <c r="G13" i="76"/>
  <c r="G34" i="71"/>
  <c r="E124" i="3"/>
  <c r="G11" i="92"/>
  <c r="G31" i="29"/>
  <c r="E449" i="3" s="1"/>
  <c r="G41" i="29"/>
  <c r="E136" i="3" s="1"/>
  <c r="G11" i="72"/>
  <c r="G13" i="72"/>
  <c r="G11" i="69"/>
  <c r="G13" i="69"/>
  <c r="G11" i="67"/>
  <c r="G13" i="67"/>
  <c r="G28" i="63"/>
  <c r="E137" i="3"/>
  <c r="G37" i="63"/>
  <c r="E130" i="3"/>
  <c r="G16" i="63"/>
  <c r="G13" i="62"/>
  <c r="G19" i="58"/>
  <c r="G15" i="55"/>
  <c r="E133" i="3"/>
  <c r="E300" i="3"/>
  <c r="E18" i="3"/>
  <c r="G11" i="54"/>
  <c r="G13" i="54"/>
  <c r="G5" i="53"/>
  <c r="G19" i="52"/>
  <c r="E457" i="3"/>
  <c r="G23" i="52"/>
  <c r="E259" i="3"/>
  <c r="G12" i="52"/>
  <c r="G37" i="52"/>
  <c r="E526" i="3"/>
  <c r="G7" i="52"/>
  <c r="G9" i="52"/>
  <c r="G10" i="52"/>
  <c r="G11" i="52"/>
  <c r="G11" i="51"/>
  <c r="G13" i="51"/>
  <c r="G17" i="46"/>
  <c r="G19" i="46"/>
  <c r="G11" i="44"/>
  <c r="G13" i="44"/>
  <c r="G35" i="39"/>
  <c r="E286" i="3"/>
  <c r="G23" i="39"/>
  <c r="E420" i="3"/>
  <c r="G45" i="39"/>
  <c r="E452" i="3"/>
  <c r="G27" i="39"/>
  <c r="G81" i="39"/>
  <c r="E171" i="3"/>
  <c r="G3" i="39"/>
  <c r="G13" i="36"/>
  <c r="G13" i="35"/>
  <c r="G5" i="24"/>
  <c r="G10" i="23"/>
  <c r="E431" i="3"/>
  <c r="G12" i="23"/>
  <c r="E413" i="3" s="1"/>
  <c r="G14" i="23"/>
  <c r="E339" i="3"/>
  <c r="G16" i="23"/>
  <c r="E138" i="3"/>
  <c r="G18" i="23"/>
  <c r="G22" i="23"/>
  <c r="E281" i="3" s="1"/>
  <c r="G199" i="23"/>
  <c r="G19" i="23" s="1"/>
  <c r="G20" i="23" s="1"/>
  <c r="G192" i="23"/>
  <c r="G4" i="23" s="1"/>
  <c r="E3" i="86"/>
  <c r="F3" i="86"/>
  <c r="G3" i="86"/>
  <c r="D3" i="86"/>
  <c r="G7" i="32"/>
  <c r="E408" i="2" s="1"/>
  <c r="G28" i="32"/>
  <c r="G14" i="32"/>
  <c r="G16" i="32"/>
  <c r="G33" i="32"/>
  <c r="E237" i="3" s="1"/>
  <c r="G15" i="32"/>
  <c r="G9" i="32"/>
  <c r="E410" i="2" s="1"/>
  <c r="O410" i="2" s="1"/>
  <c r="G155" i="32"/>
  <c r="G172" i="32"/>
  <c r="G148" i="32"/>
  <c r="G109" i="32"/>
  <c r="G90" i="32"/>
  <c r="G20" i="32" s="1"/>
  <c r="G91" i="32"/>
  <c r="G24" i="32" s="1"/>
  <c r="G92" i="32"/>
  <c r="G27" i="32"/>
  <c r="G29" i="32" s="1"/>
  <c r="E313" i="3" s="1"/>
  <c r="G63" i="32"/>
  <c r="G19" i="32" s="1"/>
  <c r="G64" i="32"/>
  <c r="G23" i="32" s="1"/>
  <c r="G71" i="32"/>
  <c r="G6" i="32" s="1"/>
  <c r="G44" i="32"/>
  <c r="G5" i="32" s="1"/>
  <c r="E406" i="2" s="1"/>
  <c r="O406" i="2" s="1"/>
  <c r="E188" i="2"/>
  <c r="E342" i="3"/>
  <c r="E28" i="3"/>
  <c r="G5" i="91"/>
  <c r="G13" i="52"/>
  <c r="G16" i="39"/>
  <c r="G17" i="39"/>
  <c r="G11" i="95"/>
  <c r="G61" i="95"/>
  <c r="G87" i="39"/>
  <c r="G45" i="52"/>
  <c r="E337" i="2"/>
  <c r="G85" i="39"/>
  <c r="E318" i="3"/>
  <c r="E380" i="2"/>
  <c r="O380" i="2" s="1"/>
  <c r="G59" i="95"/>
  <c r="E169" i="3"/>
  <c r="G43" i="52"/>
  <c r="G41" i="52"/>
  <c r="G83" i="39"/>
  <c r="E7" i="86"/>
  <c r="F7" i="86"/>
  <c r="G7" i="86"/>
  <c r="E72" i="3"/>
  <c r="E9" i="86"/>
  <c r="F9" i="86"/>
  <c r="G9" i="86"/>
  <c r="E272" i="3"/>
  <c r="D9" i="86"/>
  <c r="D7" i="86"/>
  <c r="G30" i="86"/>
  <c r="F30" i="86"/>
  <c r="E30" i="86"/>
  <c r="D30" i="86"/>
  <c r="E22" i="86"/>
  <c r="F22" i="86"/>
  <c r="G22" i="86"/>
  <c r="D22" i="86"/>
  <c r="E47" i="3"/>
  <c r="E19" i="3"/>
  <c r="G377" i="82"/>
  <c r="G54" i="82" s="1"/>
  <c r="G357" i="82"/>
  <c r="G37" i="82" s="1"/>
  <c r="G358" i="82"/>
  <c r="G50" i="82" s="1"/>
  <c r="G365" i="82"/>
  <c r="G14" i="82" s="1"/>
  <c r="E401" i="2" s="1"/>
  <c r="O401" i="2" s="1"/>
  <c r="G33" i="82"/>
  <c r="G49" i="82"/>
  <c r="G328" i="82"/>
  <c r="G13" i="82" s="1"/>
  <c r="E400" i="2" s="1"/>
  <c r="O400" i="2" s="1"/>
  <c r="G283" i="82"/>
  <c r="G30" i="82" s="1"/>
  <c r="E227" i="3" s="1"/>
  <c r="G284" i="82"/>
  <c r="G32" i="82" s="1"/>
  <c r="G34" i="82" s="1"/>
  <c r="E343" i="3" s="1"/>
  <c r="G12" i="82"/>
  <c r="E399" i="2" s="1"/>
  <c r="O399" i="2" s="1"/>
  <c r="G28" i="82"/>
  <c r="E459" i="3" s="1"/>
  <c r="G256" i="82"/>
  <c r="G11" i="82" s="1"/>
  <c r="E398" i="2" s="1"/>
  <c r="O398" i="2" s="1"/>
  <c r="G25" i="82"/>
  <c r="G53" i="82"/>
  <c r="G10" i="82"/>
  <c r="E397" i="2" s="1"/>
  <c r="O397" i="2" s="1"/>
  <c r="G175" i="82"/>
  <c r="G20" i="82" s="1"/>
  <c r="E224" i="3" s="1"/>
  <c r="G176" i="82"/>
  <c r="G24" i="82" s="1"/>
  <c r="G26" i="82" s="1"/>
  <c r="E233" i="3" s="1"/>
  <c r="G9" i="82"/>
  <c r="G145" i="82"/>
  <c r="G22" i="82" s="1"/>
  <c r="E217" i="3" s="1"/>
  <c r="G152" i="82"/>
  <c r="G8" i="82" s="1"/>
  <c r="E395" i="2" s="1"/>
  <c r="O395" i="2" s="1"/>
  <c r="G40" i="82"/>
  <c r="E531" i="3" s="1"/>
  <c r="G120" i="82"/>
  <c r="G43" i="82" s="1"/>
  <c r="G46" i="82"/>
  <c r="G128" i="82"/>
  <c r="G7" i="82" s="1"/>
  <c r="G114" i="82"/>
  <c r="G90" i="82"/>
  <c r="G78" i="82"/>
  <c r="G74" i="82"/>
  <c r="G71" i="82"/>
  <c r="G36" i="82"/>
  <c r="G42" i="82"/>
  <c r="G48" i="82"/>
  <c r="G4" i="82"/>
  <c r="G221" i="70"/>
  <c r="G14" i="70" s="1"/>
  <c r="G196" i="70"/>
  <c r="G21" i="70"/>
  <c r="E25" i="3" s="1"/>
  <c r="G203" i="70"/>
  <c r="G9" i="70"/>
  <c r="E377" i="2"/>
  <c r="O377" i="2" s="1"/>
  <c r="G160" i="70"/>
  <c r="G18" i="70" s="1"/>
  <c r="G19" i="70" s="1"/>
  <c r="E40" i="3" s="1"/>
  <c r="G161" i="70"/>
  <c r="G27" i="70"/>
  <c r="E65" i="3" s="1"/>
  <c r="G168" i="70"/>
  <c r="G8" i="70"/>
  <c r="E376" i="2"/>
  <c r="O376" i="2" s="1"/>
  <c r="G111" i="70"/>
  <c r="G13" i="70" s="1"/>
  <c r="G15" i="70" s="1"/>
  <c r="G112" i="70"/>
  <c r="G24" i="70" s="1"/>
  <c r="G119" i="70"/>
  <c r="G7" i="70"/>
  <c r="E375" i="2" s="1"/>
  <c r="O375" i="2" s="1"/>
  <c r="G104" i="70"/>
  <c r="G99" i="70"/>
  <c r="G74" i="70"/>
  <c r="G17" i="70"/>
  <c r="G75" i="70"/>
  <c r="G23" i="70" s="1"/>
  <c r="G82" i="70"/>
  <c r="G6" i="70"/>
  <c r="E374" i="2"/>
  <c r="O374" i="2" s="1"/>
  <c r="G38" i="70"/>
  <c r="G5" i="70" s="1"/>
  <c r="G29" i="74"/>
  <c r="G32" i="74"/>
  <c r="E215" i="3"/>
  <c r="G36" i="74"/>
  <c r="G11" i="74"/>
  <c r="E117" i="2"/>
  <c r="O117" i="2" s="1"/>
  <c r="G223" i="74"/>
  <c r="G25" i="74"/>
  <c r="E157" i="3"/>
  <c r="G10" i="74"/>
  <c r="E116" i="2"/>
  <c r="O116" i="2" s="1"/>
  <c r="G35" i="74"/>
  <c r="G185" i="74"/>
  <c r="G9" i="74"/>
  <c r="E115" i="2"/>
  <c r="O115" i="2" s="1"/>
  <c r="G16" i="74"/>
  <c r="G21" i="74"/>
  <c r="E303" i="3"/>
  <c r="G8" i="74"/>
  <c r="E114" i="2"/>
  <c r="O114" i="2" s="1"/>
  <c r="G110" i="74"/>
  <c r="G19" i="74"/>
  <c r="E144" i="3"/>
  <c r="G111" i="74"/>
  <c r="G27" i="74"/>
  <c r="G7" i="74"/>
  <c r="E113" i="2"/>
  <c r="O113" i="2" s="1"/>
  <c r="G15" i="74"/>
  <c r="G34" i="74"/>
  <c r="G37" i="74"/>
  <c r="G83" i="74"/>
  <c r="G6" i="74"/>
  <c r="G5" i="74"/>
  <c r="G3" i="73"/>
  <c r="G7" i="73"/>
  <c r="E485" i="3"/>
  <c r="G9" i="73"/>
  <c r="E393" i="3"/>
  <c r="G11" i="73"/>
  <c r="E204" i="3"/>
  <c r="G21" i="30"/>
  <c r="G35" i="30"/>
  <c r="G246" i="30"/>
  <c r="G20" i="30"/>
  <c r="G247" i="30"/>
  <c r="G31" i="30"/>
  <c r="G11" i="30"/>
  <c r="G208" i="30"/>
  <c r="G26" i="30"/>
  <c r="E529" i="3"/>
  <c r="G209" i="30"/>
  <c r="G28" i="30"/>
  <c r="E511" i="3"/>
  <c r="G210" i="30"/>
  <c r="G30" i="30"/>
  <c r="G217" i="30"/>
  <c r="G10" i="30"/>
  <c r="E107" i="2"/>
  <c r="O107" i="2" s="1"/>
  <c r="G202" i="30"/>
  <c r="G196" i="30"/>
  <c r="G191" i="30"/>
  <c r="G187" i="30"/>
  <c r="G166" i="30"/>
  <c r="G155" i="30"/>
  <c r="G24" i="30"/>
  <c r="E340" i="3"/>
  <c r="G163" i="30"/>
  <c r="G9" i="30"/>
  <c r="E106" i="2"/>
  <c r="O106" i="2" s="1"/>
  <c r="G16" i="30"/>
  <c r="G34" i="30"/>
  <c r="G36" i="30"/>
  <c r="E117" i="3"/>
  <c r="G136" i="30"/>
  <c r="G8" i="30"/>
  <c r="E105" i="2"/>
  <c r="O105" i="2" s="1"/>
  <c r="G86" i="30"/>
  <c r="G19" i="30"/>
  <c r="G7" i="30"/>
  <c r="E104" i="2"/>
  <c r="O104" i="2" s="1"/>
  <c r="G61" i="30"/>
  <c r="G15" i="30"/>
  <c r="G68" i="30"/>
  <c r="G6" i="30"/>
  <c r="G47" i="30"/>
  <c r="G5" i="30"/>
  <c r="G17" i="15"/>
  <c r="G3" i="16"/>
  <c r="G7" i="16"/>
  <c r="E197" i="3"/>
  <c r="G9" i="16"/>
  <c r="E443" i="3"/>
  <c r="G12" i="16"/>
  <c r="G18" i="15"/>
  <c r="G19" i="15" s="1"/>
  <c r="E222" i="49"/>
  <c r="F222" i="49"/>
  <c r="G222" i="49"/>
  <c r="G10" i="49"/>
  <c r="D222" i="49"/>
  <c r="E228" i="49"/>
  <c r="F228" i="49"/>
  <c r="G228" i="49"/>
  <c r="D228" i="49"/>
  <c r="E248" i="49"/>
  <c r="E54" i="49" s="1"/>
  <c r="F248" i="49"/>
  <c r="F54" i="49" s="1"/>
  <c r="G248" i="49"/>
  <c r="G54" i="49" s="1"/>
  <c r="D248" i="49"/>
  <c r="D54" i="49" s="1"/>
  <c r="E247" i="49"/>
  <c r="F247" i="49"/>
  <c r="G247" i="49"/>
  <c r="G41" i="49" s="1"/>
  <c r="G43" i="49" s="1"/>
  <c r="E288" i="3" s="1"/>
  <c r="D247" i="49"/>
  <c r="G356" i="49"/>
  <c r="G19" i="49" s="1"/>
  <c r="G55" i="49"/>
  <c r="G329" i="49"/>
  <c r="G51" i="49" s="1"/>
  <c r="G14" i="49"/>
  <c r="E44" i="2" s="1"/>
  <c r="O44" i="2" s="1"/>
  <c r="G38" i="49"/>
  <c r="G42" i="49"/>
  <c r="G50" i="49"/>
  <c r="G315" i="49"/>
  <c r="G13" i="49" s="1"/>
  <c r="G47" i="49"/>
  <c r="G12" i="49"/>
  <c r="E42" i="2" s="1"/>
  <c r="O42" i="2" s="1"/>
  <c r="G246" i="49"/>
  <c r="G29" i="49" s="1"/>
  <c r="G11" i="49"/>
  <c r="G213" i="49"/>
  <c r="G28" i="49" s="1"/>
  <c r="G30" i="49" s="1"/>
  <c r="E179" i="3" s="1"/>
  <c r="G214" i="49"/>
  <c r="G33" i="49"/>
  <c r="G215" i="49"/>
  <c r="G46" i="49" s="1"/>
  <c r="G180" i="49"/>
  <c r="G26" i="49" s="1"/>
  <c r="E269" i="3" s="1"/>
  <c r="G187" i="49"/>
  <c r="G9" i="49" s="1"/>
  <c r="E39" i="2" s="1"/>
  <c r="O39" i="2" s="1"/>
  <c r="G153" i="49"/>
  <c r="G24" i="49"/>
  <c r="E66" i="3" s="1"/>
  <c r="G154" i="49"/>
  <c r="G32" i="49"/>
  <c r="G35" i="49"/>
  <c r="E172" i="3" s="1"/>
  <c r="G155" i="49"/>
  <c r="G45" i="49" s="1"/>
  <c r="G48" i="49" s="1"/>
  <c r="E368" i="3" s="1"/>
  <c r="G163" i="49"/>
  <c r="G8" i="49"/>
  <c r="E38" i="2" s="1"/>
  <c r="O38" i="2" s="1"/>
  <c r="G113" i="49"/>
  <c r="G22" i="49" s="1"/>
  <c r="E222" i="3" s="1"/>
  <c r="G114" i="49"/>
  <c r="G37" i="49" s="1"/>
  <c r="G39" i="49" s="1"/>
  <c r="E80" i="3" s="1"/>
  <c r="G121" i="49"/>
  <c r="G7" i="49"/>
  <c r="G79" i="49"/>
  <c r="G18" i="49" s="1"/>
  <c r="G86" i="49"/>
  <c r="G6" i="49"/>
  <c r="G5" i="49"/>
  <c r="E35" i="2" s="1"/>
  <c r="O35" i="2" s="1"/>
  <c r="G67" i="49"/>
  <c r="G5" i="47"/>
  <c r="E424" i="3"/>
  <c r="G3" i="48"/>
  <c r="G7" i="48"/>
  <c r="E357" i="3"/>
  <c r="G43" i="43"/>
  <c r="G67" i="43"/>
  <c r="G413" i="43"/>
  <c r="G55" i="43" s="1"/>
  <c r="G56" i="43" s="1"/>
  <c r="E69" i="3" s="1"/>
  <c r="G414" i="43"/>
  <c r="G59" i="43" s="1"/>
  <c r="G17" i="43"/>
  <c r="G380" i="43"/>
  <c r="G24" i="43" s="1"/>
  <c r="G387" i="43"/>
  <c r="G16" i="43"/>
  <c r="G356" i="43"/>
  <c r="G46" i="43" s="1"/>
  <c r="E267" i="3" s="1"/>
  <c r="G357" i="43"/>
  <c r="G48" i="43" s="1"/>
  <c r="E388" i="3" s="1"/>
  <c r="G365" i="43"/>
  <c r="G15" i="43"/>
  <c r="G312" i="43"/>
  <c r="G39" i="43" s="1"/>
  <c r="E282" i="3" s="1"/>
  <c r="G313" i="43"/>
  <c r="G42" i="43"/>
  <c r="G320" i="43"/>
  <c r="G14" i="43" s="1"/>
  <c r="E271" i="2" s="1"/>
  <c r="O271" i="2" s="1"/>
  <c r="G23" i="43"/>
  <c r="G296" i="43"/>
  <c r="G13" i="43" s="1"/>
  <c r="E270" i="2" s="1"/>
  <c r="O270" i="2" s="1"/>
  <c r="G266" i="43"/>
  <c r="G36" i="43"/>
  <c r="G239" i="43"/>
  <c r="G33" i="43" s="1"/>
  <c r="E128" i="3" s="1"/>
  <c r="G240" i="43"/>
  <c r="G35" i="43" s="1"/>
  <c r="G37" i="43" s="1"/>
  <c r="E223" i="3" s="1"/>
  <c r="G247" i="43"/>
  <c r="G11" i="43" s="1"/>
  <c r="E268" i="2" s="1"/>
  <c r="O268" i="2" s="1"/>
  <c r="G31" i="43"/>
  <c r="E73" i="3" s="1"/>
  <c r="G66" i="43"/>
  <c r="G222" i="43"/>
  <c r="G10" i="43" s="1"/>
  <c r="E267" i="2" s="1"/>
  <c r="O267" i="2" s="1"/>
  <c r="G191" i="43"/>
  <c r="G41" i="43" s="1"/>
  <c r="G198" i="43"/>
  <c r="G9" i="43" s="1"/>
  <c r="E266" i="2" s="1"/>
  <c r="O266" i="2" s="1"/>
  <c r="G141" i="43"/>
  <c r="G27" i="43" s="1"/>
  <c r="E59" i="3" s="1"/>
  <c r="G142" i="43"/>
  <c r="G50" i="43" s="1"/>
  <c r="G143" i="43"/>
  <c r="G54" i="43"/>
  <c r="G150" i="43"/>
  <c r="G8" i="43" s="1"/>
  <c r="E265" i="2" s="1"/>
  <c r="O265" i="2" s="1"/>
  <c r="G133" i="43"/>
  <c r="G99" i="43"/>
  <c r="G58" i="43"/>
  <c r="G60" i="43" s="1"/>
  <c r="E456" i="3" s="1"/>
  <c r="G100" i="43"/>
  <c r="G62" i="43" s="1"/>
  <c r="E380" i="3" s="1"/>
  <c r="G101" i="43"/>
  <c r="G64" i="43" s="1"/>
  <c r="E427" i="3" s="1"/>
  <c r="G108" i="43"/>
  <c r="G7" i="43"/>
  <c r="G29" i="43"/>
  <c r="E235" i="3" s="1"/>
  <c r="G81" i="43"/>
  <c r="G4" i="43" s="1"/>
  <c r="G338" i="26"/>
  <c r="G49" i="26"/>
  <c r="E107" i="3"/>
  <c r="G313" i="26"/>
  <c r="G23" i="26"/>
  <c r="G314" i="26"/>
  <c r="G46" i="26"/>
  <c r="G47" i="26"/>
  <c r="E299" i="3"/>
  <c r="G321" i="26"/>
  <c r="G14" i="26"/>
  <c r="E76" i="2"/>
  <c r="O76" i="2" s="1"/>
  <c r="G279" i="26"/>
  <c r="G38" i="26"/>
  <c r="E287" i="3"/>
  <c r="G286" i="26"/>
  <c r="G13" i="26"/>
  <c r="G36" i="26"/>
  <c r="E321" i="3"/>
  <c r="G42" i="26"/>
  <c r="G249" i="26"/>
  <c r="G12" i="26"/>
  <c r="E74" i="2"/>
  <c r="O74" i="2" s="1"/>
  <c r="G213" i="26"/>
  <c r="G29" i="26"/>
  <c r="G30" i="26"/>
  <c r="E482" i="3"/>
  <c r="G220" i="26"/>
  <c r="G11" i="26"/>
  <c r="E73" i="2"/>
  <c r="O73" i="2" s="1"/>
  <c r="G178" i="26"/>
  <c r="G26" i="26"/>
  <c r="E326" i="3"/>
  <c r="G179" i="26"/>
  <c r="G45" i="26"/>
  <c r="G186" i="26"/>
  <c r="G10" i="26"/>
  <c r="E72" i="2"/>
  <c r="O72" i="2" s="1"/>
  <c r="G149" i="26"/>
  <c r="G22" i="26"/>
  <c r="G157" i="26"/>
  <c r="G9" i="26"/>
  <c r="E71" i="2"/>
  <c r="O71" i="2" s="1"/>
  <c r="G117" i="26"/>
  <c r="G20" i="26"/>
  <c r="G118" i="26"/>
  <c r="G28" i="26"/>
  <c r="G119" i="26"/>
  <c r="G40" i="26"/>
  <c r="G127" i="26"/>
  <c r="G8" i="26"/>
  <c r="G107" i="26"/>
  <c r="G81" i="26"/>
  <c r="G32" i="26"/>
  <c r="E389" i="3"/>
  <c r="G82" i="26"/>
  <c r="G34" i="26"/>
  <c r="E377" i="3"/>
  <c r="G83" i="26"/>
  <c r="G41" i="26"/>
  <c r="G90" i="26"/>
  <c r="G7" i="26"/>
  <c r="G62" i="26"/>
  <c r="G4" i="26"/>
  <c r="G3" i="20"/>
  <c r="G5" i="20"/>
  <c r="G3" i="21"/>
  <c r="G8" i="21"/>
  <c r="G6" i="20"/>
  <c r="G7" i="20" s="1"/>
  <c r="G11" i="21"/>
  <c r="E486" i="3"/>
  <c r="G217" i="19"/>
  <c r="G25" i="19"/>
  <c r="E254" i="3"/>
  <c r="G218" i="19"/>
  <c r="G33" i="19"/>
  <c r="G181" i="19"/>
  <c r="G183" i="19"/>
  <c r="G13" i="19"/>
  <c r="E202" i="3"/>
  <c r="G185" i="19"/>
  <c r="G23" i="19"/>
  <c r="E371" i="3"/>
  <c r="G186" i="19"/>
  <c r="G30" i="19"/>
  <c r="G187" i="19"/>
  <c r="G34" i="19"/>
  <c r="G194" i="19"/>
  <c r="G176" i="19"/>
  <c r="G170" i="19"/>
  <c r="G151" i="19"/>
  <c r="G139" i="19"/>
  <c r="G134" i="19"/>
  <c r="G128" i="19"/>
  <c r="G125" i="19"/>
  <c r="G107" i="19"/>
  <c r="G15" i="19" s="1"/>
  <c r="G108" i="19"/>
  <c r="G17" i="19" s="1"/>
  <c r="E110" i="3" s="1"/>
  <c r="G109" i="19"/>
  <c r="G19" i="19" s="1"/>
  <c r="G21" i="19" s="1"/>
  <c r="E302" i="3" s="1"/>
  <c r="G110" i="19"/>
  <c r="G27" i="19" s="1"/>
  <c r="E178" i="3" s="1"/>
  <c r="G111" i="19"/>
  <c r="G29" i="19"/>
  <c r="G118" i="19"/>
  <c r="G4" i="19"/>
  <c r="G77" i="19"/>
  <c r="G56" i="19"/>
  <c r="G5" i="19"/>
  <c r="G20" i="19"/>
  <c r="G49" i="19"/>
  <c r="G3" i="19" s="1"/>
  <c r="G32" i="13"/>
  <c r="G36" i="13"/>
  <c r="G19" i="13"/>
  <c r="E33" i="3" s="1"/>
  <c r="G25" i="13"/>
  <c r="G11" i="13"/>
  <c r="E13" i="2" s="1"/>
  <c r="O13" i="2" s="1"/>
  <c r="G202" i="13"/>
  <c r="G169" i="13"/>
  <c r="G22" i="13" s="1"/>
  <c r="G10" i="13"/>
  <c r="E12" i="2" s="1"/>
  <c r="O12" i="2" s="1"/>
  <c r="G135" i="13"/>
  <c r="G21" i="13" s="1"/>
  <c r="G136" i="13"/>
  <c r="G35" i="13" s="1"/>
  <c r="G143" i="13"/>
  <c r="G9" i="13" s="1"/>
  <c r="E11" i="2" s="1"/>
  <c r="O11" i="2" s="1"/>
  <c r="G106" i="13"/>
  <c r="G17" i="13" s="1"/>
  <c r="E193" i="3" s="1"/>
  <c r="G107" i="13"/>
  <c r="G31" i="13" s="1"/>
  <c r="G114" i="13"/>
  <c r="G8" i="13" s="1"/>
  <c r="E10" i="2" s="1"/>
  <c r="O10" i="2" s="1"/>
  <c r="G26" i="13"/>
  <c r="G29" i="13"/>
  <c r="E346" i="3" s="1"/>
  <c r="G90" i="13"/>
  <c r="G7" i="13" s="1"/>
  <c r="G59" i="13"/>
  <c r="G4" i="13"/>
  <c r="G174" i="18"/>
  <c r="G13" i="18"/>
  <c r="G175" i="18"/>
  <c r="G17" i="18"/>
  <c r="G176" i="18"/>
  <c r="G21" i="18"/>
  <c r="G177" i="18"/>
  <c r="G26" i="18"/>
  <c r="E160" i="3"/>
  <c r="G137" i="18"/>
  <c r="G16" i="18"/>
  <c r="G144" i="18"/>
  <c r="G8" i="18"/>
  <c r="E250" i="2"/>
  <c r="O250" i="2" s="1"/>
  <c r="G115" i="18"/>
  <c r="G24" i="18"/>
  <c r="E312" i="3"/>
  <c r="G123" i="18"/>
  <c r="G7" i="18"/>
  <c r="G12" i="18"/>
  <c r="G14" i="18"/>
  <c r="G88" i="18"/>
  <c r="G6" i="18"/>
  <c r="E248" i="2"/>
  <c r="G74" i="18"/>
  <c r="G20" i="18"/>
  <c r="G22" i="18"/>
  <c r="E89" i="3"/>
  <c r="G65" i="18"/>
  <c r="G5" i="18"/>
  <c r="E247" i="2"/>
  <c r="G3" i="15"/>
  <c r="G7" i="15"/>
  <c r="E412" i="3"/>
  <c r="G9" i="15"/>
  <c r="E470" i="3"/>
  <c r="G11" i="15"/>
  <c r="E403" i="3"/>
  <c r="G5" i="17"/>
  <c r="E347" i="3"/>
  <c r="E273" i="3"/>
  <c r="E67" i="3"/>
  <c r="E24" i="3"/>
  <c r="G3" i="12"/>
  <c r="G8" i="12"/>
  <c r="E100" i="3"/>
  <c r="G10" i="12"/>
  <c r="E61" i="3"/>
  <c r="G12" i="12"/>
  <c r="G7" i="14"/>
  <c r="G3" i="14"/>
  <c r="G8" i="14"/>
  <c r="G11" i="14"/>
  <c r="E20" i="3"/>
  <c r="E128" i="2"/>
  <c r="O128" i="2" s="1"/>
  <c r="E466" i="3"/>
  <c r="G9" i="11"/>
  <c r="G11" i="11" s="1"/>
  <c r="E450" i="3"/>
  <c r="G3" i="11"/>
  <c r="G7" i="11"/>
  <c r="E500" i="3"/>
  <c r="G10" i="11"/>
  <c r="G13" i="11"/>
  <c r="E226" i="3"/>
  <c r="G239" i="9"/>
  <c r="G20" i="9"/>
  <c r="G21" i="9"/>
  <c r="G240" i="9"/>
  <c r="G24" i="9"/>
  <c r="G241" i="9"/>
  <c r="G30" i="9"/>
  <c r="G242" i="9"/>
  <c r="G45" i="9"/>
  <c r="G204" i="9"/>
  <c r="G23" i="9"/>
  <c r="G205" i="9"/>
  <c r="G41" i="9"/>
  <c r="G212" i="9"/>
  <c r="G8" i="9"/>
  <c r="E244" i="2"/>
  <c r="O244" i="2" s="1"/>
  <c r="G170" i="9"/>
  <c r="G27" i="9"/>
  <c r="E48" i="3"/>
  <c r="G171" i="9"/>
  <c r="G34" i="9"/>
  <c r="G172" i="9"/>
  <c r="G44" i="9"/>
  <c r="G46" i="9"/>
  <c r="E104" i="3"/>
  <c r="G179" i="9"/>
  <c r="G7" i="9"/>
  <c r="G131" i="9"/>
  <c r="G40" i="9"/>
  <c r="G138" i="9"/>
  <c r="G6" i="9"/>
  <c r="G105" i="9"/>
  <c r="G29" i="9"/>
  <c r="G31" i="9"/>
  <c r="E256" i="3"/>
  <c r="G106" i="9"/>
  <c r="G33" i="9"/>
  <c r="G113" i="9"/>
  <c r="G5" i="9"/>
  <c r="G79" i="9"/>
  <c r="G19" i="9"/>
  <c r="G80" i="9"/>
  <c r="G39" i="9"/>
  <c r="G87" i="9"/>
  <c r="G4" i="9"/>
  <c r="G59" i="9"/>
  <c r="G3" i="9"/>
  <c r="G5" i="21"/>
  <c r="G9" i="19"/>
  <c r="G10" i="19"/>
  <c r="G5" i="88"/>
  <c r="G13" i="88"/>
  <c r="E36" i="2"/>
  <c r="O36" i="2" s="1"/>
  <c r="E112" i="2"/>
  <c r="O112" i="2" s="1"/>
  <c r="G15" i="88"/>
  <c r="E240" i="2"/>
  <c r="O240" i="2" s="1"/>
  <c r="G11" i="88"/>
  <c r="E154" i="2"/>
  <c r="O154" i="2" s="1"/>
  <c r="E158" i="2"/>
  <c r="O158" i="2" s="1"/>
  <c r="E157" i="2"/>
  <c r="O157" i="2" s="1"/>
  <c r="G13" i="21"/>
  <c r="G15" i="15"/>
  <c r="G13" i="15"/>
  <c r="G5" i="16"/>
  <c r="E147" i="2"/>
  <c r="O147" i="2" s="1"/>
  <c r="G5" i="11"/>
  <c r="E135" i="2"/>
  <c r="O135" i="2" s="1"/>
  <c r="G19" i="11"/>
  <c r="G17" i="14"/>
  <c r="G16" i="12"/>
  <c r="G5" i="14"/>
  <c r="E131" i="2"/>
  <c r="O131" i="2" s="1"/>
  <c r="G9" i="14"/>
  <c r="E86" i="3" s="1"/>
  <c r="G13" i="12"/>
  <c r="G14" i="12" s="1"/>
  <c r="G15" i="16"/>
  <c r="G17" i="16"/>
  <c r="G19" i="16"/>
  <c r="G5" i="15"/>
  <c r="E130" i="2"/>
  <c r="O130" i="2" s="1"/>
  <c r="G15" i="14"/>
  <c r="G6" i="12"/>
  <c r="E129" i="2"/>
  <c r="O129" i="2" s="1"/>
  <c r="E264" i="2"/>
  <c r="O264" i="2" s="1"/>
  <c r="E41" i="2"/>
  <c r="O41" i="2" s="1"/>
  <c r="E108" i="2"/>
  <c r="O108" i="2" s="1"/>
  <c r="E40" i="2"/>
  <c r="O40" i="2" s="1"/>
  <c r="E37" i="2"/>
  <c r="O37" i="2" s="1"/>
  <c r="G21" i="15"/>
  <c r="E187" i="2"/>
  <c r="G5" i="48"/>
  <c r="E166" i="2"/>
  <c r="O166" i="2" s="1"/>
  <c r="E273" i="2"/>
  <c r="O273" i="2" s="1"/>
  <c r="E272" i="2"/>
  <c r="O272" i="2" s="1"/>
  <c r="E242" i="2"/>
  <c r="O242" i="2" s="1"/>
  <c r="G14" i="9"/>
  <c r="E75" i="2"/>
  <c r="O75" i="2" s="1"/>
  <c r="E70" i="2"/>
  <c r="O70" i="2" s="1"/>
  <c r="E103" i="2"/>
  <c r="O103" i="2" s="1"/>
  <c r="G13" i="86"/>
  <c r="G17" i="73"/>
  <c r="G5" i="73"/>
  <c r="E119" i="2"/>
  <c r="O119" i="2" s="1"/>
  <c r="G15" i="73"/>
  <c r="G31" i="19"/>
  <c r="E405" i="3" s="1"/>
  <c r="E186" i="2"/>
  <c r="O186" i="2" s="1"/>
  <c r="G5" i="86"/>
  <c r="G15" i="86"/>
  <c r="G11" i="86"/>
  <c r="G13" i="73"/>
  <c r="G11" i="16"/>
  <c r="G13" i="16" s="1"/>
  <c r="G21" i="16"/>
  <c r="G24" i="26"/>
  <c r="E245" i="3"/>
  <c r="G7" i="21"/>
  <c r="G9" i="21" s="1"/>
  <c r="G35" i="19"/>
  <c r="E353" i="3"/>
  <c r="G13" i="14"/>
  <c r="G18" i="12"/>
  <c r="G5" i="12"/>
  <c r="G16" i="9"/>
  <c r="G162" i="7"/>
  <c r="G15" i="7" s="1"/>
  <c r="G163" i="7"/>
  <c r="G17" i="7"/>
  <c r="G19" i="7" s="1"/>
  <c r="E440" i="3" s="1"/>
  <c r="G131" i="7"/>
  <c r="G18" i="7"/>
  <c r="G132" i="7"/>
  <c r="G22" i="7"/>
  <c r="G133" i="7"/>
  <c r="G26" i="7" s="1"/>
  <c r="G134" i="7"/>
  <c r="G29" i="7"/>
  <c r="E95" i="3" s="1"/>
  <c r="G141" i="7"/>
  <c r="G5" i="7"/>
  <c r="G120" i="7"/>
  <c r="G103" i="7"/>
  <c r="G96" i="7"/>
  <c r="G85" i="7"/>
  <c r="G25" i="7"/>
  <c r="G27" i="7" s="1"/>
  <c r="E13" i="3" s="1"/>
  <c r="G92" i="7"/>
  <c r="G4" i="7" s="1"/>
  <c r="G61" i="7"/>
  <c r="G58" i="7"/>
  <c r="G55" i="7"/>
  <c r="G50" i="7"/>
  <c r="G13" i="7"/>
  <c r="E348" i="3"/>
  <c r="G21" i="7"/>
  <c r="G43" i="7"/>
  <c r="G3" i="7" s="1"/>
  <c r="G3" i="6"/>
  <c r="G7" i="6"/>
  <c r="G9" i="6"/>
  <c r="E355" i="3"/>
  <c r="G3" i="5"/>
  <c r="G7" i="5"/>
  <c r="E118" i="3"/>
  <c r="G9" i="5"/>
  <c r="E186" i="3"/>
  <c r="G11" i="5"/>
  <c r="E116" i="3"/>
  <c r="G15" i="6"/>
  <c r="G13" i="6"/>
  <c r="E521" i="3"/>
  <c r="E6" i="2"/>
  <c r="O6" i="2" s="1"/>
  <c r="G5" i="5"/>
  <c r="E127" i="2"/>
  <c r="G5" i="6"/>
  <c r="E331" i="2"/>
  <c r="G23" i="7"/>
  <c r="E27" i="3" s="1"/>
  <c r="G10" i="7"/>
  <c r="G11" i="6"/>
  <c r="G3" i="4"/>
  <c r="G7" i="4"/>
  <c r="E174" i="3"/>
  <c r="G9" i="4"/>
  <c r="G11" i="8"/>
  <c r="G13" i="8" s="1"/>
  <c r="G3" i="8"/>
  <c r="G7" i="8"/>
  <c r="G13" i="4"/>
  <c r="G9" i="8"/>
  <c r="E238" i="3"/>
  <c r="G12" i="8"/>
  <c r="G10" i="4"/>
  <c r="G11" i="4" s="1"/>
  <c r="E367" i="3" s="1"/>
  <c r="G5" i="8"/>
  <c r="G15" i="4"/>
  <c r="E140" i="2"/>
  <c r="O140" i="2" s="1"/>
  <c r="G17" i="8"/>
  <c r="E60" i="3"/>
  <c r="G15" i="8"/>
  <c r="G17" i="4"/>
  <c r="G5" i="4"/>
  <c r="E126" i="2"/>
  <c r="O126" i="2" s="1"/>
  <c r="D165" i="27"/>
  <c r="E165" i="27"/>
  <c r="E29" i="27" s="1"/>
  <c r="D166" i="27"/>
  <c r="E166" i="27"/>
  <c r="F166" i="27"/>
  <c r="F165" i="27"/>
  <c r="F29" i="27" s="1"/>
  <c r="F31" i="27" s="1"/>
  <c r="D50" i="3" s="1"/>
  <c r="E128" i="27"/>
  <c r="F128" i="27"/>
  <c r="D128" i="27"/>
  <c r="D8" i="27" s="1"/>
  <c r="B341" i="2" s="1"/>
  <c r="L341" i="2" s="1"/>
  <c r="E145" i="27"/>
  <c r="F145" i="27"/>
  <c r="D145" i="27"/>
  <c r="F122" i="66"/>
  <c r="F29" i="66" s="1"/>
  <c r="D477" i="3" s="1"/>
  <c r="D120" i="82"/>
  <c r="E120" i="82"/>
  <c r="D114" i="82"/>
  <c r="E114" i="82"/>
  <c r="D90" i="82"/>
  <c r="E90" i="82"/>
  <c r="D78" i="82"/>
  <c r="E78" i="82"/>
  <c r="D74" i="82"/>
  <c r="E74" i="82"/>
  <c r="D71" i="82"/>
  <c r="E71" i="82"/>
  <c r="E4" i="82"/>
  <c r="F46" i="82"/>
  <c r="F120" i="82"/>
  <c r="F43" i="82" s="1"/>
  <c r="F40" i="82"/>
  <c r="D531" i="3" s="1"/>
  <c r="F114" i="82"/>
  <c r="F90" i="82"/>
  <c r="F78" i="82"/>
  <c r="F74" i="82"/>
  <c r="F71" i="82"/>
  <c r="F4" i="82"/>
  <c r="D185" i="74"/>
  <c r="E185" i="74"/>
  <c r="D223" i="74"/>
  <c r="E223" i="74"/>
  <c r="F223" i="74"/>
  <c r="F185" i="74"/>
  <c r="E558" i="3"/>
  <c r="O136" i="2"/>
  <c r="O84" i="2"/>
  <c r="O423" i="2"/>
  <c r="O153" i="2"/>
  <c r="O127" i="2"/>
  <c r="O337" i="2"/>
  <c r="O334" i="2"/>
  <c r="O460" i="2"/>
  <c r="O139" i="2"/>
  <c r="O196" i="2"/>
  <c r="O86" i="2"/>
  <c r="O83" i="2"/>
  <c r="O205" i="2"/>
  <c r="O156" i="2"/>
  <c r="O132" i="2"/>
  <c r="F112" i="70"/>
  <c r="F24" i="70" s="1"/>
  <c r="E112" i="70"/>
  <c r="D112" i="70"/>
  <c r="F111" i="70"/>
  <c r="F13" i="70"/>
  <c r="F15" i="70" s="1"/>
  <c r="E111" i="70"/>
  <c r="D111" i="70"/>
  <c r="F104" i="70"/>
  <c r="E104" i="70"/>
  <c r="D104" i="70"/>
  <c r="F99" i="70"/>
  <c r="E99" i="70"/>
  <c r="D99" i="70"/>
  <c r="F82" i="70"/>
  <c r="F6" i="70"/>
  <c r="D374" i="2"/>
  <c r="N374" i="2" s="1"/>
  <c r="E82" i="70"/>
  <c r="E6" i="70"/>
  <c r="D82" i="70"/>
  <c r="D6" i="70"/>
  <c r="B374" i="2" s="1"/>
  <c r="L374" i="2" s="1"/>
  <c r="D221" i="70"/>
  <c r="E118" i="19"/>
  <c r="F163" i="30"/>
  <c r="D208" i="30"/>
  <c r="E208" i="30"/>
  <c r="D209" i="30"/>
  <c r="E209" i="30"/>
  <c r="D210" i="30"/>
  <c r="E210" i="30"/>
  <c r="F210" i="30"/>
  <c r="F209" i="30"/>
  <c r="F208" i="30"/>
  <c r="F221" i="70"/>
  <c r="F14" i="70"/>
  <c r="F196" i="70"/>
  <c r="F21" i="70" s="1"/>
  <c r="D25" i="3" s="1"/>
  <c r="F203" i="70"/>
  <c r="F9" i="70"/>
  <c r="D377" i="2" s="1"/>
  <c r="N377" i="2" s="1"/>
  <c r="F160" i="70"/>
  <c r="F18" i="70"/>
  <c r="F161" i="70"/>
  <c r="F27" i="70" s="1"/>
  <c r="D65" i="3" s="1"/>
  <c r="F168" i="70"/>
  <c r="F8" i="70"/>
  <c r="D376" i="2" s="1"/>
  <c r="N376" i="2" s="1"/>
  <c r="F119" i="70"/>
  <c r="F7" i="70"/>
  <c r="D375" i="2" s="1"/>
  <c r="N375" i="2" s="1"/>
  <c r="F74" i="70"/>
  <c r="F17" i="70"/>
  <c r="F19" i="70"/>
  <c r="D40" i="3" s="1"/>
  <c r="F75" i="70"/>
  <c r="F23" i="70"/>
  <c r="F25" i="70" s="1"/>
  <c r="D57" i="3" s="1"/>
  <c r="F38" i="70"/>
  <c r="F5" i="70" s="1"/>
  <c r="D85" i="7"/>
  <c r="E85" i="7"/>
  <c r="F85" i="7"/>
  <c r="F17" i="60"/>
  <c r="D429" i="3"/>
  <c r="F20" i="60"/>
  <c r="F11" i="60"/>
  <c r="D417" i="3"/>
  <c r="F13" i="60"/>
  <c r="D81" i="3"/>
  <c r="F15" i="60"/>
  <c r="D109" i="3"/>
  <c r="F19" i="60"/>
  <c r="F4" i="60"/>
  <c r="F35" i="60"/>
  <c r="F3" i="60" s="1"/>
  <c r="F5" i="93"/>
  <c r="D413" i="2" s="1"/>
  <c r="N413" i="2" s="1"/>
  <c r="F3" i="76"/>
  <c r="F7" i="76"/>
  <c r="F9" i="76"/>
  <c r="D310" i="3"/>
  <c r="F5" i="76"/>
  <c r="F15" i="76"/>
  <c r="D331" i="3"/>
  <c r="F13" i="76"/>
  <c r="D276" i="2"/>
  <c r="N276" i="2" s="1"/>
  <c r="F11" i="76"/>
  <c r="F377" i="82"/>
  <c r="F54" i="82" s="1"/>
  <c r="F357" i="82"/>
  <c r="F37" i="82" s="1"/>
  <c r="F358" i="82"/>
  <c r="F50" i="82" s="1"/>
  <c r="F365" i="82"/>
  <c r="F14" i="82" s="1"/>
  <c r="D401" i="2" s="1"/>
  <c r="N401" i="2" s="1"/>
  <c r="F49" i="82"/>
  <c r="F328" i="82"/>
  <c r="F13" i="82" s="1"/>
  <c r="D400" i="2" s="1"/>
  <c r="N400" i="2" s="1"/>
  <c r="F283" i="82"/>
  <c r="F30" i="82" s="1"/>
  <c r="D227" i="3" s="1"/>
  <c r="F284" i="82"/>
  <c r="F32" i="82" s="1"/>
  <c r="F12" i="82"/>
  <c r="D399" i="2" s="1"/>
  <c r="N399" i="2" s="1"/>
  <c r="F28" i="82"/>
  <c r="D459" i="3" s="1"/>
  <c r="F36" i="82"/>
  <c r="F42" i="82"/>
  <c r="F48" i="82"/>
  <c r="F256" i="82"/>
  <c r="F11" i="82" s="1"/>
  <c r="D398" i="2" s="1"/>
  <c r="N398" i="2" s="1"/>
  <c r="F25" i="82"/>
  <c r="F10" i="82"/>
  <c r="D397" i="2" s="1"/>
  <c r="N397" i="2" s="1"/>
  <c r="F175" i="82"/>
  <c r="F20" i="82" s="1"/>
  <c r="D224" i="3" s="1"/>
  <c r="F176" i="82"/>
  <c r="F24" i="82" s="1"/>
  <c r="F26" i="82" s="1"/>
  <c r="D233" i="3" s="1"/>
  <c r="F9" i="82"/>
  <c r="F145" i="82"/>
  <c r="F22" i="82" s="1"/>
  <c r="D217" i="3" s="1"/>
  <c r="F152" i="82"/>
  <c r="F8" i="82" s="1"/>
  <c r="D395" i="2" s="1"/>
  <c r="N395" i="2" s="1"/>
  <c r="F128" i="82"/>
  <c r="F7" i="82" s="1"/>
  <c r="F53" i="87"/>
  <c r="F345" i="87"/>
  <c r="F31" i="87" s="1"/>
  <c r="F346" i="87"/>
  <c r="F44" i="87" s="1"/>
  <c r="D139" i="3" s="1"/>
  <c r="F15" i="87"/>
  <c r="F306" i="87"/>
  <c r="F20" i="87" s="1"/>
  <c r="F314" i="87"/>
  <c r="F14" i="87" s="1"/>
  <c r="D314" i="2" s="1"/>
  <c r="N314" i="2" s="1"/>
  <c r="F277" i="87"/>
  <c r="F49" i="87" s="1"/>
  <c r="F284" i="87"/>
  <c r="F13" i="87" s="1"/>
  <c r="D313" i="2" s="1"/>
  <c r="N313" i="2" s="1"/>
  <c r="F252" i="87"/>
  <c r="F46" i="87" s="1"/>
  <c r="D279" i="3" s="1"/>
  <c r="F259" i="87"/>
  <c r="F12" i="87" s="1"/>
  <c r="D312" i="2" s="1"/>
  <c r="N312" i="2" s="1"/>
  <c r="F41" i="87"/>
  <c r="F237" i="87"/>
  <c r="F11" i="87" s="1"/>
  <c r="D311" i="2" s="1"/>
  <c r="N311" i="2" s="1"/>
  <c r="F205" i="87"/>
  <c r="F19" i="87"/>
  <c r="F206" i="87"/>
  <c r="F25" i="87" s="1"/>
  <c r="F207" i="87"/>
  <c r="F38" i="87" s="1"/>
  <c r="D249" i="3" s="1"/>
  <c r="F214" i="87"/>
  <c r="F10" i="87"/>
  <c r="D310" i="2" s="1"/>
  <c r="N310" i="2" s="1"/>
  <c r="F176" i="87"/>
  <c r="F24" i="87" s="1"/>
  <c r="F177" i="87"/>
  <c r="F35" i="87" s="1"/>
  <c r="F184" i="87"/>
  <c r="F9" i="87" s="1"/>
  <c r="D309" i="2" s="1"/>
  <c r="N309" i="2" s="1"/>
  <c r="F143" i="87"/>
  <c r="F30" i="87" s="1"/>
  <c r="F32" i="87" s="1"/>
  <c r="D248" i="3" s="1"/>
  <c r="F144" i="87"/>
  <c r="F34" i="87" s="1"/>
  <c r="F36" i="87" s="1"/>
  <c r="D225" i="3" s="1"/>
  <c r="F145" i="87"/>
  <c r="F48" i="87" s="1"/>
  <c r="F146" i="87"/>
  <c r="F52" i="87" s="1"/>
  <c r="F153" i="87"/>
  <c r="F8" i="87" s="1"/>
  <c r="D308" i="2" s="1"/>
  <c r="N308" i="2" s="1"/>
  <c r="F112" i="87"/>
  <c r="F23" i="87" s="1"/>
  <c r="F119" i="87"/>
  <c r="F7" i="87" s="1"/>
  <c r="D307" i="2" s="1"/>
  <c r="N307" i="2" s="1"/>
  <c r="F28" i="87"/>
  <c r="D99" i="3" s="1"/>
  <c r="F40" i="87"/>
  <c r="F97" i="87"/>
  <c r="F6" i="87" s="1"/>
  <c r="D306" i="2" s="1"/>
  <c r="N306" i="2" s="1"/>
  <c r="F5" i="87"/>
  <c r="D305" i="2" s="1"/>
  <c r="N305" i="2" s="1"/>
  <c r="F33" i="32"/>
  <c r="D237" i="3" s="1"/>
  <c r="F15" i="32"/>
  <c r="F31" i="32"/>
  <c r="D320" i="3"/>
  <c r="F9" i="32"/>
  <c r="D410" i="2" s="1"/>
  <c r="N410" i="2" s="1"/>
  <c r="F155" i="32"/>
  <c r="F8" i="32"/>
  <c r="D409" i="2" s="1"/>
  <c r="N409" i="2" s="1"/>
  <c r="F172" i="32"/>
  <c r="F148" i="32"/>
  <c r="F14" i="32"/>
  <c r="F109" i="32"/>
  <c r="F90" i="32"/>
  <c r="F20" i="32" s="1"/>
  <c r="F91" i="32"/>
  <c r="F24" i="32" s="1"/>
  <c r="F92" i="32"/>
  <c r="F27" i="32" s="1"/>
  <c r="F63" i="32"/>
  <c r="F19" i="32" s="1"/>
  <c r="F64" i="32"/>
  <c r="F23" i="32" s="1"/>
  <c r="F71" i="32"/>
  <c r="F6" i="32" s="1"/>
  <c r="F44" i="32"/>
  <c r="F5" i="32" s="1"/>
  <c r="D406" i="2" s="1"/>
  <c r="N406" i="2" s="1"/>
  <c r="F257" i="94"/>
  <c r="F28" i="94" s="1"/>
  <c r="F29" i="94" s="1"/>
  <c r="D195" i="3" s="1"/>
  <c r="F258" i="94"/>
  <c r="F38" i="94" s="1"/>
  <c r="F39" i="94" s="1"/>
  <c r="D140" i="3" s="1"/>
  <c r="F233" i="94"/>
  <c r="F18" i="94" s="1"/>
  <c r="F234" i="94"/>
  <c r="F32" i="94" s="1"/>
  <c r="F235" i="94"/>
  <c r="F35" i="94" s="1"/>
  <c r="D32" i="3" s="1"/>
  <c r="F242" i="94"/>
  <c r="F11" i="94"/>
  <c r="F196" i="94"/>
  <c r="F17" i="94" s="1"/>
  <c r="F197" i="94"/>
  <c r="F31" i="94" s="1"/>
  <c r="F33" i="94" s="1"/>
  <c r="D44" i="3" s="1"/>
  <c r="F205" i="94"/>
  <c r="F10" i="94" s="1"/>
  <c r="D323" i="2" s="1"/>
  <c r="N323" i="2" s="1"/>
  <c r="F165" i="94"/>
  <c r="F25" i="94" s="1"/>
  <c r="D261" i="3" s="1"/>
  <c r="F172" i="94"/>
  <c r="F9" i="94" s="1"/>
  <c r="F140" i="94"/>
  <c r="F16" i="94"/>
  <c r="F141" i="94"/>
  <c r="F23" i="94" s="1"/>
  <c r="D31" i="3" s="1"/>
  <c r="F148" i="94"/>
  <c r="F8" i="94"/>
  <c r="F15" i="94"/>
  <c r="F21" i="94"/>
  <c r="F37" i="94"/>
  <c r="F109" i="94"/>
  <c r="F7" i="94"/>
  <c r="D320" i="2"/>
  <c r="N320" i="2" s="1"/>
  <c r="F66" i="94"/>
  <c r="F27" i="94"/>
  <c r="F6" i="94"/>
  <c r="F50" i="94"/>
  <c r="F5" i="94"/>
  <c r="D318" i="2"/>
  <c r="N318" i="2" s="1"/>
  <c r="F213" i="96"/>
  <c r="F28" i="96"/>
  <c r="F190" i="96"/>
  <c r="F16" i="96"/>
  <c r="D164" i="3"/>
  <c r="F191" i="96"/>
  <c r="F19" i="96"/>
  <c r="F192" i="96"/>
  <c r="F23" i="96"/>
  <c r="F24" i="96"/>
  <c r="D213" i="3"/>
  <c r="F199" i="96"/>
  <c r="F10" i="96"/>
  <c r="F149" i="96"/>
  <c r="F26" i="96"/>
  <c r="D252" i="3"/>
  <c r="F156" i="96"/>
  <c r="F9" i="96"/>
  <c r="D426" i="2"/>
  <c r="N426" i="2" s="1"/>
  <c r="F125" i="96"/>
  <c r="F18" i="96"/>
  <c r="F20" i="96"/>
  <c r="D489" i="3"/>
  <c r="F132" i="96"/>
  <c r="F8" i="96"/>
  <c r="D425" i="2"/>
  <c r="N425" i="2" s="1"/>
  <c r="F104" i="96"/>
  <c r="F22" i="96"/>
  <c r="F111" i="96"/>
  <c r="F7" i="96"/>
  <c r="D424" i="2"/>
  <c r="N424" i="2" s="1"/>
  <c r="F73" i="96"/>
  <c r="F14" i="96"/>
  <c r="D274" i="3"/>
  <c r="F80" i="96"/>
  <c r="F6" i="96"/>
  <c r="F41" i="96"/>
  <c r="F5" i="96"/>
  <c r="D422" i="2"/>
  <c r="D423" i="2"/>
  <c r="D324" i="2"/>
  <c r="N324" i="2" s="1"/>
  <c r="D321" i="2"/>
  <c r="N321" i="2" s="1"/>
  <c r="F271" i="33"/>
  <c r="F13" i="33"/>
  <c r="D359" i="2"/>
  <c r="N359" i="2" s="1"/>
  <c r="F46" i="33"/>
  <c r="D121" i="3"/>
  <c r="F12" i="33"/>
  <c r="D358" i="2"/>
  <c r="N358" i="2" s="1"/>
  <c r="F41" i="33"/>
  <c r="F32" i="33"/>
  <c r="F11" i="33"/>
  <c r="D357" i="2"/>
  <c r="F196" i="33"/>
  <c r="F36" i="33"/>
  <c r="F175" i="33"/>
  <c r="F10" i="33"/>
  <c r="D356" i="2"/>
  <c r="N356" i="2" s="1"/>
  <c r="F35" i="33"/>
  <c r="F30" i="33"/>
  <c r="F27" i="33"/>
  <c r="F9" i="33"/>
  <c r="F133" i="33"/>
  <c r="F120" i="33"/>
  <c r="F23" i="33"/>
  <c r="F5" i="33"/>
  <c r="F80" i="33"/>
  <c r="F79" i="33"/>
  <c r="F20" i="33"/>
  <c r="D220" i="3"/>
  <c r="F204" i="25"/>
  <c r="F172" i="25"/>
  <c r="F165" i="25"/>
  <c r="F138" i="25"/>
  <c r="F131" i="25"/>
  <c r="F130" i="25"/>
  <c r="F106" i="25"/>
  <c r="F99" i="25"/>
  <c r="F84" i="25"/>
  <c r="F77" i="25"/>
  <c r="F76" i="25"/>
  <c r="F75" i="25"/>
  <c r="F218" i="28"/>
  <c r="F30" i="28"/>
  <c r="F22" i="28"/>
  <c r="D39" i="3" s="1"/>
  <c r="F9" i="28"/>
  <c r="D369" i="2" s="1"/>
  <c r="N369" i="2" s="1"/>
  <c r="F20" i="28"/>
  <c r="F142" i="28"/>
  <c r="F16" i="28" s="1"/>
  <c r="F113" i="28"/>
  <c r="F65" i="28"/>
  <c r="F64" i="28"/>
  <c r="F14" i="28" s="1"/>
  <c r="D150" i="3" s="1"/>
  <c r="F188" i="66"/>
  <c r="F181" i="66"/>
  <c r="F180" i="66"/>
  <c r="F179" i="66"/>
  <c r="F155" i="66"/>
  <c r="F148" i="66"/>
  <c r="F147" i="66"/>
  <c r="F129" i="66"/>
  <c r="F121" i="66"/>
  <c r="F120" i="66"/>
  <c r="F25" i="66" s="1"/>
  <c r="D508" i="3" s="1"/>
  <c r="F119" i="66"/>
  <c r="F118" i="66"/>
  <c r="F86" i="66"/>
  <c r="F6" i="66" s="1"/>
  <c r="D229" i="2" s="1"/>
  <c r="N229" i="2" s="1"/>
  <c r="F33" i="66"/>
  <c r="F21" i="66"/>
  <c r="F179" i="75"/>
  <c r="F27" i="75"/>
  <c r="F23" i="75"/>
  <c r="F8" i="75"/>
  <c r="D301" i="2"/>
  <c r="N301" i="2" s="1"/>
  <c r="F26" i="75"/>
  <c r="F16" i="75"/>
  <c r="F7" i="75"/>
  <c r="F100" i="75"/>
  <c r="F99" i="75"/>
  <c r="F73" i="75"/>
  <c r="F6" i="75" s="1"/>
  <c r="D299" i="2" s="1"/>
  <c r="N299" i="2" s="1"/>
  <c r="F21" i="75"/>
  <c r="F24" i="75" s="1"/>
  <c r="D206" i="3" s="1"/>
  <c r="F15" i="75"/>
  <c r="F17" i="75" s="1"/>
  <c r="D231" i="3" s="1"/>
  <c r="F13" i="75"/>
  <c r="F137" i="61"/>
  <c r="F111" i="61"/>
  <c r="F92" i="61"/>
  <c r="F75" i="61"/>
  <c r="F71" i="61"/>
  <c r="F61" i="61"/>
  <c r="F41" i="61"/>
  <c r="F143" i="61"/>
  <c r="F7" i="61" s="1"/>
  <c r="F144" i="61"/>
  <c r="F9" i="61" s="1"/>
  <c r="D351" i="3" s="1"/>
  <c r="F145" i="61"/>
  <c r="F11" i="61" s="1"/>
  <c r="D345" i="3" s="1"/>
  <c r="F146" i="61"/>
  <c r="F13" i="61" s="1"/>
  <c r="D294" i="3" s="1"/>
  <c r="F147" i="61"/>
  <c r="F15" i="61" s="1"/>
  <c r="D167" i="3" s="1"/>
  <c r="F28" i="61"/>
  <c r="F3" i="61" s="1"/>
  <c r="F208" i="75"/>
  <c r="F30" i="75" s="1"/>
  <c r="D68" i="3" s="1"/>
  <c r="F22" i="75"/>
  <c r="F19" i="75"/>
  <c r="D262" i="3" s="1"/>
  <c r="F5" i="75"/>
  <c r="F9" i="75"/>
  <c r="D302" i="2" s="1"/>
  <c r="N302" i="2" s="1"/>
  <c r="D373" i="38"/>
  <c r="E373" i="38"/>
  <c r="E32" i="38" s="1"/>
  <c r="F373" i="38"/>
  <c r="F32" i="38" s="1"/>
  <c r="D375" i="38"/>
  <c r="D45" i="38" s="1"/>
  <c r="E375" i="38"/>
  <c r="E45" i="38" s="1"/>
  <c r="F375" i="38"/>
  <c r="F45" i="38" s="1"/>
  <c r="E337" i="38"/>
  <c r="F337" i="38"/>
  <c r="F14" i="38" s="1"/>
  <c r="D24" i="2" s="1"/>
  <c r="N24" i="2" s="1"/>
  <c r="D337" i="38"/>
  <c r="D14" i="38" s="1"/>
  <c r="B24" i="2" s="1"/>
  <c r="L24" i="2" s="1"/>
  <c r="E349" i="38"/>
  <c r="F349" i="38"/>
  <c r="D349" i="38"/>
  <c r="F185" i="19"/>
  <c r="F184" i="19"/>
  <c r="F183" i="19"/>
  <c r="E13" i="7"/>
  <c r="D13" i="7"/>
  <c r="F13" i="7"/>
  <c r="D348" i="3"/>
  <c r="D43" i="7"/>
  <c r="E43" i="7"/>
  <c r="E3" i="7" s="1"/>
  <c r="F43" i="7"/>
  <c r="F55" i="7"/>
  <c r="E55" i="7"/>
  <c r="D55" i="7"/>
  <c r="F284" i="84"/>
  <c r="F31" i="84" s="1"/>
  <c r="F285" i="84"/>
  <c r="F34" i="84" s="1"/>
  <c r="D82" i="3" s="1"/>
  <c r="F21" i="84"/>
  <c r="F30" i="84"/>
  <c r="F259" i="84"/>
  <c r="F11" i="84" s="1"/>
  <c r="D62" i="2" s="1"/>
  <c r="N62" i="2" s="1"/>
  <c r="F208" i="84"/>
  <c r="F16" i="84" s="1"/>
  <c r="F209" i="84"/>
  <c r="F27" i="84" s="1"/>
  <c r="F210" i="84"/>
  <c r="F37" i="84" s="1"/>
  <c r="F10" i="84"/>
  <c r="F167" i="84"/>
  <c r="F15" i="84" s="1"/>
  <c r="F17" i="84" s="1"/>
  <c r="F168" i="84"/>
  <c r="F20" i="84" s="1"/>
  <c r="F175" i="84"/>
  <c r="F9" i="84" s="1"/>
  <c r="D60" i="2" s="1"/>
  <c r="N60" i="2" s="1"/>
  <c r="F127" i="84"/>
  <c r="F19" i="84" s="1"/>
  <c r="F128" i="84"/>
  <c r="F24" i="84" s="1"/>
  <c r="D234" i="3" s="1"/>
  <c r="F135" i="84"/>
  <c r="F8" i="84" s="1"/>
  <c r="D59" i="2" s="1"/>
  <c r="N59" i="2" s="1"/>
  <c r="F102" i="84"/>
  <c r="F36" i="84" s="1"/>
  <c r="F109" i="84"/>
  <c r="F7" i="84" s="1"/>
  <c r="D58" i="2" s="1"/>
  <c r="N58" i="2" s="1"/>
  <c r="F78" i="84"/>
  <c r="F26" i="84" s="1"/>
  <c r="F28" i="84" s="1"/>
  <c r="D175" i="3" s="1"/>
  <c r="F86" i="84"/>
  <c r="F6" i="84" s="1"/>
  <c r="D57" i="2" s="1"/>
  <c r="F49" i="84"/>
  <c r="F5" i="84" s="1"/>
  <c r="F92" i="7"/>
  <c r="E92" i="7"/>
  <c r="D92" i="7"/>
  <c r="F396" i="93"/>
  <c r="F67" i="93" s="1"/>
  <c r="D519" i="3" s="1"/>
  <c r="F397" i="93"/>
  <c r="F70" i="93" s="1"/>
  <c r="F398" i="93"/>
  <c r="F73" i="93" s="1"/>
  <c r="D527" i="3" s="1"/>
  <c r="F365" i="93"/>
  <c r="F15" i="93" s="1"/>
  <c r="D525" i="3" s="1"/>
  <c r="F366" i="93"/>
  <c r="F57" i="93" s="1"/>
  <c r="D435" i="3" s="1"/>
  <c r="F367" i="93"/>
  <c r="F59" i="93" s="1"/>
  <c r="D432" i="3" s="1"/>
  <c r="F374" i="93"/>
  <c r="F11" i="93" s="1"/>
  <c r="D419" i="2" s="1"/>
  <c r="N419" i="2" s="1"/>
  <c r="F335" i="93"/>
  <c r="F49" i="93" s="1"/>
  <c r="D56" i="3" s="1"/>
  <c r="F336" i="93"/>
  <c r="F51" i="93" s="1"/>
  <c r="D146" i="3" s="1"/>
  <c r="F343" i="93"/>
  <c r="F10" i="93" s="1"/>
  <c r="D418" i="2" s="1"/>
  <c r="N418" i="2" s="1"/>
  <c r="F306" i="93"/>
  <c r="F46" i="93" s="1"/>
  <c r="F307" i="93"/>
  <c r="F61" i="93" s="1"/>
  <c r="D491" i="3" s="1"/>
  <c r="F308" i="93"/>
  <c r="F63" i="93" s="1"/>
  <c r="D481" i="3" s="1"/>
  <c r="F309" i="93"/>
  <c r="F65" i="93" s="1"/>
  <c r="D448" i="3" s="1"/>
  <c r="F316" i="93"/>
  <c r="F9" i="93" s="1"/>
  <c r="D417" i="2" s="1"/>
  <c r="N417" i="2" s="1"/>
  <c r="F269" i="93"/>
  <c r="F41" i="93" s="1"/>
  <c r="D512" i="3" s="1"/>
  <c r="F270" i="93"/>
  <c r="F43" i="93" s="1"/>
  <c r="D520" i="3" s="1"/>
  <c r="F271" i="93"/>
  <c r="F45" i="93" s="1"/>
  <c r="F272" i="93"/>
  <c r="F53" i="93" s="1"/>
  <c r="D366" i="3" s="1"/>
  <c r="F273" i="93"/>
  <c r="F69" i="93" s="1"/>
  <c r="F280" i="93"/>
  <c r="F8" i="93" s="1"/>
  <c r="D416" i="2" s="1"/>
  <c r="F234" i="93"/>
  <c r="F35" i="93" s="1"/>
  <c r="D198" i="3" s="1"/>
  <c r="F235" i="93"/>
  <c r="F37" i="93" s="1"/>
  <c r="D239" i="3" s="1"/>
  <c r="F236" i="93"/>
  <c r="F39" i="93" s="1"/>
  <c r="D436" i="3" s="1"/>
  <c r="F243" i="93"/>
  <c r="F7" i="93" s="1"/>
  <c r="D415" i="2" s="1"/>
  <c r="N415" i="2" s="1"/>
  <c r="F17" i="93"/>
  <c r="F19" i="93"/>
  <c r="D488" i="3" s="1"/>
  <c r="F21" i="93"/>
  <c r="D159" i="3" s="1"/>
  <c r="F23" i="93"/>
  <c r="D187" i="3" s="1"/>
  <c r="F25" i="93"/>
  <c r="F27" i="93"/>
  <c r="D337" i="3" s="1"/>
  <c r="F29" i="93"/>
  <c r="D390" i="3" s="1"/>
  <c r="F31" i="93"/>
  <c r="D352" i="3" s="1"/>
  <c r="F33" i="93"/>
  <c r="D324" i="3" s="1"/>
  <c r="F55" i="93"/>
  <c r="D236" i="3" s="1"/>
  <c r="F214" i="93"/>
  <c r="F6" i="93" s="1"/>
  <c r="D414" i="2" s="1"/>
  <c r="N414" i="2" s="1"/>
  <c r="F120" i="7"/>
  <c r="F103" i="7"/>
  <c r="F96" i="7"/>
  <c r="F61" i="7"/>
  <c r="E61" i="7"/>
  <c r="D61" i="7"/>
  <c r="F58" i="7"/>
  <c r="E58" i="7"/>
  <c r="D58" i="7"/>
  <c r="F50" i="7"/>
  <c r="E50" i="7"/>
  <c r="D50" i="7"/>
  <c r="F74" i="18"/>
  <c r="F20" i="18"/>
  <c r="F65" i="18"/>
  <c r="F111" i="19"/>
  <c r="E111" i="19"/>
  <c r="D111" i="19"/>
  <c r="F110" i="19"/>
  <c r="E110" i="19"/>
  <c r="D110" i="19"/>
  <c r="F109" i="19"/>
  <c r="E109" i="19"/>
  <c r="D109" i="19"/>
  <c r="F108" i="19"/>
  <c r="E108" i="19"/>
  <c r="D108" i="19"/>
  <c r="F107" i="19"/>
  <c r="E107" i="19"/>
  <c r="D107" i="19"/>
  <c r="F77" i="19"/>
  <c r="E77" i="19"/>
  <c r="D77" i="19"/>
  <c r="F56" i="19"/>
  <c r="E56" i="19"/>
  <c r="D56" i="19"/>
  <c r="F49" i="19"/>
  <c r="E49" i="19"/>
  <c r="D49" i="19"/>
  <c r="F202" i="13"/>
  <c r="F59" i="13"/>
  <c r="F3" i="80"/>
  <c r="F7" i="80"/>
  <c r="F9" i="80"/>
  <c r="D461" i="3"/>
  <c r="F11" i="80"/>
  <c r="D475" i="3"/>
  <c r="D188" i="2"/>
  <c r="D28" i="3"/>
  <c r="F5" i="80"/>
  <c r="D334" i="2"/>
  <c r="N334" i="2" s="1"/>
  <c r="F15" i="80"/>
  <c r="D425" i="3"/>
  <c r="F17" i="80"/>
  <c r="F13" i="80"/>
  <c r="D168" i="3"/>
  <c r="F23" i="81"/>
  <c r="F30" i="81"/>
  <c r="D306" i="3" s="1"/>
  <c r="F32" i="81"/>
  <c r="D112" i="3" s="1"/>
  <c r="F34" i="81"/>
  <c r="D194" i="3" s="1"/>
  <c r="F36" i="81"/>
  <c r="F38" i="81"/>
  <c r="D365" i="3" s="1"/>
  <c r="F147" i="81"/>
  <c r="F26" i="81" s="1"/>
  <c r="D192" i="3" s="1"/>
  <c r="F148" i="81"/>
  <c r="F28" i="81" s="1"/>
  <c r="D503" i="3" s="1"/>
  <c r="F149" i="81"/>
  <c r="F41" i="81" s="1"/>
  <c r="F8" i="81"/>
  <c r="F16" i="81"/>
  <c r="D270" i="3" s="1"/>
  <c r="F20" i="81"/>
  <c r="D208" i="3" s="1"/>
  <c r="F124" i="81"/>
  <c r="F7" i="81" s="1"/>
  <c r="D453" i="2" s="1"/>
  <c r="N453" i="2" s="1"/>
  <c r="F76" i="81"/>
  <c r="F12" i="81" s="1"/>
  <c r="D490" i="3" s="1"/>
  <c r="F77" i="81"/>
  <c r="F14" i="81" s="1"/>
  <c r="D396" i="3" s="1"/>
  <c r="F78" i="81"/>
  <c r="F22" i="81" s="1"/>
  <c r="F79" i="81"/>
  <c r="F40" i="81" s="1"/>
  <c r="F6" i="81"/>
  <c r="D452" i="2" s="1"/>
  <c r="N452" i="2" s="1"/>
  <c r="F53" i="81"/>
  <c r="F5" i="81" s="1"/>
  <c r="D451" i="2" s="1"/>
  <c r="N451" i="2" s="1"/>
  <c r="F252" i="95"/>
  <c r="F31" i="95"/>
  <c r="D278" i="3"/>
  <c r="F253" i="95"/>
  <c r="F48" i="95"/>
  <c r="F254" i="95"/>
  <c r="F51" i="95"/>
  <c r="D54" i="3"/>
  <c r="F255" i="95"/>
  <c r="F215" i="95"/>
  <c r="F27" i="95"/>
  <c r="D119" i="3"/>
  <c r="F216" i="95"/>
  <c r="F37" i="95"/>
  <c r="D26" i="3"/>
  <c r="F217" i="95"/>
  <c r="F39" i="95"/>
  <c r="D471" i="3"/>
  <c r="F218" i="95"/>
  <c r="F219" i="95"/>
  <c r="F43" i="95"/>
  <c r="D517" i="3"/>
  <c r="F220" i="95"/>
  <c r="F45" i="95"/>
  <c r="D465" i="3"/>
  <c r="F221" i="95"/>
  <c r="F47" i="95"/>
  <c r="F222" i="95"/>
  <c r="F229" i="95"/>
  <c r="F9" i="95"/>
  <c r="D461" i="2"/>
  <c r="N461" i="2" s="1"/>
  <c r="F169" i="95"/>
  <c r="F13" i="95"/>
  <c r="D126" i="3"/>
  <c r="F23" i="95"/>
  <c r="D49" i="3"/>
  <c r="F25" i="95"/>
  <c r="D94" i="3"/>
  <c r="F33" i="95"/>
  <c r="D483" i="3"/>
  <c r="F180" i="95"/>
  <c r="F8" i="95"/>
  <c r="F133" i="95"/>
  <c r="F21" i="95"/>
  <c r="D132" i="3"/>
  <c r="F134" i="95"/>
  <c r="F29" i="95"/>
  <c r="D361" i="3"/>
  <c r="F7" i="95"/>
  <c r="F102" i="95"/>
  <c r="F15" i="95"/>
  <c r="D349" i="3"/>
  <c r="F103" i="95"/>
  <c r="F17" i="95"/>
  <c r="D418" i="3"/>
  <c r="F104" i="95"/>
  <c r="F19" i="95"/>
  <c r="D407" i="3"/>
  <c r="F105" i="95"/>
  <c r="F35" i="95"/>
  <c r="D338" i="3"/>
  <c r="F106" i="95"/>
  <c r="F55" i="95"/>
  <c r="D271" i="3"/>
  <c r="F114" i="95"/>
  <c r="F6" i="95"/>
  <c r="F99" i="95"/>
  <c r="F41" i="95"/>
  <c r="D410" i="3"/>
  <c r="F53" i="95"/>
  <c r="D344" i="3"/>
  <c r="F57" i="95"/>
  <c r="D381" i="3"/>
  <c r="F68" i="95"/>
  <c r="F5" i="95"/>
  <c r="F3" i="83"/>
  <c r="F7" i="83"/>
  <c r="D464" i="3"/>
  <c r="F9" i="83"/>
  <c r="D189" i="3"/>
  <c r="F222" i="89"/>
  <c r="F22" i="89" s="1"/>
  <c r="D419" i="3" s="1"/>
  <c r="F223" i="89"/>
  <c r="F38" i="89" s="1"/>
  <c r="D305" i="3" s="1"/>
  <c r="F224" i="89"/>
  <c r="F42" i="89" s="1"/>
  <c r="D445" i="3" s="1"/>
  <c r="F187" i="89"/>
  <c r="F25" i="89" s="1"/>
  <c r="F188" i="89"/>
  <c r="F36" i="89" s="1"/>
  <c r="F195" i="89"/>
  <c r="F9" i="89" s="1"/>
  <c r="D178" i="2" s="1"/>
  <c r="N178" i="2" s="1"/>
  <c r="F159" i="89"/>
  <c r="F34" i="89" s="1"/>
  <c r="D142" i="3" s="1"/>
  <c r="F160" i="89"/>
  <c r="F40" i="89" s="1"/>
  <c r="D161" i="3" s="1"/>
  <c r="F167" i="89"/>
  <c r="F8" i="89" s="1"/>
  <c r="F28" i="89"/>
  <c r="D536" i="3" s="1"/>
  <c r="F30" i="89"/>
  <c r="D528" i="3" s="1"/>
  <c r="F32" i="89"/>
  <c r="D439" i="3" s="1"/>
  <c r="F137" i="89"/>
  <c r="F7" i="89" s="1"/>
  <c r="D176" i="2" s="1"/>
  <c r="N176" i="2" s="1"/>
  <c r="F79" i="89"/>
  <c r="F14" i="89" s="1"/>
  <c r="D411" i="3" s="1"/>
  <c r="F80" i="89"/>
  <c r="F16" i="89" s="1"/>
  <c r="D476" i="3" s="1"/>
  <c r="F82" i="89"/>
  <c r="F24" i="89" s="1"/>
  <c r="F6" i="89"/>
  <c r="D175" i="2" s="1"/>
  <c r="N175" i="2" s="1"/>
  <c r="F5" i="89"/>
  <c r="D19" i="3"/>
  <c r="F5" i="97"/>
  <c r="F5" i="83"/>
  <c r="F5" i="88"/>
  <c r="F15" i="88"/>
  <c r="D47" i="3"/>
  <c r="D154" i="2"/>
  <c r="N154" i="2" s="1"/>
  <c r="D448" i="2"/>
  <c r="D460" i="2"/>
  <c r="N460" i="2" s="1"/>
  <c r="D459" i="2"/>
  <c r="D458" i="2"/>
  <c r="N458" i="2" s="1"/>
  <c r="D457" i="2"/>
  <c r="N457" i="2" s="1"/>
  <c r="F11" i="97"/>
  <c r="F49" i="95"/>
  <c r="F63" i="95"/>
  <c r="F3" i="95"/>
  <c r="D174" i="2"/>
  <c r="N174" i="2" s="1"/>
  <c r="F15" i="83"/>
  <c r="D169" i="2"/>
  <c r="N169" i="2" s="1"/>
  <c r="F11" i="83"/>
  <c r="F13" i="83"/>
  <c r="F11" i="88"/>
  <c r="F13" i="88"/>
  <c r="F11" i="95"/>
  <c r="F59" i="95"/>
  <c r="D169" i="3"/>
  <c r="F61" i="95"/>
  <c r="F3" i="90"/>
  <c r="F7" i="90"/>
  <c r="D250" i="3"/>
  <c r="F9" i="90"/>
  <c r="D506" i="3"/>
  <c r="F11" i="90"/>
  <c r="D242" i="3"/>
  <c r="D156" i="2"/>
  <c r="N156" i="2" s="1"/>
  <c r="F17" i="90"/>
  <c r="F5" i="90"/>
  <c r="F13" i="90"/>
  <c r="F15" i="90"/>
  <c r="F3" i="79"/>
  <c r="F8" i="79"/>
  <c r="F12" i="79"/>
  <c r="F15" i="79"/>
  <c r="D150" i="2"/>
  <c r="N150" i="2" s="1"/>
  <c r="F7" i="79"/>
  <c r="F9" i="79" s="1"/>
  <c r="D455" i="3" s="1"/>
  <c r="D230" i="3"/>
  <c r="D15" i="3"/>
  <c r="F11" i="79"/>
  <c r="F13" i="79" s="1"/>
  <c r="D484" i="3" s="1"/>
  <c r="D430" i="3"/>
  <c r="D155" i="2"/>
  <c r="N155" i="2" s="1"/>
  <c r="F21" i="79"/>
  <c r="F5" i="79"/>
  <c r="F3" i="85"/>
  <c r="F7" i="85"/>
  <c r="D327" i="3"/>
  <c r="F9" i="85"/>
  <c r="D354" i="3"/>
  <c r="F5" i="85"/>
  <c r="D153" i="2"/>
  <c r="N153" i="2" s="1"/>
  <c r="F11" i="85"/>
  <c r="F13" i="85"/>
  <c r="F15" i="85"/>
  <c r="D30" i="3"/>
  <c r="D38" i="3"/>
  <c r="F8" i="58"/>
  <c r="F9" i="58" s="1"/>
  <c r="F29" i="74"/>
  <c r="F30" i="74"/>
  <c r="D199" i="3"/>
  <c r="F32" i="74"/>
  <c r="D215" i="3"/>
  <c r="F28" i="74"/>
  <c r="F36" i="74"/>
  <c r="F10" i="74"/>
  <c r="F23" i="74"/>
  <c r="D330" i="3"/>
  <c r="F9" i="74"/>
  <c r="F16" i="74"/>
  <c r="F21" i="74"/>
  <c r="D303" i="3"/>
  <c r="F8" i="74"/>
  <c r="F110" i="74"/>
  <c r="F19" i="74"/>
  <c r="D144" i="3"/>
  <c r="F111" i="74"/>
  <c r="F27" i="74"/>
  <c r="F7" i="74"/>
  <c r="D113" i="2"/>
  <c r="N113" i="2" s="1"/>
  <c r="F15" i="74"/>
  <c r="F34" i="74"/>
  <c r="F83" i="74"/>
  <c r="F6" i="74"/>
  <c r="D112" i="2"/>
  <c r="N112" i="2" s="1"/>
  <c r="F25" i="74"/>
  <c r="D157" i="3"/>
  <c r="F5" i="74"/>
  <c r="F3" i="73"/>
  <c r="F7" i="73"/>
  <c r="F9" i="73"/>
  <c r="D393" i="3"/>
  <c r="F11" i="73"/>
  <c r="D204" i="3"/>
  <c r="F285" i="71"/>
  <c r="F24" i="71" s="1"/>
  <c r="F256" i="71"/>
  <c r="F257" i="71"/>
  <c r="F33" i="71"/>
  <c r="F264" i="71"/>
  <c r="F11" i="71" s="1"/>
  <c r="D446" i="2" s="1"/>
  <c r="N446" i="2" s="1"/>
  <c r="F222" i="71"/>
  <c r="F229" i="71"/>
  <c r="F10" i="71" s="1"/>
  <c r="D445" i="2" s="1"/>
  <c r="N445" i="2" s="1"/>
  <c r="F193" i="71"/>
  <c r="F18" i="71" s="1"/>
  <c r="F19" i="71" s="1"/>
  <c r="D78" i="3" s="1"/>
  <c r="F200" i="71"/>
  <c r="F9" i="71" s="1"/>
  <c r="D444" i="2" s="1"/>
  <c r="N444" i="2" s="1"/>
  <c r="F15" i="71"/>
  <c r="F23" i="71"/>
  <c r="F28" i="71"/>
  <c r="F167" i="71"/>
  <c r="F8" i="71"/>
  <c r="F17" i="71"/>
  <c r="F31" i="71"/>
  <c r="F7" i="71"/>
  <c r="F68" i="71"/>
  <c r="F27" i="71" s="1"/>
  <c r="F76" i="71"/>
  <c r="F6" i="71" s="1"/>
  <c r="D441" i="2" s="1"/>
  <c r="F21" i="71"/>
  <c r="D265" i="3" s="1"/>
  <c r="F32" i="71"/>
  <c r="F47" i="71"/>
  <c r="F5" i="71"/>
  <c r="F3" i="92"/>
  <c r="F5" i="92" s="1"/>
  <c r="D114" i="3"/>
  <c r="D84" i="3"/>
  <c r="F12" i="65"/>
  <c r="F19" i="89" s="1"/>
  <c r="F28" i="30"/>
  <c r="D511" i="3"/>
  <c r="F30" i="30"/>
  <c r="F26" i="30"/>
  <c r="D529" i="3"/>
  <c r="F202" i="30"/>
  <c r="E202" i="30"/>
  <c r="D202" i="30"/>
  <c r="F196" i="30"/>
  <c r="E196" i="30"/>
  <c r="D196" i="30"/>
  <c r="F191" i="30"/>
  <c r="E191" i="30"/>
  <c r="D191" i="30"/>
  <c r="F187" i="30"/>
  <c r="E187" i="30"/>
  <c r="D187" i="30"/>
  <c r="E166" i="30"/>
  <c r="E163" i="30"/>
  <c r="F166" i="30"/>
  <c r="F9" i="30"/>
  <c r="D166" i="30"/>
  <c r="D163" i="30"/>
  <c r="F21" i="30"/>
  <c r="F35" i="30"/>
  <c r="F246" i="30"/>
  <c r="F20" i="30"/>
  <c r="F247" i="30"/>
  <c r="F31" i="30"/>
  <c r="F32" i="30"/>
  <c r="D11" i="3"/>
  <c r="F11" i="30"/>
  <c r="F217" i="30"/>
  <c r="F10" i="30"/>
  <c r="D107" i="2"/>
  <c r="N107" i="2" s="1"/>
  <c r="F155" i="30"/>
  <c r="F24" i="30"/>
  <c r="D340" i="3"/>
  <c r="F16" i="30"/>
  <c r="F34" i="30"/>
  <c r="F36" i="30"/>
  <c r="D117" i="3"/>
  <c r="F136" i="30"/>
  <c r="F8" i="30"/>
  <c r="D105" i="2"/>
  <c r="N105" i="2" s="1"/>
  <c r="F86" i="30"/>
  <c r="F19" i="30"/>
  <c r="F7" i="30"/>
  <c r="D104" i="2"/>
  <c r="N104" i="2" s="1"/>
  <c r="F61" i="30"/>
  <c r="F15" i="30"/>
  <c r="F68" i="30"/>
  <c r="F6" i="30"/>
  <c r="D103" i="2"/>
  <c r="N103" i="2" s="1"/>
  <c r="F47" i="30"/>
  <c r="F5" i="30"/>
  <c r="F321" i="29"/>
  <c r="F22" i="29" s="1"/>
  <c r="F322" i="29"/>
  <c r="F34" i="29" s="1"/>
  <c r="F323" i="29"/>
  <c r="F37" i="29" s="1"/>
  <c r="D36" i="3" s="1"/>
  <c r="F304" i="29"/>
  <c r="F273" i="29"/>
  <c r="F30" i="29" s="1"/>
  <c r="F274" i="29"/>
  <c r="F33" i="29" s="1"/>
  <c r="F35" i="29" s="1"/>
  <c r="D309" i="3" s="1"/>
  <c r="F281" i="29"/>
  <c r="F11" i="29" s="1"/>
  <c r="D53" i="2" s="1"/>
  <c r="N53" i="2" s="1"/>
  <c r="F249" i="29"/>
  <c r="F16" i="29" s="1"/>
  <c r="F17" i="29" s="1"/>
  <c r="F250" i="29"/>
  <c r="F25" i="29" s="1"/>
  <c r="D382" i="3" s="1"/>
  <c r="F258" i="29"/>
  <c r="F10" i="29" s="1"/>
  <c r="D52" i="2" s="1"/>
  <c r="N52" i="2" s="1"/>
  <c r="F204" i="29"/>
  <c r="F27" i="29"/>
  <c r="D314" i="3" s="1"/>
  <c r="F205" i="29"/>
  <c r="F40" i="29" s="1"/>
  <c r="F41" i="29" s="1"/>
  <c r="D136" i="3" s="1"/>
  <c r="F213" i="29"/>
  <c r="F9" i="29" s="1"/>
  <c r="D51" i="2" s="1"/>
  <c r="N51" i="2" s="1"/>
  <c r="F153" i="29"/>
  <c r="F19" i="29" s="1"/>
  <c r="D375" i="3" s="1"/>
  <c r="F160" i="29"/>
  <c r="F8" i="29" s="1"/>
  <c r="F126" i="29"/>
  <c r="F15" i="29"/>
  <c r="F127" i="29"/>
  <c r="F29" i="29" s="1"/>
  <c r="F31" i="29" s="1"/>
  <c r="D449" i="3" s="1"/>
  <c r="F134" i="29"/>
  <c r="F7" i="29"/>
  <c r="D49" i="2" s="1"/>
  <c r="N49" i="2" s="1"/>
  <c r="F21" i="29"/>
  <c r="F23" i="29" s="1"/>
  <c r="D79" i="3" s="1"/>
  <c r="F39" i="29"/>
  <c r="F97" i="29"/>
  <c r="F6" i="29"/>
  <c r="D48" i="2" s="1"/>
  <c r="N48" i="2" s="1"/>
  <c r="F5" i="29"/>
  <c r="D47" i="2" s="1"/>
  <c r="F17" i="73"/>
  <c r="D116" i="2"/>
  <c r="N116" i="2" s="1"/>
  <c r="D115" i="2"/>
  <c r="N115" i="2" s="1"/>
  <c r="D114" i="2"/>
  <c r="N114" i="2" s="1"/>
  <c r="D108" i="2"/>
  <c r="N108" i="2" s="1"/>
  <c r="D106" i="2"/>
  <c r="N106" i="2" s="1"/>
  <c r="F15" i="73"/>
  <c r="F5" i="73"/>
  <c r="D119" i="2"/>
  <c r="N119" i="2" s="1"/>
  <c r="F13" i="73"/>
  <c r="D485" i="3"/>
  <c r="D443" i="2"/>
  <c r="N443" i="2" s="1"/>
  <c r="D440" i="2"/>
  <c r="N440" i="2" s="1"/>
  <c r="D172" i="2"/>
  <c r="N172" i="2" s="1"/>
  <c r="F34" i="71"/>
  <c r="D124" i="3" s="1"/>
  <c r="F5" i="65"/>
  <c r="F22" i="30"/>
  <c r="F3" i="72"/>
  <c r="F7" i="72"/>
  <c r="F9" i="72"/>
  <c r="D7" i="3"/>
  <c r="D9" i="3"/>
  <c r="F88" i="68"/>
  <c r="F14" i="68"/>
  <c r="F89" i="68"/>
  <c r="F17" i="68"/>
  <c r="D453" i="3"/>
  <c r="F11" i="68"/>
  <c r="D524" i="3"/>
  <c r="F13" i="68"/>
  <c r="F64" i="68"/>
  <c r="F4" i="68"/>
  <c r="F3" i="68"/>
  <c r="F3" i="67"/>
  <c r="F7" i="67"/>
  <c r="F9" i="67"/>
  <c r="D467" i="3"/>
  <c r="F212" i="66"/>
  <c r="F13" i="66" s="1"/>
  <c r="D492" i="3" s="1"/>
  <c r="F213" i="66"/>
  <c r="F41" i="66"/>
  <c r="D447" i="3" s="1"/>
  <c r="F214" i="66"/>
  <c r="F43" i="66" s="1"/>
  <c r="D532" i="3" s="1"/>
  <c r="F215" i="66"/>
  <c r="F45" i="66" s="1"/>
  <c r="D535" i="3" s="1"/>
  <c r="F9" i="66"/>
  <c r="D232" i="2" s="1"/>
  <c r="N232" i="2" s="1"/>
  <c r="F34" i="66"/>
  <c r="F7" i="66"/>
  <c r="F8" i="66"/>
  <c r="F15" i="66"/>
  <c r="D241" i="3" s="1"/>
  <c r="F17" i="66"/>
  <c r="F18" i="66"/>
  <c r="F19" i="66" s="1"/>
  <c r="D200" i="3" s="1"/>
  <c r="F23" i="66"/>
  <c r="D373" i="3" s="1"/>
  <c r="F27" i="66"/>
  <c r="D518" i="3" s="1"/>
  <c r="F31" i="66"/>
  <c r="D176" i="3" s="1"/>
  <c r="F37" i="66"/>
  <c r="D372" i="3"/>
  <c r="F39" i="66"/>
  <c r="D359" i="3" s="1"/>
  <c r="F5" i="66"/>
  <c r="F278" i="64"/>
  <c r="F20" i="64" s="1"/>
  <c r="F23" i="64"/>
  <c r="D77" i="3" s="1"/>
  <c r="F32" i="64"/>
  <c r="F36" i="64"/>
  <c r="F256" i="64"/>
  <c r="F11" i="64" s="1"/>
  <c r="D99" i="2" s="1"/>
  <c r="N99" i="2" s="1"/>
  <c r="F202" i="64"/>
  <c r="F35" i="64" s="1"/>
  <c r="F37" i="64" s="1"/>
  <c r="D149" i="3" s="1"/>
  <c r="F172" i="64"/>
  <c r="F174" i="64"/>
  <c r="F26" i="64" s="1"/>
  <c r="F175" i="64"/>
  <c r="F31" i="64" s="1"/>
  <c r="F182" i="64"/>
  <c r="F9" i="64" s="1"/>
  <c r="D97" i="2" s="1"/>
  <c r="N97" i="2" s="1"/>
  <c r="F148" i="64"/>
  <c r="F135" i="64"/>
  <c r="F25" i="64" s="1"/>
  <c r="F27" i="64" s="1"/>
  <c r="D392" i="3" s="1"/>
  <c r="F142" i="64"/>
  <c r="F8" i="64" s="1"/>
  <c r="D96" i="2" s="1"/>
  <c r="N96" i="2" s="1"/>
  <c r="F16" i="64"/>
  <c r="F19" i="64"/>
  <c r="F21" i="64" s="1"/>
  <c r="D180" i="3" s="1"/>
  <c r="F29" i="64"/>
  <c r="D113" i="3" s="1"/>
  <c r="F122" i="64"/>
  <c r="F7" i="64" s="1"/>
  <c r="D95" i="2" s="1"/>
  <c r="N95" i="2" s="1"/>
  <c r="F65" i="64"/>
  <c r="F15" i="64" s="1"/>
  <c r="F17" i="64" s="1"/>
  <c r="F6" i="64"/>
  <c r="D94" i="2" s="1"/>
  <c r="F48" i="64"/>
  <c r="F5" i="64" s="1"/>
  <c r="F296" i="63"/>
  <c r="F27" i="63"/>
  <c r="F32" i="63"/>
  <c r="D156" i="3"/>
  <c r="F284" i="63"/>
  <c r="F13" i="63"/>
  <c r="F230" i="63"/>
  <c r="F35" i="63"/>
  <c r="F12" i="63"/>
  <c r="F204" i="63"/>
  <c r="F19" i="63"/>
  <c r="D62" i="3"/>
  <c r="F205" i="63"/>
  <c r="F23" i="63"/>
  <c r="F212" i="63"/>
  <c r="F11" i="63"/>
  <c r="F177" i="63"/>
  <c r="F26" i="63"/>
  <c r="F178" i="63"/>
  <c r="F34" i="63"/>
  <c r="F179" i="63"/>
  <c r="F40" i="63"/>
  <c r="F186" i="63"/>
  <c r="F10" i="63"/>
  <c r="F142" i="63"/>
  <c r="F22" i="63"/>
  <c r="F143" i="63"/>
  <c r="F30" i="63"/>
  <c r="D216" i="3"/>
  <c r="F150" i="63"/>
  <c r="F9" i="63"/>
  <c r="F21" i="63"/>
  <c r="F39" i="63"/>
  <c r="F41" i="63"/>
  <c r="F112" i="63"/>
  <c r="F8" i="63"/>
  <c r="F72" i="63"/>
  <c r="F36" i="63"/>
  <c r="F7" i="63"/>
  <c r="F54" i="63"/>
  <c r="F4" i="63"/>
  <c r="F3" i="62"/>
  <c r="D101" i="3"/>
  <c r="D462" i="3"/>
  <c r="F485" i="31"/>
  <c r="F67" i="31" s="1"/>
  <c r="F486" i="31"/>
  <c r="F70" i="31" s="1"/>
  <c r="D277" i="3" s="1"/>
  <c r="F19" i="31"/>
  <c r="D222" i="2" s="1"/>
  <c r="N222" i="2" s="1"/>
  <c r="F66" i="31"/>
  <c r="F458" i="31"/>
  <c r="F18" i="31" s="1"/>
  <c r="D221" i="2" s="1"/>
  <c r="N221" i="2" s="1"/>
  <c r="F413" i="31"/>
  <c r="F44" i="31" s="1"/>
  <c r="F414" i="31"/>
  <c r="F62" i="31" s="1"/>
  <c r="F63" i="31" s="1"/>
  <c r="D293" i="3" s="1"/>
  <c r="F17" i="31"/>
  <c r="D220" i="2" s="1"/>
  <c r="N220" i="2" s="1"/>
  <c r="F390" i="31"/>
  <c r="F57" i="31" s="1"/>
  <c r="F397" i="31"/>
  <c r="F16" i="31" s="1"/>
  <c r="D219" i="2" s="1"/>
  <c r="N219" i="2" s="1"/>
  <c r="F353" i="31"/>
  <c r="F40" i="31" s="1"/>
  <c r="F354" i="31"/>
  <c r="F55" i="31" s="1"/>
  <c r="D534" i="3" s="1"/>
  <c r="F355" i="31"/>
  <c r="F72" i="31" s="1"/>
  <c r="F364" i="31"/>
  <c r="F15" i="31" s="1"/>
  <c r="D218" i="2" s="1"/>
  <c r="N218" i="2" s="1"/>
  <c r="F342" i="31"/>
  <c r="F319" i="31"/>
  <c r="F53" i="31" s="1"/>
  <c r="D480" i="3" s="1"/>
  <c r="F327" i="31"/>
  <c r="F14" i="31" s="1"/>
  <c r="D217" i="2" s="1"/>
  <c r="N217" i="2" s="1"/>
  <c r="F47" i="31"/>
  <c r="F51" i="31"/>
  <c r="D399" i="3" s="1"/>
  <c r="F297" i="31"/>
  <c r="F13" i="31" s="1"/>
  <c r="D216" i="2" s="1"/>
  <c r="N216" i="2" s="1"/>
  <c r="F253" i="31"/>
  <c r="F43" i="31" s="1"/>
  <c r="F260" i="31"/>
  <c r="F12" i="31" s="1"/>
  <c r="D215" i="2" s="1"/>
  <c r="N215" i="2" s="1"/>
  <c r="F228" i="31"/>
  <c r="F39" i="31" s="1"/>
  <c r="F235" i="31"/>
  <c r="F11" i="31" s="1"/>
  <c r="D214" i="2" s="1"/>
  <c r="N214" i="2" s="1"/>
  <c r="F197" i="31"/>
  <c r="F37" i="31" s="1"/>
  <c r="D162" i="3" s="1"/>
  <c r="F198" i="31"/>
  <c r="F65" i="31" s="1"/>
  <c r="F68" i="31" s="1"/>
  <c r="D183" i="3" s="1"/>
  <c r="F205" i="31"/>
  <c r="F10" i="31" s="1"/>
  <c r="D213" i="2" s="1"/>
  <c r="N213" i="2" s="1"/>
  <c r="F168" i="31"/>
  <c r="F35" i="31" s="1"/>
  <c r="D478" i="3" s="1"/>
  <c r="F175" i="31"/>
  <c r="F9" i="31" s="1"/>
  <c r="D212" i="2" s="1"/>
  <c r="N212" i="2" s="1"/>
  <c r="F143" i="31"/>
  <c r="F29" i="31" s="1"/>
  <c r="F31" i="31" s="1"/>
  <c r="D496" i="3" s="1"/>
  <c r="F144" i="31"/>
  <c r="F33" i="31" s="1"/>
  <c r="D533" i="3"/>
  <c r="F151" i="31"/>
  <c r="F8" i="31" s="1"/>
  <c r="D211" i="2" s="1"/>
  <c r="N211" i="2" s="1"/>
  <c r="F112" i="31"/>
  <c r="F27" i="31" s="1"/>
  <c r="F113" i="31"/>
  <c r="F61" i="31"/>
  <c r="F120" i="31"/>
  <c r="F5" i="31" s="1"/>
  <c r="D225" i="2" s="1"/>
  <c r="N225" i="2" s="1"/>
  <c r="F87" i="31"/>
  <c r="F4" i="31" s="1"/>
  <c r="F3" i="58"/>
  <c r="F7" i="58"/>
  <c r="F11" i="58"/>
  <c r="F13" i="58"/>
  <c r="F17" i="58"/>
  <c r="F3" i="55"/>
  <c r="F7" i="55"/>
  <c r="D83" i="3"/>
  <c r="F9" i="55"/>
  <c r="F3" i="56"/>
  <c r="F8" i="56"/>
  <c r="F10" i="55"/>
  <c r="F11" i="55" s="1"/>
  <c r="F11" i="56"/>
  <c r="F502" i="57"/>
  <c r="F51" i="57"/>
  <c r="F503" i="57"/>
  <c r="F72" i="57"/>
  <c r="D251" i="3"/>
  <c r="F29" i="57"/>
  <c r="F69" i="57"/>
  <c r="F70" i="57"/>
  <c r="D133" i="3"/>
  <c r="F480" i="57"/>
  <c r="F18" i="57"/>
  <c r="F438" i="57"/>
  <c r="F55" i="57"/>
  <c r="F56" i="57"/>
  <c r="D300" i="3"/>
  <c r="F439" i="57"/>
  <c r="F65" i="57"/>
  <c r="F446" i="57"/>
  <c r="F17" i="57"/>
  <c r="D292" i="2"/>
  <c r="N292" i="2" s="1"/>
  <c r="F39" i="57"/>
  <c r="F40" i="57"/>
  <c r="D363" i="3"/>
  <c r="F62" i="57"/>
  <c r="D63" i="3"/>
  <c r="F413" i="57"/>
  <c r="F16" i="57"/>
  <c r="F372" i="57"/>
  <c r="F43" i="57"/>
  <c r="F379" i="57"/>
  <c r="F15" i="57"/>
  <c r="D290" i="2"/>
  <c r="N290" i="2" s="1"/>
  <c r="F347" i="57"/>
  <c r="F33" i="57"/>
  <c r="F348" i="57"/>
  <c r="F60" i="57"/>
  <c r="D335" i="3"/>
  <c r="F349" i="57"/>
  <c r="F68" i="57"/>
  <c r="F357" i="57"/>
  <c r="F14" i="57"/>
  <c r="F310" i="57"/>
  <c r="F38" i="57"/>
  <c r="F311" i="57"/>
  <c r="F50" i="57"/>
  <c r="F52" i="57"/>
  <c r="D283" i="3"/>
  <c r="F319" i="57"/>
  <c r="F13" i="57"/>
  <c r="F275" i="57"/>
  <c r="F48" i="57"/>
  <c r="D295" i="3"/>
  <c r="F282" i="57"/>
  <c r="F12" i="57"/>
  <c r="D287" i="2"/>
  <c r="N287" i="2" s="1"/>
  <c r="F247" i="57"/>
  <c r="F36" i="57"/>
  <c r="D205" i="3"/>
  <c r="F248" i="57"/>
  <c r="F64" i="57"/>
  <c r="F66" i="57"/>
  <c r="F255" i="57"/>
  <c r="F11" i="57"/>
  <c r="F217" i="57"/>
  <c r="F32" i="57"/>
  <c r="F34" i="57"/>
  <c r="D97" i="3"/>
  <c r="F224" i="57"/>
  <c r="F10" i="57"/>
  <c r="F26" i="57"/>
  <c r="D247" i="3"/>
  <c r="F54" i="57"/>
  <c r="F198" i="57"/>
  <c r="F9" i="57"/>
  <c r="F155" i="57"/>
  <c r="F24" i="57"/>
  <c r="F156" i="57"/>
  <c r="F42" i="57"/>
  <c r="F44" i="57"/>
  <c r="D18" i="3"/>
  <c r="F8" i="57"/>
  <c r="F109" i="57"/>
  <c r="F110" i="57"/>
  <c r="F46" i="57"/>
  <c r="D284" i="3"/>
  <c r="F111" i="57"/>
  <c r="F58" i="57"/>
  <c r="D90" i="3"/>
  <c r="F118" i="57"/>
  <c r="F7" i="57"/>
  <c r="F28" i="57"/>
  <c r="F85" i="57"/>
  <c r="F4" i="57"/>
  <c r="D295" i="2"/>
  <c r="N295" i="2" s="1"/>
  <c r="D72" i="3"/>
  <c r="D272" i="3"/>
  <c r="F3" i="54"/>
  <c r="F7" i="54"/>
  <c r="F9" i="54"/>
  <c r="D446" i="3"/>
  <c r="F3" i="53"/>
  <c r="F8" i="53"/>
  <c r="D4" i="3"/>
  <c r="F169" i="52"/>
  <c r="F18" i="52"/>
  <c r="F170" i="52"/>
  <c r="F22" i="52"/>
  <c r="F171" i="52"/>
  <c r="F39" i="52"/>
  <c r="D510" i="3"/>
  <c r="F142" i="52"/>
  <c r="F21" i="52"/>
  <c r="F143" i="52"/>
  <c r="F27" i="52"/>
  <c r="D513" i="3"/>
  <c r="F150" i="52"/>
  <c r="F6" i="52"/>
  <c r="F116" i="52"/>
  <c r="F31" i="52"/>
  <c r="D463" i="3"/>
  <c r="F117" i="52"/>
  <c r="F33" i="52"/>
  <c r="D495" i="3"/>
  <c r="F118" i="52"/>
  <c r="F36" i="52"/>
  <c r="F125" i="52"/>
  <c r="F5" i="52"/>
  <c r="F80" i="52"/>
  <c r="F15" i="52"/>
  <c r="D103" i="3"/>
  <c r="F81" i="52"/>
  <c r="F17" i="52"/>
  <c r="F82" i="52"/>
  <c r="F25" i="52"/>
  <c r="D91" i="3"/>
  <c r="F83" i="52"/>
  <c r="F29" i="52"/>
  <c r="D360" i="3"/>
  <c r="F84" i="52"/>
  <c r="F35" i="52"/>
  <c r="F91" i="52"/>
  <c r="F4" i="52"/>
  <c r="F52" i="52"/>
  <c r="F3" i="52"/>
  <c r="F3" i="51"/>
  <c r="F7" i="51"/>
  <c r="D37" i="3"/>
  <c r="F9" i="51"/>
  <c r="D76" i="3"/>
  <c r="F356" i="49"/>
  <c r="F19" i="49" s="1"/>
  <c r="F55" i="49"/>
  <c r="F329" i="49"/>
  <c r="F51" i="49" s="1"/>
  <c r="F14" i="49"/>
  <c r="D44" i="2" s="1"/>
  <c r="N44" i="2" s="1"/>
  <c r="F38" i="49"/>
  <c r="F42" i="49"/>
  <c r="F50" i="49"/>
  <c r="F315" i="49"/>
  <c r="F13" i="49" s="1"/>
  <c r="F12" i="49"/>
  <c r="D42" i="2" s="1"/>
  <c r="N42" i="2" s="1"/>
  <c r="F246" i="49"/>
  <c r="F29" i="49" s="1"/>
  <c r="F41" i="49"/>
  <c r="F11" i="49"/>
  <c r="D41" i="2" s="1"/>
  <c r="N41" i="2" s="1"/>
  <c r="F213" i="49"/>
  <c r="F28" i="49" s="1"/>
  <c r="F30" i="49" s="1"/>
  <c r="D179" i="3" s="1"/>
  <c r="F214" i="49"/>
  <c r="F33" i="49"/>
  <c r="F215" i="49"/>
  <c r="F46" i="49" s="1"/>
  <c r="F180" i="49"/>
  <c r="F26" i="49"/>
  <c r="D269" i="3" s="1"/>
  <c r="F187" i="49"/>
  <c r="F9" i="49"/>
  <c r="F153" i="49"/>
  <c r="F24" i="49" s="1"/>
  <c r="D66" i="3" s="1"/>
  <c r="F154" i="49"/>
  <c r="F32" i="49"/>
  <c r="F155" i="49"/>
  <c r="F45" i="49" s="1"/>
  <c r="F48" i="49" s="1"/>
  <c r="D368" i="3" s="1"/>
  <c r="F163" i="49"/>
  <c r="F8" i="49"/>
  <c r="D38" i="2" s="1"/>
  <c r="N38" i="2" s="1"/>
  <c r="F113" i="49"/>
  <c r="F22" i="49" s="1"/>
  <c r="D222" i="3" s="1"/>
  <c r="F114" i="49"/>
  <c r="F37" i="49" s="1"/>
  <c r="F39" i="49" s="1"/>
  <c r="D80" i="3" s="1"/>
  <c r="F121" i="49"/>
  <c r="F7" i="49"/>
  <c r="F79" i="49"/>
  <c r="F18" i="49" s="1"/>
  <c r="F86" i="49"/>
  <c r="F6" i="49"/>
  <c r="F10" i="49"/>
  <c r="F67" i="49"/>
  <c r="F5" i="49" s="1"/>
  <c r="D35" i="2" s="1"/>
  <c r="N35" i="2" s="1"/>
  <c r="D388" i="2"/>
  <c r="N388" i="2" s="1"/>
  <c r="D358" i="3"/>
  <c r="D424" i="3"/>
  <c r="F3" i="48"/>
  <c r="F7" i="48"/>
  <c r="D357" i="3"/>
  <c r="F3" i="45"/>
  <c r="F7" i="45"/>
  <c r="D297" i="3"/>
  <c r="F9" i="45"/>
  <c r="F11" i="45"/>
  <c r="F3" i="46"/>
  <c r="F7" i="46"/>
  <c r="F10" i="46"/>
  <c r="F12" i="45"/>
  <c r="F13" i="45" s="1"/>
  <c r="F13" i="46"/>
  <c r="F3" i="44"/>
  <c r="F7" i="44"/>
  <c r="F9" i="44"/>
  <c r="D260" i="3"/>
  <c r="F43" i="43"/>
  <c r="F67" i="43"/>
  <c r="F413" i="43"/>
  <c r="F55" i="43" s="1"/>
  <c r="F414" i="43"/>
  <c r="F59" i="43" s="1"/>
  <c r="F17" i="43"/>
  <c r="F380" i="43"/>
  <c r="F24" i="43" s="1"/>
  <c r="F387" i="43"/>
  <c r="F16" i="43" s="1"/>
  <c r="D273" i="2" s="1"/>
  <c r="N273" i="2" s="1"/>
  <c r="F356" i="43"/>
  <c r="F46" i="43" s="1"/>
  <c r="D267" i="3" s="1"/>
  <c r="F357" i="43"/>
  <c r="F48" i="43" s="1"/>
  <c r="D388" i="3" s="1"/>
  <c r="F365" i="43"/>
  <c r="F15" i="43" s="1"/>
  <c r="D272" i="2" s="1"/>
  <c r="N272" i="2" s="1"/>
  <c r="F312" i="43"/>
  <c r="F39" i="43" s="1"/>
  <c r="D282" i="3" s="1"/>
  <c r="F313" i="43"/>
  <c r="F42" i="43" s="1"/>
  <c r="F320" i="43"/>
  <c r="F14" i="43" s="1"/>
  <c r="D271" i="2" s="1"/>
  <c r="N271" i="2" s="1"/>
  <c r="F23" i="43"/>
  <c r="F296" i="43"/>
  <c r="F13" i="43" s="1"/>
  <c r="D270" i="2" s="1"/>
  <c r="N270" i="2" s="1"/>
  <c r="F266" i="43"/>
  <c r="F36" i="43" s="1"/>
  <c r="F37" i="43" s="1"/>
  <c r="D223" i="3" s="1"/>
  <c r="F239" i="43"/>
  <c r="F33" i="43" s="1"/>
  <c r="D128" i="3" s="1"/>
  <c r="F240" i="43"/>
  <c r="F35" i="43"/>
  <c r="F247" i="43"/>
  <c r="F11" i="43" s="1"/>
  <c r="D268" i="2" s="1"/>
  <c r="N268" i="2" s="1"/>
  <c r="F31" i="43"/>
  <c r="D73" i="3" s="1"/>
  <c r="F66" i="43"/>
  <c r="F222" i="43"/>
  <c r="F10" i="43" s="1"/>
  <c r="D267" i="2" s="1"/>
  <c r="N267" i="2" s="1"/>
  <c r="F190" i="43"/>
  <c r="F29" i="43" s="1"/>
  <c r="D235" i="3" s="1"/>
  <c r="F191" i="43"/>
  <c r="F41" i="43" s="1"/>
  <c r="F198" i="43"/>
  <c r="F9" i="43" s="1"/>
  <c r="D266" i="2" s="1"/>
  <c r="N266" i="2" s="1"/>
  <c r="F141" i="43"/>
  <c r="F27" i="43" s="1"/>
  <c r="D59" i="3" s="1"/>
  <c r="F142" i="43"/>
  <c r="F50" i="43"/>
  <c r="F143" i="43"/>
  <c r="F54" i="43" s="1"/>
  <c r="F150" i="43"/>
  <c r="F8" i="43" s="1"/>
  <c r="D265" i="2" s="1"/>
  <c r="N265" i="2" s="1"/>
  <c r="F133" i="43"/>
  <c r="F99" i="43"/>
  <c r="F58" i="43" s="1"/>
  <c r="F100" i="43"/>
  <c r="F62" i="43" s="1"/>
  <c r="D380" i="3" s="1"/>
  <c r="F101" i="43"/>
  <c r="F64" i="43" s="1"/>
  <c r="D427" i="3" s="1"/>
  <c r="F108" i="43"/>
  <c r="F7" i="43" s="1"/>
  <c r="D264" i="2" s="1"/>
  <c r="N264" i="2" s="1"/>
  <c r="F81" i="43"/>
  <c r="F4" i="43" s="1"/>
  <c r="F3" i="41"/>
  <c r="F7" i="41"/>
  <c r="F7" i="42"/>
  <c r="F9" i="42" s="1"/>
  <c r="F11" i="41"/>
  <c r="F8" i="41"/>
  <c r="D75" i="3"/>
  <c r="D125" i="3"/>
  <c r="F409" i="39"/>
  <c r="F34" i="39"/>
  <c r="F410" i="39"/>
  <c r="F51" i="39"/>
  <c r="D182" i="3"/>
  <c r="F411" i="39"/>
  <c r="F53" i="39"/>
  <c r="D240" i="3"/>
  <c r="F412" i="39"/>
  <c r="F75" i="39"/>
  <c r="D207" i="3"/>
  <c r="F19" i="39"/>
  <c r="D280" i="3"/>
  <c r="F73" i="39"/>
  <c r="D336" i="3"/>
  <c r="F375" i="39"/>
  <c r="F80" i="39"/>
  <c r="F382" i="39"/>
  <c r="F14" i="39"/>
  <c r="F341" i="39"/>
  <c r="F22" i="39"/>
  <c r="F342" i="39"/>
  <c r="F44" i="39"/>
  <c r="F343" i="39"/>
  <c r="F69" i="39"/>
  <c r="D304" i="3"/>
  <c r="F350" i="39"/>
  <c r="F13" i="39"/>
  <c r="F310" i="39"/>
  <c r="F41" i="39"/>
  <c r="D258" i="3"/>
  <c r="F311" i="39"/>
  <c r="F43" i="39"/>
  <c r="F312" i="39"/>
  <c r="F47" i="39"/>
  <c r="D502" i="3"/>
  <c r="F313" i="39"/>
  <c r="F71" i="39"/>
  <c r="D494" i="3"/>
  <c r="F320" i="39"/>
  <c r="F12" i="39"/>
  <c r="F278" i="39"/>
  <c r="F279" i="39"/>
  <c r="F67" i="39"/>
  <c r="D166" i="3"/>
  <c r="F280" i="39"/>
  <c r="F77" i="39"/>
  <c r="D244" i="3"/>
  <c r="F287" i="39"/>
  <c r="F11" i="39"/>
  <c r="F248" i="39"/>
  <c r="F49" i="39"/>
  <c r="D92" i="3"/>
  <c r="F249" i="39"/>
  <c r="F65" i="39"/>
  <c r="D127" i="3"/>
  <c r="F256" i="39"/>
  <c r="F10" i="39"/>
  <c r="F217" i="39"/>
  <c r="F21" i="39"/>
  <c r="F218" i="39"/>
  <c r="F61" i="39"/>
  <c r="D328" i="3"/>
  <c r="F219" i="39"/>
  <c r="F63" i="39"/>
  <c r="D325" i="3"/>
  <c r="F226" i="39"/>
  <c r="F9" i="39"/>
  <c r="F184" i="39"/>
  <c r="F25" i="39"/>
  <c r="F185" i="39"/>
  <c r="F55" i="39"/>
  <c r="D10" i="3"/>
  <c r="F186" i="39"/>
  <c r="F57" i="39"/>
  <c r="D214" i="3"/>
  <c r="F187" i="39"/>
  <c r="F59" i="39"/>
  <c r="D307" i="3"/>
  <c r="F188" i="39"/>
  <c r="F79" i="39"/>
  <c r="F195" i="39"/>
  <c r="F8" i="39"/>
  <c r="F142" i="39"/>
  <c r="F37" i="39"/>
  <c r="D428" i="3"/>
  <c r="F143" i="39"/>
  <c r="F39" i="39"/>
  <c r="D253" i="3"/>
  <c r="F150" i="39"/>
  <c r="F7" i="39"/>
  <c r="F114" i="39"/>
  <c r="F29" i="39"/>
  <c r="D442" i="3"/>
  <c r="F115" i="39"/>
  <c r="F31" i="39"/>
  <c r="D408" i="3"/>
  <c r="F116" i="39"/>
  <c r="F33" i="39"/>
  <c r="F123" i="39"/>
  <c r="F6" i="39"/>
  <c r="F26" i="39"/>
  <c r="F92" i="39"/>
  <c r="F5" i="39"/>
  <c r="F242" i="28"/>
  <c r="F17" i="28" s="1"/>
  <c r="F243" i="28"/>
  <c r="F26" i="28" s="1"/>
  <c r="F27" i="28" s="1"/>
  <c r="D42" i="3" s="1"/>
  <c r="F10" i="28"/>
  <c r="D370" i="2" s="1"/>
  <c r="N370" i="2" s="1"/>
  <c r="F25" i="28"/>
  <c r="F8" i="28"/>
  <c r="D368" i="2" s="1"/>
  <c r="N368" i="2" s="1"/>
  <c r="F7" i="28"/>
  <c r="D367" i="2" s="1"/>
  <c r="N367" i="2" s="1"/>
  <c r="F24" i="28"/>
  <c r="F6" i="28"/>
  <c r="D366" i="2" s="1"/>
  <c r="N366" i="2" s="1"/>
  <c r="F29" i="28"/>
  <c r="F42" i="28"/>
  <c r="F5" i="28" s="1"/>
  <c r="D365" i="2" s="1"/>
  <c r="N365" i="2" s="1"/>
  <c r="F524" i="38"/>
  <c r="F66" i="38" s="1"/>
  <c r="F492" i="38"/>
  <c r="F39" i="38" s="1"/>
  <c r="D400" i="3" s="1"/>
  <c r="F493" i="38"/>
  <c r="F50" i="38" s="1"/>
  <c r="F500" i="38"/>
  <c r="F19" i="38" s="1"/>
  <c r="D29" i="2" s="1"/>
  <c r="N29" i="2" s="1"/>
  <c r="F58" i="38"/>
  <c r="F61" i="38"/>
  <c r="F455" i="38"/>
  <c r="F18" i="38" s="1"/>
  <c r="D28" i="2" s="1"/>
  <c r="N28" i="2" s="1"/>
  <c r="F422" i="38"/>
  <c r="F54" i="38" s="1"/>
  <c r="F423" i="38"/>
  <c r="F79" i="38" s="1"/>
  <c r="F17" i="38"/>
  <c r="F396" i="38"/>
  <c r="F46" i="38" s="1"/>
  <c r="F403" i="38"/>
  <c r="F16" i="38" s="1"/>
  <c r="D26" i="2" s="1"/>
  <c r="N26" i="2" s="1"/>
  <c r="F374" i="38"/>
  <c r="F43" i="38" s="1"/>
  <c r="D219" i="3" s="1"/>
  <c r="F383" i="38"/>
  <c r="F15" i="38" s="1"/>
  <c r="D25" i="2" s="1"/>
  <c r="N25" i="2" s="1"/>
  <c r="F49" i="38"/>
  <c r="F78" i="38"/>
  <c r="F293" i="38"/>
  <c r="F37" i="38" s="1"/>
  <c r="D85" i="3" s="1"/>
  <c r="F294" i="38"/>
  <c r="F53" i="38" s="1"/>
  <c r="F295" i="38"/>
  <c r="F65" i="38" s="1"/>
  <c r="F13" i="38"/>
  <c r="F260" i="38"/>
  <c r="F35" i="38" s="1"/>
  <c r="D378" i="3" s="1"/>
  <c r="F267" i="38"/>
  <c r="F12" i="38" s="1"/>
  <c r="D22" i="2" s="1"/>
  <c r="N22" i="2" s="1"/>
  <c r="F237" i="38"/>
  <c r="F31" i="38" s="1"/>
  <c r="F244" i="38"/>
  <c r="F11" i="38" s="1"/>
  <c r="D21" i="2" s="1"/>
  <c r="N21" i="2" s="1"/>
  <c r="F220" i="38"/>
  <c r="F10" i="38" s="1"/>
  <c r="D20" i="2" s="1"/>
  <c r="N20" i="2" s="1"/>
  <c r="F168" i="38"/>
  <c r="F27" i="38" s="1"/>
  <c r="D376" i="3" s="1"/>
  <c r="F169" i="38"/>
  <c r="F57" i="38" s="1"/>
  <c r="F170" i="38"/>
  <c r="F69" i="38" s="1"/>
  <c r="F142" i="38"/>
  <c r="F70" i="38" s="1"/>
  <c r="F143" i="38"/>
  <c r="F75" i="38" s="1"/>
  <c r="D129" i="3" s="1"/>
  <c r="F150" i="38"/>
  <c r="F8" i="38" s="1"/>
  <c r="D18" i="2" s="1"/>
  <c r="N18" i="2" s="1"/>
  <c r="F112" i="38"/>
  <c r="F62" i="38"/>
  <c r="F113" i="38"/>
  <c r="F73" i="38" s="1"/>
  <c r="D433" i="3" s="1"/>
  <c r="F120" i="38"/>
  <c r="F5" i="38" s="1"/>
  <c r="F24" i="38" s="1"/>
  <c r="F93" i="38"/>
  <c r="F4" i="38" s="1"/>
  <c r="F3" i="36"/>
  <c r="F7" i="36"/>
  <c r="D469" i="3"/>
  <c r="F9" i="36"/>
  <c r="D415" i="3"/>
  <c r="F11" i="36"/>
  <c r="D473" i="3"/>
  <c r="F235" i="37"/>
  <c r="F237" i="37"/>
  <c r="F18" i="37"/>
  <c r="F238" i="37"/>
  <c r="F28" i="37"/>
  <c r="F239" i="37"/>
  <c r="F38" i="37"/>
  <c r="F240" i="37"/>
  <c r="F41" i="37"/>
  <c r="D52" i="3"/>
  <c r="F224" i="37"/>
  <c r="F220" i="37"/>
  <c r="F193" i="37"/>
  <c r="F182" i="37"/>
  <c r="F17" i="37"/>
  <c r="F183" i="37"/>
  <c r="F32" i="37"/>
  <c r="F190" i="37"/>
  <c r="F11" i="37"/>
  <c r="D259" i="2"/>
  <c r="N259" i="2" s="1"/>
  <c r="F152" i="37"/>
  <c r="F22" i="37"/>
  <c r="F153" i="37"/>
  <c r="F37" i="37"/>
  <c r="F39" i="37"/>
  <c r="D385" i="3"/>
  <c r="F160" i="37"/>
  <c r="F10" i="37"/>
  <c r="D258" i="2"/>
  <c r="N258" i="2" s="1"/>
  <c r="F122" i="37"/>
  <c r="F31" i="37" s="1"/>
  <c r="F33" i="37" s="1"/>
  <c r="F129" i="37"/>
  <c r="F9" i="37"/>
  <c r="D257" i="2"/>
  <c r="N257" i="2" s="1"/>
  <c r="F97" i="37"/>
  <c r="F27" i="37"/>
  <c r="F29" i="37"/>
  <c r="D155" i="3"/>
  <c r="F104" i="37"/>
  <c r="F8" i="37" s="1"/>
  <c r="F77" i="37"/>
  <c r="F21" i="37"/>
  <c r="F23" i="37"/>
  <c r="D472" i="3"/>
  <c r="F78" i="37"/>
  <c r="F25" i="37"/>
  <c r="D334" i="3"/>
  <c r="F79" i="37"/>
  <c r="F35" i="37"/>
  <c r="D317" i="3"/>
  <c r="F86" i="37"/>
  <c r="F7" i="37"/>
  <c r="F54" i="37"/>
  <c r="F4" i="37"/>
  <c r="F3" i="35"/>
  <c r="F7" i="35"/>
  <c r="D383" i="3"/>
  <c r="F9" i="35"/>
  <c r="D296" i="3"/>
  <c r="F11" i="35"/>
  <c r="D507" i="3"/>
  <c r="F13" i="34"/>
  <c r="D229" i="3"/>
  <c r="F17" i="34"/>
  <c r="D504" i="3"/>
  <c r="F19" i="34"/>
  <c r="D434" i="3"/>
  <c r="F24" i="34"/>
  <c r="F15" i="34"/>
  <c r="D438" i="3"/>
  <c r="F23" i="34"/>
  <c r="F25" i="34"/>
  <c r="D487" i="3"/>
  <c r="F4" i="34"/>
  <c r="F8" i="34"/>
  <c r="F3" i="34"/>
  <c r="F288" i="33"/>
  <c r="F43" i="33"/>
  <c r="F26" i="33"/>
  <c r="F31" i="33"/>
  <c r="F39" i="33"/>
  <c r="D255" i="3"/>
  <c r="F8" i="33"/>
  <c r="D354" i="2"/>
  <c r="N354" i="2" s="1"/>
  <c r="F22" i="33"/>
  <c r="F42" i="33"/>
  <c r="F59" i="33"/>
  <c r="F4" i="33"/>
  <c r="D361" i="2"/>
  <c r="N361" i="2" s="1"/>
  <c r="F26" i="27"/>
  <c r="F54" i="27"/>
  <c r="F370" i="27"/>
  <c r="F53" i="27" s="1"/>
  <c r="F336" i="27"/>
  <c r="F25" i="27"/>
  <c r="F337" i="27"/>
  <c r="F35" i="27" s="1"/>
  <c r="D333" i="3" s="1"/>
  <c r="F345" i="27"/>
  <c r="F14" i="27" s="1"/>
  <c r="D347" i="2" s="1"/>
  <c r="N347" i="2" s="1"/>
  <c r="F57" i="27"/>
  <c r="F309" i="27"/>
  <c r="F13" i="27" s="1"/>
  <c r="D346" i="2" s="1"/>
  <c r="N346" i="2" s="1"/>
  <c r="F268" i="27"/>
  <c r="F37" i="27" s="1"/>
  <c r="D212" i="3" s="1"/>
  <c r="F229" i="27"/>
  <c r="F24" i="27" s="1"/>
  <c r="F230" i="27"/>
  <c r="F48" i="27" s="1"/>
  <c r="F239" i="27"/>
  <c r="F11" i="27" s="1"/>
  <c r="D344" i="2" s="1"/>
  <c r="N344" i="2" s="1"/>
  <c r="F30" i="27"/>
  <c r="F33" i="27"/>
  <c r="F203" i="27"/>
  <c r="F10" i="27" s="1"/>
  <c r="D343" i="2" s="1"/>
  <c r="N343" i="2" s="1"/>
  <c r="F164" i="27"/>
  <c r="F23" i="27" s="1"/>
  <c r="F47" i="27"/>
  <c r="F9" i="27"/>
  <c r="F120" i="27"/>
  <c r="F51" i="27" s="1"/>
  <c r="D203" i="3" s="1"/>
  <c r="F121" i="27"/>
  <c r="F58" i="27"/>
  <c r="F59" i="27" s="1"/>
  <c r="D416" i="3" s="1"/>
  <c r="F8" i="27"/>
  <c r="D341" i="2" s="1"/>
  <c r="N341" i="2" s="1"/>
  <c r="F94" i="27"/>
  <c r="F39" i="27" s="1"/>
  <c r="D401" i="3" s="1"/>
  <c r="F95" i="27"/>
  <c r="F41" i="27" s="1"/>
  <c r="D266" i="3" s="1"/>
  <c r="F96" i="27"/>
  <c r="F43" i="27" s="1"/>
  <c r="F103" i="27"/>
  <c r="F5" i="27" s="1"/>
  <c r="F72" i="27"/>
  <c r="F4" i="27" s="1"/>
  <c r="E338" i="26"/>
  <c r="F338" i="26"/>
  <c r="F49" i="26"/>
  <c r="D107" i="3"/>
  <c r="D338" i="26"/>
  <c r="F313" i="26"/>
  <c r="F23" i="26"/>
  <c r="F314" i="26"/>
  <c r="F46" i="26"/>
  <c r="F321" i="26"/>
  <c r="F14" i="26"/>
  <c r="D76" i="2"/>
  <c r="N76" i="2" s="1"/>
  <c r="F279" i="26"/>
  <c r="F38" i="26"/>
  <c r="D287" i="3"/>
  <c r="F286" i="26"/>
  <c r="F13" i="26"/>
  <c r="D75" i="2"/>
  <c r="N75" i="2" s="1"/>
  <c r="F36" i="26"/>
  <c r="D321" i="3"/>
  <c r="F42" i="26"/>
  <c r="F43" i="26"/>
  <c r="D426" i="3"/>
  <c r="F249" i="26"/>
  <c r="F12" i="26"/>
  <c r="D74" i="2"/>
  <c r="N74" i="2" s="1"/>
  <c r="F213" i="26"/>
  <c r="F29" i="26"/>
  <c r="F30" i="26"/>
  <c r="D482" i="3"/>
  <c r="F220" i="26"/>
  <c r="F11" i="26"/>
  <c r="D73" i="2"/>
  <c r="N73" i="2" s="1"/>
  <c r="F178" i="26"/>
  <c r="F26" i="26"/>
  <c r="D326" i="3"/>
  <c r="F179" i="26"/>
  <c r="F45" i="26"/>
  <c r="F186" i="26"/>
  <c r="F10" i="26"/>
  <c r="D72" i="2"/>
  <c r="F149" i="26"/>
  <c r="F22" i="26"/>
  <c r="F24" i="26"/>
  <c r="D245" i="3"/>
  <c r="F157" i="26"/>
  <c r="F9" i="26"/>
  <c r="F117" i="26"/>
  <c r="F20" i="26"/>
  <c r="F118" i="26"/>
  <c r="F28" i="26"/>
  <c r="F119" i="26"/>
  <c r="F40" i="26"/>
  <c r="F127" i="26"/>
  <c r="F8" i="26"/>
  <c r="D70" i="2"/>
  <c r="N70" i="2" s="1"/>
  <c r="F107" i="26"/>
  <c r="F81" i="26"/>
  <c r="F32" i="26"/>
  <c r="D389" i="3"/>
  <c r="F82" i="26"/>
  <c r="F34" i="26"/>
  <c r="D377" i="3"/>
  <c r="F83" i="26"/>
  <c r="F41" i="26"/>
  <c r="F90" i="26"/>
  <c r="F7" i="26"/>
  <c r="D69" i="2"/>
  <c r="N69" i="2" s="1"/>
  <c r="F62" i="26"/>
  <c r="F4" i="26"/>
  <c r="F186" i="19"/>
  <c r="D280" i="2"/>
  <c r="N280" i="2" s="1"/>
  <c r="F5" i="46"/>
  <c r="F5" i="36"/>
  <c r="D133" i="2"/>
  <c r="N133" i="2" s="1"/>
  <c r="D151" i="2"/>
  <c r="N151" i="2" s="1"/>
  <c r="F13" i="41"/>
  <c r="D515" i="3"/>
  <c r="F15" i="44"/>
  <c r="D102" i="3"/>
  <c r="F15" i="45"/>
  <c r="D292" i="3"/>
  <c r="F13" i="72"/>
  <c r="D45" i="3"/>
  <c r="F13" i="42"/>
  <c r="D350" i="3"/>
  <c r="F17" i="46"/>
  <c r="D374" i="3"/>
  <c r="F13" i="55"/>
  <c r="D58" i="3"/>
  <c r="D131" i="3"/>
  <c r="F15" i="67"/>
  <c r="D409" i="3"/>
  <c r="F13" i="54"/>
  <c r="D319" i="3"/>
  <c r="F15" i="69"/>
  <c r="D5" i="3"/>
  <c r="D201" i="3"/>
  <c r="F17" i="45"/>
  <c r="D406" i="3"/>
  <c r="F5" i="69"/>
  <c r="D252" i="2"/>
  <c r="F13" i="86"/>
  <c r="D191" i="3"/>
  <c r="D87" i="2"/>
  <c r="N87" i="2" s="1"/>
  <c r="D86" i="2"/>
  <c r="N86" i="2" s="1"/>
  <c r="D85" i="2"/>
  <c r="D84" i="2"/>
  <c r="N84" i="2" s="1"/>
  <c r="D83" i="2"/>
  <c r="D82" i="2"/>
  <c r="N82" i="2" s="1"/>
  <c r="D90" i="2"/>
  <c r="N90" i="2" s="1"/>
  <c r="F17" i="62"/>
  <c r="F15" i="62"/>
  <c r="D173" i="3"/>
  <c r="F5" i="62"/>
  <c r="D89" i="2"/>
  <c r="N89" i="2" s="1"/>
  <c r="F5" i="47"/>
  <c r="D293" i="2"/>
  <c r="N293" i="2" s="1"/>
  <c r="D291" i="2"/>
  <c r="N291" i="2" s="1"/>
  <c r="D289" i="2"/>
  <c r="N289" i="2" s="1"/>
  <c r="D288" i="2"/>
  <c r="N288" i="2" s="1"/>
  <c r="D286" i="2"/>
  <c r="N286" i="2" s="1"/>
  <c r="D285" i="2"/>
  <c r="N285" i="2" s="1"/>
  <c r="D163" i="2"/>
  <c r="D283" i="2"/>
  <c r="N283" i="2" s="1"/>
  <c r="D282" i="2"/>
  <c r="N282" i="2" s="1"/>
  <c r="F30" i="57"/>
  <c r="D364" i="3"/>
  <c r="D208" i="2"/>
  <c r="N208" i="2" s="1"/>
  <c r="D207" i="2"/>
  <c r="N207" i="2" s="1"/>
  <c r="D206" i="2"/>
  <c r="N206" i="2" s="1"/>
  <c r="D205" i="2"/>
  <c r="D204" i="2"/>
  <c r="N204" i="2" s="1"/>
  <c r="D203" i="2"/>
  <c r="N203" i="2" s="1"/>
  <c r="D202" i="2"/>
  <c r="N202" i="2" s="1"/>
  <c r="D201" i="2"/>
  <c r="N201" i="2" s="1"/>
  <c r="D200" i="2"/>
  <c r="D199" i="2"/>
  <c r="N199" i="2" s="1"/>
  <c r="D231" i="2"/>
  <c r="D230" i="2"/>
  <c r="N230" i="2" s="1"/>
  <c r="F5" i="86"/>
  <c r="D380" i="2"/>
  <c r="F15" i="86"/>
  <c r="F6" i="53"/>
  <c r="D40" i="2"/>
  <c r="N40" i="2" s="1"/>
  <c r="D39" i="2"/>
  <c r="N39" i="2" s="1"/>
  <c r="D37" i="2"/>
  <c r="N37" i="2" s="1"/>
  <c r="D36" i="2"/>
  <c r="N36" i="2" s="1"/>
  <c r="F12" i="52"/>
  <c r="D437" i="2"/>
  <c r="N437" i="2" s="1"/>
  <c r="F11" i="52"/>
  <c r="D436" i="2"/>
  <c r="N436" i="2" s="1"/>
  <c r="F10" i="52"/>
  <c r="D435" i="2"/>
  <c r="D434" i="2"/>
  <c r="N434" i="2" s="1"/>
  <c r="F5" i="48"/>
  <c r="D166" i="2"/>
  <c r="F5" i="72"/>
  <c r="D149" i="2"/>
  <c r="F15" i="72"/>
  <c r="F11" i="72"/>
  <c r="F5" i="67"/>
  <c r="D148" i="2"/>
  <c r="F13" i="67"/>
  <c r="F19" i="58"/>
  <c r="F5" i="58"/>
  <c r="D146" i="2"/>
  <c r="N146" i="2" s="1"/>
  <c r="F5" i="56"/>
  <c r="F15" i="56"/>
  <c r="F5" i="55"/>
  <c r="D145" i="2"/>
  <c r="F13" i="56"/>
  <c r="F11" i="54"/>
  <c r="F15" i="54"/>
  <c r="D143" i="2"/>
  <c r="N143" i="2" s="1"/>
  <c r="F5" i="54"/>
  <c r="F13" i="51"/>
  <c r="F5" i="51"/>
  <c r="D142" i="2"/>
  <c r="D141" i="2"/>
  <c r="F9" i="46"/>
  <c r="F11" i="46" s="1"/>
  <c r="D264" i="3" s="1"/>
  <c r="F15" i="46"/>
  <c r="D139" i="2"/>
  <c r="N139" i="2" s="1"/>
  <c r="F5" i="45"/>
  <c r="F5" i="44"/>
  <c r="D138" i="2"/>
  <c r="N138" i="2" s="1"/>
  <c r="D144" i="2"/>
  <c r="F15" i="42"/>
  <c r="F5" i="41"/>
  <c r="D137" i="2"/>
  <c r="N137" i="2" s="1"/>
  <c r="D136" i="2"/>
  <c r="N136" i="2" s="1"/>
  <c r="D134" i="2"/>
  <c r="N134" i="2" s="1"/>
  <c r="F17" i="36"/>
  <c r="F15" i="36"/>
  <c r="F15" i="35"/>
  <c r="F5" i="35"/>
  <c r="F11" i="69"/>
  <c r="F13" i="69"/>
  <c r="F11" i="67"/>
  <c r="F28" i="63"/>
  <c r="D137" i="3"/>
  <c r="F24" i="63"/>
  <c r="D115" i="3"/>
  <c r="F37" i="63"/>
  <c r="D130" i="3"/>
  <c r="F16" i="63"/>
  <c r="F13" i="62"/>
  <c r="F7" i="56"/>
  <c r="F9" i="56" s="1"/>
  <c r="F17" i="56" s="1"/>
  <c r="F15" i="55"/>
  <c r="D329" i="3"/>
  <c r="F21" i="57"/>
  <c r="F11" i="86"/>
  <c r="F5" i="53"/>
  <c r="F23" i="52"/>
  <c r="D259" i="3"/>
  <c r="F37" i="52"/>
  <c r="D526" i="3"/>
  <c r="F19" i="52"/>
  <c r="D457" i="3"/>
  <c r="F9" i="52"/>
  <c r="F7" i="52"/>
  <c r="F11" i="51"/>
  <c r="F15" i="51"/>
  <c r="F43" i="49"/>
  <c r="D288" i="3" s="1"/>
  <c r="F13" i="47"/>
  <c r="F19" i="45"/>
  <c r="F19" i="46"/>
  <c r="F11" i="44"/>
  <c r="F13" i="44"/>
  <c r="F9" i="41"/>
  <c r="D497" i="3" s="1"/>
  <c r="F15" i="41"/>
  <c r="F5" i="42"/>
  <c r="F35" i="39"/>
  <c r="D286" i="3"/>
  <c r="F23" i="39"/>
  <c r="D420" i="3"/>
  <c r="F45" i="39"/>
  <c r="D452" i="3"/>
  <c r="F27" i="39"/>
  <c r="D318" i="3"/>
  <c r="F81" i="39"/>
  <c r="D171" i="3"/>
  <c r="F3" i="39"/>
  <c r="F13" i="36"/>
  <c r="F17" i="35"/>
  <c r="F13" i="35"/>
  <c r="D441" i="3"/>
  <c r="F26" i="25"/>
  <c r="F9" i="25"/>
  <c r="D195" i="2" s="1"/>
  <c r="N195" i="2" s="1"/>
  <c r="F18" i="25"/>
  <c r="D474" i="3"/>
  <c r="F8" i="25"/>
  <c r="F14" i="25"/>
  <c r="F7" i="25"/>
  <c r="E99" i="25"/>
  <c r="F20" i="25"/>
  <c r="F24" i="25"/>
  <c r="F31" i="25"/>
  <c r="D523" i="3"/>
  <c r="F6" i="25"/>
  <c r="F21" i="25"/>
  <c r="F22" i="25" s="1"/>
  <c r="F25" i="25"/>
  <c r="F42" i="25"/>
  <c r="F5" i="25" s="1"/>
  <c r="F3" i="24"/>
  <c r="F7" i="24"/>
  <c r="D105" i="3"/>
  <c r="F9" i="24"/>
  <c r="D17" i="3"/>
  <c r="F11" i="24"/>
  <c r="D43" i="3"/>
  <c r="F199" i="23"/>
  <c r="F19" i="23" s="1"/>
  <c r="F20" i="23" s="1"/>
  <c r="D444" i="3" s="1"/>
  <c r="F12" i="23"/>
  <c r="D413" i="3"/>
  <c r="F14" i="23"/>
  <c r="D339" i="3"/>
  <c r="F16" i="23"/>
  <c r="D138" i="3"/>
  <c r="F18" i="23"/>
  <c r="F22" i="23"/>
  <c r="D281" i="3" s="1"/>
  <c r="F192" i="23"/>
  <c r="F4" i="23" s="1"/>
  <c r="D338" i="2" s="1"/>
  <c r="N338" i="2" s="1"/>
  <c r="F3" i="21"/>
  <c r="F8" i="21"/>
  <c r="F6" i="20"/>
  <c r="F7" i="20" s="1"/>
  <c r="F11" i="21"/>
  <c r="D486" i="3"/>
  <c r="F5" i="20"/>
  <c r="F7" i="21"/>
  <c r="F9" i="21" s="1"/>
  <c r="F3" i="20"/>
  <c r="D183" i="19"/>
  <c r="E183" i="19"/>
  <c r="D184" i="19"/>
  <c r="E184" i="19"/>
  <c r="D185" i="19"/>
  <c r="E185" i="19"/>
  <c r="D186" i="19"/>
  <c r="E186" i="19"/>
  <c r="D187" i="19"/>
  <c r="E187" i="19"/>
  <c r="F187" i="19"/>
  <c r="F217" i="19"/>
  <c r="F218" i="19"/>
  <c r="F194" i="19"/>
  <c r="F118" i="19"/>
  <c r="D118" i="19"/>
  <c r="F128" i="19"/>
  <c r="E128" i="19"/>
  <c r="D128" i="19"/>
  <c r="F125" i="19"/>
  <c r="E125" i="19"/>
  <c r="D125" i="19"/>
  <c r="F134" i="19"/>
  <c r="E134" i="19"/>
  <c r="D134" i="19"/>
  <c r="F139" i="19"/>
  <c r="E139" i="19"/>
  <c r="D139" i="19"/>
  <c r="F151" i="19"/>
  <c r="E151" i="19"/>
  <c r="D151" i="19"/>
  <c r="F170" i="19"/>
  <c r="E170" i="19"/>
  <c r="D170" i="19"/>
  <c r="F176" i="19"/>
  <c r="E176" i="19"/>
  <c r="D176" i="19"/>
  <c r="F181" i="19"/>
  <c r="E181" i="19"/>
  <c r="D181" i="19"/>
  <c r="F13" i="52"/>
  <c r="F17" i="39"/>
  <c r="F16" i="39"/>
  <c r="D158" i="2"/>
  <c r="N158" i="2" s="1"/>
  <c r="F5" i="21"/>
  <c r="D157" i="2"/>
  <c r="D193" i="2"/>
  <c r="N193" i="2" s="1"/>
  <c r="D196" i="2"/>
  <c r="N196" i="2" s="1"/>
  <c r="D192" i="2"/>
  <c r="N192" i="2" s="1"/>
  <c r="D194" i="2"/>
  <c r="N194" i="2" s="1"/>
  <c r="F17" i="24"/>
  <c r="D132" i="2"/>
  <c r="N132" i="2" s="1"/>
  <c r="F13" i="21"/>
  <c r="F43" i="52"/>
  <c r="F45" i="52"/>
  <c r="F41" i="52"/>
  <c r="F85" i="39"/>
  <c r="F87" i="39"/>
  <c r="F83" i="39"/>
  <c r="F16" i="25"/>
  <c r="F37" i="25" s="1"/>
  <c r="F27" i="25"/>
  <c r="D451" i="3" s="1"/>
  <c r="F5" i="24"/>
  <c r="F15" i="24"/>
  <c r="F13" i="24"/>
  <c r="F3" i="19"/>
  <c r="F4" i="19"/>
  <c r="F5" i="19"/>
  <c r="F13" i="19"/>
  <c r="D202" i="3"/>
  <c r="F15" i="19"/>
  <c r="D141" i="3"/>
  <c r="F17" i="19"/>
  <c r="D110" i="3" s="1"/>
  <c r="F19" i="19"/>
  <c r="F20" i="19"/>
  <c r="F23" i="19"/>
  <c r="D371" i="3"/>
  <c r="F25" i="19"/>
  <c r="D254" i="3"/>
  <c r="F27" i="19"/>
  <c r="D178" i="3"/>
  <c r="F29" i="19"/>
  <c r="F30" i="19"/>
  <c r="F33" i="19"/>
  <c r="F34" i="19"/>
  <c r="F32" i="13"/>
  <c r="F36" i="13"/>
  <c r="F19" i="13"/>
  <c r="D33" i="3" s="1"/>
  <c r="F25" i="13"/>
  <c r="F11" i="13"/>
  <c r="D13" i="2" s="1"/>
  <c r="N13" i="2" s="1"/>
  <c r="F169" i="13"/>
  <c r="F22" i="13" s="1"/>
  <c r="F10" i="13"/>
  <c r="D12" i="2" s="1"/>
  <c r="N12" i="2" s="1"/>
  <c r="F135" i="13"/>
  <c r="F21" i="13" s="1"/>
  <c r="F136" i="13"/>
  <c r="F35" i="13" s="1"/>
  <c r="F143" i="13"/>
  <c r="F9" i="13" s="1"/>
  <c r="F106" i="13"/>
  <c r="F17" i="13" s="1"/>
  <c r="D193" i="3" s="1"/>
  <c r="F107" i="13"/>
  <c r="F31" i="13" s="1"/>
  <c r="F114" i="13"/>
  <c r="F8" i="13" s="1"/>
  <c r="D10" i="2" s="1"/>
  <c r="N10" i="2" s="1"/>
  <c r="F26" i="13"/>
  <c r="F29" i="13"/>
  <c r="D346" i="3" s="1"/>
  <c r="F90" i="13"/>
  <c r="F7" i="13" s="1"/>
  <c r="D9" i="2" s="1"/>
  <c r="N9" i="2" s="1"/>
  <c r="F4" i="13"/>
  <c r="F174" i="18"/>
  <c r="F13" i="18"/>
  <c r="F175" i="18"/>
  <c r="F17" i="18"/>
  <c r="F176" i="18"/>
  <c r="F21" i="18"/>
  <c r="F177" i="18"/>
  <c r="F26" i="18"/>
  <c r="D160" i="3"/>
  <c r="F137" i="18"/>
  <c r="F16" i="18"/>
  <c r="F144" i="18"/>
  <c r="F8" i="18"/>
  <c r="D250" i="2"/>
  <c r="N250" i="2" s="1"/>
  <c r="F115" i="18"/>
  <c r="F24" i="18"/>
  <c r="D312" i="3"/>
  <c r="F123" i="18"/>
  <c r="F7" i="18"/>
  <c r="D249" i="2"/>
  <c r="N249" i="2" s="1"/>
  <c r="F12" i="18"/>
  <c r="F14" i="18"/>
  <c r="F88" i="18"/>
  <c r="F6" i="18"/>
  <c r="D248" i="2"/>
  <c r="F5" i="18"/>
  <c r="F3" i="15"/>
  <c r="F7" i="15"/>
  <c r="D412" i="3"/>
  <c r="F9" i="15"/>
  <c r="F11" i="15"/>
  <c r="F17" i="15"/>
  <c r="F11" i="16"/>
  <c r="F13" i="16" s="1"/>
  <c r="F3" i="16"/>
  <c r="F7" i="16"/>
  <c r="F9" i="16"/>
  <c r="F12" i="16"/>
  <c r="F18" i="15"/>
  <c r="F19" i="15" s="1"/>
  <c r="D332" i="2"/>
  <c r="D347" i="3"/>
  <c r="D273" i="3"/>
  <c r="D67" i="3"/>
  <c r="D24" i="3"/>
  <c r="F3" i="12"/>
  <c r="F8" i="12"/>
  <c r="F10" i="12"/>
  <c r="F12" i="12"/>
  <c r="F7" i="14"/>
  <c r="F9" i="14" s="1"/>
  <c r="F3" i="14"/>
  <c r="F8" i="14"/>
  <c r="F11" i="14"/>
  <c r="D128" i="2"/>
  <c r="N128" i="2" s="1"/>
  <c r="D466" i="3"/>
  <c r="F9" i="11"/>
  <c r="F11" i="11" s="1"/>
  <c r="F3" i="11"/>
  <c r="F7" i="11"/>
  <c r="F10" i="11"/>
  <c r="F13" i="11"/>
  <c r="F239" i="9"/>
  <c r="F20" i="9"/>
  <c r="F240" i="9"/>
  <c r="F24" i="9"/>
  <c r="F241" i="9"/>
  <c r="F30" i="9"/>
  <c r="F242" i="9"/>
  <c r="F45" i="9"/>
  <c r="F204" i="9"/>
  <c r="F23" i="9"/>
  <c r="F25" i="9"/>
  <c r="D181" i="3"/>
  <c r="F205" i="9"/>
  <c r="F41" i="9"/>
  <c r="F212" i="9"/>
  <c r="F8" i="9"/>
  <c r="D244" i="2"/>
  <c r="N244" i="2" s="1"/>
  <c r="F170" i="9"/>
  <c r="F27" i="9"/>
  <c r="D48" i="3"/>
  <c r="F171" i="9"/>
  <c r="F34" i="9"/>
  <c r="F172" i="9"/>
  <c r="F44" i="9"/>
  <c r="F46" i="9"/>
  <c r="D104" i="3"/>
  <c r="F179" i="9"/>
  <c r="F7" i="9"/>
  <c r="F130" i="9"/>
  <c r="F37" i="9"/>
  <c r="D71" i="3"/>
  <c r="F131" i="9"/>
  <c r="F40" i="9"/>
  <c r="F138" i="9"/>
  <c r="F6" i="9"/>
  <c r="F14" i="9"/>
  <c r="F105" i="9"/>
  <c r="F29" i="9"/>
  <c r="F31" i="9"/>
  <c r="D256" i="3"/>
  <c r="F106" i="9"/>
  <c r="F33" i="9"/>
  <c r="F35" i="9"/>
  <c r="D246" i="3"/>
  <c r="F113" i="9"/>
  <c r="F5" i="9"/>
  <c r="D241" i="2"/>
  <c r="N241" i="2" s="1"/>
  <c r="F79" i="9"/>
  <c r="F19" i="9"/>
  <c r="F21" i="9"/>
  <c r="F80" i="9"/>
  <c r="F39" i="9"/>
  <c r="F87" i="9"/>
  <c r="F4" i="9"/>
  <c r="D240" i="2"/>
  <c r="N240" i="2" s="1"/>
  <c r="F59" i="9"/>
  <c r="F3" i="9"/>
  <c r="F11" i="9"/>
  <c r="D131" i="7"/>
  <c r="D18" i="7" s="1"/>
  <c r="D132" i="7"/>
  <c r="D22" i="7"/>
  <c r="D23" i="7" s="1"/>
  <c r="B27" i="3" s="1"/>
  <c r="K27" i="3" s="1"/>
  <c r="D133" i="7"/>
  <c r="D26" i="7" s="1"/>
  <c r="D134" i="7"/>
  <c r="D29" i="7"/>
  <c r="B95" i="3" s="1"/>
  <c r="K95" i="3" s="1"/>
  <c r="F131" i="7"/>
  <c r="F18" i="7" s="1"/>
  <c r="F132" i="7"/>
  <c r="F22" i="7"/>
  <c r="F133" i="7"/>
  <c r="F26" i="7" s="1"/>
  <c r="F27" i="7" s="1"/>
  <c r="D13" i="3" s="1"/>
  <c r="F134" i="7"/>
  <c r="F29" i="7"/>
  <c r="D95" i="3" s="1"/>
  <c r="D120" i="7"/>
  <c r="D103" i="7"/>
  <c r="D96" i="7"/>
  <c r="E134" i="7"/>
  <c r="E29" i="7" s="1"/>
  <c r="C95" i="3" s="1"/>
  <c r="E133" i="7"/>
  <c r="E26" i="7"/>
  <c r="E27" i="7" s="1"/>
  <c r="C13" i="3" s="1"/>
  <c r="E132" i="7"/>
  <c r="E22" i="7" s="1"/>
  <c r="E23" i="7" s="1"/>
  <c r="C27" i="3" s="1"/>
  <c r="E131" i="7"/>
  <c r="E18" i="7"/>
  <c r="E19" i="7" s="1"/>
  <c r="C440" i="3" s="1"/>
  <c r="E120" i="7"/>
  <c r="E103" i="7"/>
  <c r="E96" i="7"/>
  <c r="F10" i="19"/>
  <c r="F9" i="19"/>
  <c r="D500" i="3"/>
  <c r="F13" i="15"/>
  <c r="D197" i="3"/>
  <c r="F19" i="16"/>
  <c r="D403" i="3"/>
  <c r="D450" i="3"/>
  <c r="F16" i="12"/>
  <c r="D20" i="3"/>
  <c r="F15" i="14"/>
  <c r="D61" i="3"/>
  <c r="F17" i="16"/>
  <c r="D470" i="3"/>
  <c r="F13" i="14"/>
  <c r="D100" i="3"/>
  <c r="F15" i="15"/>
  <c r="D443" i="3"/>
  <c r="D226" i="3"/>
  <c r="D186" i="2"/>
  <c r="D242" i="2"/>
  <c r="N242" i="2" s="1"/>
  <c r="F8" i="19"/>
  <c r="D185" i="2"/>
  <c r="N185" i="2" s="1"/>
  <c r="D187" i="2"/>
  <c r="N187" i="2" s="1"/>
  <c r="F5" i="15"/>
  <c r="D130" i="2"/>
  <c r="N130" i="2" s="1"/>
  <c r="F5" i="12"/>
  <c r="D129" i="2"/>
  <c r="N129" i="2"/>
  <c r="F5" i="16"/>
  <c r="D147" i="2"/>
  <c r="F17" i="14"/>
  <c r="F13" i="12"/>
  <c r="F14" i="12" s="1"/>
  <c r="F5" i="14"/>
  <c r="D131" i="2"/>
  <c r="F5" i="11"/>
  <c r="D135" i="2"/>
  <c r="N135" i="2" s="1"/>
  <c r="F35" i="19"/>
  <c r="D353" i="3"/>
  <c r="F21" i="19"/>
  <c r="D302" i="3" s="1"/>
  <c r="F31" i="19"/>
  <c r="D405" i="3"/>
  <c r="F6" i="19"/>
  <c r="F15" i="16"/>
  <c r="F21" i="15"/>
  <c r="F21" i="16"/>
  <c r="F6" i="12"/>
  <c r="F18" i="12"/>
  <c r="F19" i="11"/>
  <c r="F42" i="9"/>
  <c r="D243" i="3"/>
  <c r="F13" i="9"/>
  <c r="F9" i="9"/>
  <c r="F17" i="9"/>
  <c r="F11" i="19"/>
  <c r="F39" i="19"/>
  <c r="F41" i="19"/>
  <c r="F162" i="7"/>
  <c r="F15" i="7"/>
  <c r="D437" i="3" s="1"/>
  <c r="F163" i="7"/>
  <c r="F17" i="7" s="1"/>
  <c r="F19" i="7" s="1"/>
  <c r="D440" i="3" s="1"/>
  <c r="F141" i="7"/>
  <c r="F5" i="7" s="1"/>
  <c r="F25" i="7"/>
  <c r="F4" i="7"/>
  <c r="F9" i="7" s="1"/>
  <c r="F3" i="7"/>
  <c r="F3" i="6"/>
  <c r="F7" i="6"/>
  <c r="F9" i="6"/>
  <c r="D355" i="3"/>
  <c r="F3" i="5"/>
  <c r="F7" i="5"/>
  <c r="D118" i="3"/>
  <c r="F9" i="5"/>
  <c r="D186" i="3"/>
  <c r="F11" i="5"/>
  <c r="D116" i="3"/>
  <c r="F3" i="4"/>
  <c r="F7" i="4"/>
  <c r="D174" i="3"/>
  <c r="F9" i="4"/>
  <c r="F3" i="8"/>
  <c r="F7" i="8"/>
  <c r="F9" i="8"/>
  <c r="D238" i="3"/>
  <c r="F12" i="8"/>
  <c r="F10" i="4"/>
  <c r="F11" i="4" s="1"/>
  <c r="E411" i="39"/>
  <c r="F5" i="8"/>
  <c r="F5" i="4"/>
  <c r="F15" i="6"/>
  <c r="D521" i="3"/>
  <c r="F13" i="4"/>
  <c r="D60" i="3"/>
  <c r="F5" i="6"/>
  <c r="D331" i="2"/>
  <c r="N331" i="2" s="1"/>
  <c r="D4" i="2"/>
  <c r="F15" i="5"/>
  <c r="F17" i="5"/>
  <c r="D127" i="2"/>
  <c r="N127" i="2" s="1"/>
  <c r="F5" i="5"/>
  <c r="F17" i="8"/>
  <c r="F15" i="4"/>
  <c r="D140" i="2"/>
  <c r="F11" i="8"/>
  <c r="F13" i="8" s="1"/>
  <c r="F17" i="4"/>
  <c r="F15" i="8"/>
  <c r="D126" i="2"/>
  <c r="F8" i="7"/>
  <c r="F11" i="6"/>
  <c r="F13" i="6"/>
  <c r="F13" i="5"/>
  <c r="D164" i="27"/>
  <c r="D23" i="27" s="1"/>
  <c r="E26" i="27"/>
  <c r="E129" i="66"/>
  <c r="D558" i="3"/>
  <c r="D563" i="3"/>
  <c r="E311" i="57"/>
  <c r="E50" i="57"/>
  <c r="N252" i="2"/>
  <c r="N148" i="2"/>
  <c r="N157" i="2"/>
  <c r="N448" i="2"/>
  <c r="N144" i="2"/>
  <c r="N85" i="2"/>
  <c r="N140" i="2"/>
  <c r="N149" i="2"/>
  <c r="N141" i="2"/>
  <c r="N205" i="2"/>
  <c r="N4" i="2"/>
  <c r="N231" i="2"/>
  <c r="N145" i="2"/>
  <c r="N142" i="2"/>
  <c r="N186" i="2"/>
  <c r="N126" i="2"/>
  <c r="N147" i="2"/>
  <c r="N459" i="2"/>
  <c r="E86" i="37"/>
  <c r="E285" i="71"/>
  <c r="E222" i="71"/>
  <c r="E109" i="32"/>
  <c r="E213" i="96"/>
  <c r="E28" i="96"/>
  <c r="D213" i="96"/>
  <c r="D28" i="96"/>
  <c r="E199" i="96"/>
  <c r="E10" i="96"/>
  <c r="D199" i="96"/>
  <c r="D10" i="96"/>
  <c r="E192" i="96"/>
  <c r="E23" i="96"/>
  <c r="D192" i="96"/>
  <c r="E191" i="96"/>
  <c r="E19" i="96"/>
  <c r="D191" i="96"/>
  <c r="D19" i="96"/>
  <c r="D20" i="96"/>
  <c r="B489" i="3"/>
  <c r="K489" i="3" s="1"/>
  <c r="E190" i="96"/>
  <c r="D190" i="96"/>
  <c r="D16" i="96"/>
  <c r="E156" i="96"/>
  <c r="E9" i="96"/>
  <c r="C426" i="2"/>
  <c r="M426" i="2" s="1"/>
  <c r="D156" i="96"/>
  <c r="E149" i="96"/>
  <c r="E26" i="96"/>
  <c r="C252" i="3"/>
  <c r="D149" i="96"/>
  <c r="E132" i="96"/>
  <c r="D132" i="96"/>
  <c r="D8" i="96"/>
  <c r="E125" i="96"/>
  <c r="E18" i="96"/>
  <c r="E20" i="96"/>
  <c r="C489" i="3"/>
  <c r="D125" i="96"/>
  <c r="E111" i="96"/>
  <c r="E7" i="96"/>
  <c r="C424" i="2"/>
  <c r="M424" i="2" s="1"/>
  <c r="D111" i="96"/>
  <c r="E104" i="96"/>
  <c r="D104" i="96"/>
  <c r="D22" i="96"/>
  <c r="D24" i="96"/>
  <c r="B213" i="3"/>
  <c r="K213" i="3" s="1"/>
  <c r="E80" i="96"/>
  <c r="D80" i="96"/>
  <c r="E73" i="96"/>
  <c r="E14" i="96"/>
  <c r="C274" i="3"/>
  <c r="D73" i="96"/>
  <c r="E41" i="96"/>
  <c r="D41" i="96"/>
  <c r="E147" i="61"/>
  <c r="E15" i="61" s="1"/>
  <c r="C167" i="3" s="1"/>
  <c r="D147" i="61"/>
  <c r="E146" i="61"/>
  <c r="E13" i="61" s="1"/>
  <c r="C294" i="3" s="1"/>
  <c r="D146" i="61"/>
  <c r="D13" i="61" s="1"/>
  <c r="B294" i="3" s="1"/>
  <c r="K294" i="3" s="1"/>
  <c r="E145" i="61"/>
  <c r="E11" i="61" s="1"/>
  <c r="C345" i="3" s="1"/>
  <c r="D145" i="61"/>
  <c r="D11" i="61" s="1"/>
  <c r="B345" i="3" s="1"/>
  <c r="K345" i="3" s="1"/>
  <c r="E144" i="61"/>
  <c r="E9" i="61" s="1"/>
  <c r="D144" i="61"/>
  <c r="D9" i="61" s="1"/>
  <c r="B351" i="3" s="1"/>
  <c r="K351" i="3" s="1"/>
  <c r="E143" i="61"/>
  <c r="E7" i="61" s="1"/>
  <c r="C177" i="3" s="1"/>
  <c r="D143" i="61"/>
  <c r="D7" i="61" s="1"/>
  <c r="E137" i="61"/>
  <c r="D137" i="61"/>
  <c r="E111" i="61"/>
  <c r="D111" i="61"/>
  <c r="E92" i="61"/>
  <c r="D92" i="61"/>
  <c r="E75" i="61"/>
  <c r="D75" i="61"/>
  <c r="E71" i="61"/>
  <c r="D71" i="61"/>
  <c r="E61" i="61"/>
  <c r="D61" i="61"/>
  <c r="E41" i="61"/>
  <c r="D41" i="61"/>
  <c r="E28" i="61"/>
  <c r="E3" i="61" s="1"/>
  <c r="C381" i="2" s="1"/>
  <c r="M381" i="2" s="1"/>
  <c r="D28" i="61"/>
  <c r="D3" i="61" s="1"/>
  <c r="E255" i="95"/>
  <c r="D255" i="95"/>
  <c r="E254" i="95"/>
  <c r="E51" i="95"/>
  <c r="D254" i="95"/>
  <c r="E253" i="95"/>
  <c r="E48" i="95"/>
  <c r="D253" i="95"/>
  <c r="E252" i="95"/>
  <c r="E31" i="95"/>
  <c r="D252" i="95"/>
  <c r="E229" i="95"/>
  <c r="D229" i="95"/>
  <c r="D9" i="95"/>
  <c r="E222" i="95"/>
  <c r="E53" i="95"/>
  <c r="D222" i="95"/>
  <c r="E221" i="95"/>
  <c r="E47" i="95"/>
  <c r="D221" i="95"/>
  <c r="E220" i="95"/>
  <c r="E45" i="95"/>
  <c r="D220" i="95"/>
  <c r="E219" i="95"/>
  <c r="E43" i="95"/>
  <c r="D219" i="95"/>
  <c r="E218" i="95"/>
  <c r="E41" i="95"/>
  <c r="D218" i="95"/>
  <c r="E217" i="95"/>
  <c r="D217" i="95"/>
  <c r="E216" i="95"/>
  <c r="E37" i="95"/>
  <c r="D216" i="95"/>
  <c r="D37" i="95"/>
  <c r="E215" i="95"/>
  <c r="D215" i="95"/>
  <c r="E180" i="95"/>
  <c r="E8" i="95"/>
  <c r="D180" i="95"/>
  <c r="D8" i="95"/>
  <c r="E169" i="95"/>
  <c r="D169" i="95"/>
  <c r="D7" i="95"/>
  <c r="E134" i="95"/>
  <c r="D134" i="95"/>
  <c r="E133" i="95"/>
  <c r="D133" i="95"/>
  <c r="D21" i="95"/>
  <c r="E114" i="95"/>
  <c r="D114" i="95"/>
  <c r="D6" i="95"/>
  <c r="E106" i="95"/>
  <c r="E55" i="95"/>
  <c r="D106" i="95"/>
  <c r="E105" i="95"/>
  <c r="E35" i="95"/>
  <c r="D105" i="95"/>
  <c r="E104" i="95"/>
  <c r="E19" i="95"/>
  <c r="D104" i="95"/>
  <c r="E103" i="95"/>
  <c r="D103" i="95"/>
  <c r="E102" i="95"/>
  <c r="E15" i="95"/>
  <c r="D102" i="95"/>
  <c r="E99" i="95"/>
  <c r="D99" i="95"/>
  <c r="E68" i="95"/>
  <c r="E5" i="95"/>
  <c r="D68" i="95"/>
  <c r="D45" i="95"/>
  <c r="D29" i="95"/>
  <c r="E27" i="95"/>
  <c r="D13" i="95"/>
  <c r="E9" i="95"/>
  <c r="E258" i="94"/>
  <c r="D258" i="94"/>
  <c r="D38" i="94" s="1"/>
  <c r="D39" i="94" s="1"/>
  <c r="B140" i="3" s="1"/>
  <c r="K140" i="3" s="1"/>
  <c r="E257" i="94"/>
  <c r="D257" i="94"/>
  <c r="D28" i="94" s="1"/>
  <c r="D29" i="94" s="1"/>
  <c r="B195" i="3" s="1"/>
  <c r="K195" i="3" s="1"/>
  <c r="E242" i="94"/>
  <c r="E11" i="94" s="1"/>
  <c r="C324" i="2" s="1"/>
  <c r="M324" i="2" s="1"/>
  <c r="D242" i="94"/>
  <c r="D11" i="94" s="1"/>
  <c r="E235" i="94"/>
  <c r="E35" i="94" s="1"/>
  <c r="C32" i="3" s="1"/>
  <c r="D235" i="94"/>
  <c r="E234" i="94"/>
  <c r="D234" i="94"/>
  <c r="D32" i="94" s="1"/>
  <c r="E233" i="94"/>
  <c r="D233" i="94"/>
  <c r="D18" i="94" s="1"/>
  <c r="E205" i="94"/>
  <c r="D205" i="94"/>
  <c r="E197" i="94"/>
  <c r="E31" i="94" s="1"/>
  <c r="E33" i="94" s="1"/>
  <c r="C44" i="3" s="1"/>
  <c r="D197" i="94"/>
  <c r="D31" i="94" s="1"/>
  <c r="D33" i="94" s="1"/>
  <c r="B44" i="3" s="1"/>
  <c r="K44" i="3" s="1"/>
  <c r="E196" i="94"/>
  <c r="E17" i="94" s="1"/>
  <c r="D196" i="94"/>
  <c r="E172" i="94"/>
  <c r="E9" i="94"/>
  <c r="C322" i="2" s="1"/>
  <c r="M322" i="2" s="1"/>
  <c r="D172" i="94"/>
  <c r="E165" i="94"/>
  <c r="E25" i="94"/>
  <c r="C261" i="3" s="1"/>
  <c r="D165" i="94"/>
  <c r="E148" i="94"/>
  <c r="E8" i="94" s="1"/>
  <c r="C321" i="2" s="1"/>
  <c r="M321" i="2" s="1"/>
  <c r="D148" i="94"/>
  <c r="E141" i="94"/>
  <c r="E23" i="94" s="1"/>
  <c r="C31" i="3" s="1"/>
  <c r="D141" i="94"/>
  <c r="D23" i="94"/>
  <c r="B31" i="3"/>
  <c r="K31" i="3" s="1"/>
  <c r="E140" i="94"/>
  <c r="D140" i="94"/>
  <c r="D16" i="94" s="1"/>
  <c r="D19" i="94" s="1"/>
  <c r="E109" i="94"/>
  <c r="E7" i="94" s="1"/>
  <c r="D109" i="94"/>
  <c r="D37" i="94"/>
  <c r="E21" i="94"/>
  <c r="D21" i="94"/>
  <c r="B148" i="3"/>
  <c r="K148" i="3" s="1"/>
  <c r="E15" i="94"/>
  <c r="D15" i="94"/>
  <c r="E6" i="94"/>
  <c r="D6" i="94"/>
  <c r="E66" i="94"/>
  <c r="E27" i="94"/>
  <c r="D66" i="94"/>
  <c r="E50" i="94"/>
  <c r="D50" i="94"/>
  <c r="E37" i="94"/>
  <c r="E39" i="94" s="1"/>
  <c r="C140" i="3" s="1"/>
  <c r="D35" i="94"/>
  <c r="D17" i="94"/>
  <c r="D10" i="94"/>
  <c r="E398" i="93"/>
  <c r="E73" i="93" s="1"/>
  <c r="C527" i="3" s="1"/>
  <c r="D398" i="93"/>
  <c r="D73" i="93" s="1"/>
  <c r="B527" i="3" s="1"/>
  <c r="K527" i="3" s="1"/>
  <c r="E397" i="93"/>
  <c r="E70" i="93" s="1"/>
  <c r="D397" i="93"/>
  <c r="D70" i="93" s="1"/>
  <c r="E396" i="93"/>
  <c r="E67" i="93" s="1"/>
  <c r="C519" i="3" s="1"/>
  <c r="D396" i="93"/>
  <c r="D67" i="93" s="1"/>
  <c r="B519" i="3" s="1"/>
  <c r="K519" i="3" s="1"/>
  <c r="E374" i="93"/>
  <c r="E11" i="93" s="1"/>
  <c r="C419" i="2" s="1"/>
  <c r="M419" i="2" s="1"/>
  <c r="D374" i="93"/>
  <c r="D11" i="93" s="1"/>
  <c r="B419" i="2" s="1"/>
  <c r="L419" i="2" s="1"/>
  <c r="E367" i="93"/>
  <c r="E59" i="93" s="1"/>
  <c r="C432" i="3" s="1"/>
  <c r="D367" i="93"/>
  <c r="D59" i="93" s="1"/>
  <c r="B432" i="3" s="1"/>
  <c r="K432" i="3" s="1"/>
  <c r="E366" i="93"/>
  <c r="E57" i="93" s="1"/>
  <c r="C435" i="3" s="1"/>
  <c r="D366" i="93"/>
  <c r="D57" i="93" s="1"/>
  <c r="B435" i="3" s="1"/>
  <c r="K435" i="3" s="1"/>
  <c r="E365" i="93"/>
  <c r="E15" i="93" s="1"/>
  <c r="C525" i="3" s="1"/>
  <c r="D365" i="93"/>
  <c r="D15" i="93" s="1"/>
  <c r="B525" i="3" s="1"/>
  <c r="K525" i="3" s="1"/>
  <c r="E343" i="93"/>
  <c r="E10" i="93" s="1"/>
  <c r="C418" i="2" s="1"/>
  <c r="M418" i="2" s="1"/>
  <c r="D343" i="93"/>
  <c r="D10" i="93" s="1"/>
  <c r="B418" i="2" s="1"/>
  <c r="L418" i="2" s="1"/>
  <c r="E336" i="93"/>
  <c r="E51" i="93" s="1"/>
  <c r="C146" i="3" s="1"/>
  <c r="D336" i="93"/>
  <c r="D51" i="93" s="1"/>
  <c r="B146" i="3" s="1"/>
  <c r="K146" i="3" s="1"/>
  <c r="E335" i="93"/>
  <c r="E49" i="93" s="1"/>
  <c r="C56" i="3" s="1"/>
  <c r="D335" i="93"/>
  <c r="D49" i="93" s="1"/>
  <c r="B56" i="3" s="1"/>
  <c r="K56" i="3" s="1"/>
  <c r="E316" i="93"/>
  <c r="E9" i="93" s="1"/>
  <c r="C417" i="2" s="1"/>
  <c r="M417" i="2" s="1"/>
  <c r="D316" i="93"/>
  <c r="D9" i="93" s="1"/>
  <c r="B417" i="2" s="1"/>
  <c r="L417" i="2" s="1"/>
  <c r="E309" i="93"/>
  <c r="E65" i="93" s="1"/>
  <c r="C448" i="3" s="1"/>
  <c r="D309" i="93"/>
  <c r="D65" i="93" s="1"/>
  <c r="B448" i="3" s="1"/>
  <c r="K448" i="3" s="1"/>
  <c r="E308" i="93"/>
  <c r="E63" i="93" s="1"/>
  <c r="C481" i="3" s="1"/>
  <c r="D308" i="93"/>
  <c r="D63" i="93" s="1"/>
  <c r="B481" i="3" s="1"/>
  <c r="K481" i="3" s="1"/>
  <c r="E307" i="93"/>
  <c r="E61" i="93" s="1"/>
  <c r="C491" i="3" s="1"/>
  <c r="D307" i="93"/>
  <c r="D61" i="93" s="1"/>
  <c r="B491" i="3" s="1"/>
  <c r="K491" i="3" s="1"/>
  <c r="E306" i="93"/>
  <c r="E46" i="93" s="1"/>
  <c r="D306" i="93"/>
  <c r="D46" i="93" s="1"/>
  <c r="E280" i="93"/>
  <c r="E8" i="93" s="1"/>
  <c r="C416" i="2" s="1"/>
  <c r="M416" i="2" s="1"/>
  <c r="D280" i="93"/>
  <c r="D8" i="93" s="1"/>
  <c r="B416" i="2" s="1"/>
  <c r="E273" i="93"/>
  <c r="E69" i="93" s="1"/>
  <c r="D273" i="93"/>
  <c r="D69" i="93" s="1"/>
  <c r="E272" i="93"/>
  <c r="E53" i="93" s="1"/>
  <c r="C366" i="3" s="1"/>
  <c r="D272" i="93"/>
  <c r="D53" i="93" s="1"/>
  <c r="B366" i="3" s="1"/>
  <c r="K366" i="3" s="1"/>
  <c r="E271" i="93"/>
  <c r="E45" i="93" s="1"/>
  <c r="D271" i="93"/>
  <c r="D45" i="93" s="1"/>
  <c r="E270" i="93"/>
  <c r="E43" i="93" s="1"/>
  <c r="C520" i="3" s="1"/>
  <c r="D270" i="93"/>
  <c r="D43" i="93" s="1"/>
  <c r="B520" i="3" s="1"/>
  <c r="K520" i="3" s="1"/>
  <c r="E269" i="93"/>
  <c r="E41" i="93" s="1"/>
  <c r="C512" i="3" s="1"/>
  <c r="D269" i="93"/>
  <c r="D41" i="93" s="1"/>
  <c r="B512" i="3" s="1"/>
  <c r="K512" i="3" s="1"/>
  <c r="E243" i="93"/>
  <c r="E7" i="93" s="1"/>
  <c r="C415" i="2" s="1"/>
  <c r="M415" i="2" s="1"/>
  <c r="D243" i="93"/>
  <c r="D7" i="93" s="1"/>
  <c r="B415" i="2" s="1"/>
  <c r="L415" i="2" s="1"/>
  <c r="E236" i="93"/>
  <c r="E39" i="93" s="1"/>
  <c r="C436" i="3" s="1"/>
  <c r="D236" i="93"/>
  <c r="D39" i="93" s="1"/>
  <c r="B436" i="3" s="1"/>
  <c r="K436" i="3" s="1"/>
  <c r="E235" i="93"/>
  <c r="E37" i="93" s="1"/>
  <c r="C239" i="3" s="1"/>
  <c r="D235" i="93"/>
  <c r="D37" i="93" s="1"/>
  <c r="B239" i="3" s="1"/>
  <c r="K239" i="3" s="1"/>
  <c r="E234" i="93"/>
  <c r="E35" i="93" s="1"/>
  <c r="C198" i="3" s="1"/>
  <c r="D234" i="93"/>
  <c r="D35" i="93" s="1"/>
  <c r="B198" i="3" s="1"/>
  <c r="K198" i="3" s="1"/>
  <c r="E214" i="93"/>
  <c r="E6" i="93" s="1"/>
  <c r="C414" i="2" s="1"/>
  <c r="M414" i="2" s="1"/>
  <c r="D214" i="93"/>
  <c r="D6" i="93" s="1"/>
  <c r="B414" i="2" s="1"/>
  <c r="L414" i="2" s="1"/>
  <c r="E55" i="93"/>
  <c r="C236" i="3" s="1"/>
  <c r="D55" i="93"/>
  <c r="B236" i="3" s="1"/>
  <c r="K236" i="3" s="1"/>
  <c r="E33" i="93"/>
  <c r="E31" i="93"/>
  <c r="C352" i="3" s="1"/>
  <c r="E29" i="93"/>
  <c r="C390" i="3" s="1"/>
  <c r="D29" i="93"/>
  <c r="B390" i="3" s="1"/>
  <c r="K390" i="3" s="1"/>
  <c r="E27" i="93"/>
  <c r="C337" i="3" s="1"/>
  <c r="E25" i="93"/>
  <c r="C460" i="3" s="1"/>
  <c r="D23" i="93"/>
  <c r="E21" i="93"/>
  <c r="C159" i="3" s="1"/>
  <c r="E19" i="93"/>
  <c r="C488" i="3" s="1"/>
  <c r="D19" i="93"/>
  <c r="B488" i="3" s="1"/>
  <c r="K488" i="3" s="1"/>
  <c r="D17" i="93"/>
  <c r="B501" i="3" s="1"/>
  <c r="K501" i="3" s="1"/>
  <c r="E5" i="93"/>
  <c r="D5" i="93"/>
  <c r="B413" i="2" s="1"/>
  <c r="L413" i="2" s="1"/>
  <c r="E11" i="21"/>
  <c r="D11" i="21"/>
  <c r="E8" i="21"/>
  <c r="D8" i="21"/>
  <c r="D5" i="21"/>
  <c r="E3" i="21"/>
  <c r="D3" i="21"/>
  <c r="E33" i="32"/>
  <c r="C237" i="3" s="1"/>
  <c r="E16" i="32"/>
  <c r="D16" i="32"/>
  <c r="D9" i="32"/>
  <c r="B410" i="2" s="1"/>
  <c r="L410" i="2" s="1"/>
  <c r="E31" i="32"/>
  <c r="C320" i="3" s="1"/>
  <c r="D31" i="32"/>
  <c r="B320" i="3" s="1"/>
  <c r="K320" i="3" s="1"/>
  <c r="D15" i="32"/>
  <c r="E155" i="32"/>
  <c r="E8" i="32"/>
  <c r="D155" i="32"/>
  <c r="D8" i="32"/>
  <c r="B409" i="2" s="1"/>
  <c r="L409" i="2" s="1"/>
  <c r="E172" i="32"/>
  <c r="D172" i="32"/>
  <c r="E148" i="32"/>
  <c r="D148" i="32"/>
  <c r="D14" i="32"/>
  <c r="D109" i="32"/>
  <c r="E7" i="32"/>
  <c r="E92" i="32"/>
  <c r="E27" i="32" s="1"/>
  <c r="D92" i="32"/>
  <c r="D27" i="32" s="1"/>
  <c r="E91" i="32"/>
  <c r="E24" i="32" s="1"/>
  <c r="D91" i="32"/>
  <c r="D24" i="32" s="1"/>
  <c r="E90" i="32"/>
  <c r="E20" i="32" s="1"/>
  <c r="D90" i="32"/>
  <c r="D20" i="32" s="1"/>
  <c r="E71" i="32"/>
  <c r="E6" i="32" s="1"/>
  <c r="C407" i="2" s="1"/>
  <c r="D71" i="32"/>
  <c r="D6" i="32" s="1"/>
  <c r="E64" i="32"/>
  <c r="E23" i="32" s="1"/>
  <c r="D64" i="32"/>
  <c r="D23" i="32" s="1"/>
  <c r="E63" i="32"/>
  <c r="E19" i="32" s="1"/>
  <c r="D63" i="32"/>
  <c r="D19" i="32" s="1"/>
  <c r="E44" i="32"/>
  <c r="E5" i="32" s="1"/>
  <c r="D44" i="32"/>
  <c r="D5" i="32" s="1"/>
  <c r="B406" i="2" s="1"/>
  <c r="L406" i="2" s="1"/>
  <c r="D28" i="32"/>
  <c r="D15" i="91"/>
  <c r="E5" i="91"/>
  <c r="B188" i="2"/>
  <c r="L188" i="2" s="1"/>
  <c r="E11" i="90"/>
  <c r="D11" i="90"/>
  <c r="E9" i="90"/>
  <c r="D9" i="90"/>
  <c r="E7" i="90"/>
  <c r="E15" i="90"/>
  <c r="D7" i="90"/>
  <c r="E3" i="90"/>
  <c r="D3" i="90"/>
  <c r="E15" i="79"/>
  <c r="D15" i="79"/>
  <c r="E12" i="79"/>
  <c r="D12" i="79"/>
  <c r="E8" i="79"/>
  <c r="D8" i="79"/>
  <c r="D21" i="79"/>
  <c r="E3" i="79"/>
  <c r="D3" i="79"/>
  <c r="E224" i="89"/>
  <c r="E42" i="89" s="1"/>
  <c r="C445" i="3" s="1"/>
  <c r="D224" i="89"/>
  <c r="D42" i="89" s="1"/>
  <c r="B445" i="3" s="1"/>
  <c r="K445" i="3" s="1"/>
  <c r="E223" i="89"/>
  <c r="E38" i="89" s="1"/>
  <c r="C305" i="3" s="1"/>
  <c r="D223" i="89"/>
  <c r="E222" i="89"/>
  <c r="E22" i="89" s="1"/>
  <c r="C419" i="3" s="1"/>
  <c r="D222" i="89"/>
  <c r="D22" i="89" s="1"/>
  <c r="B419" i="3" s="1"/>
  <c r="K419" i="3" s="1"/>
  <c r="E195" i="89"/>
  <c r="E9" i="89" s="1"/>
  <c r="C178" i="2" s="1"/>
  <c r="M178" i="2" s="1"/>
  <c r="D195" i="89"/>
  <c r="D9" i="89" s="1"/>
  <c r="B178" i="2" s="1"/>
  <c r="L178" i="2" s="1"/>
  <c r="E188" i="89"/>
  <c r="E36" i="89" s="1"/>
  <c r="D188" i="89"/>
  <c r="D36" i="89" s="1"/>
  <c r="E187" i="89"/>
  <c r="D187" i="89"/>
  <c r="D25" i="89" s="1"/>
  <c r="E167" i="89"/>
  <c r="E8" i="89" s="1"/>
  <c r="D167" i="89"/>
  <c r="E160" i="89"/>
  <c r="E40" i="89" s="1"/>
  <c r="C161" i="3" s="1"/>
  <c r="D160" i="89"/>
  <c r="D40" i="89" s="1"/>
  <c r="B161" i="3" s="1"/>
  <c r="K161" i="3" s="1"/>
  <c r="E159" i="89"/>
  <c r="E34" i="89" s="1"/>
  <c r="C142" i="3" s="1"/>
  <c r="D159" i="89"/>
  <c r="D34" i="89" s="1"/>
  <c r="B142" i="3" s="1"/>
  <c r="K142" i="3" s="1"/>
  <c r="E137" i="89"/>
  <c r="E7" i="89" s="1"/>
  <c r="C176" i="2" s="1"/>
  <c r="M176" i="2" s="1"/>
  <c r="D137" i="89"/>
  <c r="D7" i="89" s="1"/>
  <c r="B176" i="2" s="1"/>
  <c r="L176" i="2" s="1"/>
  <c r="E32" i="89"/>
  <c r="C439" i="3" s="1"/>
  <c r="D32" i="89"/>
  <c r="B439" i="3" s="1"/>
  <c r="K439" i="3" s="1"/>
  <c r="E30" i="89"/>
  <c r="C528" i="3" s="1"/>
  <c r="D30" i="89"/>
  <c r="B528" i="3" s="1"/>
  <c r="K528" i="3" s="1"/>
  <c r="E28" i="89"/>
  <c r="C536" i="3" s="1"/>
  <c r="D28" i="89"/>
  <c r="B536" i="3" s="1"/>
  <c r="K536" i="3" s="1"/>
  <c r="D6" i="89"/>
  <c r="E82" i="89"/>
  <c r="E24" i="89" s="1"/>
  <c r="D82" i="89"/>
  <c r="D24" i="89" s="1"/>
  <c r="E80" i="89"/>
  <c r="E16" i="89" s="1"/>
  <c r="C476" i="3" s="1"/>
  <c r="D80" i="89"/>
  <c r="D16" i="89" s="1"/>
  <c r="B476" i="3" s="1"/>
  <c r="K476" i="3" s="1"/>
  <c r="E79" i="89"/>
  <c r="E14" i="89" s="1"/>
  <c r="D79" i="89"/>
  <c r="D14" i="89" s="1"/>
  <c r="B411" i="3" s="1"/>
  <c r="K411" i="3" s="1"/>
  <c r="D13" i="88"/>
  <c r="E5" i="86"/>
  <c r="D5" i="86"/>
  <c r="E9" i="85"/>
  <c r="D9" i="85"/>
  <c r="E7" i="85"/>
  <c r="D7" i="85"/>
  <c r="E3" i="85"/>
  <c r="D3" i="85"/>
  <c r="D5" i="85"/>
  <c r="E53" i="87"/>
  <c r="D53" i="87"/>
  <c r="D15" i="87"/>
  <c r="E346" i="87"/>
  <c r="E44" i="87" s="1"/>
  <c r="C139" i="3" s="1"/>
  <c r="D346" i="87"/>
  <c r="D44" i="87" s="1"/>
  <c r="B139" i="3" s="1"/>
  <c r="K139" i="3" s="1"/>
  <c r="E345" i="87"/>
  <c r="D345" i="87"/>
  <c r="D31" i="87" s="1"/>
  <c r="E314" i="87"/>
  <c r="E14" i="87" s="1"/>
  <c r="C314" i="2" s="1"/>
  <c r="M314" i="2" s="1"/>
  <c r="D314" i="87"/>
  <c r="D14" i="87" s="1"/>
  <c r="B314" i="2" s="1"/>
  <c r="L314" i="2" s="1"/>
  <c r="E306" i="87"/>
  <c r="D306" i="87"/>
  <c r="D20" i="87" s="1"/>
  <c r="E284" i="87"/>
  <c r="E13" i="87" s="1"/>
  <c r="C313" i="2" s="1"/>
  <c r="M313" i="2" s="1"/>
  <c r="D284" i="87"/>
  <c r="E277" i="87"/>
  <c r="D277" i="87"/>
  <c r="E259" i="87"/>
  <c r="E12" i="87" s="1"/>
  <c r="C312" i="2" s="1"/>
  <c r="M312" i="2" s="1"/>
  <c r="D259" i="87"/>
  <c r="D12" i="87" s="1"/>
  <c r="B312" i="2" s="1"/>
  <c r="L312" i="2" s="1"/>
  <c r="E252" i="87"/>
  <c r="D252" i="87"/>
  <c r="D46" i="87" s="1"/>
  <c r="B279" i="3" s="1"/>
  <c r="K279" i="3" s="1"/>
  <c r="E237" i="87"/>
  <c r="E11" i="87" s="1"/>
  <c r="C311" i="2" s="1"/>
  <c r="M311" i="2" s="1"/>
  <c r="D237" i="87"/>
  <c r="E214" i="87"/>
  <c r="E10" i="87" s="1"/>
  <c r="D214" i="87"/>
  <c r="D10" i="87" s="1"/>
  <c r="B310" i="2" s="1"/>
  <c r="L310" i="2" s="1"/>
  <c r="E207" i="87"/>
  <c r="D207" i="87"/>
  <c r="D38" i="87" s="1"/>
  <c r="B249" i="3" s="1"/>
  <c r="K249" i="3" s="1"/>
  <c r="E206" i="87"/>
  <c r="D206" i="87"/>
  <c r="D25" i="87" s="1"/>
  <c r="E205" i="87"/>
  <c r="E19" i="87" s="1"/>
  <c r="D205" i="87"/>
  <c r="E184" i="87"/>
  <c r="E9" i="87"/>
  <c r="D184" i="87"/>
  <c r="D9" i="87" s="1"/>
  <c r="E177" i="87"/>
  <c r="D177" i="87"/>
  <c r="D35" i="87" s="1"/>
  <c r="E176" i="87"/>
  <c r="E24" i="87" s="1"/>
  <c r="D176" i="87"/>
  <c r="E153" i="87"/>
  <c r="D153" i="87"/>
  <c r="D8" i="87" s="1"/>
  <c r="B308" i="2" s="1"/>
  <c r="L308" i="2" s="1"/>
  <c r="E146" i="87"/>
  <c r="E52" i="87" s="1"/>
  <c r="D146" i="87"/>
  <c r="D52" i="87" s="1"/>
  <c r="E145" i="87"/>
  <c r="D145" i="87"/>
  <c r="E144" i="87"/>
  <c r="E34" i="87" s="1"/>
  <c r="E36" i="87" s="1"/>
  <c r="C225" i="3" s="1"/>
  <c r="D144" i="87"/>
  <c r="D34" i="87" s="1"/>
  <c r="E143" i="87"/>
  <c r="D143" i="87"/>
  <c r="D30" i="87" s="1"/>
  <c r="E119" i="87"/>
  <c r="E7" i="87" s="1"/>
  <c r="C307" i="2" s="1"/>
  <c r="M307" i="2" s="1"/>
  <c r="D119" i="87"/>
  <c r="D7" i="87" s="1"/>
  <c r="E112" i="87"/>
  <c r="D112" i="87"/>
  <c r="D23" i="87" s="1"/>
  <c r="E97" i="87"/>
  <c r="E6" i="87" s="1"/>
  <c r="C306" i="2" s="1"/>
  <c r="M306" i="2" s="1"/>
  <c r="D97" i="87"/>
  <c r="D6" i="87" s="1"/>
  <c r="B306" i="2" s="1"/>
  <c r="E40" i="87"/>
  <c r="D40" i="87"/>
  <c r="E28" i="87"/>
  <c r="C99" i="3" s="1"/>
  <c r="D28" i="87"/>
  <c r="B99" i="3" s="1"/>
  <c r="K99" i="3" s="1"/>
  <c r="E5" i="87"/>
  <c r="C305" i="2" s="1"/>
  <c r="M305" i="2" s="1"/>
  <c r="D5" i="87"/>
  <c r="B305" i="2" s="1"/>
  <c r="L305" i="2" s="1"/>
  <c r="D49" i="87"/>
  <c r="E285" i="84"/>
  <c r="E34" i="84" s="1"/>
  <c r="C82" i="3" s="1"/>
  <c r="D285" i="84"/>
  <c r="E284" i="84"/>
  <c r="E31" i="84" s="1"/>
  <c r="E32" i="84" s="1"/>
  <c r="C111" i="3" s="1"/>
  <c r="D284" i="84"/>
  <c r="D31" i="84"/>
  <c r="E259" i="84"/>
  <c r="D259" i="84"/>
  <c r="D11" i="84" s="1"/>
  <c r="B62" i="2" s="1"/>
  <c r="L62" i="2" s="1"/>
  <c r="E30" i="84"/>
  <c r="D30" i="84"/>
  <c r="D32" i="84" s="1"/>
  <c r="B111" i="3" s="1"/>
  <c r="K111" i="3" s="1"/>
  <c r="D21" i="84"/>
  <c r="D10" i="84"/>
  <c r="B61" i="2" s="1"/>
  <c r="L61" i="2" s="1"/>
  <c r="E210" i="84"/>
  <c r="E37" i="84" s="1"/>
  <c r="D210" i="84"/>
  <c r="D37" i="84" s="1"/>
  <c r="E209" i="84"/>
  <c r="D209" i="84"/>
  <c r="E208" i="84"/>
  <c r="D208" i="84"/>
  <c r="D16" i="84" s="1"/>
  <c r="E175" i="84"/>
  <c r="E9" i="84" s="1"/>
  <c r="C60" i="2" s="1"/>
  <c r="M60" i="2" s="1"/>
  <c r="D175" i="84"/>
  <c r="E168" i="84"/>
  <c r="E20" i="84" s="1"/>
  <c r="D168" i="84"/>
  <c r="D20" i="84" s="1"/>
  <c r="E167" i="84"/>
  <c r="E15" i="84" s="1"/>
  <c r="D167" i="84"/>
  <c r="D15" i="84" s="1"/>
  <c r="D17" i="84" s="1"/>
  <c r="E135" i="84"/>
  <c r="E8" i="84" s="1"/>
  <c r="C59" i="2" s="1"/>
  <c r="M59" i="2" s="1"/>
  <c r="D135" i="84"/>
  <c r="D8" i="84" s="1"/>
  <c r="B59" i="2" s="1"/>
  <c r="L59" i="2" s="1"/>
  <c r="E128" i="84"/>
  <c r="D128" i="84"/>
  <c r="E127" i="84"/>
  <c r="E19" i="84" s="1"/>
  <c r="D127" i="84"/>
  <c r="D19" i="84" s="1"/>
  <c r="E109" i="84"/>
  <c r="E7" i="84" s="1"/>
  <c r="D109" i="84"/>
  <c r="E102" i="84"/>
  <c r="E36" i="84" s="1"/>
  <c r="E38" i="84" s="1"/>
  <c r="C154" i="3" s="1"/>
  <c r="D102" i="84"/>
  <c r="D36" i="84" s="1"/>
  <c r="E86" i="84"/>
  <c r="D86" i="84"/>
  <c r="D6" i="84" s="1"/>
  <c r="E78" i="84"/>
  <c r="D78" i="84"/>
  <c r="E49" i="84"/>
  <c r="D49" i="84"/>
  <c r="E9" i="83"/>
  <c r="D9" i="83"/>
  <c r="E7" i="83"/>
  <c r="E13" i="83"/>
  <c r="D7" i="83"/>
  <c r="E3" i="83"/>
  <c r="D3" i="83"/>
  <c r="E377" i="82"/>
  <c r="E54" i="82" s="1"/>
  <c r="D377" i="82"/>
  <c r="D54" i="82" s="1"/>
  <c r="E365" i="82"/>
  <c r="E14" i="82" s="1"/>
  <c r="C401" i="2" s="1"/>
  <c r="M401" i="2" s="1"/>
  <c r="D365" i="82"/>
  <c r="D14" i="82" s="1"/>
  <c r="B401" i="2" s="1"/>
  <c r="L401" i="2" s="1"/>
  <c r="E358" i="82"/>
  <c r="D358" i="82"/>
  <c r="D50" i="82" s="1"/>
  <c r="E357" i="82"/>
  <c r="D357" i="82"/>
  <c r="E328" i="82"/>
  <c r="D328" i="82"/>
  <c r="D13" i="82" s="1"/>
  <c r="B400" i="2" s="1"/>
  <c r="L400" i="2" s="1"/>
  <c r="E49" i="82"/>
  <c r="E33" i="82"/>
  <c r="D33" i="82"/>
  <c r="E12" i="82"/>
  <c r="C399" i="2" s="1"/>
  <c r="M399" i="2" s="1"/>
  <c r="E284" i="82"/>
  <c r="E32" i="82" s="1"/>
  <c r="D284" i="82"/>
  <c r="D32" i="82" s="1"/>
  <c r="E283" i="82"/>
  <c r="E30" i="82" s="1"/>
  <c r="C227" i="3" s="1"/>
  <c r="D283" i="82"/>
  <c r="D30" i="82" s="1"/>
  <c r="B227" i="3" s="1"/>
  <c r="K227" i="3" s="1"/>
  <c r="E256" i="82"/>
  <c r="D256" i="82"/>
  <c r="E48" i="82"/>
  <c r="D48" i="82"/>
  <c r="D42" i="82"/>
  <c r="D28" i="82"/>
  <c r="B459" i="3" s="1"/>
  <c r="K459" i="3" s="1"/>
  <c r="E10" i="82"/>
  <c r="C397" i="2" s="1"/>
  <c r="M397" i="2" s="1"/>
  <c r="D10" i="82"/>
  <c r="B397" i="2" s="1"/>
  <c r="L397" i="2" s="1"/>
  <c r="D53" i="82"/>
  <c r="E25" i="82"/>
  <c r="D25" i="82"/>
  <c r="E9" i="82"/>
  <c r="C396" i="2" s="1"/>
  <c r="M396" i="2" s="1"/>
  <c r="D9" i="82"/>
  <c r="E176" i="82"/>
  <c r="E24" i="82" s="1"/>
  <c r="E26" i="82" s="1"/>
  <c r="C233" i="3" s="1"/>
  <c r="D176" i="82"/>
  <c r="D24" i="82" s="1"/>
  <c r="D26" i="82" s="1"/>
  <c r="B233" i="3" s="1"/>
  <c r="K233" i="3" s="1"/>
  <c r="E175" i="82"/>
  <c r="E20" i="82" s="1"/>
  <c r="C224" i="3" s="1"/>
  <c r="D175" i="82"/>
  <c r="E152" i="82"/>
  <c r="E8" i="82" s="1"/>
  <c r="C395" i="2" s="1"/>
  <c r="M395" i="2" s="1"/>
  <c r="D152" i="82"/>
  <c r="D8" i="82" s="1"/>
  <c r="E145" i="82"/>
  <c r="E22" i="82" s="1"/>
  <c r="D145" i="82"/>
  <c r="E128" i="82"/>
  <c r="E7" i="82" s="1"/>
  <c r="D128" i="82"/>
  <c r="D7" i="82" s="1"/>
  <c r="B394" i="2" s="1"/>
  <c r="L394" i="2" s="1"/>
  <c r="D46" i="82"/>
  <c r="B421" i="3" s="1"/>
  <c r="K421" i="3" s="1"/>
  <c r="D40" i="82"/>
  <c r="D8" i="58"/>
  <c r="D9" i="58" s="1"/>
  <c r="C38" i="3"/>
  <c r="D17" i="58"/>
  <c r="E15" i="58"/>
  <c r="D15" i="58"/>
  <c r="D5" i="59"/>
  <c r="E38" i="81"/>
  <c r="C365" i="3" s="1"/>
  <c r="D38" i="81"/>
  <c r="B365" i="3" s="1"/>
  <c r="K365" i="3" s="1"/>
  <c r="E36" i="81"/>
  <c r="D36" i="81"/>
  <c r="E34" i="81"/>
  <c r="C194" i="3" s="1"/>
  <c r="D34" i="81"/>
  <c r="B194" i="3" s="1"/>
  <c r="K194" i="3" s="1"/>
  <c r="E32" i="81"/>
  <c r="C112" i="3" s="1"/>
  <c r="D32" i="81"/>
  <c r="B112" i="3" s="1"/>
  <c r="K112" i="3" s="1"/>
  <c r="E30" i="81"/>
  <c r="C306" i="3" s="1"/>
  <c r="D30" i="81"/>
  <c r="B306" i="3" s="1"/>
  <c r="K306" i="3" s="1"/>
  <c r="E23" i="81"/>
  <c r="D23" i="81"/>
  <c r="E8" i="81"/>
  <c r="D8" i="81"/>
  <c r="E149" i="81"/>
  <c r="E41" i="81" s="1"/>
  <c r="D149" i="81"/>
  <c r="D41" i="81" s="1"/>
  <c r="E148" i="81"/>
  <c r="E28" i="81" s="1"/>
  <c r="C503" i="3" s="1"/>
  <c r="D148" i="81"/>
  <c r="D28" i="81" s="1"/>
  <c r="B503" i="3" s="1"/>
  <c r="K503" i="3" s="1"/>
  <c r="E147" i="81"/>
  <c r="E26" i="81" s="1"/>
  <c r="C192" i="3" s="1"/>
  <c r="D147" i="81"/>
  <c r="D26" i="81" s="1"/>
  <c r="B192" i="3" s="1"/>
  <c r="K192" i="3" s="1"/>
  <c r="E124" i="81"/>
  <c r="E7" i="81" s="1"/>
  <c r="C453" i="2" s="1"/>
  <c r="M453" i="2" s="1"/>
  <c r="D124" i="81"/>
  <c r="D7" i="81" s="1"/>
  <c r="B453" i="2" s="1"/>
  <c r="L453" i="2" s="1"/>
  <c r="E20" i="81"/>
  <c r="C208" i="3" s="1"/>
  <c r="D18" i="81"/>
  <c r="B257" i="3" s="1"/>
  <c r="K257" i="3" s="1"/>
  <c r="E16" i="81"/>
  <c r="C270" i="3" s="1"/>
  <c r="D6" i="81"/>
  <c r="B452" i="2" s="1"/>
  <c r="L452" i="2" s="1"/>
  <c r="E79" i="81"/>
  <c r="E40" i="81" s="1"/>
  <c r="D79" i="81"/>
  <c r="D40" i="81" s="1"/>
  <c r="E78" i="81"/>
  <c r="E22" i="81" s="1"/>
  <c r="D78" i="81"/>
  <c r="D22" i="81" s="1"/>
  <c r="E77" i="81"/>
  <c r="E14" i="81" s="1"/>
  <c r="C396" i="3" s="1"/>
  <c r="D77" i="81"/>
  <c r="D14" i="81" s="1"/>
  <c r="B396" i="3" s="1"/>
  <c r="K396" i="3" s="1"/>
  <c r="E76" i="81"/>
  <c r="D76" i="81"/>
  <c r="D12" i="81" s="1"/>
  <c r="B490" i="3" s="1"/>
  <c r="K490" i="3" s="1"/>
  <c r="E53" i="81"/>
  <c r="E5" i="81" s="1"/>
  <c r="C451" i="2" s="1"/>
  <c r="M451" i="2" s="1"/>
  <c r="D53" i="81"/>
  <c r="D5" i="81" s="1"/>
  <c r="B451" i="2" s="1"/>
  <c r="L451" i="2" s="1"/>
  <c r="E11" i="80"/>
  <c r="D11" i="80"/>
  <c r="E9" i="80"/>
  <c r="D9" i="80"/>
  <c r="D17" i="80"/>
  <c r="E7" i="80"/>
  <c r="D7" i="80"/>
  <c r="E3" i="80"/>
  <c r="D3" i="80"/>
  <c r="E221" i="70"/>
  <c r="E14" i="70"/>
  <c r="E15" i="70"/>
  <c r="E203" i="70"/>
  <c r="E9" i="70"/>
  <c r="C377" i="2"/>
  <c r="M377" i="2" s="1"/>
  <c r="D203" i="70"/>
  <c r="D9" i="70" s="1"/>
  <c r="B377" i="2" s="1"/>
  <c r="L377" i="2" s="1"/>
  <c r="E196" i="70"/>
  <c r="E21" i="70" s="1"/>
  <c r="D196" i="70"/>
  <c r="D21" i="70" s="1"/>
  <c r="B25" i="3" s="1"/>
  <c r="K25" i="3" s="1"/>
  <c r="E168" i="70"/>
  <c r="E8" i="70"/>
  <c r="C376" i="2"/>
  <c r="M376" i="2" s="1"/>
  <c r="D168" i="70"/>
  <c r="D8" i="70"/>
  <c r="B376" i="2"/>
  <c r="L376" i="2" s="1"/>
  <c r="E161" i="70"/>
  <c r="E27" i="70" s="1"/>
  <c r="C65" i="3" s="1"/>
  <c r="D161" i="70"/>
  <c r="D27" i="70"/>
  <c r="B65" i="3" s="1"/>
  <c r="K65" i="3" s="1"/>
  <c r="E160" i="70"/>
  <c r="E18" i="70"/>
  <c r="E19" i="70"/>
  <c r="C40" i="3" s="1"/>
  <c r="D160" i="70"/>
  <c r="D18" i="70"/>
  <c r="D19" i="70"/>
  <c r="B40" i="3" s="1"/>
  <c r="K40" i="3" s="1"/>
  <c r="E119" i="70"/>
  <c r="E7" i="70"/>
  <c r="C375" i="2"/>
  <c r="M375" i="2" s="1"/>
  <c r="D119" i="70"/>
  <c r="D7" i="70"/>
  <c r="B375" i="2"/>
  <c r="L375" i="2" s="1"/>
  <c r="E75" i="70"/>
  <c r="D75" i="70"/>
  <c r="D23" i="70"/>
  <c r="E74" i="70"/>
  <c r="D74" i="70"/>
  <c r="D17" i="70"/>
  <c r="E38" i="70"/>
  <c r="E5" i="70" s="1"/>
  <c r="D38" i="70"/>
  <c r="D5" i="70"/>
  <c r="D13" i="70"/>
  <c r="D15" i="70" s="1"/>
  <c r="E20" i="60"/>
  <c r="D20" i="60"/>
  <c r="E17" i="60"/>
  <c r="C429" i="3"/>
  <c r="D17" i="60"/>
  <c r="B429" i="3"/>
  <c r="K429" i="3" s="1"/>
  <c r="E4" i="60"/>
  <c r="E8" i="60" s="1"/>
  <c r="D4" i="60"/>
  <c r="E19" i="60"/>
  <c r="E15" i="60"/>
  <c r="D15" i="60"/>
  <c r="B109" i="3"/>
  <c r="K109" i="3" s="1"/>
  <c r="E13" i="60"/>
  <c r="C81" i="3"/>
  <c r="D13" i="60"/>
  <c r="E11" i="60"/>
  <c r="C417" i="3" s="1"/>
  <c r="D11" i="60"/>
  <c r="E35" i="60"/>
  <c r="D35" i="60"/>
  <c r="E11" i="56"/>
  <c r="D11" i="56"/>
  <c r="E8" i="56"/>
  <c r="D8" i="56"/>
  <c r="E3" i="56"/>
  <c r="D3" i="56"/>
  <c r="D11" i="79"/>
  <c r="D13" i="79" s="1"/>
  <c r="B484" i="3" s="1"/>
  <c r="K484" i="3" s="1"/>
  <c r="E19" i="79"/>
  <c r="D19" i="79"/>
  <c r="C230" i="3"/>
  <c r="D17" i="79"/>
  <c r="E7" i="79"/>
  <c r="E9" i="79" s="1"/>
  <c r="D7" i="79"/>
  <c r="D9" i="79" s="1"/>
  <c r="E9" i="76"/>
  <c r="D9" i="76"/>
  <c r="E7" i="76"/>
  <c r="D7" i="76"/>
  <c r="D13" i="76"/>
  <c r="E3" i="76"/>
  <c r="D3" i="76"/>
  <c r="E208" i="75"/>
  <c r="E30" i="75" s="1"/>
  <c r="C68" i="3" s="1"/>
  <c r="D208" i="75"/>
  <c r="E179" i="75"/>
  <c r="E9" i="75" s="1"/>
  <c r="C302" i="2" s="1"/>
  <c r="M302" i="2" s="1"/>
  <c r="D179" i="75"/>
  <c r="E27" i="75"/>
  <c r="D27" i="75"/>
  <c r="E23" i="75"/>
  <c r="D23" i="75"/>
  <c r="D8" i="75"/>
  <c r="B301" i="2" s="1"/>
  <c r="L301" i="2" s="1"/>
  <c r="E26" i="75"/>
  <c r="D26" i="75"/>
  <c r="E16" i="75"/>
  <c r="E7" i="75"/>
  <c r="D7" i="75"/>
  <c r="E100" i="75"/>
  <c r="D100" i="75"/>
  <c r="D22" i="75" s="1"/>
  <c r="E99" i="75"/>
  <c r="E19" i="75" s="1"/>
  <c r="C262" i="3" s="1"/>
  <c r="D99" i="75"/>
  <c r="D19" i="75" s="1"/>
  <c r="B262" i="3" s="1"/>
  <c r="K262" i="3" s="1"/>
  <c r="E73" i="75"/>
  <c r="E6" i="75"/>
  <c r="C299" i="2" s="1"/>
  <c r="M299" i="2" s="1"/>
  <c r="D73" i="75"/>
  <c r="E21" i="75"/>
  <c r="E24" i="75" s="1"/>
  <c r="C206" i="3" s="1"/>
  <c r="D21" i="75"/>
  <c r="D24" i="75" s="1"/>
  <c r="B206" i="3" s="1"/>
  <c r="K206" i="3" s="1"/>
  <c r="D15" i="75"/>
  <c r="E13" i="75"/>
  <c r="D13" i="75"/>
  <c r="E5" i="75"/>
  <c r="D5" i="75"/>
  <c r="E22" i="75"/>
  <c r="E21" i="74"/>
  <c r="C303" i="3"/>
  <c r="D21" i="74"/>
  <c r="B303" i="3"/>
  <c r="K303" i="3" s="1"/>
  <c r="E35" i="87"/>
  <c r="E10" i="94"/>
  <c r="C323" i="2"/>
  <c r="M323" i="2" s="1"/>
  <c r="D19" i="60"/>
  <c r="D13" i="85"/>
  <c r="D31" i="95"/>
  <c r="D51" i="95"/>
  <c r="D17" i="90"/>
  <c r="D24" i="87"/>
  <c r="E30" i="87"/>
  <c r="D13" i="83"/>
  <c r="E11" i="83"/>
  <c r="E5" i="97"/>
  <c r="D5" i="97"/>
  <c r="D7" i="96"/>
  <c r="D9" i="96"/>
  <c r="D14" i="96"/>
  <c r="D26" i="96"/>
  <c r="D27" i="94"/>
  <c r="D9" i="94"/>
  <c r="B322" i="2"/>
  <c r="L322" i="2" s="1"/>
  <c r="D7" i="94"/>
  <c r="E5" i="21"/>
  <c r="E5" i="90"/>
  <c r="D5" i="90"/>
  <c r="D5" i="79"/>
  <c r="E5" i="79"/>
  <c r="E6" i="89"/>
  <c r="C175" i="2" s="1"/>
  <c r="M175" i="2" s="1"/>
  <c r="E5" i="85"/>
  <c r="D15" i="85"/>
  <c r="E13" i="85"/>
  <c r="D19" i="87"/>
  <c r="D34" i="84"/>
  <c r="E10" i="84"/>
  <c r="E15" i="83"/>
  <c r="D5" i="83"/>
  <c r="E5" i="83"/>
  <c r="E5" i="80"/>
  <c r="D5" i="80"/>
  <c r="E13" i="76"/>
  <c r="D15" i="76"/>
  <c r="E5" i="56"/>
  <c r="D5" i="56"/>
  <c r="E5" i="88"/>
  <c r="D5" i="88"/>
  <c r="D21" i="93"/>
  <c r="B159" i="3" s="1"/>
  <c r="K159" i="3" s="1"/>
  <c r="D33" i="93"/>
  <c r="B324" i="3" s="1"/>
  <c r="K324" i="3" s="1"/>
  <c r="D7" i="84"/>
  <c r="B58" i="2" s="1"/>
  <c r="E6" i="84"/>
  <c r="E12" i="81"/>
  <c r="C490" i="3" s="1"/>
  <c r="D30" i="75"/>
  <c r="D15" i="90"/>
  <c r="E5" i="76"/>
  <c r="D5" i="76"/>
  <c r="E11" i="76"/>
  <c r="D11" i="76"/>
  <c r="E15" i="76"/>
  <c r="D15" i="83"/>
  <c r="E48" i="87"/>
  <c r="E11" i="85"/>
  <c r="D11" i="85"/>
  <c r="E15" i="85"/>
  <c r="D15" i="88"/>
  <c r="D38" i="89"/>
  <c r="B305" i="3" s="1"/>
  <c r="K305" i="3" s="1"/>
  <c r="E13" i="90"/>
  <c r="E17" i="90"/>
  <c r="D35" i="95"/>
  <c r="D41" i="95"/>
  <c r="D15" i="61"/>
  <c r="B167" i="3" s="1"/>
  <c r="K167" i="3" s="1"/>
  <c r="E6" i="96"/>
  <c r="D6" i="96"/>
  <c r="E5" i="96"/>
  <c r="D5" i="96"/>
  <c r="E8" i="96"/>
  <c r="D11" i="83"/>
  <c r="D13" i="80"/>
  <c r="D49" i="82"/>
  <c r="D11" i="88"/>
  <c r="D19" i="95"/>
  <c r="D55" i="95"/>
  <c r="D43" i="95"/>
  <c r="D47" i="95"/>
  <c r="D48" i="95"/>
  <c r="D18" i="96"/>
  <c r="D23" i="96"/>
  <c r="E22" i="96"/>
  <c r="E24" i="96"/>
  <c r="D9" i="75"/>
  <c r="B302" i="2" s="1"/>
  <c r="L302" i="2" s="1"/>
  <c r="D12" i="82"/>
  <c r="B399" i="2"/>
  <c r="L399" i="2" s="1"/>
  <c r="E5" i="84"/>
  <c r="D5" i="84"/>
  <c r="E8" i="87"/>
  <c r="C308" i="2" s="1"/>
  <c r="M308" i="2" s="1"/>
  <c r="D8" i="89"/>
  <c r="B177" i="2" s="1"/>
  <c r="L177" i="2" s="1"/>
  <c r="D13" i="90"/>
  <c r="D25" i="94"/>
  <c r="D27" i="95"/>
  <c r="E25" i="95"/>
  <c r="D25" i="95"/>
  <c r="E23" i="95"/>
  <c r="D23" i="95"/>
  <c r="E7" i="95"/>
  <c r="E33" i="95"/>
  <c r="D33" i="95"/>
  <c r="D53" i="95"/>
  <c r="E14" i="32"/>
  <c r="D13" i="86"/>
  <c r="D11" i="86"/>
  <c r="E13" i="82"/>
  <c r="D22" i="82"/>
  <c r="B217" i="3" s="1"/>
  <c r="K217" i="3" s="1"/>
  <c r="D20" i="82"/>
  <c r="B224" i="3" s="1"/>
  <c r="K224" i="3" s="1"/>
  <c r="E17" i="70"/>
  <c r="E46" i="82"/>
  <c r="C421" i="3" s="1"/>
  <c r="E40" i="82"/>
  <c r="D14" i="70"/>
  <c r="E15" i="91"/>
  <c r="E29" i="95"/>
  <c r="E6" i="95"/>
  <c r="E21" i="95"/>
  <c r="E23" i="87"/>
  <c r="E15" i="86"/>
  <c r="D15" i="86"/>
  <c r="E13" i="86"/>
  <c r="E11" i="86"/>
  <c r="E28" i="94"/>
  <c r="E29" i="94"/>
  <c r="C195" i="3" s="1"/>
  <c r="E38" i="94"/>
  <c r="D13" i="87"/>
  <c r="B313" i="2" s="1"/>
  <c r="L313" i="2" s="1"/>
  <c r="E20" i="87"/>
  <c r="E57" i="95"/>
  <c r="D57" i="95"/>
  <c r="E21" i="79"/>
  <c r="E11" i="79"/>
  <c r="E13" i="79" s="1"/>
  <c r="C484" i="3" s="1"/>
  <c r="E11" i="88"/>
  <c r="E15" i="88"/>
  <c r="E13" i="88"/>
  <c r="E53" i="82"/>
  <c r="E11" i="97"/>
  <c r="E15" i="97"/>
  <c r="E13" i="97"/>
  <c r="E49" i="95"/>
  <c r="E39" i="95"/>
  <c r="D39" i="95"/>
  <c r="E13" i="21"/>
  <c r="D13" i="21"/>
  <c r="E3" i="60"/>
  <c r="D7" i="32"/>
  <c r="B408" i="2" s="1"/>
  <c r="L408" i="2" s="1"/>
  <c r="E38" i="87"/>
  <c r="D31" i="93"/>
  <c r="B352" i="3" s="1"/>
  <c r="K352" i="3" s="1"/>
  <c r="D27" i="93"/>
  <c r="B337" i="3" s="1"/>
  <c r="K337" i="3" s="1"/>
  <c r="E17" i="93"/>
  <c r="C501" i="3" s="1"/>
  <c r="E16" i="96"/>
  <c r="E16" i="94"/>
  <c r="E5" i="94"/>
  <c r="C318" i="2"/>
  <c r="M318" i="2" s="1"/>
  <c r="D5" i="94"/>
  <c r="D9" i="84"/>
  <c r="B60" i="2" s="1"/>
  <c r="L60" i="2" s="1"/>
  <c r="E16" i="84"/>
  <c r="E8" i="75"/>
  <c r="D6" i="75"/>
  <c r="B299" i="2" s="1"/>
  <c r="L299" i="2" s="1"/>
  <c r="E13" i="80"/>
  <c r="E17" i="80"/>
  <c r="E15" i="80"/>
  <c r="D15" i="80"/>
  <c r="E17" i="95"/>
  <c r="D17" i="95"/>
  <c r="D5" i="95"/>
  <c r="D3" i="95"/>
  <c r="D15" i="95"/>
  <c r="E13" i="95"/>
  <c r="E46" i="87"/>
  <c r="C279" i="3" s="1"/>
  <c r="D8" i="94"/>
  <c r="E11" i="82"/>
  <c r="D11" i="82"/>
  <c r="E28" i="82"/>
  <c r="C459" i="3" s="1"/>
  <c r="E42" i="82"/>
  <c r="E16" i="74"/>
  <c r="D16" i="74"/>
  <c r="E7" i="74"/>
  <c r="C113" i="2"/>
  <c r="M113" i="2" s="1"/>
  <c r="D7" i="74"/>
  <c r="B113" i="2"/>
  <c r="L113" i="2" s="1"/>
  <c r="E111" i="74"/>
  <c r="E27" i="74"/>
  <c r="E30" i="74"/>
  <c r="C199" i="3"/>
  <c r="D111" i="74"/>
  <c r="E110" i="74"/>
  <c r="D110" i="74"/>
  <c r="D19" i="74"/>
  <c r="B144" i="3"/>
  <c r="K144" i="3" s="1"/>
  <c r="E83" i="74"/>
  <c r="E6" i="74"/>
  <c r="D83" i="74"/>
  <c r="E15" i="74"/>
  <c r="E17" i="74"/>
  <c r="D15" i="74"/>
  <c r="E5" i="74"/>
  <c r="D5" i="74"/>
  <c r="D36" i="74"/>
  <c r="E35" i="74"/>
  <c r="D35" i="74"/>
  <c r="E28" i="74"/>
  <c r="D28" i="74"/>
  <c r="D27" i="74"/>
  <c r="E25" i="74"/>
  <c r="D25" i="74"/>
  <c r="E23" i="74"/>
  <c r="D23" i="74"/>
  <c r="D11" i="74"/>
  <c r="E10" i="74"/>
  <c r="D10" i="74"/>
  <c r="E9" i="74"/>
  <c r="D9" i="74"/>
  <c r="E8" i="74"/>
  <c r="D8" i="74"/>
  <c r="E11" i="73"/>
  <c r="D11" i="73"/>
  <c r="E9" i="73"/>
  <c r="D9" i="73"/>
  <c r="E7" i="73"/>
  <c r="D7" i="73"/>
  <c r="D17" i="73"/>
  <c r="E3" i="73"/>
  <c r="D3" i="73"/>
  <c r="D285" i="71"/>
  <c r="D24" i="71" s="1"/>
  <c r="E264" i="71"/>
  <c r="D264" i="71"/>
  <c r="E257" i="71"/>
  <c r="D257" i="71"/>
  <c r="E256" i="71"/>
  <c r="D256" i="71"/>
  <c r="D21" i="71" s="1"/>
  <c r="B265" i="3" s="1"/>
  <c r="K265" i="3" s="1"/>
  <c r="E229" i="71"/>
  <c r="D229" i="71"/>
  <c r="D222" i="71"/>
  <c r="D32" i="71" s="1"/>
  <c r="D34" i="71" s="1"/>
  <c r="B124" i="3" s="1"/>
  <c r="K124" i="3" s="1"/>
  <c r="E200" i="71"/>
  <c r="D200" i="71"/>
  <c r="D9" i="71" s="1"/>
  <c r="B444" i="2" s="1"/>
  <c r="L444" i="2" s="1"/>
  <c r="E193" i="71"/>
  <c r="E18" i="71" s="1"/>
  <c r="D193" i="71"/>
  <c r="E167" i="71"/>
  <c r="D167" i="71"/>
  <c r="E28" i="71"/>
  <c r="D28" i="71"/>
  <c r="D23" i="71"/>
  <c r="E15" i="71"/>
  <c r="D15" i="71"/>
  <c r="E7" i="71"/>
  <c r="D7" i="71"/>
  <c r="E31" i="71"/>
  <c r="D17" i="71"/>
  <c r="E76" i="71"/>
  <c r="E6" i="71" s="1"/>
  <c r="C441" i="2" s="1"/>
  <c r="M441" i="2" s="1"/>
  <c r="D76" i="71"/>
  <c r="D6" i="71"/>
  <c r="E68" i="71"/>
  <c r="E27" i="71" s="1"/>
  <c r="D68" i="71"/>
  <c r="D27" i="71"/>
  <c r="E47" i="71"/>
  <c r="D47" i="71"/>
  <c r="E32" i="71"/>
  <c r="E24" i="71"/>
  <c r="B84" i="3"/>
  <c r="K84" i="3" s="1"/>
  <c r="E3" i="92"/>
  <c r="E5" i="92" s="1"/>
  <c r="D3" i="92"/>
  <c r="D5" i="92"/>
  <c r="D12" i="65"/>
  <c r="D19" i="89" s="1"/>
  <c r="E7" i="65"/>
  <c r="E247" i="30"/>
  <c r="D247" i="30"/>
  <c r="E246" i="30"/>
  <c r="D246" i="30"/>
  <c r="E217" i="30"/>
  <c r="D217" i="30"/>
  <c r="E155" i="30"/>
  <c r="D155" i="30"/>
  <c r="E34" i="74"/>
  <c r="E3" i="95"/>
  <c r="E23" i="71"/>
  <c r="E25" i="71" s="1"/>
  <c r="C170" i="3" s="1"/>
  <c r="E15" i="73"/>
  <c r="D5" i="73"/>
  <c r="E5" i="73"/>
  <c r="E11" i="95"/>
  <c r="D11" i="95"/>
  <c r="E21" i="71"/>
  <c r="D15" i="73"/>
  <c r="D9" i="65"/>
  <c r="B498" i="3" s="1"/>
  <c r="K498" i="3" s="1"/>
  <c r="D31" i="71"/>
  <c r="D18" i="71"/>
  <c r="E13" i="73"/>
  <c r="E17" i="73"/>
  <c r="D6" i="74"/>
  <c r="D48" i="87"/>
  <c r="D13" i="73"/>
  <c r="D34" i="74"/>
  <c r="E32" i="74"/>
  <c r="D32" i="74"/>
  <c r="D49" i="95"/>
  <c r="D59" i="95"/>
  <c r="E13" i="70"/>
  <c r="E17" i="71"/>
  <c r="E19" i="71" s="1"/>
  <c r="C78" i="3" s="1"/>
  <c r="E19" i="74"/>
  <c r="E5" i="71"/>
  <c r="D5" i="71"/>
  <c r="D3" i="60"/>
  <c r="D7" i="60"/>
  <c r="E7" i="60"/>
  <c r="E15" i="65"/>
  <c r="C509" i="3" s="1"/>
  <c r="E5" i="65"/>
  <c r="E8" i="71"/>
  <c r="E15" i="92"/>
  <c r="E13" i="92"/>
  <c r="D25" i="93"/>
  <c r="B460" i="3" s="1"/>
  <c r="K460" i="3" s="1"/>
  <c r="E23" i="93"/>
  <c r="C187" i="3" s="1"/>
  <c r="E61" i="95"/>
  <c r="E63" i="95"/>
  <c r="E59" i="95"/>
  <c r="D11" i="87"/>
  <c r="B311" i="2" s="1"/>
  <c r="L311" i="2" s="1"/>
  <c r="E136" i="30"/>
  <c r="E8" i="30"/>
  <c r="C105" i="2"/>
  <c r="M105" i="2" s="1"/>
  <c r="D136" i="30"/>
  <c r="E16" i="30"/>
  <c r="D16" i="30"/>
  <c r="E7" i="30"/>
  <c r="E86" i="30"/>
  <c r="D86" i="30"/>
  <c r="E68" i="30"/>
  <c r="D68" i="30"/>
  <c r="D6" i="30"/>
  <c r="E61" i="30"/>
  <c r="E15" i="30"/>
  <c r="D61" i="30"/>
  <c r="D15" i="30"/>
  <c r="E47" i="30"/>
  <c r="D47" i="30"/>
  <c r="D35" i="30"/>
  <c r="D31" i="30"/>
  <c r="E30" i="30"/>
  <c r="D30" i="30"/>
  <c r="E28" i="30"/>
  <c r="D28" i="30"/>
  <c r="E26" i="30"/>
  <c r="D26" i="30"/>
  <c r="E24" i="30"/>
  <c r="D24" i="30"/>
  <c r="D21" i="30"/>
  <c r="E20" i="30"/>
  <c r="D20" i="30"/>
  <c r="D19" i="30"/>
  <c r="D11" i="30"/>
  <c r="E10" i="30"/>
  <c r="D10" i="30"/>
  <c r="E9" i="30"/>
  <c r="D9" i="30"/>
  <c r="E323" i="29"/>
  <c r="D323" i="29"/>
  <c r="D37" i="29"/>
  <c r="B36" i="3" s="1"/>
  <c r="K36" i="3" s="1"/>
  <c r="E322" i="29"/>
  <c r="E34" i="29"/>
  <c r="D322" i="29"/>
  <c r="D34" i="29"/>
  <c r="E321" i="29"/>
  <c r="D321" i="29"/>
  <c r="E304" i="29"/>
  <c r="D304" i="29"/>
  <c r="E281" i="29"/>
  <c r="D281" i="29"/>
  <c r="E274" i="29"/>
  <c r="E33" i="29"/>
  <c r="E35" i="29" s="1"/>
  <c r="C309" i="3" s="1"/>
  <c r="D274" i="29"/>
  <c r="D33" i="29"/>
  <c r="D35" i="29" s="1"/>
  <c r="B309" i="3" s="1"/>
  <c r="K309" i="3" s="1"/>
  <c r="E273" i="29"/>
  <c r="E30" i="29" s="1"/>
  <c r="D273" i="29"/>
  <c r="D30" i="29" s="1"/>
  <c r="D31" i="29" s="1"/>
  <c r="B449" i="3" s="1"/>
  <c r="K449" i="3" s="1"/>
  <c r="E258" i="29"/>
  <c r="E10" i="29" s="1"/>
  <c r="C52" i="2" s="1"/>
  <c r="M52" i="2" s="1"/>
  <c r="D258" i="29"/>
  <c r="D10" i="29"/>
  <c r="E250" i="29"/>
  <c r="D250" i="29"/>
  <c r="D25" i="29" s="1"/>
  <c r="B382" i="3" s="1"/>
  <c r="K382" i="3" s="1"/>
  <c r="E249" i="29"/>
  <c r="E16" i="29" s="1"/>
  <c r="D249" i="29"/>
  <c r="D16" i="29"/>
  <c r="E213" i="29"/>
  <c r="E9" i="29" s="1"/>
  <c r="C51" i="2" s="1"/>
  <c r="M51" i="2" s="1"/>
  <c r="D213" i="29"/>
  <c r="D9" i="29"/>
  <c r="B51" i="2" s="1"/>
  <c r="L51" i="2" s="1"/>
  <c r="E205" i="29"/>
  <c r="D205" i="29"/>
  <c r="D40" i="29"/>
  <c r="E204" i="29"/>
  <c r="E27" i="29" s="1"/>
  <c r="C314" i="3" s="1"/>
  <c r="D204" i="29"/>
  <c r="D27" i="29" s="1"/>
  <c r="B314" i="3" s="1"/>
  <c r="K314" i="3" s="1"/>
  <c r="E160" i="29"/>
  <c r="D160" i="29"/>
  <c r="D8" i="29" s="1"/>
  <c r="B50" i="2" s="1"/>
  <c r="L50" i="2" s="1"/>
  <c r="E153" i="29"/>
  <c r="E19" i="29" s="1"/>
  <c r="C375" i="3" s="1"/>
  <c r="D153" i="29"/>
  <c r="D19" i="29"/>
  <c r="B375" i="3" s="1"/>
  <c r="K375" i="3" s="1"/>
  <c r="E134" i="29"/>
  <c r="D134" i="29"/>
  <c r="D7" i="29"/>
  <c r="E127" i="29"/>
  <c r="E29" i="29" s="1"/>
  <c r="D127" i="29"/>
  <c r="E126" i="29"/>
  <c r="E15" i="29" s="1"/>
  <c r="E17" i="29" s="1"/>
  <c r="D126" i="29"/>
  <c r="D15" i="29" s="1"/>
  <c r="D17" i="29" s="1"/>
  <c r="E97" i="29"/>
  <c r="E6" i="29"/>
  <c r="E3" i="29" s="1"/>
  <c r="E13" i="29" s="1"/>
  <c r="D97" i="29"/>
  <c r="E39" i="29"/>
  <c r="E21" i="29"/>
  <c r="D21" i="29"/>
  <c r="D23" i="29" s="1"/>
  <c r="B79" i="3" s="1"/>
  <c r="K79" i="3" s="1"/>
  <c r="D22" i="29"/>
  <c r="D11" i="29"/>
  <c r="E9" i="72"/>
  <c r="D9" i="72"/>
  <c r="E7" i="72"/>
  <c r="D7" i="72"/>
  <c r="E3" i="72"/>
  <c r="D3" i="72"/>
  <c r="D13" i="69"/>
  <c r="E15" i="69"/>
  <c r="D15" i="69"/>
  <c r="E89" i="68"/>
  <c r="D89" i="68"/>
  <c r="E88" i="68"/>
  <c r="D88" i="68"/>
  <c r="D14" i="68"/>
  <c r="E64" i="68"/>
  <c r="D64" i="68"/>
  <c r="D4" i="68"/>
  <c r="D8" i="68"/>
  <c r="E13" i="68"/>
  <c r="E11" i="68"/>
  <c r="E3" i="68"/>
  <c r="D3" i="68"/>
  <c r="B167" i="2"/>
  <c r="L167" i="2" s="1"/>
  <c r="E9" i="67"/>
  <c r="D9" i="67"/>
  <c r="E7" i="67"/>
  <c r="D7" i="67"/>
  <c r="D11" i="67"/>
  <c r="E3" i="67"/>
  <c r="D3" i="67"/>
  <c r="E215" i="66"/>
  <c r="D215" i="66"/>
  <c r="E214" i="66"/>
  <c r="D214" i="66"/>
  <c r="E213" i="66"/>
  <c r="D213" i="66"/>
  <c r="E212" i="66"/>
  <c r="E13" i="66" s="1"/>
  <c r="C492" i="3" s="1"/>
  <c r="D212" i="66"/>
  <c r="E188" i="66"/>
  <c r="D188" i="66"/>
  <c r="E181" i="66"/>
  <c r="E39" i="66" s="1"/>
  <c r="C359" i="3" s="1"/>
  <c r="D181" i="66"/>
  <c r="D39" i="66" s="1"/>
  <c r="B359" i="3" s="1"/>
  <c r="K359" i="3" s="1"/>
  <c r="E180" i="66"/>
  <c r="E37" i="66" s="1"/>
  <c r="C372" i="3" s="1"/>
  <c r="D180" i="66"/>
  <c r="D37" i="66" s="1"/>
  <c r="B372" i="3" s="1"/>
  <c r="K372" i="3" s="1"/>
  <c r="E179" i="66"/>
  <c r="D179" i="66"/>
  <c r="E155" i="66"/>
  <c r="E8" i="66"/>
  <c r="C231" i="2" s="1"/>
  <c r="M231" i="2" s="1"/>
  <c r="D155" i="66"/>
  <c r="D8" i="66" s="1"/>
  <c r="B231" i="2" s="1"/>
  <c r="L231" i="2" s="1"/>
  <c r="E148" i="66"/>
  <c r="D148" i="66"/>
  <c r="E147" i="66"/>
  <c r="E31" i="66" s="1"/>
  <c r="C176" i="3" s="1"/>
  <c r="D147" i="66"/>
  <c r="D129" i="66"/>
  <c r="E122" i="66"/>
  <c r="E29" i="66" s="1"/>
  <c r="C477" i="3" s="1"/>
  <c r="D122" i="66"/>
  <c r="E121" i="66"/>
  <c r="E27" i="66"/>
  <c r="C518" i="3" s="1"/>
  <c r="D121" i="66"/>
  <c r="E120" i="66"/>
  <c r="D120" i="66"/>
  <c r="D25" i="66" s="1"/>
  <c r="B508" i="3" s="1"/>
  <c r="K508" i="3" s="1"/>
  <c r="E119" i="66"/>
  <c r="E23" i="66" s="1"/>
  <c r="C373" i="3" s="1"/>
  <c r="D119" i="66"/>
  <c r="E118" i="66"/>
  <c r="D118" i="66"/>
  <c r="D18" i="66" s="1"/>
  <c r="E86" i="66"/>
  <c r="D86" i="66"/>
  <c r="E33" i="66"/>
  <c r="E35" i="66" s="1"/>
  <c r="C120" i="3" s="1"/>
  <c r="D33" i="66"/>
  <c r="E21" i="66"/>
  <c r="D21" i="66"/>
  <c r="E17" i="66"/>
  <c r="E19" i="66" s="1"/>
  <c r="C200" i="3" s="1"/>
  <c r="E5" i="66"/>
  <c r="D5" i="66"/>
  <c r="E7" i="66"/>
  <c r="E278" i="64"/>
  <c r="D278" i="64"/>
  <c r="E256" i="64"/>
  <c r="E11" i="64" s="1"/>
  <c r="C99" i="2" s="1"/>
  <c r="M99" i="2" s="1"/>
  <c r="D256" i="64"/>
  <c r="D11" i="64" s="1"/>
  <c r="B99" i="2" s="1"/>
  <c r="L99" i="2" s="1"/>
  <c r="D36" i="64"/>
  <c r="E32" i="64"/>
  <c r="D32" i="64"/>
  <c r="D15" i="72"/>
  <c r="D8" i="30"/>
  <c r="D63" i="95"/>
  <c r="D61" i="95"/>
  <c r="D5" i="72"/>
  <c r="E5" i="72"/>
  <c r="D11" i="72"/>
  <c r="D13" i="72"/>
  <c r="E5" i="67"/>
  <c r="D5" i="67"/>
  <c r="D5" i="69"/>
  <c r="E8" i="29"/>
  <c r="E11" i="69"/>
  <c r="D31" i="66"/>
  <c r="E13" i="69"/>
  <c r="D39" i="29"/>
  <c r="D29" i="66"/>
  <c r="D15" i="67"/>
  <c r="E5" i="69"/>
  <c r="D11" i="69"/>
  <c r="D6" i="29"/>
  <c r="D3" i="29" s="1"/>
  <c r="D13" i="29" s="1"/>
  <c r="D27" i="66"/>
  <c r="D7" i="66"/>
  <c r="D32" i="30"/>
  <c r="E19" i="30"/>
  <c r="E31" i="30"/>
  <c r="E32" i="30"/>
  <c r="E37" i="29"/>
  <c r="E22" i="29"/>
  <c r="E34" i="66"/>
  <c r="D34" i="66"/>
  <c r="E11" i="72"/>
  <c r="E15" i="72"/>
  <c r="E13" i="72"/>
  <c r="E5" i="29"/>
  <c r="D5" i="29"/>
  <c r="E6" i="66"/>
  <c r="D6" i="66"/>
  <c r="E25" i="66"/>
  <c r="C508" i="3" s="1"/>
  <c r="D23" i="66"/>
  <c r="B373" i="3" s="1"/>
  <c r="K373" i="3" s="1"/>
  <c r="D19" i="71"/>
  <c r="D8" i="71"/>
  <c r="E5" i="30"/>
  <c r="D5" i="30"/>
  <c r="B102" i="2"/>
  <c r="L102" i="2" s="1"/>
  <c r="E7" i="29"/>
  <c r="C49" i="2" s="1"/>
  <c r="M49" i="2" s="1"/>
  <c r="D29" i="29"/>
  <c r="E13" i="67"/>
  <c r="D13" i="67"/>
  <c r="E11" i="67"/>
  <c r="E15" i="67"/>
  <c r="E34" i="30"/>
  <c r="D34" i="30"/>
  <c r="D7" i="30"/>
  <c r="E6" i="30"/>
  <c r="E25" i="29"/>
  <c r="C382" i="3" s="1"/>
  <c r="E23" i="64"/>
  <c r="C77" i="3" s="1"/>
  <c r="E10" i="64"/>
  <c r="C98" i="2" s="1"/>
  <c r="M98" i="2" s="1"/>
  <c r="E202" i="64"/>
  <c r="E35" i="64" s="1"/>
  <c r="E37" i="64" s="1"/>
  <c r="C149" i="3" s="1"/>
  <c r="D202" i="64"/>
  <c r="D35" i="64" s="1"/>
  <c r="D37" i="64" s="1"/>
  <c r="B149" i="3" s="1"/>
  <c r="K149" i="3" s="1"/>
  <c r="E182" i="64"/>
  <c r="D182" i="64"/>
  <c r="D9" i="64" s="1"/>
  <c r="E175" i="64"/>
  <c r="E31" i="64" s="1"/>
  <c r="E33" i="64" s="1"/>
  <c r="C8" i="3" s="1"/>
  <c r="D175" i="64"/>
  <c r="D31" i="64" s="1"/>
  <c r="D33" i="64" s="1"/>
  <c r="B8" i="3" s="1"/>
  <c r="K8" i="3" s="1"/>
  <c r="E174" i="64"/>
  <c r="D174" i="64"/>
  <c r="E172" i="64"/>
  <c r="D172" i="64"/>
  <c r="E148" i="64"/>
  <c r="D148" i="64"/>
  <c r="E142" i="64"/>
  <c r="E8" i="64" s="1"/>
  <c r="C96" i="2" s="1"/>
  <c r="M96" i="2" s="1"/>
  <c r="D142" i="64"/>
  <c r="D8" i="64" s="1"/>
  <c r="B96" i="2" s="1"/>
  <c r="L96" i="2" s="1"/>
  <c r="E135" i="64"/>
  <c r="D135" i="64"/>
  <c r="E122" i="64"/>
  <c r="E7" i="64" s="1"/>
  <c r="C95" i="2" s="1"/>
  <c r="M95" i="2" s="1"/>
  <c r="D122" i="64"/>
  <c r="D16" i="64"/>
  <c r="E65" i="64"/>
  <c r="E15" i="64" s="1"/>
  <c r="E17" i="64" s="1"/>
  <c r="C391" i="3" s="1"/>
  <c r="D65" i="64"/>
  <c r="D15" i="64" s="1"/>
  <c r="D17" i="64" s="1"/>
  <c r="E48" i="64"/>
  <c r="E5" i="64" s="1"/>
  <c r="D48" i="64"/>
  <c r="D20" i="64"/>
  <c r="E12" i="16"/>
  <c r="D12" i="16"/>
  <c r="E9" i="16"/>
  <c r="D9" i="16"/>
  <c r="E7" i="16"/>
  <c r="D7" i="16"/>
  <c r="E3" i="16"/>
  <c r="D3" i="16"/>
  <c r="E296" i="63"/>
  <c r="D296" i="63"/>
  <c r="E284" i="63"/>
  <c r="E13" i="63"/>
  <c r="D284" i="63"/>
  <c r="D32" i="63"/>
  <c r="E12" i="63"/>
  <c r="E230" i="63"/>
  <c r="D230" i="63"/>
  <c r="D35" i="63"/>
  <c r="E212" i="63"/>
  <c r="D212" i="63"/>
  <c r="E205" i="63"/>
  <c r="D205" i="63"/>
  <c r="D23" i="63"/>
  <c r="E204" i="63"/>
  <c r="D204" i="63"/>
  <c r="E186" i="63"/>
  <c r="D186" i="63"/>
  <c r="E179" i="63"/>
  <c r="D179" i="63"/>
  <c r="E178" i="63"/>
  <c r="D178" i="63"/>
  <c r="E177" i="63"/>
  <c r="E26" i="63"/>
  <c r="D177" i="63"/>
  <c r="E150" i="63"/>
  <c r="E9" i="63"/>
  <c r="D150" i="63"/>
  <c r="E143" i="63"/>
  <c r="E30" i="63"/>
  <c r="D143" i="63"/>
  <c r="E142" i="63"/>
  <c r="D142" i="63"/>
  <c r="D22" i="63"/>
  <c r="E112" i="63"/>
  <c r="E8" i="63"/>
  <c r="D8" i="63"/>
  <c r="D112" i="63"/>
  <c r="D39" i="63"/>
  <c r="D41" i="63"/>
  <c r="E21" i="63"/>
  <c r="E7" i="63"/>
  <c r="E72" i="63"/>
  <c r="E36" i="63"/>
  <c r="D72" i="63"/>
  <c r="E54" i="63"/>
  <c r="D54" i="63"/>
  <c r="D40" i="63"/>
  <c r="D30" i="63"/>
  <c r="D26" i="63"/>
  <c r="D21" i="63"/>
  <c r="E19" i="63"/>
  <c r="D19" i="63"/>
  <c r="D13" i="63"/>
  <c r="E3" i="62"/>
  <c r="D3" i="62"/>
  <c r="D73" i="31"/>
  <c r="D30" i="31"/>
  <c r="E486" i="31"/>
  <c r="E70" i="31" s="1"/>
  <c r="C277" i="3" s="1"/>
  <c r="D486" i="31"/>
  <c r="D70" i="31" s="1"/>
  <c r="B277" i="3" s="1"/>
  <c r="K277" i="3" s="1"/>
  <c r="E485" i="31"/>
  <c r="E67" i="31" s="1"/>
  <c r="D485" i="31"/>
  <c r="D67" i="31" s="1"/>
  <c r="E458" i="31"/>
  <c r="E18" i="31" s="1"/>
  <c r="C221" i="2" s="1"/>
  <c r="M221" i="2" s="1"/>
  <c r="D458" i="31"/>
  <c r="D18" i="31" s="1"/>
  <c r="B221" i="2" s="1"/>
  <c r="L221" i="2" s="1"/>
  <c r="E66" i="31"/>
  <c r="D66" i="31"/>
  <c r="E58" i="31"/>
  <c r="D58" i="31"/>
  <c r="D17" i="31"/>
  <c r="B220" i="2" s="1"/>
  <c r="L220" i="2" s="1"/>
  <c r="E414" i="31"/>
  <c r="E62" i="31"/>
  <c r="D414" i="31"/>
  <c r="D62" i="31" s="1"/>
  <c r="E413" i="31"/>
  <c r="E44" i="31" s="1"/>
  <c r="D413" i="31"/>
  <c r="D44" i="31" s="1"/>
  <c r="E397" i="31"/>
  <c r="E16" i="31" s="1"/>
  <c r="C219" i="2" s="1"/>
  <c r="M219" i="2" s="1"/>
  <c r="D397" i="31"/>
  <c r="E390" i="31"/>
  <c r="E57" i="31" s="1"/>
  <c r="D390" i="31"/>
  <c r="D57" i="31" s="1"/>
  <c r="E364" i="31"/>
  <c r="E15" i="31" s="1"/>
  <c r="C218" i="2" s="1"/>
  <c r="M218" i="2" s="1"/>
  <c r="D364" i="31"/>
  <c r="E355" i="31"/>
  <c r="E72" i="31" s="1"/>
  <c r="D355" i="31"/>
  <c r="D72" i="31" s="1"/>
  <c r="D74" i="31" s="1"/>
  <c r="B268" i="3" s="1"/>
  <c r="K268" i="3" s="1"/>
  <c r="E354" i="31"/>
  <c r="E55" i="31" s="1"/>
  <c r="C534" i="3" s="1"/>
  <c r="D354" i="31"/>
  <c r="D55" i="31" s="1"/>
  <c r="B534" i="3" s="1"/>
  <c r="K534" i="3" s="1"/>
  <c r="E353" i="31"/>
  <c r="E40" i="31" s="1"/>
  <c r="D353" i="31"/>
  <c r="D40" i="31" s="1"/>
  <c r="E342" i="31"/>
  <c r="D342" i="31"/>
  <c r="E327" i="31"/>
  <c r="E14" i="31" s="1"/>
  <c r="C217" i="2" s="1"/>
  <c r="M217" i="2" s="1"/>
  <c r="D327" i="31"/>
  <c r="D14" i="31" s="1"/>
  <c r="B217" i="2" s="1"/>
  <c r="L217" i="2" s="1"/>
  <c r="E319" i="31"/>
  <c r="E53" i="31" s="1"/>
  <c r="C480" i="3" s="1"/>
  <c r="D319" i="31"/>
  <c r="D53" i="31" s="1"/>
  <c r="B480" i="3" s="1"/>
  <c r="K480" i="3" s="1"/>
  <c r="E297" i="31"/>
  <c r="D297" i="31"/>
  <c r="D13" i="31" s="1"/>
  <c r="B216" i="2" s="1"/>
  <c r="L216" i="2" s="1"/>
  <c r="E47" i="31"/>
  <c r="D47" i="31"/>
  <c r="E260" i="31"/>
  <c r="E12" i="31" s="1"/>
  <c r="C215" i="2" s="1"/>
  <c r="M215" i="2" s="1"/>
  <c r="D260" i="31"/>
  <c r="D12" i="31" s="1"/>
  <c r="B215" i="2" s="1"/>
  <c r="L215" i="2" s="1"/>
  <c r="E253" i="31"/>
  <c r="E43" i="31" s="1"/>
  <c r="D253" i="31"/>
  <c r="D43" i="31" s="1"/>
  <c r="D45" i="31" s="1"/>
  <c r="B414" i="3" s="1"/>
  <c r="K414" i="3" s="1"/>
  <c r="E235" i="31"/>
  <c r="E11" i="31" s="1"/>
  <c r="C214" i="2" s="1"/>
  <c r="M214" i="2" s="1"/>
  <c r="D235" i="31"/>
  <c r="D11" i="31"/>
  <c r="B214" i="2" s="1"/>
  <c r="L214" i="2" s="1"/>
  <c r="E228" i="31"/>
  <c r="E39" i="31" s="1"/>
  <c r="D228" i="31"/>
  <c r="D39" i="31" s="1"/>
  <c r="E205" i="31"/>
  <c r="E10" i="31" s="1"/>
  <c r="C213" i="2" s="1"/>
  <c r="M213" i="2" s="1"/>
  <c r="D205" i="31"/>
  <c r="D10" i="31" s="1"/>
  <c r="B213" i="2" s="1"/>
  <c r="L213" i="2" s="1"/>
  <c r="E198" i="31"/>
  <c r="D198" i="31"/>
  <c r="D65" i="31" s="1"/>
  <c r="E197" i="31"/>
  <c r="E37" i="31" s="1"/>
  <c r="C162" i="3" s="1"/>
  <c r="D197" i="31"/>
  <c r="E175" i="31"/>
  <c r="E9" i="31" s="1"/>
  <c r="C212" i="2" s="1"/>
  <c r="M212" i="2" s="1"/>
  <c r="D175" i="31"/>
  <c r="D9" i="31" s="1"/>
  <c r="B212" i="2" s="1"/>
  <c r="L212" i="2" s="1"/>
  <c r="E168" i="31"/>
  <c r="E35" i="31"/>
  <c r="C478" i="3" s="1"/>
  <c r="D168" i="31"/>
  <c r="D35" i="31" s="1"/>
  <c r="B478" i="3" s="1"/>
  <c r="K478" i="3" s="1"/>
  <c r="E151" i="31"/>
  <c r="E8" i="31" s="1"/>
  <c r="D151" i="31"/>
  <c r="D8" i="31" s="1"/>
  <c r="E144" i="31"/>
  <c r="E33" i="31" s="1"/>
  <c r="C533" i="3" s="1"/>
  <c r="D144" i="31"/>
  <c r="D33" i="31" s="1"/>
  <c r="B533" i="3" s="1"/>
  <c r="K533" i="3" s="1"/>
  <c r="E143" i="31"/>
  <c r="E29" i="31" s="1"/>
  <c r="D143" i="31"/>
  <c r="D29" i="31" s="1"/>
  <c r="E120" i="31"/>
  <c r="E5" i="31" s="1"/>
  <c r="D120" i="31"/>
  <c r="D5" i="31" s="1"/>
  <c r="E113" i="31"/>
  <c r="E61" i="31" s="1"/>
  <c r="D113" i="31"/>
  <c r="D61" i="31" s="1"/>
  <c r="D63" i="31" s="1"/>
  <c r="B293" i="3" s="1"/>
  <c r="K293" i="3" s="1"/>
  <c r="E112" i="31"/>
  <c r="E27" i="31" s="1"/>
  <c r="D112" i="31"/>
  <c r="D27" i="31" s="1"/>
  <c r="E87" i="31"/>
  <c r="E4" i="31" s="1"/>
  <c r="D87" i="31"/>
  <c r="D4" i="31" s="1"/>
  <c r="E13" i="58"/>
  <c r="D13" i="58"/>
  <c r="D17" i="59"/>
  <c r="E11" i="58"/>
  <c r="D11" i="58"/>
  <c r="E7" i="58"/>
  <c r="D7" i="58"/>
  <c r="D11" i="59"/>
  <c r="E3" i="58"/>
  <c r="D3" i="58"/>
  <c r="E13" i="55"/>
  <c r="D13" i="55"/>
  <c r="E10" i="55"/>
  <c r="E11" i="55" s="1"/>
  <c r="D10" i="55"/>
  <c r="D11" i="55" s="1"/>
  <c r="E9" i="55"/>
  <c r="E7" i="56"/>
  <c r="D9" i="55"/>
  <c r="E7" i="55"/>
  <c r="D7" i="55"/>
  <c r="E3" i="55"/>
  <c r="D3" i="55"/>
  <c r="E503" i="57"/>
  <c r="D503" i="57"/>
  <c r="D72" i="57"/>
  <c r="E502" i="57"/>
  <c r="E51" i="57"/>
  <c r="D502" i="57"/>
  <c r="E480" i="57"/>
  <c r="D480" i="57"/>
  <c r="D69" i="57"/>
  <c r="D29" i="57"/>
  <c r="E446" i="57"/>
  <c r="D446" i="57"/>
  <c r="E439" i="57"/>
  <c r="D439" i="57"/>
  <c r="D65" i="57"/>
  <c r="E438" i="57"/>
  <c r="D438" i="57"/>
  <c r="D55" i="57"/>
  <c r="E413" i="57"/>
  <c r="D413" i="57"/>
  <c r="D16" i="57"/>
  <c r="B291" i="2"/>
  <c r="L291" i="2" s="1"/>
  <c r="E62" i="57"/>
  <c r="C63" i="3"/>
  <c r="D62" i="57"/>
  <c r="B63" i="3"/>
  <c r="K63" i="3" s="1"/>
  <c r="D39" i="57"/>
  <c r="D40" i="57"/>
  <c r="E379" i="57"/>
  <c r="E15" i="57"/>
  <c r="D379" i="57"/>
  <c r="D15" i="57"/>
  <c r="E372" i="57"/>
  <c r="D372" i="57"/>
  <c r="D43" i="57"/>
  <c r="E357" i="57"/>
  <c r="D357" i="57"/>
  <c r="D14" i="57"/>
  <c r="B289" i="2"/>
  <c r="L289" i="2" s="1"/>
  <c r="E349" i="57"/>
  <c r="E68" i="57"/>
  <c r="E70" i="57"/>
  <c r="D349" i="57"/>
  <c r="D68" i="57"/>
  <c r="D70" i="57"/>
  <c r="E348" i="57"/>
  <c r="D348" i="57"/>
  <c r="E347" i="57"/>
  <c r="E33" i="57"/>
  <c r="D347" i="57"/>
  <c r="D33" i="57"/>
  <c r="E319" i="57"/>
  <c r="D319" i="57"/>
  <c r="D13" i="57"/>
  <c r="D311" i="57"/>
  <c r="D50" i="57"/>
  <c r="E310" i="57"/>
  <c r="E38" i="57"/>
  <c r="D310" i="57"/>
  <c r="D38" i="57"/>
  <c r="E282" i="57"/>
  <c r="E12" i="57"/>
  <c r="D282" i="57"/>
  <c r="E275" i="57"/>
  <c r="D275" i="57"/>
  <c r="D48" i="57"/>
  <c r="E255" i="57"/>
  <c r="D255" i="57"/>
  <c r="E248" i="57"/>
  <c r="E64" i="57"/>
  <c r="D248" i="57"/>
  <c r="D64" i="57"/>
  <c r="E247" i="57"/>
  <c r="D247" i="57"/>
  <c r="D36" i="57"/>
  <c r="B205" i="3"/>
  <c r="K205" i="3" s="1"/>
  <c r="E224" i="57"/>
  <c r="E10" i="57"/>
  <c r="D224" i="57"/>
  <c r="D10" i="57"/>
  <c r="E217" i="57"/>
  <c r="D217" i="57"/>
  <c r="D32" i="57"/>
  <c r="D34" i="57"/>
  <c r="E198" i="57"/>
  <c r="E9" i="57"/>
  <c r="C284" i="2"/>
  <c r="M284" i="2" s="1"/>
  <c r="D198" i="57"/>
  <c r="E54" i="57"/>
  <c r="D54" i="57"/>
  <c r="D26" i="57"/>
  <c r="B247" i="3"/>
  <c r="K247" i="3" s="1"/>
  <c r="D8" i="57"/>
  <c r="E156" i="57"/>
  <c r="E42" i="57"/>
  <c r="D156" i="57"/>
  <c r="D42" i="57"/>
  <c r="E155" i="57"/>
  <c r="D155" i="57"/>
  <c r="E118" i="57"/>
  <c r="E7" i="57"/>
  <c r="C282" i="2"/>
  <c r="M282" i="2" s="1"/>
  <c r="D118" i="57"/>
  <c r="E111" i="57"/>
  <c r="E58" i="57"/>
  <c r="C90" i="3"/>
  <c r="D111" i="57"/>
  <c r="D58" i="57"/>
  <c r="E110" i="57"/>
  <c r="D110" i="57"/>
  <c r="D46" i="57"/>
  <c r="E109" i="57"/>
  <c r="E28" i="57"/>
  <c r="D109" i="57"/>
  <c r="E85" i="57"/>
  <c r="E4" i="57"/>
  <c r="E21" i="57"/>
  <c r="D85" i="57"/>
  <c r="E13" i="41"/>
  <c r="D13" i="41"/>
  <c r="E9" i="54"/>
  <c r="D9" i="54"/>
  <c r="E7" i="54"/>
  <c r="D7" i="54"/>
  <c r="E3" i="54"/>
  <c r="D3" i="54"/>
  <c r="E8" i="53"/>
  <c r="D8" i="53"/>
  <c r="E3" i="53"/>
  <c r="D3" i="53"/>
  <c r="E171" i="52"/>
  <c r="E39" i="52"/>
  <c r="D171" i="52"/>
  <c r="D39" i="52"/>
  <c r="E170" i="52"/>
  <c r="D170" i="52"/>
  <c r="E169" i="52"/>
  <c r="E18" i="52"/>
  <c r="D169" i="52"/>
  <c r="E150" i="52"/>
  <c r="D150" i="52"/>
  <c r="E143" i="52"/>
  <c r="E27" i="52"/>
  <c r="D143" i="52"/>
  <c r="E142" i="52"/>
  <c r="D142" i="52"/>
  <c r="E125" i="52"/>
  <c r="D125" i="52"/>
  <c r="D5" i="52"/>
  <c r="E118" i="52"/>
  <c r="D118" i="52"/>
  <c r="E117" i="52"/>
  <c r="E33" i="52"/>
  <c r="D117" i="52"/>
  <c r="E116" i="52"/>
  <c r="D116" i="52"/>
  <c r="E91" i="52"/>
  <c r="E4" i="52"/>
  <c r="D91" i="52"/>
  <c r="E84" i="52"/>
  <c r="D84" i="52"/>
  <c r="D35" i="52"/>
  <c r="D37" i="52"/>
  <c r="E83" i="52"/>
  <c r="D83" i="52"/>
  <c r="E82" i="52"/>
  <c r="D82" i="52"/>
  <c r="E81" i="52"/>
  <c r="D81" i="52"/>
  <c r="D17" i="52"/>
  <c r="E80" i="52"/>
  <c r="D80" i="52"/>
  <c r="E52" i="52"/>
  <c r="D52" i="52"/>
  <c r="D36" i="52"/>
  <c r="D18" i="52"/>
  <c r="E17" i="52"/>
  <c r="E9" i="51"/>
  <c r="D9" i="51"/>
  <c r="E7" i="51"/>
  <c r="E11" i="51"/>
  <c r="D7" i="51"/>
  <c r="E3" i="51"/>
  <c r="D3" i="51"/>
  <c r="E13" i="46"/>
  <c r="D13" i="46"/>
  <c r="E10" i="46"/>
  <c r="E12" i="45"/>
  <c r="D10" i="46"/>
  <c r="E7" i="46"/>
  <c r="E15" i="45"/>
  <c r="D7" i="46"/>
  <c r="E3" i="46"/>
  <c r="D3" i="46"/>
  <c r="E55" i="49"/>
  <c r="E56" i="49" s="1"/>
  <c r="C290" i="3" s="1"/>
  <c r="D55" i="49"/>
  <c r="E356" i="49"/>
  <c r="D356" i="49"/>
  <c r="D19" i="49"/>
  <c r="E14" i="49"/>
  <c r="D14" i="49"/>
  <c r="E329" i="49"/>
  <c r="E51" i="49" s="1"/>
  <c r="D329" i="49"/>
  <c r="D51" i="49" s="1"/>
  <c r="E315" i="49"/>
  <c r="D315" i="49"/>
  <c r="E50" i="49"/>
  <c r="D50" i="49"/>
  <c r="E38" i="49"/>
  <c r="D38" i="49"/>
  <c r="E12" i="49"/>
  <c r="D47" i="49"/>
  <c r="E246" i="49"/>
  <c r="E29" i="49" s="1"/>
  <c r="D246" i="49"/>
  <c r="D29" i="49"/>
  <c r="E10" i="49"/>
  <c r="E215" i="49"/>
  <c r="D215" i="49"/>
  <c r="D46" i="49"/>
  <c r="E214" i="49"/>
  <c r="D214" i="49"/>
  <c r="E213" i="49"/>
  <c r="D213" i="49"/>
  <c r="D28" i="49" s="1"/>
  <c r="D30" i="49" s="1"/>
  <c r="B179" i="3" s="1"/>
  <c r="K179" i="3" s="1"/>
  <c r="E187" i="49"/>
  <c r="D187" i="49"/>
  <c r="E180" i="49"/>
  <c r="E26" i="49"/>
  <c r="C269" i="3" s="1"/>
  <c r="D180" i="49"/>
  <c r="E163" i="49"/>
  <c r="E8" i="49"/>
  <c r="D163" i="49"/>
  <c r="D8" i="49" s="1"/>
  <c r="B38" i="2" s="1"/>
  <c r="L38" i="2" s="1"/>
  <c r="E155" i="49"/>
  <c r="E45" i="49" s="1"/>
  <c r="E48" i="49" s="1"/>
  <c r="C368" i="3" s="1"/>
  <c r="D155" i="49"/>
  <c r="D45" i="49"/>
  <c r="D48" i="49" s="1"/>
  <c r="B368" i="3" s="1"/>
  <c r="K368" i="3" s="1"/>
  <c r="E154" i="49"/>
  <c r="E32" i="49" s="1"/>
  <c r="E35" i="49" s="1"/>
  <c r="C172" i="3" s="1"/>
  <c r="D154" i="49"/>
  <c r="D32" i="49"/>
  <c r="D35" i="49" s="1"/>
  <c r="B172" i="3" s="1"/>
  <c r="K172" i="3" s="1"/>
  <c r="E153" i="49"/>
  <c r="D153" i="49"/>
  <c r="E121" i="49"/>
  <c r="E7" i="49" s="1"/>
  <c r="C37" i="2" s="1"/>
  <c r="M37" i="2" s="1"/>
  <c r="D121" i="49"/>
  <c r="D7" i="49" s="1"/>
  <c r="B37" i="2" s="1"/>
  <c r="E114" i="49"/>
  <c r="D114" i="49"/>
  <c r="D37" i="49"/>
  <c r="D39" i="49" s="1"/>
  <c r="B80" i="3" s="1"/>
  <c r="K80" i="3" s="1"/>
  <c r="E113" i="49"/>
  <c r="E22" i="49" s="1"/>
  <c r="C222" i="3" s="1"/>
  <c r="D113" i="49"/>
  <c r="D22" i="49" s="1"/>
  <c r="B222" i="3" s="1"/>
  <c r="K222" i="3" s="1"/>
  <c r="E86" i="49"/>
  <c r="E6" i="49" s="1"/>
  <c r="C36" i="2" s="1"/>
  <c r="M36" i="2" s="1"/>
  <c r="D86" i="49"/>
  <c r="E79" i="49"/>
  <c r="E18" i="49" s="1"/>
  <c r="D79" i="49"/>
  <c r="D18" i="49"/>
  <c r="D20" i="49" s="1"/>
  <c r="B263" i="3" s="1"/>
  <c r="K263" i="3" s="1"/>
  <c r="E67" i="49"/>
  <c r="E5" i="49" s="1"/>
  <c r="C35" i="2" s="1"/>
  <c r="M35" i="2" s="1"/>
  <c r="D67" i="49"/>
  <c r="D5" i="49" s="1"/>
  <c r="B35" i="2" s="1"/>
  <c r="L35" i="2" s="1"/>
  <c r="D42" i="49"/>
  <c r="E41" i="49"/>
  <c r="D41" i="49"/>
  <c r="D12" i="49"/>
  <c r="B42" i="2" s="1"/>
  <c r="L42" i="2" s="1"/>
  <c r="D9" i="49"/>
  <c r="D6" i="49"/>
  <c r="B36" i="2" s="1"/>
  <c r="L36" i="2" s="1"/>
  <c r="C424" i="3"/>
  <c r="B424" i="3"/>
  <c r="K424" i="3" s="1"/>
  <c r="C358" i="3"/>
  <c r="B358" i="3"/>
  <c r="K358" i="3" s="1"/>
  <c r="E5" i="47"/>
  <c r="D5" i="47"/>
  <c r="E12" i="8"/>
  <c r="D12" i="8"/>
  <c r="E9" i="8"/>
  <c r="D9" i="8"/>
  <c r="E7" i="8"/>
  <c r="D7" i="8"/>
  <c r="E3" i="8"/>
  <c r="D3" i="8"/>
  <c r="E7" i="48"/>
  <c r="D7" i="48"/>
  <c r="E3" i="48"/>
  <c r="D3" i="48"/>
  <c r="D15" i="45"/>
  <c r="E11" i="45"/>
  <c r="D11" i="45"/>
  <c r="D9" i="46"/>
  <c r="D11" i="46" s="1"/>
  <c r="E9" i="45"/>
  <c r="E17" i="46"/>
  <c r="D9" i="45"/>
  <c r="D17" i="46"/>
  <c r="E7" i="45"/>
  <c r="E15" i="46"/>
  <c r="D7" i="45"/>
  <c r="D15" i="46"/>
  <c r="E3" i="45"/>
  <c r="D3" i="45"/>
  <c r="E9" i="44"/>
  <c r="D9" i="44"/>
  <c r="E7" i="44"/>
  <c r="D7" i="44"/>
  <c r="D13" i="44"/>
  <c r="E3" i="44"/>
  <c r="D3" i="44"/>
  <c r="D5" i="44"/>
  <c r="E67" i="43"/>
  <c r="E43" i="43"/>
  <c r="D43" i="43"/>
  <c r="E17" i="43"/>
  <c r="D17" i="43"/>
  <c r="B274" i="2" s="1"/>
  <c r="L274" i="2" s="1"/>
  <c r="E414" i="43"/>
  <c r="D414" i="43"/>
  <c r="E413" i="43"/>
  <c r="D413" i="43"/>
  <c r="E387" i="43"/>
  <c r="D387" i="43"/>
  <c r="E380" i="43"/>
  <c r="D380" i="43"/>
  <c r="E365" i="43"/>
  <c r="D365" i="43"/>
  <c r="E357" i="43"/>
  <c r="D357" i="43"/>
  <c r="E356" i="43"/>
  <c r="D356" i="43"/>
  <c r="E320" i="43"/>
  <c r="D320" i="43"/>
  <c r="E313" i="43"/>
  <c r="E42" i="43" s="1"/>
  <c r="D313" i="43"/>
  <c r="D42" i="43" s="1"/>
  <c r="E312" i="43"/>
  <c r="D312" i="43"/>
  <c r="E296" i="43"/>
  <c r="E13" i="43" s="1"/>
  <c r="C270" i="2" s="1"/>
  <c r="D296" i="43"/>
  <c r="D23" i="43"/>
  <c r="E266" i="43"/>
  <c r="D266" i="43"/>
  <c r="E247" i="43"/>
  <c r="E11" i="43" s="1"/>
  <c r="C268" i="2" s="1"/>
  <c r="D247" i="43"/>
  <c r="D11" i="43" s="1"/>
  <c r="B268" i="2" s="1"/>
  <c r="L268" i="2" s="1"/>
  <c r="E240" i="43"/>
  <c r="D240" i="43"/>
  <c r="D35" i="43"/>
  <c r="E239" i="43"/>
  <c r="E33" i="43" s="1"/>
  <c r="C128" i="3" s="1"/>
  <c r="D239" i="43"/>
  <c r="E222" i="43"/>
  <c r="D222" i="43"/>
  <c r="D31" i="43"/>
  <c r="B73" i="3" s="1"/>
  <c r="K73" i="3" s="1"/>
  <c r="E198" i="43"/>
  <c r="D198" i="43"/>
  <c r="E191" i="43"/>
  <c r="E41" i="43" s="1"/>
  <c r="D191" i="43"/>
  <c r="D41" i="43" s="1"/>
  <c r="E190" i="43"/>
  <c r="E29" i="43" s="1"/>
  <c r="C235" i="3" s="1"/>
  <c r="D190" i="43"/>
  <c r="D29" i="43" s="1"/>
  <c r="B235" i="3" s="1"/>
  <c r="K235" i="3" s="1"/>
  <c r="E150" i="43"/>
  <c r="D150" i="43"/>
  <c r="E143" i="43"/>
  <c r="D143" i="43"/>
  <c r="E142" i="43"/>
  <c r="D142" i="43"/>
  <c r="E141" i="43"/>
  <c r="D141" i="43"/>
  <c r="E133" i="43"/>
  <c r="D133" i="43"/>
  <c r="E108" i="43"/>
  <c r="D108" i="43"/>
  <c r="E101" i="43"/>
  <c r="D101" i="43"/>
  <c r="E100" i="43"/>
  <c r="D100" i="43"/>
  <c r="E99" i="43"/>
  <c r="D99" i="43"/>
  <c r="E81" i="43"/>
  <c r="D81" i="43"/>
  <c r="E10" i="43"/>
  <c r="E11" i="41"/>
  <c r="D11" i="41"/>
  <c r="E7" i="41"/>
  <c r="E7" i="42"/>
  <c r="E9" i="42" s="1"/>
  <c r="D7" i="41"/>
  <c r="E3" i="41"/>
  <c r="D3" i="41"/>
  <c r="E13" i="11"/>
  <c r="D13" i="11"/>
  <c r="E10" i="11"/>
  <c r="D10" i="11"/>
  <c r="E7" i="11"/>
  <c r="D7" i="11"/>
  <c r="E3" i="11"/>
  <c r="D3" i="11"/>
  <c r="E412" i="39"/>
  <c r="D412" i="39"/>
  <c r="D411" i="39"/>
  <c r="E410" i="39"/>
  <c r="D410" i="39"/>
  <c r="E409" i="39"/>
  <c r="E34" i="39"/>
  <c r="D409" i="39"/>
  <c r="D34" i="39"/>
  <c r="E382" i="39"/>
  <c r="D382" i="39"/>
  <c r="E375" i="39"/>
  <c r="D375" i="39"/>
  <c r="D80" i="39"/>
  <c r="D73" i="39"/>
  <c r="E350" i="39"/>
  <c r="E13" i="39"/>
  <c r="D350" i="39"/>
  <c r="E343" i="39"/>
  <c r="E69" i="39"/>
  <c r="D343" i="39"/>
  <c r="E342" i="39"/>
  <c r="D342" i="39"/>
  <c r="E341" i="39"/>
  <c r="E22" i="39"/>
  <c r="D341" i="39"/>
  <c r="E320" i="39"/>
  <c r="D320" i="39"/>
  <c r="E313" i="39"/>
  <c r="D313" i="39"/>
  <c r="E312" i="39"/>
  <c r="D312" i="39"/>
  <c r="E311" i="39"/>
  <c r="D311" i="39"/>
  <c r="E310" i="39"/>
  <c r="E41" i="39"/>
  <c r="D310" i="39"/>
  <c r="E287" i="39"/>
  <c r="E11" i="39"/>
  <c r="D287" i="39"/>
  <c r="E280" i="39"/>
  <c r="D280" i="39"/>
  <c r="E279" i="39"/>
  <c r="D279" i="39"/>
  <c r="E278" i="39"/>
  <c r="E26" i="39"/>
  <c r="D278" i="39"/>
  <c r="D26" i="39"/>
  <c r="E256" i="39"/>
  <c r="D256" i="39"/>
  <c r="E249" i="39"/>
  <c r="E65" i="39"/>
  <c r="D249" i="39"/>
  <c r="D65" i="39"/>
  <c r="E248" i="39"/>
  <c r="D248" i="39"/>
  <c r="E226" i="39"/>
  <c r="E9" i="39"/>
  <c r="D226" i="39"/>
  <c r="E219" i="39"/>
  <c r="D219" i="39"/>
  <c r="E218" i="39"/>
  <c r="D218" i="39"/>
  <c r="D61" i="39"/>
  <c r="E217" i="39"/>
  <c r="D217" i="39"/>
  <c r="E195" i="39"/>
  <c r="D195" i="39"/>
  <c r="D8" i="39"/>
  <c r="E188" i="39"/>
  <c r="D188" i="39"/>
  <c r="E187" i="39"/>
  <c r="D187" i="39"/>
  <c r="E186" i="39"/>
  <c r="D186" i="39"/>
  <c r="E185" i="39"/>
  <c r="D185" i="39"/>
  <c r="E184" i="39"/>
  <c r="D184" i="39"/>
  <c r="D25" i="39"/>
  <c r="E150" i="39"/>
  <c r="D150" i="39"/>
  <c r="E143" i="39"/>
  <c r="D143" i="39"/>
  <c r="E142" i="39"/>
  <c r="E37" i="39"/>
  <c r="D142" i="39"/>
  <c r="E123" i="39"/>
  <c r="E6" i="39"/>
  <c r="D123" i="39"/>
  <c r="E116" i="39"/>
  <c r="E33" i="39"/>
  <c r="D116" i="39"/>
  <c r="E115" i="39"/>
  <c r="E31" i="39"/>
  <c r="D115" i="39"/>
  <c r="D31" i="39"/>
  <c r="E114" i="39"/>
  <c r="D114" i="39"/>
  <c r="D29" i="39"/>
  <c r="E92" i="39"/>
  <c r="D92" i="39"/>
  <c r="D77" i="39"/>
  <c r="D75" i="39"/>
  <c r="D71" i="39"/>
  <c r="D69" i="39"/>
  <c r="D67" i="39"/>
  <c r="D63" i="39"/>
  <c r="D19" i="39"/>
  <c r="E243" i="28"/>
  <c r="E26" i="28" s="1"/>
  <c r="D243" i="28"/>
  <c r="E242" i="28"/>
  <c r="D242" i="28"/>
  <c r="D17" i="28"/>
  <c r="E218" i="28"/>
  <c r="D218" i="28"/>
  <c r="D10" i="28" s="1"/>
  <c r="B370" i="2" s="1"/>
  <c r="L370" i="2" s="1"/>
  <c r="D22" i="28"/>
  <c r="B39" i="3" s="1"/>
  <c r="K39" i="3" s="1"/>
  <c r="E9" i="28"/>
  <c r="C369" i="2" s="1"/>
  <c r="M369" i="2" s="1"/>
  <c r="D9" i="28"/>
  <c r="B369" i="2" s="1"/>
  <c r="L369" i="2" s="1"/>
  <c r="E20" i="28"/>
  <c r="E8" i="28"/>
  <c r="D8" i="28"/>
  <c r="E142" i="28"/>
  <c r="E16" i="28" s="1"/>
  <c r="D142" i="28"/>
  <c r="E113" i="28"/>
  <c r="E7" i="28" s="1"/>
  <c r="C367" i="2" s="1"/>
  <c r="M367" i="2" s="1"/>
  <c r="D113" i="28"/>
  <c r="D7" i="28" s="1"/>
  <c r="B367" i="2" s="1"/>
  <c r="L367" i="2" s="1"/>
  <c r="E65" i="28"/>
  <c r="D65" i="28"/>
  <c r="E64" i="28"/>
  <c r="E14" i="28" s="1"/>
  <c r="C150" i="3" s="1"/>
  <c r="D64" i="28"/>
  <c r="E42" i="28"/>
  <c r="E5" i="28" s="1"/>
  <c r="C365" i="2" s="1"/>
  <c r="M365" i="2" s="1"/>
  <c r="D42" i="28"/>
  <c r="E30" i="28"/>
  <c r="D25" i="28"/>
  <c r="E524" i="38"/>
  <c r="E66" i="38" s="1"/>
  <c r="D524" i="38"/>
  <c r="D66" i="38" s="1"/>
  <c r="E500" i="38"/>
  <c r="E19" i="38" s="1"/>
  <c r="C29" i="2" s="1"/>
  <c r="M29" i="2" s="1"/>
  <c r="D500" i="38"/>
  <c r="D19" i="38" s="1"/>
  <c r="B29" i="2" s="1"/>
  <c r="L29" i="2" s="1"/>
  <c r="E493" i="38"/>
  <c r="E50" i="38" s="1"/>
  <c r="D493" i="38"/>
  <c r="D50" i="38" s="1"/>
  <c r="E492" i="38"/>
  <c r="E39" i="38" s="1"/>
  <c r="C400" i="3" s="1"/>
  <c r="D492" i="38"/>
  <c r="D39" i="38" s="1"/>
  <c r="B400" i="3" s="1"/>
  <c r="K400" i="3" s="1"/>
  <c r="E455" i="38"/>
  <c r="E18" i="38" s="1"/>
  <c r="C28" i="2" s="1"/>
  <c r="M28" i="2" s="1"/>
  <c r="D455" i="38"/>
  <c r="D18" i="38" s="1"/>
  <c r="B28" i="2" s="1"/>
  <c r="L28" i="2" s="1"/>
  <c r="E61" i="38"/>
  <c r="D61" i="38"/>
  <c r="E58" i="38"/>
  <c r="D58" i="38"/>
  <c r="E17" i="38"/>
  <c r="D17" i="38"/>
  <c r="E423" i="38"/>
  <c r="E79" i="38" s="1"/>
  <c r="D423" i="38"/>
  <c r="D79" i="38" s="1"/>
  <c r="E422" i="38"/>
  <c r="E54" i="38" s="1"/>
  <c r="D422" i="38"/>
  <c r="D54" i="38" s="1"/>
  <c r="E403" i="38"/>
  <c r="E16" i="38" s="1"/>
  <c r="C26" i="2" s="1"/>
  <c r="M26" i="2" s="1"/>
  <c r="D403" i="38"/>
  <c r="D16" i="38" s="1"/>
  <c r="B26" i="2" s="1"/>
  <c r="L26" i="2" s="1"/>
  <c r="E396" i="38"/>
  <c r="E46" i="38" s="1"/>
  <c r="D396" i="38"/>
  <c r="D46" i="38" s="1"/>
  <c r="E383" i="38"/>
  <c r="D383" i="38"/>
  <c r="D15" i="38" s="1"/>
  <c r="B25" i="2" s="1"/>
  <c r="L25" i="2" s="1"/>
  <c r="E374" i="38"/>
  <c r="E43" i="38" s="1"/>
  <c r="C219" i="3" s="1"/>
  <c r="D374" i="38"/>
  <c r="D43" i="38" s="1"/>
  <c r="B219" i="3" s="1"/>
  <c r="K219" i="3" s="1"/>
  <c r="E14" i="38"/>
  <c r="C24" i="2" s="1"/>
  <c r="M24" i="2" s="1"/>
  <c r="E78" i="38"/>
  <c r="D49" i="38"/>
  <c r="E41" i="38"/>
  <c r="E13" i="38"/>
  <c r="E295" i="38"/>
  <c r="E65" i="38" s="1"/>
  <c r="E67" i="38" s="1"/>
  <c r="C55" i="3" s="1"/>
  <c r="D295" i="38"/>
  <c r="D65" i="38" s="1"/>
  <c r="E294" i="38"/>
  <c r="E53" i="38" s="1"/>
  <c r="D294" i="38"/>
  <c r="D53" i="38" s="1"/>
  <c r="D55" i="38" s="1"/>
  <c r="B323" i="3" s="1"/>
  <c r="K323" i="3" s="1"/>
  <c r="E293" i="38"/>
  <c r="D293" i="38"/>
  <c r="D37" i="38" s="1"/>
  <c r="B85" i="3" s="1"/>
  <c r="K85" i="3" s="1"/>
  <c r="E267" i="38"/>
  <c r="E12" i="38" s="1"/>
  <c r="C22" i="2" s="1"/>
  <c r="M22" i="2" s="1"/>
  <c r="D267" i="38"/>
  <c r="D12" i="38" s="1"/>
  <c r="B22" i="2" s="1"/>
  <c r="L22" i="2" s="1"/>
  <c r="E260" i="38"/>
  <c r="E35" i="38" s="1"/>
  <c r="C378" i="3" s="1"/>
  <c r="D260" i="38"/>
  <c r="D35" i="38" s="1"/>
  <c r="B378" i="3" s="1"/>
  <c r="K378" i="3" s="1"/>
  <c r="E244" i="38"/>
  <c r="E11" i="38" s="1"/>
  <c r="C21" i="2" s="1"/>
  <c r="M21" i="2" s="1"/>
  <c r="D244" i="38"/>
  <c r="D11" i="38" s="1"/>
  <c r="B21" i="2" s="1"/>
  <c r="L21" i="2" s="1"/>
  <c r="E237" i="38"/>
  <c r="E31" i="38" s="1"/>
  <c r="E33" i="38" s="1"/>
  <c r="C221" i="3" s="1"/>
  <c r="D237" i="38"/>
  <c r="D31" i="38" s="1"/>
  <c r="E220" i="38"/>
  <c r="E10" i="38" s="1"/>
  <c r="C20" i="2" s="1"/>
  <c r="M20" i="2" s="1"/>
  <c r="D220" i="38"/>
  <c r="D10" i="38" s="1"/>
  <c r="B20" i="2" s="1"/>
  <c r="L20" i="2" s="1"/>
  <c r="D9" i="38"/>
  <c r="B19" i="2" s="1"/>
  <c r="L19" i="2" s="1"/>
  <c r="E170" i="38"/>
  <c r="E69" i="38" s="1"/>
  <c r="D170" i="38"/>
  <c r="D69" i="38" s="1"/>
  <c r="E169" i="38"/>
  <c r="E57" i="38" s="1"/>
  <c r="D169" i="38"/>
  <c r="E168" i="38"/>
  <c r="E27" i="38" s="1"/>
  <c r="C376" i="3" s="1"/>
  <c r="D168" i="38"/>
  <c r="D27" i="38" s="1"/>
  <c r="B376" i="3" s="1"/>
  <c r="K376" i="3" s="1"/>
  <c r="E150" i="38"/>
  <c r="E8" i="38" s="1"/>
  <c r="C18" i="2" s="1"/>
  <c r="M18" i="2" s="1"/>
  <c r="D150" i="38"/>
  <c r="E143" i="38"/>
  <c r="E75" i="38" s="1"/>
  <c r="C129" i="3" s="1"/>
  <c r="D143" i="38"/>
  <c r="D75" i="38" s="1"/>
  <c r="B129" i="3" s="1"/>
  <c r="K129" i="3" s="1"/>
  <c r="E142" i="38"/>
  <c r="E70" i="38" s="1"/>
  <c r="D142" i="38"/>
  <c r="D70" i="38" s="1"/>
  <c r="E120" i="38"/>
  <c r="E5" i="38" s="1"/>
  <c r="D120" i="38"/>
  <c r="D5" i="38" s="1"/>
  <c r="E113" i="38"/>
  <c r="E73" i="38" s="1"/>
  <c r="C433" i="3" s="1"/>
  <c r="D113" i="38"/>
  <c r="D73" i="38" s="1"/>
  <c r="B433" i="3" s="1"/>
  <c r="K433" i="3" s="1"/>
  <c r="E112" i="38"/>
  <c r="E62" i="38" s="1"/>
  <c r="D112" i="38"/>
  <c r="D62" i="38" s="1"/>
  <c r="E93" i="38"/>
  <c r="E4" i="38" s="1"/>
  <c r="D93" i="38"/>
  <c r="D32" i="38"/>
  <c r="E11" i="36"/>
  <c r="D11" i="36"/>
  <c r="E9" i="36"/>
  <c r="D9" i="36"/>
  <c r="E7" i="36"/>
  <c r="D7" i="36"/>
  <c r="E3" i="36"/>
  <c r="D3" i="36"/>
  <c r="E240" i="37"/>
  <c r="D240" i="37"/>
  <c r="D41" i="37"/>
  <c r="B52" i="3"/>
  <c r="K52" i="3" s="1"/>
  <c r="E239" i="37"/>
  <c r="D239" i="37"/>
  <c r="D38" i="37"/>
  <c r="E238" i="37"/>
  <c r="E28" i="37"/>
  <c r="D238" i="37"/>
  <c r="D28" i="37"/>
  <c r="E237" i="37"/>
  <c r="D237" i="37"/>
  <c r="D18" i="37"/>
  <c r="E235" i="37"/>
  <c r="D235" i="37"/>
  <c r="E224" i="37"/>
  <c r="D224" i="37"/>
  <c r="E220" i="37"/>
  <c r="D220" i="37"/>
  <c r="E193" i="37"/>
  <c r="D193" i="37"/>
  <c r="E190" i="37"/>
  <c r="D190" i="37"/>
  <c r="E183" i="37"/>
  <c r="E32" i="37"/>
  <c r="D183" i="37"/>
  <c r="E182" i="37"/>
  <c r="E17" i="37"/>
  <c r="E19" i="37"/>
  <c r="D182" i="37"/>
  <c r="D17" i="37"/>
  <c r="D19" i="37"/>
  <c r="E160" i="37"/>
  <c r="E10" i="37"/>
  <c r="D160" i="37"/>
  <c r="E153" i="37"/>
  <c r="E37" i="37"/>
  <c r="E39" i="37"/>
  <c r="C385" i="3"/>
  <c r="D153" i="37"/>
  <c r="E152" i="37"/>
  <c r="D152" i="37"/>
  <c r="D22" i="37"/>
  <c r="E129" i="37"/>
  <c r="D129" i="37"/>
  <c r="D9" i="37"/>
  <c r="B257" i="2"/>
  <c r="L257" i="2" s="1"/>
  <c r="E122" i="37"/>
  <c r="E31" i="37" s="1"/>
  <c r="E33" i="37" s="1"/>
  <c r="D122" i="37"/>
  <c r="E104" i="37"/>
  <c r="E8" i="37" s="1"/>
  <c r="D104" i="37"/>
  <c r="D8" i="37" s="1"/>
  <c r="D3" i="37" s="1"/>
  <c r="E97" i="37"/>
  <c r="D97" i="37"/>
  <c r="D86" i="37"/>
  <c r="D7" i="37"/>
  <c r="E79" i="37"/>
  <c r="D79" i="37"/>
  <c r="D35" i="37"/>
  <c r="B317" i="3"/>
  <c r="K317" i="3" s="1"/>
  <c r="E78" i="37"/>
  <c r="E25" i="37"/>
  <c r="C334" i="3"/>
  <c r="D78" i="37"/>
  <c r="D25" i="37"/>
  <c r="E77" i="37"/>
  <c r="D77" i="37"/>
  <c r="D21" i="37"/>
  <c r="D23" i="37"/>
  <c r="B472" i="3"/>
  <c r="K472" i="3" s="1"/>
  <c r="E54" i="37"/>
  <c r="D54" i="37"/>
  <c r="D4" i="37"/>
  <c r="D14" i="37"/>
  <c r="D31" i="37"/>
  <c r="D33" i="37" s="1"/>
  <c r="E7" i="37"/>
  <c r="E11" i="35"/>
  <c r="D11" i="35"/>
  <c r="E9" i="35"/>
  <c r="D9" i="35"/>
  <c r="E7" i="35"/>
  <c r="D7" i="35"/>
  <c r="E5" i="35"/>
  <c r="E3" i="35"/>
  <c r="D3" i="35"/>
  <c r="D5" i="35"/>
  <c r="E79" i="39"/>
  <c r="D79" i="39"/>
  <c r="E15" i="55"/>
  <c r="D21" i="16"/>
  <c r="E24" i="28"/>
  <c r="E13" i="44"/>
  <c r="D19" i="46"/>
  <c r="D15" i="55"/>
  <c r="D12" i="63"/>
  <c r="E15" i="62"/>
  <c r="D15" i="62"/>
  <c r="E32" i="57"/>
  <c r="D7" i="57"/>
  <c r="D51" i="57"/>
  <c r="E14" i="57"/>
  <c r="E69" i="57"/>
  <c r="D13" i="51"/>
  <c r="E15" i="51"/>
  <c r="D15" i="51"/>
  <c r="E28" i="49"/>
  <c r="E30" i="49" s="1"/>
  <c r="C179" i="3" s="1"/>
  <c r="D10" i="43"/>
  <c r="E9" i="43"/>
  <c r="C266" i="2" s="1"/>
  <c r="M266" i="2" s="1"/>
  <c r="D9" i="43"/>
  <c r="B266" i="2" s="1"/>
  <c r="L266" i="2" s="1"/>
  <c r="E8" i="43"/>
  <c r="D8" i="43"/>
  <c r="E7" i="43"/>
  <c r="D7" i="43"/>
  <c r="D15" i="41"/>
  <c r="D37" i="39"/>
  <c r="D9" i="39"/>
  <c r="D41" i="39"/>
  <c r="D13" i="39"/>
  <c r="D13" i="36"/>
  <c r="D37" i="37"/>
  <c r="E35" i="37"/>
  <c r="C317" i="3"/>
  <c r="D5" i="62"/>
  <c r="E5" i="62"/>
  <c r="E13" i="62"/>
  <c r="D17" i="62"/>
  <c r="E13" i="31"/>
  <c r="C216" i="2"/>
  <c r="M216" i="2" s="1"/>
  <c r="E5" i="58"/>
  <c r="D5" i="58"/>
  <c r="D9" i="57"/>
  <c r="E8" i="57"/>
  <c r="E5" i="54"/>
  <c r="D5" i="54"/>
  <c r="D13" i="54"/>
  <c r="D6" i="53"/>
  <c r="E6" i="53"/>
  <c r="E5" i="53"/>
  <c r="E35" i="52"/>
  <c r="D11" i="52"/>
  <c r="E15" i="52"/>
  <c r="D15" i="52"/>
  <c r="E36" i="52"/>
  <c r="D33" i="52"/>
  <c r="E31" i="52"/>
  <c r="D31" i="52"/>
  <c r="E29" i="52"/>
  <c r="D29" i="52"/>
  <c r="D27" i="52"/>
  <c r="E25" i="52"/>
  <c r="D25" i="52"/>
  <c r="D5" i="51"/>
  <c r="E5" i="51"/>
  <c r="D5" i="46"/>
  <c r="E5" i="46"/>
  <c r="E37" i="49"/>
  <c r="E13" i="49"/>
  <c r="D13" i="49"/>
  <c r="E46" i="49"/>
  <c r="E5" i="8"/>
  <c r="E17" i="8"/>
  <c r="D5" i="8"/>
  <c r="D5" i="48"/>
  <c r="D5" i="45"/>
  <c r="E15" i="44"/>
  <c r="E5" i="41"/>
  <c r="D7" i="42"/>
  <c r="D9" i="42" s="1"/>
  <c r="D5" i="41"/>
  <c r="D5" i="11"/>
  <c r="E5" i="11"/>
  <c r="D19" i="11"/>
  <c r="E8" i="39"/>
  <c r="E59" i="39"/>
  <c r="D59" i="39"/>
  <c r="E57" i="39"/>
  <c r="D57" i="39"/>
  <c r="E55" i="39"/>
  <c r="D55" i="39"/>
  <c r="E53" i="39"/>
  <c r="D53" i="39"/>
  <c r="E51" i="39"/>
  <c r="D51" i="39"/>
  <c r="E25" i="39"/>
  <c r="E27" i="39"/>
  <c r="E75" i="39"/>
  <c r="E63" i="39"/>
  <c r="D30" i="28"/>
  <c r="E5" i="36"/>
  <c r="D5" i="36"/>
  <c r="E17" i="35"/>
  <c r="E15" i="35"/>
  <c r="E27" i="43"/>
  <c r="D27" i="43"/>
  <c r="D15" i="42"/>
  <c r="E13" i="42"/>
  <c r="D13" i="42"/>
  <c r="D7" i="64"/>
  <c r="E6" i="64"/>
  <c r="C94" i="2" s="1"/>
  <c r="M94" i="2" s="1"/>
  <c r="D6" i="64"/>
  <c r="D29" i="64"/>
  <c r="E21" i="16"/>
  <c r="D5" i="16"/>
  <c r="D5" i="55"/>
  <c r="E5" i="55"/>
  <c r="D5" i="42"/>
  <c r="E11" i="49"/>
  <c r="D33" i="39"/>
  <c r="E35" i="39"/>
  <c r="D4" i="52"/>
  <c r="E10" i="52"/>
  <c r="D11" i="51"/>
  <c r="D15" i="35"/>
  <c r="D15" i="36"/>
  <c r="E7" i="39"/>
  <c r="D7" i="39"/>
  <c r="E73" i="39"/>
  <c r="E15" i="41"/>
  <c r="E13" i="51"/>
  <c r="D5" i="53"/>
  <c r="D7" i="56"/>
  <c r="D9" i="56" s="1"/>
  <c r="E9" i="56"/>
  <c r="E19" i="56" s="1"/>
  <c r="E17" i="62"/>
  <c r="E11" i="63"/>
  <c r="D11" i="63"/>
  <c r="E10" i="63"/>
  <c r="D10" i="63"/>
  <c r="E5" i="16"/>
  <c r="D17" i="36"/>
  <c r="E19" i="52"/>
  <c r="D17" i="35"/>
  <c r="D20" i="28"/>
  <c r="E29" i="39"/>
  <c r="E61" i="39"/>
  <c r="E5" i="44"/>
  <c r="D11" i="44"/>
  <c r="D15" i="44"/>
  <c r="D26" i="49"/>
  <c r="D15" i="54"/>
  <c r="D15" i="59"/>
  <c r="D16" i="31"/>
  <c r="B219" i="2"/>
  <c r="L219" i="2" s="1"/>
  <c r="D51" i="31"/>
  <c r="D15" i="31"/>
  <c r="B218" i="2" s="1"/>
  <c r="L218" i="2" s="1"/>
  <c r="D9" i="63"/>
  <c r="D27" i="39"/>
  <c r="D13" i="62"/>
  <c r="D24" i="63"/>
  <c r="E23" i="63"/>
  <c r="D24" i="28"/>
  <c r="E13" i="35"/>
  <c r="D13" i="35"/>
  <c r="D10" i="37"/>
  <c r="D32" i="37"/>
  <c r="D57" i="38"/>
  <c r="D6" i="39"/>
  <c r="E5" i="39"/>
  <c r="D5" i="39"/>
  <c r="D22" i="39"/>
  <c r="E21" i="39"/>
  <c r="D21" i="39"/>
  <c r="E11" i="44"/>
  <c r="D17" i="8"/>
  <c r="D43" i="49"/>
  <c r="B288" i="3" s="1"/>
  <c r="K288" i="3" s="1"/>
  <c r="E42" i="49"/>
  <c r="E43" i="49"/>
  <c r="D12" i="45"/>
  <c r="D13" i="45" s="1"/>
  <c r="D12" i="57"/>
  <c r="D10" i="64"/>
  <c r="B98" i="2"/>
  <c r="L98" i="2" s="1"/>
  <c r="E9" i="64"/>
  <c r="C97" i="2" s="1"/>
  <c r="M97" i="2" s="1"/>
  <c r="D10" i="49"/>
  <c r="E9" i="49"/>
  <c r="E5" i="48"/>
  <c r="D33" i="43"/>
  <c r="E31" i="43"/>
  <c r="C73" i="3" s="1"/>
  <c r="D5" i="64"/>
  <c r="E19" i="64"/>
  <c r="E21" i="64" s="1"/>
  <c r="C180" i="3" s="1"/>
  <c r="E23" i="29"/>
  <c r="C79" i="3" s="1"/>
  <c r="E19" i="58"/>
  <c r="D19" i="58"/>
  <c r="E44" i="39"/>
  <c r="D44" i="39"/>
  <c r="E12" i="39"/>
  <c r="D12" i="39"/>
  <c r="E24" i="49"/>
  <c r="C66" i="3" s="1"/>
  <c r="D24" i="49"/>
  <c r="E39" i="49"/>
  <c r="C80" i="3" s="1"/>
  <c r="E15" i="42"/>
  <c r="E5" i="42"/>
  <c r="E72" i="57"/>
  <c r="D16" i="28"/>
  <c r="D18" i="28" s="1"/>
  <c r="B341" i="3" s="1"/>
  <c r="K341" i="3" s="1"/>
  <c r="D14" i="28"/>
  <c r="D8" i="38"/>
  <c r="B18" i="2" s="1"/>
  <c r="L18" i="2" s="1"/>
  <c r="E27" i="37"/>
  <c r="E29" i="37"/>
  <c r="C155" i="3"/>
  <c r="D27" i="37"/>
  <c r="E67" i="39"/>
  <c r="E77" i="39"/>
  <c r="E11" i="54"/>
  <c r="D11" i="54"/>
  <c r="E15" i="54"/>
  <c r="E13" i="54"/>
  <c r="E19" i="45"/>
  <c r="D19" i="45"/>
  <c r="E9" i="46"/>
  <c r="E11" i="46" s="1"/>
  <c r="E5" i="45"/>
  <c r="E19" i="11"/>
  <c r="E22" i="52"/>
  <c r="D19" i="52"/>
  <c r="E6" i="52"/>
  <c r="E25" i="28"/>
  <c r="E39" i="57"/>
  <c r="E13" i="57"/>
  <c r="E60" i="57"/>
  <c r="D60" i="57"/>
  <c r="E22" i="37"/>
  <c r="E9" i="37"/>
  <c r="E39" i="39"/>
  <c r="D39" i="39"/>
  <c r="E40" i="63"/>
  <c r="E34" i="63"/>
  <c r="D34" i="63"/>
  <c r="E27" i="63"/>
  <c r="D27" i="63"/>
  <c r="D28" i="63"/>
  <c r="E32" i="63"/>
  <c r="D36" i="63"/>
  <c r="E35" i="63"/>
  <c r="E4" i="63"/>
  <c r="E48" i="57"/>
  <c r="E11" i="57"/>
  <c r="D11" i="57"/>
  <c r="E46" i="57"/>
  <c r="D13" i="43"/>
  <c r="E39" i="43"/>
  <c r="C282" i="3" s="1"/>
  <c r="D39" i="43"/>
  <c r="D17" i="66"/>
  <c r="E15" i="66"/>
  <c r="D15" i="66"/>
  <c r="D13" i="66"/>
  <c r="E49" i="39"/>
  <c r="D49" i="39"/>
  <c r="E19" i="46"/>
  <c r="E13" i="45"/>
  <c r="E17" i="45"/>
  <c r="E23" i="45" s="1"/>
  <c r="D17" i="45"/>
  <c r="E65" i="31"/>
  <c r="E22" i="63"/>
  <c r="E24" i="63"/>
  <c r="D37" i="31"/>
  <c r="B162" i="3" s="1"/>
  <c r="K162" i="3" s="1"/>
  <c r="E43" i="39"/>
  <c r="D43" i="39"/>
  <c r="D45" i="39"/>
  <c r="E71" i="39"/>
  <c r="D11" i="39"/>
  <c r="E10" i="39"/>
  <c r="D10" i="39"/>
  <c r="E47" i="39"/>
  <c r="D47" i="39"/>
  <c r="E17" i="36"/>
  <c r="E13" i="36"/>
  <c r="E15" i="36"/>
  <c r="E39" i="63"/>
  <c r="E36" i="57"/>
  <c r="E24" i="57"/>
  <c r="D29" i="28"/>
  <c r="E15" i="38"/>
  <c r="C25" i="2" s="1"/>
  <c r="M25" i="2" s="1"/>
  <c r="E37" i="38"/>
  <c r="C85" i="3" s="1"/>
  <c r="E15" i="34"/>
  <c r="C438" i="3"/>
  <c r="E19" i="34"/>
  <c r="D19" i="34"/>
  <c r="E17" i="34"/>
  <c r="D17" i="34"/>
  <c r="D13" i="34"/>
  <c r="E11" i="34"/>
  <c r="C423" i="3"/>
  <c r="D11" i="34"/>
  <c r="D3" i="34"/>
  <c r="E288" i="33"/>
  <c r="D288" i="33"/>
  <c r="D43" i="33"/>
  <c r="E271" i="33"/>
  <c r="D271" i="33"/>
  <c r="D13" i="33"/>
  <c r="B359" i="2"/>
  <c r="E46" i="33"/>
  <c r="C121" i="3"/>
  <c r="D46" i="33"/>
  <c r="B121" i="3"/>
  <c r="K121" i="3" s="1"/>
  <c r="D42" i="33"/>
  <c r="E12" i="33"/>
  <c r="C358" i="2"/>
  <c r="M358" i="2" s="1"/>
  <c r="D12" i="33"/>
  <c r="B358" i="2"/>
  <c r="L358" i="2" s="1"/>
  <c r="E41" i="33"/>
  <c r="D41" i="33"/>
  <c r="E32" i="33"/>
  <c r="D32" i="33"/>
  <c r="E11" i="33"/>
  <c r="C357" i="2"/>
  <c r="M357" i="2" s="1"/>
  <c r="D11" i="33"/>
  <c r="B357" i="2"/>
  <c r="L357" i="2" s="1"/>
  <c r="E196" i="33"/>
  <c r="E36" i="33"/>
  <c r="D196" i="33"/>
  <c r="D36" i="33"/>
  <c r="E175" i="33"/>
  <c r="E10" i="33"/>
  <c r="C356" i="2"/>
  <c r="M356" i="2" s="1"/>
  <c r="D175" i="33"/>
  <c r="D10" i="33"/>
  <c r="B356" i="2"/>
  <c r="L356" i="2" s="1"/>
  <c r="E35" i="33"/>
  <c r="D35" i="33"/>
  <c r="E30" i="33"/>
  <c r="D30" i="33"/>
  <c r="E27" i="33"/>
  <c r="D27" i="33"/>
  <c r="E9" i="33"/>
  <c r="D9" i="33"/>
  <c r="E133" i="33"/>
  <c r="E26" i="33"/>
  <c r="D133" i="33"/>
  <c r="D26" i="33"/>
  <c r="E120" i="33"/>
  <c r="E8" i="33"/>
  <c r="C354" i="2"/>
  <c r="M354" i="2" s="1"/>
  <c r="D120" i="33"/>
  <c r="D8" i="33"/>
  <c r="B354" i="2"/>
  <c r="E39" i="33"/>
  <c r="C255" i="3"/>
  <c r="D39" i="33"/>
  <c r="B255" i="3"/>
  <c r="K255" i="3" s="1"/>
  <c r="D31" i="33"/>
  <c r="E23" i="33"/>
  <c r="D23" i="33"/>
  <c r="E80" i="33"/>
  <c r="D80" i="33"/>
  <c r="D22" i="33"/>
  <c r="E79" i="33"/>
  <c r="E20" i="33"/>
  <c r="C220" i="3"/>
  <c r="D79" i="33"/>
  <c r="D20" i="33"/>
  <c r="B220" i="3"/>
  <c r="K220" i="3" s="1"/>
  <c r="E59" i="33"/>
  <c r="D59" i="33"/>
  <c r="E42" i="33"/>
  <c r="D15" i="27"/>
  <c r="B348" i="2" s="1"/>
  <c r="L348" i="2" s="1"/>
  <c r="E370" i="27"/>
  <c r="E53" i="27" s="1"/>
  <c r="D370" i="27"/>
  <c r="E345" i="27"/>
  <c r="E14" i="27" s="1"/>
  <c r="C347" i="2" s="1"/>
  <c r="M347" i="2" s="1"/>
  <c r="D345" i="27"/>
  <c r="D14" i="27"/>
  <c r="B347" i="2" s="1"/>
  <c r="L347" i="2" s="1"/>
  <c r="E337" i="27"/>
  <c r="E35" i="27" s="1"/>
  <c r="C333" i="3" s="1"/>
  <c r="D337" i="27"/>
  <c r="D35" i="27" s="1"/>
  <c r="B333" i="3" s="1"/>
  <c r="K333" i="3" s="1"/>
  <c r="E336" i="27"/>
  <c r="E25" i="27" s="1"/>
  <c r="D336" i="27"/>
  <c r="E309" i="27"/>
  <c r="E13" i="27" s="1"/>
  <c r="C346" i="2" s="1"/>
  <c r="M346" i="2" s="1"/>
  <c r="D309" i="27"/>
  <c r="D13" i="27"/>
  <c r="B346" i="2" s="1"/>
  <c r="L346" i="2" s="1"/>
  <c r="D44" i="27"/>
  <c r="E268" i="27"/>
  <c r="E37" i="27" s="1"/>
  <c r="C212" i="3" s="1"/>
  <c r="D268" i="27"/>
  <c r="D37" i="27" s="1"/>
  <c r="B212" i="3" s="1"/>
  <c r="K212" i="3" s="1"/>
  <c r="E239" i="27"/>
  <c r="E11" i="27" s="1"/>
  <c r="C344" i="2" s="1"/>
  <c r="M344" i="2" s="1"/>
  <c r="D239" i="27"/>
  <c r="E230" i="27"/>
  <c r="E48" i="27" s="1"/>
  <c r="D230" i="27"/>
  <c r="E229" i="27"/>
  <c r="E24" i="27" s="1"/>
  <c r="D229" i="27"/>
  <c r="E203" i="27"/>
  <c r="E10" i="27" s="1"/>
  <c r="C343" i="2" s="1"/>
  <c r="M343" i="2" s="1"/>
  <c r="D203" i="27"/>
  <c r="D10" i="27" s="1"/>
  <c r="B343" i="2" s="1"/>
  <c r="L343" i="2" s="1"/>
  <c r="E33" i="27"/>
  <c r="D33" i="27"/>
  <c r="E9" i="27"/>
  <c r="C342" i="2" s="1"/>
  <c r="D9" i="27"/>
  <c r="D47" i="27"/>
  <c r="D29" i="27"/>
  <c r="E164" i="27"/>
  <c r="E23" i="27" s="1"/>
  <c r="E121" i="27"/>
  <c r="D121" i="27"/>
  <c r="D58" i="27" s="1"/>
  <c r="E120" i="27"/>
  <c r="E51" i="27" s="1"/>
  <c r="C203" i="3" s="1"/>
  <c r="D120" i="27"/>
  <c r="D51" i="27" s="1"/>
  <c r="B203" i="3" s="1"/>
  <c r="K203" i="3" s="1"/>
  <c r="E103" i="27"/>
  <c r="D103" i="27"/>
  <c r="E96" i="27"/>
  <c r="E43" i="27" s="1"/>
  <c r="E45" i="27" s="1"/>
  <c r="C356" i="3" s="1"/>
  <c r="D96" i="27"/>
  <c r="D43" i="27" s="1"/>
  <c r="E95" i="27"/>
  <c r="D95" i="27"/>
  <c r="D41" i="27" s="1"/>
  <c r="B266" i="3" s="1"/>
  <c r="K266" i="3" s="1"/>
  <c r="E94" i="27"/>
  <c r="E39" i="27" s="1"/>
  <c r="C401" i="3" s="1"/>
  <c r="D94" i="27"/>
  <c r="E72" i="27"/>
  <c r="E4" i="27" s="1"/>
  <c r="D72" i="27"/>
  <c r="D4" i="27" s="1"/>
  <c r="D26" i="27"/>
  <c r="D49" i="26"/>
  <c r="E321" i="26"/>
  <c r="E14" i="26"/>
  <c r="C76" i="2"/>
  <c r="M76" i="2" s="1"/>
  <c r="D321" i="26"/>
  <c r="E314" i="26"/>
  <c r="D314" i="26"/>
  <c r="E313" i="26"/>
  <c r="E23" i="26"/>
  <c r="D313" i="26"/>
  <c r="E286" i="26"/>
  <c r="D286" i="26"/>
  <c r="E279" i="26"/>
  <c r="D279" i="26"/>
  <c r="E249" i="26"/>
  <c r="D249" i="26"/>
  <c r="E42" i="26"/>
  <c r="D42" i="26"/>
  <c r="D43" i="26"/>
  <c r="B426" i="3"/>
  <c r="K426" i="3" s="1"/>
  <c r="E36" i="26"/>
  <c r="C321" i="3"/>
  <c r="D36" i="26"/>
  <c r="B321" i="3"/>
  <c r="K321" i="3" s="1"/>
  <c r="E220" i="26"/>
  <c r="E11" i="26"/>
  <c r="C73" i="2"/>
  <c r="M73" i="2" s="1"/>
  <c r="D220" i="26"/>
  <c r="D11" i="26"/>
  <c r="B73" i="2"/>
  <c r="L73" i="2" s="1"/>
  <c r="E213" i="26"/>
  <c r="D213" i="26"/>
  <c r="E186" i="26"/>
  <c r="E10" i="26"/>
  <c r="C72" i="2"/>
  <c r="M72" i="2" s="1"/>
  <c r="D186" i="26"/>
  <c r="E179" i="26"/>
  <c r="D179" i="26"/>
  <c r="E178" i="26"/>
  <c r="D178" i="26"/>
  <c r="E157" i="26"/>
  <c r="D157" i="26"/>
  <c r="E149" i="26"/>
  <c r="E22" i="26"/>
  <c r="E24" i="26"/>
  <c r="C245" i="3"/>
  <c r="D149" i="26"/>
  <c r="E127" i="26"/>
  <c r="D127" i="26"/>
  <c r="E119" i="26"/>
  <c r="E40" i="26"/>
  <c r="E43" i="26"/>
  <c r="C426" i="3"/>
  <c r="D119" i="26"/>
  <c r="E118" i="26"/>
  <c r="D118" i="26"/>
  <c r="E117" i="26"/>
  <c r="E20" i="26"/>
  <c r="D117" i="26"/>
  <c r="E107" i="26"/>
  <c r="D107" i="26"/>
  <c r="E90" i="26"/>
  <c r="E7" i="26"/>
  <c r="D90" i="26"/>
  <c r="E83" i="26"/>
  <c r="D83" i="26"/>
  <c r="E82" i="26"/>
  <c r="D82" i="26"/>
  <c r="E81" i="26"/>
  <c r="D81" i="26"/>
  <c r="E62" i="26"/>
  <c r="D62" i="26"/>
  <c r="E37" i="52"/>
  <c r="E23" i="39"/>
  <c r="D39" i="37"/>
  <c r="E38" i="37"/>
  <c r="D4" i="57"/>
  <c r="D7" i="34"/>
  <c r="E19" i="39"/>
  <c r="D23" i="39"/>
  <c r="D35" i="39"/>
  <c r="E41" i="27"/>
  <c r="C266" i="3" s="1"/>
  <c r="E22" i="28"/>
  <c r="C39" i="3" s="1"/>
  <c r="E22" i="33"/>
  <c r="D29" i="37"/>
  <c r="E3" i="52"/>
  <c r="D10" i="52"/>
  <c r="E49" i="26"/>
  <c r="D39" i="27"/>
  <c r="D25" i="27"/>
  <c r="D24" i="27"/>
  <c r="E8" i="27"/>
  <c r="C341" i="2" s="1"/>
  <c r="M341" i="2" s="1"/>
  <c r="E45" i="39"/>
  <c r="D22" i="52"/>
  <c r="E21" i="52"/>
  <c r="D21" i="52"/>
  <c r="D23" i="52"/>
  <c r="D45" i="52"/>
  <c r="D6" i="52"/>
  <c r="E12" i="52"/>
  <c r="E41" i="63"/>
  <c r="E37" i="63"/>
  <c r="D37" i="63"/>
  <c r="E3" i="34"/>
  <c r="C162" i="2"/>
  <c r="M162" i="2" s="1"/>
  <c r="D15" i="34"/>
  <c r="E28" i="63"/>
  <c r="D4" i="63"/>
  <c r="E16" i="63"/>
  <c r="D28" i="57"/>
  <c r="E26" i="57"/>
  <c r="E18" i="66"/>
  <c r="D36" i="30"/>
  <c r="E35" i="30"/>
  <c r="E36" i="30"/>
  <c r="C117" i="3"/>
  <c r="D7" i="63"/>
  <c r="D3" i="63"/>
  <c r="D24" i="57"/>
  <c r="D6" i="28"/>
  <c r="B366" i="2" s="1"/>
  <c r="L366" i="2" s="1"/>
  <c r="D5" i="28"/>
  <c r="B365" i="2" s="1"/>
  <c r="L365" i="2" s="1"/>
  <c r="E41" i="26"/>
  <c r="D41" i="26"/>
  <c r="D40" i="26"/>
  <c r="E38" i="26"/>
  <c r="C287" i="3"/>
  <c r="D38" i="26"/>
  <c r="E34" i="26"/>
  <c r="C377" i="3"/>
  <c r="D34" i="26"/>
  <c r="E32" i="26"/>
  <c r="D32" i="26"/>
  <c r="D13" i="26"/>
  <c r="B75" i="2"/>
  <c r="L75" i="2" s="1"/>
  <c r="E12" i="26"/>
  <c r="D12" i="26"/>
  <c r="D10" i="26"/>
  <c r="E9" i="26"/>
  <c r="D9" i="26"/>
  <c r="B71" i="2"/>
  <c r="L71" i="2" s="1"/>
  <c r="E8" i="26"/>
  <c r="D8" i="26"/>
  <c r="D7" i="26"/>
  <c r="E204" i="25"/>
  <c r="E26" i="25" s="1"/>
  <c r="D204" i="25"/>
  <c r="D26" i="25" s="1"/>
  <c r="E172" i="25"/>
  <c r="E9" i="25" s="1"/>
  <c r="D172" i="25"/>
  <c r="D9" i="25" s="1"/>
  <c r="E165" i="25"/>
  <c r="E21" i="25" s="1"/>
  <c r="E22" i="25" s="1"/>
  <c r="C514" i="3" s="1"/>
  <c r="D165" i="25"/>
  <c r="E138" i="25"/>
  <c r="D138" i="25"/>
  <c r="D8" i="25" s="1"/>
  <c r="B194" i="2" s="1"/>
  <c r="L194" i="2" s="1"/>
  <c r="E131" i="25"/>
  <c r="E25" i="25" s="1"/>
  <c r="D131" i="25"/>
  <c r="D25" i="25" s="1"/>
  <c r="E130" i="25"/>
  <c r="E18" i="25" s="1"/>
  <c r="C474" i="3" s="1"/>
  <c r="D130" i="25"/>
  <c r="E106" i="25"/>
  <c r="D106" i="25"/>
  <c r="D7" i="25"/>
  <c r="D99" i="25"/>
  <c r="D14" i="25"/>
  <c r="E84" i="25"/>
  <c r="D84" i="25"/>
  <c r="D6" i="25" s="1"/>
  <c r="B192" i="2" s="1"/>
  <c r="L192" i="2" s="1"/>
  <c r="E77" i="25"/>
  <c r="D77" i="25"/>
  <c r="E76" i="25"/>
  <c r="D76" i="25"/>
  <c r="D24" i="25" s="1"/>
  <c r="E75" i="25"/>
  <c r="D75" i="25"/>
  <c r="E42" i="25"/>
  <c r="E5" i="25" s="1"/>
  <c r="C191" i="2" s="1"/>
  <c r="M191" i="2" s="1"/>
  <c r="D42" i="25"/>
  <c r="D20" i="25"/>
  <c r="E11" i="24"/>
  <c r="D11" i="24"/>
  <c r="E9" i="24"/>
  <c r="D9" i="24"/>
  <c r="E7" i="24"/>
  <c r="E15" i="24"/>
  <c r="D7" i="24"/>
  <c r="E3" i="24"/>
  <c r="D3" i="24"/>
  <c r="E199" i="23"/>
  <c r="E19" i="23" s="1"/>
  <c r="D199" i="23"/>
  <c r="D19" i="23" s="1"/>
  <c r="D20" i="23" s="1"/>
  <c r="E192" i="23"/>
  <c r="D192" i="23"/>
  <c r="E16" i="23"/>
  <c r="D16" i="23"/>
  <c r="E14" i="23"/>
  <c r="D14" i="23"/>
  <c r="E12" i="23"/>
  <c r="D22" i="23"/>
  <c r="E4" i="23"/>
  <c r="E5" i="23" s="1"/>
  <c r="E6" i="20"/>
  <c r="E7" i="20" s="1"/>
  <c r="D6" i="20"/>
  <c r="D7" i="20" s="1"/>
  <c r="E5" i="20"/>
  <c r="E7" i="21"/>
  <c r="E9" i="21" s="1"/>
  <c r="D5" i="20"/>
  <c r="D7" i="21"/>
  <c r="E3" i="20"/>
  <c r="D3" i="20"/>
  <c r="E218" i="19"/>
  <c r="D218" i="19"/>
  <c r="E217" i="19"/>
  <c r="D217" i="19"/>
  <c r="D25" i="19"/>
  <c r="E194" i="19"/>
  <c r="D194" i="19"/>
  <c r="D5" i="19"/>
  <c r="D34" i="19"/>
  <c r="E30" i="19"/>
  <c r="D13" i="19"/>
  <c r="E29" i="19"/>
  <c r="D29" i="19"/>
  <c r="D27" i="19"/>
  <c r="E17" i="19"/>
  <c r="D17" i="19"/>
  <c r="E15" i="19"/>
  <c r="D3" i="19"/>
  <c r="E33" i="19"/>
  <c r="E11" i="14"/>
  <c r="D11" i="14"/>
  <c r="E8" i="14"/>
  <c r="D8" i="14"/>
  <c r="E3" i="14"/>
  <c r="D3" i="14"/>
  <c r="E36" i="13"/>
  <c r="D32" i="13"/>
  <c r="E11" i="13"/>
  <c r="C13" i="2" s="1"/>
  <c r="M13" i="2" s="1"/>
  <c r="D11" i="13"/>
  <c r="B13" i="2" s="1"/>
  <c r="L13" i="2" s="1"/>
  <c r="E25" i="13"/>
  <c r="D25" i="13"/>
  <c r="E19" i="13"/>
  <c r="C33" i="3" s="1"/>
  <c r="D19" i="13"/>
  <c r="B33" i="3" s="1"/>
  <c r="K33" i="3" s="1"/>
  <c r="E202" i="13"/>
  <c r="D202" i="13"/>
  <c r="E10" i="13"/>
  <c r="C12" i="2" s="1"/>
  <c r="M12" i="2" s="1"/>
  <c r="D15" i="24"/>
  <c r="D16" i="63"/>
  <c r="D21" i="57"/>
  <c r="E23" i="52"/>
  <c r="E41" i="52"/>
  <c r="E6" i="25"/>
  <c r="D5" i="25"/>
  <c r="E24" i="25"/>
  <c r="D17" i="14"/>
  <c r="D5" i="14"/>
  <c r="E17" i="14"/>
  <c r="D5" i="24"/>
  <c r="E13" i="24"/>
  <c r="D17" i="24"/>
  <c r="E4" i="68"/>
  <c r="C168" i="2"/>
  <c r="M168" i="2" s="1"/>
  <c r="E13" i="34"/>
  <c r="E25" i="19"/>
  <c r="D12" i="23"/>
  <c r="E5" i="24"/>
  <c r="D13" i="24"/>
  <c r="E17" i="24"/>
  <c r="D21" i="25"/>
  <c r="D22" i="25" s="1"/>
  <c r="B514" i="3" s="1"/>
  <c r="K514" i="3" s="1"/>
  <c r="E20" i="25"/>
  <c r="E21" i="37"/>
  <c r="E23" i="37"/>
  <c r="C472" i="3"/>
  <c r="E5" i="52"/>
  <c r="D12" i="52"/>
  <c r="D4" i="23"/>
  <c r="E14" i="25"/>
  <c r="E16" i="25" s="1"/>
  <c r="C379" i="3" s="1"/>
  <c r="D16" i="25"/>
  <c r="D3" i="52"/>
  <c r="E9" i="52"/>
  <c r="D41" i="52"/>
  <c r="D18" i="25"/>
  <c r="D43" i="52"/>
  <c r="D33" i="19"/>
  <c r="D35" i="19"/>
  <c r="E34" i="19"/>
  <c r="E35" i="19"/>
  <c r="D30" i="19"/>
  <c r="D8" i="19"/>
  <c r="E4" i="19"/>
  <c r="D10" i="19"/>
  <c r="E23" i="19"/>
  <c r="D23" i="19"/>
  <c r="E31" i="19"/>
  <c r="E8" i="25"/>
  <c r="E7" i="25"/>
  <c r="E45" i="52"/>
  <c r="E18" i="23"/>
  <c r="D18" i="23"/>
  <c r="E10" i="23"/>
  <c r="D10" i="23"/>
  <c r="E45" i="63"/>
  <c r="E27" i="19"/>
  <c r="E19" i="19"/>
  <c r="D15" i="19"/>
  <c r="E13" i="19"/>
  <c r="E3" i="19"/>
  <c r="E47" i="63"/>
  <c r="E43" i="63"/>
  <c r="D9" i="21"/>
  <c r="D17" i="21" s="1"/>
  <c r="D11" i="27"/>
  <c r="B344" i="2" s="1"/>
  <c r="L344" i="2" s="1"/>
  <c r="D10" i="13"/>
  <c r="E169" i="13"/>
  <c r="E22" i="13" s="1"/>
  <c r="D169" i="13"/>
  <c r="D22" i="13" s="1"/>
  <c r="E143" i="13"/>
  <c r="E9" i="13" s="1"/>
  <c r="C11" i="2" s="1"/>
  <c r="M11" i="2" s="1"/>
  <c r="D143" i="13"/>
  <c r="D9" i="13" s="1"/>
  <c r="B11" i="2" s="1"/>
  <c r="L11" i="2" s="1"/>
  <c r="E136" i="13"/>
  <c r="E35" i="13" s="1"/>
  <c r="D136" i="13"/>
  <c r="D35" i="13" s="1"/>
  <c r="E135" i="13"/>
  <c r="E21" i="13" s="1"/>
  <c r="D135" i="13"/>
  <c r="D21" i="13" s="1"/>
  <c r="E114" i="13"/>
  <c r="E8" i="13" s="1"/>
  <c r="D114" i="13"/>
  <c r="D8" i="13" s="1"/>
  <c r="B10" i="2" s="1"/>
  <c r="L10" i="2" s="1"/>
  <c r="E107" i="13"/>
  <c r="E31" i="13" s="1"/>
  <c r="D107" i="13"/>
  <c r="D31" i="13" s="1"/>
  <c r="E106" i="13"/>
  <c r="E17" i="13" s="1"/>
  <c r="C193" i="3" s="1"/>
  <c r="D106" i="13"/>
  <c r="D17" i="13" s="1"/>
  <c r="B193" i="3" s="1"/>
  <c r="K193" i="3" s="1"/>
  <c r="E90" i="13"/>
  <c r="E7" i="13" s="1"/>
  <c r="C9" i="2" s="1"/>
  <c r="M9" i="2" s="1"/>
  <c r="D90" i="13"/>
  <c r="E59" i="13"/>
  <c r="D59" i="13"/>
  <c r="E4" i="13"/>
  <c r="C15" i="2" s="1"/>
  <c r="D4" i="13"/>
  <c r="E177" i="18"/>
  <c r="E26" i="18"/>
  <c r="C160" i="3"/>
  <c r="D177" i="18"/>
  <c r="E176" i="18"/>
  <c r="E21" i="18"/>
  <c r="D176" i="18"/>
  <c r="D21" i="18"/>
  <c r="E175" i="18"/>
  <c r="E17" i="18"/>
  <c r="D175" i="18"/>
  <c r="D17" i="18"/>
  <c r="E174" i="18"/>
  <c r="E13" i="18"/>
  <c r="D174" i="18"/>
  <c r="D13" i="18"/>
  <c r="E144" i="18"/>
  <c r="E8" i="18"/>
  <c r="C250" i="2"/>
  <c r="M250" i="2" s="1"/>
  <c r="D144" i="18"/>
  <c r="E137" i="18"/>
  <c r="E16" i="18"/>
  <c r="D137" i="18"/>
  <c r="E123" i="18"/>
  <c r="E7" i="18"/>
  <c r="C249" i="2"/>
  <c r="M249" i="2" s="1"/>
  <c r="D123" i="18"/>
  <c r="D7" i="18"/>
  <c r="B249" i="2"/>
  <c r="L249" i="2" s="1"/>
  <c r="E115" i="18"/>
  <c r="E24" i="18"/>
  <c r="C312" i="3"/>
  <c r="D115" i="18"/>
  <c r="D24" i="18"/>
  <c r="B312" i="3"/>
  <c r="K312" i="3" s="1"/>
  <c r="E88" i="18"/>
  <c r="E6" i="18"/>
  <c r="D88" i="18"/>
  <c r="D6" i="18"/>
  <c r="B248" i="2"/>
  <c r="L248" i="2" s="1"/>
  <c r="E12" i="18"/>
  <c r="E74" i="18"/>
  <c r="E20" i="18"/>
  <c r="D74" i="18"/>
  <c r="D20" i="18"/>
  <c r="E65" i="18"/>
  <c r="D65" i="18"/>
  <c r="E5" i="18"/>
  <c r="C247" i="2"/>
  <c r="M247" i="2" s="1"/>
  <c r="D18" i="15"/>
  <c r="D19" i="15" s="1"/>
  <c r="E17" i="15"/>
  <c r="E11" i="16"/>
  <c r="E13" i="16" s="1"/>
  <c r="D17" i="15"/>
  <c r="D11" i="16"/>
  <c r="D13" i="16" s="1"/>
  <c r="E15" i="15"/>
  <c r="D15" i="15"/>
  <c r="E13" i="15"/>
  <c r="D13" i="15"/>
  <c r="D23" i="15" s="1"/>
  <c r="E11" i="15"/>
  <c r="E19" i="16"/>
  <c r="D11" i="15"/>
  <c r="D19" i="16"/>
  <c r="E9" i="15"/>
  <c r="E17" i="16"/>
  <c r="D9" i="15"/>
  <c r="D17" i="16"/>
  <c r="E7" i="15"/>
  <c r="E15" i="16"/>
  <c r="D7" i="15"/>
  <c r="D15" i="16"/>
  <c r="E3" i="15"/>
  <c r="D3" i="15"/>
  <c r="D19" i="17"/>
  <c r="E16" i="12"/>
  <c r="D16" i="12"/>
  <c r="D13" i="12"/>
  <c r="E12" i="12"/>
  <c r="E7" i="14"/>
  <c r="E9" i="14" s="1"/>
  <c r="C86" i="3" s="1"/>
  <c r="D12" i="12"/>
  <c r="E10" i="12"/>
  <c r="E15" i="14"/>
  <c r="D10" i="12"/>
  <c r="D15" i="14"/>
  <c r="E8" i="12"/>
  <c r="E13" i="14"/>
  <c r="D8" i="12"/>
  <c r="D13" i="14"/>
  <c r="E3" i="12"/>
  <c r="D3" i="12"/>
  <c r="D6" i="12"/>
  <c r="E17" i="11"/>
  <c r="D17" i="11"/>
  <c r="E9" i="11"/>
  <c r="E11" i="11" s="1"/>
  <c r="D9" i="11"/>
  <c r="D11" i="11" s="1"/>
  <c r="E15" i="11"/>
  <c r="D15" i="11"/>
  <c r="E242" i="9"/>
  <c r="E45" i="9"/>
  <c r="D242" i="9"/>
  <c r="E241" i="9"/>
  <c r="D241" i="9"/>
  <c r="D30" i="9"/>
  <c r="D31" i="9"/>
  <c r="B256" i="3"/>
  <c r="K256" i="3" s="1"/>
  <c r="E240" i="9"/>
  <c r="D240" i="9"/>
  <c r="D24" i="9"/>
  <c r="D25" i="9"/>
  <c r="B181" i="3"/>
  <c r="K181" i="3" s="1"/>
  <c r="E239" i="9"/>
  <c r="E20" i="9"/>
  <c r="E21" i="9"/>
  <c r="D239" i="9"/>
  <c r="D20" i="9"/>
  <c r="E212" i="9"/>
  <c r="E8" i="9"/>
  <c r="D212" i="9"/>
  <c r="D8" i="9"/>
  <c r="B244" i="2"/>
  <c r="L244" i="2" s="1"/>
  <c r="E205" i="9"/>
  <c r="D205" i="9"/>
  <c r="D41" i="9"/>
  <c r="E204" i="9"/>
  <c r="E23" i="9"/>
  <c r="E25" i="9"/>
  <c r="C181" i="3"/>
  <c r="D204" i="9"/>
  <c r="E179" i="9"/>
  <c r="D179" i="9"/>
  <c r="D7" i="9"/>
  <c r="D15" i="9"/>
  <c r="E172" i="9"/>
  <c r="D172" i="9"/>
  <c r="E171" i="9"/>
  <c r="D171" i="9"/>
  <c r="D34" i="9"/>
  <c r="E170" i="9"/>
  <c r="D170" i="9"/>
  <c r="D27" i="9"/>
  <c r="E138" i="9"/>
  <c r="E6" i="9"/>
  <c r="C242" i="2"/>
  <c r="M242" i="2" s="1"/>
  <c r="D138" i="9"/>
  <c r="E131" i="9"/>
  <c r="D131" i="9"/>
  <c r="D40" i="9"/>
  <c r="D42" i="9"/>
  <c r="B243" i="3"/>
  <c r="K243" i="3" s="1"/>
  <c r="E130" i="9"/>
  <c r="D130" i="9"/>
  <c r="D37" i="9"/>
  <c r="B71" i="3"/>
  <c r="K71" i="3" s="1"/>
  <c r="E113" i="9"/>
  <c r="E5" i="9"/>
  <c r="C241" i="2"/>
  <c r="M241" i="2" s="1"/>
  <c r="D113" i="9"/>
  <c r="E106" i="9"/>
  <c r="D106" i="9"/>
  <c r="D33" i="9"/>
  <c r="E105" i="9"/>
  <c r="D105" i="9"/>
  <c r="E87" i="9"/>
  <c r="D87" i="9"/>
  <c r="D4" i="9"/>
  <c r="E80" i="9"/>
  <c r="D80" i="9"/>
  <c r="E79" i="9"/>
  <c r="D79" i="9"/>
  <c r="D19" i="9"/>
  <c r="E59" i="9"/>
  <c r="D59" i="9"/>
  <c r="D3" i="9"/>
  <c r="D11" i="9"/>
  <c r="D45" i="9"/>
  <c r="D46" i="9"/>
  <c r="B104" i="3"/>
  <c r="K104" i="3" s="1"/>
  <c r="D23" i="9"/>
  <c r="E163" i="7"/>
  <c r="D163" i="7"/>
  <c r="D17" i="7" s="1"/>
  <c r="D19" i="7" s="1"/>
  <c r="B440" i="3" s="1"/>
  <c r="K440" i="3" s="1"/>
  <c r="E162" i="7"/>
  <c r="E15" i="7" s="1"/>
  <c r="D162" i="7"/>
  <c r="D15" i="7" s="1"/>
  <c r="E141" i="7"/>
  <c r="D141" i="7"/>
  <c r="E25" i="7"/>
  <c r="D25" i="7"/>
  <c r="D27" i="7" s="1"/>
  <c r="B13" i="3" s="1"/>
  <c r="K13" i="3" s="1"/>
  <c r="D21" i="7"/>
  <c r="E9" i="6"/>
  <c r="E15" i="6"/>
  <c r="D9" i="6"/>
  <c r="E7" i="6"/>
  <c r="D7" i="6"/>
  <c r="E3" i="6"/>
  <c r="D3" i="6"/>
  <c r="E11" i="5"/>
  <c r="D11" i="5"/>
  <c r="E9" i="5"/>
  <c r="D9" i="5"/>
  <c r="E7" i="5"/>
  <c r="D7" i="5"/>
  <c r="E3" i="5"/>
  <c r="E5" i="5"/>
  <c r="D3" i="5"/>
  <c r="E15" i="4"/>
  <c r="D15" i="4"/>
  <c r="E13" i="4"/>
  <c r="D13" i="4"/>
  <c r="E10" i="4"/>
  <c r="E11" i="4" s="1"/>
  <c r="C367" i="3" s="1"/>
  <c r="D10" i="4"/>
  <c r="D11" i="4" s="1"/>
  <c r="E9" i="4"/>
  <c r="E11" i="8"/>
  <c r="E13" i="8"/>
  <c r="D9" i="4"/>
  <c r="D11" i="8"/>
  <c r="D13" i="8" s="1"/>
  <c r="E7" i="4"/>
  <c r="E15" i="8"/>
  <c r="D7" i="4"/>
  <c r="D5" i="4"/>
  <c r="E3" i="4"/>
  <c r="D3" i="4"/>
  <c r="A168" i="3"/>
  <c r="C209" i="3"/>
  <c r="B209" i="3"/>
  <c r="K209" i="3" s="1"/>
  <c r="A209" i="3"/>
  <c r="A65" i="3"/>
  <c r="A171" i="3"/>
  <c r="A143" i="3"/>
  <c r="A268" i="3"/>
  <c r="A160" i="3"/>
  <c r="A140" i="3"/>
  <c r="B244" i="3"/>
  <c r="K244" i="3" s="1"/>
  <c r="A244" i="3"/>
  <c r="A523" i="3"/>
  <c r="A252" i="3"/>
  <c r="A527" i="3"/>
  <c r="A505" i="3"/>
  <c r="A519" i="3"/>
  <c r="A104" i="3"/>
  <c r="A211" i="3"/>
  <c r="A68" i="3"/>
  <c r="A397" i="3"/>
  <c r="A535" i="3"/>
  <c r="A532" i="3"/>
  <c r="A243" i="3"/>
  <c r="A308" i="3"/>
  <c r="C467" i="3"/>
  <c r="B467" i="3"/>
  <c r="K467" i="3" s="1"/>
  <c r="A467" i="3"/>
  <c r="B207" i="3"/>
  <c r="K207" i="3" s="1"/>
  <c r="A207" i="3"/>
  <c r="C84" i="3"/>
  <c r="A84" i="3"/>
  <c r="A441" i="3"/>
  <c r="B486" i="3"/>
  <c r="K486" i="3" s="1"/>
  <c r="A486" i="3"/>
  <c r="C213" i="3"/>
  <c r="A213" i="3"/>
  <c r="A154" i="3"/>
  <c r="A277" i="3"/>
  <c r="C7" i="3"/>
  <c r="B7" i="3"/>
  <c r="K7" i="3" s="1"/>
  <c r="A7" i="3"/>
  <c r="A121" i="3"/>
  <c r="A448" i="3"/>
  <c r="A481" i="3"/>
  <c r="A210" i="3"/>
  <c r="A290" i="3"/>
  <c r="A57" i="3"/>
  <c r="B117" i="3"/>
  <c r="K117" i="3" s="1"/>
  <c r="A117" i="3"/>
  <c r="A353" i="3"/>
  <c r="A52" i="3"/>
  <c r="A82" i="3"/>
  <c r="A46" i="3"/>
  <c r="A445" i="3"/>
  <c r="A237" i="3"/>
  <c r="A28" i="3"/>
  <c r="C342" i="3"/>
  <c r="B342" i="3"/>
  <c r="K342" i="3" s="1"/>
  <c r="A342" i="3"/>
  <c r="A491" i="3"/>
  <c r="A23" i="3"/>
  <c r="A509" i="3"/>
  <c r="B430" i="3"/>
  <c r="K430" i="3" s="1"/>
  <c r="A430" i="3"/>
  <c r="A432" i="3"/>
  <c r="A435" i="3"/>
  <c r="A447" i="3"/>
  <c r="B381" i="3"/>
  <c r="K381" i="3" s="1"/>
  <c r="A381" i="3"/>
  <c r="B131" i="3"/>
  <c r="K131" i="3" s="1"/>
  <c r="A131" i="3"/>
  <c r="C406" i="3"/>
  <c r="B406" i="3"/>
  <c r="K406" i="3" s="1"/>
  <c r="A406" i="3"/>
  <c r="A161" i="3"/>
  <c r="C58" i="3"/>
  <c r="B58" i="3"/>
  <c r="K58" i="3" s="1"/>
  <c r="A58" i="3"/>
  <c r="B251" i="3"/>
  <c r="K251" i="3" s="1"/>
  <c r="A251" i="3"/>
  <c r="B281" i="3"/>
  <c r="K281" i="3" s="1"/>
  <c r="A281" i="3"/>
  <c r="C260" i="3"/>
  <c r="B260" i="3"/>
  <c r="K260" i="3" s="1"/>
  <c r="A260" i="3"/>
  <c r="A416" i="3"/>
  <c r="A96" i="3"/>
  <c r="A203" i="3"/>
  <c r="B242" i="3"/>
  <c r="K242" i="3" s="1"/>
  <c r="A242" i="3"/>
  <c r="A133" i="3"/>
  <c r="A64" i="3"/>
  <c r="A129" i="3"/>
  <c r="C475" i="3"/>
  <c r="B475" i="3"/>
  <c r="K475" i="3" s="1"/>
  <c r="A475" i="3"/>
  <c r="A124" i="3"/>
  <c r="A402" i="3"/>
  <c r="A88" i="3"/>
  <c r="A42" i="3"/>
  <c r="A429" i="3"/>
  <c r="A25" i="3"/>
  <c r="A405" i="3"/>
  <c r="A289" i="3"/>
  <c r="A236" i="3"/>
  <c r="B354" i="3"/>
  <c r="K354" i="3" s="1"/>
  <c r="A354" i="3"/>
  <c r="A87" i="3"/>
  <c r="A305" i="3"/>
  <c r="A111" i="3"/>
  <c r="A39" i="3"/>
  <c r="B336" i="3"/>
  <c r="K336" i="3" s="1"/>
  <c r="A336" i="3"/>
  <c r="C201" i="3"/>
  <c r="B201" i="3"/>
  <c r="K201" i="3" s="1"/>
  <c r="A201" i="3"/>
  <c r="A320" i="3"/>
  <c r="A366" i="3"/>
  <c r="A404" i="3"/>
  <c r="A421" i="3"/>
  <c r="A332" i="3"/>
  <c r="C531" i="3"/>
  <c r="B531" i="3"/>
  <c r="K531" i="3" s="1"/>
  <c r="A531" i="3"/>
  <c r="B189" i="3"/>
  <c r="K189" i="3" s="1"/>
  <c r="A189" i="3"/>
  <c r="B464" i="3"/>
  <c r="K464" i="3" s="1"/>
  <c r="A464" i="3"/>
  <c r="B494" i="3"/>
  <c r="K494" i="3" s="1"/>
  <c r="A494" i="3"/>
  <c r="A368" i="3"/>
  <c r="B304" i="3"/>
  <c r="K304" i="3" s="1"/>
  <c r="A304" i="3"/>
  <c r="A499" i="3"/>
  <c r="A343" i="3"/>
  <c r="A444" i="3"/>
  <c r="A120" i="3"/>
  <c r="A176" i="3"/>
  <c r="B138" i="3"/>
  <c r="K138" i="3" s="1"/>
  <c r="A138" i="3"/>
  <c r="A288" i="3"/>
  <c r="A279" i="3"/>
  <c r="A359" i="3"/>
  <c r="A433" i="3"/>
  <c r="A427" i="3"/>
  <c r="A380" i="3"/>
  <c r="E43" i="52"/>
  <c r="D17" i="17"/>
  <c r="D4" i="38"/>
  <c r="D22" i="38" s="1"/>
  <c r="E9" i="19"/>
  <c r="D5" i="15"/>
  <c r="E5" i="17"/>
  <c r="D5" i="17"/>
  <c r="E5" i="12"/>
  <c r="D5" i="12"/>
  <c r="D14" i="12"/>
  <c r="E39" i="9"/>
  <c r="D39" i="9"/>
  <c r="D11" i="6"/>
  <c r="D15" i="6"/>
  <c r="E5" i="6"/>
  <c r="D5" i="6"/>
  <c r="E11" i="6"/>
  <c r="D5" i="5"/>
  <c r="D13" i="5"/>
  <c r="D17" i="4"/>
  <c r="E19" i="9"/>
  <c r="E8" i="68"/>
  <c r="E17" i="4"/>
  <c r="D17" i="5"/>
  <c r="D15" i="5"/>
  <c r="E13" i="6"/>
  <c r="D13" i="6"/>
  <c r="E11" i="52"/>
  <c r="E7" i="52"/>
  <c r="E5" i="4"/>
  <c r="D15" i="8"/>
  <c r="D9" i="52"/>
  <c r="D7" i="52"/>
  <c r="E44" i="9"/>
  <c r="D44" i="9"/>
  <c r="D7" i="14"/>
  <c r="D9" i="14" s="1"/>
  <c r="E5" i="14"/>
  <c r="D18" i="12"/>
  <c r="D31" i="19"/>
  <c r="D3" i="7"/>
  <c r="D8" i="7" s="1"/>
  <c r="E8" i="19"/>
  <c r="D4" i="19"/>
  <c r="E18" i="12"/>
  <c r="E6" i="12"/>
  <c r="D16" i="18"/>
  <c r="D18" i="18"/>
  <c r="B151" i="3"/>
  <c r="K151" i="3" s="1"/>
  <c r="E21" i="7"/>
  <c r="E5" i="15"/>
  <c r="E21" i="15"/>
  <c r="D21" i="15"/>
  <c r="E15" i="17"/>
  <c r="D5" i="18"/>
  <c r="B247" i="2"/>
  <c r="L247" i="2" s="1"/>
  <c r="E17" i="7"/>
  <c r="E5" i="7"/>
  <c r="E10" i="7" s="1"/>
  <c r="E7" i="9"/>
  <c r="E15" i="5"/>
  <c r="D19" i="19"/>
  <c r="E40" i="9"/>
  <c r="E37" i="9"/>
  <c r="E29" i="9"/>
  <c r="D29" i="9"/>
  <c r="E27" i="9"/>
  <c r="E4" i="9"/>
  <c r="E33" i="9"/>
  <c r="E13" i="12"/>
  <c r="E14" i="12" s="1"/>
  <c r="A167" i="3"/>
  <c r="A139" i="3"/>
  <c r="A136" i="3"/>
  <c r="A80" i="3"/>
  <c r="A356" i="3"/>
  <c r="A95" i="3"/>
  <c r="A329" i="3"/>
  <c r="C272" i="3"/>
  <c r="B272" i="3"/>
  <c r="K272" i="3" s="1"/>
  <c r="A272" i="3"/>
  <c r="A175" i="3"/>
  <c r="A227" i="3"/>
  <c r="A493" i="3"/>
  <c r="A183" i="3"/>
  <c r="B11" i="3"/>
  <c r="K11" i="3" s="1"/>
  <c r="A11" i="3"/>
  <c r="A36" i="3"/>
  <c r="D13" i="52"/>
  <c r="E13" i="52"/>
  <c r="D9" i="19"/>
  <c r="E15" i="9"/>
  <c r="D5" i="23"/>
  <c r="D8" i="23" s="1"/>
  <c r="E46" i="9"/>
  <c r="C104" i="3"/>
  <c r="E3" i="9"/>
  <c r="D6" i="19"/>
  <c r="D5" i="7"/>
  <c r="E29" i="13"/>
  <c r="C346" i="3" s="1"/>
  <c r="D29" i="13"/>
  <c r="B346" i="3" s="1"/>
  <c r="K346" i="3" s="1"/>
  <c r="D7" i="13"/>
  <c r="B9" i="2" s="1"/>
  <c r="L9" i="2" s="1"/>
  <c r="D5" i="9"/>
  <c r="D13" i="9"/>
  <c r="E13" i="9"/>
  <c r="E30" i="9"/>
  <c r="A108" i="3"/>
  <c r="A149" i="3"/>
  <c r="C339" i="3"/>
  <c r="B339" i="3"/>
  <c r="K339" i="3" s="1"/>
  <c r="A339" i="3"/>
  <c r="A21" i="3"/>
  <c r="A315" i="3"/>
  <c r="B107" i="3"/>
  <c r="K107" i="3" s="1"/>
  <c r="A107" i="3"/>
  <c r="A29" i="3"/>
  <c r="A228" i="3"/>
  <c r="A40" i="3"/>
  <c r="A146" i="3"/>
  <c r="A71" i="3"/>
  <c r="A8" i="3"/>
  <c r="A145" i="3"/>
  <c r="A63" i="3"/>
  <c r="C109" i="3"/>
  <c r="A109" i="3"/>
  <c r="A271" i="3"/>
  <c r="A163" i="3"/>
  <c r="A394" i="3"/>
  <c r="A194" i="3"/>
  <c r="A306" i="3"/>
  <c r="A365" i="3"/>
  <c r="A112" i="3"/>
  <c r="A335" i="3"/>
  <c r="A170" i="3"/>
  <c r="A372" i="3"/>
  <c r="A487" i="3"/>
  <c r="C510" i="3"/>
  <c r="B510" i="3"/>
  <c r="K510" i="3" s="1"/>
  <c r="A510" i="3"/>
  <c r="C265" i="3"/>
  <c r="A265" i="3"/>
  <c r="A294" i="3"/>
  <c r="B166" i="3"/>
  <c r="K166" i="3" s="1"/>
  <c r="A166" i="3"/>
  <c r="A55" i="3"/>
  <c r="A130" i="3"/>
  <c r="A215" i="3"/>
  <c r="A291" i="3"/>
  <c r="A264" i="3"/>
  <c r="A313" i="3"/>
  <c r="A503" i="3"/>
  <c r="A192" i="3"/>
  <c r="A293" i="3"/>
  <c r="A456" i="3"/>
  <c r="B238" i="3"/>
  <c r="K238" i="3" s="1"/>
  <c r="A238" i="3"/>
  <c r="A275" i="3"/>
  <c r="B90" i="3"/>
  <c r="K90" i="3" s="1"/>
  <c r="A90" i="3"/>
  <c r="B127" i="3"/>
  <c r="K127" i="3" s="1"/>
  <c r="A127" i="3"/>
  <c r="A123" i="3"/>
  <c r="B78" i="3"/>
  <c r="K78" i="3" s="1"/>
  <c r="A78" i="3"/>
  <c r="A147" i="3"/>
  <c r="A249" i="3"/>
  <c r="A489" i="3"/>
  <c r="A453" i="3"/>
  <c r="A246" i="3"/>
  <c r="A256" i="3"/>
  <c r="A122" i="3"/>
  <c r="B506" i="3"/>
  <c r="K506" i="3" s="1"/>
  <c r="A506" i="3"/>
  <c r="C344" i="3"/>
  <c r="B344" i="3"/>
  <c r="K344" i="3" s="1"/>
  <c r="A344" i="3"/>
  <c r="A534" i="3"/>
  <c r="C310" i="3"/>
  <c r="B310" i="3"/>
  <c r="K310" i="3" s="1"/>
  <c r="A310" i="3"/>
  <c r="B331" i="3"/>
  <c r="K331" i="3" s="1"/>
  <c r="A331" i="3"/>
  <c r="C19" i="3"/>
  <c r="B19" i="3"/>
  <c r="K19" i="3" s="1"/>
  <c r="A19" i="3"/>
  <c r="A255" i="3"/>
  <c r="A266" i="3"/>
  <c r="B401" i="3"/>
  <c r="K401" i="3" s="1"/>
  <c r="A401" i="3"/>
  <c r="A346" i="3"/>
  <c r="A451" i="3"/>
  <c r="A301" i="3"/>
  <c r="A480" i="3"/>
  <c r="A206" i="3"/>
  <c r="A262" i="3"/>
  <c r="B403" i="3"/>
  <c r="K403" i="3" s="1"/>
  <c r="A403" i="3"/>
  <c r="B325" i="3"/>
  <c r="K325" i="3" s="1"/>
  <c r="A325" i="3"/>
  <c r="B328" i="3"/>
  <c r="K328" i="3" s="1"/>
  <c r="A328" i="3"/>
  <c r="B450" i="3"/>
  <c r="K450" i="3" s="1"/>
  <c r="A450" i="3"/>
  <c r="A386" i="3"/>
  <c r="C204" i="3"/>
  <c r="B204" i="3"/>
  <c r="K204" i="3" s="1"/>
  <c r="A204" i="3"/>
  <c r="B393" i="3"/>
  <c r="K393" i="3" s="1"/>
  <c r="A393" i="3"/>
  <c r="C485" i="3"/>
  <c r="A485" i="3"/>
  <c r="A309" i="3"/>
  <c r="A449" i="3"/>
  <c r="C511" i="3"/>
  <c r="A511" i="3"/>
  <c r="B529" i="3"/>
  <c r="K529" i="3" s="1"/>
  <c r="A529" i="3"/>
  <c r="A345" i="3"/>
  <c r="A314" i="3"/>
  <c r="B156" i="3"/>
  <c r="K156" i="3" s="1"/>
  <c r="A156" i="3"/>
  <c r="A69" i="3"/>
  <c r="A298" i="3"/>
  <c r="A6" i="3"/>
  <c r="A369" i="3"/>
  <c r="A142" i="3"/>
  <c r="A300" i="3"/>
  <c r="C72" i="3"/>
  <c r="B72" i="3"/>
  <c r="K72" i="3" s="1"/>
  <c r="A72" i="3"/>
  <c r="C114" i="3"/>
  <c r="A114" i="3"/>
  <c r="B81" i="3"/>
  <c r="K81" i="3" s="1"/>
  <c r="A81" i="3"/>
  <c r="A382" i="3"/>
  <c r="A424" i="3"/>
  <c r="B355" i="3"/>
  <c r="K355" i="3" s="1"/>
  <c r="A355" i="3"/>
  <c r="A172" i="3"/>
  <c r="A184" i="3"/>
  <c r="A299" i="3"/>
  <c r="A34" i="3"/>
  <c r="A13" i="3"/>
  <c r="A434" i="3"/>
  <c r="A190" i="3"/>
  <c r="A212" i="3"/>
  <c r="B413" i="3"/>
  <c r="K413" i="3" s="1"/>
  <c r="A413" i="3"/>
  <c r="C54" i="3"/>
  <c r="A54" i="3"/>
  <c r="A333" i="3"/>
  <c r="A459" i="3"/>
  <c r="A439" i="3"/>
  <c r="A528" i="3"/>
  <c r="A536" i="3"/>
  <c r="A48" i="3"/>
  <c r="A199" i="3"/>
  <c r="A388" i="3"/>
  <c r="A267" i="3"/>
  <c r="C169" i="3"/>
  <c r="B169" i="3"/>
  <c r="K169" i="3" s="1"/>
  <c r="A169" i="3"/>
  <c r="A399" i="3"/>
  <c r="A225" i="3"/>
  <c r="B409" i="3"/>
  <c r="K409" i="3" s="1"/>
  <c r="A409" i="3"/>
  <c r="B5" i="3"/>
  <c r="K5" i="3" s="1"/>
  <c r="A5" i="3"/>
  <c r="B9" i="3"/>
  <c r="K9" i="3" s="1"/>
  <c r="A9" i="3"/>
  <c r="A311" i="3"/>
  <c r="A524" i="3"/>
  <c r="B164" i="3"/>
  <c r="K164" i="3" s="1"/>
  <c r="A164" i="3"/>
  <c r="A32" i="3"/>
  <c r="A79" i="3"/>
  <c r="A479" i="3"/>
  <c r="A426" i="3"/>
  <c r="A27" i="3"/>
  <c r="A56" i="3"/>
  <c r="A232" i="3"/>
  <c r="A157" i="3"/>
  <c r="A307" i="3"/>
  <c r="A214" i="3"/>
  <c r="A10" i="3"/>
  <c r="A323" i="3"/>
  <c r="A240" i="3"/>
  <c r="A283" i="3"/>
  <c r="A181" i="3"/>
  <c r="B178" i="3"/>
  <c r="K178" i="3" s="1"/>
  <c r="A178" i="3"/>
  <c r="A440" i="3"/>
  <c r="A437" i="3"/>
  <c r="B417" i="3"/>
  <c r="K417" i="3" s="1"/>
  <c r="A417" i="3"/>
  <c r="A113" i="3"/>
  <c r="C216" i="3"/>
  <c r="B216" i="3"/>
  <c r="K216" i="3" s="1"/>
  <c r="A216" i="3"/>
  <c r="B477" i="3"/>
  <c r="K477" i="3" s="1"/>
  <c r="A477" i="3"/>
  <c r="A518" i="3"/>
  <c r="A508" i="3"/>
  <c r="A373" i="3"/>
  <c r="A392" i="3"/>
  <c r="A233" i="3"/>
  <c r="A484" i="3"/>
  <c r="C197" i="3"/>
  <c r="B197" i="3"/>
  <c r="K197" i="3" s="1"/>
  <c r="A197" i="3"/>
  <c r="A316" i="3"/>
  <c r="B443" i="3"/>
  <c r="K443" i="3" s="1"/>
  <c r="A443" i="3"/>
  <c r="B385" i="3"/>
  <c r="K385" i="3" s="1"/>
  <c r="A385" i="3"/>
  <c r="A182" i="3"/>
  <c r="B462" i="3"/>
  <c r="K462" i="3" s="1"/>
  <c r="A462" i="3"/>
  <c r="B173" i="3"/>
  <c r="K173" i="3" s="1"/>
  <c r="A173" i="3"/>
  <c r="C101" i="3"/>
  <c r="B101" i="3"/>
  <c r="K101" i="3" s="1"/>
  <c r="A101" i="3"/>
  <c r="C465" i="3"/>
  <c r="B465" i="3"/>
  <c r="K465" i="3" s="1"/>
  <c r="A465" i="3"/>
  <c r="A517" i="3"/>
  <c r="A410" i="3"/>
  <c r="A471" i="3"/>
  <c r="C26" i="3"/>
  <c r="A26" i="3"/>
  <c r="A387" i="3"/>
  <c r="A53" i="3"/>
  <c r="A461" i="3"/>
  <c r="B526" i="3"/>
  <c r="K526" i="3" s="1"/>
  <c r="A526" i="3"/>
  <c r="A495" i="3"/>
  <c r="C463" i="3"/>
  <c r="B463" i="3"/>
  <c r="K463" i="3" s="1"/>
  <c r="A463" i="3"/>
  <c r="C83" i="3"/>
  <c r="B83" i="3"/>
  <c r="K83" i="3" s="1"/>
  <c r="A83" i="3"/>
  <c r="A340" i="3"/>
  <c r="A515" i="3"/>
  <c r="A454" i="3"/>
  <c r="A338" i="3"/>
  <c r="A468" i="3"/>
  <c r="C446" i="3"/>
  <c r="B446" i="3"/>
  <c r="K446" i="3" s="1"/>
  <c r="A446" i="3"/>
  <c r="B319" i="3"/>
  <c r="K319" i="3" s="1"/>
  <c r="A319" i="3"/>
  <c r="A4" i="3"/>
  <c r="A234" i="3"/>
  <c r="A15" i="3"/>
  <c r="A230" i="3"/>
  <c r="A414" i="3"/>
  <c r="A33" i="3"/>
  <c r="A483" i="3"/>
  <c r="A317" i="3"/>
  <c r="A419" i="3"/>
  <c r="A44" i="3"/>
  <c r="B102" i="3"/>
  <c r="K102" i="3" s="1"/>
  <c r="A102" i="3"/>
  <c r="A60" i="3"/>
  <c r="B20" i="3"/>
  <c r="K20" i="3" s="1"/>
  <c r="A20" i="3"/>
  <c r="A179" i="3"/>
  <c r="B287" i="3"/>
  <c r="K287" i="3" s="1"/>
  <c r="A287" i="3"/>
  <c r="A92" i="3"/>
  <c r="A522" i="3"/>
  <c r="A269" i="3"/>
  <c r="A66" i="3"/>
  <c r="A358" i="3"/>
  <c r="A231" i="3"/>
  <c r="B116" i="3"/>
  <c r="K116" i="3" s="1"/>
  <c r="A116" i="3"/>
  <c r="A278" i="3"/>
  <c r="A222" i="3"/>
  <c r="A502" i="3"/>
  <c r="C292" i="3"/>
  <c r="B292" i="3"/>
  <c r="K292" i="3" s="1"/>
  <c r="A292" i="3"/>
  <c r="B282" i="3"/>
  <c r="K282" i="3" s="1"/>
  <c r="A282" i="3"/>
  <c r="A153" i="3"/>
  <c r="A322" i="3"/>
  <c r="B357" i="3"/>
  <c r="K357" i="3" s="1"/>
  <c r="A357" i="3"/>
  <c r="B374" i="3"/>
  <c r="K374" i="3" s="1"/>
  <c r="A374" i="3"/>
  <c r="C297" i="3"/>
  <c r="B297" i="3"/>
  <c r="K297" i="3" s="1"/>
  <c r="A297" i="3"/>
  <c r="A158" i="3"/>
  <c r="A422" i="3"/>
  <c r="A137" i="3"/>
  <c r="A86" i="3"/>
  <c r="C350" i="3"/>
  <c r="B350" i="3"/>
  <c r="K350" i="3" s="1"/>
  <c r="A350" i="3"/>
  <c r="B254" i="3"/>
  <c r="K254" i="3" s="1"/>
  <c r="A254" i="3"/>
  <c r="A360" i="3"/>
  <c r="A361" i="3"/>
  <c r="A398" i="3"/>
  <c r="C125" i="3"/>
  <c r="B125" i="3"/>
  <c r="K125" i="3" s="1"/>
  <c r="A125" i="3"/>
  <c r="B75" i="3"/>
  <c r="K75" i="3" s="1"/>
  <c r="A75" i="3"/>
  <c r="A248" i="3"/>
  <c r="C226" i="3"/>
  <c r="B226" i="3"/>
  <c r="K226" i="3" s="1"/>
  <c r="A226" i="3"/>
  <c r="A375" i="3"/>
  <c r="A513" i="3"/>
  <c r="A295" i="3"/>
  <c r="A77" i="3"/>
  <c r="A223" i="3"/>
  <c r="A22" i="3"/>
  <c r="A284" i="3"/>
  <c r="A330" i="3"/>
  <c r="A476" i="3"/>
  <c r="A200" i="3"/>
  <c r="A180" i="3"/>
  <c r="A458" i="3"/>
  <c r="A341" i="3"/>
  <c r="A18" i="3"/>
  <c r="B186" i="3"/>
  <c r="K186" i="3" s="1"/>
  <c r="A186" i="3"/>
  <c r="C425" i="3"/>
  <c r="B425" i="3"/>
  <c r="K425" i="3" s="1"/>
  <c r="A425" i="3"/>
  <c r="A76" i="3"/>
  <c r="A363" i="3"/>
  <c r="A128" i="3"/>
  <c r="A188" i="3"/>
  <c r="A99" i="3"/>
  <c r="A395" i="3"/>
  <c r="A321" i="3"/>
  <c r="A93" i="3"/>
  <c r="A219" i="3"/>
  <c r="C473" i="3"/>
  <c r="A473" i="3"/>
  <c r="A415" i="3"/>
  <c r="B500" i="3"/>
  <c r="K500" i="3" s="1"/>
  <c r="A500" i="3"/>
  <c r="A119" i="3"/>
  <c r="B371" i="3"/>
  <c r="K371" i="3" s="1"/>
  <c r="A371" i="3"/>
  <c r="C469" i="3"/>
  <c r="B469" i="3"/>
  <c r="K469" i="3" s="1"/>
  <c r="A469" i="3"/>
  <c r="A302" i="3"/>
  <c r="A73" i="3"/>
  <c r="A155" i="3"/>
  <c r="A91" i="3"/>
  <c r="A195" i="3"/>
  <c r="A70" i="3"/>
  <c r="A235" i="3"/>
  <c r="C45" i="3"/>
  <c r="B45" i="3"/>
  <c r="K45" i="3" s="1"/>
  <c r="A45" i="3"/>
  <c r="A50" i="3"/>
  <c r="A504" i="3"/>
  <c r="B507" i="3"/>
  <c r="K507" i="3" s="1"/>
  <c r="A507" i="3"/>
  <c r="B296" i="3"/>
  <c r="K296" i="3" s="1"/>
  <c r="A296" i="3"/>
  <c r="C383" i="3"/>
  <c r="B383" i="3"/>
  <c r="K383" i="3" s="1"/>
  <c r="A383" i="3"/>
  <c r="A185" i="3"/>
  <c r="A520" i="3"/>
  <c r="A512" i="3"/>
  <c r="C205" i="3"/>
  <c r="A205" i="3"/>
  <c r="A257" i="3"/>
  <c r="A270" i="3"/>
  <c r="A208" i="3"/>
  <c r="A94" i="3"/>
  <c r="A351" i="3"/>
  <c r="A482" i="3"/>
  <c r="B377" i="3"/>
  <c r="K377" i="3" s="1"/>
  <c r="A377" i="3"/>
  <c r="B389" i="3"/>
  <c r="K389" i="3" s="1"/>
  <c r="A389" i="3"/>
  <c r="A452" i="3"/>
  <c r="A191" i="3"/>
  <c r="B97" i="3"/>
  <c r="K97" i="3" s="1"/>
  <c r="A97" i="3"/>
  <c r="A438" i="3"/>
  <c r="A367" i="3"/>
  <c r="B43" i="3"/>
  <c r="K43" i="3" s="1"/>
  <c r="A43" i="3"/>
  <c r="B17" i="3"/>
  <c r="K17" i="3" s="1"/>
  <c r="A17" i="3"/>
  <c r="B105" i="3"/>
  <c r="K105" i="3" s="1"/>
  <c r="A105" i="3"/>
  <c r="B110" i="3"/>
  <c r="K110" i="3" s="1"/>
  <c r="A110" i="3"/>
  <c r="A261" i="3"/>
  <c r="A436" i="3"/>
  <c r="A239" i="3"/>
  <c r="A198" i="3"/>
  <c r="A51" i="3"/>
  <c r="A514" i="3"/>
  <c r="C141" i="3"/>
  <c r="B141" i="3"/>
  <c r="K141" i="3" s="1"/>
  <c r="A141" i="3"/>
  <c r="A49" i="3"/>
  <c r="A152" i="3"/>
  <c r="C259" i="3"/>
  <c r="B259" i="3"/>
  <c r="K259" i="3" s="1"/>
  <c r="A259" i="3"/>
  <c r="A400" i="3"/>
  <c r="B229" i="3"/>
  <c r="K229" i="3" s="1"/>
  <c r="A229" i="3"/>
  <c r="C202" i="3"/>
  <c r="B202" i="3"/>
  <c r="K202" i="3" s="1"/>
  <c r="A202" i="3"/>
  <c r="A516" i="3"/>
  <c r="A370" i="3"/>
  <c r="A162" i="3"/>
  <c r="B118" i="3"/>
  <c r="K118" i="3" s="1"/>
  <c r="A118" i="3"/>
  <c r="A177" i="3"/>
  <c r="A455" i="3"/>
  <c r="A31" i="3"/>
  <c r="A326" i="3"/>
  <c r="A312" i="3"/>
  <c r="B150" i="3"/>
  <c r="K150" i="3" s="1"/>
  <c r="A150" i="3"/>
  <c r="A497" i="3"/>
  <c r="A85" i="3"/>
  <c r="A258" i="3"/>
  <c r="A364" i="3"/>
  <c r="C115" i="3"/>
  <c r="B115" i="3"/>
  <c r="K115" i="3" s="1"/>
  <c r="A115" i="3"/>
  <c r="A134" i="3"/>
  <c r="A218" i="3"/>
  <c r="A378" i="3"/>
  <c r="C327" i="3"/>
  <c r="B327" i="3"/>
  <c r="K327" i="3" s="1"/>
  <c r="A327" i="3"/>
  <c r="B474" i="3"/>
  <c r="K474" i="3" s="1"/>
  <c r="A474" i="3"/>
  <c r="A247" i="3"/>
  <c r="A217" i="3"/>
  <c r="A193" i="3"/>
  <c r="C431" i="3"/>
  <c r="B431" i="3"/>
  <c r="K431" i="3" s="1"/>
  <c r="A431" i="3"/>
  <c r="A38" i="3"/>
  <c r="C132" i="3"/>
  <c r="B132" i="3"/>
  <c r="K132" i="3" s="1"/>
  <c r="A132" i="3"/>
  <c r="A12" i="3"/>
  <c r="A253" i="3"/>
  <c r="C428" i="3"/>
  <c r="B428" i="3"/>
  <c r="K428" i="3" s="1"/>
  <c r="A428" i="3"/>
  <c r="A224" i="3"/>
  <c r="A478" i="3"/>
  <c r="A89" i="3"/>
  <c r="A303" i="3"/>
  <c r="A263" i="3"/>
  <c r="B274" i="3"/>
  <c r="K274" i="3" s="1"/>
  <c r="A274" i="3"/>
  <c r="C470" i="3"/>
  <c r="B470" i="3"/>
  <c r="K470" i="3" s="1"/>
  <c r="A470" i="3"/>
  <c r="A165" i="3"/>
  <c r="C24" i="3"/>
  <c r="B24" i="3"/>
  <c r="K24" i="3" s="1"/>
  <c r="A24" i="3"/>
  <c r="B67" i="3"/>
  <c r="K67" i="3" s="1"/>
  <c r="A67" i="3"/>
  <c r="B273" i="3"/>
  <c r="K273" i="3" s="1"/>
  <c r="A273" i="3"/>
  <c r="C347" i="3"/>
  <c r="A347" i="3"/>
  <c r="B334" i="3"/>
  <c r="K334" i="3" s="1"/>
  <c r="A334" i="3"/>
  <c r="A472" i="3"/>
  <c r="A457" i="3"/>
  <c r="A35" i="3"/>
  <c r="A221" i="3"/>
  <c r="B37" i="3"/>
  <c r="K37" i="3" s="1"/>
  <c r="A37" i="3"/>
  <c r="C61" i="3"/>
  <c r="B61" i="3"/>
  <c r="K61" i="3" s="1"/>
  <c r="A61" i="3"/>
  <c r="C100" i="3"/>
  <c r="A100" i="3"/>
  <c r="A196" i="3"/>
  <c r="C407" i="3"/>
  <c r="A407" i="3"/>
  <c r="A418" i="3"/>
  <c r="C349" i="3"/>
  <c r="B349" i="3"/>
  <c r="K349" i="3" s="1"/>
  <c r="A349" i="3"/>
  <c r="A106" i="3"/>
  <c r="A285" i="3"/>
  <c r="A220" i="3"/>
  <c r="C62" i="3"/>
  <c r="B62" i="3"/>
  <c r="K62" i="3" s="1"/>
  <c r="A62" i="3"/>
  <c r="A391" i="3"/>
  <c r="B241" i="3"/>
  <c r="K241" i="3" s="1"/>
  <c r="A241" i="3"/>
  <c r="A286" i="3"/>
  <c r="A408" i="3"/>
  <c r="A442" i="3"/>
  <c r="A245" i="3"/>
  <c r="A148" i="3"/>
  <c r="A498" i="3"/>
  <c r="A411" i="3"/>
  <c r="A533" i="3"/>
  <c r="A496" i="3"/>
  <c r="C318" i="3"/>
  <c r="A318" i="3"/>
  <c r="A362" i="3"/>
  <c r="B423" i="3"/>
  <c r="K423" i="3" s="1"/>
  <c r="A423" i="3"/>
  <c r="A324" i="3"/>
  <c r="A352" i="3"/>
  <c r="A390" i="3"/>
  <c r="A337" i="3"/>
  <c r="A460" i="3"/>
  <c r="A187" i="3"/>
  <c r="A159" i="3"/>
  <c r="A488" i="3"/>
  <c r="A501" i="3"/>
  <c r="B492" i="3"/>
  <c r="K492" i="3" s="1"/>
  <c r="A492" i="3"/>
  <c r="C466" i="3"/>
  <c r="A466" i="3"/>
  <c r="A74" i="3"/>
  <c r="B103" i="3"/>
  <c r="K103" i="3" s="1"/>
  <c r="A103" i="3"/>
  <c r="A47" i="3"/>
  <c r="A530" i="3"/>
  <c r="A30" i="3"/>
  <c r="C348" i="3"/>
  <c r="B348" i="3"/>
  <c r="K348" i="3" s="1"/>
  <c r="A348" i="3"/>
  <c r="C412" i="3"/>
  <c r="B412" i="3"/>
  <c r="K412" i="3" s="1"/>
  <c r="A412" i="3"/>
  <c r="A151" i="3"/>
  <c r="C250" i="3"/>
  <c r="B250" i="3"/>
  <c r="K250" i="3" s="1"/>
  <c r="A250" i="3"/>
  <c r="C126" i="3"/>
  <c r="B126" i="3"/>
  <c r="K126" i="3" s="1"/>
  <c r="A126" i="3"/>
  <c r="C521" i="3"/>
  <c r="B521" i="3"/>
  <c r="K521" i="3" s="1"/>
  <c r="A521" i="3"/>
  <c r="C144" i="3"/>
  <c r="A144" i="3"/>
  <c r="A59" i="3"/>
  <c r="A376" i="3"/>
  <c r="B379" i="3"/>
  <c r="K379" i="3" s="1"/>
  <c r="A379" i="3"/>
  <c r="A396" i="3"/>
  <c r="A490" i="3"/>
  <c r="B174" i="3"/>
  <c r="K174" i="3" s="1"/>
  <c r="A174" i="3"/>
  <c r="A16" i="3"/>
  <c r="A41" i="3"/>
  <c r="B420" i="3"/>
  <c r="K420" i="3" s="1"/>
  <c r="A420" i="3"/>
  <c r="C14" i="3"/>
  <c r="B14" i="3"/>
  <c r="K14" i="3" s="1"/>
  <c r="A14" i="3"/>
  <c r="A135" i="3"/>
  <c r="A98" i="3"/>
  <c r="A384" i="3"/>
  <c r="C280" i="3"/>
  <c r="B280" i="3"/>
  <c r="K280" i="3" s="1"/>
  <c r="A280" i="3"/>
  <c r="A525" i="3"/>
  <c r="A276" i="3"/>
  <c r="E5" i="19"/>
  <c r="D11" i="19"/>
  <c r="E11" i="9"/>
  <c r="D7" i="23"/>
  <c r="E4" i="7"/>
  <c r="D10" i="7"/>
  <c r="E6" i="19"/>
  <c r="D4" i="7"/>
  <c r="B473" i="3"/>
  <c r="K473" i="3" s="1"/>
  <c r="B26" i="3"/>
  <c r="K26" i="3" s="1"/>
  <c r="B100" i="3"/>
  <c r="K100" i="3" s="1"/>
  <c r="B54" i="3"/>
  <c r="K54" i="3" s="1"/>
  <c r="B511" i="3"/>
  <c r="K511" i="3" s="1"/>
  <c r="B407" i="3"/>
  <c r="K407" i="3" s="1"/>
  <c r="B485" i="3"/>
  <c r="K485" i="3" s="1"/>
  <c r="B318" i="3"/>
  <c r="K318" i="3" s="1"/>
  <c r="C448" i="2"/>
  <c r="B448" i="2"/>
  <c r="L448" i="2" s="1"/>
  <c r="E11" i="19"/>
  <c r="E10" i="19"/>
  <c r="D6" i="9"/>
  <c r="B242" i="2"/>
  <c r="L242" i="2" s="1"/>
  <c r="E14" i="9"/>
  <c r="E9" i="7"/>
  <c r="D9" i="7"/>
  <c r="B461" i="2"/>
  <c r="L461" i="2" s="1"/>
  <c r="C460" i="2"/>
  <c r="B460" i="2"/>
  <c r="L460" i="2" s="1"/>
  <c r="C459" i="2"/>
  <c r="B459" i="2"/>
  <c r="C458" i="2"/>
  <c r="B458" i="2"/>
  <c r="C457" i="2"/>
  <c r="B457" i="2"/>
  <c r="C443" i="2"/>
  <c r="M443" i="2" s="1"/>
  <c r="B443" i="2"/>
  <c r="L443" i="2" s="1"/>
  <c r="B441" i="2"/>
  <c r="L441" i="2" s="1"/>
  <c r="C440" i="2"/>
  <c r="M440" i="2" s="1"/>
  <c r="B440" i="2"/>
  <c r="C437" i="2"/>
  <c r="B437" i="2"/>
  <c r="L437" i="2" s="1"/>
  <c r="C436" i="2"/>
  <c r="B436" i="2"/>
  <c r="L436" i="2" s="1"/>
  <c r="C434" i="2"/>
  <c r="M434" i="2" s="1"/>
  <c r="B434" i="2"/>
  <c r="L434" i="2" s="1"/>
  <c r="B426" i="2"/>
  <c r="C425" i="2"/>
  <c r="M425" i="2" s="1"/>
  <c r="B425" i="2"/>
  <c r="B424" i="2"/>
  <c r="L424" i="2"/>
  <c r="C423" i="2"/>
  <c r="M423" i="2" s="1"/>
  <c r="B423" i="2"/>
  <c r="L423" i="2" s="1"/>
  <c r="C422" i="2"/>
  <c r="M422" i="2" s="1"/>
  <c r="B422" i="2"/>
  <c r="L422" i="2" s="1"/>
  <c r="C408" i="2"/>
  <c r="M408" i="2" s="1"/>
  <c r="C400" i="2"/>
  <c r="M400" i="2" s="1"/>
  <c r="C398" i="2"/>
  <c r="M398" i="2" s="1"/>
  <c r="B398" i="2"/>
  <c r="L398" i="2" s="1"/>
  <c r="C390" i="2"/>
  <c r="M390" i="2" s="1"/>
  <c r="B390" i="2"/>
  <c r="L390" i="2" s="1"/>
  <c r="C380" i="2"/>
  <c r="C334" i="2"/>
  <c r="B334" i="2"/>
  <c r="L334" i="2" s="1"/>
  <c r="C374" i="2"/>
  <c r="M374" i="2" s="1"/>
  <c r="C333" i="2"/>
  <c r="C338" i="2"/>
  <c r="B338" i="2"/>
  <c r="C337" i="2"/>
  <c r="B337" i="2"/>
  <c r="C332" i="2"/>
  <c r="M332" i="2" s="1"/>
  <c r="B332" i="2"/>
  <c r="L332" i="2" s="1"/>
  <c r="C331" i="2"/>
  <c r="M331" i="2" s="1"/>
  <c r="B323" i="2"/>
  <c r="L323" i="2" s="1"/>
  <c r="B321" i="2"/>
  <c r="L321" i="2" s="1"/>
  <c r="B320" i="2"/>
  <c r="L320" i="2" s="1"/>
  <c r="B318" i="2"/>
  <c r="L318" i="2" s="1"/>
  <c r="C310" i="2"/>
  <c r="C309" i="2"/>
  <c r="M309" i="2" s="1"/>
  <c r="B309" i="2"/>
  <c r="B307" i="2"/>
  <c r="L307" i="2" s="1"/>
  <c r="C276" i="2"/>
  <c r="B276" i="2"/>
  <c r="L276" i="2" s="1"/>
  <c r="C301" i="2"/>
  <c r="M301" i="2" s="1"/>
  <c r="C252" i="2"/>
  <c r="B252" i="2"/>
  <c r="B295" i="2"/>
  <c r="L295" i="2" s="1"/>
  <c r="C290" i="2"/>
  <c r="M290" i="2" s="1"/>
  <c r="B290" i="2"/>
  <c r="C288" i="2"/>
  <c r="B288" i="2"/>
  <c r="L288" i="2" s="1"/>
  <c r="B287" i="2"/>
  <c r="L287" i="2" s="1"/>
  <c r="C286" i="2"/>
  <c r="B286" i="2"/>
  <c r="L286" i="2" s="1"/>
  <c r="C285" i="2"/>
  <c r="M285" i="2" s="1"/>
  <c r="B285" i="2"/>
  <c r="L285" i="2" s="1"/>
  <c r="B284" i="2"/>
  <c r="C283" i="2"/>
  <c r="M283" i="2" s="1"/>
  <c r="B283" i="2"/>
  <c r="L283" i="2" s="1"/>
  <c r="B282" i="2"/>
  <c r="L282" i="2" s="1"/>
  <c r="C280" i="2"/>
  <c r="M280" i="2" s="1"/>
  <c r="B280" i="2"/>
  <c r="C267" i="2"/>
  <c r="B267" i="2"/>
  <c r="L267" i="2" s="1"/>
  <c r="B265" i="2"/>
  <c r="L265" i="2" s="1"/>
  <c r="C264" i="2"/>
  <c r="B264" i="2"/>
  <c r="C258" i="2"/>
  <c r="B258" i="2"/>
  <c r="L258" i="2" s="1"/>
  <c r="C257" i="2"/>
  <c r="M257" i="2" s="1"/>
  <c r="C243" i="2"/>
  <c r="M243" i="2" s="1"/>
  <c r="B243" i="2"/>
  <c r="L243" i="2" s="1"/>
  <c r="B241" i="2"/>
  <c r="C240" i="2"/>
  <c r="C239" i="2"/>
  <c r="M239" i="2" s="1"/>
  <c r="B239" i="2"/>
  <c r="C230" i="2"/>
  <c r="B230" i="2"/>
  <c r="L230" i="2" s="1"/>
  <c r="C229" i="2"/>
  <c r="M229" i="2" s="1"/>
  <c r="B229" i="2"/>
  <c r="C207" i="2"/>
  <c r="M207" i="2" s="1"/>
  <c r="B207" i="2"/>
  <c r="L207" i="2" s="1"/>
  <c r="C206" i="2"/>
  <c r="M206" i="2" s="1"/>
  <c r="B206" i="2"/>
  <c r="L206" i="2" s="1"/>
  <c r="B205" i="2"/>
  <c r="C204" i="2"/>
  <c r="M204" i="2" s="1"/>
  <c r="B204" i="2"/>
  <c r="L204" i="2" s="1"/>
  <c r="C203" i="2"/>
  <c r="M203" i="2" s="1"/>
  <c r="B203" i="2"/>
  <c r="L203" i="2" s="1"/>
  <c r="C202" i="2"/>
  <c r="M202" i="2" s="1"/>
  <c r="B202" i="2"/>
  <c r="L202" i="2" s="1"/>
  <c r="C201" i="2"/>
  <c r="M201" i="2" s="1"/>
  <c r="B201" i="2"/>
  <c r="L201" i="2" s="1"/>
  <c r="C200" i="2"/>
  <c r="B200" i="2"/>
  <c r="L200" i="2" s="1"/>
  <c r="C199" i="2"/>
  <c r="M199" i="2" s="1"/>
  <c r="B199" i="2"/>
  <c r="C196" i="2"/>
  <c r="M196" i="2" s="1"/>
  <c r="B196" i="2"/>
  <c r="L196" i="2" s="1"/>
  <c r="C194" i="2"/>
  <c r="M194" i="2" s="1"/>
  <c r="B193" i="2"/>
  <c r="L193" i="2" s="1"/>
  <c r="C192" i="2"/>
  <c r="M192" i="2" s="1"/>
  <c r="B191" i="2"/>
  <c r="L191" i="2" s="1"/>
  <c r="C187" i="2"/>
  <c r="M187" i="2" s="1"/>
  <c r="B187" i="2"/>
  <c r="L187" i="2" s="1"/>
  <c r="C186" i="2"/>
  <c r="B186" i="2"/>
  <c r="C185" i="2"/>
  <c r="M185" i="2" s="1"/>
  <c r="B185" i="2"/>
  <c r="L185" i="2" s="1"/>
  <c r="C169" i="2"/>
  <c r="B169" i="2"/>
  <c r="L169" i="2" s="1"/>
  <c r="C172" i="2"/>
  <c r="C166" i="2"/>
  <c r="M166" i="2" s="1"/>
  <c r="B166" i="2"/>
  <c r="L166" i="2" s="1"/>
  <c r="B162" i="2"/>
  <c r="L162" i="2" s="1"/>
  <c r="C158" i="2"/>
  <c r="B158" i="2"/>
  <c r="L158" i="2" s="1"/>
  <c r="C157" i="2"/>
  <c r="M157" i="2" s="1"/>
  <c r="B157" i="2"/>
  <c r="L157" i="2" s="1"/>
  <c r="C156" i="2"/>
  <c r="M156" i="2" s="1"/>
  <c r="B156" i="2"/>
  <c r="C155" i="2"/>
  <c r="M155" i="2" s="1"/>
  <c r="B155" i="2"/>
  <c r="L155" i="2" s="1"/>
  <c r="C154" i="2"/>
  <c r="B154" i="2"/>
  <c r="B153" i="2"/>
  <c r="L153" i="2" s="1"/>
  <c r="C151" i="2"/>
  <c r="B151" i="2"/>
  <c r="L151" i="2" s="1"/>
  <c r="C150" i="2"/>
  <c r="M150" i="2" s="1"/>
  <c r="C149" i="2"/>
  <c r="M149" i="2" s="1"/>
  <c r="B149" i="2"/>
  <c r="L149" i="2" s="1"/>
  <c r="C148" i="2"/>
  <c r="M148" i="2" s="1"/>
  <c r="B148" i="2"/>
  <c r="C147" i="2"/>
  <c r="M147" i="2" s="1"/>
  <c r="B147" i="2"/>
  <c r="L147" i="2" s="1"/>
  <c r="C146" i="2"/>
  <c r="M146" i="2" s="1"/>
  <c r="B146" i="2"/>
  <c r="C145" i="2"/>
  <c r="B145" i="2"/>
  <c r="L145" i="2" s="1"/>
  <c r="C144" i="2"/>
  <c r="M144" i="2" s="1"/>
  <c r="B144" i="2"/>
  <c r="L144" i="2" s="1"/>
  <c r="C143" i="2"/>
  <c r="M143" i="2" s="1"/>
  <c r="B143" i="2"/>
  <c r="L143" i="2" s="1"/>
  <c r="C142" i="2"/>
  <c r="M142" i="2" s="1"/>
  <c r="B142" i="2"/>
  <c r="C141" i="2"/>
  <c r="M141" i="2" s="1"/>
  <c r="B141" i="2"/>
  <c r="L141" i="2" s="1"/>
  <c r="C140" i="2"/>
  <c r="M140" i="2" s="1"/>
  <c r="B140" i="2"/>
  <c r="L140" i="2" s="1"/>
  <c r="C139" i="2"/>
  <c r="M139" i="2" s="1"/>
  <c r="B139" i="2"/>
  <c r="L139" i="2" s="1"/>
  <c r="C138" i="2"/>
  <c r="M138" i="2" s="1"/>
  <c r="B138" i="2"/>
  <c r="L138" i="2" s="1"/>
  <c r="C137" i="2"/>
  <c r="M137" i="2" s="1"/>
  <c r="B137" i="2"/>
  <c r="L137" i="2" s="1"/>
  <c r="C136" i="2"/>
  <c r="B136" i="2"/>
  <c r="L136" i="2" s="1"/>
  <c r="C135" i="2"/>
  <c r="B135" i="2"/>
  <c r="L135" i="2" s="1"/>
  <c r="C134" i="2"/>
  <c r="B134" i="2"/>
  <c r="C133" i="2"/>
  <c r="B133" i="2"/>
  <c r="L133" i="2"/>
  <c r="C132" i="2"/>
  <c r="M132" i="2" s="1"/>
  <c r="B132" i="2"/>
  <c r="C131" i="2"/>
  <c r="B131" i="2"/>
  <c r="L131" i="2" s="1"/>
  <c r="C130" i="2"/>
  <c r="M130" i="2" s="1"/>
  <c r="B130" i="2"/>
  <c r="L130" i="2" s="1"/>
  <c r="C129" i="2"/>
  <c r="M129" i="2" s="1"/>
  <c r="B129" i="2"/>
  <c r="L129" i="2" s="1"/>
  <c r="B127" i="2"/>
  <c r="C126" i="2"/>
  <c r="M126" i="2" s="1"/>
  <c r="B126" i="2"/>
  <c r="L126" i="2" s="1"/>
  <c r="B117" i="2"/>
  <c r="L117" i="2" s="1"/>
  <c r="C116" i="2"/>
  <c r="M116" i="2" s="1"/>
  <c r="B116" i="2"/>
  <c r="C115" i="2"/>
  <c r="M115" i="2" s="1"/>
  <c r="B115" i="2"/>
  <c r="L115" i="2" s="1"/>
  <c r="C114" i="2"/>
  <c r="M114" i="2" s="1"/>
  <c r="B114" i="2"/>
  <c r="L114" i="2" s="1"/>
  <c r="C112" i="2"/>
  <c r="M112" i="2" s="1"/>
  <c r="B112" i="2"/>
  <c r="L112" i="2" s="1"/>
  <c r="B119" i="2"/>
  <c r="L119" i="2" s="1"/>
  <c r="B108" i="2"/>
  <c r="B107" i="2"/>
  <c r="L107" i="2" s="1"/>
  <c r="C106" i="2"/>
  <c r="B106" i="2"/>
  <c r="L106" i="2" s="1"/>
  <c r="B105" i="2"/>
  <c r="B104" i="2"/>
  <c r="L104" i="2" s="1"/>
  <c r="C103" i="2"/>
  <c r="M103" i="2" s="1"/>
  <c r="C102" i="2"/>
  <c r="B95" i="2"/>
  <c r="L95" i="2" s="1"/>
  <c r="B94" i="2"/>
  <c r="L94" i="2" s="1"/>
  <c r="C90" i="2"/>
  <c r="M90" i="2" s="1"/>
  <c r="B90" i="2"/>
  <c r="L90" i="2" s="1"/>
  <c r="C87" i="2"/>
  <c r="M87" i="2" s="1"/>
  <c r="B87" i="2"/>
  <c r="C86" i="2"/>
  <c r="B86" i="2"/>
  <c r="L86" i="2" s="1"/>
  <c r="C85" i="2"/>
  <c r="B85" i="2"/>
  <c r="L85" i="2" s="1"/>
  <c r="C84" i="2"/>
  <c r="B84" i="2"/>
  <c r="L84" i="2" s="1"/>
  <c r="C83" i="2"/>
  <c r="M83" i="2" s="1"/>
  <c r="B83" i="2"/>
  <c r="B88" i="2" s="1"/>
  <c r="C82" i="2"/>
  <c r="B82" i="2"/>
  <c r="L82" i="2" s="1"/>
  <c r="B81" i="2"/>
  <c r="L81" i="2" s="1"/>
  <c r="C89" i="2"/>
  <c r="M89" i="2" s="1"/>
  <c r="B89" i="2"/>
  <c r="L89" i="2" s="1"/>
  <c r="C74" i="2"/>
  <c r="B74" i="2"/>
  <c r="B72" i="2"/>
  <c r="L72" i="2" s="1"/>
  <c r="C70" i="2"/>
  <c r="M70" i="2" s="1"/>
  <c r="B70" i="2"/>
  <c r="L70" i="2" s="1"/>
  <c r="C61" i="2"/>
  <c r="M61" i="2" s="1"/>
  <c r="C57" i="2"/>
  <c r="C56" i="2"/>
  <c r="M56" i="2" s="1"/>
  <c r="B56" i="2"/>
  <c r="L56" i="2" s="1"/>
  <c r="B53" i="2"/>
  <c r="L53" i="2" s="1"/>
  <c r="B52" i="2"/>
  <c r="L52" i="2" s="1"/>
  <c r="C50" i="2"/>
  <c r="M50" i="2" s="1"/>
  <c r="B49" i="2"/>
  <c r="L49" i="2" s="1"/>
  <c r="B48" i="2"/>
  <c r="C47" i="2"/>
  <c r="M47" i="2" s="1"/>
  <c r="B47" i="2"/>
  <c r="C43" i="2"/>
  <c r="M43" i="2" s="1"/>
  <c r="B43" i="2"/>
  <c r="L43" i="2" s="1"/>
  <c r="C42" i="2"/>
  <c r="M42" i="2" s="1"/>
  <c r="C41" i="2"/>
  <c r="M41" i="2" s="1"/>
  <c r="C40" i="2"/>
  <c r="M40" i="2" s="1"/>
  <c r="B40" i="2"/>
  <c r="L40" i="2" s="1"/>
  <c r="C39" i="2"/>
  <c r="M39" i="2" s="1"/>
  <c r="B39" i="2"/>
  <c r="L39" i="2" s="1"/>
  <c r="C38" i="2"/>
  <c r="M38" i="2" s="1"/>
  <c r="B6" i="2"/>
  <c r="L6" i="2" s="1"/>
  <c r="C5" i="2"/>
  <c r="B5" i="2"/>
  <c r="L5" i="2" s="1"/>
  <c r="B331" i="2"/>
  <c r="L331" i="2" s="1"/>
  <c r="B380" i="2"/>
  <c r="L380" i="2" s="1"/>
  <c r="D14" i="9"/>
  <c r="B462" i="2"/>
  <c r="B59" i="3"/>
  <c r="K59" i="3" s="1"/>
  <c r="B47" i="3"/>
  <c r="K47" i="3" s="1"/>
  <c r="B442" i="3"/>
  <c r="K442" i="3" s="1"/>
  <c r="B408" i="3"/>
  <c r="K408" i="3" s="1"/>
  <c r="B286" i="3"/>
  <c r="K286" i="3" s="1"/>
  <c r="B418" i="3"/>
  <c r="K418" i="3" s="1"/>
  <c r="B457" i="3"/>
  <c r="K457" i="3" s="1"/>
  <c r="B253" i="3"/>
  <c r="K253" i="3" s="1"/>
  <c r="B258" i="3"/>
  <c r="K258" i="3" s="1"/>
  <c r="D8" i="41"/>
  <c r="D9" i="41" s="1"/>
  <c r="B49" i="3"/>
  <c r="K49" i="3" s="1"/>
  <c r="B261" i="3"/>
  <c r="K261" i="3" s="1"/>
  <c r="B452" i="3"/>
  <c r="K452" i="3" s="1"/>
  <c r="B94" i="3"/>
  <c r="K94" i="3" s="1"/>
  <c r="B504" i="3"/>
  <c r="K504" i="3" s="1"/>
  <c r="B91" i="3"/>
  <c r="K91" i="3" s="1"/>
  <c r="B155" i="3"/>
  <c r="K155" i="3" s="1"/>
  <c r="B119" i="3"/>
  <c r="K119" i="3" s="1"/>
  <c r="B415" i="3"/>
  <c r="K415" i="3" s="1"/>
  <c r="B128" i="3"/>
  <c r="K128" i="3" s="1"/>
  <c r="B76" i="3"/>
  <c r="K76" i="3" s="1"/>
  <c r="B330" i="3"/>
  <c r="K330" i="3" s="1"/>
  <c r="B284" i="3"/>
  <c r="K284" i="3" s="1"/>
  <c r="B22" i="3"/>
  <c r="K22" i="3" s="1"/>
  <c r="B295" i="3"/>
  <c r="K295" i="3" s="1"/>
  <c r="B513" i="3"/>
  <c r="K513" i="3" s="1"/>
  <c r="B361" i="3"/>
  <c r="K361" i="3" s="1"/>
  <c r="B360" i="3"/>
  <c r="K360" i="3" s="1"/>
  <c r="B137" i="3"/>
  <c r="K137" i="3" s="1"/>
  <c r="B502" i="3"/>
  <c r="K502" i="3" s="1"/>
  <c r="B278" i="3"/>
  <c r="K278" i="3" s="1"/>
  <c r="B66" i="3"/>
  <c r="K66" i="3" s="1"/>
  <c r="B269" i="3"/>
  <c r="K269" i="3" s="1"/>
  <c r="B92" i="3"/>
  <c r="K92" i="3" s="1"/>
  <c r="B60" i="3"/>
  <c r="K60" i="3" s="1"/>
  <c r="B483" i="3"/>
  <c r="K483" i="3" s="1"/>
  <c r="B4" i="3"/>
  <c r="K4" i="3" s="1"/>
  <c r="B338" i="3"/>
  <c r="K338" i="3" s="1"/>
  <c r="B515" i="3"/>
  <c r="K515" i="3" s="1"/>
  <c r="B340" i="3"/>
  <c r="K340" i="3" s="1"/>
  <c r="B495" i="3"/>
  <c r="K495" i="3" s="1"/>
  <c r="B461" i="3"/>
  <c r="K461" i="3" s="1"/>
  <c r="B471" i="3"/>
  <c r="K471" i="3" s="1"/>
  <c r="B410" i="3"/>
  <c r="K410" i="3" s="1"/>
  <c r="B517" i="3"/>
  <c r="K517" i="3" s="1"/>
  <c r="B182" i="3"/>
  <c r="K182" i="3" s="1"/>
  <c r="B518" i="3"/>
  <c r="K518" i="3" s="1"/>
  <c r="B113" i="3"/>
  <c r="K113" i="3" s="1"/>
  <c r="B240" i="3"/>
  <c r="K240" i="3" s="1"/>
  <c r="B10" i="3"/>
  <c r="K10" i="3" s="1"/>
  <c r="B214" i="3"/>
  <c r="K214" i="3" s="1"/>
  <c r="B307" i="3"/>
  <c r="K307" i="3" s="1"/>
  <c r="B157" i="3"/>
  <c r="K157" i="3" s="1"/>
  <c r="B32" i="3"/>
  <c r="K32" i="3" s="1"/>
  <c r="B399" i="3"/>
  <c r="K399" i="3" s="1"/>
  <c r="B48" i="3"/>
  <c r="K48" i="3" s="1"/>
  <c r="B434" i="3"/>
  <c r="K434" i="3" s="1"/>
  <c r="B215" i="3"/>
  <c r="K215" i="3" s="1"/>
  <c r="B130" i="3"/>
  <c r="K130" i="3" s="1"/>
  <c r="B335" i="3"/>
  <c r="K335" i="3" s="1"/>
  <c r="B271" i="3"/>
  <c r="K271" i="3" s="1"/>
  <c r="B176" i="3"/>
  <c r="K176" i="3" s="1"/>
  <c r="B405" i="3"/>
  <c r="K405" i="3" s="1"/>
  <c r="B133" i="3"/>
  <c r="K133" i="3" s="1"/>
  <c r="B82" i="3"/>
  <c r="K82" i="3" s="1"/>
  <c r="B353" i="3"/>
  <c r="K353" i="3" s="1"/>
  <c r="B441" i="3"/>
  <c r="K441" i="3" s="1"/>
  <c r="B68" i="3"/>
  <c r="K68" i="3" s="1"/>
  <c r="B252" i="3"/>
  <c r="K252" i="3" s="1"/>
  <c r="C420" i="3"/>
  <c r="C174" i="3"/>
  <c r="C59" i="3"/>
  <c r="C530" i="3"/>
  <c r="C47" i="3"/>
  <c r="C103" i="3"/>
  <c r="C442" i="3"/>
  <c r="C408" i="3"/>
  <c r="C286" i="3"/>
  <c r="C241" i="3"/>
  <c r="C418" i="3"/>
  <c r="C37" i="3"/>
  <c r="C457" i="3"/>
  <c r="C67" i="3"/>
  <c r="C253" i="3"/>
  <c r="C247" i="3"/>
  <c r="C258" i="3"/>
  <c r="E8" i="41"/>
  <c r="E9" i="41" s="1"/>
  <c r="C118" i="3"/>
  <c r="C229" i="3"/>
  <c r="C49" i="3"/>
  <c r="C110" i="3"/>
  <c r="C105" i="3"/>
  <c r="C17" i="3"/>
  <c r="C43" i="3"/>
  <c r="C452" i="3"/>
  <c r="C389" i="3"/>
  <c r="C94" i="3"/>
  <c r="C296" i="3"/>
  <c r="C507" i="3"/>
  <c r="C504" i="3"/>
  <c r="C91" i="3"/>
  <c r="C371" i="3"/>
  <c r="C119" i="3"/>
  <c r="C500" i="3"/>
  <c r="C415" i="3"/>
  <c r="C76" i="3"/>
  <c r="C330" i="3"/>
  <c r="C284" i="3"/>
  <c r="C295" i="3"/>
  <c r="C513" i="3"/>
  <c r="C75" i="3"/>
  <c r="C361" i="3"/>
  <c r="C360" i="3"/>
  <c r="C254" i="3"/>
  <c r="C137" i="3"/>
  <c r="C374" i="3"/>
  <c r="C357" i="3"/>
  <c r="C502" i="3"/>
  <c r="C278" i="3"/>
  <c r="C116" i="3"/>
  <c r="C92" i="3"/>
  <c r="C20" i="3"/>
  <c r="C60" i="3"/>
  <c r="C102" i="3"/>
  <c r="C483" i="3"/>
  <c r="C15" i="3"/>
  <c r="C4" i="3"/>
  <c r="C319" i="3"/>
  <c r="C338" i="3"/>
  <c r="C515" i="3"/>
  <c r="C340" i="3"/>
  <c r="C495" i="3"/>
  <c r="C526" i="3"/>
  <c r="C461" i="3"/>
  <c r="C471" i="3"/>
  <c r="C410" i="3"/>
  <c r="C517" i="3"/>
  <c r="C173" i="3"/>
  <c r="C462" i="3"/>
  <c r="C182" i="3"/>
  <c r="C443" i="3"/>
  <c r="C178" i="3"/>
  <c r="C240" i="3"/>
  <c r="C10" i="3"/>
  <c r="C214" i="3"/>
  <c r="C307" i="3"/>
  <c r="C157" i="3"/>
  <c r="C164" i="3"/>
  <c r="C9" i="3"/>
  <c r="C5" i="3"/>
  <c r="C409" i="3"/>
  <c r="C48" i="3"/>
  <c r="C413" i="3"/>
  <c r="C434" i="3"/>
  <c r="C355" i="3"/>
  <c r="C156" i="3"/>
  <c r="C529" i="3"/>
  <c r="C393" i="3"/>
  <c r="C450" i="3"/>
  <c r="C328" i="3"/>
  <c r="C325" i="3"/>
  <c r="C403" i="3"/>
  <c r="C331" i="3"/>
  <c r="C506" i="3"/>
  <c r="C249" i="3"/>
  <c r="C127" i="3"/>
  <c r="C238" i="3"/>
  <c r="C215" i="3"/>
  <c r="C130" i="3"/>
  <c r="C166" i="3"/>
  <c r="C335" i="3"/>
  <c r="C271" i="3"/>
  <c r="C71" i="3"/>
  <c r="C107" i="3"/>
  <c r="C108" i="3"/>
  <c r="C36" i="3"/>
  <c r="C11" i="3"/>
  <c r="C288" i="3"/>
  <c r="C138" i="3"/>
  <c r="C304" i="3"/>
  <c r="C494" i="3"/>
  <c r="C464" i="3"/>
  <c r="C189" i="3"/>
  <c r="C336" i="3"/>
  <c r="C354" i="3"/>
  <c r="C405" i="3"/>
  <c r="C133" i="3"/>
  <c r="C242" i="3"/>
  <c r="C251" i="3"/>
  <c r="C131" i="3"/>
  <c r="C381" i="3"/>
  <c r="C430" i="3"/>
  <c r="C353" i="3"/>
  <c r="C486" i="3"/>
  <c r="C441" i="3"/>
  <c r="C207" i="3"/>
  <c r="C244" i="3"/>
  <c r="C168" i="3"/>
  <c r="E18" i="15"/>
  <c r="E19" i="15" s="1"/>
  <c r="D13" i="56"/>
  <c r="E15" i="56"/>
  <c r="D15" i="56"/>
  <c r="E13" i="56"/>
  <c r="C295" i="2"/>
  <c r="M295" i="2" s="1"/>
  <c r="C71" i="2"/>
  <c r="M71" i="2" s="1"/>
  <c r="C153" i="2"/>
  <c r="C119" i="2"/>
  <c r="M119" i="2" s="1"/>
  <c r="C107" i="2"/>
  <c r="M107" i="2" s="1"/>
  <c r="C461" i="2"/>
  <c r="M461" i="2" s="1"/>
  <c r="C287" i="2"/>
  <c r="M287" i="2" s="1"/>
  <c r="C265" i="2"/>
  <c r="M265" i="2" s="1"/>
  <c r="C193" i="2"/>
  <c r="M193" i="2" s="1"/>
  <c r="C255" i="2"/>
  <c r="C435" i="2"/>
  <c r="M435" i="2" s="1"/>
  <c r="C289" i="2"/>
  <c r="M289" i="2" s="1"/>
  <c r="B270" i="2"/>
  <c r="L270" i="2" s="1"/>
  <c r="C205" i="2"/>
  <c r="M205" i="2" s="1"/>
  <c r="B435" i="2"/>
  <c r="L435" i="2" s="1"/>
  <c r="D18" i="57"/>
  <c r="D11" i="71"/>
  <c r="E17" i="57"/>
  <c r="E3" i="57"/>
  <c r="B293" i="2"/>
  <c r="L293" i="2" s="1"/>
  <c r="E10" i="71"/>
  <c r="B446" i="2"/>
  <c r="L446" i="2" s="1"/>
  <c r="D10" i="71"/>
  <c r="C445" i="2"/>
  <c r="M445" i="2" s="1"/>
  <c r="D17" i="57"/>
  <c r="B292" i="2"/>
  <c r="L292" i="2" s="1"/>
  <c r="C292" i="2"/>
  <c r="M292" i="2" s="1"/>
  <c r="E80" i="39"/>
  <c r="E81" i="39"/>
  <c r="D81" i="39"/>
  <c r="D22" i="26"/>
  <c r="D20" i="26"/>
  <c r="D23" i="26"/>
  <c r="D24" i="26"/>
  <c r="C171" i="3"/>
  <c r="E83" i="39"/>
  <c r="E87" i="39"/>
  <c r="E16" i="57"/>
  <c r="D3" i="57"/>
  <c r="D5" i="57"/>
  <c r="D22" i="57"/>
  <c r="E85" i="39"/>
  <c r="D83" i="39"/>
  <c r="D85" i="39"/>
  <c r="D87" i="39"/>
  <c r="B171" i="3"/>
  <c r="K171" i="3" s="1"/>
  <c r="E9" i="71"/>
  <c r="B445" i="2"/>
  <c r="L445" i="2" s="1"/>
  <c r="B384" i="3"/>
  <c r="K384" i="3" s="1"/>
  <c r="C444" i="2"/>
  <c r="C291" i="2"/>
  <c r="M291" i="2" s="1"/>
  <c r="E43" i="57"/>
  <c r="E44" i="57"/>
  <c r="C18" i="3"/>
  <c r="D44" i="57"/>
  <c r="B18" i="3"/>
  <c r="K18" i="3" s="1"/>
  <c r="E27" i="84"/>
  <c r="D27" i="84"/>
  <c r="E26" i="84"/>
  <c r="E28" i="84" s="1"/>
  <c r="C175" i="3" s="1"/>
  <c r="D26" i="84"/>
  <c r="D28" i="84" s="1"/>
  <c r="B175" i="3" s="1"/>
  <c r="K175" i="3" s="1"/>
  <c r="E24" i="84"/>
  <c r="C234" i="3"/>
  <c r="D24" i="84"/>
  <c r="B234" i="3" s="1"/>
  <c r="K234" i="3" s="1"/>
  <c r="E23" i="34"/>
  <c r="E24" i="34"/>
  <c r="D24" i="34"/>
  <c r="D23" i="34"/>
  <c r="D25" i="34"/>
  <c r="B487" i="3"/>
  <c r="K487" i="3" s="1"/>
  <c r="E21" i="34"/>
  <c r="C298" i="3"/>
  <c r="D21" i="34"/>
  <c r="B298" i="3"/>
  <c r="K298" i="3" s="1"/>
  <c r="E25" i="34"/>
  <c r="E23" i="43"/>
  <c r="E24" i="43"/>
  <c r="D24" i="43"/>
  <c r="D25" i="43" s="1"/>
  <c r="B276" i="3" s="1"/>
  <c r="K276" i="3" s="1"/>
  <c r="E50" i="43"/>
  <c r="D50" i="43"/>
  <c r="E48" i="43"/>
  <c r="C388" i="3"/>
  <c r="D48" i="43"/>
  <c r="B388" i="3" s="1"/>
  <c r="K388" i="3" s="1"/>
  <c r="E46" i="43"/>
  <c r="C267" i="3"/>
  <c r="D46" i="43"/>
  <c r="B267" i="3"/>
  <c r="K267" i="3" s="1"/>
  <c r="E25" i="43"/>
  <c r="C276" i="3"/>
  <c r="E25" i="87"/>
  <c r="E41" i="9"/>
  <c r="E22" i="23"/>
  <c r="C281" i="3"/>
  <c r="E65" i="57"/>
  <c r="E66" i="57"/>
  <c r="C329" i="3"/>
  <c r="D66" i="57"/>
  <c r="B329" i="3"/>
  <c r="K329" i="3" s="1"/>
  <c r="E55" i="57"/>
  <c r="E56" i="57"/>
  <c r="C300" i="3"/>
  <c r="D56" i="57"/>
  <c r="B300" i="3"/>
  <c r="K300" i="3" s="1"/>
  <c r="E35" i="43"/>
  <c r="E36" i="43"/>
  <c r="D36" i="43"/>
  <c r="D37" i="43" s="1"/>
  <c r="B223" i="3" s="1"/>
  <c r="K223" i="3" s="1"/>
  <c r="E37" i="43"/>
  <c r="C223" i="3" s="1"/>
  <c r="E36" i="74"/>
  <c r="E37" i="74"/>
  <c r="C163" i="3"/>
  <c r="D37" i="74"/>
  <c r="B163" i="3"/>
  <c r="K163" i="3" s="1"/>
  <c r="D21" i="9"/>
  <c r="E24" i="9"/>
  <c r="E40" i="29"/>
  <c r="E41" i="29"/>
  <c r="D41" i="29"/>
  <c r="B136" i="3" s="1"/>
  <c r="K136" i="3" s="1"/>
  <c r="E11" i="29"/>
  <c r="C53" i="2" s="1"/>
  <c r="M53" i="2" s="1"/>
  <c r="E10" i="28"/>
  <c r="C370" i="2" s="1"/>
  <c r="M370" i="2" s="1"/>
  <c r="E14" i="39"/>
  <c r="D14" i="39"/>
  <c r="D8" i="18"/>
  <c r="B250" i="2"/>
  <c r="L250" i="2" s="1"/>
  <c r="E11" i="37"/>
  <c r="D11" i="37"/>
  <c r="E11" i="71"/>
  <c r="E11" i="84"/>
  <c r="E11" i="30"/>
  <c r="E11" i="74"/>
  <c r="E15" i="87"/>
  <c r="E16" i="43"/>
  <c r="D16" i="43"/>
  <c r="E15" i="43"/>
  <c r="D15" i="43"/>
  <c r="E14" i="43"/>
  <c r="D14" i="43"/>
  <c r="E19" i="31"/>
  <c r="C222" i="2" s="1"/>
  <c r="M222" i="2" s="1"/>
  <c r="E9" i="66"/>
  <c r="D9" i="66"/>
  <c r="E18" i="57"/>
  <c r="E13" i="33"/>
  <c r="C359" i="2"/>
  <c r="D14" i="26"/>
  <c r="B76" i="2"/>
  <c r="L76" i="2" s="1"/>
  <c r="E13" i="26"/>
  <c r="C136" i="3"/>
  <c r="C293" i="2"/>
  <c r="M293" i="2" s="1"/>
  <c r="C446" i="2"/>
  <c r="M446" i="2" s="1"/>
  <c r="B232" i="2"/>
  <c r="L232" i="2" s="1"/>
  <c r="C117" i="2"/>
  <c r="M117" i="2" s="1"/>
  <c r="B259" i="2"/>
  <c r="L259" i="2" s="1"/>
  <c r="D3" i="39"/>
  <c r="B208" i="2"/>
  <c r="L208" i="2" s="1"/>
  <c r="C232" i="2"/>
  <c r="M232" i="2" s="1"/>
  <c r="C259" i="2"/>
  <c r="M259" i="2" s="1"/>
  <c r="E3" i="39"/>
  <c r="C208" i="2"/>
  <c r="M208" i="2" s="1"/>
  <c r="C62" i="2"/>
  <c r="B271" i="2"/>
  <c r="L271" i="2" s="1"/>
  <c r="B273" i="2"/>
  <c r="B272" i="2"/>
  <c r="L272" i="2" s="1"/>
  <c r="C272" i="2"/>
  <c r="M272" i="2" s="1"/>
  <c r="C271" i="2"/>
  <c r="C273" i="2"/>
  <c r="M273" i="2" s="1"/>
  <c r="C108" i="2"/>
  <c r="M108" i="2" s="1"/>
  <c r="C75" i="2"/>
  <c r="M75" i="2" s="1"/>
  <c r="E17" i="39"/>
  <c r="E16" i="39"/>
  <c r="D16" i="39"/>
  <c r="D17" i="39"/>
  <c r="E30" i="27"/>
  <c r="D30" i="27"/>
  <c r="D31" i="27" s="1"/>
  <c r="B50" i="3" s="1"/>
  <c r="K50" i="3" s="1"/>
  <c r="E4" i="26"/>
  <c r="E17" i="26"/>
  <c r="D4" i="26"/>
  <c r="E54" i="27"/>
  <c r="E47" i="27"/>
  <c r="E58" i="27"/>
  <c r="D48" i="27"/>
  <c r="D49" i="27" s="1"/>
  <c r="B64" i="3" s="1"/>
  <c r="K64" i="3" s="1"/>
  <c r="D53" i="27"/>
  <c r="E5" i="27"/>
  <c r="D5" i="27"/>
  <c r="B351" i="2" s="1"/>
  <c r="L351" i="2" s="1"/>
  <c r="D17" i="26"/>
  <c r="B78" i="2"/>
  <c r="L78" i="2" s="1"/>
  <c r="E20" i="64"/>
  <c r="E25" i="64"/>
  <c r="E26" i="64"/>
  <c r="D25" i="64"/>
  <c r="D27" i="64" s="1"/>
  <c r="B392" i="3" s="1"/>
  <c r="K392" i="3" s="1"/>
  <c r="D26" i="64"/>
  <c r="E20" i="19"/>
  <c r="E21" i="19"/>
  <c r="D20" i="19"/>
  <c r="D21" i="19"/>
  <c r="C302" i="3"/>
  <c r="E39" i="19"/>
  <c r="E41" i="19"/>
  <c r="E37" i="19"/>
  <c r="D41" i="19"/>
  <c r="B302" i="3"/>
  <c r="K302" i="3" s="1"/>
  <c r="D39" i="19"/>
  <c r="D37" i="19"/>
  <c r="D26" i="26"/>
  <c r="B326" i="3"/>
  <c r="K326" i="3" s="1"/>
  <c r="D28" i="26"/>
  <c r="D30" i="26"/>
  <c r="D29" i="26"/>
  <c r="D45" i="26"/>
  <c r="D46" i="26"/>
  <c r="E26" i="26"/>
  <c r="C326" i="3"/>
  <c r="E28" i="26"/>
  <c r="E29" i="26"/>
  <c r="E45" i="26"/>
  <c r="E47" i="26"/>
  <c r="C299" i="3"/>
  <c r="E46" i="26"/>
  <c r="D22" i="30"/>
  <c r="B191" i="3"/>
  <c r="K191" i="3" s="1"/>
  <c r="E21" i="30"/>
  <c r="E22" i="30"/>
  <c r="E30" i="26"/>
  <c r="C482" i="3"/>
  <c r="D47" i="26"/>
  <c r="B299" i="3"/>
  <c r="K299" i="3" s="1"/>
  <c r="C191" i="3"/>
  <c r="D4" i="82"/>
  <c r="B403" i="2" s="1"/>
  <c r="L403" i="2" s="1"/>
  <c r="D43" i="82"/>
  <c r="E43" i="82"/>
  <c r="E23" i="70"/>
  <c r="E25" i="70" s="1"/>
  <c r="C57" i="3" s="1"/>
  <c r="E24" i="70"/>
  <c r="D24" i="70"/>
  <c r="D25" i="70" s="1"/>
  <c r="B57" i="3" s="1"/>
  <c r="K57" i="3" s="1"/>
  <c r="E36" i="82"/>
  <c r="E38" i="82" s="1"/>
  <c r="C499" i="3" s="1"/>
  <c r="E37" i="82"/>
  <c r="E50" i="82"/>
  <c r="D36" i="82"/>
  <c r="D37" i="82"/>
  <c r="D38" i="82" s="1"/>
  <c r="B499" i="3" s="1"/>
  <c r="K499" i="3" s="1"/>
  <c r="D54" i="43"/>
  <c r="D55" i="43"/>
  <c r="D56" i="43"/>
  <c r="D58" i="43"/>
  <c r="D59" i="43"/>
  <c r="D62" i="43"/>
  <c r="B380" i="3" s="1"/>
  <c r="K380" i="3" s="1"/>
  <c r="D64" i="43"/>
  <c r="B427" i="3"/>
  <c r="K427" i="3" s="1"/>
  <c r="D66" i="43"/>
  <c r="D67" i="43"/>
  <c r="E54" i="43"/>
  <c r="E55" i="43"/>
  <c r="E58" i="43"/>
  <c r="E60" i="43" s="1"/>
  <c r="C456" i="3" s="1"/>
  <c r="E59" i="43"/>
  <c r="E62" i="43"/>
  <c r="C380" i="3" s="1"/>
  <c r="E64" i="43"/>
  <c r="C427" i="3" s="1"/>
  <c r="E66" i="43"/>
  <c r="E4" i="43"/>
  <c r="C277" i="2"/>
  <c r="M277" i="2" s="1"/>
  <c r="D4" i="43"/>
  <c r="D20" i="43" s="1"/>
  <c r="D60" i="43"/>
  <c r="B456" i="3" s="1"/>
  <c r="K456" i="3" s="1"/>
  <c r="B277" i="2"/>
  <c r="L277" i="2" s="1"/>
  <c r="E20" i="43"/>
  <c r="B69" i="3"/>
  <c r="K69" i="3" s="1"/>
  <c r="D33" i="49"/>
  <c r="E19" i="49"/>
  <c r="E33" i="49"/>
  <c r="E47" i="49"/>
  <c r="D12" i="18"/>
  <c r="D30" i="57"/>
  <c r="B364" i="3"/>
  <c r="K364" i="3" s="1"/>
  <c r="D16" i="75"/>
  <c r="D29" i="74"/>
  <c r="D30" i="74"/>
  <c r="B199" i="3"/>
  <c r="K199" i="3" s="1"/>
  <c r="D26" i="13"/>
  <c r="D35" i="9"/>
  <c r="B246" i="3"/>
  <c r="K246" i="3" s="1"/>
  <c r="D17" i="68"/>
  <c r="B453" i="3"/>
  <c r="K453" i="3" s="1"/>
  <c r="D36" i="13"/>
  <c r="D50" i="87"/>
  <c r="B87" i="3" s="1"/>
  <c r="K87" i="3" s="1"/>
  <c r="D26" i="28"/>
  <c r="D33" i="71"/>
  <c r="D41" i="66"/>
  <c r="D43" i="66"/>
  <c r="B532" i="3" s="1"/>
  <c r="K532" i="3" s="1"/>
  <c r="D45" i="66"/>
  <c r="B535" i="3"/>
  <c r="K535" i="3" s="1"/>
  <c r="D31" i="25"/>
  <c r="B523" i="3" s="1"/>
  <c r="K523" i="3" s="1"/>
  <c r="D26" i="18"/>
  <c r="B160" i="3"/>
  <c r="K160" i="3" s="1"/>
  <c r="E18" i="94"/>
  <c r="E18" i="37"/>
  <c r="E21" i="84"/>
  <c r="E29" i="57"/>
  <c r="E30" i="57"/>
  <c r="E17" i="28"/>
  <c r="E31" i="87"/>
  <c r="E32" i="87" s="1"/>
  <c r="C248" i="3" s="1"/>
  <c r="E15" i="75"/>
  <c r="E17" i="75" s="1"/>
  <c r="C231" i="3" s="1"/>
  <c r="E32" i="94"/>
  <c r="E25" i="89"/>
  <c r="E48" i="31"/>
  <c r="E31" i="33"/>
  <c r="E14" i="68"/>
  <c r="E29" i="74"/>
  <c r="E26" i="13"/>
  <c r="E34" i="9"/>
  <c r="E17" i="68"/>
  <c r="C453" i="3"/>
  <c r="E32" i="13"/>
  <c r="E43" i="33"/>
  <c r="E49" i="87"/>
  <c r="E50" i="87" s="1"/>
  <c r="C87" i="3" s="1"/>
  <c r="E33" i="71"/>
  <c r="E34" i="71"/>
  <c r="E41" i="66"/>
  <c r="C447" i="3" s="1"/>
  <c r="E41" i="37"/>
  <c r="C52" i="3"/>
  <c r="E43" i="66"/>
  <c r="C532" i="3" s="1"/>
  <c r="E45" i="66"/>
  <c r="C535" i="3"/>
  <c r="E31" i="25"/>
  <c r="E4" i="33"/>
  <c r="E16" i="33"/>
  <c r="E5" i="33"/>
  <c r="E17" i="33"/>
  <c r="E4" i="34"/>
  <c r="E8" i="34"/>
  <c r="E4" i="37"/>
  <c r="E14" i="37"/>
  <c r="D4" i="34"/>
  <c r="D8" i="34"/>
  <c r="D4" i="33"/>
  <c r="D16" i="33"/>
  <c r="D5" i="33"/>
  <c r="B362" i="2"/>
  <c r="L362" i="2" s="1"/>
  <c r="D48" i="9"/>
  <c r="C124" i="3"/>
  <c r="B447" i="3"/>
  <c r="K447" i="3" s="1"/>
  <c r="C523" i="3"/>
  <c r="C361" i="2"/>
  <c r="M361" i="2" s="1"/>
  <c r="C163" i="2"/>
  <c r="M163" i="2" s="1"/>
  <c r="C556" i="3"/>
  <c r="C557" i="3"/>
  <c r="C559" i="3"/>
  <c r="C558" i="3"/>
  <c r="C562" i="3"/>
  <c r="C563" i="3"/>
  <c r="L134" i="2"/>
  <c r="L132" i="2"/>
  <c r="L48" i="2"/>
  <c r="L457" i="2"/>
  <c r="L146" i="2"/>
  <c r="L264" i="2"/>
  <c r="L74" i="2"/>
  <c r="L425" i="2"/>
  <c r="L306" i="2"/>
  <c r="L108" i="2"/>
  <c r="L241" i="2"/>
  <c r="L205" i="2"/>
  <c r="L142" i="2"/>
  <c r="L154" i="2"/>
  <c r="L338" i="2"/>
  <c r="L156" i="2"/>
  <c r="L290" i="2"/>
  <c r="L462" i="2"/>
  <c r="L105" i="2"/>
  <c r="L459" i="2"/>
  <c r="L87" i="2"/>
  <c r="L309" i="2"/>
  <c r="L229" i="2"/>
  <c r="L284" i="2"/>
  <c r="L148" i="2"/>
  <c r="L186" i="2"/>
  <c r="L199" i="2"/>
  <c r="L426" i="2"/>
  <c r="L252" i="2"/>
  <c r="L116" i="2"/>
  <c r="L458" i="2"/>
  <c r="L273" i="2"/>
  <c r="L280" i="2"/>
  <c r="L239" i="2"/>
  <c r="M153" i="2"/>
  <c r="M82" i="2"/>
  <c r="M230" i="2"/>
  <c r="M57" i="2"/>
  <c r="M333" i="2"/>
  <c r="M74" i="2"/>
  <c r="M288" i="2"/>
  <c r="M151" i="2"/>
  <c r="M154" i="2"/>
  <c r="M158" i="2"/>
  <c r="M172" i="2"/>
  <c r="M106" i="2"/>
  <c r="M258" i="2"/>
  <c r="M276" i="2"/>
  <c r="M131" i="2"/>
  <c r="M267" i="2"/>
  <c r="M310" i="2"/>
  <c r="M459" i="2"/>
  <c r="M436" i="2"/>
  <c r="M133" i="2"/>
  <c r="M135" i="2"/>
  <c r="M437" i="2"/>
  <c r="M271" i="2"/>
  <c r="M268" i="2"/>
  <c r="M334" i="2"/>
  <c r="M84" i="2"/>
  <c r="M5" i="2"/>
  <c r="M85" i="2"/>
  <c r="M145" i="2"/>
  <c r="M102" i="2"/>
  <c r="M286" i="2"/>
  <c r="M460" i="2"/>
  <c r="M252" i="2"/>
  <c r="M338" i="2"/>
  <c r="M270" i="2"/>
  <c r="M458" i="2"/>
  <c r="M136" i="2"/>
  <c r="M448" i="2"/>
  <c r="M169" i="2"/>
  <c r="M134" i="2"/>
  <c r="M186" i="2"/>
  <c r="M86" i="2"/>
  <c r="C561" i="3"/>
  <c r="H51" i="43"/>
  <c r="H52" i="43" s="1"/>
  <c r="F184" i="3" s="1"/>
  <c r="H12" i="43"/>
  <c r="F269" i="2"/>
  <c r="P269" i="2" s="1"/>
  <c r="F51" i="43"/>
  <c r="F52" i="43" s="1"/>
  <c r="E51" i="43"/>
  <c r="E52" i="43" s="1"/>
  <c r="C184" i="3" s="1"/>
  <c r="G12" i="43"/>
  <c r="E269" i="2" s="1"/>
  <c r="O269" i="2" s="1"/>
  <c r="E12" i="43"/>
  <c r="G51" i="43"/>
  <c r="G52" i="43" s="1"/>
  <c r="E184" i="3" s="1"/>
  <c r="D12" i="43"/>
  <c r="B269" i="2" s="1"/>
  <c r="L269" i="2" s="1"/>
  <c r="F12" i="43"/>
  <c r="D269" i="2" s="1"/>
  <c r="D51" i="43"/>
  <c r="D52" i="43"/>
  <c r="B184" i="3" s="1"/>
  <c r="K184" i="3" s="1"/>
  <c r="D184" i="3"/>
  <c r="C269" i="2"/>
  <c r="M269" i="2" s="1"/>
  <c r="H24" i="38"/>
  <c r="C23" i="2"/>
  <c r="M23" i="2" s="1"/>
  <c r="E23" i="2"/>
  <c r="O23" i="2" s="1"/>
  <c r="D23" i="2"/>
  <c r="N23" i="2" s="1"/>
  <c r="C152" i="3"/>
  <c r="C362" i="2"/>
  <c r="M362" i="2" s="1"/>
  <c r="B106" i="3"/>
  <c r="K106" i="3" s="1"/>
  <c r="D50" i="9"/>
  <c r="D52" i="9"/>
  <c r="E48" i="9"/>
  <c r="C106" i="3"/>
  <c r="G13" i="9"/>
  <c r="E241" i="2"/>
  <c r="O241" i="2" s="1"/>
  <c r="H46" i="9"/>
  <c r="F104" i="3"/>
  <c r="F106" i="3"/>
  <c r="H52" i="9"/>
  <c r="G239" i="2"/>
  <c r="Q239" i="2" s="1"/>
  <c r="I9" i="9"/>
  <c r="I17" i="9"/>
  <c r="I11" i="9"/>
  <c r="I14" i="9"/>
  <c r="G242" i="2"/>
  <c r="Q242" i="2" s="1"/>
  <c r="G243" i="2"/>
  <c r="Q243" i="2" s="1"/>
  <c r="I15" i="9"/>
  <c r="E35" i="9"/>
  <c r="C246" i="3"/>
  <c r="E31" i="9"/>
  <c r="C256" i="3"/>
  <c r="C244" i="2"/>
  <c r="M244" i="2" s="1"/>
  <c r="E16" i="9"/>
  <c r="G42" i="9"/>
  <c r="E243" i="3"/>
  <c r="G35" i="9"/>
  <c r="E246" i="3"/>
  <c r="G50" i="9"/>
  <c r="E106" i="3"/>
  <c r="F240" i="2"/>
  <c r="P240" i="2" s="1"/>
  <c r="I50" i="9"/>
  <c r="I48" i="9"/>
  <c r="G106" i="3"/>
  <c r="I52" i="9"/>
  <c r="D16" i="9"/>
  <c r="E42" i="9"/>
  <c r="C243" i="3"/>
  <c r="B240" i="2"/>
  <c r="D9" i="9"/>
  <c r="D17" i="9"/>
  <c r="F52" i="9"/>
  <c r="F48" i="9"/>
  <c r="D106" i="3"/>
  <c r="F50" i="9"/>
  <c r="G11" i="9"/>
  <c r="G9" i="9"/>
  <c r="G17" i="9"/>
  <c r="E239" i="2"/>
  <c r="F244" i="2"/>
  <c r="P244" i="2" s="1"/>
  <c r="H16" i="9"/>
  <c r="H42" i="9"/>
  <c r="F243" i="3"/>
  <c r="E50" i="9"/>
  <c r="D243" i="2"/>
  <c r="N243" i="2" s="1"/>
  <c r="F15" i="9"/>
  <c r="E243" i="2"/>
  <c r="O243" i="2" s="1"/>
  <c r="G15" i="9"/>
  <c r="G25" i="9"/>
  <c r="E181" i="3"/>
  <c r="F16" i="9"/>
  <c r="D239" i="2"/>
  <c r="N239" i="2" s="1"/>
  <c r="F243" i="2"/>
  <c r="P243" i="2" s="1"/>
  <c r="H11" i="9"/>
  <c r="E9" i="9"/>
  <c r="E17" i="9"/>
  <c r="I13" i="9"/>
  <c r="J50" i="9"/>
  <c r="F45" i="31"/>
  <c r="D414" i="3" s="1"/>
  <c r="E5" i="34"/>
  <c r="E9" i="34"/>
  <c r="G448" i="2"/>
  <c r="Q448" i="2" s="1"/>
  <c r="B373" i="2"/>
  <c r="L373" i="2" s="1"/>
  <c r="F373" i="2"/>
  <c r="P373" i="2" s="1"/>
  <c r="R186" i="2"/>
  <c r="F19" i="37"/>
  <c r="B255" i="2"/>
  <c r="L255" i="2" s="1"/>
  <c r="B74" i="3"/>
  <c r="K74" i="3" s="1"/>
  <c r="D261" i="2"/>
  <c r="N261" i="2" s="1"/>
  <c r="F14" i="37"/>
  <c r="E255" i="2"/>
  <c r="O255" i="2"/>
  <c r="F255" i="2"/>
  <c r="P255" i="2" s="1"/>
  <c r="C74" i="3"/>
  <c r="G19" i="37"/>
  <c r="D255" i="2"/>
  <c r="N255" i="2" s="1"/>
  <c r="F74" i="3"/>
  <c r="G74" i="3"/>
  <c r="G255" i="2"/>
  <c r="Q255" i="2" s="1"/>
  <c r="C261" i="2"/>
  <c r="M261" i="2" s="1"/>
  <c r="B261" i="2"/>
  <c r="L261" i="2" s="1"/>
  <c r="G14" i="37"/>
  <c r="J52" i="9"/>
  <c r="J48" i="9"/>
  <c r="H181" i="3"/>
  <c r="R331" i="2"/>
  <c r="H74" i="31"/>
  <c r="F268" i="3" s="1"/>
  <c r="E224" i="2"/>
  <c r="O224" i="2" s="1"/>
  <c r="J25" i="16"/>
  <c r="R127" i="2"/>
  <c r="B319" i="2"/>
  <c r="G148" i="3"/>
  <c r="F319" i="2"/>
  <c r="P319" i="2" s="1"/>
  <c r="E319" i="2"/>
  <c r="O319" i="2" s="1"/>
  <c r="D148" i="3"/>
  <c r="D319" i="2"/>
  <c r="N319" i="2" s="1"/>
  <c r="C319" i="2"/>
  <c r="M319" i="2" s="1"/>
  <c r="C148" i="3"/>
  <c r="E3" i="96"/>
  <c r="E12" i="96"/>
  <c r="C427" i="2"/>
  <c r="M427" i="2" s="1"/>
  <c r="F143" i="3"/>
  <c r="H30" i="96"/>
  <c r="H32" i="96"/>
  <c r="H34" i="96"/>
  <c r="I3" i="96"/>
  <c r="I12" i="96"/>
  <c r="G427" i="2"/>
  <c r="Q427" i="2" s="1"/>
  <c r="I30" i="96"/>
  <c r="G143" i="3"/>
  <c r="I34" i="96"/>
  <c r="I32" i="96"/>
  <c r="H3" i="96"/>
  <c r="H12" i="96"/>
  <c r="F427" i="2"/>
  <c r="P427" i="2" s="1"/>
  <c r="G3" i="96"/>
  <c r="G12" i="96"/>
  <c r="E427" i="2"/>
  <c r="O427" i="2" s="1"/>
  <c r="G32" i="96"/>
  <c r="G30" i="96"/>
  <c r="E143" i="3"/>
  <c r="G34" i="96"/>
  <c r="D427" i="2"/>
  <c r="N427" i="2" s="1"/>
  <c r="F3" i="96"/>
  <c r="F12" i="96"/>
  <c r="D143" i="3"/>
  <c r="F34" i="96"/>
  <c r="F32" i="96"/>
  <c r="F30" i="96"/>
  <c r="E32" i="96"/>
  <c r="E34" i="96"/>
  <c r="E30" i="96"/>
  <c r="C143" i="3"/>
  <c r="B427" i="2"/>
  <c r="L427" i="2" s="1"/>
  <c r="D3" i="96"/>
  <c r="D12" i="96"/>
  <c r="D30" i="96"/>
  <c r="D34" i="96"/>
  <c r="B143" i="3"/>
  <c r="K143" i="3" s="1"/>
  <c r="D32" i="96"/>
  <c r="C409" i="2"/>
  <c r="M409" i="2" s="1"/>
  <c r="G61" i="2"/>
  <c r="Q61" i="2" s="1"/>
  <c r="F61" i="2"/>
  <c r="P61" i="2" s="1"/>
  <c r="D61" i="2"/>
  <c r="N61" i="2" s="1"/>
  <c r="D17" i="82"/>
  <c r="G396" i="2"/>
  <c r="Q396" i="2" s="1"/>
  <c r="E396" i="2"/>
  <c r="O396" i="2" s="1"/>
  <c r="D396" i="2"/>
  <c r="N396" i="2" s="1"/>
  <c r="B396" i="2"/>
  <c r="L396" i="2" s="1"/>
  <c r="D8" i="60"/>
  <c r="B391" i="2"/>
  <c r="L391" i="2" s="1"/>
  <c r="D5" i="60"/>
  <c r="D9" i="60" s="1"/>
  <c r="D21" i="60"/>
  <c r="D23" i="60"/>
  <c r="E21" i="60"/>
  <c r="C402" i="3"/>
  <c r="F21" i="60"/>
  <c r="D402" i="3"/>
  <c r="H21" i="60"/>
  <c r="F402" i="3"/>
  <c r="E25" i="60"/>
  <c r="I8" i="60"/>
  <c r="G391" i="2"/>
  <c r="Q391" i="2" s="1"/>
  <c r="H27" i="60"/>
  <c r="H25" i="60"/>
  <c r="G8" i="60"/>
  <c r="E391" i="2"/>
  <c r="O391" i="2" s="1"/>
  <c r="D391" i="2"/>
  <c r="N391" i="2" s="1"/>
  <c r="F8" i="60"/>
  <c r="F25" i="60"/>
  <c r="F27" i="60"/>
  <c r="E23" i="60"/>
  <c r="E27" i="60"/>
  <c r="D25" i="60"/>
  <c r="D27" i="60"/>
  <c r="G28" i="75"/>
  <c r="E23" i="3" s="1"/>
  <c r="E28" i="75"/>
  <c r="C23" i="3" s="1"/>
  <c r="I28" i="75"/>
  <c r="G23" i="3" s="1"/>
  <c r="F28" i="75"/>
  <c r="D23" i="3" s="1"/>
  <c r="D28" i="75"/>
  <c r="B23" i="3" s="1"/>
  <c r="K23" i="3" s="1"/>
  <c r="H28" i="75"/>
  <c r="F23" i="3" s="1"/>
  <c r="D300" i="2"/>
  <c r="N300" i="2" s="1"/>
  <c r="B300" i="2"/>
  <c r="L300" i="2" s="1"/>
  <c r="C300" i="2"/>
  <c r="M300" i="2" s="1"/>
  <c r="G300" i="2"/>
  <c r="Q300" i="2" s="1"/>
  <c r="E300" i="2"/>
  <c r="O300" i="2" s="1"/>
  <c r="G30" i="74"/>
  <c r="E199" i="3"/>
  <c r="I17" i="74"/>
  <c r="H17" i="74"/>
  <c r="H39" i="74"/>
  <c r="G17" i="74"/>
  <c r="E135" i="3"/>
  <c r="F17" i="74"/>
  <c r="D17" i="74"/>
  <c r="B333" i="2"/>
  <c r="L333" i="2" s="1"/>
  <c r="F333" i="2"/>
  <c r="P333" i="2" s="1"/>
  <c r="D13" i="92"/>
  <c r="F15" i="92"/>
  <c r="G13" i="92"/>
  <c r="B114" i="3"/>
  <c r="K114" i="3" s="1"/>
  <c r="D11" i="92"/>
  <c r="E333" i="2"/>
  <c r="O333" i="2" s="1"/>
  <c r="I15" i="92"/>
  <c r="F13" i="92"/>
  <c r="E11" i="92"/>
  <c r="D15" i="92"/>
  <c r="F11" i="92"/>
  <c r="D333" i="2"/>
  <c r="N333" i="2" s="1"/>
  <c r="E3" i="30"/>
  <c r="E13" i="30"/>
  <c r="C104" i="2"/>
  <c r="M104" i="2" s="1"/>
  <c r="I22" i="30"/>
  <c r="G191" i="3"/>
  <c r="G22" i="30"/>
  <c r="E191" i="3"/>
  <c r="D3" i="30"/>
  <c r="D13" i="30"/>
  <c r="B103" i="2"/>
  <c r="L103" i="2" s="1"/>
  <c r="G32" i="30"/>
  <c r="E11" i="3"/>
  <c r="I32" i="30"/>
  <c r="G11" i="3"/>
  <c r="E17" i="30"/>
  <c r="E42" i="30"/>
  <c r="G17" i="30"/>
  <c r="G38" i="30"/>
  <c r="H17" i="30"/>
  <c r="I17" i="30"/>
  <c r="G51" i="3"/>
  <c r="D17" i="30"/>
  <c r="B51" i="3"/>
  <c r="K51" i="3" s="1"/>
  <c r="F17" i="30"/>
  <c r="F38" i="30"/>
  <c r="G3" i="30"/>
  <c r="G13" i="30"/>
  <c r="E102" i="2"/>
  <c r="O102" i="2" s="1"/>
  <c r="I40" i="30"/>
  <c r="I42" i="30"/>
  <c r="I38" i="30"/>
  <c r="I3" i="30"/>
  <c r="I13" i="30"/>
  <c r="G102" i="2"/>
  <c r="Q102" i="2"/>
  <c r="H3" i="30"/>
  <c r="H13" i="30"/>
  <c r="F102" i="2"/>
  <c r="P102" i="2" s="1"/>
  <c r="H42" i="30"/>
  <c r="H40" i="30"/>
  <c r="H38" i="30"/>
  <c r="F51" i="3"/>
  <c r="D102" i="2"/>
  <c r="F3" i="30"/>
  <c r="F13" i="30"/>
  <c r="C51" i="3"/>
  <c r="D40" i="30"/>
  <c r="F8" i="68"/>
  <c r="D168" i="2"/>
  <c r="N168" i="2" s="1"/>
  <c r="E15" i="68"/>
  <c r="C311" i="3"/>
  <c r="I8" i="68"/>
  <c r="D7" i="68"/>
  <c r="H15" i="68"/>
  <c r="F311" i="3"/>
  <c r="G8" i="68"/>
  <c r="E168" i="2"/>
  <c r="O168" i="2" s="1"/>
  <c r="D15" i="68"/>
  <c r="H8" i="68"/>
  <c r="F168" i="2"/>
  <c r="P168" i="2" s="1"/>
  <c r="G15" i="68"/>
  <c r="E311" i="3"/>
  <c r="B168" i="2"/>
  <c r="D5" i="68"/>
  <c r="D9" i="68"/>
  <c r="F15" i="68"/>
  <c r="D311" i="3"/>
  <c r="I15" i="68"/>
  <c r="G311" i="3"/>
  <c r="G524" i="3"/>
  <c r="I21" i="68"/>
  <c r="I5" i="68"/>
  <c r="I9" i="68"/>
  <c r="I7" i="68"/>
  <c r="H23" i="68"/>
  <c r="H7" i="68"/>
  <c r="F167" i="2"/>
  <c r="P167" i="2" s="1"/>
  <c r="H5" i="68"/>
  <c r="H9" i="68"/>
  <c r="H19" i="68"/>
  <c r="G5" i="68"/>
  <c r="G9" i="68"/>
  <c r="E167" i="2"/>
  <c r="O167" i="2" s="1"/>
  <c r="G7" i="68"/>
  <c r="E524" i="3"/>
  <c r="G19" i="68"/>
  <c r="G21" i="68"/>
  <c r="G23" i="68"/>
  <c r="D167" i="2"/>
  <c r="N167" i="2" s="1"/>
  <c r="F5" i="68"/>
  <c r="F9" i="68"/>
  <c r="F7" i="68"/>
  <c r="F23" i="68"/>
  <c r="F21" i="68"/>
  <c r="C524" i="3"/>
  <c r="E19" i="68"/>
  <c r="E23" i="68"/>
  <c r="E21" i="68"/>
  <c r="E5" i="68"/>
  <c r="E9" i="68"/>
  <c r="E7" i="68"/>
  <c r="C167" i="2"/>
  <c r="M167" i="2" s="1"/>
  <c r="B93" i="2"/>
  <c r="L93" i="2" s="1"/>
  <c r="F81" i="2"/>
  <c r="P81" i="2" s="1"/>
  <c r="H3" i="63"/>
  <c r="E81" i="2"/>
  <c r="G3" i="63"/>
  <c r="D5" i="63"/>
  <c r="D17" i="63"/>
  <c r="G43" i="63"/>
  <c r="G45" i="63"/>
  <c r="E108" i="3"/>
  <c r="G47" i="63"/>
  <c r="G108" i="3"/>
  <c r="I47" i="63"/>
  <c r="I45" i="63"/>
  <c r="I43" i="63"/>
  <c r="D81" i="2"/>
  <c r="F3" i="63"/>
  <c r="H43" i="63"/>
  <c r="H47" i="63"/>
  <c r="F108" i="3"/>
  <c r="H45" i="63"/>
  <c r="F47" i="63"/>
  <c r="F45" i="63"/>
  <c r="D108" i="3"/>
  <c r="F43" i="63"/>
  <c r="C81" i="2"/>
  <c r="M81" i="2" s="1"/>
  <c r="E3" i="63"/>
  <c r="D47" i="63"/>
  <c r="D43" i="63"/>
  <c r="B108" i="3"/>
  <c r="K108" i="3" s="1"/>
  <c r="D45" i="63"/>
  <c r="I3" i="63"/>
  <c r="F49" i="31"/>
  <c r="D387" i="3" s="1"/>
  <c r="H63" i="31"/>
  <c r="F293" i="3" s="1"/>
  <c r="G59" i="31"/>
  <c r="E147" i="3" s="1"/>
  <c r="G224" i="2"/>
  <c r="Q224" i="2" s="1"/>
  <c r="G63" i="31"/>
  <c r="E293" i="3" s="1"/>
  <c r="H23" i="31"/>
  <c r="F224" i="2"/>
  <c r="P224" i="2" s="1"/>
  <c r="H31" i="31"/>
  <c r="F225" i="2"/>
  <c r="P225" i="2" s="1"/>
  <c r="H24" i="31"/>
  <c r="G74" i="57"/>
  <c r="D20" i="57"/>
  <c r="E40" i="57"/>
  <c r="C363" i="3"/>
  <c r="E5" i="57"/>
  <c r="E22" i="57"/>
  <c r="E20" i="57"/>
  <c r="C364" i="3"/>
  <c r="E76" i="57"/>
  <c r="B363" i="3"/>
  <c r="K363" i="3" s="1"/>
  <c r="F76" i="57"/>
  <c r="D14" i="3"/>
  <c r="F74" i="57"/>
  <c r="F78" i="57"/>
  <c r="E295" i="2"/>
  <c r="O295" i="2" s="1"/>
  <c r="G21" i="57"/>
  <c r="G3" i="57"/>
  <c r="E284" i="2"/>
  <c r="O284" i="2" s="1"/>
  <c r="F285" i="2"/>
  <c r="P285" i="2" s="1"/>
  <c r="H3" i="57"/>
  <c r="I21" i="57"/>
  <c r="G295" i="2"/>
  <c r="Q295" i="2" s="1"/>
  <c r="G14" i="3"/>
  <c r="E34" i="57"/>
  <c r="C97" i="3"/>
  <c r="D52" i="57"/>
  <c r="B283" i="3"/>
  <c r="K283" i="3" s="1"/>
  <c r="E52" i="57"/>
  <c r="C283" i="3"/>
  <c r="F3" i="57"/>
  <c r="D284" i="2"/>
  <c r="N284" i="2" s="1"/>
  <c r="F97" i="3"/>
  <c r="G285" i="2"/>
  <c r="Q285" i="2" s="1"/>
  <c r="G78" i="57"/>
  <c r="G76" i="57"/>
  <c r="H21" i="57"/>
  <c r="F295" i="2"/>
  <c r="P295" i="2" s="1"/>
  <c r="H40" i="57"/>
  <c r="F363" i="3"/>
  <c r="D27" i="34"/>
  <c r="D29" i="34"/>
  <c r="D31" i="34"/>
  <c r="B438" i="3"/>
  <c r="K438" i="3" s="1"/>
  <c r="E27" i="34"/>
  <c r="E7" i="34"/>
  <c r="E162" i="2"/>
  <c r="O162" i="2" s="1"/>
  <c r="G5" i="34"/>
  <c r="G9" i="34"/>
  <c r="G7" i="34"/>
  <c r="I27" i="34"/>
  <c r="I29" i="34"/>
  <c r="G423" i="3"/>
  <c r="I31" i="34"/>
  <c r="D162" i="2"/>
  <c r="N162" i="2" s="1"/>
  <c r="F7" i="34"/>
  <c r="F5" i="34"/>
  <c r="F9" i="34"/>
  <c r="F27" i="34"/>
  <c r="F31" i="34"/>
  <c r="F29" i="34"/>
  <c r="D423" i="3"/>
  <c r="I8" i="34"/>
  <c r="G163" i="2"/>
  <c r="Q163" i="2" s="1"/>
  <c r="G31" i="34"/>
  <c r="E229" i="3"/>
  <c r="G27" i="34"/>
  <c r="G29" i="34"/>
  <c r="H5" i="34"/>
  <c r="H9" i="34"/>
  <c r="F162" i="2"/>
  <c r="H7" i="34"/>
  <c r="C487" i="3"/>
  <c r="D5" i="34"/>
  <c r="D9" i="34"/>
  <c r="B163" i="2"/>
  <c r="E29" i="34"/>
  <c r="H29" i="34"/>
  <c r="I7" i="34"/>
  <c r="E31" i="34"/>
  <c r="I5" i="34"/>
  <c r="I9" i="34"/>
  <c r="H27" i="34"/>
  <c r="H31" i="34"/>
  <c r="E366" i="2"/>
  <c r="O366" i="2" s="1"/>
  <c r="D31" i="28"/>
  <c r="B88" i="3" s="1"/>
  <c r="K88" i="3" s="1"/>
  <c r="F33" i="33"/>
  <c r="D479" i="3"/>
  <c r="E361" i="2"/>
  <c r="O361" i="2" s="1"/>
  <c r="G16" i="33"/>
  <c r="H28" i="33"/>
  <c r="F370" i="3"/>
  <c r="I44" i="33"/>
  <c r="G315" i="3"/>
  <c r="F16" i="33"/>
  <c r="F44" i="33"/>
  <c r="D315" i="3"/>
  <c r="H37" i="33"/>
  <c r="F190" i="3"/>
  <c r="B361" i="2"/>
  <c r="L361" i="2" s="1"/>
  <c r="E33" i="33"/>
  <c r="C479" i="3"/>
  <c r="E44" i="33"/>
  <c r="C315" i="3"/>
  <c r="G44" i="33"/>
  <c r="E315" i="3"/>
  <c r="C388" i="2"/>
  <c r="M388" i="2" s="1"/>
  <c r="E13" i="47"/>
  <c r="E11" i="47"/>
  <c r="I11" i="47"/>
  <c r="B388" i="2"/>
  <c r="L388" i="2" s="1"/>
  <c r="I13" i="47"/>
  <c r="E15" i="47"/>
  <c r="E388" i="2"/>
  <c r="O388" i="2" s="1"/>
  <c r="G388" i="2"/>
  <c r="Q388" i="2" s="1"/>
  <c r="D15" i="47"/>
  <c r="D11" i="47"/>
  <c r="H13" i="47"/>
  <c r="H15" i="47"/>
  <c r="H11" i="47"/>
  <c r="G13" i="47"/>
  <c r="D13" i="47"/>
  <c r="E358" i="3"/>
  <c r="G15" i="47"/>
  <c r="F388" i="2"/>
  <c r="P388" i="2" s="1"/>
  <c r="I15" i="47"/>
  <c r="F11" i="47"/>
  <c r="F15" i="47"/>
  <c r="G11" i="47"/>
  <c r="C111" i="2"/>
  <c r="M111" i="2" s="1"/>
  <c r="E3" i="74"/>
  <c r="E13" i="74"/>
  <c r="E39" i="74"/>
  <c r="E43" i="74"/>
  <c r="E41" i="74"/>
  <c r="C135" i="3"/>
  <c r="D111" i="2"/>
  <c r="N111" i="2" s="1"/>
  <c r="F3" i="74"/>
  <c r="F13" i="74"/>
  <c r="F111" i="2"/>
  <c r="P111" i="2" s="1"/>
  <c r="H3" i="74"/>
  <c r="H13" i="74"/>
  <c r="G135" i="3"/>
  <c r="F135" i="3"/>
  <c r="E111" i="2"/>
  <c r="O111" i="2" s="1"/>
  <c r="G3" i="74"/>
  <c r="G13" i="74"/>
  <c r="F39" i="74"/>
  <c r="D135" i="3"/>
  <c r="F41" i="74"/>
  <c r="F43" i="74"/>
  <c r="D39" i="74"/>
  <c r="B135" i="3"/>
  <c r="K135" i="3" s="1"/>
  <c r="D41" i="74"/>
  <c r="D43" i="74"/>
  <c r="B111" i="2"/>
  <c r="L111" i="2" s="1"/>
  <c r="D3" i="74"/>
  <c r="D13" i="74"/>
  <c r="G43" i="74"/>
  <c r="E163" i="3"/>
  <c r="D44" i="33"/>
  <c r="B315" i="3"/>
  <c r="K315" i="3" s="1"/>
  <c r="H16" i="33"/>
  <c r="F361" i="2"/>
  <c r="P361" i="2" s="1"/>
  <c r="H44" i="33"/>
  <c r="F315" i="3"/>
  <c r="G361" i="2"/>
  <c r="Q361" i="2" s="1"/>
  <c r="I16" i="33"/>
  <c r="E28" i="33"/>
  <c r="C370" i="3"/>
  <c r="E37" i="33"/>
  <c r="C190" i="3"/>
  <c r="F37" i="33"/>
  <c r="D190" i="3"/>
  <c r="G24" i="33"/>
  <c r="E285" i="3"/>
  <c r="I28" i="33"/>
  <c r="G370" i="3"/>
  <c r="G28" i="33"/>
  <c r="E370" i="3"/>
  <c r="D24" i="33"/>
  <c r="B285" i="3"/>
  <c r="K285" i="3" s="1"/>
  <c r="F24" i="33"/>
  <c r="D285" i="3"/>
  <c r="F28" i="33"/>
  <c r="D370" i="3"/>
  <c r="I37" i="33"/>
  <c r="G190" i="3"/>
  <c r="E24" i="33"/>
  <c r="C285" i="3"/>
  <c r="D28" i="33"/>
  <c r="B370" i="3"/>
  <c r="K370" i="3" s="1"/>
  <c r="D37" i="33"/>
  <c r="B190" i="3"/>
  <c r="K190" i="3" s="1"/>
  <c r="G37" i="33"/>
  <c r="E190" i="3"/>
  <c r="H24" i="33"/>
  <c r="F285" i="3"/>
  <c r="I24" i="33"/>
  <c r="G285" i="3"/>
  <c r="I33" i="33"/>
  <c r="G479" i="3"/>
  <c r="F355" i="2"/>
  <c r="P355" i="2" s="1"/>
  <c r="H3" i="33"/>
  <c r="H15" i="33"/>
  <c r="G3" i="33"/>
  <c r="G15" i="33"/>
  <c r="E355" i="2"/>
  <c r="O355" i="2" s="1"/>
  <c r="D33" i="33"/>
  <c r="B479" i="3"/>
  <c r="K479" i="3" s="1"/>
  <c r="D3" i="33"/>
  <c r="D15" i="33"/>
  <c r="B355" i="2"/>
  <c r="L355" i="2" s="1"/>
  <c r="F3" i="33"/>
  <c r="F15" i="33"/>
  <c r="D355" i="2"/>
  <c r="N355" i="2" s="1"/>
  <c r="E3" i="33"/>
  <c r="C355" i="2"/>
  <c r="M355" i="2"/>
  <c r="G33" i="33"/>
  <c r="E479" i="3"/>
  <c r="H33" i="33"/>
  <c r="F479" i="3"/>
  <c r="I3" i="33"/>
  <c r="I15" i="33"/>
  <c r="D362" i="2"/>
  <c r="N362" i="2" s="1"/>
  <c r="F17" i="33"/>
  <c r="I17" i="33"/>
  <c r="H17" i="33"/>
  <c r="F362" i="2"/>
  <c r="P362" i="2" s="1"/>
  <c r="G17" i="33"/>
  <c r="E362" i="2"/>
  <c r="O362" i="2" s="1"/>
  <c r="E52" i="33"/>
  <c r="D17" i="33"/>
  <c r="D51" i="26"/>
  <c r="D3" i="26"/>
  <c r="D16" i="26"/>
  <c r="B482" i="3"/>
  <c r="K482" i="3" s="1"/>
  <c r="D55" i="26"/>
  <c r="D384" i="3"/>
  <c r="F51" i="26"/>
  <c r="F53" i="26"/>
  <c r="F55" i="26"/>
  <c r="F47" i="26"/>
  <c r="D299" i="3"/>
  <c r="F384" i="3"/>
  <c r="H55" i="26"/>
  <c r="H53" i="26"/>
  <c r="G69" i="2"/>
  <c r="Q69" i="2"/>
  <c r="I3" i="26"/>
  <c r="D78" i="2"/>
  <c r="N78" i="2" s="1"/>
  <c r="F17" i="26"/>
  <c r="D71" i="2"/>
  <c r="N71" i="2" s="1"/>
  <c r="F3" i="26"/>
  <c r="E78" i="2"/>
  <c r="O78" i="2" s="1"/>
  <c r="G17" i="26"/>
  <c r="E69" i="2"/>
  <c r="O69" i="2" s="1"/>
  <c r="G3" i="26"/>
  <c r="G43" i="26"/>
  <c r="E426" i="3"/>
  <c r="G55" i="26"/>
  <c r="E384" i="3"/>
  <c r="F78" i="2"/>
  <c r="P78" i="2" s="1"/>
  <c r="H17" i="26"/>
  <c r="H43" i="26"/>
  <c r="F426" i="3"/>
  <c r="F69" i="2"/>
  <c r="H3" i="26"/>
  <c r="G78" i="2"/>
  <c r="Q78" i="2" s="1"/>
  <c r="I17" i="26"/>
  <c r="E3" i="26"/>
  <c r="C69" i="2"/>
  <c r="M69" i="2" s="1"/>
  <c r="E53" i="26"/>
  <c r="E55" i="26"/>
  <c r="C384" i="3"/>
  <c r="E51" i="26"/>
  <c r="I43" i="26"/>
  <c r="G426" i="3"/>
  <c r="G245" i="3"/>
  <c r="D53" i="26"/>
  <c r="B245" i="3"/>
  <c r="K245" i="3" s="1"/>
  <c r="B69" i="2"/>
  <c r="L69" i="2" s="1"/>
  <c r="C78" i="2"/>
  <c r="M78" i="2" s="1"/>
  <c r="E22" i="18"/>
  <c r="C89" i="3"/>
  <c r="D22" i="18"/>
  <c r="B89" i="3"/>
  <c r="K89" i="3" s="1"/>
  <c r="E14" i="18"/>
  <c r="C41" i="3"/>
  <c r="I22" i="18"/>
  <c r="G89" i="3"/>
  <c r="C248" i="2"/>
  <c r="E3" i="18"/>
  <c r="E10" i="18"/>
  <c r="I14" i="18"/>
  <c r="G41" i="3"/>
  <c r="E18" i="18"/>
  <c r="C151" i="3"/>
  <c r="D14" i="18"/>
  <c r="B41" i="3"/>
  <c r="K41" i="3" s="1"/>
  <c r="G18" i="18"/>
  <c r="E151" i="3"/>
  <c r="H22" i="18"/>
  <c r="F89" i="3"/>
  <c r="J28" i="18"/>
  <c r="H14" i="18"/>
  <c r="F41" i="3"/>
  <c r="J30" i="18"/>
  <c r="F18" i="18"/>
  <c r="D151" i="3"/>
  <c r="D41" i="3"/>
  <c r="D247" i="2"/>
  <c r="F3" i="18"/>
  <c r="F10" i="18"/>
  <c r="H18" i="18"/>
  <c r="F151" i="3"/>
  <c r="G28" i="18"/>
  <c r="G30" i="18"/>
  <c r="G32" i="18"/>
  <c r="E41" i="3"/>
  <c r="I3" i="18"/>
  <c r="I10" i="18"/>
  <c r="G247" i="2"/>
  <c r="Q247" i="2" s="1"/>
  <c r="F22" i="18"/>
  <c r="D89" i="3"/>
  <c r="E249" i="2"/>
  <c r="O249" i="2" s="1"/>
  <c r="G3" i="18"/>
  <c r="G10" i="18"/>
  <c r="H3" i="18"/>
  <c r="H10" i="18"/>
  <c r="D3" i="18"/>
  <c r="D10" i="18"/>
  <c r="M62" i="2"/>
  <c r="N163" i="2"/>
  <c r="H18" i="27"/>
  <c r="C351" i="2"/>
  <c r="M351" i="2" s="1"/>
  <c r="E20" i="27"/>
  <c r="E19" i="27"/>
  <c r="G316" i="3"/>
  <c r="E13" i="5"/>
  <c r="H13" i="5"/>
  <c r="I15" i="5"/>
  <c r="I17" i="5"/>
  <c r="C127" i="2"/>
  <c r="M127" i="2" s="1"/>
  <c r="E17" i="5"/>
  <c r="G17" i="5"/>
  <c r="G13" i="5"/>
  <c r="C186" i="3"/>
  <c r="G15" i="5"/>
  <c r="H17" i="5"/>
  <c r="H15" i="5"/>
  <c r="N423" i="2"/>
  <c r="Q249" i="2"/>
  <c r="O331" i="2"/>
  <c r="O239" i="2"/>
  <c r="P258" i="2"/>
  <c r="D462" i="2"/>
  <c r="N462" i="2" s="1"/>
  <c r="P434" i="2"/>
  <c r="B335" i="2"/>
  <c r="L335" i="2" s="1"/>
  <c r="Q319" i="2"/>
  <c r="Q47" i="2"/>
  <c r="L168" i="2"/>
  <c r="N72" i="2"/>
  <c r="N83" i="2"/>
  <c r="N102" i="2"/>
  <c r="P126" i="2"/>
  <c r="O47" i="2"/>
  <c r="O187" i="2"/>
  <c r="O248" i="2"/>
  <c r="F563" i="3"/>
  <c r="F558" i="3"/>
  <c r="P166" i="2"/>
  <c r="L127" i="2"/>
  <c r="B428" i="2"/>
  <c r="L428" i="2" s="1"/>
  <c r="N131" i="2"/>
  <c r="N248" i="2"/>
  <c r="L359" i="2"/>
  <c r="P206" i="2"/>
  <c r="F88" i="2"/>
  <c r="F91" i="2" s="1"/>
  <c r="P91" i="2" s="1"/>
  <c r="P380" i="2"/>
  <c r="Q356" i="2"/>
  <c r="G360" i="2"/>
  <c r="P457" i="2"/>
  <c r="F462" i="2"/>
  <c r="P462" i="2" s="1"/>
  <c r="Q333" i="2"/>
  <c r="G88" i="2"/>
  <c r="Q88" i="2" s="1"/>
  <c r="Q82" i="2"/>
  <c r="Q436" i="2"/>
  <c r="G559" i="3"/>
  <c r="G556" i="3"/>
  <c r="G558" i="3"/>
  <c r="G561" i="3"/>
  <c r="G563" i="3"/>
  <c r="G557" i="3"/>
  <c r="Q305" i="2"/>
  <c r="G560" i="3"/>
  <c r="G462" i="2"/>
  <c r="Q462" i="2" s="1"/>
  <c r="G52" i="9"/>
  <c r="H48" i="9"/>
  <c r="E52" i="9"/>
  <c r="G48" i="9"/>
  <c r="H50" i="9"/>
  <c r="E74" i="3"/>
  <c r="D74" i="3"/>
  <c r="E40" i="30"/>
  <c r="G42" i="30"/>
  <c r="D42" i="30"/>
  <c r="F40" i="30"/>
  <c r="D51" i="3"/>
  <c r="G40" i="30"/>
  <c r="E51" i="3"/>
  <c r="F42" i="30"/>
  <c r="D38" i="30"/>
  <c r="E38" i="30"/>
  <c r="G428" i="2"/>
  <c r="Q428" i="2" s="1"/>
  <c r="H23" i="60"/>
  <c r="F23" i="60"/>
  <c r="B402" i="3"/>
  <c r="K402" i="3" s="1"/>
  <c r="G41" i="74"/>
  <c r="G39" i="74"/>
  <c r="H41" i="74"/>
  <c r="H43" i="74"/>
  <c r="F19" i="68"/>
  <c r="H21" i="68"/>
  <c r="I19" i="68"/>
  <c r="I23" i="68"/>
  <c r="D19" i="68"/>
  <c r="B311" i="3"/>
  <c r="K311" i="3" s="1"/>
  <c r="D23" i="68"/>
  <c r="D21" i="68"/>
  <c r="H5" i="63"/>
  <c r="H17" i="63"/>
  <c r="C88" i="2"/>
  <c r="G5" i="63"/>
  <c r="G17" i="63"/>
  <c r="I5" i="63"/>
  <c r="I17" i="63"/>
  <c r="F5" i="63"/>
  <c r="F17" i="63"/>
  <c r="E5" i="63"/>
  <c r="E17" i="63"/>
  <c r="F496" i="3"/>
  <c r="H76" i="57"/>
  <c r="D76" i="57"/>
  <c r="H5" i="57"/>
  <c r="H22" i="57"/>
  <c r="H20" i="57"/>
  <c r="H78" i="57"/>
  <c r="F20" i="57"/>
  <c r="F5" i="57"/>
  <c r="F22" i="57"/>
  <c r="D74" i="57"/>
  <c r="E74" i="57"/>
  <c r="H74" i="57"/>
  <c r="G5" i="57"/>
  <c r="G22" i="57"/>
  <c r="G20" i="57"/>
  <c r="D78" i="57"/>
  <c r="E78" i="57"/>
  <c r="D164" i="2"/>
  <c r="N164" i="2" s="1"/>
  <c r="P162" i="2"/>
  <c r="F164" i="2"/>
  <c r="P164" i="2" s="1"/>
  <c r="G164" i="2"/>
  <c r="Q164" i="2" s="1"/>
  <c r="D52" i="33"/>
  <c r="F52" i="33"/>
  <c r="E50" i="33"/>
  <c r="F48" i="33"/>
  <c r="F50" i="33"/>
  <c r="D50" i="33"/>
  <c r="D48" i="33"/>
  <c r="E48" i="33"/>
  <c r="D6" i="33"/>
  <c r="D18" i="33"/>
  <c r="I52" i="33"/>
  <c r="E360" i="2"/>
  <c r="O360" i="2" s="1"/>
  <c r="I50" i="33"/>
  <c r="G50" i="33"/>
  <c r="F6" i="33"/>
  <c r="F18" i="33"/>
  <c r="I6" i="33"/>
  <c r="I18" i="33"/>
  <c r="I48" i="33"/>
  <c r="H6" i="33"/>
  <c r="H18" i="33"/>
  <c r="G6" i="33"/>
  <c r="G18" i="33"/>
  <c r="H48" i="33"/>
  <c r="G48" i="33"/>
  <c r="G52" i="33"/>
  <c r="H52" i="33"/>
  <c r="H50" i="33"/>
  <c r="E6" i="33"/>
  <c r="E18" i="33"/>
  <c r="E15" i="33"/>
  <c r="I55" i="26"/>
  <c r="G53" i="26"/>
  <c r="I53" i="26"/>
  <c r="H51" i="26"/>
  <c r="D5" i="26"/>
  <c r="D18" i="26"/>
  <c r="E5" i="26"/>
  <c r="E18" i="26"/>
  <c r="E16" i="26"/>
  <c r="P69" i="2"/>
  <c r="G5" i="26"/>
  <c r="G18" i="26"/>
  <c r="G16" i="26"/>
  <c r="F5" i="26"/>
  <c r="F18" i="26"/>
  <c r="F16" i="26"/>
  <c r="I16" i="26"/>
  <c r="I5" i="26"/>
  <c r="I18" i="26"/>
  <c r="I51" i="26"/>
  <c r="H16" i="26"/>
  <c r="H5" i="26"/>
  <c r="H18" i="26"/>
  <c r="G51" i="26"/>
  <c r="D32" i="18"/>
  <c r="I28" i="18"/>
  <c r="H32" i="18"/>
  <c r="D28" i="18"/>
  <c r="D30" i="18"/>
  <c r="I30" i="18"/>
  <c r="I32" i="18"/>
  <c r="E32" i="18"/>
  <c r="E30" i="18"/>
  <c r="H30" i="18"/>
  <c r="E28" i="18"/>
  <c r="H28" i="18"/>
  <c r="F28" i="18"/>
  <c r="F32" i="18"/>
  <c r="F30" i="18"/>
  <c r="P88" i="2"/>
  <c r="M88" i="2"/>
  <c r="E363" i="2"/>
  <c r="O363" i="2" s="1"/>
  <c r="G22" i="38" l="1"/>
  <c r="E31" i="2"/>
  <c r="O31" i="2" s="1"/>
  <c r="F33" i="38"/>
  <c r="D221" i="3" s="1"/>
  <c r="D51" i="38"/>
  <c r="B322" i="3" s="1"/>
  <c r="K322" i="3" s="1"/>
  <c r="I55" i="38"/>
  <c r="G323" i="3" s="1"/>
  <c r="D71" i="38"/>
  <c r="B228" i="3" s="1"/>
  <c r="K228" i="3" s="1"/>
  <c r="G71" i="38"/>
  <c r="E228" i="3" s="1"/>
  <c r="D47" i="38"/>
  <c r="B422" i="3" s="1"/>
  <c r="K422" i="3" s="1"/>
  <c r="F47" i="38"/>
  <c r="D422" i="3" s="1"/>
  <c r="B31" i="2"/>
  <c r="L31" i="2" s="1"/>
  <c r="G63" i="38"/>
  <c r="E275" i="3" s="1"/>
  <c r="D24" i="38"/>
  <c r="D23" i="38"/>
  <c r="B32" i="2"/>
  <c r="L32" i="2" s="1"/>
  <c r="H80" i="38"/>
  <c r="F397" i="3" s="1"/>
  <c r="E51" i="38"/>
  <c r="C322" i="3" s="1"/>
  <c r="G80" i="38"/>
  <c r="E397" i="3" s="1"/>
  <c r="G67" i="38"/>
  <c r="E55" i="3" s="1"/>
  <c r="J71" i="38"/>
  <c r="H228" i="3" s="1"/>
  <c r="F67" i="38"/>
  <c r="D55" i="3" s="1"/>
  <c r="I71" i="38"/>
  <c r="G228" i="3" s="1"/>
  <c r="E80" i="38"/>
  <c r="C397" i="3" s="1"/>
  <c r="F51" i="38"/>
  <c r="D322" i="3" s="1"/>
  <c r="J80" i="38"/>
  <c r="H397" i="3" s="1"/>
  <c r="J33" i="38"/>
  <c r="H221" i="3" s="1"/>
  <c r="D15" i="97"/>
  <c r="D11" i="97"/>
  <c r="F168" i="3"/>
  <c r="H15" i="97"/>
  <c r="J15" i="97"/>
  <c r="B168" i="3"/>
  <c r="K168" i="3" s="1"/>
  <c r="F15" i="97"/>
  <c r="E448" i="2"/>
  <c r="O448" i="2" s="1"/>
  <c r="J13" i="97"/>
  <c r="F13" i="97"/>
  <c r="E5" i="61"/>
  <c r="E17" i="61"/>
  <c r="F21" i="61"/>
  <c r="F17" i="61"/>
  <c r="F19" i="61"/>
  <c r="D177" i="3"/>
  <c r="E177" i="3"/>
  <c r="G19" i="61"/>
  <c r="G17" i="61"/>
  <c r="G21" i="61"/>
  <c r="G381" i="2"/>
  <c r="I5" i="61"/>
  <c r="I19" i="61"/>
  <c r="I21" i="61"/>
  <c r="G177" i="3"/>
  <c r="I17" i="61"/>
  <c r="J5" i="61"/>
  <c r="H381" i="2"/>
  <c r="R381" i="2" s="1"/>
  <c r="C351" i="3"/>
  <c r="E21" i="61"/>
  <c r="E19" i="61"/>
  <c r="D381" i="2"/>
  <c r="N381" i="2" s="1"/>
  <c r="F5" i="61"/>
  <c r="H19" i="61"/>
  <c r="H17" i="61"/>
  <c r="F177" i="3"/>
  <c r="H21" i="61"/>
  <c r="J19" i="61"/>
  <c r="H351" i="3"/>
  <c r="J17" i="61"/>
  <c r="J21" i="61"/>
  <c r="B381" i="2"/>
  <c r="L381" i="2" s="1"/>
  <c r="D5" i="61"/>
  <c r="D19" i="61"/>
  <c r="D17" i="61"/>
  <c r="B177" i="3"/>
  <c r="K177" i="3" s="1"/>
  <c r="D21" i="61"/>
  <c r="E381" i="2"/>
  <c r="G5" i="61"/>
  <c r="H5" i="61"/>
  <c r="F381" i="2"/>
  <c r="D382" i="2"/>
  <c r="N382" i="2" s="1"/>
  <c r="C320" i="2"/>
  <c r="M320" i="2" s="1"/>
  <c r="E3" i="94"/>
  <c r="E13" i="94" s="1"/>
  <c r="E320" i="2"/>
  <c r="O320" i="2" s="1"/>
  <c r="G3" i="94"/>
  <c r="G13" i="94" s="1"/>
  <c r="F98" i="3"/>
  <c r="H45" i="94"/>
  <c r="H41" i="94"/>
  <c r="H43" i="94"/>
  <c r="D45" i="94"/>
  <c r="D41" i="94"/>
  <c r="B98" i="3"/>
  <c r="K98" i="3" s="1"/>
  <c r="D43" i="94"/>
  <c r="F19" i="94"/>
  <c r="G43" i="94"/>
  <c r="E98" i="3"/>
  <c r="Q320" i="2"/>
  <c r="H318" i="2"/>
  <c r="R318" i="2" s="1"/>
  <c r="J3" i="94"/>
  <c r="J13" i="94" s="1"/>
  <c r="H98" i="3"/>
  <c r="J45" i="94"/>
  <c r="J43" i="94"/>
  <c r="J41" i="94"/>
  <c r="E19" i="94"/>
  <c r="G29" i="94"/>
  <c r="E195" i="3" s="1"/>
  <c r="I3" i="94"/>
  <c r="I13" i="94" s="1"/>
  <c r="G322" i="2"/>
  <c r="Q322" i="2" s="1"/>
  <c r="D3" i="94"/>
  <c r="D13" i="94" s="1"/>
  <c r="B324" i="2"/>
  <c r="L324" i="2" s="1"/>
  <c r="F3" i="94"/>
  <c r="F13" i="94" s="1"/>
  <c r="D322" i="2"/>
  <c r="N322" i="2" s="1"/>
  <c r="F318" i="2"/>
  <c r="H3" i="94"/>
  <c r="H13" i="94" s="1"/>
  <c r="I19" i="94"/>
  <c r="F47" i="93"/>
  <c r="D398" i="3" s="1"/>
  <c r="E47" i="93"/>
  <c r="C398" i="3" s="1"/>
  <c r="I47" i="93"/>
  <c r="G398" i="3" s="1"/>
  <c r="G71" i="93"/>
  <c r="E505" i="3" s="1"/>
  <c r="D71" i="93"/>
  <c r="B505" i="3" s="1"/>
  <c r="K505" i="3" s="1"/>
  <c r="J71" i="93"/>
  <c r="H505" i="3" s="1"/>
  <c r="G17" i="32"/>
  <c r="E454" i="3" s="1"/>
  <c r="F17" i="32"/>
  <c r="D454" i="3" s="1"/>
  <c r="E29" i="32"/>
  <c r="C313" i="3" s="1"/>
  <c r="H17" i="32"/>
  <c r="F454" i="3" s="1"/>
  <c r="D21" i="32"/>
  <c r="D29" i="32"/>
  <c r="B313" i="3" s="1"/>
  <c r="K313" i="3" s="1"/>
  <c r="H29" i="32"/>
  <c r="F313" i="3" s="1"/>
  <c r="I17" i="32"/>
  <c r="G454" i="3" s="1"/>
  <c r="D17" i="32"/>
  <c r="B454" i="3" s="1"/>
  <c r="K454" i="3" s="1"/>
  <c r="F21" i="32"/>
  <c r="J29" i="32"/>
  <c r="H313" i="3" s="1"/>
  <c r="J25" i="32"/>
  <c r="H386" i="3" s="1"/>
  <c r="E17" i="32"/>
  <c r="C454" i="3" s="1"/>
  <c r="E25" i="32"/>
  <c r="C386" i="3" s="1"/>
  <c r="F25" i="32"/>
  <c r="D386" i="3" s="1"/>
  <c r="D25" i="32"/>
  <c r="B386" i="3" s="1"/>
  <c r="K386" i="3" s="1"/>
  <c r="G25" i="32"/>
  <c r="E386" i="3" s="1"/>
  <c r="G21" i="32"/>
  <c r="G39" i="32" s="1"/>
  <c r="H21" i="32"/>
  <c r="F369" i="3" s="1"/>
  <c r="I25" i="32"/>
  <c r="G386" i="3" s="1"/>
  <c r="I21" i="32"/>
  <c r="E21" i="32"/>
  <c r="C369" i="3" s="1"/>
  <c r="F29" i="32"/>
  <c r="D313" i="3" s="1"/>
  <c r="E3" i="32"/>
  <c r="C406" i="2"/>
  <c r="M406" i="2" s="1"/>
  <c r="D369" i="3"/>
  <c r="E369" i="3"/>
  <c r="H25" i="32"/>
  <c r="F386" i="3" s="1"/>
  <c r="B369" i="3"/>
  <c r="K369" i="3" s="1"/>
  <c r="D35" i="32"/>
  <c r="G406" i="2"/>
  <c r="G411" i="2" s="1"/>
  <c r="Q411" i="2" s="1"/>
  <c r="I3" i="32"/>
  <c r="G369" i="3"/>
  <c r="B407" i="2"/>
  <c r="L407" i="2" s="1"/>
  <c r="D3" i="32"/>
  <c r="F3" i="32"/>
  <c r="D407" i="2"/>
  <c r="N407" i="2" s="1"/>
  <c r="E407" i="2"/>
  <c r="O407" i="2" s="1"/>
  <c r="G3" i="32"/>
  <c r="F406" i="2"/>
  <c r="F411" i="2" s="1"/>
  <c r="P411" i="2" s="1"/>
  <c r="H3" i="32"/>
  <c r="J21" i="32"/>
  <c r="H369" i="3" s="1"/>
  <c r="J26" i="89"/>
  <c r="H468" i="3" s="1"/>
  <c r="I20" i="89"/>
  <c r="D26" i="89"/>
  <c r="B468" i="3" s="1"/>
  <c r="K468" i="3" s="1"/>
  <c r="I26" i="89"/>
  <c r="G468" i="3" s="1"/>
  <c r="E26" i="89"/>
  <c r="C468" i="3" s="1"/>
  <c r="F26" i="89"/>
  <c r="D468" i="3" s="1"/>
  <c r="D20" i="89"/>
  <c r="G26" i="89"/>
  <c r="G44" i="89" s="1"/>
  <c r="C411" i="3"/>
  <c r="E48" i="89"/>
  <c r="E44" i="89"/>
  <c r="D3" i="89"/>
  <c r="D12" i="89" s="1"/>
  <c r="B175" i="2"/>
  <c r="L175" i="2" s="1"/>
  <c r="F3" i="89"/>
  <c r="F12" i="89" s="1"/>
  <c r="G46" i="89"/>
  <c r="H26" i="89"/>
  <c r="F468" i="3" s="1"/>
  <c r="J3" i="89"/>
  <c r="J11" i="89" s="1"/>
  <c r="H174" i="2"/>
  <c r="R174" i="2" s="1"/>
  <c r="H3" i="89"/>
  <c r="H12" i="89" s="1"/>
  <c r="F20" i="89"/>
  <c r="G3" i="89"/>
  <c r="G12" i="89" s="1"/>
  <c r="N380" i="2"/>
  <c r="I50" i="87"/>
  <c r="G87" i="3" s="1"/>
  <c r="D42" i="87"/>
  <c r="B291" i="3" s="1"/>
  <c r="K291" i="3" s="1"/>
  <c r="F42" i="87"/>
  <c r="D291" i="3" s="1"/>
  <c r="H21" i="87"/>
  <c r="F70" i="3" s="1"/>
  <c r="D32" i="87"/>
  <c r="B248" i="3" s="1"/>
  <c r="K248" i="3" s="1"/>
  <c r="I42" i="87"/>
  <c r="G291" i="3" s="1"/>
  <c r="H42" i="87"/>
  <c r="F291" i="3" s="1"/>
  <c r="E42" i="87"/>
  <c r="C291" i="3" s="1"/>
  <c r="G50" i="87"/>
  <c r="E87" i="3" s="1"/>
  <c r="J26" i="87"/>
  <c r="H93" i="3" s="1"/>
  <c r="E21" i="87"/>
  <c r="C70" i="3" s="1"/>
  <c r="J32" i="84"/>
  <c r="H111" i="3" s="1"/>
  <c r="I22" i="84"/>
  <c r="G134" i="3" s="1"/>
  <c r="J28" i="84"/>
  <c r="H175" i="3" s="1"/>
  <c r="H22" i="84"/>
  <c r="F134" i="3" s="1"/>
  <c r="I28" i="84"/>
  <c r="G175" i="3" s="1"/>
  <c r="J38" i="84"/>
  <c r="H154" i="3" s="1"/>
  <c r="E17" i="84"/>
  <c r="F22" i="84"/>
  <c r="D134" i="3" s="1"/>
  <c r="H32" i="84"/>
  <c r="F111" i="3" s="1"/>
  <c r="F38" i="84"/>
  <c r="D154" i="3" s="1"/>
  <c r="H38" i="84"/>
  <c r="F154" i="3" s="1"/>
  <c r="H17" i="84"/>
  <c r="I17" i="84"/>
  <c r="I32" i="84"/>
  <c r="G111" i="3" s="1"/>
  <c r="H28" i="84"/>
  <c r="F175" i="3" s="1"/>
  <c r="D22" i="84"/>
  <c r="B134" i="3" s="1"/>
  <c r="K134" i="3" s="1"/>
  <c r="F32" i="84"/>
  <c r="D111" i="3" s="1"/>
  <c r="G22" i="84"/>
  <c r="E134" i="3" s="1"/>
  <c r="C12" i="3"/>
  <c r="G40" i="84"/>
  <c r="E12" i="3"/>
  <c r="G42" i="84"/>
  <c r="G44" i="84"/>
  <c r="C58" i="2"/>
  <c r="M58" i="2" s="1"/>
  <c r="E3" i="84"/>
  <c r="E13" i="84" s="1"/>
  <c r="F12" i="3"/>
  <c r="H44" i="84"/>
  <c r="I3" i="84"/>
  <c r="I13" i="84" s="1"/>
  <c r="G57" i="2"/>
  <c r="Q57" i="2" s="1"/>
  <c r="I38" i="84"/>
  <c r="G154" i="3" s="1"/>
  <c r="B12" i="3"/>
  <c r="K12" i="3" s="1"/>
  <c r="D38" i="84"/>
  <c r="B154" i="3" s="1"/>
  <c r="K154" i="3" s="1"/>
  <c r="D56" i="2"/>
  <c r="N56" i="2" s="1"/>
  <c r="F3" i="84"/>
  <c r="F13" i="84" s="1"/>
  <c r="H3" i="84"/>
  <c r="H13" i="84" s="1"/>
  <c r="F59" i="2"/>
  <c r="P59" i="2" s="1"/>
  <c r="G12" i="3"/>
  <c r="I44" i="84"/>
  <c r="I40" i="84"/>
  <c r="I42" i="84"/>
  <c r="J3" i="84"/>
  <c r="J13" i="84" s="1"/>
  <c r="H56" i="2"/>
  <c r="H63" i="2" s="1"/>
  <c r="R63" i="2" s="1"/>
  <c r="B57" i="2"/>
  <c r="L57" i="2" s="1"/>
  <c r="D3" i="84"/>
  <c r="D13" i="84" s="1"/>
  <c r="F44" i="84"/>
  <c r="F42" i="84"/>
  <c r="F40" i="84"/>
  <c r="D12" i="3"/>
  <c r="J42" i="84"/>
  <c r="J44" i="84"/>
  <c r="H12" i="3"/>
  <c r="J40" i="84"/>
  <c r="E22" i="84"/>
  <c r="C134" i="3" s="1"/>
  <c r="E57" i="2"/>
  <c r="O57" i="2" s="1"/>
  <c r="G3" i="84"/>
  <c r="G13" i="84" s="1"/>
  <c r="F63" i="2"/>
  <c r="P63" i="2" s="1"/>
  <c r="H55" i="82"/>
  <c r="F289" i="3" s="1"/>
  <c r="D55" i="82"/>
  <c r="B289" i="3" s="1"/>
  <c r="K289" i="3" s="1"/>
  <c r="H34" i="82"/>
  <c r="F343" i="3" s="1"/>
  <c r="E44" i="82"/>
  <c r="C332" i="3" s="1"/>
  <c r="D44" i="82"/>
  <c r="B332" i="3" s="1"/>
  <c r="K332" i="3" s="1"/>
  <c r="J55" i="82"/>
  <c r="H289" i="3" s="1"/>
  <c r="H26" i="82"/>
  <c r="F233" i="3" s="1"/>
  <c r="F44" i="82"/>
  <c r="D332" i="3" s="1"/>
  <c r="D34" i="82"/>
  <c r="B343" i="3" s="1"/>
  <c r="K343" i="3" s="1"/>
  <c r="J38" i="82"/>
  <c r="H499" i="3" s="1"/>
  <c r="G51" i="82"/>
  <c r="E404" i="3" s="1"/>
  <c r="I38" i="82"/>
  <c r="G499" i="3" s="1"/>
  <c r="F34" i="82"/>
  <c r="D343" i="3" s="1"/>
  <c r="D51" i="82"/>
  <c r="B404" i="3" s="1"/>
  <c r="K404" i="3" s="1"/>
  <c r="F51" i="82"/>
  <c r="D404" i="3" s="1"/>
  <c r="I51" i="82"/>
  <c r="G404" i="3" s="1"/>
  <c r="J44" i="82"/>
  <c r="H332" i="3" s="1"/>
  <c r="E34" i="82"/>
  <c r="C343" i="3" s="1"/>
  <c r="E55" i="82"/>
  <c r="C289" i="3" s="1"/>
  <c r="F38" i="82"/>
  <c r="D499" i="3" s="1"/>
  <c r="G38" i="82"/>
  <c r="E499" i="3" s="1"/>
  <c r="E51" i="82"/>
  <c r="C404" i="3" s="1"/>
  <c r="F55" i="82"/>
  <c r="D289" i="3" s="1"/>
  <c r="G55" i="82"/>
  <c r="E289" i="3" s="1"/>
  <c r="H51" i="82"/>
  <c r="F404" i="3" s="1"/>
  <c r="H38" i="82"/>
  <c r="F499" i="3" s="1"/>
  <c r="I55" i="82"/>
  <c r="G289" i="3" s="1"/>
  <c r="C394" i="2"/>
  <c r="M394" i="2" s="1"/>
  <c r="E3" i="82"/>
  <c r="E16" i="82" s="1"/>
  <c r="H3" i="82"/>
  <c r="H16" i="82" s="1"/>
  <c r="F395" i="2"/>
  <c r="P395" i="2" s="1"/>
  <c r="E394" i="2"/>
  <c r="O394" i="2" s="1"/>
  <c r="G3" i="82"/>
  <c r="G16" i="82" s="1"/>
  <c r="I3" i="82"/>
  <c r="I16" i="82" s="1"/>
  <c r="G395" i="2"/>
  <c r="Q395" i="2" s="1"/>
  <c r="I44" i="82"/>
  <c r="G332" i="3" s="1"/>
  <c r="H398" i="2"/>
  <c r="R398" i="2" s="1"/>
  <c r="J3" i="82"/>
  <c r="J16" i="82" s="1"/>
  <c r="D3" i="82"/>
  <c r="B395" i="2"/>
  <c r="L395" i="2" s="1"/>
  <c r="C217" i="3"/>
  <c r="D394" i="2"/>
  <c r="N394" i="2" s="1"/>
  <c r="F3" i="82"/>
  <c r="F16" i="82" s="1"/>
  <c r="G44" i="82"/>
  <c r="E332" i="3" s="1"/>
  <c r="J51" i="82"/>
  <c r="H404" i="3" s="1"/>
  <c r="E17" i="82"/>
  <c r="C403" i="2"/>
  <c r="M403" i="2" s="1"/>
  <c r="H421" i="3"/>
  <c r="G421" i="3"/>
  <c r="F421" i="3"/>
  <c r="E421" i="3"/>
  <c r="D403" i="2"/>
  <c r="N403" i="2" s="1"/>
  <c r="F17" i="82"/>
  <c r="D421" i="3"/>
  <c r="J17" i="82"/>
  <c r="H403" i="2"/>
  <c r="R403" i="2" s="1"/>
  <c r="G17" i="82"/>
  <c r="E403" i="2"/>
  <c r="O403" i="2" s="1"/>
  <c r="F403" i="2"/>
  <c r="P403" i="2" s="1"/>
  <c r="H17" i="82"/>
  <c r="I17" i="82"/>
  <c r="J42" i="81"/>
  <c r="H210" i="3" s="1"/>
  <c r="I42" i="81"/>
  <c r="G210" i="3" s="1"/>
  <c r="G42" i="81"/>
  <c r="E210" i="3" s="1"/>
  <c r="D42" i="81"/>
  <c r="B210" i="3" s="1"/>
  <c r="K210" i="3" s="1"/>
  <c r="F42" i="81"/>
  <c r="D210" i="3" s="1"/>
  <c r="H42" i="81"/>
  <c r="F210" i="3" s="1"/>
  <c r="E42" i="81"/>
  <c r="C210" i="3" s="1"/>
  <c r="H24" i="81"/>
  <c r="F301" i="3" s="1"/>
  <c r="H35" i="3"/>
  <c r="J31" i="70"/>
  <c r="E3" i="70"/>
  <c r="E11" i="70" s="1"/>
  <c r="C373" i="2"/>
  <c r="M373" i="2" s="1"/>
  <c r="F3" i="70"/>
  <c r="F11" i="70" s="1"/>
  <c r="D373" i="2"/>
  <c r="N373" i="2" s="1"/>
  <c r="E373" i="2"/>
  <c r="O373" i="2" s="1"/>
  <c r="G3" i="70"/>
  <c r="G11" i="70" s="1"/>
  <c r="G25" i="70"/>
  <c r="E57" i="3" s="1"/>
  <c r="G33" i="70"/>
  <c r="G29" i="70"/>
  <c r="G31" i="70"/>
  <c r="E35" i="3"/>
  <c r="F35" i="3"/>
  <c r="H29" i="70"/>
  <c r="H31" i="70"/>
  <c r="H33" i="70"/>
  <c r="D31" i="70"/>
  <c r="D33" i="70"/>
  <c r="B35" i="3"/>
  <c r="K35" i="3" s="1"/>
  <c r="D29" i="70"/>
  <c r="C25" i="3"/>
  <c r="E33" i="70"/>
  <c r="F31" i="70"/>
  <c r="F29" i="70"/>
  <c r="F33" i="70"/>
  <c r="D35" i="3"/>
  <c r="I3" i="70"/>
  <c r="I11" i="70" s="1"/>
  <c r="G373" i="2"/>
  <c r="E31" i="70"/>
  <c r="H3" i="70"/>
  <c r="H11" i="70" s="1"/>
  <c r="I15" i="70"/>
  <c r="C35" i="3"/>
  <c r="E29" i="70"/>
  <c r="D3" i="70"/>
  <c r="D11" i="70" s="1"/>
  <c r="E378" i="2"/>
  <c r="O378" i="2" s="1"/>
  <c r="G23" i="60"/>
  <c r="G25" i="60"/>
  <c r="G27" i="60"/>
  <c r="E402" i="3"/>
  <c r="I27" i="60"/>
  <c r="I25" i="60"/>
  <c r="I23" i="60"/>
  <c r="G402" i="3"/>
  <c r="F390" i="2"/>
  <c r="P390" i="2" s="1"/>
  <c r="H7" i="60"/>
  <c r="G7" i="60"/>
  <c r="E390" i="2"/>
  <c r="O390" i="2" s="1"/>
  <c r="G5" i="60"/>
  <c r="G9" i="60" s="1"/>
  <c r="G390" i="2"/>
  <c r="Q390" i="2" s="1"/>
  <c r="I7" i="60"/>
  <c r="I5" i="60"/>
  <c r="I9" i="60" s="1"/>
  <c r="F7" i="60"/>
  <c r="F5" i="60"/>
  <c r="F9" i="60" s="1"/>
  <c r="D390" i="2"/>
  <c r="N390" i="2" s="1"/>
  <c r="J21" i="60"/>
  <c r="H402" i="3" s="1"/>
  <c r="H11" i="92"/>
  <c r="H15" i="92"/>
  <c r="F114" i="3"/>
  <c r="G5" i="65"/>
  <c r="E21" i="65"/>
  <c r="H172" i="2"/>
  <c r="R172" i="2" s="1"/>
  <c r="D21" i="65"/>
  <c r="D19" i="65"/>
  <c r="D13" i="65"/>
  <c r="B522" i="3" s="1"/>
  <c r="K522" i="3" s="1"/>
  <c r="F13" i="65"/>
  <c r="D522" i="3" s="1"/>
  <c r="I13" i="65"/>
  <c r="G522" i="3" s="1"/>
  <c r="D109" i="2"/>
  <c r="N109" i="2" s="1"/>
  <c r="B109" i="2"/>
  <c r="L109" i="2" s="1"/>
  <c r="C165" i="3"/>
  <c r="E47" i="29"/>
  <c r="E45" i="29"/>
  <c r="H3" i="29"/>
  <c r="H13" i="29" s="1"/>
  <c r="F48" i="2"/>
  <c r="P48" i="2" s="1"/>
  <c r="E48" i="2"/>
  <c r="O48" i="2" s="1"/>
  <c r="G3" i="29"/>
  <c r="G13" i="29" s="1"/>
  <c r="H41" i="29"/>
  <c r="F136" i="3" s="1"/>
  <c r="E31" i="29"/>
  <c r="C449" i="3" s="1"/>
  <c r="D50" i="2"/>
  <c r="N50" i="2" s="1"/>
  <c r="F3" i="29"/>
  <c r="F13" i="29" s="1"/>
  <c r="D165" i="3"/>
  <c r="F45" i="29"/>
  <c r="F47" i="29"/>
  <c r="F43" i="29"/>
  <c r="H35" i="29"/>
  <c r="F309" i="3" s="1"/>
  <c r="H17" i="29"/>
  <c r="I43" i="29"/>
  <c r="I45" i="29"/>
  <c r="G165" i="3"/>
  <c r="I47" i="29"/>
  <c r="D45" i="29"/>
  <c r="D47" i="29"/>
  <c r="D43" i="29"/>
  <c r="B165" i="3"/>
  <c r="K165" i="3" s="1"/>
  <c r="G45" i="29"/>
  <c r="E165" i="3"/>
  <c r="G43" i="29"/>
  <c r="G47" i="29"/>
  <c r="C48" i="2"/>
  <c r="M48" i="2" s="1"/>
  <c r="I3" i="29"/>
  <c r="I13" i="29" s="1"/>
  <c r="B170" i="2"/>
  <c r="L170" i="2" s="1"/>
  <c r="F170" i="2"/>
  <c r="P170" i="2" s="1"/>
  <c r="H17" i="64"/>
  <c r="J17" i="64"/>
  <c r="F33" i="64"/>
  <c r="D8" i="3" s="1"/>
  <c r="I21" i="64"/>
  <c r="G180" i="3" s="1"/>
  <c r="D21" i="64"/>
  <c r="B180" i="3" s="1"/>
  <c r="K180" i="3" s="1"/>
  <c r="E27" i="64"/>
  <c r="G17" i="64"/>
  <c r="G43" i="64" s="1"/>
  <c r="H37" i="64"/>
  <c r="F149" i="3" s="1"/>
  <c r="H21" i="64"/>
  <c r="F180" i="3" s="1"/>
  <c r="G27" i="64"/>
  <c r="E392" i="3" s="1"/>
  <c r="I17" i="64"/>
  <c r="G21" i="64"/>
  <c r="E180" i="3" s="1"/>
  <c r="H27" i="64"/>
  <c r="F392" i="3" s="1"/>
  <c r="H33" i="64"/>
  <c r="F8" i="3" s="1"/>
  <c r="E3" i="64"/>
  <c r="E13" i="64" s="1"/>
  <c r="C93" i="2"/>
  <c r="M93" i="2" s="1"/>
  <c r="D391" i="3"/>
  <c r="F41" i="64"/>
  <c r="H3" i="64"/>
  <c r="H13" i="64" s="1"/>
  <c r="F95" i="2"/>
  <c r="P95" i="2" s="1"/>
  <c r="H41" i="64"/>
  <c r="F391" i="3"/>
  <c r="B391" i="3"/>
  <c r="K391" i="3" s="1"/>
  <c r="D41" i="64"/>
  <c r="D43" i="64"/>
  <c r="D39" i="64"/>
  <c r="B97" i="2"/>
  <c r="L97" i="2" s="1"/>
  <c r="D3" i="64"/>
  <c r="D13" i="64" s="1"/>
  <c r="C392" i="3"/>
  <c r="E43" i="64"/>
  <c r="E41" i="64"/>
  <c r="E39" i="64"/>
  <c r="D93" i="2"/>
  <c r="N93" i="2" s="1"/>
  <c r="F3" i="64"/>
  <c r="F13" i="64" s="1"/>
  <c r="H391" i="3"/>
  <c r="G3" i="64"/>
  <c r="G13" i="64" s="1"/>
  <c r="E93" i="2"/>
  <c r="O93" i="2" s="1"/>
  <c r="E391" i="3"/>
  <c r="I3" i="64"/>
  <c r="I13" i="64" s="1"/>
  <c r="G93" i="2"/>
  <c r="Q93" i="2" s="1"/>
  <c r="J21" i="64"/>
  <c r="H180" i="3" s="1"/>
  <c r="J3" i="64"/>
  <c r="J13" i="64" s="1"/>
  <c r="E49" i="31"/>
  <c r="C387" i="3" s="1"/>
  <c r="D59" i="31"/>
  <c r="B147" i="3" s="1"/>
  <c r="K147" i="3" s="1"/>
  <c r="J41" i="31"/>
  <c r="H458" i="3" s="1"/>
  <c r="I68" i="31"/>
  <c r="G183" i="3" s="1"/>
  <c r="E59" i="31"/>
  <c r="C147" i="3" s="1"/>
  <c r="E68" i="31"/>
  <c r="C183" i="3" s="1"/>
  <c r="F74" i="31"/>
  <c r="D268" i="3" s="1"/>
  <c r="G49" i="31"/>
  <c r="E387" i="3" s="1"/>
  <c r="B225" i="2"/>
  <c r="L225" i="2" s="1"/>
  <c r="D24" i="31"/>
  <c r="H41" i="31"/>
  <c r="F458" i="3" s="1"/>
  <c r="G45" i="31"/>
  <c r="E414" i="3" s="1"/>
  <c r="I24" i="31"/>
  <c r="G225" i="2"/>
  <c r="Q225" i="2" s="1"/>
  <c r="F24" i="31"/>
  <c r="E31" i="31"/>
  <c r="C496" i="3" s="1"/>
  <c r="D68" i="31"/>
  <c r="B183" i="3" s="1"/>
  <c r="K183" i="3" s="1"/>
  <c r="F59" i="31"/>
  <c r="D147" i="3" s="1"/>
  <c r="H45" i="31"/>
  <c r="F414" i="3" s="1"/>
  <c r="H68" i="31"/>
  <c r="F183" i="3" s="1"/>
  <c r="J45" i="31"/>
  <c r="H414" i="3" s="1"/>
  <c r="E45" i="31"/>
  <c r="C414" i="3" s="1"/>
  <c r="H49" i="31"/>
  <c r="F387" i="3" s="1"/>
  <c r="I45" i="31"/>
  <c r="G414" i="3" s="1"/>
  <c r="I63" i="31"/>
  <c r="G293" i="3" s="1"/>
  <c r="D31" i="31"/>
  <c r="B496" i="3" s="1"/>
  <c r="K496" i="3" s="1"/>
  <c r="G74" i="31"/>
  <c r="E268" i="3" s="1"/>
  <c r="G24" i="31"/>
  <c r="E225" i="2"/>
  <c r="O225" i="2" s="1"/>
  <c r="G533" i="3"/>
  <c r="D224" i="2"/>
  <c r="N224" i="2" s="1"/>
  <c r="F23" i="31"/>
  <c r="C224" i="2"/>
  <c r="M224" i="2" s="1"/>
  <c r="E23" i="31"/>
  <c r="I74" i="31"/>
  <c r="G268" i="3" s="1"/>
  <c r="J74" i="31"/>
  <c r="H268" i="3" s="1"/>
  <c r="J68" i="31"/>
  <c r="H183" i="3" s="1"/>
  <c r="E74" i="31"/>
  <c r="C268" i="3" s="1"/>
  <c r="E63" i="31"/>
  <c r="C293" i="3" s="1"/>
  <c r="E41" i="31"/>
  <c r="C458" i="3" s="1"/>
  <c r="D49" i="31"/>
  <c r="B387" i="3" s="1"/>
  <c r="K387" i="3" s="1"/>
  <c r="F41" i="31"/>
  <c r="D458" i="3" s="1"/>
  <c r="J59" i="31"/>
  <c r="H147" i="3" s="1"/>
  <c r="B362" i="3"/>
  <c r="K362" i="3" s="1"/>
  <c r="D3" i="31"/>
  <c r="B211" i="2"/>
  <c r="L211" i="2" s="1"/>
  <c r="E24" i="31"/>
  <c r="C225" i="2"/>
  <c r="M225" i="2" s="1"/>
  <c r="C211" i="2"/>
  <c r="M211" i="2" s="1"/>
  <c r="E3" i="31"/>
  <c r="D41" i="31"/>
  <c r="B458" i="3" s="1"/>
  <c r="K458" i="3" s="1"/>
  <c r="D362" i="3"/>
  <c r="B224" i="2"/>
  <c r="L224" i="2" s="1"/>
  <c r="D23" i="31"/>
  <c r="E78" i="31"/>
  <c r="C362" i="3"/>
  <c r="G80" i="31"/>
  <c r="I80" i="31"/>
  <c r="G3" i="31"/>
  <c r="H224" i="2"/>
  <c r="R224" i="2" s="1"/>
  <c r="J23" i="31"/>
  <c r="H362" i="3"/>
  <c r="J24" i="31"/>
  <c r="H225" i="2"/>
  <c r="R225" i="2" s="1"/>
  <c r="H3" i="31"/>
  <c r="F3" i="31"/>
  <c r="I3" i="31"/>
  <c r="J3" i="31"/>
  <c r="J31" i="31"/>
  <c r="J49" i="31"/>
  <c r="H387" i="3" s="1"/>
  <c r="E294" i="2"/>
  <c r="O294" i="2" s="1"/>
  <c r="B438" i="2"/>
  <c r="L438" i="2" s="1"/>
  <c r="C438" i="2"/>
  <c r="M438" i="2" s="1"/>
  <c r="D438" i="2"/>
  <c r="N438" i="2" s="1"/>
  <c r="F3" i="25"/>
  <c r="F12" i="25" s="1"/>
  <c r="D191" i="2"/>
  <c r="N191" i="2" s="1"/>
  <c r="F35" i="25"/>
  <c r="D514" i="3"/>
  <c r="G22" i="25"/>
  <c r="E514" i="3" s="1"/>
  <c r="H22" i="25"/>
  <c r="F514" i="3" s="1"/>
  <c r="H191" i="2"/>
  <c r="R191" i="2" s="1"/>
  <c r="J3" i="25"/>
  <c r="J12" i="25" s="1"/>
  <c r="D27" i="25"/>
  <c r="G27" i="25"/>
  <c r="E27" i="25"/>
  <c r="C451" i="3" s="1"/>
  <c r="F33" i="25"/>
  <c r="H27" i="25"/>
  <c r="J27" i="25"/>
  <c r="H3" i="25"/>
  <c r="H12" i="25" s="1"/>
  <c r="I27" i="25"/>
  <c r="I37" i="25" s="1"/>
  <c r="D379" i="3"/>
  <c r="E22" i="38"/>
  <c r="C31" i="2"/>
  <c r="M31" i="2" s="1"/>
  <c r="G31" i="2"/>
  <c r="Q31" i="2" s="1"/>
  <c r="I22" i="38"/>
  <c r="D80" i="38"/>
  <c r="B397" i="3" s="1"/>
  <c r="K397" i="3" s="1"/>
  <c r="F22" i="38"/>
  <c r="D31" i="2"/>
  <c r="N31" i="2" s="1"/>
  <c r="I24" i="38"/>
  <c r="G32" i="2"/>
  <c r="Q32" i="2" s="1"/>
  <c r="I23" i="38"/>
  <c r="I51" i="38"/>
  <c r="G322" i="3" s="1"/>
  <c r="F71" i="38"/>
  <c r="D228" i="3" s="1"/>
  <c r="H22" i="38"/>
  <c r="D63" i="38"/>
  <c r="B275" i="3" s="1"/>
  <c r="K275" i="3" s="1"/>
  <c r="F63" i="38"/>
  <c r="D275" i="3" s="1"/>
  <c r="G59" i="38"/>
  <c r="E122" i="3" s="1"/>
  <c r="H63" i="38"/>
  <c r="F275" i="3" s="1"/>
  <c r="H67" i="38"/>
  <c r="F55" i="3" s="1"/>
  <c r="I67" i="38"/>
  <c r="G55" i="3" s="1"/>
  <c r="I33" i="38"/>
  <c r="G221" i="3" s="1"/>
  <c r="I63" i="38"/>
  <c r="G275" i="3" s="1"/>
  <c r="J55" i="38"/>
  <c r="H323" i="3" s="1"/>
  <c r="F55" i="38"/>
  <c r="D323" i="3" s="1"/>
  <c r="J67" i="38"/>
  <c r="H55" i="3" s="1"/>
  <c r="E71" i="38"/>
  <c r="C228" i="3" s="1"/>
  <c r="D33" i="38"/>
  <c r="B221" i="3" s="1"/>
  <c r="K221" i="3" s="1"/>
  <c r="E55" i="38"/>
  <c r="C323" i="3" s="1"/>
  <c r="E63" i="38"/>
  <c r="G23" i="38"/>
  <c r="G33" i="38"/>
  <c r="E221" i="3" s="1"/>
  <c r="H59" i="38"/>
  <c r="F122" i="3" s="1"/>
  <c r="H55" i="38"/>
  <c r="F323" i="3" s="1"/>
  <c r="H71" i="38"/>
  <c r="F228" i="3" s="1"/>
  <c r="I59" i="38"/>
  <c r="I80" i="38"/>
  <c r="G397" i="3" s="1"/>
  <c r="D67" i="38"/>
  <c r="B55" i="3" s="1"/>
  <c r="K55" i="3" s="1"/>
  <c r="E47" i="38"/>
  <c r="C422" i="3" s="1"/>
  <c r="G24" i="38"/>
  <c r="G51" i="38"/>
  <c r="E322" i="3" s="1"/>
  <c r="F37" i="13"/>
  <c r="D21" i="3" s="1"/>
  <c r="H245" i="2"/>
  <c r="R245" i="2" s="1"/>
  <c r="E33" i="7"/>
  <c r="E35" i="7"/>
  <c r="C437" i="3"/>
  <c r="E31" i="7"/>
  <c r="F10" i="7"/>
  <c r="D6" i="2"/>
  <c r="N6" i="2" s="1"/>
  <c r="G6" i="7"/>
  <c r="G11" i="7" s="1"/>
  <c r="G8" i="7"/>
  <c r="E4" i="2"/>
  <c r="E5" i="2"/>
  <c r="O5" i="2" s="1"/>
  <c r="G9" i="7"/>
  <c r="F6" i="2"/>
  <c r="P6" i="2" s="1"/>
  <c r="H10" i="7"/>
  <c r="F348" i="3"/>
  <c r="H35" i="7"/>
  <c r="H31" i="7"/>
  <c r="H33" i="7"/>
  <c r="I31" i="7"/>
  <c r="I33" i="7"/>
  <c r="I35" i="7"/>
  <c r="G348" i="3"/>
  <c r="H5" i="2"/>
  <c r="J9" i="7"/>
  <c r="G35" i="7"/>
  <c r="E437" i="3"/>
  <c r="G33" i="7"/>
  <c r="G31" i="7"/>
  <c r="H6" i="7"/>
  <c r="H11" i="7" s="1"/>
  <c r="F4" i="2"/>
  <c r="P4" i="2" s="1"/>
  <c r="H8" i="7"/>
  <c r="I9" i="7"/>
  <c r="G5" i="2"/>
  <c r="I6" i="7"/>
  <c r="I11" i="7" s="1"/>
  <c r="J6" i="7"/>
  <c r="J11" i="7" s="1"/>
  <c r="H4" i="2"/>
  <c r="R4" i="2" s="1"/>
  <c r="J8" i="7"/>
  <c r="B437" i="3"/>
  <c r="K437" i="3" s="1"/>
  <c r="D33" i="7"/>
  <c r="C4" i="2"/>
  <c r="M4" i="2" s="1"/>
  <c r="E8" i="7"/>
  <c r="E6" i="7"/>
  <c r="E11" i="7" s="1"/>
  <c r="D35" i="7"/>
  <c r="J31" i="7"/>
  <c r="H437" i="3"/>
  <c r="J35" i="7"/>
  <c r="D6" i="7"/>
  <c r="D11" i="7" s="1"/>
  <c r="F31" i="7"/>
  <c r="J33" i="7"/>
  <c r="B4" i="2"/>
  <c r="D31" i="7"/>
  <c r="F33" i="7"/>
  <c r="F6" i="7"/>
  <c r="F11" i="7" s="1"/>
  <c r="D5" i="2"/>
  <c r="C6" i="2"/>
  <c r="M6" i="2" s="1"/>
  <c r="F35" i="7"/>
  <c r="C382" i="2"/>
  <c r="M382" i="2" s="1"/>
  <c r="D47" i="93"/>
  <c r="B398" i="3" s="1"/>
  <c r="K398" i="3" s="1"/>
  <c r="F71" i="93"/>
  <c r="D505" i="3" s="1"/>
  <c r="I71" i="93"/>
  <c r="G505" i="3" s="1"/>
  <c r="E71" i="93"/>
  <c r="C505" i="3" s="1"/>
  <c r="G47" i="93"/>
  <c r="E398" i="3" s="1"/>
  <c r="H71" i="93"/>
  <c r="F505" i="3" s="1"/>
  <c r="J47" i="93"/>
  <c r="H398" i="3" s="1"/>
  <c r="D3" i="93"/>
  <c r="D13" i="93" s="1"/>
  <c r="H47" i="93"/>
  <c r="F398" i="3" s="1"/>
  <c r="B187" i="3"/>
  <c r="K187" i="3" s="1"/>
  <c r="D501" i="3"/>
  <c r="F3" i="93"/>
  <c r="F13" i="93" s="1"/>
  <c r="D460" i="3"/>
  <c r="J3" i="93"/>
  <c r="J13" i="93" s="1"/>
  <c r="H413" i="2"/>
  <c r="H420" i="2" s="1"/>
  <c r="R420" i="2" s="1"/>
  <c r="H324" i="3"/>
  <c r="G324" i="3"/>
  <c r="G413" i="2"/>
  <c r="Q413" i="2" s="1"/>
  <c r="I3" i="93"/>
  <c r="I13" i="93" s="1"/>
  <c r="F324" i="3"/>
  <c r="F413" i="2"/>
  <c r="P413" i="2" s="1"/>
  <c r="H3" i="93"/>
  <c r="H13" i="93" s="1"/>
  <c r="E413" i="2"/>
  <c r="O413" i="2" s="1"/>
  <c r="G3" i="93"/>
  <c r="G13" i="93" s="1"/>
  <c r="E324" i="3"/>
  <c r="C413" i="2"/>
  <c r="M413" i="2" s="1"/>
  <c r="E3" i="93"/>
  <c r="E13" i="93" s="1"/>
  <c r="C324" i="3"/>
  <c r="D516" i="3"/>
  <c r="F17" i="21"/>
  <c r="F15" i="21"/>
  <c r="I11" i="88"/>
  <c r="J15" i="88"/>
  <c r="M380" i="2"/>
  <c r="D13" i="59"/>
  <c r="F15" i="58"/>
  <c r="F21" i="58" s="1"/>
  <c r="C30" i="3"/>
  <c r="C152" i="2"/>
  <c r="M152" i="2" s="1"/>
  <c r="E17" i="58"/>
  <c r="G15" i="58"/>
  <c r="B38" i="3"/>
  <c r="K38" i="3" s="1"/>
  <c r="B152" i="2"/>
  <c r="L152" i="2" s="1"/>
  <c r="H17" i="58"/>
  <c r="B30" i="3"/>
  <c r="K30" i="3" s="1"/>
  <c r="G17" i="58"/>
  <c r="E8" i="58"/>
  <c r="E9" i="58" s="1"/>
  <c r="E152" i="2"/>
  <c r="O152" i="2" s="1"/>
  <c r="H30" i="3"/>
  <c r="I15" i="58"/>
  <c r="I21" i="58" s="1"/>
  <c r="H15" i="58"/>
  <c r="G152" i="2"/>
  <c r="Q152" i="2" s="1"/>
  <c r="D152" i="2"/>
  <c r="N152" i="2" s="1"/>
  <c r="F152" i="2"/>
  <c r="P152" i="2" s="1"/>
  <c r="D19" i="59"/>
  <c r="D378" i="2"/>
  <c r="N378" i="2" s="1"/>
  <c r="H19" i="79"/>
  <c r="E17" i="79"/>
  <c r="B15" i="3"/>
  <c r="K15" i="3" s="1"/>
  <c r="H230" i="3"/>
  <c r="F17" i="79"/>
  <c r="I19" i="79"/>
  <c r="I17" i="79"/>
  <c r="G15" i="3"/>
  <c r="F19" i="79"/>
  <c r="F23" i="79" s="1"/>
  <c r="H15" i="3"/>
  <c r="B150" i="2"/>
  <c r="L150" i="2" s="1"/>
  <c r="E150" i="2"/>
  <c r="O150" i="2" s="1"/>
  <c r="B230" i="3"/>
  <c r="K230" i="3" s="1"/>
  <c r="F230" i="3"/>
  <c r="D118" i="2"/>
  <c r="I34" i="71"/>
  <c r="G124" i="3" s="1"/>
  <c r="D29" i="71"/>
  <c r="B145" i="3" s="1"/>
  <c r="K145" i="3" s="1"/>
  <c r="G29" i="71"/>
  <c r="E145" i="3" s="1"/>
  <c r="H25" i="71"/>
  <c r="F170" i="3" s="1"/>
  <c r="J29" i="71"/>
  <c r="H145" i="3" s="1"/>
  <c r="E29" i="71"/>
  <c r="C145" i="3" s="1"/>
  <c r="F29" i="71"/>
  <c r="D145" i="3" s="1"/>
  <c r="G25" i="71"/>
  <c r="E170" i="3" s="1"/>
  <c r="J25" i="71"/>
  <c r="H170" i="3" s="1"/>
  <c r="D25" i="71"/>
  <c r="B170" i="3" s="1"/>
  <c r="K170" i="3" s="1"/>
  <c r="F25" i="71"/>
  <c r="D170" i="3" s="1"/>
  <c r="I29" i="71"/>
  <c r="G145" i="3" s="1"/>
  <c r="H29" i="71"/>
  <c r="F145" i="3" s="1"/>
  <c r="I25" i="71"/>
  <c r="G170" i="3" s="1"/>
  <c r="D442" i="2"/>
  <c r="N442" i="2" s="1"/>
  <c r="F13" i="71"/>
  <c r="F3" i="71"/>
  <c r="J3" i="71"/>
  <c r="H442" i="2"/>
  <c r="R442" i="2" s="1"/>
  <c r="J13" i="71"/>
  <c r="J36" i="71"/>
  <c r="J40" i="71"/>
  <c r="H158" i="3"/>
  <c r="J38" i="71"/>
  <c r="I38" i="71"/>
  <c r="G158" i="3"/>
  <c r="I36" i="71"/>
  <c r="I40" i="71"/>
  <c r="I13" i="71"/>
  <c r="G442" i="2"/>
  <c r="I3" i="71"/>
  <c r="F442" i="2"/>
  <c r="P442" i="2" s="1"/>
  <c r="H3" i="71"/>
  <c r="H13" i="71"/>
  <c r="H36" i="71"/>
  <c r="H38" i="71"/>
  <c r="F158" i="3"/>
  <c r="H40" i="71"/>
  <c r="E158" i="3"/>
  <c r="G38" i="71"/>
  <c r="G40" i="71"/>
  <c r="G36" i="71"/>
  <c r="E442" i="2"/>
  <c r="O442" i="2" s="1"/>
  <c r="G13" i="71"/>
  <c r="G3" i="71"/>
  <c r="F40" i="71"/>
  <c r="F36" i="71"/>
  <c r="D158" i="3"/>
  <c r="F38" i="71"/>
  <c r="C158" i="3"/>
  <c r="E40" i="71"/>
  <c r="E38" i="71"/>
  <c r="E36" i="71"/>
  <c r="C442" i="2"/>
  <c r="M442" i="2" s="1"/>
  <c r="E13" i="71"/>
  <c r="E3" i="71"/>
  <c r="D3" i="71"/>
  <c r="B442" i="2"/>
  <c r="L442" i="2" s="1"/>
  <c r="D13" i="71"/>
  <c r="D38" i="71"/>
  <c r="D40" i="71"/>
  <c r="B158" i="3"/>
  <c r="K158" i="3" s="1"/>
  <c r="D36" i="71"/>
  <c r="C91" i="2"/>
  <c r="M91" i="2" s="1"/>
  <c r="G91" i="2"/>
  <c r="Q91" i="2" s="1"/>
  <c r="B185" i="3"/>
  <c r="K185" i="3" s="1"/>
  <c r="D21" i="58"/>
  <c r="D23" i="58"/>
  <c r="G19" i="56"/>
  <c r="E17" i="56"/>
  <c r="H19" i="56"/>
  <c r="H17" i="56"/>
  <c r="N435" i="2"/>
  <c r="F438" i="2"/>
  <c r="P438" i="2" s="1"/>
  <c r="G23" i="45"/>
  <c r="D21" i="45"/>
  <c r="I68" i="43"/>
  <c r="G308" i="3" s="1"/>
  <c r="F20" i="43"/>
  <c r="D277" i="2"/>
  <c r="N277" i="2" s="1"/>
  <c r="F60" i="43"/>
  <c r="D456" i="3" s="1"/>
  <c r="G277" i="2"/>
  <c r="Q277" i="2" s="1"/>
  <c r="I20" i="43"/>
  <c r="H277" i="2"/>
  <c r="R277" i="2" s="1"/>
  <c r="J20" i="43"/>
  <c r="F25" i="43"/>
  <c r="D276" i="3" s="1"/>
  <c r="H60" i="43"/>
  <c r="F456" i="3" s="1"/>
  <c r="H44" i="43"/>
  <c r="E56" i="43"/>
  <c r="C69" i="3" s="1"/>
  <c r="F56" i="43"/>
  <c r="D69" i="3" s="1"/>
  <c r="G25" i="43"/>
  <c r="E276" i="3" s="1"/>
  <c r="I60" i="43"/>
  <c r="G456" i="3" s="1"/>
  <c r="I52" i="43"/>
  <c r="G184" i="3" s="1"/>
  <c r="J56" i="43"/>
  <c r="H69" i="3" s="1"/>
  <c r="H56" i="43"/>
  <c r="F69" i="3" s="1"/>
  <c r="J37" i="43"/>
  <c r="H223" i="3" s="1"/>
  <c r="E68" i="43"/>
  <c r="C308" i="3" s="1"/>
  <c r="G68" i="43"/>
  <c r="E308" i="3" s="1"/>
  <c r="H68" i="43"/>
  <c r="F308" i="3" s="1"/>
  <c r="I19" i="42"/>
  <c r="I17" i="42"/>
  <c r="E19" i="42"/>
  <c r="E17" i="42"/>
  <c r="H497" i="3"/>
  <c r="J19" i="41"/>
  <c r="J17" i="41"/>
  <c r="G19" i="42"/>
  <c r="G17" i="42"/>
  <c r="G17" i="41"/>
  <c r="E497" i="3"/>
  <c r="I19" i="41"/>
  <c r="H256" i="2"/>
  <c r="R256" i="2" s="1"/>
  <c r="J3" i="37"/>
  <c r="J47" i="37"/>
  <c r="H153" i="3"/>
  <c r="J43" i="37"/>
  <c r="J45" i="37"/>
  <c r="G260" i="2"/>
  <c r="G262" i="2" s="1"/>
  <c r="Q262" i="2" s="1"/>
  <c r="Q256" i="2"/>
  <c r="I47" i="37"/>
  <c r="I43" i="37"/>
  <c r="G153" i="3"/>
  <c r="I45" i="37"/>
  <c r="I3" i="37"/>
  <c r="H45" i="37"/>
  <c r="H43" i="37"/>
  <c r="F153" i="3"/>
  <c r="H47" i="37"/>
  <c r="F256" i="2"/>
  <c r="H3" i="37"/>
  <c r="E153" i="3"/>
  <c r="G43" i="37"/>
  <c r="G45" i="37"/>
  <c r="G47" i="37"/>
  <c r="E256" i="2"/>
  <c r="O256" i="2" s="1"/>
  <c r="G3" i="37"/>
  <c r="F3" i="37"/>
  <c r="D256" i="2"/>
  <c r="N256" i="2" s="1"/>
  <c r="F43" i="37"/>
  <c r="F47" i="37"/>
  <c r="D153" i="3"/>
  <c r="F45" i="37"/>
  <c r="C153" i="3"/>
  <c r="E45" i="37"/>
  <c r="E47" i="37"/>
  <c r="E43" i="37"/>
  <c r="C256" i="2"/>
  <c r="M256" i="2" s="1"/>
  <c r="E3" i="37"/>
  <c r="D5" i="37"/>
  <c r="D15" i="37" s="1"/>
  <c r="D13" i="37"/>
  <c r="D45" i="37"/>
  <c r="B153" i="3"/>
  <c r="K153" i="3" s="1"/>
  <c r="D47" i="37"/>
  <c r="D43" i="37"/>
  <c r="B256" i="2"/>
  <c r="L256" i="2" s="1"/>
  <c r="H164" i="2"/>
  <c r="R164" i="2" s="1"/>
  <c r="J20" i="23"/>
  <c r="H444" i="3" s="1"/>
  <c r="F338" i="2"/>
  <c r="P338" i="2" s="1"/>
  <c r="H5" i="23"/>
  <c r="E20" i="23"/>
  <c r="D33" i="13"/>
  <c r="B29" i="3" s="1"/>
  <c r="K29" i="3" s="1"/>
  <c r="J37" i="13"/>
  <c r="H21" i="3" s="1"/>
  <c r="J23" i="13"/>
  <c r="H34" i="3" s="1"/>
  <c r="E33" i="13"/>
  <c r="C29" i="3" s="1"/>
  <c r="F27" i="13"/>
  <c r="D6" i="3" s="1"/>
  <c r="D27" i="13"/>
  <c r="E25" i="15"/>
  <c r="I25" i="15"/>
  <c r="E23" i="15"/>
  <c r="G23" i="15"/>
  <c r="D22" i="12"/>
  <c r="H86" i="3"/>
  <c r="J19" i="14"/>
  <c r="J21" i="14"/>
  <c r="G21" i="14"/>
  <c r="G19" i="14"/>
  <c r="D20" i="12"/>
  <c r="I17" i="11"/>
  <c r="B395" i="3"/>
  <c r="K395" i="3" s="1"/>
  <c r="F128" i="2"/>
  <c r="P128" i="2" s="1"/>
  <c r="F15" i="11"/>
  <c r="G17" i="11"/>
  <c r="G395" i="3"/>
  <c r="H17" i="11"/>
  <c r="H21" i="11" s="1"/>
  <c r="G15" i="11"/>
  <c r="B128" i="2"/>
  <c r="L128" i="2" s="1"/>
  <c r="C128" i="2"/>
  <c r="M128" i="2" s="1"/>
  <c r="B466" i="3"/>
  <c r="K466" i="3" s="1"/>
  <c r="F17" i="11"/>
  <c r="G466" i="3"/>
  <c r="J21" i="11"/>
  <c r="I23" i="11"/>
  <c r="D21" i="8"/>
  <c r="D19" i="8"/>
  <c r="E19" i="8"/>
  <c r="E560" i="3"/>
  <c r="F559" i="3"/>
  <c r="F557" i="3"/>
  <c r="E557" i="3"/>
  <c r="E559" i="3"/>
  <c r="F561" i="3"/>
  <c r="F556" i="3"/>
  <c r="E556" i="3"/>
  <c r="E561" i="3"/>
  <c r="F562" i="3"/>
  <c r="E562" i="3"/>
  <c r="O440" i="2"/>
  <c r="B558" i="3"/>
  <c r="B560" i="3"/>
  <c r="B562" i="3"/>
  <c r="B561" i="3"/>
  <c r="B556" i="3"/>
  <c r="B557" i="3"/>
  <c r="B559" i="3"/>
  <c r="N247" i="2"/>
  <c r="D251" i="2"/>
  <c r="M248" i="2"/>
  <c r="C251" i="2"/>
  <c r="C253" i="2" s="1"/>
  <c r="L240" i="2"/>
  <c r="B245" i="2"/>
  <c r="L245" i="2" s="1"/>
  <c r="M359" i="2"/>
  <c r="C360" i="2"/>
  <c r="M444" i="2"/>
  <c r="B54" i="2"/>
  <c r="L54" i="2" s="1"/>
  <c r="L47" i="2"/>
  <c r="L58" i="2"/>
  <c r="B63" i="2"/>
  <c r="L63" i="2" s="1"/>
  <c r="D170" i="2"/>
  <c r="N170" i="2" s="1"/>
  <c r="N166" i="2"/>
  <c r="N441" i="2"/>
  <c r="D447" i="2"/>
  <c r="D54" i="2"/>
  <c r="N54" i="2" s="1"/>
  <c r="N47" i="2"/>
  <c r="F251" i="2"/>
  <c r="P247" i="2"/>
  <c r="P441" i="2"/>
  <c r="Q5" i="2"/>
  <c r="G7" i="2"/>
  <c r="Q7" i="2" s="1"/>
  <c r="Q240" i="2"/>
  <c r="G245" i="2"/>
  <c r="Q245" i="2" s="1"/>
  <c r="Q71" i="2"/>
  <c r="G77" i="2"/>
  <c r="Q77" i="2" s="1"/>
  <c r="Q201" i="2"/>
  <c r="G209" i="2"/>
  <c r="Q209" i="2" s="1"/>
  <c r="Q435" i="2"/>
  <c r="G438" i="2"/>
  <c r="Q438" i="2" s="1"/>
  <c r="R255" i="2"/>
  <c r="H260" i="2"/>
  <c r="H262" i="2" s="1"/>
  <c r="R262" i="2" s="1"/>
  <c r="R205" i="2"/>
  <c r="H209" i="2"/>
  <c r="R209" i="2" s="1"/>
  <c r="H223" i="2"/>
  <c r="R212" i="2"/>
  <c r="B164" i="2"/>
  <c r="L164" i="2" s="1"/>
  <c r="L163" i="2"/>
  <c r="O437" i="2"/>
  <c r="E438" i="2"/>
  <c r="O438" i="2" s="1"/>
  <c r="O218" i="2"/>
  <c r="E223" i="2"/>
  <c r="E226" i="2" s="1"/>
  <c r="O226" i="2" s="1"/>
  <c r="O58" i="2"/>
  <c r="P354" i="2"/>
  <c r="F360" i="2"/>
  <c r="E325" i="2"/>
  <c r="O325" i="2" s="1"/>
  <c r="N81" i="2"/>
  <c r="D88" i="2"/>
  <c r="O81" i="2"/>
  <c r="E88" i="2"/>
  <c r="O408" i="2"/>
  <c r="M407" i="2"/>
  <c r="C411" i="2"/>
  <c r="M411" i="2" s="1"/>
  <c r="B7" i="2"/>
  <c r="L7" i="2" s="1"/>
  <c r="L4" i="2"/>
  <c r="N94" i="2"/>
  <c r="O247" i="2"/>
  <c r="E251" i="2"/>
  <c r="P284" i="2"/>
  <c r="F294" i="2"/>
  <c r="P105" i="2"/>
  <c r="F109" i="2"/>
  <c r="P109" i="2" s="1"/>
  <c r="P415" i="2"/>
  <c r="P424" i="2"/>
  <c r="F428" i="2"/>
  <c r="P428" i="2" s="1"/>
  <c r="L354" i="2"/>
  <c r="B360" i="2"/>
  <c r="O381" i="2"/>
  <c r="E382" i="2"/>
  <c r="O382" i="2" s="1"/>
  <c r="E296" i="2"/>
  <c r="O296" i="2" s="1"/>
  <c r="G363" i="2"/>
  <c r="Q363" i="2" s="1"/>
  <c r="B563" i="3"/>
  <c r="C339" i="2"/>
  <c r="M339" i="2" s="1"/>
  <c r="M337" i="2"/>
  <c r="L416" i="2"/>
  <c r="B420" i="2"/>
  <c r="L420" i="2" s="1"/>
  <c r="L440" i="2"/>
  <c r="C462" i="2"/>
  <c r="M462" i="2" s="1"/>
  <c r="M457" i="2"/>
  <c r="D209" i="2"/>
  <c r="N209" i="2" s="1"/>
  <c r="N200" i="2"/>
  <c r="N416" i="2"/>
  <c r="D420" i="2"/>
  <c r="N420" i="2" s="1"/>
  <c r="N57" i="2"/>
  <c r="N357" i="2"/>
  <c r="D360" i="2"/>
  <c r="N422" i="2"/>
  <c r="D428" i="2"/>
  <c r="N428" i="2" s="1"/>
  <c r="E209" i="2"/>
  <c r="O209" i="2" s="1"/>
  <c r="P52" i="2"/>
  <c r="F54" i="2"/>
  <c r="P54" i="2" s="1"/>
  <c r="Q49" i="2"/>
  <c r="G54" i="2"/>
  <c r="Q54" i="2" s="1"/>
  <c r="Q108" i="2"/>
  <c r="G109" i="2"/>
  <c r="Q109" i="2" s="1"/>
  <c r="Q373" i="2"/>
  <c r="G378" i="2"/>
  <c r="Q378" i="2" s="1"/>
  <c r="Q169" i="2"/>
  <c r="G170" i="2"/>
  <c r="Q170" i="2" s="1"/>
  <c r="Q398" i="2"/>
  <c r="Q381" i="2"/>
  <c r="G382" i="2"/>
  <c r="Q382" i="2" s="1"/>
  <c r="H7" i="2"/>
  <c r="R7" i="2" s="1"/>
  <c r="R5" i="2"/>
  <c r="E260" i="2"/>
  <c r="E262" i="2" s="1"/>
  <c r="O262" i="2" s="1"/>
  <c r="C245" i="2"/>
  <c r="M245" i="2" s="1"/>
  <c r="F245" i="2"/>
  <c r="H438" i="2"/>
  <c r="R438" i="2" s="1"/>
  <c r="B209" i="2"/>
  <c r="L209" i="2" s="1"/>
  <c r="D7" i="2"/>
  <c r="N7" i="2" s="1"/>
  <c r="H294" i="2"/>
  <c r="H88" i="2"/>
  <c r="R88" i="2" s="1"/>
  <c r="B339" i="2"/>
  <c r="L339" i="2" s="1"/>
  <c r="E462" i="2"/>
  <c r="O462" i="2" s="1"/>
  <c r="H251" i="2"/>
  <c r="J15" i="73"/>
  <c r="J17" i="73"/>
  <c r="H485" i="3"/>
  <c r="D26" i="23"/>
  <c r="B444" i="3"/>
  <c r="K444" i="3" s="1"/>
  <c r="D28" i="23"/>
  <c r="D24" i="23"/>
  <c r="G5" i="23"/>
  <c r="E338" i="2"/>
  <c r="O338" i="2" s="1"/>
  <c r="R337" i="2"/>
  <c r="H339" i="2"/>
  <c r="R339" i="2" s="1"/>
  <c r="E444" i="3"/>
  <c r="G26" i="23"/>
  <c r="I20" i="23"/>
  <c r="G444" i="3" s="1"/>
  <c r="E26" i="23"/>
  <c r="E24" i="23"/>
  <c r="C444" i="3"/>
  <c r="E28" i="23"/>
  <c r="E7" i="23"/>
  <c r="E8" i="23"/>
  <c r="F26" i="23"/>
  <c r="F24" i="23"/>
  <c r="F28" i="23"/>
  <c r="D431" i="3"/>
  <c r="D337" i="2"/>
  <c r="F5" i="23"/>
  <c r="I5" i="23"/>
  <c r="G337" i="2"/>
  <c r="Q337" i="2" s="1"/>
  <c r="G431" i="3"/>
  <c r="I28" i="23"/>
  <c r="I26" i="23"/>
  <c r="G28" i="23"/>
  <c r="H24" i="23"/>
  <c r="H28" i="23"/>
  <c r="G24" i="23"/>
  <c r="H26" i="23"/>
  <c r="J5" i="23"/>
  <c r="H413" i="3"/>
  <c r="J26" i="23"/>
  <c r="J28" i="23"/>
  <c r="J24" i="23"/>
  <c r="J22" i="38"/>
  <c r="H31" i="2"/>
  <c r="R31" i="2" s="1"/>
  <c r="J63" i="38"/>
  <c r="H275" i="3" s="1"/>
  <c r="F185" i="2"/>
  <c r="P185" i="2" s="1"/>
  <c r="H8" i="19"/>
  <c r="H6" i="19"/>
  <c r="H11" i="19" s="1"/>
  <c r="F37" i="19"/>
  <c r="I8" i="19"/>
  <c r="I6" i="19"/>
  <c r="I11" i="19" s="1"/>
  <c r="G185" i="2"/>
  <c r="Q185" i="2" s="1"/>
  <c r="E185" i="2"/>
  <c r="O185" i="2" s="1"/>
  <c r="G6" i="19"/>
  <c r="G11" i="19" s="1"/>
  <c r="G8" i="19"/>
  <c r="J6" i="19"/>
  <c r="J11" i="19" s="1"/>
  <c r="H185" i="2"/>
  <c r="R185" i="2" s="1"/>
  <c r="J8" i="19"/>
  <c r="J41" i="19"/>
  <c r="H141" i="3"/>
  <c r="J39" i="19"/>
  <c r="J37" i="19"/>
  <c r="I37" i="19"/>
  <c r="G141" i="3"/>
  <c r="I41" i="19"/>
  <c r="I39" i="19"/>
  <c r="E141" i="3"/>
  <c r="G41" i="19"/>
  <c r="G37" i="19"/>
  <c r="G39" i="19"/>
  <c r="H41" i="19"/>
  <c r="H37" i="19"/>
  <c r="F141" i="3"/>
  <c r="H39" i="19"/>
  <c r="I65" i="2"/>
  <c r="S65" i="2" s="1"/>
  <c r="F378" i="2"/>
  <c r="P378" i="2" s="1"/>
  <c r="C378" i="2"/>
  <c r="M378" i="2" s="1"/>
  <c r="B378" i="2"/>
  <c r="L378" i="2" s="1"/>
  <c r="J3" i="70"/>
  <c r="J11" i="70" s="1"/>
  <c r="H376" i="2"/>
  <c r="J29" i="70"/>
  <c r="J33" i="70"/>
  <c r="J16" i="39"/>
  <c r="J17" i="39"/>
  <c r="F209" i="2"/>
  <c r="P209" i="2" s="1"/>
  <c r="J85" i="39"/>
  <c r="J83" i="39"/>
  <c r="C209" i="2"/>
  <c r="M209" i="2" s="1"/>
  <c r="J13" i="51"/>
  <c r="E3" i="25"/>
  <c r="E12" i="25" s="1"/>
  <c r="C195" i="2"/>
  <c r="M195" i="2" s="1"/>
  <c r="I3" i="25"/>
  <c r="I12" i="25" s="1"/>
  <c r="G195" i="2"/>
  <c r="E33" i="25"/>
  <c r="E35" i="25"/>
  <c r="E195" i="2"/>
  <c r="O195" i="2" s="1"/>
  <c r="G3" i="25"/>
  <c r="G12" i="25" s="1"/>
  <c r="D3" i="25"/>
  <c r="D12" i="25" s="1"/>
  <c r="B195" i="2"/>
  <c r="L195" i="2" s="1"/>
  <c r="B451" i="3"/>
  <c r="K451" i="3" s="1"/>
  <c r="D33" i="25"/>
  <c r="D37" i="25"/>
  <c r="D35" i="25"/>
  <c r="E451" i="3"/>
  <c r="G35" i="25"/>
  <c r="G33" i="25"/>
  <c r="G37" i="25"/>
  <c r="H35" i="25"/>
  <c r="H37" i="25"/>
  <c r="F451" i="3"/>
  <c r="H33" i="25"/>
  <c r="F195" i="2"/>
  <c r="P195" i="2" s="1"/>
  <c r="E197" i="2"/>
  <c r="O197" i="2" s="1"/>
  <c r="D197" i="2"/>
  <c r="N197" i="2" s="1"/>
  <c r="H451" i="3"/>
  <c r="J35" i="25"/>
  <c r="J37" i="25"/>
  <c r="J33" i="25"/>
  <c r="G292" i="2"/>
  <c r="Q292" i="2" s="1"/>
  <c r="I3" i="57"/>
  <c r="I74" i="57"/>
  <c r="I76" i="57"/>
  <c r="G133" i="3"/>
  <c r="I78" i="57"/>
  <c r="J7" i="60"/>
  <c r="H390" i="2"/>
  <c r="R390" i="2" s="1"/>
  <c r="J53" i="26"/>
  <c r="H287" i="3"/>
  <c r="J55" i="26"/>
  <c r="J51" i="26"/>
  <c r="G79" i="2"/>
  <c r="Q79" i="2" s="1"/>
  <c r="C77" i="2"/>
  <c r="H77" i="2"/>
  <c r="J3" i="26"/>
  <c r="G350" i="2"/>
  <c r="Q350" i="2" s="1"/>
  <c r="I18" i="27"/>
  <c r="H55" i="27"/>
  <c r="F96" i="3" s="1"/>
  <c r="F27" i="27"/>
  <c r="D218" i="3" s="1"/>
  <c r="I59" i="27"/>
  <c r="G416" i="3" s="1"/>
  <c r="J55" i="27"/>
  <c r="H96" i="3" s="1"/>
  <c r="E55" i="27"/>
  <c r="C96" i="3" s="1"/>
  <c r="E31" i="27"/>
  <c r="C50" i="3" s="1"/>
  <c r="D55" i="27"/>
  <c r="B96" i="3" s="1"/>
  <c r="K96" i="3" s="1"/>
  <c r="D45" i="27"/>
  <c r="B356" i="3" s="1"/>
  <c r="K356" i="3" s="1"/>
  <c r="F55" i="27"/>
  <c r="D96" i="3" s="1"/>
  <c r="D26" i="87"/>
  <c r="B93" i="3" s="1"/>
  <c r="K93" i="3" s="1"/>
  <c r="G21" i="87"/>
  <c r="E70" i="3" s="1"/>
  <c r="J32" i="87"/>
  <c r="H248" i="3" s="1"/>
  <c r="E26" i="87"/>
  <c r="C93" i="3" s="1"/>
  <c r="D36" i="87"/>
  <c r="B225" i="3" s="1"/>
  <c r="K225" i="3" s="1"/>
  <c r="F26" i="87"/>
  <c r="D93" i="3" s="1"/>
  <c r="G36" i="87"/>
  <c r="E225" i="3" s="1"/>
  <c r="G32" i="87"/>
  <c r="E248" i="3" s="1"/>
  <c r="H36" i="87"/>
  <c r="F225" i="3" s="1"/>
  <c r="I26" i="87"/>
  <c r="G93" i="3" s="1"/>
  <c r="I32" i="87"/>
  <c r="G248" i="3" s="1"/>
  <c r="J50" i="87"/>
  <c r="H87" i="3" s="1"/>
  <c r="J21" i="87"/>
  <c r="H70" i="3" s="1"/>
  <c r="G26" i="87"/>
  <c r="E93" i="3" s="1"/>
  <c r="H26" i="87"/>
  <c r="F93" i="3" s="1"/>
  <c r="I21" i="87"/>
  <c r="G70" i="3" s="1"/>
  <c r="J36" i="87"/>
  <c r="H225" i="3" s="1"/>
  <c r="G42" i="87"/>
  <c r="E291" i="3" s="1"/>
  <c r="J56" i="49"/>
  <c r="H290" i="3" s="1"/>
  <c r="J48" i="49"/>
  <c r="D52" i="49"/>
  <c r="F52" i="49"/>
  <c r="G56" i="49"/>
  <c r="E290" i="3" s="1"/>
  <c r="H20" i="49"/>
  <c r="F263" i="3" s="1"/>
  <c r="E20" i="49"/>
  <c r="C263" i="3" s="1"/>
  <c r="E52" i="49"/>
  <c r="F56" i="49"/>
  <c r="D290" i="3" s="1"/>
  <c r="G20" i="49"/>
  <c r="E263" i="3" s="1"/>
  <c r="I52" i="49"/>
  <c r="G46" i="3" s="1"/>
  <c r="F20" i="49"/>
  <c r="D263" i="3" s="1"/>
  <c r="I48" i="49"/>
  <c r="G368" i="3" s="1"/>
  <c r="I56" i="49"/>
  <c r="G290" i="3" s="1"/>
  <c r="D56" i="49"/>
  <c r="B290" i="3" s="1"/>
  <c r="K290" i="3" s="1"/>
  <c r="G52" i="49"/>
  <c r="H52" i="49"/>
  <c r="H60" i="49" s="1"/>
  <c r="I20" i="49"/>
  <c r="G263" i="3" s="1"/>
  <c r="E3" i="49"/>
  <c r="E16" i="49" s="1"/>
  <c r="C44" i="2"/>
  <c r="M44" i="2" s="1"/>
  <c r="D3" i="49"/>
  <c r="D16" i="49" s="1"/>
  <c r="B44" i="2"/>
  <c r="L44" i="2" s="1"/>
  <c r="F3" i="49"/>
  <c r="F16" i="49" s="1"/>
  <c r="E43" i="2"/>
  <c r="O43" i="2" s="1"/>
  <c r="G3" i="49"/>
  <c r="G16" i="49" s="1"/>
  <c r="D43" i="2"/>
  <c r="N43" i="2" s="1"/>
  <c r="H62" i="49"/>
  <c r="F43" i="2"/>
  <c r="P43" i="2" s="1"/>
  <c r="H3" i="49"/>
  <c r="H16" i="49" s="1"/>
  <c r="E46" i="3"/>
  <c r="G62" i="49"/>
  <c r="F58" i="49"/>
  <c r="F62" i="49"/>
  <c r="D46" i="3"/>
  <c r="E62" i="49"/>
  <c r="E58" i="49"/>
  <c r="C46" i="3"/>
  <c r="E60" i="49"/>
  <c r="D62" i="49"/>
  <c r="B46" i="3"/>
  <c r="K46" i="3" s="1"/>
  <c r="D58" i="49"/>
  <c r="D60" i="49"/>
  <c r="B28" i="3"/>
  <c r="K28" i="3" s="1"/>
  <c r="G15" i="91"/>
  <c r="J15" i="91"/>
  <c r="D13" i="91"/>
  <c r="F5" i="91"/>
  <c r="E13" i="91"/>
  <c r="D5" i="91"/>
  <c r="C28" i="3"/>
  <c r="E11" i="91"/>
  <c r="C188" i="2"/>
  <c r="C189" i="2" s="1"/>
  <c r="M189" i="2" s="1"/>
  <c r="F13" i="91"/>
  <c r="F15" i="91"/>
  <c r="I15" i="91"/>
  <c r="J11" i="91"/>
  <c r="H11" i="91"/>
  <c r="H13" i="91"/>
  <c r="D11" i="91"/>
  <c r="I11" i="91"/>
  <c r="G342" i="3"/>
  <c r="F188" i="2"/>
  <c r="I13" i="91"/>
  <c r="H189" i="2"/>
  <c r="R189" i="2" s="1"/>
  <c r="N188" i="2"/>
  <c r="D189" i="2"/>
  <c r="N189" i="2" s="1"/>
  <c r="F11" i="91"/>
  <c r="O188" i="2"/>
  <c r="E189" i="2"/>
  <c r="O189" i="2" s="1"/>
  <c r="G13" i="91"/>
  <c r="H15" i="91"/>
  <c r="J13" i="91"/>
  <c r="H342" i="3"/>
  <c r="Q188" i="2"/>
  <c r="G11" i="91"/>
  <c r="D342" i="3"/>
  <c r="G20" i="27"/>
  <c r="E351" i="2"/>
  <c r="O351" i="2" s="1"/>
  <c r="G19" i="27"/>
  <c r="G351" i="2"/>
  <c r="Q351" i="2" s="1"/>
  <c r="I19" i="27"/>
  <c r="I20" i="27"/>
  <c r="B350" i="2"/>
  <c r="L350" i="2" s="1"/>
  <c r="D18" i="27"/>
  <c r="H350" i="2"/>
  <c r="R350" i="2" s="1"/>
  <c r="J18" i="27"/>
  <c r="D19" i="27"/>
  <c r="D59" i="27"/>
  <c r="B416" i="3" s="1"/>
  <c r="K416" i="3" s="1"/>
  <c r="D20" i="27"/>
  <c r="E59" i="27"/>
  <c r="C416" i="3" s="1"/>
  <c r="H27" i="27"/>
  <c r="F218" i="3" s="1"/>
  <c r="H31" i="27"/>
  <c r="F50" i="3" s="1"/>
  <c r="D27" i="27"/>
  <c r="B218" i="3" s="1"/>
  <c r="K218" i="3" s="1"/>
  <c r="G49" i="27"/>
  <c r="E64" i="3" s="1"/>
  <c r="F45" i="27"/>
  <c r="D356" i="3" s="1"/>
  <c r="E49" i="27"/>
  <c r="C64" i="3" s="1"/>
  <c r="F49" i="27"/>
  <c r="D64" i="3" s="1"/>
  <c r="I45" i="27"/>
  <c r="G356" i="3" s="1"/>
  <c r="J27" i="27"/>
  <c r="H218" i="3" s="1"/>
  <c r="J31" i="27"/>
  <c r="H50" i="3" s="1"/>
  <c r="G31" i="27"/>
  <c r="E50" i="3" s="1"/>
  <c r="E27" i="27"/>
  <c r="C218" i="3" s="1"/>
  <c r="J19" i="27"/>
  <c r="H351" i="2"/>
  <c r="R351" i="2" s="1"/>
  <c r="J20" i="27"/>
  <c r="I27" i="27"/>
  <c r="G218" i="3" s="1"/>
  <c r="D351" i="2"/>
  <c r="N351" i="2" s="1"/>
  <c r="F19" i="27"/>
  <c r="F20" i="27"/>
  <c r="E18" i="27"/>
  <c r="C350" i="2"/>
  <c r="M350" i="2" s="1"/>
  <c r="D350" i="2"/>
  <c r="N350" i="2" s="1"/>
  <c r="F18" i="27"/>
  <c r="G18" i="27"/>
  <c r="E350" i="2"/>
  <c r="O350" i="2" s="1"/>
  <c r="G27" i="27"/>
  <c r="E218" i="3" s="1"/>
  <c r="H49" i="27"/>
  <c r="F64" i="3" s="1"/>
  <c r="F351" i="2"/>
  <c r="P351" i="2" s="1"/>
  <c r="H19" i="27"/>
  <c r="H20" i="27"/>
  <c r="H342" i="2"/>
  <c r="R342" i="2" s="1"/>
  <c r="J3" i="27"/>
  <c r="J63" i="27"/>
  <c r="H188" i="3"/>
  <c r="G342" i="2"/>
  <c r="I3" i="27"/>
  <c r="I63" i="27"/>
  <c r="I65" i="27"/>
  <c r="G188" i="3"/>
  <c r="I61" i="27"/>
  <c r="F342" i="2"/>
  <c r="H3" i="27"/>
  <c r="H65" i="27"/>
  <c r="F188" i="3"/>
  <c r="E342" i="2"/>
  <c r="G3" i="27"/>
  <c r="E188" i="3"/>
  <c r="F3" i="27"/>
  <c r="D342" i="2"/>
  <c r="D188" i="3"/>
  <c r="E65" i="27"/>
  <c r="C188" i="3"/>
  <c r="E63" i="27"/>
  <c r="E61" i="27"/>
  <c r="M342" i="2"/>
  <c r="C349" i="2"/>
  <c r="E3" i="27"/>
  <c r="D3" i="27"/>
  <c r="B342" i="2"/>
  <c r="B188" i="3"/>
  <c r="K188" i="3" s="1"/>
  <c r="D65" i="27"/>
  <c r="F68" i="43"/>
  <c r="D308" i="3" s="1"/>
  <c r="J68" i="43"/>
  <c r="H308" i="3" s="1"/>
  <c r="I3" i="43"/>
  <c r="I19" i="43" s="1"/>
  <c r="I44" i="43"/>
  <c r="G232" i="3" s="1"/>
  <c r="D68" i="43"/>
  <c r="B308" i="3" s="1"/>
  <c r="K308" i="3" s="1"/>
  <c r="D3" i="43"/>
  <c r="D5" i="43" s="1"/>
  <c r="D21" i="43" s="1"/>
  <c r="G20" i="43"/>
  <c r="E277" i="2"/>
  <c r="O277" i="2" s="1"/>
  <c r="G73" i="3"/>
  <c r="E44" i="43"/>
  <c r="F44" i="43"/>
  <c r="F70" i="43" s="1"/>
  <c r="J44" i="43"/>
  <c r="G265" i="2"/>
  <c r="Q265" i="2" s="1"/>
  <c r="G44" i="43"/>
  <c r="G74" i="43" s="1"/>
  <c r="E3" i="43"/>
  <c r="E5" i="43" s="1"/>
  <c r="E21" i="43" s="1"/>
  <c r="D44" i="43"/>
  <c r="J3" i="43"/>
  <c r="Q274" i="2"/>
  <c r="I5" i="43"/>
  <c r="I21" i="43" s="1"/>
  <c r="F274" i="2"/>
  <c r="P274" i="2" s="1"/>
  <c r="H3" i="43"/>
  <c r="J74" i="43"/>
  <c r="H232" i="3"/>
  <c r="H72" i="43"/>
  <c r="F232" i="3"/>
  <c r="H70" i="43"/>
  <c r="H74" i="43"/>
  <c r="G3" i="43"/>
  <c r="E274" i="2"/>
  <c r="O274" i="2" s="1"/>
  <c r="F72" i="43"/>
  <c r="F74" i="43"/>
  <c r="D274" i="2"/>
  <c r="N274" i="2" s="1"/>
  <c r="F3" i="43"/>
  <c r="C274" i="2"/>
  <c r="M274" i="2" s="1"/>
  <c r="G18" i="28"/>
  <c r="E341" i="3" s="1"/>
  <c r="I18" i="28"/>
  <c r="G341" i="3" s="1"/>
  <c r="F18" i="28"/>
  <c r="D341" i="3" s="1"/>
  <c r="J31" i="28"/>
  <c r="H88" i="3" s="1"/>
  <c r="E31" i="28"/>
  <c r="C88" i="3" s="1"/>
  <c r="F31" i="28"/>
  <c r="D88" i="3" s="1"/>
  <c r="J27" i="28"/>
  <c r="H42" i="3" s="1"/>
  <c r="E27" i="28"/>
  <c r="C42" i="3" s="1"/>
  <c r="G31" i="28"/>
  <c r="E88" i="3" s="1"/>
  <c r="D33" i="28"/>
  <c r="D27" i="28"/>
  <c r="B42" i="3" s="1"/>
  <c r="K42" i="3" s="1"/>
  <c r="E18" i="28"/>
  <c r="C341" i="3" s="1"/>
  <c r="H31" i="28"/>
  <c r="F88" i="3" s="1"/>
  <c r="I27" i="28"/>
  <c r="G42" i="3" s="1"/>
  <c r="H18" i="28"/>
  <c r="F341" i="3" s="1"/>
  <c r="J18" i="28"/>
  <c r="H341" i="3" s="1"/>
  <c r="H27" i="28"/>
  <c r="F42" i="3" s="1"/>
  <c r="I31" i="28"/>
  <c r="G88" i="3" s="1"/>
  <c r="D37" i="28"/>
  <c r="F3" i="28"/>
  <c r="F12" i="28" s="1"/>
  <c r="D35" i="28"/>
  <c r="D22" i="3"/>
  <c r="B368" i="2"/>
  <c r="L368" i="2" s="1"/>
  <c r="D3" i="28"/>
  <c r="D12" i="28" s="1"/>
  <c r="J3" i="28"/>
  <c r="J12" i="28" s="1"/>
  <c r="H368" i="2"/>
  <c r="R368" i="2" s="1"/>
  <c r="G22" i="3"/>
  <c r="C368" i="2"/>
  <c r="M368" i="2" s="1"/>
  <c r="E3" i="28"/>
  <c r="E12" i="28" s="1"/>
  <c r="I3" i="28"/>
  <c r="I12" i="28" s="1"/>
  <c r="G368" i="2"/>
  <c r="Q368" i="2" s="1"/>
  <c r="E368" i="2"/>
  <c r="O368" i="2" s="1"/>
  <c r="G3" i="28"/>
  <c r="G12" i="28" s="1"/>
  <c r="F22" i="3"/>
  <c r="H33" i="28"/>
  <c r="C22" i="3"/>
  <c r="H3" i="28"/>
  <c r="H12" i="28" s="1"/>
  <c r="F368" i="2"/>
  <c r="P368" i="2" s="1"/>
  <c r="E22" i="3"/>
  <c r="R365" i="2"/>
  <c r="F35" i="66"/>
  <c r="D120" i="3" s="1"/>
  <c r="G19" i="66"/>
  <c r="E200" i="3" s="1"/>
  <c r="H35" i="66"/>
  <c r="F120" i="3" s="1"/>
  <c r="D19" i="66"/>
  <c r="B200" i="3" s="1"/>
  <c r="K200" i="3" s="1"/>
  <c r="G35" i="66"/>
  <c r="E120" i="3" s="1"/>
  <c r="H19" i="66"/>
  <c r="F200" i="3" s="1"/>
  <c r="I35" i="66"/>
  <c r="G120" i="3" s="1"/>
  <c r="J19" i="66"/>
  <c r="H200" i="3" s="1"/>
  <c r="D35" i="66"/>
  <c r="B120" i="3" s="1"/>
  <c r="K120" i="3" s="1"/>
  <c r="D53" i="3"/>
  <c r="F51" i="66"/>
  <c r="F49" i="66"/>
  <c r="F47" i="66"/>
  <c r="E228" i="2"/>
  <c r="E233" i="2" s="1"/>
  <c r="G3" i="66"/>
  <c r="G11" i="66" s="1"/>
  <c r="J49" i="66"/>
  <c r="H53" i="3"/>
  <c r="J3" i="66"/>
  <c r="J11" i="66" s="1"/>
  <c r="H228" i="2"/>
  <c r="R228" i="2" s="1"/>
  <c r="G228" i="2"/>
  <c r="I3" i="66"/>
  <c r="I11" i="66" s="1"/>
  <c r="I47" i="66"/>
  <c r="I51" i="66"/>
  <c r="I49" i="66"/>
  <c r="G53" i="3"/>
  <c r="F53" i="3"/>
  <c r="H51" i="66"/>
  <c r="H49" i="66"/>
  <c r="H47" i="66"/>
  <c r="H3" i="66"/>
  <c r="H11" i="66" s="1"/>
  <c r="F228" i="2"/>
  <c r="E53" i="3"/>
  <c r="G49" i="66"/>
  <c r="G51" i="66"/>
  <c r="G47" i="66"/>
  <c r="F3" i="66"/>
  <c r="F11" i="66" s="1"/>
  <c r="D228" i="2"/>
  <c r="C228" i="2"/>
  <c r="E3" i="66"/>
  <c r="E11" i="66" s="1"/>
  <c r="C53" i="3"/>
  <c r="E51" i="66"/>
  <c r="E47" i="66"/>
  <c r="E49" i="66"/>
  <c r="B228" i="2"/>
  <c r="D3" i="66"/>
  <c r="D11" i="66" s="1"/>
  <c r="B53" i="3"/>
  <c r="K53" i="3" s="1"/>
  <c r="H17" i="75"/>
  <c r="F231" i="3" s="1"/>
  <c r="D17" i="75"/>
  <c r="B231" i="3" s="1"/>
  <c r="K231" i="3" s="1"/>
  <c r="F16" i="3"/>
  <c r="H34" i="75"/>
  <c r="H36" i="75"/>
  <c r="D16" i="3"/>
  <c r="F36" i="75"/>
  <c r="H298" i="2"/>
  <c r="R298" i="2" s="1"/>
  <c r="J3" i="75"/>
  <c r="J11" i="75" s="1"/>
  <c r="J36" i="75"/>
  <c r="J32" i="75"/>
  <c r="H16" i="3"/>
  <c r="J34" i="75"/>
  <c r="I3" i="75"/>
  <c r="I11" i="75" s="1"/>
  <c r="G298" i="2"/>
  <c r="I34" i="75"/>
  <c r="G16" i="3"/>
  <c r="I36" i="75"/>
  <c r="I32" i="75"/>
  <c r="H3" i="75"/>
  <c r="H11" i="75" s="1"/>
  <c r="F298" i="2"/>
  <c r="G3" i="75"/>
  <c r="G11" i="75" s="1"/>
  <c r="E298" i="2"/>
  <c r="G34" i="75"/>
  <c r="G32" i="75"/>
  <c r="G36" i="75"/>
  <c r="E16" i="3"/>
  <c r="D298" i="2"/>
  <c r="F3" i="75"/>
  <c r="F11" i="75" s="1"/>
  <c r="F34" i="75"/>
  <c r="F32" i="75"/>
  <c r="C16" i="3"/>
  <c r="E34" i="75"/>
  <c r="E32" i="75"/>
  <c r="E36" i="75"/>
  <c r="C298" i="2"/>
  <c r="E3" i="75"/>
  <c r="E11" i="75" s="1"/>
  <c r="D34" i="75"/>
  <c r="B16" i="3"/>
  <c r="K16" i="3" s="1"/>
  <c r="D36" i="75"/>
  <c r="D32" i="75"/>
  <c r="B298" i="2"/>
  <c r="D3" i="75"/>
  <c r="D11" i="75" s="1"/>
  <c r="J17" i="17"/>
  <c r="J19" i="17"/>
  <c r="E17" i="17"/>
  <c r="B347" i="3"/>
  <c r="K347" i="3" s="1"/>
  <c r="D15" i="17"/>
  <c r="G19" i="17"/>
  <c r="F17" i="17"/>
  <c r="F19" i="17"/>
  <c r="E19" i="17"/>
  <c r="F332" i="2"/>
  <c r="H332" i="2"/>
  <c r="H19" i="17"/>
  <c r="H17" i="17"/>
  <c r="H15" i="17"/>
  <c r="F15" i="17"/>
  <c r="Q332" i="2"/>
  <c r="G335" i="2"/>
  <c r="Q335" i="2" s="1"/>
  <c r="I5" i="17"/>
  <c r="G15" i="17"/>
  <c r="G17" i="17"/>
  <c r="C273" i="3"/>
  <c r="E332" i="2"/>
  <c r="N332" i="2"/>
  <c r="D335" i="2"/>
  <c r="N335" i="2" s="1"/>
  <c r="F5" i="17"/>
  <c r="C335" i="2"/>
  <c r="M335" i="2" s="1"/>
  <c r="E24" i="81"/>
  <c r="C301" i="3" s="1"/>
  <c r="G24" i="81"/>
  <c r="E301" i="3" s="1"/>
  <c r="F24" i="81"/>
  <c r="D301" i="3" s="1"/>
  <c r="D24" i="81"/>
  <c r="B301" i="3" s="1"/>
  <c r="K301" i="3" s="1"/>
  <c r="I24" i="81"/>
  <c r="G301" i="3" s="1"/>
  <c r="J24" i="81"/>
  <c r="H301" i="3" s="1"/>
  <c r="B454" i="2"/>
  <c r="L454" i="2" s="1"/>
  <c r="D3" i="81"/>
  <c r="D10" i="81" s="1"/>
  <c r="H365" i="3"/>
  <c r="J48" i="81"/>
  <c r="G394" i="3"/>
  <c r="F394" i="3"/>
  <c r="E394" i="3"/>
  <c r="F44" i="81"/>
  <c r="D394" i="3"/>
  <c r="C394" i="3"/>
  <c r="B394" i="3"/>
  <c r="K394" i="3" s="1"/>
  <c r="I3" i="81"/>
  <c r="I10" i="81" s="1"/>
  <c r="G454" i="2"/>
  <c r="Q454" i="2" s="1"/>
  <c r="F3" i="81"/>
  <c r="F10" i="81" s="1"/>
  <c r="D454" i="2"/>
  <c r="N454" i="2" s="1"/>
  <c r="E454" i="2"/>
  <c r="O454" i="2" s="1"/>
  <c r="G3" i="81"/>
  <c r="G10" i="81" s="1"/>
  <c r="C454" i="2"/>
  <c r="M454" i="2" s="1"/>
  <c r="E3" i="81"/>
  <c r="E10" i="81" s="1"/>
  <c r="F454" i="2"/>
  <c r="H3" i="81"/>
  <c r="H10" i="81" s="1"/>
  <c r="H454" i="2"/>
  <c r="J3" i="81"/>
  <c r="J10" i="81" s="1"/>
  <c r="E24" i="38"/>
  <c r="E23" i="38"/>
  <c r="C32" i="2"/>
  <c r="M32" i="2" s="1"/>
  <c r="F32" i="2"/>
  <c r="P32" i="2" s="1"/>
  <c r="H23" i="38"/>
  <c r="D32" i="2"/>
  <c r="N32" i="2" s="1"/>
  <c r="F23" i="38"/>
  <c r="H47" i="38"/>
  <c r="F422" i="3" s="1"/>
  <c r="H33" i="38"/>
  <c r="F221" i="3" s="1"/>
  <c r="I47" i="38"/>
  <c r="G422" i="3" s="1"/>
  <c r="J24" i="38"/>
  <c r="J23" i="38"/>
  <c r="H32" i="2"/>
  <c r="R32" i="2" s="1"/>
  <c r="D59" i="38"/>
  <c r="J47" i="38"/>
  <c r="H422" i="3" s="1"/>
  <c r="F80" i="38"/>
  <c r="D397" i="3" s="1"/>
  <c r="F59" i="38"/>
  <c r="D122" i="3" s="1"/>
  <c r="E59" i="38"/>
  <c r="C122" i="3" s="1"/>
  <c r="J59" i="38"/>
  <c r="E3" i="38"/>
  <c r="E6" i="38" s="1"/>
  <c r="E25" i="38" s="1"/>
  <c r="E27" i="2"/>
  <c r="O27" i="2" s="1"/>
  <c r="G3" i="38"/>
  <c r="G21" i="38" s="1"/>
  <c r="C27" i="2"/>
  <c r="M27" i="2" s="1"/>
  <c r="B27" i="2"/>
  <c r="L27" i="2" s="1"/>
  <c r="D3" i="38"/>
  <c r="H122" i="3"/>
  <c r="J3" i="38"/>
  <c r="I3" i="38"/>
  <c r="G27" i="2"/>
  <c r="G122" i="3"/>
  <c r="F27" i="2"/>
  <c r="H3" i="38"/>
  <c r="F3" i="38"/>
  <c r="D27" i="2"/>
  <c r="B122" i="3"/>
  <c r="K122" i="3" s="1"/>
  <c r="H30" i="2"/>
  <c r="E23" i="13"/>
  <c r="C34" i="3" s="1"/>
  <c r="J33" i="13"/>
  <c r="H29" i="3" s="1"/>
  <c r="E37" i="13"/>
  <c r="C21" i="3" s="1"/>
  <c r="F33" i="13"/>
  <c r="D29" i="3" s="1"/>
  <c r="F23" i="13"/>
  <c r="D34" i="3" s="1"/>
  <c r="H33" i="13"/>
  <c r="F29" i="3" s="1"/>
  <c r="D37" i="13"/>
  <c r="B21" i="3" s="1"/>
  <c r="K21" i="3" s="1"/>
  <c r="H37" i="13"/>
  <c r="F21" i="3" s="1"/>
  <c r="E27" i="13"/>
  <c r="C6" i="3" s="1"/>
  <c r="D23" i="13"/>
  <c r="B34" i="3" s="1"/>
  <c r="K34" i="3" s="1"/>
  <c r="G33" i="13"/>
  <c r="E29" i="3" s="1"/>
  <c r="H23" i="13"/>
  <c r="F34" i="3" s="1"/>
  <c r="I33" i="13"/>
  <c r="G29" i="3" s="1"/>
  <c r="I37" i="13"/>
  <c r="G21" i="3" s="1"/>
  <c r="G27" i="13"/>
  <c r="E6" i="3" s="1"/>
  <c r="I23" i="13"/>
  <c r="G34" i="3" s="1"/>
  <c r="B15" i="2"/>
  <c r="L15" i="2" s="1"/>
  <c r="D14" i="13"/>
  <c r="C10" i="2"/>
  <c r="M10" i="2" s="1"/>
  <c r="E3" i="13"/>
  <c r="E9" i="2"/>
  <c r="E14" i="2" s="1"/>
  <c r="O14" i="2" s="1"/>
  <c r="G3" i="13"/>
  <c r="G13" i="13" s="1"/>
  <c r="G23" i="13"/>
  <c r="E34" i="3" s="1"/>
  <c r="I3" i="13"/>
  <c r="I13" i="13" s="1"/>
  <c r="G11" i="2"/>
  <c r="Q11" i="2" s="1"/>
  <c r="D11" i="2"/>
  <c r="N11" i="2" s="1"/>
  <c r="F3" i="13"/>
  <c r="F13" i="13" s="1"/>
  <c r="H3" i="13"/>
  <c r="H13" i="13" s="1"/>
  <c r="F9" i="2"/>
  <c r="P9" i="2" s="1"/>
  <c r="I27" i="13"/>
  <c r="G6" i="3" s="1"/>
  <c r="B12" i="2"/>
  <c r="L12" i="2" s="1"/>
  <c r="D3" i="13"/>
  <c r="H10" i="2"/>
  <c r="R10" i="2" s="1"/>
  <c r="J3" i="13"/>
  <c r="J13" i="13" s="1"/>
  <c r="G37" i="13"/>
  <c r="E21" i="3" s="1"/>
  <c r="H27" i="13"/>
  <c r="F6" i="3" s="1"/>
  <c r="J27" i="13"/>
  <c r="G346" i="3"/>
  <c r="H15" i="2"/>
  <c r="R15" i="2" s="1"/>
  <c r="J14" i="13"/>
  <c r="H14" i="13"/>
  <c r="E15" i="2"/>
  <c r="O15" i="2" s="1"/>
  <c r="E14" i="13"/>
  <c r="I14" i="13"/>
  <c r="G15" i="2"/>
  <c r="P15" i="2"/>
  <c r="G14" i="13"/>
  <c r="D15" i="2"/>
  <c r="F14" i="13"/>
  <c r="M15" i="2"/>
  <c r="B6" i="3"/>
  <c r="K6" i="3" s="1"/>
  <c r="H50" i="87"/>
  <c r="F87" i="3" s="1"/>
  <c r="D21" i="87"/>
  <c r="B70" i="3" s="1"/>
  <c r="K70" i="3" s="1"/>
  <c r="J42" i="87"/>
  <c r="H291" i="3" s="1"/>
  <c r="F50" i="87"/>
  <c r="D87" i="3" s="1"/>
  <c r="F21" i="87"/>
  <c r="D70" i="3" s="1"/>
  <c r="H32" i="87"/>
  <c r="F248" i="3" s="1"/>
  <c r="D54" i="87"/>
  <c r="G3" i="87"/>
  <c r="G17" i="87" s="1"/>
  <c r="I54" i="87"/>
  <c r="G211" i="3" s="1"/>
  <c r="E54" i="87"/>
  <c r="E58" i="87" s="1"/>
  <c r="F54" i="87"/>
  <c r="D211" i="3" s="1"/>
  <c r="H54" i="87"/>
  <c r="J54" i="87"/>
  <c r="E3" i="87"/>
  <c r="E17" i="87" s="1"/>
  <c r="G54" i="87"/>
  <c r="D3" i="87"/>
  <c r="D17" i="87" s="1"/>
  <c r="I3" i="87"/>
  <c r="I17" i="87" s="1"/>
  <c r="H211" i="3"/>
  <c r="J3" i="87"/>
  <c r="J17" i="87" s="1"/>
  <c r="H315" i="2"/>
  <c r="I58" i="87"/>
  <c r="Q315" i="2"/>
  <c r="G316" i="2"/>
  <c r="Q316" i="2" s="1"/>
  <c r="H3" i="87"/>
  <c r="H17" i="87" s="1"/>
  <c r="F315" i="2"/>
  <c r="F211" i="3"/>
  <c r="E211" i="3"/>
  <c r="E315" i="2"/>
  <c r="F3" i="87"/>
  <c r="F17" i="87" s="1"/>
  <c r="D315" i="2"/>
  <c r="E56" i="87"/>
  <c r="C315" i="2"/>
  <c r="B211" i="3"/>
  <c r="K211" i="3" s="1"/>
  <c r="B315" i="2"/>
  <c r="C428" i="2"/>
  <c r="M428" i="2" s="1"/>
  <c r="E428" i="2"/>
  <c r="O428" i="2" s="1"/>
  <c r="H428" i="2"/>
  <c r="R428" i="2" s="1"/>
  <c r="O457" i="2"/>
  <c r="C325" i="2"/>
  <c r="M325" i="2" s="1"/>
  <c r="D325" i="2"/>
  <c r="N325" i="2" s="1"/>
  <c r="L319" i="2"/>
  <c r="H382" i="2"/>
  <c r="R382" i="2" s="1"/>
  <c r="E455" i="3"/>
  <c r="G25" i="79"/>
  <c r="D25" i="79"/>
  <c r="E23" i="79"/>
  <c r="C455" i="3"/>
  <c r="E25" i="79"/>
  <c r="H25" i="79"/>
  <c r="G484" i="3"/>
  <c r="H484" i="3"/>
  <c r="J25" i="79"/>
  <c r="J23" i="79"/>
  <c r="H23" i="79"/>
  <c r="D23" i="79"/>
  <c r="B455" i="3"/>
  <c r="K455" i="3" s="1"/>
  <c r="F25" i="79"/>
  <c r="G23" i="79"/>
  <c r="R300" i="2"/>
  <c r="B118" i="2"/>
  <c r="F118" i="2"/>
  <c r="C118" i="2"/>
  <c r="M118" i="2" s="1"/>
  <c r="E118" i="2"/>
  <c r="O118" i="2" s="1"/>
  <c r="H447" i="2"/>
  <c r="C109" i="2"/>
  <c r="M109" i="2" s="1"/>
  <c r="E109" i="2"/>
  <c r="O109" i="2" s="1"/>
  <c r="E170" i="2"/>
  <c r="O170" i="2" s="1"/>
  <c r="C170" i="2"/>
  <c r="M170" i="2" s="1"/>
  <c r="H100" i="2"/>
  <c r="R100" i="2" s="1"/>
  <c r="L88" i="2"/>
  <c r="B91" i="2"/>
  <c r="L91" i="2" s="1"/>
  <c r="L83" i="2"/>
  <c r="R83" i="2"/>
  <c r="H91" i="2"/>
  <c r="R91" i="2" s="1"/>
  <c r="D223" i="2"/>
  <c r="G223" i="2"/>
  <c r="F223" i="2"/>
  <c r="F185" i="3"/>
  <c r="H23" i="58"/>
  <c r="E185" i="3"/>
  <c r="G185" i="3"/>
  <c r="D23" i="59"/>
  <c r="D185" i="3"/>
  <c r="F23" i="58"/>
  <c r="D21" i="59"/>
  <c r="J23" i="58"/>
  <c r="J21" i="58"/>
  <c r="B123" i="3"/>
  <c r="K123" i="3" s="1"/>
  <c r="D17" i="55"/>
  <c r="D19" i="55"/>
  <c r="G19" i="55"/>
  <c r="E123" i="3"/>
  <c r="I19" i="56"/>
  <c r="I17" i="56"/>
  <c r="F123" i="3"/>
  <c r="H19" i="55"/>
  <c r="H17" i="55"/>
  <c r="E19" i="55"/>
  <c r="G17" i="55"/>
  <c r="I17" i="55"/>
  <c r="H123" i="3"/>
  <c r="J17" i="55"/>
  <c r="J19" i="55"/>
  <c r="D17" i="56"/>
  <c r="D19" i="56"/>
  <c r="D123" i="3"/>
  <c r="F19" i="55"/>
  <c r="F17" i="55"/>
  <c r="J17" i="56"/>
  <c r="J19" i="56"/>
  <c r="I19" i="55"/>
  <c r="C123" i="3"/>
  <c r="G17" i="56"/>
  <c r="F19" i="56"/>
  <c r="E17" i="55"/>
  <c r="H296" i="2"/>
  <c r="R296" i="2" s="1"/>
  <c r="R294" i="2"/>
  <c r="C294" i="2"/>
  <c r="D294" i="2"/>
  <c r="B294" i="2"/>
  <c r="H19" i="4"/>
  <c r="F367" i="3"/>
  <c r="F19" i="8"/>
  <c r="F21" i="8"/>
  <c r="G19" i="8"/>
  <c r="J19" i="4"/>
  <c r="J21" i="4"/>
  <c r="J21" i="8"/>
  <c r="E21" i="4"/>
  <c r="G21" i="4"/>
  <c r="H170" i="2"/>
  <c r="R170" i="2" s="1"/>
  <c r="H21" i="45"/>
  <c r="H23" i="45"/>
  <c r="D23" i="45"/>
  <c r="J21" i="45"/>
  <c r="F23" i="45"/>
  <c r="F21" i="45"/>
  <c r="C264" i="3"/>
  <c r="E23" i="46"/>
  <c r="E21" i="46"/>
  <c r="E264" i="3"/>
  <c r="G23" i="46"/>
  <c r="G21" i="46"/>
  <c r="H264" i="3"/>
  <c r="J23" i="46"/>
  <c r="J21" i="46"/>
  <c r="D23" i="46"/>
  <c r="D21" i="46"/>
  <c r="B264" i="3"/>
  <c r="K264" i="3" s="1"/>
  <c r="H21" i="46"/>
  <c r="H23" i="46"/>
  <c r="F264" i="3"/>
  <c r="I23" i="46"/>
  <c r="G264" i="3"/>
  <c r="I21" i="46"/>
  <c r="F23" i="46"/>
  <c r="E21" i="45"/>
  <c r="J23" i="45"/>
  <c r="F21" i="46"/>
  <c r="G21" i="45"/>
  <c r="I21" i="45"/>
  <c r="N269" i="2"/>
  <c r="M264" i="2"/>
  <c r="H275" i="2"/>
  <c r="B275" i="2"/>
  <c r="I17" i="41"/>
  <c r="F19" i="41"/>
  <c r="F17" i="41"/>
  <c r="B497" i="3"/>
  <c r="K497" i="3" s="1"/>
  <c r="D17" i="41"/>
  <c r="D19" i="41"/>
  <c r="F19" i="42"/>
  <c r="F17" i="42"/>
  <c r="H19" i="42"/>
  <c r="H17" i="42"/>
  <c r="D17" i="42"/>
  <c r="D19" i="42"/>
  <c r="H19" i="41"/>
  <c r="H17" i="41"/>
  <c r="F497" i="3"/>
  <c r="J17" i="42"/>
  <c r="J19" i="42"/>
  <c r="E17" i="41"/>
  <c r="E19" i="41"/>
  <c r="C497" i="3"/>
  <c r="M200" i="2"/>
  <c r="D371" i="2"/>
  <c r="N371" i="2" s="1"/>
  <c r="R22" i="2"/>
  <c r="G160" i="2"/>
  <c r="Q160" i="2" s="1"/>
  <c r="O260" i="2"/>
  <c r="M255" i="2"/>
  <c r="C164" i="2"/>
  <c r="M164" i="2" s="1"/>
  <c r="R162" i="2"/>
  <c r="E164" i="2"/>
  <c r="O164" i="2" s="1"/>
  <c r="Q360" i="2"/>
  <c r="H360" i="2"/>
  <c r="H79" i="2"/>
  <c r="R79" i="2" s="1"/>
  <c r="R77" i="2"/>
  <c r="F77" i="2"/>
  <c r="E77" i="2"/>
  <c r="B77" i="2"/>
  <c r="R71" i="2"/>
  <c r="D77" i="2"/>
  <c r="H197" i="2"/>
  <c r="L337" i="2"/>
  <c r="G339" i="2"/>
  <c r="F339" i="2"/>
  <c r="P339" i="2" s="1"/>
  <c r="D15" i="21"/>
  <c r="J15" i="21"/>
  <c r="B516" i="3"/>
  <c r="K516" i="3" s="1"/>
  <c r="J17" i="21"/>
  <c r="G516" i="3"/>
  <c r="E15" i="21"/>
  <c r="E17" i="21"/>
  <c r="C516" i="3"/>
  <c r="E516" i="3"/>
  <c r="G15" i="21"/>
  <c r="G17" i="21"/>
  <c r="H15" i="21"/>
  <c r="I15" i="21"/>
  <c r="H17" i="21"/>
  <c r="H253" i="2"/>
  <c r="R253" i="2" s="1"/>
  <c r="R251" i="2"/>
  <c r="P251" i="2"/>
  <c r="F253" i="2"/>
  <c r="P253" i="2" s="1"/>
  <c r="G251" i="2"/>
  <c r="R248" i="2"/>
  <c r="M251" i="2"/>
  <c r="B251" i="2"/>
  <c r="J23" i="16"/>
  <c r="J23" i="15"/>
  <c r="G25" i="15"/>
  <c r="H25" i="15"/>
  <c r="D25" i="15"/>
  <c r="I23" i="16"/>
  <c r="D25" i="16"/>
  <c r="D23" i="16"/>
  <c r="B316" i="3"/>
  <c r="K316" i="3" s="1"/>
  <c r="F23" i="16"/>
  <c r="F25" i="16"/>
  <c r="D316" i="3"/>
  <c r="E23" i="16"/>
  <c r="E25" i="16"/>
  <c r="C316" i="3"/>
  <c r="F25" i="15"/>
  <c r="F23" i="15"/>
  <c r="G23" i="16"/>
  <c r="G25" i="16"/>
  <c r="E316" i="3"/>
  <c r="F316" i="3"/>
  <c r="H23" i="16"/>
  <c r="H25" i="16"/>
  <c r="H23" i="15"/>
  <c r="I25" i="16"/>
  <c r="F20" i="12"/>
  <c r="F22" i="12"/>
  <c r="G22" i="12"/>
  <c r="G20" i="12"/>
  <c r="E21" i="14"/>
  <c r="I22" i="12"/>
  <c r="E20" i="12"/>
  <c r="E22" i="12"/>
  <c r="B86" i="3"/>
  <c r="K86" i="3" s="1"/>
  <c r="D21" i="14"/>
  <c r="D19" i="14"/>
  <c r="F21" i="14"/>
  <c r="D86" i="3"/>
  <c r="F19" i="14"/>
  <c r="H22" i="12"/>
  <c r="H20" i="12"/>
  <c r="H21" i="14"/>
  <c r="H19" i="14"/>
  <c r="F86" i="3"/>
  <c r="I19" i="14"/>
  <c r="G86" i="3"/>
  <c r="I21" i="14"/>
  <c r="E19" i="14"/>
  <c r="J20" i="12"/>
  <c r="J23" i="11"/>
  <c r="D395" i="3"/>
  <c r="I21" i="11"/>
  <c r="E23" i="11"/>
  <c r="G23" i="11"/>
  <c r="G21" i="11"/>
  <c r="H395" i="3"/>
  <c r="D21" i="11"/>
  <c r="D23" i="11"/>
  <c r="F21" i="11"/>
  <c r="F23" i="11"/>
  <c r="C395" i="3"/>
  <c r="E21" i="11"/>
  <c r="P245" i="2"/>
  <c r="D245" i="2"/>
  <c r="N245" i="2" s="1"/>
  <c r="P239" i="2"/>
  <c r="E245" i="2"/>
  <c r="O245" i="2" s="1"/>
  <c r="M240" i="2"/>
  <c r="N5" i="2"/>
  <c r="F7" i="2"/>
  <c r="P7" i="2" s="1"/>
  <c r="D367" i="3"/>
  <c r="F19" i="4"/>
  <c r="F21" i="4"/>
  <c r="I19" i="4"/>
  <c r="G367" i="3"/>
  <c r="I21" i="4"/>
  <c r="H21" i="8"/>
  <c r="H19" i="8"/>
  <c r="D21" i="4"/>
  <c r="D19" i="4"/>
  <c r="B367" i="3"/>
  <c r="K367" i="3" s="1"/>
  <c r="E19" i="4"/>
  <c r="E21" i="8"/>
  <c r="G21" i="8"/>
  <c r="G19" i="4"/>
  <c r="H21" i="4"/>
  <c r="J19" i="8"/>
  <c r="I21" i="8"/>
  <c r="D559" i="3"/>
  <c r="D562" i="3"/>
  <c r="D561" i="3"/>
  <c r="D556" i="3"/>
  <c r="D557" i="3"/>
  <c r="D560" i="3"/>
  <c r="M253" i="2"/>
  <c r="B189" i="2"/>
  <c r="H559" i="3"/>
  <c r="H560" i="3"/>
  <c r="J40" i="30"/>
  <c r="H529" i="3"/>
  <c r="J38" i="30"/>
  <c r="J42" i="30"/>
  <c r="J3" i="30"/>
  <c r="J13" i="30" s="1"/>
  <c r="H106" i="2"/>
  <c r="H157" i="3"/>
  <c r="J39" i="74"/>
  <c r="J43" i="74"/>
  <c r="C160" i="2"/>
  <c r="M160" i="2" s="1"/>
  <c r="O155" i="2"/>
  <c r="H155" i="2"/>
  <c r="C120" i="2"/>
  <c r="G115" i="2"/>
  <c r="I3" i="74"/>
  <c r="I13" i="74" s="1"/>
  <c r="I39" i="74"/>
  <c r="G157" i="3"/>
  <c r="I41" i="74"/>
  <c r="I43" i="74"/>
  <c r="J44" i="89"/>
  <c r="J46" i="89"/>
  <c r="J48" i="89"/>
  <c r="G177" i="2"/>
  <c r="G179" i="2" s="1"/>
  <c r="I3" i="89"/>
  <c r="I11" i="89" s="1"/>
  <c r="D177" i="2"/>
  <c r="N177" i="2" s="1"/>
  <c r="D493" i="3"/>
  <c r="E177" i="2"/>
  <c r="O177" i="2" s="1"/>
  <c r="F46" i="89"/>
  <c r="G48" i="89"/>
  <c r="F493" i="3"/>
  <c r="H48" i="89"/>
  <c r="G493" i="3"/>
  <c r="I44" i="89"/>
  <c r="I48" i="89"/>
  <c r="B179" i="2"/>
  <c r="L179" i="2" s="1"/>
  <c r="C177" i="2"/>
  <c r="E3" i="89"/>
  <c r="D46" i="89"/>
  <c r="B493" i="3"/>
  <c r="K493" i="3" s="1"/>
  <c r="D48" i="89"/>
  <c r="D44" i="89"/>
  <c r="L174" i="2"/>
  <c r="G11" i="89"/>
  <c r="E46" i="89"/>
  <c r="C493" i="3"/>
  <c r="F44" i="89"/>
  <c r="H44" i="89"/>
  <c r="F177" i="2"/>
  <c r="P177" i="2" s="1"/>
  <c r="I46" i="89"/>
  <c r="H179" i="2"/>
  <c r="H38" i="2"/>
  <c r="R38" i="2" s="1"/>
  <c r="J3" i="49"/>
  <c r="J16" i="49" s="1"/>
  <c r="H45" i="2"/>
  <c r="R45" i="2" s="1"/>
  <c r="H368" i="3"/>
  <c r="J62" i="49"/>
  <c r="E45" i="2"/>
  <c r="I3" i="49"/>
  <c r="I16" i="49" s="1"/>
  <c r="Q41" i="2"/>
  <c r="G45" i="2"/>
  <c r="I58" i="49"/>
  <c r="I62" i="49"/>
  <c r="L37" i="2"/>
  <c r="J58" i="49"/>
  <c r="J60" i="49"/>
  <c r="R36" i="2"/>
  <c r="J3" i="32"/>
  <c r="H409" i="2"/>
  <c r="J17" i="65"/>
  <c r="J19" i="65"/>
  <c r="H530" i="3"/>
  <c r="J21" i="65"/>
  <c r="G19" i="89"/>
  <c r="G20" i="89" s="1"/>
  <c r="G13" i="65"/>
  <c r="E522" i="3" s="1"/>
  <c r="F19" i="65"/>
  <c r="D530" i="3"/>
  <c r="F21" i="65"/>
  <c r="F17" i="65"/>
  <c r="H17" i="65"/>
  <c r="F530" i="3"/>
  <c r="H21" i="65"/>
  <c r="H19" i="65"/>
  <c r="I21" i="65"/>
  <c r="G530" i="3"/>
  <c r="I17" i="65"/>
  <c r="I19" i="65"/>
  <c r="J13" i="65"/>
  <c r="H522" i="3" s="1"/>
  <c r="J19" i="89"/>
  <c r="J20" i="89" s="1"/>
  <c r="H19" i="89"/>
  <c r="H20" i="89" s="1"/>
  <c r="H13" i="65"/>
  <c r="F522" i="3" s="1"/>
  <c r="P172" i="2"/>
  <c r="E13" i="65"/>
  <c r="C522" i="3" s="1"/>
  <c r="B530" i="3"/>
  <c r="K530" i="3" s="1"/>
  <c r="E17" i="65"/>
  <c r="D17" i="65"/>
  <c r="E19" i="89"/>
  <c r="E20" i="89" s="1"/>
  <c r="E530" i="3"/>
  <c r="G19" i="65"/>
  <c r="B172" i="2"/>
  <c r="E19" i="65"/>
  <c r="G21" i="65"/>
  <c r="J5" i="60"/>
  <c r="J9" i="60" s="1"/>
  <c r="H391" i="2"/>
  <c r="H8" i="60"/>
  <c r="H5" i="60"/>
  <c r="H9" i="60" s="1"/>
  <c r="F391" i="2"/>
  <c r="E5" i="60"/>
  <c r="E9" i="60" s="1"/>
  <c r="B392" i="2"/>
  <c r="D392" i="2"/>
  <c r="C391" i="2"/>
  <c r="H49" i="2"/>
  <c r="J3" i="29"/>
  <c r="J13" i="29" s="1"/>
  <c r="J47" i="29"/>
  <c r="H375" i="3"/>
  <c r="J43" i="29"/>
  <c r="J45" i="29"/>
  <c r="J3" i="74"/>
  <c r="J13" i="74" s="1"/>
  <c r="H115" i="2"/>
  <c r="J41" i="74"/>
  <c r="H562" i="3"/>
  <c r="H563" i="3"/>
  <c r="H557" i="3"/>
  <c r="H561" i="3"/>
  <c r="E84" i="38" l="1"/>
  <c r="I82" i="38"/>
  <c r="F84" i="38"/>
  <c r="G82" i="38"/>
  <c r="C275" i="3"/>
  <c r="G86" i="38"/>
  <c r="J82" i="38"/>
  <c r="D86" i="38"/>
  <c r="G84" i="38"/>
  <c r="H84" i="38"/>
  <c r="I86" i="38"/>
  <c r="J84" i="38"/>
  <c r="E21" i="38"/>
  <c r="D82" i="38"/>
  <c r="D84" i="38"/>
  <c r="F86" i="38"/>
  <c r="I84" i="38"/>
  <c r="J86" i="38"/>
  <c r="E86" i="38"/>
  <c r="B382" i="2"/>
  <c r="L382" i="2" s="1"/>
  <c r="P381" i="2"/>
  <c r="F382" i="2"/>
  <c r="P382" i="2" s="1"/>
  <c r="G325" i="2"/>
  <c r="Q325" i="2" s="1"/>
  <c r="I45" i="94"/>
  <c r="I41" i="94"/>
  <c r="G98" i="3"/>
  <c r="I43" i="94"/>
  <c r="G41" i="94"/>
  <c r="P318" i="2"/>
  <c r="F325" i="2"/>
  <c r="P325" i="2" s="1"/>
  <c r="C98" i="3"/>
  <c r="E45" i="94"/>
  <c r="E41" i="94"/>
  <c r="E43" i="94"/>
  <c r="G45" i="94"/>
  <c r="H325" i="2"/>
  <c r="R325" i="2" s="1"/>
  <c r="B325" i="2"/>
  <c r="L325" i="2" s="1"/>
  <c r="D98" i="3"/>
  <c r="F45" i="94"/>
  <c r="F43" i="94"/>
  <c r="F41" i="94"/>
  <c r="D77" i="93"/>
  <c r="G79" i="93"/>
  <c r="G77" i="93"/>
  <c r="I79" i="93"/>
  <c r="F77" i="93"/>
  <c r="E75" i="93"/>
  <c r="I75" i="93"/>
  <c r="J77" i="93"/>
  <c r="D79" i="93"/>
  <c r="E77" i="93"/>
  <c r="J79" i="93"/>
  <c r="E79" i="93"/>
  <c r="I77" i="93"/>
  <c r="J75" i="93"/>
  <c r="F75" i="93"/>
  <c r="H77" i="93"/>
  <c r="G420" i="2"/>
  <c r="Q420" i="2" s="1"/>
  <c r="G75" i="93"/>
  <c r="D75" i="93"/>
  <c r="H79" i="93"/>
  <c r="F79" i="93"/>
  <c r="H75" i="93"/>
  <c r="P406" i="2"/>
  <c r="I39" i="32"/>
  <c r="D37" i="32"/>
  <c r="D39" i="32"/>
  <c r="I37" i="32"/>
  <c r="F39" i="32"/>
  <c r="E35" i="32"/>
  <c r="Q406" i="2"/>
  <c r="D411" i="2"/>
  <c r="N411" i="2" s="1"/>
  <c r="F35" i="32"/>
  <c r="B411" i="2"/>
  <c r="L411" i="2" s="1"/>
  <c r="H37" i="32"/>
  <c r="F37" i="32"/>
  <c r="E39" i="32"/>
  <c r="J35" i="32"/>
  <c r="E37" i="32"/>
  <c r="I35" i="32"/>
  <c r="H35" i="32"/>
  <c r="G37" i="32"/>
  <c r="G35" i="32"/>
  <c r="J37" i="32"/>
  <c r="J39" i="32"/>
  <c r="E411" i="2"/>
  <c r="O411" i="2" s="1"/>
  <c r="H39" i="32"/>
  <c r="F12" i="32"/>
  <c r="F11" i="32"/>
  <c r="G12" i="32"/>
  <c r="G11" i="32"/>
  <c r="D12" i="32"/>
  <c r="D11" i="32"/>
  <c r="H11" i="32"/>
  <c r="H12" i="32"/>
  <c r="I11" i="32"/>
  <c r="I12" i="32"/>
  <c r="E12" i="32"/>
  <c r="E11" i="32"/>
  <c r="E468" i="3"/>
  <c r="H46" i="89"/>
  <c r="F48" i="89"/>
  <c r="I12" i="89"/>
  <c r="F11" i="89"/>
  <c r="J12" i="89"/>
  <c r="D11" i="89"/>
  <c r="H11" i="89"/>
  <c r="F60" i="87"/>
  <c r="D60" i="87"/>
  <c r="J60" i="87"/>
  <c r="C63" i="2"/>
  <c r="M63" i="2" s="1"/>
  <c r="D44" i="84"/>
  <c r="H40" i="84"/>
  <c r="H42" i="84"/>
  <c r="E40" i="84"/>
  <c r="D63" i="2"/>
  <c r="N63" i="2" s="1"/>
  <c r="R56" i="2"/>
  <c r="D40" i="84"/>
  <c r="G63" i="2"/>
  <c r="Q63" i="2" s="1"/>
  <c r="E42" i="84"/>
  <c r="E63" i="2"/>
  <c r="O63" i="2" s="1"/>
  <c r="D42" i="84"/>
  <c r="E44" i="84"/>
  <c r="C402" i="2"/>
  <c r="B402" i="2"/>
  <c r="L402" i="2" s="1"/>
  <c r="E402" i="2"/>
  <c r="H402" i="2"/>
  <c r="H404" i="2" s="1"/>
  <c r="R404" i="2" s="1"/>
  <c r="F59" i="82"/>
  <c r="I57" i="82"/>
  <c r="G57" i="82"/>
  <c r="F5" i="82"/>
  <c r="F18" i="82" s="1"/>
  <c r="G5" i="82"/>
  <c r="G18" i="82" s="1"/>
  <c r="G59" i="82"/>
  <c r="I5" i="82"/>
  <c r="I18" i="82" s="1"/>
  <c r="G61" i="82"/>
  <c r="E5" i="82"/>
  <c r="E18" i="82" s="1"/>
  <c r="E59" i="82"/>
  <c r="H61" i="82"/>
  <c r="D59" i="82"/>
  <c r="D57" i="82"/>
  <c r="G402" i="2"/>
  <c r="G404" i="2" s="1"/>
  <c r="D402" i="2"/>
  <c r="N402" i="2" s="1"/>
  <c r="I61" i="82"/>
  <c r="E57" i="82"/>
  <c r="H57" i="82"/>
  <c r="I59" i="82"/>
  <c r="D61" i="82"/>
  <c r="F57" i="82"/>
  <c r="F61" i="82"/>
  <c r="H59" i="82"/>
  <c r="J57" i="82"/>
  <c r="E61" i="82"/>
  <c r="D16" i="82"/>
  <c r="D5" i="82"/>
  <c r="D18" i="82" s="1"/>
  <c r="F402" i="2"/>
  <c r="F404" i="2" s="1"/>
  <c r="P404" i="2" s="1"/>
  <c r="B404" i="2"/>
  <c r="L404" i="2" s="1"/>
  <c r="H5" i="82"/>
  <c r="H18" i="82" s="1"/>
  <c r="J59" i="82"/>
  <c r="J5" i="82"/>
  <c r="J18" i="82" s="1"/>
  <c r="J61" i="82"/>
  <c r="H46" i="81"/>
  <c r="H44" i="81"/>
  <c r="F48" i="81"/>
  <c r="H48" i="81"/>
  <c r="I44" i="81"/>
  <c r="E48" i="81"/>
  <c r="D44" i="81"/>
  <c r="E44" i="81"/>
  <c r="G46" i="81"/>
  <c r="G44" i="81"/>
  <c r="J44" i="81"/>
  <c r="G48" i="81"/>
  <c r="J46" i="81"/>
  <c r="I33" i="70"/>
  <c r="I31" i="70"/>
  <c r="I29" i="70"/>
  <c r="G35" i="3"/>
  <c r="G392" i="2"/>
  <c r="Q392" i="2" s="1"/>
  <c r="J27" i="60"/>
  <c r="J23" i="60"/>
  <c r="E392" i="2"/>
  <c r="O392" i="2" s="1"/>
  <c r="J25" i="60"/>
  <c r="I25" i="79"/>
  <c r="E54" i="2"/>
  <c r="O54" i="2" s="1"/>
  <c r="H43" i="29"/>
  <c r="H47" i="29"/>
  <c r="F165" i="3"/>
  <c r="H45" i="29"/>
  <c r="C54" i="2"/>
  <c r="M54" i="2" s="1"/>
  <c r="E43" i="29"/>
  <c r="C100" i="2"/>
  <c r="M100" i="2" s="1"/>
  <c r="H39" i="64"/>
  <c r="I43" i="64"/>
  <c r="D100" i="2"/>
  <c r="N100" i="2" s="1"/>
  <c r="E100" i="2"/>
  <c r="O100" i="2" s="1"/>
  <c r="B100" i="2"/>
  <c r="L100" i="2" s="1"/>
  <c r="G391" i="3"/>
  <c r="F43" i="64"/>
  <c r="I41" i="64"/>
  <c r="H43" i="64"/>
  <c r="F39" i="64"/>
  <c r="G100" i="2"/>
  <c r="Q100" i="2" s="1"/>
  <c r="G39" i="64"/>
  <c r="I39" i="64"/>
  <c r="G41" i="64"/>
  <c r="F100" i="2"/>
  <c r="P100" i="2" s="1"/>
  <c r="J39" i="64"/>
  <c r="J43" i="64"/>
  <c r="J41" i="64"/>
  <c r="I76" i="31"/>
  <c r="H226" i="2"/>
  <c r="R226" i="2" s="1"/>
  <c r="F76" i="31"/>
  <c r="I78" i="31"/>
  <c r="H76" i="31"/>
  <c r="B223" i="2"/>
  <c r="B226" i="2" s="1"/>
  <c r="L226" i="2" s="1"/>
  <c r="G78" i="31"/>
  <c r="F78" i="31"/>
  <c r="G76" i="31"/>
  <c r="H78" i="31"/>
  <c r="E80" i="31"/>
  <c r="F80" i="31"/>
  <c r="H80" i="31"/>
  <c r="E76" i="31"/>
  <c r="C223" i="2"/>
  <c r="M223" i="2" s="1"/>
  <c r="H21" i="31"/>
  <c r="H22" i="31"/>
  <c r="H6" i="31"/>
  <c r="H25" i="31" s="1"/>
  <c r="D80" i="31"/>
  <c r="J6" i="31"/>
  <c r="J25" i="31" s="1"/>
  <c r="J21" i="31"/>
  <c r="J22" i="31"/>
  <c r="H496" i="3"/>
  <c r="J76" i="31"/>
  <c r="I21" i="31"/>
  <c r="I6" i="31"/>
  <c r="I25" i="31" s="1"/>
  <c r="I22" i="31"/>
  <c r="J78" i="31"/>
  <c r="G22" i="31"/>
  <c r="G6" i="31"/>
  <c r="G25" i="31" s="1"/>
  <c r="G21" i="31"/>
  <c r="E22" i="31"/>
  <c r="E6" i="31"/>
  <c r="E25" i="31" s="1"/>
  <c r="E21" i="31"/>
  <c r="D76" i="31"/>
  <c r="F21" i="31"/>
  <c r="F6" i="31"/>
  <c r="F25" i="31" s="1"/>
  <c r="F22" i="31"/>
  <c r="J80" i="31"/>
  <c r="D22" i="31"/>
  <c r="D6" i="31"/>
  <c r="D25" i="31" s="1"/>
  <c r="D21" i="31"/>
  <c r="D78" i="31"/>
  <c r="R223" i="2"/>
  <c r="O223" i="2"/>
  <c r="G294" i="2"/>
  <c r="G451" i="3"/>
  <c r="I35" i="25"/>
  <c r="E37" i="25"/>
  <c r="I33" i="25"/>
  <c r="C197" i="2"/>
  <c r="M197" i="2" s="1"/>
  <c r="G189" i="2"/>
  <c r="Q189" i="2" s="1"/>
  <c r="C371" i="2"/>
  <c r="M371" i="2" s="1"/>
  <c r="C260" i="2"/>
  <c r="R260" i="2"/>
  <c r="Q260" i="2"/>
  <c r="C7" i="2"/>
  <c r="M7" i="2" s="1"/>
  <c r="O4" i="2"/>
  <c r="E7" i="2"/>
  <c r="O7" i="2" s="1"/>
  <c r="C420" i="2"/>
  <c r="M420" i="2" s="1"/>
  <c r="F420" i="2"/>
  <c r="P420" i="2" s="1"/>
  <c r="E420" i="2"/>
  <c r="O420" i="2" s="1"/>
  <c r="R413" i="2"/>
  <c r="E23" i="58"/>
  <c r="H21" i="58"/>
  <c r="G21" i="58"/>
  <c r="G23" i="58"/>
  <c r="E21" i="58"/>
  <c r="I23" i="58"/>
  <c r="C185" i="3"/>
  <c r="F160" i="2"/>
  <c r="P160" i="2" s="1"/>
  <c r="D160" i="2"/>
  <c r="N160" i="2" s="1"/>
  <c r="I23" i="79"/>
  <c r="E160" i="2"/>
  <c r="O160" i="2" s="1"/>
  <c r="N118" i="2"/>
  <c r="D120" i="2"/>
  <c r="N120" i="2" s="1"/>
  <c r="E447" i="2"/>
  <c r="F447" i="2"/>
  <c r="P447" i="2" s="1"/>
  <c r="B447" i="2"/>
  <c r="L447" i="2" s="1"/>
  <c r="C447" i="2"/>
  <c r="C449" i="2" s="1"/>
  <c r="M449" i="2" s="1"/>
  <c r="Q442" i="2"/>
  <c r="G447" i="2"/>
  <c r="B449" i="2"/>
  <c r="L449" i="2" s="1"/>
  <c r="D45" i="2"/>
  <c r="E74" i="43"/>
  <c r="E72" i="43"/>
  <c r="J70" i="43"/>
  <c r="J72" i="43"/>
  <c r="E19" i="43"/>
  <c r="H33" i="2"/>
  <c r="R33" i="2" s="1"/>
  <c r="D260" i="2"/>
  <c r="J5" i="37"/>
  <c r="J15" i="37" s="1"/>
  <c r="J13" i="37"/>
  <c r="I5" i="37"/>
  <c r="I15" i="37" s="1"/>
  <c r="I13" i="37"/>
  <c r="H13" i="37"/>
  <c r="H5" i="37"/>
  <c r="H15" i="37" s="1"/>
  <c r="P256" i="2"/>
  <c r="F260" i="2"/>
  <c r="G13" i="37"/>
  <c r="G5" i="37"/>
  <c r="G15" i="37" s="1"/>
  <c r="F5" i="37"/>
  <c r="F15" i="37" s="1"/>
  <c r="F13" i="37"/>
  <c r="E5" i="37"/>
  <c r="E15" i="37" s="1"/>
  <c r="E13" i="37"/>
  <c r="B260" i="2"/>
  <c r="B262" i="2" s="1"/>
  <c r="L262" i="2" s="1"/>
  <c r="F197" i="2"/>
  <c r="P197" i="2" s="1"/>
  <c r="B197" i="2"/>
  <c r="L197" i="2" s="1"/>
  <c r="H7" i="23"/>
  <c r="H8" i="23"/>
  <c r="E339" i="2"/>
  <c r="O339" i="2" s="1"/>
  <c r="J41" i="13"/>
  <c r="D41" i="13"/>
  <c r="E43" i="13"/>
  <c r="J39" i="13"/>
  <c r="J5" i="13"/>
  <c r="J15" i="13" s="1"/>
  <c r="G5" i="13"/>
  <c r="G15" i="13" s="1"/>
  <c r="H5" i="13"/>
  <c r="H15" i="13" s="1"/>
  <c r="F43" i="13"/>
  <c r="F5" i="13"/>
  <c r="F15" i="13" s="1"/>
  <c r="C14" i="2"/>
  <c r="M14" i="2" s="1"/>
  <c r="E41" i="13"/>
  <c r="F395" i="3"/>
  <c r="H23" i="11"/>
  <c r="B160" i="2"/>
  <c r="L160" i="2" s="1"/>
  <c r="E395" i="3"/>
  <c r="E541" i="3" s="1"/>
  <c r="D179" i="2"/>
  <c r="E120" i="2"/>
  <c r="E122" i="2" s="1"/>
  <c r="O122" i="2" s="1"/>
  <c r="O9" i="2"/>
  <c r="N360" i="2"/>
  <c r="D363" i="2"/>
  <c r="N363" i="2" s="1"/>
  <c r="L360" i="2"/>
  <c r="B363" i="2"/>
  <c r="L363" i="2" s="1"/>
  <c r="E253" i="2"/>
  <c r="O253" i="2" s="1"/>
  <c r="O251" i="2"/>
  <c r="N88" i="2"/>
  <c r="D91" i="2"/>
  <c r="N91" i="2" s="1"/>
  <c r="F449" i="2"/>
  <c r="P449" i="2" s="1"/>
  <c r="C363" i="2"/>
  <c r="M363" i="2" s="1"/>
  <c r="M360" i="2"/>
  <c r="C30" i="2"/>
  <c r="C33" i="2" s="1"/>
  <c r="M33" i="2" s="1"/>
  <c r="H14" i="2"/>
  <c r="R14" i="2" s="1"/>
  <c r="G14" i="2"/>
  <c r="Q14" i="2" s="1"/>
  <c r="P294" i="2"/>
  <c r="F296" i="2"/>
  <c r="P296" i="2" s="1"/>
  <c r="E91" i="2"/>
  <c r="O91" i="2" s="1"/>
  <c r="O88" i="2"/>
  <c r="F363" i="2"/>
  <c r="P363" i="2" s="1"/>
  <c r="P360" i="2"/>
  <c r="D449" i="2"/>
  <c r="N449" i="2" s="1"/>
  <c r="N447" i="2"/>
  <c r="D253" i="2"/>
  <c r="N253" i="2" s="1"/>
  <c r="N251" i="2"/>
  <c r="E449" i="2"/>
  <c r="O449" i="2" s="1"/>
  <c r="O447" i="2"/>
  <c r="I468" i="2"/>
  <c r="I8" i="23"/>
  <c r="I7" i="23"/>
  <c r="F7" i="23"/>
  <c r="F8" i="23"/>
  <c r="N337" i="2"/>
  <c r="D339" i="2"/>
  <c r="N339" i="2" s="1"/>
  <c r="J8" i="23"/>
  <c r="J7" i="23"/>
  <c r="I24" i="23"/>
  <c r="G7" i="23"/>
  <c r="G8" i="23"/>
  <c r="B30" i="2"/>
  <c r="B33" i="2" s="1"/>
  <c r="L33" i="2" s="1"/>
  <c r="R376" i="2"/>
  <c r="H378" i="2"/>
  <c r="R378" i="2" s="1"/>
  <c r="Q195" i="2"/>
  <c r="G197" i="2"/>
  <c r="Q197" i="2" s="1"/>
  <c r="I20" i="57"/>
  <c r="I5" i="57"/>
  <c r="I22" i="57" s="1"/>
  <c r="M77" i="2"/>
  <c r="C79" i="2"/>
  <c r="M79" i="2" s="1"/>
  <c r="J5" i="26"/>
  <c r="J18" i="26" s="1"/>
  <c r="J16" i="26"/>
  <c r="E60" i="87"/>
  <c r="I56" i="87"/>
  <c r="H56" i="87"/>
  <c r="C211" i="3"/>
  <c r="G56" i="87"/>
  <c r="I60" i="87"/>
  <c r="G58" i="87"/>
  <c r="D56" i="87"/>
  <c r="C45" i="2"/>
  <c r="G60" i="49"/>
  <c r="I60" i="49"/>
  <c r="H58" i="49"/>
  <c r="G58" i="49"/>
  <c r="F46" i="3"/>
  <c r="F60" i="49"/>
  <c r="B45" i="2"/>
  <c r="F45" i="2"/>
  <c r="P45" i="2" s="1"/>
  <c r="M188" i="2"/>
  <c r="P188" i="2"/>
  <c r="F189" i="2"/>
  <c r="P189" i="2" s="1"/>
  <c r="D63" i="27"/>
  <c r="F61" i="27"/>
  <c r="G63" i="27"/>
  <c r="H63" i="27"/>
  <c r="J61" i="27"/>
  <c r="D61" i="27"/>
  <c r="F65" i="27"/>
  <c r="G65" i="27"/>
  <c r="J65" i="27"/>
  <c r="F63" i="27"/>
  <c r="G61" i="27"/>
  <c r="H61" i="27"/>
  <c r="H349" i="2"/>
  <c r="J6" i="27"/>
  <c r="J21" i="27" s="1"/>
  <c r="J17" i="27"/>
  <c r="I17" i="27"/>
  <c r="I6" i="27"/>
  <c r="I21" i="27" s="1"/>
  <c r="Q342" i="2"/>
  <c r="G349" i="2"/>
  <c r="H17" i="27"/>
  <c r="H6" i="27"/>
  <c r="H21" i="27" s="1"/>
  <c r="F349" i="2"/>
  <c r="P342" i="2"/>
  <c r="G17" i="27"/>
  <c r="G6" i="27"/>
  <c r="G21" i="27" s="1"/>
  <c r="O342" i="2"/>
  <c r="E349" i="2"/>
  <c r="N342" i="2"/>
  <c r="D349" i="2"/>
  <c r="F6" i="27"/>
  <c r="F21" i="27" s="1"/>
  <c r="F17" i="27"/>
  <c r="M349" i="2"/>
  <c r="C352" i="2"/>
  <c r="M352" i="2" s="1"/>
  <c r="E17" i="27"/>
  <c r="E6" i="27"/>
  <c r="E21" i="27" s="1"/>
  <c r="L342" i="2"/>
  <c r="B349" i="2"/>
  <c r="D17" i="27"/>
  <c r="D6" i="27"/>
  <c r="D21" i="27" s="1"/>
  <c r="D70" i="43"/>
  <c r="I70" i="43"/>
  <c r="I74" i="43"/>
  <c r="I72" i="43"/>
  <c r="G70" i="43"/>
  <c r="D232" i="3"/>
  <c r="D72" i="43"/>
  <c r="D74" i="43"/>
  <c r="D19" i="43"/>
  <c r="B232" i="3"/>
  <c r="K232" i="3" s="1"/>
  <c r="C232" i="3"/>
  <c r="E275" i="2"/>
  <c r="E278" i="2" s="1"/>
  <c r="E70" i="43"/>
  <c r="G72" i="43"/>
  <c r="F275" i="2"/>
  <c r="P275" i="2" s="1"/>
  <c r="E232" i="3"/>
  <c r="G275" i="2"/>
  <c r="J19" i="43"/>
  <c r="J5" i="43"/>
  <c r="J21" i="43" s="1"/>
  <c r="D275" i="2"/>
  <c r="H5" i="43"/>
  <c r="H21" i="43" s="1"/>
  <c r="H19" i="43"/>
  <c r="G5" i="43"/>
  <c r="G21" i="43" s="1"/>
  <c r="G19" i="43"/>
  <c r="F19" i="43"/>
  <c r="F5" i="43"/>
  <c r="F21" i="43" s="1"/>
  <c r="C275" i="2"/>
  <c r="G35" i="28"/>
  <c r="H35" i="28"/>
  <c r="G33" i="28"/>
  <c r="G37" i="28"/>
  <c r="H37" i="28"/>
  <c r="E37" i="28"/>
  <c r="J35" i="28"/>
  <c r="F37" i="28"/>
  <c r="F33" i="28"/>
  <c r="F35" i="28"/>
  <c r="E35" i="28"/>
  <c r="J37" i="28"/>
  <c r="J33" i="28"/>
  <c r="E33" i="28"/>
  <c r="I37" i="28"/>
  <c r="I33" i="28"/>
  <c r="I35" i="28"/>
  <c r="F371" i="2"/>
  <c r="P371" i="2" s="1"/>
  <c r="B371" i="2"/>
  <c r="L371" i="2" s="1"/>
  <c r="G371" i="2"/>
  <c r="Q371" i="2" s="1"/>
  <c r="H371" i="2"/>
  <c r="R371" i="2" s="1"/>
  <c r="E371" i="2"/>
  <c r="O371" i="2" s="1"/>
  <c r="D51" i="66"/>
  <c r="J51" i="66"/>
  <c r="D47" i="66"/>
  <c r="J47" i="66"/>
  <c r="O233" i="2"/>
  <c r="E235" i="2"/>
  <c r="O235" i="2" s="1"/>
  <c r="O228" i="2"/>
  <c r="H233" i="2"/>
  <c r="R233" i="2" s="1"/>
  <c r="Q228" i="2"/>
  <c r="G233" i="2"/>
  <c r="Q233" i="2" s="1"/>
  <c r="P228" i="2"/>
  <c r="F233" i="2"/>
  <c r="P233" i="2" s="1"/>
  <c r="D233" i="2"/>
  <c r="N233" i="2" s="1"/>
  <c r="N228" i="2"/>
  <c r="M228" i="2"/>
  <c r="C233" i="2"/>
  <c r="M233" i="2" s="1"/>
  <c r="L228" i="2"/>
  <c r="B233" i="2"/>
  <c r="L233" i="2" s="1"/>
  <c r="H32" i="75"/>
  <c r="H303" i="2"/>
  <c r="R303" i="2" s="1"/>
  <c r="Q298" i="2"/>
  <c r="G303" i="2"/>
  <c r="Q303" i="2" s="1"/>
  <c r="P298" i="2"/>
  <c r="F303" i="2"/>
  <c r="P303" i="2" s="1"/>
  <c r="O298" i="2"/>
  <c r="E303" i="2"/>
  <c r="O303" i="2" s="1"/>
  <c r="N298" i="2"/>
  <c r="D303" i="2"/>
  <c r="N303" i="2" s="1"/>
  <c r="M298" i="2"/>
  <c r="C303" i="2"/>
  <c r="M303" i="2" s="1"/>
  <c r="B303" i="2"/>
  <c r="L303" i="2" s="1"/>
  <c r="L298" i="2"/>
  <c r="P332" i="2"/>
  <c r="F335" i="2"/>
  <c r="P335" i="2" s="1"/>
  <c r="R332" i="2"/>
  <c r="H335" i="2"/>
  <c r="R335" i="2" s="1"/>
  <c r="O332" i="2"/>
  <c r="E335" i="2"/>
  <c r="I48" i="81"/>
  <c r="I46" i="81"/>
  <c r="F46" i="81"/>
  <c r="E46" i="81"/>
  <c r="C455" i="2"/>
  <c r="M455" i="2" s="1"/>
  <c r="D48" i="81"/>
  <c r="D46" i="81"/>
  <c r="G455" i="2"/>
  <c r="B455" i="2"/>
  <c r="L455" i="2" s="1"/>
  <c r="D455" i="2"/>
  <c r="N455" i="2" s="1"/>
  <c r="E455" i="2"/>
  <c r="O455" i="2" s="1"/>
  <c r="Q455" i="2"/>
  <c r="B464" i="2"/>
  <c r="L464" i="2" s="1"/>
  <c r="R454" i="2"/>
  <c r="H455" i="2"/>
  <c r="R455" i="2" s="1"/>
  <c r="P454" i="2"/>
  <c r="F455" i="2"/>
  <c r="E82" i="38"/>
  <c r="F82" i="38"/>
  <c r="H82" i="38"/>
  <c r="H86" i="38"/>
  <c r="E30" i="2"/>
  <c r="E33" i="2" s="1"/>
  <c r="G6" i="38"/>
  <c r="G25" i="38" s="1"/>
  <c r="R30" i="2"/>
  <c r="D6" i="38"/>
  <c r="D25" i="38" s="1"/>
  <c r="D21" i="38"/>
  <c r="J6" i="38"/>
  <c r="J25" i="38" s="1"/>
  <c r="J21" i="38"/>
  <c r="Q27" i="2"/>
  <c r="G30" i="2"/>
  <c r="I21" i="38"/>
  <c r="I6" i="38"/>
  <c r="I25" i="38" s="1"/>
  <c r="H21" i="38"/>
  <c r="H6" i="38"/>
  <c r="H25" i="38" s="1"/>
  <c r="P27" i="2"/>
  <c r="F30" i="2"/>
  <c r="N27" i="2"/>
  <c r="D30" i="2"/>
  <c r="F6" i="38"/>
  <c r="F25" i="38" s="1"/>
  <c r="F21" i="38"/>
  <c r="H39" i="13"/>
  <c r="H43" i="13"/>
  <c r="F41" i="13"/>
  <c r="H41" i="13"/>
  <c r="I5" i="13"/>
  <c r="I15" i="13" s="1"/>
  <c r="F39" i="13"/>
  <c r="I41" i="13"/>
  <c r="I43" i="13"/>
  <c r="D43" i="13"/>
  <c r="E39" i="13"/>
  <c r="J43" i="13"/>
  <c r="D39" i="13"/>
  <c r="I39" i="13"/>
  <c r="D14" i="2"/>
  <c r="N14" i="2" s="1"/>
  <c r="H6" i="3"/>
  <c r="F14" i="2"/>
  <c r="G41" i="13"/>
  <c r="B14" i="2"/>
  <c r="G43" i="13"/>
  <c r="G39" i="13"/>
  <c r="D5" i="13"/>
  <c r="D15" i="13" s="1"/>
  <c r="D13" i="13"/>
  <c r="E13" i="13"/>
  <c r="E5" i="13"/>
  <c r="E15" i="13" s="1"/>
  <c r="E16" i="2"/>
  <c r="O16" i="2" s="1"/>
  <c r="Q15" i="2"/>
  <c r="N15" i="2"/>
  <c r="F58" i="87"/>
  <c r="H60" i="87"/>
  <c r="F56" i="87"/>
  <c r="G60" i="87"/>
  <c r="J56" i="87"/>
  <c r="D58" i="87"/>
  <c r="H58" i="87"/>
  <c r="J58" i="87"/>
  <c r="R315" i="2"/>
  <c r="H316" i="2"/>
  <c r="R316" i="2" s="1"/>
  <c r="P315" i="2"/>
  <c r="F316" i="2"/>
  <c r="P316" i="2" s="1"/>
  <c r="O315" i="2"/>
  <c r="E316" i="2"/>
  <c r="O316" i="2" s="1"/>
  <c r="D316" i="2"/>
  <c r="N316" i="2" s="1"/>
  <c r="N315" i="2"/>
  <c r="M315" i="2"/>
  <c r="C316" i="2"/>
  <c r="M316" i="2" s="1"/>
  <c r="B316" i="2"/>
  <c r="L316" i="2" s="1"/>
  <c r="L315" i="2"/>
  <c r="Q177" i="2"/>
  <c r="D404" i="2"/>
  <c r="N404" i="2" s="1"/>
  <c r="R402" i="2"/>
  <c r="M402" i="2"/>
  <c r="C404" i="2"/>
  <c r="M404" i="2" s="1"/>
  <c r="O402" i="2"/>
  <c r="E404" i="2"/>
  <c r="P118" i="2"/>
  <c r="F120" i="2"/>
  <c r="P120" i="2" s="1"/>
  <c r="L118" i="2"/>
  <c r="B120" i="2"/>
  <c r="L120" i="2" s="1"/>
  <c r="R447" i="2"/>
  <c r="H449" i="2"/>
  <c r="D226" i="2"/>
  <c r="N223" i="2"/>
  <c r="C226" i="2"/>
  <c r="P223" i="2"/>
  <c r="F226" i="2"/>
  <c r="P226" i="2" s="1"/>
  <c r="G226" i="2"/>
  <c r="Q223" i="2"/>
  <c r="C296" i="2"/>
  <c r="M294" i="2"/>
  <c r="L294" i="2"/>
  <c r="B296" i="2"/>
  <c r="L296" i="2" s="1"/>
  <c r="G296" i="2"/>
  <c r="Q296" i="2" s="1"/>
  <c r="Q294" i="2"/>
  <c r="N294" i="2"/>
  <c r="D296" i="2"/>
  <c r="N296" i="2" s="1"/>
  <c r="H278" i="2"/>
  <c r="R275" i="2"/>
  <c r="B278" i="2"/>
  <c r="L278" i="2" s="1"/>
  <c r="L275" i="2"/>
  <c r="L30" i="2"/>
  <c r="L260" i="2"/>
  <c r="H363" i="2"/>
  <c r="R360" i="2"/>
  <c r="F79" i="2"/>
  <c r="P77" i="2"/>
  <c r="L77" i="2"/>
  <c r="B79" i="2"/>
  <c r="N77" i="2"/>
  <c r="D79" i="2"/>
  <c r="E79" i="2"/>
  <c r="O79" i="2" s="1"/>
  <c r="O77" i="2"/>
  <c r="R197" i="2"/>
  <c r="Q339" i="2"/>
  <c r="B253" i="2"/>
  <c r="L251" i="2"/>
  <c r="Q251" i="2"/>
  <c r="G253" i="2"/>
  <c r="L189" i="2"/>
  <c r="E179" i="2"/>
  <c r="R106" i="2"/>
  <c r="H109" i="2"/>
  <c r="R109" i="2" s="1"/>
  <c r="H160" i="2"/>
  <c r="R160" i="2" s="1"/>
  <c r="R155" i="2"/>
  <c r="M120" i="2"/>
  <c r="C122" i="2"/>
  <c r="M122" i="2" s="1"/>
  <c r="Q115" i="2"/>
  <c r="G118" i="2"/>
  <c r="R179" i="2"/>
  <c r="H181" i="2"/>
  <c r="R181" i="2" s="1"/>
  <c r="D181" i="2"/>
  <c r="N181" i="2" s="1"/>
  <c r="N179" i="2"/>
  <c r="Q179" i="2"/>
  <c r="G181" i="2"/>
  <c r="Q181" i="2" s="1"/>
  <c r="E12" i="89"/>
  <c r="E11" i="89"/>
  <c r="F179" i="2"/>
  <c r="C179" i="2"/>
  <c r="M177" i="2"/>
  <c r="L45" i="2"/>
  <c r="O45" i="2"/>
  <c r="M45" i="2"/>
  <c r="Q45" i="2"/>
  <c r="N45" i="2"/>
  <c r="J12" i="32"/>
  <c r="J11" i="32"/>
  <c r="H411" i="2"/>
  <c r="R411" i="2" s="1"/>
  <c r="R409" i="2"/>
  <c r="L172" i="2"/>
  <c r="B181" i="2"/>
  <c r="L181" i="2" s="1"/>
  <c r="B542" i="3"/>
  <c r="H392" i="2"/>
  <c r="R391" i="2"/>
  <c r="L392" i="2"/>
  <c r="M391" i="2"/>
  <c r="C392" i="2"/>
  <c r="P391" i="2"/>
  <c r="F392" i="2"/>
  <c r="N392" i="2"/>
  <c r="R49" i="2"/>
  <c r="H54" i="2"/>
  <c r="H118" i="2"/>
  <c r="R115" i="2"/>
  <c r="D540" i="3" l="1"/>
  <c r="G542" i="3"/>
  <c r="G540" i="3"/>
  <c r="D542" i="3"/>
  <c r="B430" i="2"/>
  <c r="L430" i="2" s="1"/>
  <c r="C541" i="3"/>
  <c r="P402" i="2"/>
  <c r="Q402" i="2"/>
  <c r="G543" i="3"/>
  <c r="F541" i="3"/>
  <c r="O120" i="2"/>
  <c r="G541" i="3"/>
  <c r="G538" i="3"/>
  <c r="L223" i="2"/>
  <c r="H543" i="3"/>
  <c r="B235" i="2"/>
  <c r="L235" i="2" s="1"/>
  <c r="E538" i="3"/>
  <c r="M30" i="2"/>
  <c r="C262" i="2"/>
  <c r="M262" i="2" s="1"/>
  <c r="M260" i="2"/>
  <c r="D430" i="2"/>
  <c r="N430" i="2" s="1"/>
  <c r="M447" i="2"/>
  <c r="C464" i="2"/>
  <c r="M464" i="2" s="1"/>
  <c r="G449" i="2"/>
  <c r="Q449" i="2" s="1"/>
  <c r="Q447" i="2"/>
  <c r="D464" i="2"/>
  <c r="N464" i="2" s="1"/>
  <c r="H235" i="2"/>
  <c r="R235" i="2" s="1"/>
  <c r="O275" i="2"/>
  <c r="D262" i="2"/>
  <c r="N262" i="2" s="1"/>
  <c r="N260" i="2"/>
  <c r="P260" i="2"/>
  <c r="F262" i="2"/>
  <c r="P262" i="2" s="1"/>
  <c r="G16" i="2"/>
  <c r="Q16" i="2" s="1"/>
  <c r="C16" i="2"/>
  <c r="M16" i="2" s="1"/>
  <c r="H16" i="2"/>
  <c r="R16" i="2" s="1"/>
  <c r="F540" i="3"/>
  <c r="E543" i="3"/>
  <c r="E542" i="3"/>
  <c r="E540" i="3"/>
  <c r="H538" i="3"/>
  <c r="F542" i="3"/>
  <c r="F543" i="3"/>
  <c r="Q404" i="2"/>
  <c r="G430" i="2"/>
  <c r="Q430" i="2" s="1"/>
  <c r="F278" i="2"/>
  <c r="P278" i="2" s="1"/>
  <c r="D538" i="3"/>
  <c r="D541" i="3"/>
  <c r="D543" i="3"/>
  <c r="C543" i="3"/>
  <c r="C540" i="3"/>
  <c r="C542" i="3"/>
  <c r="C538" i="3"/>
  <c r="F538" i="3"/>
  <c r="C384" i="2"/>
  <c r="M384" i="2" s="1"/>
  <c r="H352" i="2"/>
  <c r="R352" i="2" s="1"/>
  <c r="R349" i="2"/>
  <c r="G352" i="2"/>
  <c r="Q349" i="2"/>
  <c r="F352" i="2"/>
  <c r="P352" i="2" s="1"/>
  <c r="P349" i="2"/>
  <c r="O349" i="2"/>
  <c r="E352" i="2"/>
  <c r="O352" i="2" s="1"/>
  <c r="N349" i="2"/>
  <c r="D352" i="2"/>
  <c r="B352" i="2"/>
  <c r="L349" i="2"/>
  <c r="B543" i="3"/>
  <c r="K543" i="3" s="1"/>
  <c r="B540" i="3"/>
  <c r="K540" i="3" s="1"/>
  <c r="B538" i="3"/>
  <c r="K538" i="3" s="1"/>
  <c r="B541" i="3"/>
  <c r="Q275" i="2"/>
  <c r="G278" i="2"/>
  <c r="Q278" i="2" s="1"/>
  <c r="D278" i="2"/>
  <c r="N278" i="2" s="1"/>
  <c r="N275" i="2"/>
  <c r="C278" i="2"/>
  <c r="M278" i="2" s="1"/>
  <c r="M275" i="2"/>
  <c r="F235" i="2"/>
  <c r="P235" i="2" s="1"/>
  <c r="O335" i="2"/>
  <c r="E464" i="2"/>
  <c r="O464" i="2" s="1"/>
  <c r="P455" i="2"/>
  <c r="F464" i="2"/>
  <c r="P464" i="2" s="1"/>
  <c r="O30" i="2"/>
  <c r="O33" i="2"/>
  <c r="E65" i="2"/>
  <c r="O65" i="2" s="1"/>
  <c r="Q30" i="2"/>
  <c r="G33" i="2"/>
  <c r="P30" i="2"/>
  <c r="F33" i="2"/>
  <c r="P33" i="2" s="1"/>
  <c r="D33" i="2"/>
  <c r="N33" i="2" s="1"/>
  <c r="N30" i="2"/>
  <c r="H542" i="3"/>
  <c r="H541" i="3"/>
  <c r="D16" i="2"/>
  <c r="H540" i="3"/>
  <c r="C65" i="2"/>
  <c r="M65" i="2" s="1"/>
  <c r="P14" i="2"/>
  <c r="F16" i="2"/>
  <c r="L14" i="2"/>
  <c r="B16" i="2"/>
  <c r="L16" i="2" s="1"/>
  <c r="O404" i="2"/>
  <c r="E430" i="2"/>
  <c r="O430" i="2" s="1"/>
  <c r="H464" i="2"/>
  <c r="R464" i="2" s="1"/>
  <c r="R449" i="2"/>
  <c r="M226" i="2"/>
  <c r="C235" i="2"/>
  <c r="M235" i="2" s="1"/>
  <c r="Q226" i="2"/>
  <c r="G235" i="2"/>
  <c r="Q235" i="2" s="1"/>
  <c r="N226" i="2"/>
  <c r="D235" i="2"/>
  <c r="N235" i="2" s="1"/>
  <c r="M296" i="2"/>
  <c r="O278" i="2"/>
  <c r="E327" i="2"/>
  <c r="O327" i="2" s="1"/>
  <c r="R278" i="2"/>
  <c r="H327" i="2"/>
  <c r="R327" i="2" s="1"/>
  <c r="R363" i="2"/>
  <c r="H384" i="2"/>
  <c r="R384" i="2" s="1"/>
  <c r="L79" i="2"/>
  <c r="B122" i="2"/>
  <c r="L122" i="2" s="1"/>
  <c r="N79" i="2"/>
  <c r="D122" i="2"/>
  <c r="N122" i="2" s="1"/>
  <c r="P79" i="2"/>
  <c r="F122" i="2"/>
  <c r="P122" i="2" s="1"/>
  <c r="Q253" i="2"/>
  <c r="L253" i="2"/>
  <c r="B327" i="2"/>
  <c r="L327" i="2" s="1"/>
  <c r="O179" i="2"/>
  <c r="E181" i="2"/>
  <c r="O181" i="2" s="1"/>
  <c r="G120" i="2"/>
  <c r="Q118" i="2"/>
  <c r="C181" i="2"/>
  <c r="M181" i="2" s="1"/>
  <c r="M179" i="2"/>
  <c r="P179" i="2"/>
  <c r="F181" i="2"/>
  <c r="P181" i="2" s="1"/>
  <c r="R392" i="2"/>
  <c r="H430" i="2"/>
  <c r="R430" i="2" s="1"/>
  <c r="M392" i="2"/>
  <c r="C430" i="2"/>
  <c r="P392" i="2"/>
  <c r="F430" i="2"/>
  <c r="R54" i="2"/>
  <c r="H65" i="2"/>
  <c r="R65" i="2" s="1"/>
  <c r="H120" i="2"/>
  <c r="R118" i="2"/>
  <c r="D327" i="2" l="1"/>
  <c r="N327" i="2" s="1"/>
  <c r="G464" i="2"/>
  <c r="Q464" i="2" s="1"/>
  <c r="G327" i="2"/>
  <c r="Q327" i="2" s="1"/>
  <c r="F327" i="2"/>
  <c r="P327" i="2" s="1"/>
  <c r="C327" i="2"/>
  <c r="M327" i="2" s="1"/>
  <c r="F384" i="2"/>
  <c r="P384" i="2" s="1"/>
  <c r="E384" i="2"/>
  <c r="O384" i="2" s="1"/>
  <c r="Q352" i="2"/>
  <c r="G384" i="2"/>
  <c r="Q384" i="2" s="1"/>
  <c r="N352" i="2"/>
  <c r="D384" i="2"/>
  <c r="N384" i="2" s="1"/>
  <c r="L352" i="2"/>
  <c r="B384" i="2"/>
  <c r="L384" i="2" s="1"/>
  <c r="Q33" i="2"/>
  <c r="G65" i="2"/>
  <c r="Q65" i="2" s="1"/>
  <c r="N16" i="2"/>
  <c r="D65" i="2"/>
  <c r="N65" i="2" s="1"/>
  <c r="B65" i="2"/>
  <c r="L65" i="2" s="1"/>
  <c r="P16" i="2"/>
  <c r="F65" i="2"/>
  <c r="P65" i="2" s="1"/>
  <c r="G122" i="2"/>
  <c r="Q120" i="2"/>
  <c r="M430" i="2"/>
  <c r="P430" i="2"/>
  <c r="R120" i="2"/>
  <c r="H122" i="2"/>
  <c r="C468" i="2" l="1"/>
  <c r="E468" i="2"/>
  <c r="D468" i="2"/>
  <c r="B468" i="2"/>
  <c r="F468" i="2"/>
  <c r="Q122" i="2"/>
  <c r="G468" i="2"/>
  <c r="R122" i="2"/>
  <c r="H468" i="2"/>
</calcChain>
</file>

<file path=xl/sharedStrings.xml><?xml version="1.0" encoding="utf-8"?>
<sst xmlns="http://schemas.openxmlformats.org/spreadsheetml/2006/main" count="33268" uniqueCount="16718">
  <si>
    <t>Oadby Brocks Hill</t>
  </si>
  <si>
    <t>Oadby Grange</t>
  </si>
  <si>
    <t>Oadby St Peter's</t>
  </si>
  <si>
    <t>Oadby Uplands</t>
  </si>
  <si>
    <t>Oadby Woodlands</t>
  </si>
  <si>
    <t>South Wigston</t>
  </si>
  <si>
    <t>Wigston All Saints</t>
  </si>
  <si>
    <t>Wigston Fields</t>
  </si>
  <si>
    <t>Wigston Meadowcourt</t>
  </si>
  <si>
    <t>Wigston St Wolstan's</t>
  </si>
  <si>
    <t>Chorley North East</t>
  </si>
  <si>
    <t>* as created by The London Borough of Lambeth (Electoral Changes) Order 2000</t>
  </si>
  <si>
    <t># paired with the London Borough of Southwark</t>
  </si>
  <si>
    <t>SOUTHWARK LONDON BOROUGH  * #</t>
  </si>
  <si>
    <t>Camberwell Green</t>
  </si>
  <si>
    <t>Pegswood</t>
  </si>
  <si>
    <t>Plessey</t>
  </si>
  <si>
    <t>Cheshire West and Chester (pt)</t>
  </si>
  <si>
    <t>Cheshire East (pt)</t>
  </si>
  <si>
    <t>Dorchester East</t>
  </si>
  <si>
    <t>Dorchester North</t>
  </si>
  <si>
    <t>Dorchester South</t>
  </si>
  <si>
    <t>Dorchester West</t>
  </si>
  <si>
    <t>Frome Valley</t>
  </si>
  <si>
    <t>Maiden Newton</t>
  </si>
  <si>
    <t>Netherbury</t>
  </si>
  <si>
    <t>* as created by The Borough of Chorley (Electoral Changes) Order 2001</t>
  </si>
  <si>
    <t>Walney South</t>
  </si>
  <si>
    <t>Barrow and Furness CC (pt)</t>
  </si>
  <si>
    <t>Stanwix Rural</t>
  </si>
  <si>
    <t>Stanwix Urban</t>
  </si>
  <si>
    <t>Upperby</t>
  </si>
  <si>
    <t>Wetheral</t>
  </si>
  <si>
    <t>Yewdale</t>
  </si>
  <si>
    <t>* as created by The City of Carlisle (Electoral Changes) Order 1998</t>
  </si>
  <si>
    <t>COPELAND BOROUGH  *</t>
  </si>
  <si>
    <t>Arlecdon</t>
  </si>
  <si>
    <t>Beckermet</t>
  </si>
  <si>
    <t>Bootle</t>
  </si>
  <si>
    <t>Bransty</t>
  </si>
  <si>
    <t>Westham East</t>
  </si>
  <si>
    <t>Westham North</t>
  </si>
  <si>
    <t>Westham West</t>
  </si>
  <si>
    <t>Wey Valley</t>
  </si>
  <si>
    <t>Weymouth East</t>
  </si>
  <si>
    <t>Weymouth West</t>
  </si>
  <si>
    <t>Wyke Regis</t>
  </si>
  <si>
    <t>* as created by The Weymouth and Portland (Electoral Changes) Order 2002</t>
  </si>
  <si>
    <t>* as created by The Borough of Guildford (Electoral Changes) Order 1999</t>
  </si>
  <si>
    <t>MOLE VALLEY DISTRICT  *</t>
  </si>
  <si>
    <t>Ashtead Common</t>
  </si>
  <si>
    <t>Ashtead Park</t>
  </si>
  <si>
    <t>Ashtead Village</t>
  </si>
  <si>
    <t>Beare Green</t>
  </si>
  <si>
    <t>Bookham North</t>
  </si>
  <si>
    <t>Bookham South</t>
  </si>
  <si>
    <t>Box Hill and Headley</t>
  </si>
  <si>
    <t>Brockham, Betchworth and Buckland</t>
  </si>
  <si>
    <t>Capel, Leigh and Newdigate</t>
  </si>
  <si>
    <t>Charlwood</t>
  </si>
  <si>
    <t>Dorking North</t>
  </si>
  <si>
    <t>Dorking South</t>
  </si>
  <si>
    <t>Fetcham East</t>
  </si>
  <si>
    <t>Fetcham West</t>
  </si>
  <si>
    <t>Holmwoods</t>
  </si>
  <si>
    <t>Leatherhead North</t>
  </si>
  <si>
    <t>Leatherhead South</t>
  </si>
  <si>
    <t>Leith Hill</t>
  </si>
  <si>
    <t>Fordingbridge</t>
  </si>
  <si>
    <t>Forest North West</t>
  </si>
  <si>
    <t>Furzedown and Hardley</t>
  </si>
  <si>
    <t>North Downs East</t>
  </si>
  <si>
    <t>North Downs West</t>
  </si>
  <si>
    <t>Romney Marsh</t>
  </si>
  <si>
    <t>Folkestone and Hythe CC (pt)</t>
  </si>
  <si>
    <t>Gainsborough North</t>
  </si>
  <si>
    <t>Gainsborough South-West</t>
  </si>
  <si>
    <t>Hemswell</t>
  </si>
  <si>
    <t>Market Rasen</t>
  </si>
  <si>
    <t>Nettleham</t>
  </si>
  <si>
    <t>Saxilby</t>
  </si>
  <si>
    <t>Trench</t>
  </si>
  <si>
    <t>Vauxhall</t>
  </si>
  <si>
    <t>Wateringbury</t>
  </si>
  <si>
    <t>West Malling and Leybourne</t>
  </si>
  <si>
    <t>Totton South</t>
  </si>
  <si>
    <t>Totton West</t>
  </si>
  <si>
    <t>RUSHMOOR BOROUGH  *</t>
  </si>
  <si>
    <t>Cove and Southwood</t>
  </si>
  <si>
    <t>Empress</t>
  </si>
  <si>
    <t>Knellwood</t>
  </si>
  <si>
    <t>Manor Park</t>
  </si>
  <si>
    <t>North Town</t>
  </si>
  <si>
    <t>Rowhill</t>
  </si>
  <si>
    <t>Paddock Wood East</t>
  </si>
  <si>
    <t>Paddock Wood West</t>
  </si>
  <si>
    <t>Pantiles and St Mark's</t>
  </si>
  <si>
    <t>Pembury</t>
  </si>
  <si>
    <t>Rusthall</t>
  </si>
  <si>
    <t>Sherwood</t>
  </si>
  <si>
    <t>Fleckney</t>
  </si>
  <si>
    <t>Glen</t>
  </si>
  <si>
    <t>Kibworth</t>
  </si>
  <si>
    <t>Lubenham</t>
  </si>
  <si>
    <t>Lutterworth Brookfield</t>
  </si>
  <si>
    <t>Lutterworth Orchard</t>
  </si>
  <si>
    <t>Lutterworth Springs</t>
  </si>
  <si>
    <t>Lutterworth Swift</t>
  </si>
  <si>
    <t>Market Harborough-Great Bowden and Arden</t>
  </si>
  <si>
    <t>Sedgemoor (pt)</t>
  </si>
  <si>
    <t>Somerton and Frome CC</t>
  </si>
  <si>
    <t>Mendip (pt)</t>
  </si>
  <si>
    <t>South Somerset (pt)</t>
  </si>
  <si>
    <t>Taunton Deane CC</t>
  </si>
  <si>
    <t>Wells CC</t>
  </si>
  <si>
    <t>Yeovil CC</t>
  </si>
  <si>
    <t>MENDIP DISTRICT  *</t>
  </si>
  <si>
    <t>Ammerdown</t>
  </si>
  <si>
    <t>Ashwick, Chilcompton and Stratton</t>
  </si>
  <si>
    <t>Beckington and Selwood</t>
  </si>
  <si>
    <t>Butleigh and Baltonsborough</t>
  </si>
  <si>
    <t>Chewton Mendip and Ston Easton</t>
  </si>
  <si>
    <t>Coleford and Holcombe</t>
  </si>
  <si>
    <t>Cranmore, Doulting and Nunney</t>
  </si>
  <si>
    <t>Creech</t>
  </si>
  <si>
    <t>Croscombe and Pilton</t>
  </si>
  <si>
    <t>Frome Berkley Down</t>
  </si>
  <si>
    <t>Frome College</t>
  </si>
  <si>
    <t>Frome Keyford</t>
  </si>
  <si>
    <t>Frome Market</t>
  </si>
  <si>
    <t>Frome Oakfield</t>
  </si>
  <si>
    <t>Frome Park</t>
  </si>
  <si>
    <t>Glastonbury St Benedict's</t>
  </si>
  <si>
    <t>Glastonbury St Edmund's</t>
  </si>
  <si>
    <t>Glastonbury St John's</t>
  </si>
  <si>
    <t>Glastonbury St Mary's</t>
  </si>
  <si>
    <t>Postlebury</t>
  </si>
  <si>
    <t>Rode and Norton St Philip</t>
  </si>
  <si>
    <t>Rodney and Westbury</t>
  </si>
  <si>
    <t>County Average (Central Bedfordshire) (2 seats)</t>
  </si>
  <si>
    <t>St Cuthbert Out North</t>
  </si>
  <si>
    <t>Shepton East</t>
  </si>
  <si>
    <t>Haverhill South</t>
  </si>
  <si>
    <t>Haverhill West</t>
  </si>
  <si>
    <t>E05001767</t>
  </si>
  <si>
    <t>E05001768</t>
  </si>
  <si>
    <t>E05001769</t>
  </si>
  <si>
    <t>E05001770</t>
  </si>
  <si>
    <t>E05001771</t>
  </si>
  <si>
    <t>E05001772</t>
  </si>
  <si>
    <t>E05001773</t>
  </si>
  <si>
    <t>E05001774</t>
  </si>
  <si>
    <t>E05001775</t>
  </si>
  <si>
    <t>E05001776</t>
  </si>
  <si>
    <t>E05001777</t>
  </si>
  <si>
    <t>E05001778</t>
  </si>
  <si>
    <t>E05001779</t>
  </si>
  <si>
    <t>E05001780</t>
  </si>
  <si>
    <t>E05001781</t>
  </si>
  <si>
    <t>E05001782</t>
  </si>
  <si>
    <t>E05001783</t>
  </si>
  <si>
    <t>E05003280</t>
  </si>
  <si>
    <t>E05003281</t>
  </si>
  <si>
    <t>E05003282</t>
  </si>
  <si>
    <t>E05003283</t>
  </si>
  <si>
    <t>E05003284</t>
  </si>
  <si>
    <t>E05003286</t>
  </si>
  <si>
    <t>E05003287</t>
  </si>
  <si>
    <t>E05003289</t>
  </si>
  <si>
    <t>E05003290</t>
  </si>
  <si>
    <t>E05003292</t>
  </si>
  <si>
    <t>E05003293</t>
  </si>
  <si>
    <t>E05003295</t>
  </si>
  <si>
    <t>E05003296</t>
  </si>
  <si>
    <t>E05003297</t>
  </si>
  <si>
    <t>E05003299</t>
  </si>
  <si>
    <t>E05003300</t>
  </si>
  <si>
    <t>E05003301</t>
  </si>
  <si>
    <t>E05003302</t>
  </si>
  <si>
    <t>E05003303</t>
  </si>
  <si>
    <t>E05003304</t>
  </si>
  <si>
    <t>E05003305</t>
  </si>
  <si>
    <t>E05003306</t>
  </si>
  <si>
    <t>E05003307</t>
  </si>
  <si>
    <t>E05003308</t>
  </si>
  <si>
    <t>E05003309</t>
  </si>
  <si>
    <t>E05003311</t>
  </si>
  <si>
    <t>E05003312</t>
  </si>
  <si>
    <t>E05003313</t>
  </si>
  <si>
    <t>E05003314</t>
  </si>
  <si>
    <t>E05003315</t>
  </si>
  <si>
    <t>E05003316</t>
  </si>
  <si>
    <t>E05003317</t>
  </si>
  <si>
    <t>E05003318</t>
  </si>
  <si>
    <t>E05003319</t>
  </si>
  <si>
    <t>E05003320</t>
  </si>
  <si>
    <t>E05003321</t>
  </si>
  <si>
    <t>E05003323</t>
  </si>
  <si>
    <t>E05003324</t>
  </si>
  <si>
    <t>E05003325</t>
  </si>
  <si>
    <t>E05003326</t>
  </si>
  <si>
    <t>E05003327</t>
  </si>
  <si>
    <t>E05003328</t>
  </si>
  <si>
    <t>E05003329</t>
  </si>
  <si>
    <t>E05003330</t>
  </si>
  <si>
    <t>E05003331</t>
  </si>
  <si>
    <t>E05003332</t>
  </si>
  <si>
    <t>E05003333</t>
  </si>
  <si>
    <t>E05003334</t>
  </si>
  <si>
    <t>E05003335</t>
  </si>
  <si>
    <t>E05003336</t>
  </si>
  <si>
    <t>E05003337</t>
  </si>
  <si>
    <t>E05003338</t>
  </si>
  <si>
    <t>E05003339</t>
  </si>
  <si>
    <t>E05003340</t>
  </si>
  <si>
    <t>E05003341</t>
  </si>
  <si>
    <t>E05003342</t>
  </si>
  <si>
    <t>E05003343</t>
  </si>
  <si>
    <t>E05003344</t>
  </si>
  <si>
    <t>E05003345</t>
  </si>
  <si>
    <t>E05003346</t>
  </si>
  <si>
    <t>E05003347</t>
  </si>
  <si>
    <t>E05003348</t>
  </si>
  <si>
    <t>E05003349</t>
  </si>
  <si>
    <t>E05003350</t>
  </si>
  <si>
    <t>E05003351</t>
  </si>
  <si>
    <t>E05003352</t>
  </si>
  <si>
    <t>E05003353</t>
  </si>
  <si>
    <t>E05003354</t>
  </si>
  <si>
    <t>E05003355</t>
  </si>
  <si>
    <t>E05003356</t>
  </si>
  <si>
    <t>E05003357</t>
  </si>
  <si>
    <t>E05003358</t>
  </si>
  <si>
    <t>E05003359</t>
  </si>
  <si>
    <t>E05003360</t>
  </si>
  <si>
    <t>E05003361</t>
  </si>
  <si>
    <t>E05003362</t>
  </si>
  <si>
    <t>E05003363</t>
  </si>
  <si>
    <t>E05003364</t>
  </si>
  <si>
    <t>E05003365</t>
  </si>
  <si>
    <t>E05003366</t>
  </si>
  <si>
    <t>E05003417</t>
  </si>
  <si>
    <t>E05003418</t>
  </si>
  <si>
    <t>E05003419</t>
  </si>
  <si>
    <t>E05003420</t>
  </si>
  <si>
    <t>E05003421</t>
  </si>
  <si>
    <t>E05003422</t>
  </si>
  <si>
    <t>E05003423</t>
  </si>
  <si>
    <t>E05003424</t>
  </si>
  <si>
    <t>E05003425</t>
  </si>
  <si>
    <t>E05003426</t>
  </si>
  <si>
    <t>E05003427</t>
  </si>
  <si>
    <t>E05003428</t>
  </si>
  <si>
    <t>E05003429</t>
  </si>
  <si>
    <t>E05003430</t>
  </si>
  <si>
    <t>E05003431</t>
  </si>
  <si>
    <t>E05003432</t>
  </si>
  <si>
    <t>E05003433</t>
  </si>
  <si>
    <t>E05003434</t>
  </si>
  <si>
    <t>E05003435</t>
  </si>
  <si>
    <t>E05003436</t>
  </si>
  <si>
    <t>E05003437</t>
  </si>
  <si>
    <t>E05003438</t>
  </si>
  <si>
    <t>E05003439</t>
  </si>
  <si>
    <t>E05003440</t>
  </si>
  <si>
    <t>E05003441</t>
  </si>
  <si>
    <t>E05008520</t>
  </si>
  <si>
    <t>E05008521</t>
  </si>
  <si>
    <t>E05008522</t>
  </si>
  <si>
    <t>E05008523</t>
  </si>
  <si>
    <t>E05008524</t>
  </si>
  <si>
    <t>E05002455</t>
  </si>
  <si>
    <t>E05002456</t>
  </si>
  <si>
    <t>E05002457</t>
  </si>
  <si>
    <t>E05002458</t>
  </si>
  <si>
    <t>E05002459</t>
  </si>
  <si>
    <t>E05002460</t>
  </si>
  <si>
    <t>E05002461</t>
  </si>
  <si>
    <t>E05002462</t>
  </si>
  <si>
    <t>E05002463</t>
  </si>
  <si>
    <t>E05002464</t>
  </si>
  <si>
    <t>E05002465</t>
  </si>
  <si>
    <t>E05002466</t>
  </si>
  <si>
    <t>E05002467</t>
  </si>
  <si>
    <t>E05002468</t>
  </si>
  <si>
    <t>E05002469</t>
  </si>
  <si>
    <t>E05002470</t>
  </si>
  <si>
    <t>E05004430</t>
  </si>
  <si>
    <t>E05004431</t>
  </si>
  <si>
    <t>E05004432</t>
  </si>
  <si>
    <t>E05004433</t>
  </si>
  <si>
    <t>E05004434</t>
  </si>
  <si>
    <t>E05004435</t>
  </si>
  <si>
    <t>E05004436</t>
  </si>
  <si>
    <t>E05004437</t>
  </si>
  <si>
    <t>E05004438</t>
  </si>
  <si>
    <t>E05004439</t>
  </si>
  <si>
    <t>E05004440</t>
  </si>
  <si>
    <t>E05004441</t>
  </si>
  <si>
    <t>E05004442</t>
  </si>
  <si>
    <t>E05004443</t>
  </si>
  <si>
    <t>E05004444</t>
  </si>
  <si>
    <t>E05004445</t>
  </si>
  <si>
    <t>E05004446</t>
  </si>
  <si>
    <t>E05004447</t>
  </si>
  <si>
    <t>E05004448</t>
  </si>
  <si>
    <t>E05004449</t>
  </si>
  <si>
    <t>E05004450</t>
  </si>
  <si>
    <t>E05004451</t>
  </si>
  <si>
    <t>E05004452</t>
  </si>
  <si>
    <t>E05004453</t>
  </si>
  <si>
    <t>E05004454</t>
  </si>
  <si>
    <t>E05004455</t>
  </si>
  <si>
    <t>E05004456</t>
  </si>
  <si>
    <t>E05004457</t>
  </si>
  <si>
    <t>E05004458</t>
  </si>
  <si>
    <t>E05004459</t>
  </si>
  <si>
    <t>E05004460</t>
  </si>
  <si>
    <t>E05004461</t>
  </si>
  <si>
    <t>E05004462</t>
  </si>
  <si>
    <t>E05004463</t>
  </si>
  <si>
    <t>E05004464</t>
  </si>
  <si>
    <t>E05004465</t>
  </si>
  <si>
    <t>E05004466</t>
  </si>
  <si>
    <t>E05004467</t>
  </si>
  <si>
    <t>E05004468</t>
  </si>
  <si>
    <t>E05004469</t>
  </si>
  <si>
    <t>E05004470</t>
  </si>
  <si>
    <t>E05004471</t>
  </si>
  <si>
    <t>E05004472</t>
  </si>
  <si>
    <t>E05004473</t>
  </si>
  <si>
    <t>E05004474</t>
  </si>
  <si>
    <t>E05004475</t>
  </si>
  <si>
    <t>E05004476</t>
  </si>
  <si>
    <t>E05004477</t>
  </si>
  <si>
    <t>E05004478</t>
  </si>
  <si>
    <t>E05004479</t>
  </si>
  <si>
    <t>E05004480</t>
  </si>
  <si>
    <t>E05004481</t>
  </si>
  <si>
    <t>E05004482</t>
  </si>
  <si>
    <t>E05004483</t>
  </si>
  <si>
    <t>E05004484</t>
  </si>
  <si>
    <t>E05004485</t>
  </si>
  <si>
    <t>E05004486</t>
  </si>
  <si>
    <t>E05004487</t>
  </si>
  <si>
    <t>E05004488</t>
  </si>
  <si>
    <t>E05004489</t>
  </si>
  <si>
    <t>E05004490</t>
  </si>
  <si>
    <t>E05004491</t>
  </si>
  <si>
    <t>E05004492</t>
  </si>
  <si>
    <t>E05004493</t>
  </si>
  <si>
    <t>E05004494</t>
  </si>
  <si>
    <t>E05004495</t>
  </si>
  <si>
    <t>E05004496</t>
  </si>
  <si>
    <t>E05004516</t>
  </si>
  <si>
    <t>E05004517</t>
  </si>
  <si>
    <t>E05004518</t>
  </si>
  <si>
    <t>E05004519</t>
  </si>
  <si>
    <t>E05004520</t>
  </si>
  <si>
    <t>E05004521</t>
  </si>
  <si>
    <t>E05004522</t>
  </si>
  <si>
    <t>E05004523</t>
  </si>
  <si>
    <t>E05004524</t>
  </si>
  <si>
    <t>E05004525</t>
  </si>
  <si>
    <t>E05004526</t>
  </si>
  <si>
    <t>E05004527</t>
  </si>
  <si>
    <t>E05004528</t>
  </si>
  <si>
    <t>E05004529</t>
  </si>
  <si>
    <t>E05004530</t>
  </si>
  <si>
    <t>E05004531</t>
  </si>
  <si>
    <t>E05004532</t>
  </si>
  <si>
    <t>E05004533</t>
  </si>
  <si>
    <t>E05004534</t>
  </si>
  <si>
    <t>E05004535</t>
  </si>
  <si>
    <t>E05004536</t>
  </si>
  <si>
    <t>E05004537</t>
  </si>
  <si>
    <t>E05004538</t>
  </si>
  <si>
    <t>E05004539</t>
  </si>
  <si>
    <t>E05004540</t>
  </si>
  <si>
    <t>E05004541</t>
  </si>
  <si>
    <t>E05004542</t>
  </si>
  <si>
    <t>E05004543</t>
  </si>
  <si>
    <t>E05004544</t>
  </si>
  <si>
    <t>E05004545</t>
  </si>
  <si>
    <t>E05004546</t>
  </si>
  <si>
    <t>E05004547</t>
  </si>
  <si>
    <t>E05004566</t>
  </si>
  <si>
    <t>E05004567</t>
  </si>
  <si>
    <t>E05004568</t>
  </si>
  <si>
    <t>E05004569</t>
  </si>
  <si>
    <t>E05004570</t>
  </si>
  <si>
    <t>E05004571</t>
  </si>
  <si>
    <t>E05004572</t>
  </si>
  <si>
    <t>E05004573</t>
  </si>
  <si>
    <t>E05004574</t>
  </si>
  <si>
    <t>E05004575</t>
  </si>
  <si>
    <t>E05004576</t>
  </si>
  <si>
    <t>E05004577</t>
  </si>
  <si>
    <t>E05004578</t>
  </si>
  <si>
    <t>E05004579</t>
  </si>
  <si>
    <t>E05004580</t>
  </si>
  <si>
    <t>E05004581</t>
  </si>
  <si>
    <t>E05004582</t>
  </si>
  <si>
    <t>E05004583</t>
  </si>
  <si>
    <t>E05004584</t>
  </si>
  <si>
    <t>E05004585</t>
  </si>
  <si>
    <t>E05004586</t>
  </si>
  <si>
    <t>E05004587</t>
  </si>
  <si>
    <t>E05004588</t>
  </si>
  <si>
    <t>E05004589</t>
  </si>
  <si>
    <t>E05004590</t>
  </si>
  <si>
    <t>E05004592</t>
  </si>
  <si>
    <t>E05004593</t>
  </si>
  <si>
    <t>E05004596</t>
  </si>
  <si>
    <t>E05004597</t>
  </si>
  <si>
    <t>E05004598</t>
  </si>
  <si>
    <t>E05004599</t>
  </si>
  <si>
    <t>E05004600</t>
  </si>
  <si>
    <t>E05004601</t>
  </si>
  <si>
    <t>E05004602</t>
  </si>
  <si>
    <t>E05004603</t>
  </si>
  <si>
    <t>E05004604</t>
  </si>
  <si>
    <t>E05004605</t>
  </si>
  <si>
    <t>E05004606</t>
  </si>
  <si>
    <t>E05004607</t>
  </si>
  <si>
    <t>E05004608</t>
  </si>
  <si>
    <t>E05004609</t>
  </si>
  <si>
    <t>E05004610</t>
  </si>
  <si>
    <t>E05004611</t>
  </si>
  <si>
    <t>E05004612</t>
  </si>
  <si>
    <t>E05004613</t>
  </si>
  <si>
    <t>E05004628</t>
  </si>
  <si>
    <t>E05004629</t>
  </si>
  <si>
    <t>E05004630</t>
  </si>
  <si>
    <t>E05004631</t>
  </si>
  <si>
    <t>E05004632</t>
  </si>
  <si>
    <t>E05004633</t>
  </si>
  <si>
    <t>E05004634</t>
  </si>
  <si>
    <t>E05004635</t>
  </si>
  <si>
    <t>E05004636</t>
  </si>
  <si>
    <t>E05004637</t>
  </si>
  <si>
    <t>E05004638</t>
  </si>
  <si>
    <t>E05004639</t>
  </si>
  <si>
    <t>E05004640</t>
  </si>
  <si>
    <t>E05004641</t>
  </si>
  <si>
    <t>E05004642</t>
  </si>
  <si>
    <t>E05004643</t>
  </si>
  <si>
    <t>E05004644</t>
  </si>
  <si>
    <t>E05004645</t>
  </si>
  <si>
    <t>E05004646</t>
  </si>
  <si>
    <t>E05004647</t>
  </si>
  <si>
    <t>E05004648</t>
  </si>
  <si>
    <t>E05004649</t>
  </si>
  <si>
    <t>E05004650</t>
  </si>
  <si>
    <t>E05004651</t>
  </si>
  <si>
    <t>E05001664</t>
  </si>
  <si>
    <t>E05001665</t>
  </si>
  <si>
    <t>E05001666</t>
  </si>
  <si>
    <t>E05001667</t>
  </si>
  <si>
    <t>E05001668</t>
  </si>
  <si>
    <t>E05001669</t>
  </si>
  <si>
    <t>E05001670</t>
  </si>
  <si>
    <t>E05001671</t>
  </si>
  <si>
    <t>E05001672</t>
  </si>
  <si>
    <t>E05001673</t>
  </si>
  <si>
    <t>E05001674</t>
  </si>
  <si>
    <t>E05001675</t>
  </si>
  <si>
    <t>E05001676</t>
  </si>
  <si>
    <t>E05001677</t>
  </si>
  <si>
    <t>E05001678</t>
  </si>
  <si>
    <t>E05001679</t>
  </si>
  <si>
    <t>E05001680</t>
  </si>
  <si>
    <t>E05001681</t>
  </si>
  <si>
    <t>E05001682</t>
  </si>
  <si>
    <t>E05001683</t>
  </si>
  <si>
    <t>E05001684</t>
  </si>
  <si>
    <t>E05001685</t>
  </si>
  <si>
    <t>E05001686</t>
  </si>
  <si>
    <t>E05001687</t>
  </si>
  <si>
    <t>E05001688</t>
  </si>
  <si>
    <t>E05001689</t>
  </si>
  <si>
    <t>E05001690</t>
  </si>
  <si>
    <t>E05001691</t>
  </si>
  <si>
    <t>E05001692</t>
  </si>
  <si>
    <t>E05001693</t>
  </si>
  <si>
    <t>E05001694</t>
  </si>
  <si>
    <t>E05001695</t>
  </si>
  <si>
    <t>E05001696</t>
  </si>
  <si>
    <t>E05001697</t>
  </si>
  <si>
    <t>E05001698</t>
  </si>
  <si>
    <t>E05001699</t>
  </si>
  <si>
    <t>E05001700</t>
  </si>
  <si>
    <t>E05001701</t>
  </si>
  <si>
    <t>E05001702</t>
  </si>
  <si>
    <t>E05001703</t>
  </si>
  <si>
    <t>E05001704</t>
  </si>
  <si>
    <t>E05001705</t>
  </si>
  <si>
    <t>E05001706</t>
  </si>
  <si>
    <t>E05001707</t>
  </si>
  <si>
    <t>E05001708</t>
  </si>
  <si>
    <t>E05001709</t>
  </si>
  <si>
    <t>E05001710</t>
  </si>
  <si>
    <t>E05001711</t>
  </si>
  <si>
    <t>E05001712</t>
  </si>
  <si>
    <t>E05001713</t>
  </si>
  <si>
    <t>E05001714</t>
  </si>
  <si>
    <t>E05001715</t>
  </si>
  <si>
    <t>E05001716</t>
  </si>
  <si>
    <t>E05001717</t>
  </si>
  <si>
    <t>E05001718</t>
  </si>
  <si>
    <t>E05001719</t>
  </si>
  <si>
    <t>E05001720</t>
  </si>
  <si>
    <t>E05001721</t>
  </si>
  <si>
    <t>E05001722</t>
  </si>
  <si>
    <t>E05001723</t>
  </si>
  <si>
    <t>E05001724</t>
  </si>
  <si>
    <t>E05001725</t>
  </si>
  <si>
    <t>E05001726</t>
  </si>
  <si>
    <t>E05001727</t>
  </si>
  <si>
    <t>E05001728</t>
  </si>
  <si>
    <t>E05001729</t>
  </si>
  <si>
    <t>E05001730</t>
  </si>
  <si>
    <t>E05001731</t>
  </si>
  <si>
    <t>E05001732</t>
  </si>
  <si>
    <t>E05001733</t>
  </si>
  <si>
    <t>E05001734</t>
  </si>
  <si>
    <t>E05001735</t>
  </si>
  <si>
    <t>E05001736</t>
  </si>
  <si>
    <t>E05001737</t>
  </si>
  <si>
    <t>E05001738</t>
  </si>
  <si>
    <t>E05001739</t>
  </si>
  <si>
    <t>E05001740</t>
  </si>
  <si>
    <t>E05001741</t>
  </si>
  <si>
    <t>E05001742</t>
  </si>
  <si>
    <t>E05001743</t>
  </si>
  <si>
    <t>E05001744</t>
  </si>
  <si>
    <t>E05005618</t>
  </si>
  <si>
    <t>E05005619</t>
  </si>
  <si>
    <t>E05005620</t>
  </si>
  <si>
    <t>E05005621</t>
  </si>
  <si>
    <t>E05005622</t>
  </si>
  <si>
    <t>E05005623</t>
  </si>
  <si>
    <t>E05005624</t>
  </si>
  <si>
    <t>E05005625</t>
  </si>
  <si>
    <t>E05005626</t>
  </si>
  <si>
    <t>E05005627</t>
  </si>
  <si>
    <t>E05005628</t>
  </si>
  <si>
    <t>E05005629</t>
  </si>
  <si>
    <t>E05005630</t>
  </si>
  <si>
    <t>E05005631</t>
  </si>
  <si>
    <t>E05005632</t>
  </si>
  <si>
    <t>E05005633</t>
  </si>
  <si>
    <t>E05005634</t>
  </si>
  <si>
    <t>E05005635</t>
  </si>
  <si>
    <t>E05005636</t>
  </si>
  <si>
    <t>E05005637</t>
  </si>
  <si>
    <t>E05005638</t>
  </si>
  <si>
    <t>E05005639</t>
  </si>
  <si>
    <t>E05005640</t>
  </si>
  <si>
    <t>E05005641</t>
  </si>
  <si>
    <t>E05005642</t>
  </si>
  <si>
    <t>E05005643</t>
  </si>
  <si>
    <t>E05005644</t>
  </si>
  <si>
    <t>E05005645</t>
  </si>
  <si>
    <t>E05005646</t>
  </si>
  <si>
    <t>E05005647</t>
  </si>
  <si>
    <t>E05005648</t>
  </si>
  <si>
    <t>E05005649</t>
  </si>
  <si>
    <t>E05005650</t>
  </si>
  <si>
    <t>E05005651</t>
  </si>
  <si>
    <t>E05005652</t>
  </si>
  <si>
    <t>E05005653</t>
  </si>
  <si>
    <t>E05005654</t>
  </si>
  <si>
    <t>E05005655</t>
  </si>
  <si>
    <t>E05005656</t>
  </si>
  <si>
    <t>E05005657</t>
  </si>
  <si>
    <t>E05005658</t>
  </si>
  <si>
    <t>E05005659</t>
  </si>
  <si>
    <t>E05005660</t>
  </si>
  <si>
    <t>E05005661</t>
  </si>
  <si>
    <t>E05000026</t>
  </si>
  <si>
    <t>E05000027</t>
  </si>
  <si>
    <t>E05000028</t>
  </si>
  <si>
    <t>E05000029</t>
  </si>
  <si>
    <t>E05000030</t>
  </si>
  <si>
    <t>E05000031</t>
  </si>
  <si>
    <t>E05000032</t>
  </si>
  <si>
    <t>E05000033</t>
  </si>
  <si>
    <t>E05000034</t>
  </si>
  <si>
    <t>E05000035</t>
  </si>
  <si>
    <t>E05000036</t>
  </si>
  <si>
    <t>E05000037</t>
  </si>
  <si>
    <t>E05000038</t>
  </si>
  <si>
    <t>E05000039</t>
  </si>
  <si>
    <t>E05000040</t>
  </si>
  <si>
    <t>E05000041</t>
  </si>
  <si>
    <t>E05000042</t>
  </si>
  <si>
    <t>E05000043</t>
  </si>
  <si>
    <t>E05000044</t>
  </si>
  <si>
    <t>E05000045</t>
  </si>
  <si>
    <t>E05000046</t>
  </si>
  <si>
    <t>E05000047</t>
  </si>
  <si>
    <t>E05000048</t>
  </si>
  <si>
    <t>E05000049</t>
  </si>
  <si>
    <t>E05000050</t>
  </si>
  <si>
    <t>E05000051</t>
  </si>
  <si>
    <t>E05000052</t>
  </si>
  <si>
    <t>E05000053</t>
  </si>
  <si>
    <t>E05000054</t>
  </si>
  <si>
    <t>E05000055</t>
  </si>
  <si>
    <t>E05000056</t>
  </si>
  <si>
    <t>E05000057</t>
  </si>
  <si>
    <t>E05000058</t>
  </si>
  <si>
    <t>E05000059</t>
  </si>
  <si>
    <t>E05000060</t>
  </si>
  <si>
    <t>E05000061</t>
  </si>
  <si>
    <t>E05000062</t>
  </si>
  <si>
    <t>E05000063</t>
  </si>
  <si>
    <t>E05000085</t>
  </si>
  <si>
    <t>E05000086</t>
  </si>
  <si>
    <t>E05000087</t>
  </si>
  <si>
    <t>E05000088</t>
  </si>
  <si>
    <t>E05000089</t>
  </si>
  <si>
    <t>E05000090</t>
  </si>
  <si>
    <t>E05000091</t>
  </si>
  <si>
    <t>E05000092</t>
  </si>
  <si>
    <t>E05000093</t>
  </si>
  <si>
    <t>E05000094</t>
  </si>
  <si>
    <t>E05000095</t>
  </si>
  <si>
    <t>E05000096</t>
  </si>
  <si>
    <t>E05000097</t>
  </si>
  <si>
    <t>E05000098</t>
  </si>
  <si>
    <t>E05000099</t>
  </si>
  <si>
    <t>E05000100</t>
  </si>
  <si>
    <t>E05000101</t>
  </si>
  <si>
    <t>E05000102</t>
  </si>
  <si>
    <t>E05000103</t>
  </si>
  <si>
    <t>E05000104</t>
  </si>
  <si>
    <t>E05000105</t>
  </si>
  <si>
    <t>E05000106</t>
  </si>
  <si>
    <t>E05000107</t>
  </si>
  <si>
    <t>E05000108</t>
  </si>
  <si>
    <t>E05000109</t>
  </si>
  <si>
    <t>E05000110</t>
  </si>
  <si>
    <t>E05000111</t>
  </si>
  <si>
    <t>E05000112</t>
  </si>
  <si>
    <t>E05000113</t>
  </si>
  <si>
    <t>E05000114</t>
  </si>
  <si>
    <t>E05000115</t>
  </si>
  <si>
    <t>E05000116</t>
  </si>
  <si>
    <t>E05000117</t>
  </si>
  <si>
    <t>E05000118</t>
  </si>
  <si>
    <t>E05000119</t>
  </si>
  <si>
    <t>E05000120</t>
  </si>
  <si>
    <t>E05000121</t>
  </si>
  <si>
    <t>E05000122</t>
  </si>
  <si>
    <t>E05000123</t>
  </si>
  <si>
    <t>E05000124</t>
  </si>
  <si>
    <t>E05000125</t>
  </si>
  <si>
    <t>E05000126</t>
  </si>
  <si>
    <t>E05000127</t>
  </si>
  <si>
    <t>E05000128</t>
  </si>
  <si>
    <t>E05000129</t>
  </si>
  <si>
    <t>E05000130</t>
  </si>
  <si>
    <t>E05000131</t>
  </si>
  <si>
    <t>E05000132</t>
  </si>
  <si>
    <t>E05000133</t>
  </si>
  <si>
    <t>E05000134</t>
  </si>
  <si>
    <t>E05000135</t>
  </si>
  <si>
    <t>E05000136</t>
  </si>
  <si>
    <t>E05000137</t>
  </si>
  <si>
    <t>E05000138</t>
  </si>
  <si>
    <t>E05000139</t>
  </si>
  <si>
    <t>E05000140</t>
  </si>
  <si>
    <t>E05000141</t>
  </si>
  <si>
    <t>E05000142</t>
  </si>
  <si>
    <t>E05000143</t>
  </si>
  <si>
    <t>E05000144</t>
  </si>
  <si>
    <t>E05000145</t>
  </si>
  <si>
    <t>E05000146</t>
  </si>
  <si>
    <t>E05000147</t>
  </si>
  <si>
    <t>E05000148</t>
  </si>
  <si>
    <t>E05000149</t>
  </si>
  <si>
    <t>E05000150</t>
  </si>
  <si>
    <t>E05000151</t>
  </si>
  <si>
    <t>E05000152</t>
  </si>
  <si>
    <t>E05000153</t>
  </si>
  <si>
    <t>E05000154</t>
  </si>
  <si>
    <t>E05000155</t>
  </si>
  <si>
    <t>E05000156</t>
  </si>
  <si>
    <t>E05000157</t>
  </si>
  <si>
    <t>E05000158</t>
  </si>
  <si>
    <t>E05000159</t>
  </si>
  <si>
    <t>E05000160</t>
  </si>
  <si>
    <t>E05000161</t>
  </si>
  <si>
    <t>E05000162</t>
  </si>
  <si>
    <t>E05000163</t>
  </si>
  <si>
    <t>E05000164</t>
  </si>
  <si>
    <t>E05000165</t>
  </si>
  <si>
    <t>E05000166</t>
  </si>
  <si>
    <t>E05000167</t>
  </si>
  <si>
    <t>E05000168</t>
  </si>
  <si>
    <t>E05000169</t>
  </si>
  <si>
    <t>E05000170</t>
  </si>
  <si>
    <t>E05000171</t>
  </si>
  <si>
    <t>E05000172</t>
  </si>
  <si>
    <t>E05000173</t>
  </si>
  <si>
    <t>E05000174</t>
  </si>
  <si>
    <t>E05000175</t>
  </si>
  <si>
    <t>E05000176</t>
  </si>
  <si>
    <t>E05000177</t>
  </si>
  <si>
    <t>E05000178</t>
  </si>
  <si>
    <t>E05000179</t>
  </si>
  <si>
    <t>E05000180</t>
  </si>
  <si>
    <t>E05000181</t>
  </si>
  <si>
    <t>E05000182</t>
  </si>
  <si>
    <t>E05000183</t>
  </si>
  <si>
    <t>E05000184</t>
  </si>
  <si>
    <t>E05000185</t>
  </si>
  <si>
    <t>E05000186</t>
  </si>
  <si>
    <t>E05000187</t>
  </si>
  <si>
    <t>E05000188</t>
  </si>
  <si>
    <t>E05000189</t>
  </si>
  <si>
    <t>E05000190</t>
  </si>
  <si>
    <t>E05000191</t>
  </si>
  <si>
    <t>E05000192</t>
  </si>
  <si>
    <t>E05000193</t>
  </si>
  <si>
    <t>E05000194</t>
  </si>
  <si>
    <t>E05000195</t>
  </si>
  <si>
    <t>E05000196</t>
  </si>
  <si>
    <t>E05000197</t>
  </si>
  <si>
    <t>E05000198</t>
  </si>
  <si>
    <t>E05000199</t>
  </si>
  <si>
    <t>E05000200</t>
  </si>
  <si>
    <t>E05000201</t>
  </si>
  <si>
    <t>E05000202</t>
  </si>
  <si>
    <t>E05000203</t>
  </si>
  <si>
    <t>E05000204</t>
  </si>
  <si>
    <t>E05000205</t>
  </si>
  <si>
    <t>E05000206</t>
  </si>
  <si>
    <t>E05000207</t>
  </si>
  <si>
    <t>E05000208</t>
  </si>
  <si>
    <t>E05000209</t>
  </si>
  <si>
    <t>E05000210</t>
  </si>
  <si>
    <t>E05000211</t>
  </si>
  <si>
    <t>E05000212</t>
  </si>
  <si>
    <t>E05000213</t>
  </si>
  <si>
    <t>E05000214</t>
  </si>
  <si>
    <t>E05000215</t>
  </si>
  <si>
    <t>E05000216</t>
  </si>
  <si>
    <t>E05000217</t>
  </si>
  <si>
    <t>E05000218</t>
  </si>
  <si>
    <t>E05000219</t>
  </si>
  <si>
    <t>E05000220</t>
  </si>
  <si>
    <t>E05000221</t>
  </si>
  <si>
    <t>E05000222</t>
  </si>
  <si>
    <t>E05000223</t>
  </si>
  <si>
    <t>E05000224</t>
  </si>
  <si>
    <t>E05000225</t>
  </si>
  <si>
    <t>E05000226</t>
  </si>
  <si>
    <t>E05000227</t>
  </si>
  <si>
    <t>E05000228</t>
  </si>
  <si>
    <t>E05000229</t>
  </si>
  <si>
    <t>E05000230</t>
  </si>
  <si>
    <t>E05000250</t>
  </si>
  <si>
    <t>E05000251</t>
  </si>
  <si>
    <t>E05000252</t>
  </si>
  <si>
    <t>E05000253</t>
  </si>
  <si>
    <t>E05000254</t>
  </si>
  <si>
    <t>E05000255</t>
  </si>
  <si>
    <t>E05000256</t>
  </si>
  <si>
    <t>E05000257</t>
  </si>
  <si>
    <t>E05000258</t>
  </si>
  <si>
    <t>E05000259</t>
  </si>
  <si>
    <t>E05000260</t>
  </si>
  <si>
    <t>E05000261</t>
  </si>
  <si>
    <t>E05000262</t>
  </si>
  <si>
    <t>E05000263</t>
  </si>
  <si>
    <t>E05000264</t>
  </si>
  <si>
    <t>E05000265</t>
  </si>
  <si>
    <t>E05000266</t>
  </si>
  <si>
    <t>E05000267</t>
  </si>
  <si>
    <t>E05000268</t>
  </si>
  <si>
    <t>E05000269</t>
  </si>
  <si>
    <t>E05000270</t>
  </si>
  <si>
    <t>E05000271</t>
  </si>
  <si>
    <t>E05000272</t>
  </si>
  <si>
    <t>E05000273</t>
  </si>
  <si>
    <t>E05000274</t>
  </si>
  <si>
    <t>E05000275</t>
  </si>
  <si>
    <t>E05000276</t>
  </si>
  <si>
    <t>E05000277</t>
  </si>
  <si>
    <t>E05000278</t>
  </si>
  <si>
    <t>E05000279</t>
  </si>
  <si>
    <t>E05000280</t>
  </si>
  <si>
    <t>E05000281</t>
  </si>
  <si>
    <t>E05000282</t>
  </si>
  <si>
    <t>E05000283</t>
  </si>
  <si>
    <t>E05000284</t>
  </si>
  <si>
    <t>E05000285</t>
  </si>
  <si>
    <t>E05000286</t>
  </si>
  <si>
    <t>E05000287</t>
  </si>
  <si>
    <t>E05000288</t>
  </si>
  <si>
    <t>E05000289</t>
  </si>
  <si>
    <t>E05000290</t>
  </si>
  <si>
    <t>E05000291</t>
  </si>
  <si>
    <t>E05000292</t>
  </si>
  <si>
    <t>E05000293</t>
  </si>
  <si>
    <t>E05000294</t>
  </si>
  <si>
    <t>E05000295</t>
  </si>
  <si>
    <t>E05000296</t>
  </si>
  <si>
    <t>E05000297</t>
  </si>
  <si>
    <t>E05000298</t>
  </si>
  <si>
    <t>E05000299</t>
  </si>
  <si>
    <t>E05000300</t>
  </si>
  <si>
    <t>E05000301</t>
  </si>
  <si>
    <t>E05000302</t>
  </si>
  <si>
    <t>E05000303</t>
  </si>
  <si>
    <t>E05000304</t>
  </si>
  <si>
    <t>E05000305</t>
  </si>
  <si>
    <t>E05000306</t>
  </si>
  <si>
    <t>E05000307</t>
  </si>
  <si>
    <t>E05000308</t>
  </si>
  <si>
    <t>E05000309</t>
  </si>
  <si>
    <t>E05000310</t>
  </si>
  <si>
    <t>E05000311</t>
  </si>
  <si>
    <t>E05000312</t>
  </si>
  <si>
    <t>E05000313</t>
  </si>
  <si>
    <t>E05000314</t>
  </si>
  <si>
    <t>E05000315</t>
  </si>
  <si>
    <t>E05000316</t>
  </si>
  <si>
    <t>E05000317</t>
  </si>
  <si>
    <t>E05000318</t>
  </si>
  <si>
    <t>E05000319</t>
  </si>
  <si>
    <t>E05000320</t>
  </si>
  <si>
    <t>E05000321</t>
  </si>
  <si>
    <t>E05000322</t>
  </si>
  <si>
    <t>E05000323</t>
  </si>
  <si>
    <t>E05000324</t>
  </si>
  <si>
    <t>E05000325</t>
  </si>
  <si>
    <t>E05000326</t>
  </si>
  <si>
    <t>E05000327</t>
  </si>
  <si>
    <t>E05000328</t>
  </si>
  <si>
    <t>E05000329</t>
  </si>
  <si>
    <t>E05000330</t>
  </si>
  <si>
    <t>E05000331</t>
  </si>
  <si>
    <t>E05000332</t>
  </si>
  <si>
    <t>E05000333</t>
  </si>
  <si>
    <t>E05000334</t>
  </si>
  <si>
    <t>E05000335</t>
  </si>
  <si>
    <t>E05000336</t>
  </si>
  <si>
    <t>E05000337</t>
  </si>
  <si>
    <t>E05000338</t>
  </si>
  <si>
    <t>E05000339</t>
  </si>
  <si>
    <t>E05000340</t>
  </si>
  <si>
    <t>E05000341</t>
  </si>
  <si>
    <t>E05000342</t>
  </si>
  <si>
    <t>E05000343</t>
  </si>
  <si>
    <t>E05000344</t>
  </si>
  <si>
    <t>E05000345</t>
  </si>
  <si>
    <t>E05000346</t>
  </si>
  <si>
    <t>E05000347</t>
  </si>
  <si>
    <t>E05000348</t>
  </si>
  <si>
    <t>E05000349</t>
  </si>
  <si>
    <t>E05000350</t>
  </si>
  <si>
    <t>E05000351</t>
  </si>
  <si>
    <t>E05000352</t>
  </si>
  <si>
    <t>E05000353</t>
  </si>
  <si>
    <t>E05000354</t>
  </si>
  <si>
    <t>E05000355</t>
  </si>
  <si>
    <t>E05000356</t>
  </si>
  <si>
    <t>E05000357</t>
  </si>
  <si>
    <t>E05000358</t>
  </si>
  <si>
    <t>E05000359</t>
  </si>
  <si>
    <t>E05000360</t>
  </si>
  <si>
    <t>E05000361</t>
  </si>
  <si>
    <t>E05000362</t>
  </si>
  <si>
    <t>E05000363</t>
  </si>
  <si>
    <t>E05000364</t>
  </si>
  <si>
    <t>E05000365</t>
  </si>
  <si>
    <t>E05000366</t>
  </si>
  <si>
    <t>E05000367</t>
  </si>
  <si>
    <t>E05000368</t>
  </si>
  <si>
    <t>E05000369</t>
  </si>
  <si>
    <t>E05000370</t>
  </si>
  <si>
    <t>E05000371</t>
  </si>
  <si>
    <t>E05000372</t>
  </si>
  <si>
    <t>E05000373</t>
  </si>
  <si>
    <t>E05000374</t>
  </si>
  <si>
    <t>E05000375</t>
  </si>
  <si>
    <t>E05000376</t>
  </si>
  <si>
    <t>E05000377</t>
  </si>
  <si>
    <t>E05000378</t>
  </si>
  <si>
    <t>E05000379</t>
  </si>
  <si>
    <t>E05000380</t>
  </si>
  <si>
    <t>E05000381</t>
  </si>
  <si>
    <t>E05000400</t>
  </si>
  <si>
    <t>E05000401</t>
  </si>
  <si>
    <t>E05000402</t>
  </si>
  <si>
    <t>E05000403</t>
  </si>
  <si>
    <t>E05000404</t>
  </si>
  <si>
    <t>E05000405</t>
  </si>
  <si>
    <t>E05000406</t>
  </si>
  <si>
    <t>E05000407</t>
  </si>
  <si>
    <t>E05000408</t>
  </si>
  <si>
    <t>E05000409</t>
  </si>
  <si>
    <t>E05000410</t>
  </si>
  <si>
    <t>E05000411</t>
  </si>
  <si>
    <t>E05000412</t>
  </si>
  <si>
    <t>E05000413</t>
  </si>
  <si>
    <t>E05000414</t>
  </si>
  <si>
    <t>E05000415</t>
  </si>
  <si>
    <t>E05000416</t>
  </si>
  <si>
    <t>E05000417</t>
  </si>
  <si>
    <t>E05000418</t>
  </si>
  <si>
    <t>E05000419</t>
  </si>
  <si>
    <t>E05000420</t>
  </si>
  <si>
    <t>E05000421</t>
  </si>
  <si>
    <t>E05000422</t>
  </si>
  <si>
    <t>E05000423</t>
  </si>
  <si>
    <t>E05000424</t>
  </si>
  <si>
    <t>E05000425</t>
  </si>
  <si>
    <t>E05000426</t>
  </si>
  <si>
    <t>E05000427</t>
  </si>
  <si>
    <t>E05000428</t>
  </si>
  <si>
    <t>E05000429</t>
  </si>
  <si>
    <t>E05000430</t>
  </si>
  <si>
    <t>E05000431</t>
  </si>
  <si>
    <t>E05000432</t>
  </si>
  <si>
    <t>E05000433</t>
  </si>
  <si>
    <t>E05000434</t>
  </si>
  <si>
    <t>E05000435</t>
  </si>
  <si>
    <t>E05000436</t>
  </si>
  <si>
    <t>E05000437</t>
  </si>
  <si>
    <t>E05000438</t>
  </si>
  <si>
    <t>E05000439</t>
  </si>
  <si>
    <t>E05000440</t>
  </si>
  <si>
    <t>E05000441</t>
  </si>
  <si>
    <t>E05000442</t>
  </si>
  <si>
    <t>E05000443</t>
  </si>
  <si>
    <t>E05000444</t>
  </si>
  <si>
    <t>E05000445</t>
  </si>
  <si>
    <t>E05000446</t>
  </si>
  <si>
    <t>E05000447</t>
  </si>
  <si>
    <t>E05000448</t>
  </si>
  <si>
    <t>E05000449</t>
  </si>
  <si>
    <t>E05000450</t>
  </si>
  <si>
    <t>E05000451</t>
  </si>
  <si>
    <t>E05000452</t>
  </si>
  <si>
    <t>E05000453</t>
  </si>
  <si>
    <t>E05000454</t>
  </si>
  <si>
    <t>E05000455</t>
  </si>
  <si>
    <t>E05000456</t>
  </si>
  <si>
    <t>E05000457</t>
  </si>
  <si>
    <t>E05000458</t>
  </si>
  <si>
    <t>E05000459</t>
  </si>
  <si>
    <t>E05000460</t>
  </si>
  <si>
    <t>E05000461</t>
  </si>
  <si>
    <t>E05000462</t>
  </si>
  <si>
    <t>E05000463</t>
  </si>
  <si>
    <t>E05000464</t>
  </si>
  <si>
    <t>E05000465</t>
  </si>
  <si>
    <t>E05000466</t>
  </si>
  <si>
    <t>E05000467</t>
  </si>
  <si>
    <t>E05000468</t>
  </si>
  <si>
    <t>E05000469</t>
  </si>
  <si>
    <t>E05000470</t>
  </si>
  <si>
    <t>E05000471</t>
  </si>
  <si>
    <t>E05000472</t>
  </si>
  <si>
    <t>E05000473</t>
  </si>
  <si>
    <t>E05000474</t>
  </si>
  <si>
    <t>Scotforth East</t>
  </si>
  <si>
    <t>Scotforth West</t>
  </si>
  <si>
    <t>Silverdale</t>
  </si>
  <si>
    <t>Skerton East</t>
  </si>
  <si>
    <t>Skerton West</t>
  </si>
  <si>
    <t>Torrisholme</t>
  </si>
  <si>
    <t>Upper Lune Valley</t>
  </si>
  <si>
    <t>Warton</t>
  </si>
  <si>
    <t>Lancaster and Fleetwood CC (pt)</t>
  </si>
  <si>
    <t>40.</t>
  </si>
  <si>
    <t>Wiggenhall</t>
  </si>
  <si>
    <t>Wimbotsham with Fincham</t>
  </si>
  <si>
    <t>* as created by The District of East Cambridgeshire (Electoral Changes) Order 2002</t>
  </si>
  <si>
    <t>FENLAND DISTRICT  *</t>
  </si>
  <si>
    <t>Bassenhally</t>
  </si>
  <si>
    <t>Birch</t>
  </si>
  <si>
    <t>Clarkson</t>
  </si>
  <si>
    <t>Palgrave</t>
  </si>
  <si>
    <t>Rattlesden</t>
  </si>
  <si>
    <t>Rickinghall and Walsham</t>
  </si>
  <si>
    <t>Ringshall</t>
  </si>
  <si>
    <t>Stowmarket Central</t>
  </si>
  <si>
    <t>Stowmarket North</t>
  </si>
  <si>
    <t>Stowmarket South</t>
  </si>
  <si>
    <t>Stowupland</t>
  </si>
  <si>
    <t>Stradbroke and Laxfield</t>
  </si>
  <si>
    <t>The Stonhams</t>
  </si>
  <si>
    <t>Thurston and Hessett</t>
  </si>
  <si>
    <t>Wetheringsett</t>
  </si>
  <si>
    <t>Woolpit</t>
  </si>
  <si>
    <t>Worlingworth</t>
  </si>
  <si>
    <t>Bury St Edmunds CC (pt)</t>
  </si>
  <si>
    <t>* as created by The District of Mid Suffolk (Electoral Changes) Order 2001</t>
  </si>
  <si>
    <t>ST EDMUNDSBURY BOROUGH  *</t>
  </si>
  <si>
    <t>Abbeygate</t>
  </si>
  <si>
    <t>Bardwell</t>
  </si>
  <si>
    <t>Barningham</t>
  </si>
  <si>
    <t>Barrow</t>
  </si>
  <si>
    <t>Chedburgh</t>
  </si>
  <si>
    <t>Westerleigh</t>
  </si>
  <si>
    <t>Winterbourne</t>
  </si>
  <si>
    <t>Yate Central</t>
  </si>
  <si>
    <t>Yate North</t>
  </si>
  <si>
    <t>* as created by The District of South Gloucestershire (Electoral Changes) Order 2006</t>
  </si>
  <si>
    <t>BARNSLEY BOROUGH</t>
  </si>
  <si>
    <t>DONCASTER BOROUGH</t>
  </si>
  <si>
    <t>ROTHERHAM BOROUGH</t>
  </si>
  <si>
    <t>CITY OF SHEFFIELD</t>
  </si>
  <si>
    <t>County Average (13 seats)</t>
  </si>
  <si>
    <t>Barnsley Central BC</t>
  </si>
  <si>
    <t>Barnsley (pt)</t>
  </si>
  <si>
    <t>Barnsley East CC</t>
  </si>
  <si>
    <t>Don Valley CC</t>
  </si>
  <si>
    <t>Penistone and Stocksbridge CC</t>
  </si>
  <si>
    <t>Sheffield (pt)</t>
  </si>
  <si>
    <t>Rother Valley CC</t>
  </si>
  <si>
    <t>Rotherham (pt)</t>
  </si>
  <si>
    <t>Rotherham BC</t>
  </si>
  <si>
    <t>Sheffield, Brightside and Hillsborough BC</t>
  </si>
  <si>
    <t>Sheffield Central BC</t>
  </si>
  <si>
    <t>Sheffield, Hallam CC</t>
  </si>
  <si>
    <t>Sheffield, Heeley BC</t>
  </si>
  <si>
    <t>Sheffield South East BC</t>
  </si>
  <si>
    <t>Tudhoe</t>
  </si>
  <si>
    <t>Pleasley</t>
  </si>
  <si>
    <t>Scarcliffe</t>
  </si>
  <si>
    <t>* as created by The Borough of Dartford (Electoral Changes) Order 2001</t>
  </si>
  <si>
    <t>DOVER DISTRICT  *</t>
  </si>
  <si>
    <t>Aylesham</t>
  </si>
  <si>
    <t>Pyrford</t>
  </si>
  <si>
    <t>Higham Ferrers Lancaster</t>
  </si>
  <si>
    <t>Irthlingborough John Pyel</t>
  </si>
  <si>
    <t>Irthlingborough Waterloo</t>
  </si>
  <si>
    <t>East Sheen</t>
  </si>
  <si>
    <t>Fulwell and Hampton Hill</t>
  </si>
  <si>
    <t>Ham, Petersham and Richmond Riverside</t>
  </si>
  <si>
    <t>Dickleburgh</t>
  </si>
  <si>
    <t>Diss</t>
  </si>
  <si>
    <t>Ditchingham and Broome</t>
  </si>
  <si>
    <t>Fornham</t>
  </si>
  <si>
    <t>Great Barton</t>
  </si>
  <si>
    <t>Haverhill East</t>
  </si>
  <si>
    <t>Haverhill North</t>
  </si>
  <si>
    <t>Burbage St Catherines and Lash Hill</t>
  </si>
  <si>
    <t>Burbage Sketchley and Stretton</t>
  </si>
  <si>
    <t>Cadeby, Carlton and Market Bosworth with Shackerstone</t>
  </si>
  <si>
    <t>Earl Shilton</t>
  </si>
  <si>
    <t>Groby</t>
  </si>
  <si>
    <t>Hinckley Castle</t>
  </si>
  <si>
    <t>Hinckley Clarendon</t>
  </si>
  <si>
    <t>Hinckley De Montfort</t>
  </si>
  <si>
    <t>Hinckley Trinity</t>
  </si>
  <si>
    <t>Markfield, Stanton and Fieldhead</t>
  </si>
  <si>
    <t>Newbold Verdon with Desford and Peckleton</t>
  </si>
  <si>
    <t>Ratby, Bagworth and Thornton</t>
  </si>
  <si>
    <t>Twycross and Witherley with Sheepy</t>
  </si>
  <si>
    <t>* as created by The Borough of Hinckley and Bosworth (Electoral Changes) Order 2002</t>
  </si>
  <si>
    <t>MELTON BOROUGH  *</t>
  </si>
  <si>
    <t>Asfordby</t>
  </si>
  <si>
    <t>Croxton Kerrial</t>
  </si>
  <si>
    <t>Frisby-on-the-Wreake</t>
  </si>
  <si>
    <t>Gaddesby</t>
  </si>
  <si>
    <t>Long Clawson and Stathern</t>
  </si>
  <si>
    <t>Melton Craven</t>
  </si>
  <si>
    <t>Melton Dorian</t>
  </si>
  <si>
    <t>Melton Egerton</t>
  </si>
  <si>
    <t>Melton Newport</t>
  </si>
  <si>
    <t>Melton Sysonby</t>
  </si>
  <si>
    <t>Melton Warwick</t>
  </si>
  <si>
    <t>Old Dalby</t>
  </si>
  <si>
    <t>Somerby</t>
  </si>
  <si>
    <t>Waltham-on-the-Wolds</t>
  </si>
  <si>
    <t>Wymondham</t>
  </si>
  <si>
    <t>Regent's Park</t>
  </si>
  <si>
    <t>Halton-with-Aughton</t>
  </si>
  <si>
    <t>Heysham Central</t>
  </si>
  <si>
    <t>Heysham North</t>
  </si>
  <si>
    <t>Heysham South</t>
  </si>
  <si>
    <t>John O'Gaunt</t>
  </si>
  <si>
    <t>Kellet</t>
  </si>
  <si>
    <t>Lower Lune Valley</t>
  </si>
  <si>
    <t>Poulton</t>
  </si>
  <si>
    <t>County Average (East Sussex) (5 seats)</t>
  </si>
  <si>
    <t>Penistone West</t>
  </si>
  <si>
    <t>Rockingham</t>
  </si>
  <si>
    <t>Court</t>
  </si>
  <si>
    <t>Cuddington</t>
  </si>
  <si>
    <t>Ewell</t>
  </si>
  <si>
    <t>Ewell Court</t>
  </si>
  <si>
    <t>Southborough and High Brooms</t>
  </si>
  <si>
    <t>Southborough North</t>
  </si>
  <si>
    <t>Speldhurst and Bidborough</t>
  </si>
  <si>
    <t>* as created by The Borough of Tunbridge Wells (Electoral Changes) Order 2001</t>
  </si>
  <si>
    <t>LAMBETH LONDON BOROUGH  * #</t>
  </si>
  <si>
    <t>Dulwich and West Norwood BC</t>
  </si>
  <si>
    <t>Lambeth (pt)</t>
  </si>
  <si>
    <t>Southwark (pt)</t>
  </si>
  <si>
    <t>Streatham BC</t>
  </si>
  <si>
    <t>Vauxhall BC</t>
  </si>
  <si>
    <t>Bermondsey and Old Southwark BC</t>
  </si>
  <si>
    <t>Camberwell and Peckham BC</t>
  </si>
  <si>
    <t>Bishop's</t>
  </si>
  <si>
    <t>Brixton Hill</t>
  </si>
  <si>
    <t>Clapham Common</t>
  </si>
  <si>
    <t>Clapham Town</t>
  </si>
  <si>
    <t>Ferndale</t>
  </si>
  <si>
    <t>Gipsy Hill</t>
  </si>
  <si>
    <t>Herne Hill</t>
  </si>
  <si>
    <t>Knight's Hill</t>
  </si>
  <si>
    <t>Larkhall</t>
  </si>
  <si>
    <t>Oval</t>
  </si>
  <si>
    <t>Prince's</t>
  </si>
  <si>
    <t>Stockwell</t>
  </si>
  <si>
    <t>Streatham Hill</t>
  </si>
  <si>
    <t>Streatham South</t>
  </si>
  <si>
    <t>Spratton</t>
  </si>
  <si>
    <t>Walgrave</t>
  </si>
  <si>
    <t>Welford</t>
  </si>
  <si>
    <t>Woodford</t>
  </si>
  <si>
    <t>Yelvertoft</t>
  </si>
  <si>
    <t>Daventry CC (pt)</t>
  </si>
  <si>
    <t>EAST NORTHAMPTONSHIRE DISTRICT  *</t>
  </si>
  <si>
    <t>Barnwell</t>
  </si>
  <si>
    <t>Fineshade</t>
  </si>
  <si>
    <t>Higham Ferrers Chichele</t>
  </si>
  <si>
    <t>Northfield</t>
  </si>
  <si>
    <t>King's Forest</t>
  </si>
  <si>
    <t>Lower Nene</t>
  </si>
  <si>
    <t>Lyveden</t>
  </si>
  <si>
    <t>Oundle</t>
  </si>
  <si>
    <t>Prebendal</t>
  </si>
  <si>
    <t>Raunds Saxon</t>
  </si>
  <si>
    <t>Raunds Windmill</t>
  </si>
  <si>
    <t>Rushden Bates</t>
  </si>
  <si>
    <t>Rushden Hayden</t>
  </si>
  <si>
    <t>Rushden Pemberton</t>
  </si>
  <si>
    <t>Rushden Sartoris</t>
  </si>
  <si>
    <t>Rushden Spencer</t>
  </si>
  <si>
    <t>Stanwick</t>
  </si>
  <si>
    <t>Thrapston Lakes</t>
  </si>
  <si>
    <t>Thrapston Market</t>
  </si>
  <si>
    <t>Wellingborough CC (pt)</t>
  </si>
  <si>
    <t>KETTERING BOROUGH  *</t>
  </si>
  <si>
    <t>Pakefield</t>
  </si>
  <si>
    <t>Southwold and Reydon</t>
  </si>
  <si>
    <t>Wainford</t>
  </si>
  <si>
    <t>Worlingham</t>
  </si>
  <si>
    <t>Wrentham</t>
  </si>
  <si>
    <t>* as created by The District of Waveney (Electoral Changes) Order 2001</t>
  </si>
  <si>
    <t>SUTTON LONDON BOROUGH  *</t>
  </si>
  <si>
    <t>Carshalton and Wallington BC</t>
  </si>
  <si>
    <t>Sutton (pt)</t>
  </si>
  <si>
    <t>Sutton and Cheam BC</t>
  </si>
  <si>
    <t>Beddington North</t>
  </si>
  <si>
    <t>Beddington South</t>
  </si>
  <si>
    <t>Saxon Shore</t>
  </si>
  <si>
    <t>Stocksfield and Broomhaugh</t>
  </si>
  <si>
    <t>Vincent Square</t>
  </si>
  <si>
    <t>Westbourne</t>
  </si>
  <si>
    <t>West End</t>
  </si>
  <si>
    <t>* as created by The City of Westminster (Electoral Changes) Order 2000</t>
  </si>
  <si>
    <t>ISLES OF SCILLY</t>
  </si>
  <si>
    <t>County Average (6 seats)</t>
  </si>
  <si>
    <t>Camborne and Redruth CC</t>
  </si>
  <si>
    <t>RUNNYMEDE BOROUGH</t>
  </si>
  <si>
    <t>SPELTHORNE BOROUGH</t>
  </si>
  <si>
    <t>SURREY HEATH BOROUGH</t>
  </si>
  <si>
    <t>TANDRIDGE DISTRICT</t>
  </si>
  <si>
    <t>WAVERLEY BOROUGH</t>
  </si>
  <si>
    <t>WOKING BOROUGH</t>
  </si>
  <si>
    <t>East Surrey CC</t>
  </si>
  <si>
    <t>Reigate and Banstead (pt)</t>
  </si>
  <si>
    <t>Epsom and Ewell BC</t>
  </si>
  <si>
    <t>Mole Valley (pt)</t>
  </si>
  <si>
    <t>Esher and Walton BC</t>
  </si>
  <si>
    <t>Elmbridge (pt)</t>
  </si>
  <si>
    <t>Guildford CC</t>
  </si>
  <si>
    <t>Guildford (pt)</t>
  </si>
  <si>
    <t>Waverley (pt)</t>
  </si>
  <si>
    <t>Mole Valley CC</t>
  </si>
  <si>
    <t>Reigate BC</t>
  </si>
  <si>
    <t>Runnymede and Weybridge CC</t>
  </si>
  <si>
    <t>South West Surrey CC</t>
  </si>
  <si>
    <t>Spelthorne BC</t>
  </si>
  <si>
    <t>Surrey Heath CC</t>
  </si>
  <si>
    <t>Woking CC</t>
  </si>
  <si>
    <t>ELMBRIDGE BOROUGH  *</t>
  </si>
  <si>
    <t>Claygate</t>
  </si>
  <si>
    <t>Esher</t>
  </si>
  <si>
    <t>Warbreck</t>
  </si>
  <si>
    <t>Waterloo</t>
  </si>
  <si>
    <t>Blackpool North and Cleveleys BC (pt)</t>
  </si>
  <si>
    <t>* as created by The Borough of Blackpool (Electoral Change) Order 2002</t>
  </si>
  <si>
    <t>Hove Park</t>
  </si>
  <si>
    <t>BASILDON BOROUGH</t>
  </si>
  <si>
    <t>BASILDON BOROUGH  *</t>
  </si>
  <si>
    <t>Langbourn</t>
  </si>
  <si>
    <t>Lime Street</t>
  </si>
  <si>
    <t>Portsoken</t>
  </si>
  <si>
    <t>Queenhithe</t>
  </si>
  <si>
    <t>Tower</t>
  </si>
  <si>
    <t>REIGATE AND BANSTEAD BOROUGH</t>
  </si>
  <si>
    <t>Yeovil Without</t>
  </si>
  <si>
    <t>* as created by The District of South Somerset (Electoral Changes) Order 1998</t>
  </si>
  <si>
    <t>TAUNTON DEANE BOROUGH  *</t>
  </si>
  <si>
    <t>Bishop's Hull</t>
  </si>
  <si>
    <t>Bishop's Lydeard</t>
  </si>
  <si>
    <t>Bradford-on-Tone</t>
  </si>
  <si>
    <t>Comeytrowe</t>
  </si>
  <si>
    <t>Milverton and North Deane</t>
  </si>
  <si>
    <t>Monument</t>
  </si>
  <si>
    <t>North Curry and Stoke St Gregory</t>
  </si>
  <si>
    <t>Norton Fitzwarren</t>
  </si>
  <si>
    <t>CITY OF STOKE-ON-TRENT  *</t>
  </si>
  <si>
    <t>CANNOCK CHASE DISTRICT</t>
  </si>
  <si>
    <t>EAST STAFFORDSHIRE BOROUGH</t>
  </si>
  <si>
    <t>LICHFIELD DISTRICT</t>
  </si>
  <si>
    <t>NEWCASTLE-UNDER-LYME BOROUGH</t>
  </si>
  <si>
    <t>SOUTH STAFFORDSHIRE DISTRICT</t>
  </si>
  <si>
    <t>STAFFORD BOROUGH  *</t>
  </si>
  <si>
    <t>STAFFORDSHIRE MOORLANDS DISTRICT</t>
  </si>
  <si>
    <t>TAMWORTH BOROUGH</t>
  </si>
  <si>
    <t>County Average (Staffordshire) (9 seats)</t>
  </si>
  <si>
    <t>County Average (Stoke-on-Trent) (3 seats)</t>
  </si>
  <si>
    <t>Burton CC</t>
  </si>
  <si>
    <t>East Staffordshire (pt)</t>
  </si>
  <si>
    <t>Cannock Chase CC</t>
  </si>
  <si>
    <t>Lichfield CC</t>
  </si>
  <si>
    <t>Lichfield (pt)</t>
  </si>
  <si>
    <t>CITY OF SALFORD</t>
  </si>
  <si>
    <t>STOCKPORT BOROUGH</t>
  </si>
  <si>
    <t>TAMESIDE BOROUGH</t>
  </si>
  <si>
    <t>TRAFFORD BOROUGH</t>
  </si>
  <si>
    <t>WIGAN BOROUGH</t>
  </si>
  <si>
    <t>* as created by The London Borough of Ealing (Electoral Changes) Order 2000</t>
  </si>
  <si>
    <t>ENFIELD LONDON BOROUGH  *</t>
  </si>
  <si>
    <t>Edmonton BC</t>
  </si>
  <si>
    <t>Enfield (pt)</t>
  </si>
  <si>
    <t>Enfield North BC</t>
  </si>
  <si>
    <t>Enfield, Southgate BC</t>
  </si>
  <si>
    <t>Bowes</t>
  </si>
  <si>
    <t>Bush Hill Park</t>
  </si>
  <si>
    <t>Chase</t>
  </si>
  <si>
    <t>Cockfosters</t>
  </si>
  <si>
    <t>CANNOCK CHASE DISTRICT  *</t>
  </si>
  <si>
    <t>Brereton and Ravenhill</t>
  </si>
  <si>
    <t>Cannock East</t>
  </si>
  <si>
    <t>Cannock North</t>
  </si>
  <si>
    <t>Cannock South</t>
  </si>
  <si>
    <t>Cannock West</t>
  </si>
  <si>
    <t>Etching Hill and The Heath</t>
  </si>
  <si>
    <t>Hawks Green</t>
  </si>
  <si>
    <t>Heath Hayes East and Wimblebury</t>
  </si>
  <si>
    <t>Hednesford Green Heath</t>
  </si>
  <si>
    <t>Hednesford North</t>
  </si>
  <si>
    <t>Hednesford South</t>
  </si>
  <si>
    <t>Norton Canes</t>
  </si>
  <si>
    <t>Rawnsley</t>
  </si>
  <si>
    <t>Western Springs</t>
  </si>
  <si>
    <t>* as created by The District of Cannock Chase (Electoral Changes) Order 2001</t>
  </si>
  <si>
    <t>* as created by The Borough of Blackburn with Darwen (Electoral Changes) Order 2002</t>
  </si>
  <si>
    <t>Anchorsholme</t>
  </si>
  <si>
    <t>Bispham</t>
  </si>
  <si>
    <t>Bloomfield</t>
  </si>
  <si>
    <t>Brunswick</t>
  </si>
  <si>
    <t>Claremont</t>
  </si>
  <si>
    <t>Greenlands</t>
  </si>
  <si>
    <t>Hawes Side</t>
  </si>
  <si>
    <t>Highfield</t>
  </si>
  <si>
    <t>Ingthorpe</t>
  </si>
  <si>
    <t>Layton</t>
  </si>
  <si>
    <t>Marton</t>
  </si>
  <si>
    <t>Norbreck</t>
  </si>
  <si>
    <t>Squires Gate</t>
  </si>
  <si>
    <t>Talbot</t>
  </si>
  <si>
    <t>Tyldesley</t>
  </si>
  <si>
    <t>Hornby Castle</t>
  </si>
  <si>
    <t>Leyburn</t>
  </si>
  <si>
    <t>Lower Wensleydale</t>
  </si>
  <si>
    <t>Melsonby</t>
  </si>
  <si>
    <t>Middleham</t>
  </si>
  <si>
    <t>Middleton Tyas</t>
  </si>
  <si>
    <t>Newsham with Eppleby</t>
  </si>
  <si>
    <t>Penhill</t>
  </si>
  <si>
    <t>Reeth and Arkengarthdale</t>
  </si>
  <si>
    <t>Coal Clough with Deerplay</t>
  </si>
  <si>
    <t>Daneshouse with Stoneyholme</t>
  </si>
  <si>
    <t>Gannow</t>
  </si>
  <si>
    <t>Gawthorpe</t>
  </si>
  <si>
    <t>Hapton with Park</t>
  </si>
  <si>
    <t>Lanehead</t>
  </si>
  <si>
    <t>Queensgate</t>
  </si>
  <si>
    <t>Rosegrove with Lowerhouse</t>
  </si>
  <si>
    <t>Mickleham, Westhumble and Pixham</t>
  </si>
  <si>
    <t>TUNBRIDGE WELLS BOROUGH  *</t>
  </si>
  <si>
    <t>Benenden and Cranbrook</t>
  </si>
  <si>
    <t>Brenchley and Horsmonden</t>
  </si>
  <si>
    <t>Broadwater</t>
  </si>
  <si>
    <t>Capel</t>
  </si>
  <si>
    <t>Culverden</t>
  </si>
  <si>
    <t>Frittenden and Sissinghurst</t>
  </si>
  <si>
    <t>Goudhurst and Lamberhurst</t>
  </si>
  <si>
    <t>Hawkhurst and Sandhurst</t>
  </si>
  <si>
    <t>Chale, Niton and Whitwell</t>
  </si>
  <si>
    <t>Cowes Medina</t>
  </si>
  <si>
    <t>Cowes North</t>
  </si>
  <si>
    <t>Cowes South and Northwood</t>
  </si>
  <si>
    <t>Cowes West and Gurnard</t>
  </si>
  <si>
    <t>East Cowes</t>
  </si>
  <si>
    <t>Freshwater North</t>
  </si>
  <si>
    <t>Freshwater South</t>
  </si>
  <si>
    <t>Godshill and Wroxall</t>
  </si>
  <si>
    <t>Havenstreet, Ashey and Haylands</t>
  </si>
  <si>
    <t>Lake North</t>
  </si>
  <si>
    <t>Lake South</t>
  </si>
  <si>
    <t>Nettlestone and Seaview</t>
  </si>
  <si>
    <t>Newport Central</t>
  </si>
  <si>
    <t>Greenford Broadway</t>
  </si>
  <si>
    <t>Greenford Green</t>
  </si>
  <si>
    <t>Hanger Hill</t>
  </si>
  <si>
    <t>Hobbayne</t>
  </si>
  <si>
    <t>Lady Margaret</t>
  </si>
  <si>
    <t>North Greenford</t>
  </si>
  <si>
    <t>Northolt Mandeville</t>
  </si>
  <si>
    <t>Northolt West End</t>
  </si>
  <si>
    <t>Norwood Green</t>
  </si>
  <si>
    <t>Perivale</t>
  </si>
  <si>
    <t>South Acton</t>
  </si>
  <si>
    <t>Southall Broadway</t>
  </si>
  <si>
    <t>Southall Green</t>
  </si>
  <si>
    <t>Normandy</t>
  </si>
  <si>
    <t>Onslow</t>
  </si>
  <si>
    <t>Pilgrims</t>
  </si>
  <si>
    <t>Pirbright</t>
  </si>
  <si>
    <t>CHORLEY BOROUGH  *</t>
  </si>
  <si>
    <t>Adlington and Anderton</t>
  </si>
  <si>
    <t>Astley and Buckshaw</t>
  </si>
  <si>
    <t>Brindle and Hoghton</t>
  </si>
  <si>
    <t>Chisnall</t>
  </si>
  <si>
    <t>Chorley East</t>
  </si>
  <si>
    <t>Euxton South</t>
  </si>
  <si>
    <t>Heath Charnock and Rivington</t>
  </si>
  <si>
    <t>Lostock</t>
  </si>
  <si>
    <t>Pennine</t>
  </si>
  <si>
    <t>Wheelton and Withnell</t>
  </si>
  <si>
    <t>South Ribble CC (pt)</t>
  </si>
  <si>
    <t>Salisbury St Francis and Stratford</t>
  </si>
  <si>
    <t>Salisbury St Mark's and Bishopdown</t>
  </si>
  <si>
    <t>Salisbury St Martin's and Cathedral</t>
  </si>
  <si>
    <t>Salisbury St Paul's</t>
  </si>
  <si>
    <t>Sherston</t>
  </si>
  <si>
    <t>Southwick</t>
  </si>
  <si>
    <t>St Bees</t>
  </si>
  <si>
    <t>Sandwith</t>
  </si>
  <si>
    <t>Seascale</t>
  </si>
  <si>
    <t>Town Centre</t>
  </si>
  <si>
    <t>Tulketh</t>
  </si>
  <si>
    <t>Wyre and Preston North CC (pt)</t>
  </si>
  <si>
    <t>* as created by The Borough of Preston (Electoral Changes) Order 2001 and</t>
  </si>
  <si>
    <t xml:space="preserve">   as altered by The Preston (Electoral Changes) Order 2007</t>
  </si>
  <si>
    <t xml:space="preserve">   Borough granted City status on 13 March 2002</t>
  </si>
  <si>
    <t>RIBBLE VALLEY BOROUGH  *</t>
  </si>
  <si>
    <t>Aighton, Bailey and Chaigley</t>
  </si>
  <si>
    <t>Alston and Hothersall</t>
  </si>
  <si>
    <t>Billington and Old Langho</t>
  </si>
  <si>
    <t>Bowland, Newton and Slaidburn</t>
  </si>
  <si>
    <t>Chatburn</t>
  </si>
  <si>
    <t>Chipping</t>
  </si>
  <si>
    <t>Clayton-le-Dale with Ramsgreave</t>
  </si>
  <si>
    <t>Derby and Thornley</t>
  </si>
  <si>
    <t>Dilworth</t>
  </si>
  <si>
    <t>Edisford and Low Moor</t>
  </si>
  <si>
    <t>Gisburn, Rimington</t>
  </si>
  <si>
    <t>Langho</t>
  </si>
  <si>
    <t>Littlemoor</t>
  </si>
  <si>
    <t>Mellor</t>
  </si>
  <si>
    <t>* as created by The Borough of Barrow-in-Furness (Electoral Changes) Order 2008</t>
  </si>
  <si>
    <t>DARLINGTON BOROUGH  *</t>
  </si>
  <si>
    <t>DURHAM  #</t>
  </si>
  <si>
    <t>Peacehaven West</t>
  </si>
  <si>
    <t>* as created by The Borough of Runnymede (Electoral Changes) Order 1999</t>
  </si>
  <si>
    <t>SPELTHORNE BOROUGH  *</t>
  </si>
  <si>
    <t>Ashford Common</t>
  </si>
  <si>
    <t>* as created by The District of Tandridge (Electoral Changes) Order 1999 and</t>
  </si>
  <si>
    <t xml:space="preserve">   as altered by The Tandridge (Electoral Changes) Order 2007</t>
  </si>
  <si>
    <t>WAVERLEY BOROUGH  *</t>
  </si>
  <si>
    <t>Alfold, Cranleigh Rural and Ellens Green</t>
  </si>
  <si>
    <t>Thringstone</t>
  </si>
  <si>
    <t>OADBY AND WIGSTON BOROUGH  *</t>
  </si>
  <si>
    <t>Moss Side</t>
  </si>
  <si>
    <t>Seven Stars</t>
  </si>
  <si>
    <t>* as created by The Borough of South Ribble (Electoral Changes) Order 2001</t>
  </si>
  <si>
    <t>Newport North</t>
  </si>
  <si>
    <t>Newport South</t>
  </si>
  <si>
    <t>Newport West</t>
  </si>
  <si>
    <t>Parkhurst</t>
  </si>
  <si>
    <t>Ryde East</t>
  </si>
  <si>
    <t>Ryde North East</t>
  </si>
  <si>
    <t>Ryde North West</t>
  </si>
  <si>
    <t>Ryde South</t>
  </si>
  <si>
    <t>Ryde West</t>
  </si>
  <si>
    <t>Waddington and West Bradford</t>
  </si>
  <si>
    <t>Whalley</t>
  </si>
  <si>
    <t>Wilpshire</t>
  </si>
  <si>
    <t>Horley East</t>
  </si>
  <si>
    <t>Horley West</t>
  </si>
  <si>
    <t>Kingswood with Burgh Heath</t>
  </si>
  <si>
    <t>Meadvale and St John's</t>
  </si>
  <si>
    <t>Merstham</t>
  </si>
  <si>
    <t>Nork</t>
  </si>
  <si>
    <t>Redhill East</t>
  </si>
  <si>
    <t>Redhill West</t>
  </si>
  <si>
    <t>Reigate Central</t>
  </si>
  <si>
    <t>Reigate Hill</t>
  </si>
  <si>
    <t>Salfords and Sidlow</t>
  </si>
  <si>
    <t>South Park and Woodhatch</t>
  </si>
  <si>
    <t>Tadworth and Walton</t>
  </si>
  <si>
    <t>Upper Yeo</t>
  </si>
  <si>
    <t>Way</t>
  </si>
  <si>
    <t>Westexe</t>
  </si>
  <si>
    <t>Yeo</t>
  </si>
  <si>
    <t>NORTH DEVON DISTRICT  *</t>
  </si>
  <si>
    <t>Bickington and Roundswell</t>
  </si>
  <si>
    <t>Bishop's Nympton</t>
  </si>
  <si>
    <t>Bratton Fleming</t>
  </si>
  <si>
    <t>Braunton East</t>
  </si>
  <si>
    <t>Braunton West</t>
  </si>
  <si>
    <t>Central Town</t>
  </si>
  <si>
    <t>Chittlehampton</t>
  </si>
  <si>
    <t>Chulmleigh</t>
  </si>
  <si>
    <t>Combe Martin</t>
  </si>
  <si>
    <t>Forches and Whiddon Valley</t>
  </si>
  <si>
    <t>Fremington</t>
  </si>
  <si>
    <t>Georgeham and Mortehoe</t>
  </si>
  <si>
    <t>Heanton Punchardon</t>
  </si>
  <si>
    <t>Ilfracombe Central</t>
  </si>
  <si>
    <t>Epping Lindsey and Thornwood Common</t>
  </si>
  <si>
    <t>Grange Hill</t>
  </si>
  <si>
    <t>Keele</t>
  </si>
  <si>
    <t>Broadley Common, Epping Upland and Nazeing</t>
  </si>
  <si>
    <t>Epping Forest CC</t>
  </si>
  <si>
    <t>Buckhurst Hill East</t>
  </si>
  <si>
    <t>Buckhurst Hill West</t>
  </si>
  <si>
    <t>Chigwell Row</t>
  </si>
  <si>
    <t>Chigwell Village</t>
  </si>
  <si>
    <t>Chipping Ongar, Greensted and Marden Ash</t>
  </si>
  <si>
    <t>Epping Hemnall</t>
  </si>
  <si>
    <t>Riverside and Laleham</t>
  </si>
  <si>
    <t>Shepperton Town</t>
  </si>
  <si>
    <t>Staines</t>
  </si>
  <si>
    <t>Staines South</t>
  </si>
  <si>
    <t>Stanwell North</t>
  </si>
  <si>
    <t>Sunbury Common</t>
  </si>
  <si>
    <t>Sunbury East</t>
  </si>
  <si>
    <t>Penkridge North East and Acton Trussell</t>
  </si>
  <si>
    <t>Penkridge South East</t>
  </si>
  <si>
    <t>Tollesbury</t>
  </si>
  <si>
    <t>Tolleshunt D'Arcy</t>
  </si>
  <si>
    <t>Wickham Bishops and Woodham</t>
  </si>
  <si>
    <t>* as created by The District of Maldon (Electoral Changes) Order 2001</t>
  </si>
  <si>
    <t>ROCHFORD DISTRICT  *</t>
  </si>
  <si>
    <t>Roehampton and Putney Heath</t>
  </si>
  <si>
    <t>Skelmersdale South</t>
  </si>
  <si>
    <t>Tanhouse</t>
  </si>
  <si>
    <t>Tarleton</t>
  </si>
  <si>
    <t>Up Holland</t>
  </si>
  <si>
    <t>Wrightington</t>
  </si>
  <si>
    <t>* as created by The District of West Lancashire (Electoral Changes) Order 2001 and</t>
  </si>
  <si>
    <t xml:space="preserve">   as altered by The West Lancashire (Parish Electoral Arrangements and Electoral Changes) Order 2007</t>
  </si>
  <si>
    <t>WYRE BOROUGH  *</t>
  </si>
  <si>
    <t>Bourne</t>
  </si>
  <si>
    <t>Breck</t>
  </si>
  <si>
    <t>Calder</t>
  </si>
  <si>
    <t>Carleton</t>
  </si>
  <si>
    <t>Cleveleys Park</t>
  </si>
  <si>
    <t>Maidstone and The Weald CC</t>
  </si>
  <si>
    <t>Tunbridge Wells (pt)</t>
  </si>
  <si>
    <t>North Thanet CC</t>
  </si>
  <si>
    <t>Thanet (pt)</t>
  </si>
  <si>
    <t>Rochester and Strood CC</t>
  </si>
  <si>
    <t>Sevenoaks CC</t>
  </si>
  <si>
    <t>Sittingbourne and Sheppey CC</t>
  </si>
  <si>
    <t>South Thanet CC</t>
  </si>
  <si>
    <t>Tonbridge and Malling CC</t>
  </si>
  <si>
    <t>Tunbridge Wells CC</t>
  </si>
  <si>
    <t>Chatham Central</t>
  </si>
  <si>
    <t>Halton (pt)</t>
  </si>
  <si>
    <t>Buxted and Maresfield</t>
  </si>
  <si>
    <t>Chiddingly and East Hoathly</t>
  </si>
  <si>
    <t>Cross in Hand/Five Ashes</t>
  </si>
  <si>
    <t>Crowborough East</t>
  </si>
  <si>
    <t>Exeter (pt)</t>
  </si>
  <si>
    <t>Exeter BC</t>
  </si>
  <si>
    <t>Newton Abbot CC</t>
  </si>
  <si>
    <t>North Devon CC</t>
  </si>
  <si>
    <t>Plymouth, Moor View BC</t>
  </si>
  <si>
    <t>Plymouth (pt)</t>
  </si>
  <si>
    <t>St Michaels</t>
  </si>
  <si>
    <t>St Stephens</t>
  </si>
  <si>
    <t>Salehurst</t>
  </si>
  <si>
    <t>Sidley</t>
  </si>
  <si>
    <t>Ticehurst and Etchingham</t>
  </si>
  <si>
    <t>Bexhill and Battle CC (pt)</t>
  </si>
  <si>
    <t>* as created by The District of Rother (Electoral Changes) Order 2001</t>
  </si>
  <si>
    <t>WEALDEN DISTRICT  *</t>
  </si>
  <si>
    <t>Alfriston</t>
  </si>
  <si>
    <t>* as created by The Staffordshire (City of Stoke-on-Trent) (Structural and Boundary Changes) Order 1995</t>
  </si>
  <si>
    <t>North Hykeham Forum</t>
  </si>
  <si>
    <t>North Hykeham Memorial</t>
  </si>
  <si>
    <t>Ewhurst and Sedlescombe</t>
  </si>
  <si>
    <t>Kewhurst</t>
  </si>
  <si>
    <t>Marsham</t>
  </si>
  <si>
    <t>Rother Levels</t>
  </si>
  <si>
    <t>Rye</t>
  </si>
  <si>
    <t>Sackville</t>
  </si>
  <si>
    <t>St Marks</t>
  </si>
  <si>
    <t>Little Stour and Ashstone</t>
  </si>
  <si>
    <t>Lydden and Temple Ewell</t>
  </si>
  <si>
    <t>Maxton, Elms Vale and Priory</t>
  </si>
  <si>
    <t>SOUTH HOLLAND DISTRICT  *</t>
  </si>
  <si>
    <t>Crowland and Deeping St Nicholas</t>
  </si>
  <si>
    <t>Headcorn</t>
  </si>
  <si>
    <t>High Street</t>
  </si>
  <si>
    <t>Scampton</t>
  </si>
  <si>
    <t>Frensham, Dockenfield and Tilford</t>
  </si>
  <si>
    <t>Godalming Binscombe</t>
  </si>
  <si>
    <t>Godalming Central and Ockford</t>
  </si>
  <si>
    <t>Godalming Charterhouse</t>
  </si>
  <si>
    <t>Godalming Farncombe and Catteshall</t>
  </si>
  <si>
    <t>Godalming Holloway</t>
  </si>
  <si>
    <t>WEST LINDSEY DISTRICT</t>
  </si>
  <si>
    <t>County Average (8 seats)</t>
  </si>
  <si>
    <t>Boston and Skegness CC</t>
  </si>
  <si>
    <t>East Lindsey (pt)</t>
  </si>
  <si>
    <t>Gainsborough CC</t>
  </si>
  <si>
    <t>Ilfracombe East</t>
  </si>
  <si>
    <t>Corsham Pickwick</t>
  </si>
  <si>
    <t>Truro Boscawen</t>
  </si>
  <si>
    <t>Truro Tregolls</t>
  </si>
  <si>
    <t>Truro Trehaverne</t>
  </si>
  <si>
    <t>Louth and Horncastle CC</t>
  </si>
  <si>
    <t>Sleaford and North Hykeham CC</t>
  </si>
  <si>
    <t>South Holland and The Deepings CC</t>
  </si>
  <si>
    <t>BOSTON BOROUGH  *</t>
  </si>
  <si>
    <t>Coastal</t>
  </si>
  <si>
    <t>Fenside</t>
  </si>
  <si>
    <t>Camelford</t>
  </si>
  <si>
    <t>Falmouth Arwenack</t>
  </si>
  <si>
    <t>Falmouth Boslowick</t>
  </si>
  <si>
    <t>Falmouth Penwerris</t>
  </si>
  <si>
    <t>North Holme</t>
  </si>
  <si>
    <t>St Clement's</t>
  </si>
  <si>
    <t>St Margaret's</t>
  </si>
  <si>
    <t>Spilsby</t>
  </si>
  <si>
    <t>Chadwell St Mary</t>
  </si>
  <si>
    <t>Chafford and North Stifford</t>
  </si>
  <si>
    <t>Corringham and Fobbing</t>
  </si>
  <si>
    <t>East Tilbury</t>
  </si>
  <si>
    <t>Grays Riverside</t>
  </si>
  <si>
    <t>Grays Thurrock</t>
  </si>
  <si>
    <t>Little Thurrock Blackshots</t>
  </si>
  <si>
    <t>Little Thurrock Rectory</t>
  </si>
  <si>
    <t>Ockendon</t>
  </si>
  <si>
    <t>Orsett</t>
  </si>
  <si>
    <t>South Chafford</t>
  </si>
  <si>
    <t>Stanford East and Corringham Town</t>
  </si>
  <si>
    <t>Stanford-le-Hope West</t>
  </si>
  <si>
    <t>Stifford Clays</t>
  </si>
  <si>
    <t>The Homesteads</t>
  </si>
  <si>
    <t>East Hertfordshire</t>
  </si>
  <si>
    <t>Hertsmere</t>
  </si>
  <si>
    <t>North Hertfordshire</t>
  </si>
  <si>
    <t>St Albans</t>
  </si>
  <si>
    <t>Stevenage</t>
  </si>
  <si>
    <t>Three Rivers</t>
  </si>
  <si>
    <t>Watford</t>
  </si>
  <si>
    <t>Welwyn Hatfield</t>
  </si>
  <si>
    <t>HERTFORDSHIRE</t>
  </si>
  <si>
    <t>East Riding of Yorkshire *</t>
  </si>
  <si>
    <t>City</t>
  </si>
  <si>
    <t>Gowy</t>
  </si>
  <si>
    <t>Capel-le-Ferne</t>
  </si>
  <si>
    <t>Eastry</t>
  </si>
  <si>
    <t>Eythorne and Shepherdswell</t>
  </si>
  <si>
    <t>Bow East</t>
  </si>
  <si>
    <t>Bow West</t>
  </si>
  <si>
    <t>Loose</t>
  </si>
  <si>
    <t>Marden and Yalding</t>
  </si>
  <si>
    <t>North Downs</t>
  </si>
  <si>
    <t>Park Wood</t>
  </si>
  <si>
    <t>Shepway North</t>
  </si>
  <si>
    <t>Shepway South</t>
  </si>
  <si>
    <t>Staplehurst</t>
  </si>
  <si>
    <t>Sutton Valence and Langley</t>
  </si>
  <si>
    <t>Faversham and Mid Kent CC (pt)</t>
  </si>
  <si>
    <t>Maidstone and The Weald CC (pt)</t>
  </si>
  <si>
    <t>Bristol *</t>
  </si>
  <si>
    <t>Aylesbury Vale</t>
  </si>
  <si>
    <t>Chiltern</t>
  </si>
  <si>
    <t>South Bucks</t>
  </si>
  <si>
    <t>Wycombe</t>
  </si>
  <si>
    <t>Laindon Park</t>
  </si>
  <si>
    <t>Langdon Hills</t>
  </si>
  <si>
    <t>Lee Chapel North</t>
  </si>
  <si>
    <t>Nethermayne</t>
  </si>
  <si>
    <t>Pitsea North West</t>
  </si>
  <si>
    <t>Pitsea South East</t>
  </si>
  <si>
    <t>St Martin's</t>
  </si>
  <si>
    <t>Vange</t>
  </si>
  <si>
    <t>Tidenham</t>
  </si>
  <si>
    <t>Forest of Dean CC (pt)</t>
  </si>
  <si>
    <t>* as created by The District of Forest of Dean (Electoral Changes) Order 2001</t>
  </si>
  <si>
    <t>CITY OF GLOUCESTER  *</t>
  </si>
  <si>
    <t>Barnwood</t>
  </si>
  <si>
    <t>Cainscross</t>
  </si>
  <si>
    <t>Holmcroft</t>
  </si>
  <si>
    <t>Littleworth</t>
  </si>
  <si>
    <t>Milwich</t>
  </si>
  <si>
    <t>Penkside</t>
  </si>
  <si>
    <t>Rowley</t>
  </si>
  <si>
    <t>STAFFORDSHIRE MOORLANDS DISTRICT  *</t>
  </si>
  <si>
    <t>Alton</t>
  </si>
  <si>
    <t>Bagnall and Stanley</t>
  </si>
  <si>
    <t>Biddulph East</t>
  </si>
  <si>
    <t>Biddulph Moor</t>
  </si>
  <si>
    <t>Biddulph North</t>
  </si>
  <si>
    <t>Biddulph South</t>
  </si>
  <si>
    <t>Biddulph West</t>
  </si>
  <si>
    <t>Brown Edge and Endon</t>
  </si>
  <si>
    <t>Rochford and Southend East CC (pt)</t>
  </si>
  <si>
    <t>* as created by The Borough of Southend-on-Sea (Electoral Changes) Order 2000</t>
  </si>
  <si>
    <t>Aveley and Uplands</t>
  </si>
  <si>
    <t>Belhus</t>
  </si>
  <si>
    <t>Hartlepool *</t>
  </si>
  <si>
    <t>Herefordshire *</t>
  </si>
  <si>
    <t>Broxbourne</t>
  </si>
  <si>
    <t>Dacorum</t>
  </si>
  <si>
    <t>Murston</t>
  </si>
  <si>
    <t>Stainsby Hill</t>
  </si>
  <si>
    <t>Stockton Town Centre</t>
  </si>
  <si>
    <t>Western Parishes</t>
  </si>
  <si>
    <t>Yarm</t>
  </si>
  <si>
    <t>* as created by The Borough of Stockton-on-Tees (Electoral Changes) Order 2003</t>
  </si>
  <si>
    <t>BABERGH DISTRICT</t>
  </si>
  <si>
    <t>FOREST HEATH DISTRICT</t>
  </si>
  <si>
    <t>IPSWICH BOROUGH</t>
  </si>
  <si>
    <t>MID SUFFOLK DISTRICT</t>
  </si>
  <si>
    <t>Braintree CC</t>
  </si>
  <si>
    <t>Braintree (pt)</t>
  </si>
  <si>
    <t>Brentwood and Ongar CC</t>
  </si>
  <si>
    <t>* as created by The Borough of Ipswich (Electoral Changes) Order 2001</t>
  </si>
  <si>
    <t>MID SUFFOLK DISTRICT  *</t>
  </si>
  <si>
    <t>Bacton and Old Newton</t>
  </si>
  <si>
    <t>Badwell Ash</t>
  </si>
  <si>
    <t>Barking and Somersham</t>
  </si>
  <si>
    <t>Bramford and Blakenham</t>
  </si>
  <si>
    <t>Claydon and Barham</t>
  </si>
  <si>
    <t>Debenham</t>
  </si>
  <si>
    <t>Elmswell and Norton</t>
  </si>
  <si>
    <t>Eye</t>
  </si>
  <si>
    <t>Fressingfield</t>
  </si>
  <si>
    <t>Gislingham</t>
  </si>
  <si>
    <t>Haughley and Wetherden</t>
  </si>
  <si>
    <t>Helmingham and Coddenham</t>
  </si>
  <si>
    <t>Hoxne</t>
  </si>
  <si>
    <t>Mendlesham</t>
  </si>
  <si>
    <t>Needham Market</t>
  </si>
  <si>
    <t>Onehouse</t>
  </si>
  <si>
    <t>Bridgwater Eastover</t>
  </si>
  <si>
    <t>Bridgwater Hamp</t>
  </si>
  <si>
    <t>Bridgwater Victoria</t>
  </si>
  <si>
    <t>Burnham North</t>
  </si>
  <si>
    <t>Cheddar and Shipham</t>
  </si>
  <si>
    <t>Northumberland *</t>
  </si>
  <si>
    <t>NORTHUMBERLAND  *</t>
  </si>
  <si>
    <t>Berwick-upon-Tweed CC</t>
  </si>
  <si>
    <t>Northumberland (pt)</t>
  </si>
  <si>
    <t>Blyth Valley BC</t>
  </si>
  <si>
    <t>Hexham CC</t>
  </si>
  <si>
    <t>Wansbeck CC</t>
  </si>
  <si>
    <t>* as created by The Northumberland (Structural Change) Order 2008</t>
  </si>
  <si>
    <t>Amble</t>
  </si>
  <si>
    <t>Amble West with Warkworth</t>
  </si>
  <si>
    <t>Cage Green</t>
  </si>
  <si>
    <t>East Malling</t>
  </si>
  <si>
    <t>Hildenborough</t>
  </si>
  <si>
    <t>Judd</t>
  </si>
  <si>
    <t>Chippenham Hardenhuish</t>
  </si>
  <si>
    <t>Loughborough Lemyngton</t>
  </si>
  <si>
    <t>Loughborough Nanpantan</t>
  </si>
  <si>
    <t>Loughborough Outwoods</t>
  </si>
  <si>
    <t>* as created by The District of Basildon (Electoral Changes) Order 2001</t>
  </si>
  <si>
    <t>BRAINTREE DISTRICT  *</t>
  </si>
  <si>
    <t>Bocking Blackwater</t>
  </si>
  <si>
    <t>Bocking North</t>
  </si>
  <si>
    <t>Bocking South</t>
  </si>
  <si>
    <t>CITY OF LEICESTER  *</t>
  </si>
  <si>
    <t>County Average (3 seats)</t>
  </si>
  <si>
    <t>Loughborough Shelthorpe</t>
  </si>
  <si>
    <t>Loughborough Southfields</t>
  </si>
  <si>
    <t>Loughborough Storer</t>
  </si>
  <si>
    <t>Mountsorrel</t>
  </si>
  <si>
    <t>Queniborough</t>
  </si>
  <si>
    <t>Quorn and Mountsorrel Castle</t>
  </si>
  <si>
    <t>Rothley and Thurcaston</t>
  </si>
  <si>
    <t>Shepshed East</t>
  </si>
  <si>
    <t>Shepshed West</t>
  </si>
  <si>
    <t>Sileby</t>
  </si>
  <si>
    <t>Syston East</t>
  </si>
  <si>
    <t>Syston West</t>
  </si>
  <si>
    <t>The Wolds</t>
  </si>
  <si>
    <t>Thurmaston</t>
  </si>
  <si>
    <t>Wreake Villages</t>
  </si>
  <si>
    <t>* as created by The Borough of Charnwood (Electoral Changes) Order 2002</t>
  </si>
  <si>
    <t>HARBOROUGH DISTRICT  *</t>
  </si>
  <si>
    <t>Billesdon</t>
  </si>
  <si>
    <t>Bosworth</t>
  </si>
  <si>
    <t>Broughton Astley-Astley</t>
  </si>
  <si>
    <t>Humberston and New Waltham</t>
  </si>
  <si>
    <t>Immingham</t>
  </si>
  <si>
    <t>Scartho</t>
  </si>
  <si>
    <t>Sidney Sussex</t>
  </si>
  <si>
    <t>Waltham</t>
  </si>
  <si>
    <t>Rushey Mead</t>
  </si>
  <si>
    <t>Spinney Hills</t>
  </si>
  <si>
    <t>Stoneygate</t>
  </si>
  <si>
    <t>Thurncourt</t>
  </si>
  <si>
    <t>Westcotes</t>
  </si>
  <si>
    <t>LEICESTERSHIRE  *</t>
  </si>
  <si>
    <t>RUTLAND DISTRICT  *</t>
  </si>
  <si>
    <t>BLABY DISTRICT</t>
  </si>
  <si>
    <t>CHARNWOOD BOROUGH</t>
  </si>
  <si>
    <t>HARBOROUGH DISTRICT</t>
  </si>
  <si>
    <t>HINCKLEY AND BOSWORTH BOROUGH</t>
  </si>
  <si>
    <t>MELTON BOROUGH</t>
  </si>
  <si>
    <t>NORTH WEST LEICESTERSHIRE DISTRICT</t>
  </si>
  <si>
    <t>OADBY AND WIGSTON BOROUGH</t>
  </si>
  <si>
    <t>Alderholt</t>
  </si>
  <si>
    <t>Ameysford</t>
  </si>
  <si>
    <t>Colehill East</t>
  </si>
  <si>
    <t>Colehill West</t>
  </si>
  <si>
    <t>Crane</t>
  </si>
  <si>
    <t>Faraday</t>
  </si>
  <si>
    <t>CHRISTCHURCH BOROUGH  *</t>
  </si>
  <si>
    <t>Burton and Winkton</t>
  </si>
  <si>
    <t>Highcliffe</t>
  </si>
  <si>
    <t>Jumpers</t>
  </si>
  <si>
    <t>Mudeford and Friars Cliff</t>
  </si>
  <si>
    <t>North Highcliffe and Walkford</t>
  </si>
  <si>
    <t>Portfield</t>
  </si>
  <si>
    <t>Ravenhurst and Fosse</t>
  </si>
  <si>
    <t>Saxondale</t>
  </si>
  <si>
    <t>Stanton and Flamville</t>
  </si>
  <si>
    <t>Charnwood CC (pt)</t>
  </si>
  <si>
    <t>South Leicestershire CC (pt)</t>
  </si>
  <si>
    <t>PURBECK DISTRICT  *</t>
  </si>
  <si>
    <t>Bere Regis</t>
  </si>
  <si>
    <t>Creech Barrow</t>
  </si>
  <si>
    <t>Langton</t>
  </si>
  <si>
    <t>Lytchett Matravers</t>
  </si>
  <si>
    <t>Lytchett Minster and Upton East</t>
  </si>
  <si>
    <t>Lytchett Minster and Upton West</t>
  </si>
  <si>
    <t>Swanage North</t>
  </si>
  <si>
    <t>Swanage South</t>
  </si>
  <si>
    <t>Wareham</t>
  </si>
  <si>
    <t>Wool</t>
  </si>
  <si>
    <t>South Dorset CC (pt)</t>
  </si>
  <si>
    <t>PENDLE BOROUGH  *</t>
  </si>
  <si>
    <t>Barrowford</t>
  </si>
  <si>
    <t>Blacko and Higherford</t>
  </si>
  <si>
    <t>Hillrise</t>
  </si>
  <si>
    <t>Holloway</t>
  </si>
  <si>
    <t>Junction</t>
  </si>
  <si>
    <t>Mildmay</t>
  </si>
  <si>
    <t>Tollington</t>
  </si>
  <si>
    <t>* as created by The London Borough of Islington (Electoral Changes) Order 2000</t>
  </si>
  <si>
    <t>KINGSTON UPON THAMES LONDON BOROUGH  * #</t>
  </si>
  <si>
    <t>Kingston and Surbiton BC</t>
  </si>
  <si>
    <t>Kingston upon Thames (pt)</t>
  </si>
  <si>
    <t>Richmond Park BC</t>
  </si>
  <si>
    <t>Richmond upon Thames (pt)</t>
  </si>
  <si>
    <t>Twickenham BC</t>
  </si>
  <si>
    <t>Berrylands</t>
  </si>
  <si>
    <t>Canbury</t>
  </si>
  <si>
    <t>Chessington North and Hook</t>
  </si>
  <si>
    <t>Chessington South</t>
  </si>
  <si>
    <t>Coombe Vale</t>
  </si>
  <si>
    <t>Norbiton</t>
  </si>
  <si>
    <t>Old Malden</t>
  </si>
  <si>
    <t>Surbiton Hill</t>
  </si>
  <si>
    <t>Tolworth and Hook Rise</t>
  </si>
  <si>
    <t>* as created by The Royal Borough of Kingston upon Thames (Electoral Changes) Order 2000</t>
  </si>
  <si>
    <t># paired with the London Borough of Richmond upon Thames</t>
  </si>
  <si>
    <t>RICHMOND UPON THAMES LONDON BOROUGH * #</t>
  </si>
  <si>
    <t>Barnes</t>
  </si>
  <si>
    <t>North Walsham East</t>
  </si>
  <si>
    <t>North Walsham North</t>
  </si>
  <si>
    <t>North Walsham West</t>
  </si>
  <si>
    <t>Poppyland</t>
  </si>
  <si>
    <t>Roughton</t>
  </si>
  <si>
    <t>Broughton Astley-Broughton</t>
  </si>
  <si>
    <t>Broughton Astley-Primethorpe</t>
  </si>
  <si>
    <t>Broughton Astley-Sutton</t>
  </si>
  <si>
    <t>Dunton</t>
  </si>
  <si>
    <t>South Gloucestershire (pt)</t>
  </si>
  <si>
    <t>Kingswood BC</t>
  </si>
  <si>
    <t>Keynsham East</t>
  </si>
  <si>
    <t>Keynsham North</t>
  </si>
  <si>
    <t>Keynsham South</t>
  </si>
  <si>
    <t>Kingsmead</t>
  </si>
  <si>
    <t>Lambridge</t>
  </si>
  <si>
    <t>Lansdown</t>
  </si>
  <si>
    <t>Lyncombe</t>
  </si>
  <si>
    <t>Midsomer Norton North</t>
  </si>
  <si>
    <t>Midsomer Norton Redfield</t>
  </si>
  <si>
    <t>Newbridge</t>
  </si>
  <si>
    <t>Odd Down</t>
  </si>
  <si>
    <t>Oldfield</t>
  </si>
  <si>
    <t>Paulton</t>
  </si>
  <si>
    <t>Peasedown</t>
  </si>
  <si>
    <t>Publow and Whitchurch</t>
  </si>
  <si>
    <t>Radstock</t>
  </si>
  <si>
    <t>Saltford</t>
  </si>
  <si>
    <t>Southdown</t>
  </si>
  <si>
    <t>Timsbury</t>
  </si>
  <si>
    <t>Twerton</t>
  </si>
  <si>
    <t>Walcot</t>
  </si>
  <si>
    <t>Westfield</t>
  </si>
  <si>
    <t>Westmoreland</t>
  </si>
  <si>
    <t>Weston</t>
  </si>
  <si>
    <t>Horringer and Whelnetham</t>
  </si>
  <si>
    <t>Hundon</t>
  </si>
  <si>
    <t>Ixworth</t>
  </si>
  <si>
    <t>Kedington</t>
  </si>
  <si>
    <t>Minden</t>
  </si>
  <si>
    <t>Moreton Hall</t>
  </si>
  <si>
    <t>Pakenham</t>
  </si>
  <si>
    <t>Risby</t>
  </si>
  <si>
    <t>Risbygate</t>
  </si>
  <si>
    <t>Rougham</t>
  </si>
  <si>
    <t>St Olaves</t>
  </si>
  <si>
    <t>Wickhambrook</t>
  </si>
  <si>
    <t>Withersfield</t>
  </si>
  <si>
    <t>* as created by The Borough of St Edmundsbury (Electoral Changes) Order 2001</t>
  </si>
  <si>
    <t>SUFFOLK COASTAL DISTRICT  *</t>
  </si>
  <si>
    <t>Aldeburgh</t>
  </si>
  <si>
    <t>Felixstowe East</t>
  </si>
  <si>
    <t>Felixstowe North</t>
  </si>
  <si>
    <t>Felixstowe South</t>
  </si>
  <si>
    <t>Huncoat</t>
  </si>
  <si>
    <t>Immanuel</t>
  </si>
  <si>
    <t>Milnshaw</t>
  </si>
  <si>
    <t>Netherton</t>
  </si>
  <si>
    <t>Overton</t>
  </si>
  <si>
    <t>* as created by The London Borough of Sutton (Electoral Changes) Order 2000</t>
  </si>
  <si>
    <t>SWINDON BOROUGH  *</t>
  </si>
  <si>
    <t>North Swindon CC</t>
  </si>
  <si>
    <t>Swindon (pt)</t>
  </si>
  <si>
    <t>South Swindon CC</t>
  </si>
  <si>
    <t>Longwell Green</t>
  </si>
  <si>
    <t>Oldland Common</t>
  </si>
  <si>
    <t>Parkwall</t>
  </si>
  <si>
    <t>Patchway</t>
  </si>
  <si>
    <t>Pilning and Severn Beach</t>
  </si>
  <si>
    <t>Rodway</t>
  </si>
  <si>
    <t>Siston</t>
  </si>
  <si>
    <t>Staple Hill</t>
  </si>
  <si>
    <t>Stoke Gifford</t>
  </si>
  <si>
    <t>Thornbury North</t>
  </si>
  <si>
    <t>Thornbury South and Alveston</t>
  </si>
  <si>
    <t>Charfield</t>
  </si>
  <si>
    <t>Chipping Sodbury</t>
  </si>
  <si>
    <t>Cotswold Edge</t>
  </si>
  <si>
    <t>Dodington</t>
  </si>
  <si>
    <t>Downend</t>
  </si>
  <si>
    <t>Emersons Green</t>
  </si>
  <si>
    <t>Filton</t>
  </si>
  <si>
    <t>Frenchay and Stoke Park</t>
  </si>
  <si>
    <t>Hanham</t>
  </si>
  <si>
    <t>Kings Chase</t>
  </si>
  <si>
    <t>Ladden Brook</t>
  </si>
  <si>
    <t>Tanfield</t>
  </si>
  <si>
    <t>* as created by The London Borough of Hammersmith and Fulham (Electoral Changes) Order 2000</t>
  </si>
  <si>
    <t xml:space="preserve"># paired with the Royal Borough of Kensington and Chelsea </t>
  </si>
  <si>
    <t>KENSINGTON AND CHELSEA LONDON BOROUGH *  #</t>
  </si>
  <si>
    <t>Borough Average (1 seat)</t>
  </si>
  <si>
    <t>Abingdon</t>
  </si>
  <si>
    <t>Campden</t>
  </si>
  <si>
    <t>Colville</t>
  </si>
  <si>
    <t>Courtfield</t>
  </si>
  <si>
    <t>Earl's Court</t>
  </si>
  <si>
    <t>Golborne</t>
  </si>
  <si>
    <t>Holland</t>
  </si>
  <si>
    <t>Norland</t>
  </si>
  <si>
    <t>Doncaster Central BC</t>
  </si>
  <si>
    <t>Doncaster (pt)</t>
  </si>
  <si>
    <t>Doncaster North CC</t>
  </si>
  <si>
    <t>HAMPSHIRE  *</t>
  </si>
  <si>
    <t>CITY OF SOUTHAMPTON  *</t>
  </si>
  <si>
    <t>BASINGSTOKE AND DEANE BOROUGH</t>
  </si>
  <si>
    <t>Hampton North</t>
  </si>
  <si>
    <t>Hampton Wick</t>
  </si>
  <si>
    <t>Kew</t>
  </si>
  <si>
    <t>Mortlake and Barnes Common</t>
  </si>
  <si>
    <t>North Richmond</t>
  </si>
  <si>
    <t>St Margarets and North Twickenham</t>
  </si>
  <si>
    <t>South Richmond</t>
  </si>
  <si>
    <t>South Twickenham</t>
  </si>
  <si>
    <t>Teddington</t>
  </si>
  <si>
    <t>Twickenham Riverside</t>
  </si>
  <si>
    <t>West Twickenham</t>
  </si>
  <si>
    <t>Whitton</t>
  </si>
  <si>
    <t>Bungay</t>
  </si>
  <si>
    <t>Carlton Colville</t>
  </si>
  <si>
    <t>Gunton and Corton</t>
  </si>
  <si>
    <t>Halesworth</t>
  </si>
  <si>
    <t>Kessingland</t>
  </si>
  <si>
    <t>Kirkley</t>
  </si>
  <si>
    <t>Normanston</t>
  </si>
  <si>
    <t>Oulton</t>
  </si>
  <si>
    <t>Oulton Broad</t>
  </si>
  <si>
    <t>Warton and Westby</t>
  </si>
  <si>
    <t>Fylde CC (pt)</t>
  </si>
  <si>
    <t>* as created by The Borough of Fylde (Electoral Changes) Order 2001</t>
  </si>
  <si>
    <t>HYNDBURN BOROUGH  *</t>
  </si>
  <si>
    <t>Altham</t>
  </si>
  <si>
    <t>Baxenden</t>
  </si>
  <si>
    <t>Clayton-le-Moors</t>
  </si>
  <si>
    <t>Hulland</t>
  </si>
  <si>
    <t>Lathkill and Bradford</t>
  </si>
  <si>
    <t>Litton and Longstone</t>
  </si>
  <si>
    <t>Masson</t>
  </si>
  <si>
    <t>Peel</t>
  </si>
  <si>
    <t>Rishton</t>
  </si>
  <si>
    <t>St Oswald's</t>
  </si>
  <si>
    <t>Spring Hill</t>
  </si>
  <si>
    <t>Hyndburn BC (pt)</t>
  </si>
  <si>
    <t>* as created by The Borough of Hyndburn (Electoral Changes) Order 2001</t>
  </si>
  <si>
    <t>CITY OF LANCASTER  *</t>
  </si>
  <si>
    <t>Bare</t>
  </si>
  <si>
    <t>Bulk</t>
  </si>
  <si>
    <t>Duke's</t>
  </si>
  <si>
    <t>Ellel</t>
  </si>
  <si>
    <t>Singleton and Greenhalgh</t>
  </si>
  <si>
    <t>Staining and Weeton</t>
  </si>
  <si>
    <t>Brailsford</t>
  </si>
  <si>
    <t>Calver</t>
  </si>
  <si>
    <t>Carsington Water</t>
  </si>
  <si>
    <t>Chatsworth</t>
  </si>
  <si>
    <t>Clifton and Bradley</t>
  </si>
  <si>
    <t>Darley Dale</t>
  </si>
  <si>
    <t>Dovedale and Parwich</t>
  </si>
  <si>
    <t>Doveridge and Sudbury</t>
  </si>
  <si>
    <t>Hartington and Taddington</t>
  </si>
  <si>
    <t>Hathersage and Eyam</t>
  </si>
  <si>
    <t>Breaston</t>
  </si>
  <si>
    <t>Enfield Highway</t>
  </si>
  <si>
    <t>Enfield Lock</t>
  </si>
  <si>
    <t>Haselbury</t>
  </si>
  <si>
    <t>Highlands</t>
  </si>
  <si>
    <t>Lower Edmonton</t>
  </si>
  <si>
    <t>Palmers Green</t>
  </si>
  <si>
    <t>Ponders End</t>
  </si>
  <si>
    <t>Southbury</t>
  </si>
  <si>
    <t>Southgate</t>
  </si>
  <si>
    <t>Southgate Green</t>
  </si>
  <si>
    <t>Turkey Street</t>
  </si>
  <si>
    <t>Upper Edmonton</t>
  </si>
  <si>
    <t>Winchmore Hill</t>
  </si>
  <si>
    <t>* as created by The London Borough of Enfield (Electoral Changes) Order 2000</t>
  </si>
  <si>
    <t>EAST SUSSEX  *</t>
  </si>
  <si>
    <t>CITY OF BRIGHTON AND HOVE  *</t>
  </si>
  <si>
    <t>EASTBOURNE BOROUGH</t>
  </si>
  <si>
    <t>HASTINGS BOROUGH</t>
  </si>
  <si>
    <t>LEWES DISTRICT</t>
  </si>
  <si>
    <t>ROTHER DISTRICT</t>
  </si>
  <si>
    <t>WEALDEN DISTRICT</t>
  </si>
  <si>
    <t>St.Peter's and North Laine</t>
  </si>
  <si>
    <t>South Portslade</t>
  </si>
  <si>
    <t>Stanford</t>
  </si>
  <si>
    <t>Wish</t>
  </si>
  <si>
    <t>Withdean</t>
  </si>
  <si>
    <t>Woodingdean</t>
  </si>
  <si>
    <t>Brighton, Kemptown BC (pt)</t>
  </si>
  <si>
    <t>* as created by The City of Brighton and Hove (Electoral Changes) Order 2001</t>
  </si>
  <si>
    <t>EASTBOURNE BOROUGH  *</t>
  </si>
  <si>
    <t>Devonshire</t>
  </si>
  <si>
    <t>Hampden Park</t>
  </si>
  <si>
    <t>Royston</t>
  </si>
  <si>
    <t>Streatham Wells</t>
  </si>
  <si>
    <t>Thornton</t>
  </si>
  <si>
    <t>Thurlow Park</t>
  </si>
  <si>
    <t>Tulse Hill</t>
  </si>
  <si>
    <t>Vassall</t>
  </si>
  <si>
    <t>STAFFORDSHIRE  *</t>
  </si>
  <si>
    <t>Central St Leonards</t>
  </si>
  <si>
    <t>Conquest</t>
  </si>
  <si>
    <t>Gensing</t>
  </si>
  <si>
    <t>Hollington</t>
  </si>
  <si>
    <t>Maze Hill</t>
  </si>
  <si>
    <t>Old Hastings</t>
  </si>
  <si>
    <t>Ore</t>
  </si>
  <si>
    <t>Silverhill</t>
  </si>
  <si>
    <t>Tressell</t>
  </si>
  <si>
    <t>West St Leonards</t>
  </si>
  <si>
    <t>Wishing Tree</t>
  </si>
  <si>
    <t>Hastings and Rye CC (pt)</t>
  </si>
  <si>
    <t>LEWES DISTRICT  *</t>
  </si>
  <si>
    <t>Barcombe and Hamsey</t>
  </si>
  <si>
    <t>* as created by The London Borough of Richmond upon Thames (Electoral Chages) Order 2000</t>
  </si>
  <si>
    <t># paired with the London Borough of Kingston upon Thames</t>
  </si>
  <si>
    <t>KENT  *</t>
  </si>
  <si>
    <t>MEDWAY BOROUGH  *</t>
  </si>
  <si>
    <t>ASHFORD BOROUGH</t>
  </si>
  <si>
    <t>CITY OF CANTERBURY</t>
  </si>
  <si>
    <t>DARTFORD BOROUGH</t>
  </si>
  <si>
    <t>DOVER DISTRICT</t>
  </si>
  <si>
    <t>GRAVESHAM BOROUGH</t>
  </si>
  <si>
    <t>MAIDSTONE BOROUGH</t>
  </si>
  <si>
    <t>SEVENOAKS DISTRICT</t>
  </si>
  <si>
    <t>SHEPWAY DISTRICT</t>
  </si>
  <si>
    <t>SWALE BOROUGH</t>
  </si>
  <si>
    <t>THANET DISTRICT</t>
  </si>
  <si>
    <t>TONBRIDGE AND MALLING BOROUGH</t>
  </si>
  <si>
    <t>TUNBRIDGE WELLS BOROUGH</t>
  </si>
  <si>
    <t>Baird</t>
  </si>
  <si>
    <t>Braybrooke</t>
  </si>
  <si>
    <t>Whitehill Hogmoor</t>
  </si>
  <si>
    <t>Whitehill Pinewood</t>
  </si>
  <si>
    <t>Whitehill Walldown</t>
  </si>
  <si>
    <t>Meon Valley CC (pt)</t>
  </si>
  <si>
    <t>* as created by The District of East Hampshire (Electoral Changes) Order 2001</t>
  </si>
  <si>
    <t>EASTLEIGH BOROUGH  *</t>
  </si>
  <si>
    <t>Kingsbury</t>
  </si>
  <si>
    <t>Newton Regis and Warton</t>
  </si>
  <si>
    <t>Chailey and Wivelsfield</t>
  </si>
  <si>
    <t>Ditchling and Westmeston</t>
  </si>
  <si>
    <t>Wingerworth</t>
  </si>
  <si>
    <t>* as created by The District of North East Derbyshire (Electoral Changes) Order 2000</t>
  </si>
  <si>
    <t>SOUTH DERBYSHIRE DISTRICT  *</t>
  </si>
  <si>
    <t>Aston</t>
  </si>
  <si>
    <t>Church Gresley</t>
  </si>
  <si>
    <t>Etwall</t>
  </si>
  <si>
    <t>Hatton</t>
  </si>
  <si>
    <t>Hilton</t>
  </si>
  <si>
    <t>Melbourne</t>
  </si>
  <si>
    <t>Midway</t>
  </si>
  <si>
    <t>Newhall and Stanton</t>
  </si>
  <si>
    <t>Repton</t>
  </si>
  <si>
    <t>Seales</t>
  </si>
  <si>
    <t>Stenson</t>
  </si>
  <si>
    <t>Swadlincote</t>
  </si>
  <si>
    <t>Willington and Findern</t>
  </si>
  <si>
    <t>Woodville</t>
  </si>
  <si>
    <t>DEVON  *</t>
  </si>
  <si>
    <t>CITY OF PLYMOUTH  *</t>
  </si>
  <si>
    <t>BURNLEY BOROUGH  *</t>
  </si>
  <si>
    <t>Bank Hall</t>
  </si>
  <si>
    <t>Briercliffe</t>
  </si>
  <si>
    <t>Brunshaw</t>
  </si>
  <si>
    <t>Cliviger with Worsthorne</t>
  </si>
  <si>
    <t>Tankerton</t>
  </si>
  <si>
    <t>West Bay</t>
  </si>
  <si>
    <t>Wincheap</t>
  </si>
  <si>
    <t>Peverell</t>
  </si>
  <si>
    <t>Plympton Chaddlewood</t>
  </si>
  <si>
    <t>Plympton Erle</t>
  </si>
  <si>
    <t>Plympton St Mary</t>
  </si>
  <si>
    <t>Plymstock Dunstone</t>
  </si>
  <si>
    <t>Plymstock Radford</t>
  </si>
  <si>
    <t>St Budeaux</t>
  </si>
  <si>
    <t>St Peter and the Waterfront</t>
  </si>
  <si>
    <t>Southway</t>
  </si>
  <si>
    <t>Stoke</t>
  </si>
  <si>
    <t>Hillsborough</t>
  </si>
  <si>
    <t>Manor Castle</t>
  </si>
  <si>
    <t>Mosborough</t>
  </si>
  <si>
    <t>Richmond</t>
  </si>
  <si>
    <t>Southey</t>
  </si>
  <si>
    <t>Stannington</t>
  </si>
  <si>
    <t>Walkley</t>
  </si>
  <si>
    <t>West Ecclesfield</t>
  </si>
  <si>
    <t>Penistone and Stocksbride CC (pt)</t>
  </si>
  <si>
    <t>Newton Poppleford and Harpford</t>
  </si>
  <si>
    <t>Ottery St Mary Rural</t>
  </si>
  <si>
    <t>Ottery St Mary Town</t>
  </si>
  <si>
    <t>Otterhead</t>
  </si>
  <si>
    <t>Raleigh</t>
  </si>
  <si>
    <t>OLDHAM BOROUGH</t>
  </si>
  <si>
    <t>ROCHDALE BOROUGH</t>
  </si>
  <si>
    <t>Watcombe</t>
  </si>
  <si>
    <t>Wellswood</t>
  </si>
  <si>
    <t>Totnes CC (pt)</t>
  </si>
  <si>
    <t>* as created by The Borough of Torbay (Electoral Changes) Order 2002</t>
  </si>
  <si>
    <t>EAST DEVON DISTRICT  *</t>
  </si>
  <si>
    <t>Axminster Rural</t>
  </si>
  <si>
    <t>Axminster Town</t>
  </si>
  <si>
    <t>Beer and Branscombe</t>
  </si>
  <si>
    <t>Broadclyst</t>
  </si>
  <si>
    <t>Budleigh</t>
  </si>
  <si>
    <t>Clyst Valley</t>
  </si>
  <si>
    <t>Coly Valley</t>
  </si>
  <si>
    <t>Dunkeswell</t>
  </si>
  <si>
    <t>Exe Valley</t>
  </si>
  <si>
    <t>Exmouth Brixington</t>
  </si>
  <si>
    <t>Exmouth Halsdon</t>
  </si>
  <si>
    <t>Exmouth Littleham</t>
  </si>
  <si>
    <t>Exmouth Town</t>
  </si>
  <si>
    <t>Exmouth Withycombe Raleigh</t>
  </si>
  <si>
    <t>Feniton and Buckerell</t>
  </si>
  <si>
    <t>Honiton St Michael's</t>
  </si>
  <si>
    <t>Honiton St Paul's</t>
  </si>
  <si>
    <t>Newbridges</t>
  </si>
  <si>
    <t>Castle and Priory</t>
  </si>
  <si>
    <t>Coseley East</t>
  </si>
  <si>
    <t>Gornal</t>
  </si>
  <si>
    <t>Halesowen North</t>
  </si>
  <si>
    <t>Halesowen South</t>
  </si>
  <si>
    <t>Hayley Green and Cradley South</t>
  </si>
  <si>
    <t>Kingswinford North and Wall Heath</t>
  </si>
  <si>
    <t>Kingswinford South</t>
  </si>
  <si>
    <t>Altrincham and Sale West BC</t>
  </si>
  <si>
    <t>Trafford (pt)</t>
  </si>
  <si>
    <t>EAST STAFFORDSHIRE BOROUGH  *</t>
  </si>
  <si>
    <t>Bagots</t>
  </si>
  <si>
    <t>Brizlincote</t>
  </si>
  <si>
    <t>Burton</t>
  </si>
  <si>
    <t>Churnet</t>
  </si>
  <si>
    <t>Piddle Valley</t>
  </si>
  <si>
    <t>Puddletown</t>
  </si>
  <si>
    <t>Queen Thorne</t>
  </si>
  <si>
    <t>Sherborne East</t>
  </si>
  <si>
    <t>Sherborne West</t>
  </si>
  <si>
    <t>Winterborne St Martin</t>
  </si>
  <si>
    <t>Guildford CC (pt)</t>
  </si>
  <si>
    <t>Mole Valley CC (pt)</t>
  </si>
  <si>
    <t>Surrey Heath CC (pt)</t>
  </si>
  <si>
    <t>Woking CC (pt)</t>
  </si>
  <si>
    <t>Folkestone Harbour</t>
  </si>
  <si>
    <t>Fawley, Blackfield and Langley</t>
  </si>
  <si>
    <t>Fernhill</t>
  </si>
  <si>
    <t>Lyndhurst</t>
  </si>
  <si>
    <t>Marchwood</t>
  </si>
  <si>
    <t>Milford</t>
  </si>
  <si>
    <t>Pennington</t>
  </si>
  <si>
    <t>Ringwood East and Sopley</t>
  </si>
  <si>
    <t>Ringwood North</t>
  </si>
  <si>
    <t>Ringwood South</t>
  </si>
  <si>
    <t>Totton Central</t>
  </si>
  <si>
    <t>Totton East</t>
  </si>
  <si>
    <t>Totton North</t>
  </si>
  <si>
    <t>Broughton and Stockbridge</t>
  </si>
  <si>
    <t>Chilworth, Nursling and Rownhams</t>
  </si>
  <si>
    <t>Cupernham</t>
  </si>
  <si>
    <t>Dun Valley</t>
  </si>
  <si>
    <t>Harewood</t>
  </si>
  <si>
    <t>Harroway</t>
  </si>
  <si>
    <t>Kings Somborne and Michelmersh</t>
  </si>
  <si>
    <t>Millway</t>
  </si>
  <si>
    <t>North Baddesley</t>
  </si>
  <si>
    <t>Over Wallop</t>
  </si>
  <si>
    <t>Charterlands</t>
  </si>
  <si>
    <t>Braintree South</t>
  </si>
  <si>
    <t>Buckland and Milber</t>
  </si>
  <si>
    <t>Bushell</t>
  </si>
  <si>
    <t>Chudleigh</t>
  </si>
  <si>
    <t>College</t>
  </si>
  <si>
    <t>Dawlish Central and North East</t>
  </si>
  <si>
    <t>Dawlish South West</t>
  </si>
  <si>
    <t>Haytor</t>
  </si>
  <si>
    <t>Ipplepen</t>
  </si>
  <si>
    <t>Kenn Valley</t>
  </si>
  <si>
    <t>Kenton with Starcross</t>
  </si>
  <si>
    <t>TEST VALLEY BOROUGH  *</t>
  </si>
  <si>
    <t>Bumpstead</t>
  </si>
  <si>
    <t>Alamein</t>
  </si>
  <si>
    <t>Ampfield and Braishfield</t>
  </si>
  <si>
    <t>Amport</t>
  </si>
  <si>
    <t>Anna</t>
  </si>
  <si>
    <t>Ilfracombe West</t>
  </si>
  <si>
    <t>Instow</t>
  </si>
  <si>
    <t>Landkey, Swimbridge and Taw</t>
  </si>
  <si>
    <t>Lynton and Lynmouth</t>
  </si>
  <si>
    <t>* as created by The Borough of Oadby and Wigston (Electoral Changes) Order 2002</t>
  </si>
  <si>
    <t>BOSTON BOROUGH</t>
  </si>
  <si>
    <t>EAST LINDSEY DISTRICT</t>
  </si>
  <si>
    <t>CITY OF LINCOLN</t>
  </si>
  <si>
    <t>NORTH KESTEVEN DISTRICT</t>
  </si>
  <si>
    <t>SOUTH HOLLAND DISTRICT</t>
  </si>
  <si>
    <t>SOUTH KESTEVEN DISTRICT</t>
  </si>
  <si>
    <t>Cranmore</t>
  </si>
  <si>
    <t>Cullompton North</t>
  </si>
  <si>
    <t>Cullompton Outer</t>
  </si>
  <si>
    <t>Halberton</t>
  </si>
  <si>
    <t>Lawrence</t>
  </si>
  <si>
    <t>Lower Culm</t>
  </si>
  <si>
    <t>Lowman</t>
  </si>
  <si>
    <t>Newbrooke</t>
  </si>
  <si>
    <t>Sandford and Creedy</t>
  </si>
  <si>
    <t>Silverton</t>
  </si>
  <si>
    <t>Taw</t>
  </si>
  <si>
    <t>Taw Vale</t>
  </si>
  <si>
    <t>Upper Culm</t>
  </si>
  <si>
    <t>Teign Valley</t>
  </si>
  <si>
    <t>Rainhill</t>
  </si>
  <si>
    <t>Thatto Heath</t>
  </si>
  <si>
    <t>West Park</t>
  </si>
  <si>
    <t>Windle</t>
  </si>
  <si>
    <t xml:space="preserve">* as created by The Borough of St Helens (Electoral Changes) Order 2003 </t>
  </si>
  <si>
    <t>SEFTON BOROUGH  *</t>
  </si>
  <si>
    <t>Ainsdale</t>
  </si>
  <si>
    <t>Birkdale</t>
  </si>
  <si>
    <t>Eton Park</t>
  </si>
  <si>
    <t>Horninglow</t>
  </si>
  <si>
    <t>Needwood</t>
  </si>
  <si>
    <t>Rolleston on Dove</t>
  </si>
  <si>
    <t>Shobnall</t>
  </si>
  <si>
    <t>Stapenhill</t>
  </si>
  <si>
    <t>Stretton</t>
  </si>
  <si>
    <t>Tutbury and Outwoods</t>
  </si>
  <si>
    <t>Winshill</t>
  </si>
  <si>
    <t>Yoxall</t>
  </si>
  <si>
    <t>Lichfield CC (pt)</t>
  </si>
  <si>
    <t>WEYMOUTH AND PORTLAND BOROUGH  *</t>
  </si>
  <si>
    <t>Melcombe Regis</t>
  </si>
  <si>
    <t>Radipole</t>
  </si>
  <si>
    <t>Tophill East</t>
  </si>
  <si>
    <t>Tophill West</t>
  </si>
  <si>
    <t>Upwey and Broadwey</t>
  </si>
  <si>
    <t>Meols</t>
  </si>
  <si>
    <t>Molyneux</t>
  </si>
  <si>
    <t>Netherton and Orrell</t>
  </si>
  <si>
    <t>Norwood</t>
  </si>
  <si>
    <t>Ravenmeols</t>
  </si>
  <si>
    <t>* as created by The Borough of East Staffordshire (Electoral Changes) Order 2001</t>
  </si>
  <si>
    <t>LICHFIELD DISTRICT  *</t>
  </si>
  <si>
    <t>Armitage with Handsacre</t>
  </si>
  <si>
    <t>Boley Park</t>
  </si>
  <si>
    <t>*  as created by The Borough of Brentwood (Electoral Changes) Order 2001</t>
  </si>
  <si>
    <t>CASTLE POINT BOROUGH  *</t>
  </si>
  <si>
    <t>Boyce</t>
  </si>
  <si>
    <t>Canvey Island Central</t>
  </si>
  <si>
    <t>Canvey Island East</t>
  </si>
  <si>
    <t>Canvey Island North</t>
  </si>
  <si>
    <t>Canvey Island South</t>
  </si>
  <si>
    <t>Canvey Island West</t>
  </si>
  <si>
    <t>Canvey Island Winter Gardens</t>
  </si>
  <si>
    <t>Cedar Hall</t>
  </si>
  <si>
    <t>TORRIDGE DISTRICT  *</t>
  </si>
  <si>
    <t>Appledore</t>
  </si>
  <si>
    <t>Bideford East</t>
  </si>
  <si>
    <t>Bideford North</t>
  </si>
  <si>
    <t>Bideford South</t>
  </si>
  <si>
    <t>Clinton</t>
  </si>
  <si>
    <t>Clovelly Bay</t>
  </si>
  <si>
    <t>Coham Bridge</t>
  </si>
  <si>
    <t>County Average (Darlington) (1 seat)</t>
  </si>
  <si>
    <t>Bishop Auckland CC</t>
  </si>
  <si>
    <t>Durham (pt)</t>
  </si>
  <si>
    <t>City of Durham CC</t>
  </si>
  <si>
    <t>Darlington BC</t>
  </si>
  <si>
    <t>Darlington (pt)</t>
  </si>
  <si>
    <t>Easington CC</t>
  </si>
  <si>
    <t>North Durham CC</t>
  </si>
  <si>
    <t>North West Durham CC</t>
  </si>
  <si>
    <t>Sedgefield CC</t>
  </si>
  <si>
    <t>Ashurst</t>
  </si>
  <si>
    <t>Aughton and Downholland</t>
  </si>
  <si>
    <t>Aughton Park</t>
  </si>
  <si>
    <t>* as created by The Kent (Borough of Gillingham and City of Rochester upon Medway) (Structural Change) Order 1996</t>
  </si>
  <si>
    <t>Ashford CC</t>
  </si>
  <si>
    <t>Ashford (pt)</t>
  </si>
  <si>
    <t>Canterbury CC</t>
  </si>
  <si>
    <t>Canterbury (pt)</t>
  </si>
  <si>
    <t>Chatham and Aylesford CC</t>
  </si>
  <si>
    <t>Medway (pt)</t>
  </si>
  <si>
    <t>Tonbridge and Malling (pt)</t>
  </si>
  <si>
    <t>Dartford CC</t>
  </si>
  <si>
    <t>Sevenoaks (pt)</t>
  </si>
  <si>
    <t>Dover CC</t>
  </si>
  <si>
    <t>Dover (pt)</t>
  </si>
  <si>
    <t>Co. Durham *</t>
  </si>
  <si>
    <t>EALING LONDON BOROUGH  *</t>
  </si>
  <si>
    <t>Ealing Central and Acton BC</t>
  </si>
  <si>
    <t>Ealing (pt)</t>
  </si>
  <si>
    <t>Ealing North BC</t>
  </si>
  <si>
    <t>Central Bedfordshire (pt)</t>
  </si>
  <si>
    <t>Mid Bedfordshire CC</t>
  </si>
  <si>
    <t>North East Bedfordshire CC</t>
  </si>
  <si>
    <t>South West Bedfordshire CC</t>
  </si>
  <si>
    <t>* as created by The Bedfordshire (Borough of Luton) (Structural Change) Order 1995</t>
  </si>
  <si>
    <t># as created by The Bedfordshire (Structural Changes) Order 2008</t>
  </si>
  <si>
    <t>Ward Electorates</t>
  </si>
  <si>
    <t>Constituency</t>
  </si>
  <si>
    <t>BEDFORD BOROUGH  *</t>
  </si>
  <si>
    <t>Brickhill</t>
  </si>
  <si>
    <t>Lower Sheering</t>
  </si>
  <si>
    <t>Moreton and Fyfield</t>
  </si>
  <si>
    <t>North Weald Bassett</t>
  </si>
  <si>
    <t>Passingford</t>
  </si>
  <si>
    <t>Shelley</t>
  </si>
  <si>
    <t>Theydon Bois</t>
  </si>
  <si>
    <t>Waltham Abbey High Beach</t>
  </si>
  <si>
    <t>Waltham Abbey Honey Lane</t>
  </si>
  <si>
    <t>Waltham Abbey North East</t>
  </si>
  <si>
    <t>Hastingwood, Matching and Sheering Village</t>
  </si>
  <si>
    <t>High Ongar, Willingale and The Rodings</t>
  </si>
  <si>
    <t>Lambourne</t>
  </si>
  <si>
    <t>Loughton Alderton</t>
  </si>
  <si>
    <t>Loughton Broadway</t>
  </si>
  <si>
    <t>Loughton Fairmead</t>
  </si>
  <si>
    <t>Loughton Forest</t>
  </si>
  <si>
    <t>Loughton Roding</t>
  </si>
  <si>
    <t>Ashford East</t>
  </si>
  <si>
    <t>Ashford North and Stanwell South</t>
  </si>
  <si>
    <t>Ashford Town</t>
  </si>
  <si>
    <t>Halliford and Sunbury West</t>
  </si>
  <si>
    <t>Laleham and Shepperton Green</t>
  </si>
  <si>
    <t>East Worthing and Shoreham CC</t>
  </si>
  <si>
    <t>Worthing (pt)</t>
  </si>
  <si>
    <t>Horsham CC</t>
  </si>
  <si>
    <t>Mid Sussex CC</t>
  </si>
  <si>
    <t>Worthing West BC</t>
  </si>
  <si>
    <t>ADUR DISTRICT  *</t>
  </si>
  <si>
    <t>Buckingham</t>
  </si>
  <si>
    <t>Farley</t>
  </si>
  <si>
    <t>Swineshead and Holland Fen</t>
  </si>
  <si>
    <t>Witham</t>
  </si>
  <si>
    <t>Wyberton</t>
  </si>
  <si>
    <t>Eccleshall</t>
  </si>
  <si>
    <t>Forebridge</t>
  </si>
  <si>
    <t>Fulford</t>
  </si>
  <si>
    <t>Bugle</t>
  </si>
  <si>
    <t>Callington</t>
  </si>
  <si>
    <t>Gwinear-Gwithian and St Erth</t>
  </si>
  <si>
    <t>Seaford West</t>
  </si>
  <si>
    <t>Lewes CC (pt)</t>
  </si>
  <si>
    <t>* as created by The District of Lewes (Electoral Changes) Order 2001</t>
  </si>
  <si>
    <t>ROTHER DISTRICT  *</t>
  </si>
  <si>
    <t>Battle Town</t>
  </si>
  <si>
    <t>Brede Valley</t>
  </si>
  <si>
    <t>Collington</t>
  </si>
  <si>
    <t>Crowhurst</t>
  </si>
  <si>
    <t>Darwell</t>
  </si>
  <si>
    <t>Eastern Rother</t>
  </si>
  <si>
    <t>County Average (Torbay) (2 seats)</t>
  </si>
  <si>
    <t>Central Devon CC</t>
  </si>
  <si>
    <t>East Devon (pt)</t>
  </si>
  <si>
    <t>Mid Devon (pt)</t>
  </si>
  <si>
    <t>Teignbridge (pt)</t>
  </si>
  <si>
    <t>West Devon (pt)</t>
  </si>
  <si>
    <t>East Devon CC</t>
  </si>
  <si>
    <t>Seaford South</t>
  </si>
  <si>
    <t>* as created by The District of South Staffordshire (Electoral Changes) Order 2001</t>
  </si>
  <si>
    <t>Baswich</t>
  </si>
  <si>
    <t>Common</t>
  </si>
  <si>
    <t>Coton</t>
  </si>
  <si>
    <t>Warlingham East and Chelsham and Farleigh</t>
  </si>
  <si>
    <t>Warlingham West</t>
  </si>
  <si>
    <t>Westway</t>
  </si>
  <si>
    <t>Whyteleafe</t>
  </si>
  <si>
    <t>Woldingham</t>
  </si>
  <si>
    <t>Tillingham</t>
  </si>
  <si>
    <t>* as created by The Borough of Luton (Electoral Changes) Order 2002</t>
  </si>
  <si>
    <t>Bedford *</t>
  </si>
  <si>
    <t>Central Bedfordshire *</t>
  </si>
  <si>
    <t>Plymouth, Sutton and Devonport BC</t>
  </si>
  <si>
    <t>South West Devon CC</t>
  </si>
  <si>
    <t>South Hams (pt)</t>
  </si>
  <si>
    <t>Tiverton and Honiton CC</t>
  </si>
  <si>
    <t>Torbay BC</t>
  </si>
  <si>
    <t>Torbay (pt)</t>
  </si>
  <si>
    <t>Torridge and West Devon CC</t>
  </si>
  <si>
    <t>Totnes CC</t>
  </si>
  <si>
    <t>Torbay BC (pt)</t>
  </si>
  <si>
    <t>High Town</t>
  </si>
  <si>
    <t>HAVERING LONDON BOROUGH  *#</t>
  </si>
  <si>
    <t>Barking (pt)</t>
  </si>
  <si>
    <t>Brooklands</t>
  </si>
  <si>
    <t>Cranham</t>
  </si>
  <si>
    <t>Elm Park</t>
  </si>
  <si>
    <t>Emerson Park</t>
  </si>
  <si>
    <t>Gooshays</t>
  </si>
  <si>
    <t>Hacton</t>
  </si>
  <si>
    <t>Harold Wood</t>
  </si>
  <si>
    <t>Havering Park</t>
  </si>
  <si>
    <t>Heaton</t>
  </si>
  <si>
    <t>Stow</t>
  </si>
  <si>
    <t>Sudbrooke</t>
  </si>
  <si>
    <t>Tilbury Riverside and Thurrock Park</t>
  </si>
  <si>
    <t>Tilbury St Chads</t>
  </si>
  <si>
    <t>West Thurrock and South Stifford</t>
  </si>
  <si>
    <t>South Basildon and East Thurrock CC (pt)</t>
  </si>
  <si>
    <t>* as created by The Borough of Thurrock (Electoral Changes) Order 2002</t>
  </si>
  <si>
    <t>Billericay East</t>
  </si>
  <si>
    <t>Billericay West</t>
  </si>
  <si>
    <t>Burstead</t>
  </si>
  <si>
    <t>Crouch</t>
  </si>
  <si>
    <t>Fryerns</t>
  </si>
  <si>
    <t>Burrsville</t>
  </si>
  <si>
    <t>Frinton</t>
  </si>
  <si>
    <t>Golf Green</t>
  </si>
  <si>
    <t>Great and Little Oakley</t>
  </si>
  <si>
    <t>Great Bentley</t>
  </si>
  <si>
    <t>Hamford</t>
  </si>
  <si>
    <t>Harwich East</t>
  </si>
  <si>
    <t>Harwich East Central</t>
  </si>
  <si>
    <t>Harwich West</t>
  </si>
  <si>
    <t>Harwich West Central</t>
  </si>
  <si>
    <t>Haven</t>
  </si>
  <si>
    <t>Skirbeck</t>
  </si>
  <si>
    <t>* as created by The Borough of Bracknell Forest (Electoral Changes) Order 2002</t>
  </si>
  <si>
    <t>Battle</t>
  </si>
  <si>
    <t>Caversham</t>
  </si>
  <si>
    <t>Church</t>
  </si>
  <si>
    <t>Katesgrove</t>
  </si>
  <si>
    <t>Kentwood</t>
  </si>
  <si>
    <t>Beaumont and Thorpe</t>
  </si>
  <si>
    <t>Bockings Elm</t>
  </si>
  <si>
    <t>Bradfield, Wrabness and Wix</t>
  </si>
  <si>
    <t>Brightlingsea</t>
  </si>
  <si>
    <t>Chapel St Leonards</t>
  </si>
  <si>
    <t>Croft</t>
  </si>
  <si>
    <t>Grimoldby</t>
  </si>
  <si>
    <t>Halton Holegate</t>
  </si>
  <si>
    <t>Horncastle</t>
  </si>
  <si>
    <t>Ingoldmells</t>
  </si>
  <si>
    <t>Legbourne</t>
  </si>
  <si>
    <t>Mapledurham</t>
  </si>
  <si>
    <t>Minster</t>
  </si>
  <si>
    <t>Norcot</t>
  </si>
  <si>
    <t>Park</t>
  </si>
  <si>
    <t>Peppard</t>
  </si>
  <si>
    <t>Redlands</t>
  </si>
  <si>
    <t>Southcote</t>
  </si>
  <si>
    <t>Walthamstow BC</t>
  </si>
  <si>
    <t>Chingford Green</t>
  </si>
  <si>
    <t>Endlebury</t>
  </si>
  <si>
    <t>Grove Green</t>
  </si>
  <si>
    <t>Hale End and Highams Park</t>
  </si>
  <si>
    <t>Hatch Lane</t>
  </si>
  <si>
    <t>Higham Hill</t>
  </si>
  <si>
    <t>Hoe Street</t>
  </si>
  <si>
    <t>Larkswood</t>
  </si>
  <si>
    <t>Lea Bridge</t>
  </si>
  <si>
    <t>Leyton</t>
  </si>
  <si>
    <t>CITY OF LINCOLN  *</t>
  </si>
  <si>
    <t>Kingston upon Hull *</t>
  </si>
  <si>
    <t>Fosseridge</t>
  </si>
  <si>
    <t>Hampton</t>
  </si>
  <si>
    <t>Northleach</t>
  </si>
  <si>
    <t>Sandywell</t>
  </si>
  <si>
    <t>The Cotswolds CC (pt)</t>
  </si>
  <si>
    <t>North Hykeham Mill</t>
  </si>
  <si>
    <t>North Hykeham Moor</t>
  </si>
  <si>
    <t>CHESHIRE EAST BOROUGH  #</t>
  </si>
  <si>
    <t>CHARNWOOD BOROUGH  *</t>
  </si>
  <si>
    <t>Anstey</t>
  </si>
  <si>
    <t>Barrow and Sileby West</t>
  </si>
  <si>
    <t>Birstall Wanlip</t>
  </si>
  <si>
    <t>Birstall Watermead</t>
  </si>
  <si>
    <t>East Goscote</t>
  </si>
  <si>
    <t>Forest Bradgate</t>
  </si>
  <si>
    <t>Loughborough Ashby</t>
  </si>
  <si>
    <t>Loughborough Dishley and Hathern</t>
  </si>
  <si>
    <t>Loughborough Garendon</t>
  </si>
  <si>
    <t>Loughborough Hastings</t>
  </si>
  <si>
    <t>Peckham Rye</t>
  </si>
  <si>
    <t>Rotherhithe</t>
  </si>
  <si>
    <t>South Bermondsey</t>
  </si>
  <si>
    <t>Ponteland North</t>
  </si>
  <si>
    <t>* as created by The Borough of Castle Point (Electoral Changes) Order 2001</t>
  </si>
  <si>
    <t>Bicknacre and East and West Hanningfield</t>
  </si>
  <si>
    <t>East Downs</t>
  </si>
  <si>
    <t>Mile End</t>
  </si>
  <si>
    <t>Prettygate</t>
  </si>
  <si>
    <t>St Anne's</t>
  </si>
  <si>
    <t>Shrub End</t>
  </si>
  <si>
    <t>Stanway</t>
  </si>
  <si>
    <t>Tiptree</t>
  </si>
  <si>
    <t>Harwich and North Essex CC (pt)</t>
  </si>
  <si>
    <t>EPPING FOREST DISTRICT  *</t>
  </si>
  <si>
    <t>Tamworth CC (pt)</t>
  </si>
  <si>
    <t>NEWCASTLE-UNDER-LYME BOROUGH  *</t>
  </si>
  <si>
    <t>Chesterton</t>
  </si>
  <si>
    <t>Clayton</t>
  </si>
  <si>
    <t>Cross Heath</t>
  </si>
  <si>
    <t>SOUTH STAFFORDSHIRE DISTRICT  *</t>
  </si>
  <si>
    <t>Bilbrook</t>
  </si>
  <si>
    <t>Cam East</t>
  </si>
  <si>
    <t>Cam West</t>
  </si>
  <si>
    <t>Chalford</t>
  </si>
  <si>
    <t>Dursley</t>
  </si>
  <si>
    <t>* as created by The District of Wealden (Electoral Changes) Order 2001 and</t>
  </si>
  <si>
    <t xml:space="preserve">   as altered by The Wealden (Parish Electoral Arrangements and Electoral Changes) Order 2007</t>
  </si>
  <si>
    <t>ESSEX  *</t>
  </si>
  <si>
    <t>SOUTHEND-ON-SEA BOROUGH  *</t>
  </si>
  <si>
    <t>THURROCK BOROUGH  *</t>
  </si>
  <si>
    <t>BRAINTREE DISTRICT</t>
  </si>
  <si>
    <t>BRENTWOOD BOROUGH</t>
  </si>
  <si>
    <t>CASTLE POINT BOROUGH</t>
  </si>
  <si>
    <t>COLCHESTER BOROUGH</t>
  </si>
  <si>
    <t>EPPING FOREST DISTRICT</t>
  </si>
  <si>
    <t>Wolds Weighton</t>
  </si>
  <si>
    <t>Brigg and Goole CC (pt)</t>
  </si>
  <si>
    <t>Kingston upon Hull West and Hessle BC (pt)</t>
  </si>
  <si>
    <t>* as created by The District of East Riding (Electoral Changes) Order 2001</t>
  </si>
  <si>
    <t>CITY OF KINGSTON UPON HULL  *</t>
  </si>
  <si>
    <t>Avenue</t>
  </si>
  <si>
    <t>Beverley</t>
  </si>
  <si>
    <t>Boothferry</t>
  </si>
  <si>
    <t>HARLOW DISTRICT</t>
  </si>
  <si>
    <t>MALDON DISTRICT</t>
  </si>
  <si>
    <t>Grangefield</t>
  </si>
  <si>
    <t>Hartburn</t>
  </si>
  <si>
    <t>Ingleby Barwick East</t>
  </si>
  <si>
    <t>Ingleby Barwick West</t>
  </si>
  <si>
    <t>Mandale and Victoria</t>
  </si>
  <si>
    <t>Northern Parishes</t>
  </si>
  <si>
    <t>Parkfield and Oxbridge</t>
  </si>
  <si>
    <t>Roseworth</t>
  </si>
  <si>
    <t>Basildon and Billericay BC</t>
  </si>
  <si>
    <t>Basildon (pt)</t>
  </si>
  <si>
    <t>KING'S LYNN AND WEST NORFOLK BOROUGH</t>
  </si>
  <si>
    <t>NORTH NORFOLK DISTRICT</t>
  </si>
  <si>
    <t>CITY OF NORWICH</t>
  </si>
  <si>
    <t>SOUTH NORFOLK DISTRICT</t>
  </si>
  <si>
    <t>County Average (9 seats)</t>
  </si>
  <si>
    <t>Broadland CC</t>
  </si>
  <si>
    <t>Broadland (pt)</t>
  </si>
  <si>
    <t>* as created by The London Borough of Hillingdon (Electoral Changes) Order 2000</t>
  </si>
  <si>
    <t># paired with the London Borough of Harrow</t>
  </si>
  <si>
    <t>HEREFORDSHIRE  *</t>
  </si>
  <si>
    <t>Hereford and South Herefordshire CC</t>
  </si>
  <si>
    <t>Herefordshire (pt)</t>
  </si>
  <si>
    <t>North Herefordshire CC</t>
  </si>
  <si>
    <t>Aylestone</t>
  </si>
  <si>
    <t>Backbury</t>
  </si>
  <si>
    <t>Bircher</t>
  </si>
  <si>
    <t>Rochford (pt)</t>
  </si>
  <si>
    <t>Rochford and Southend East CC</t>
  </si>
  <si>
    <t>Southend-on-Sea (pt)</t>
  </si>
  <si>
    <t>Saffron Walden CC</t>
  </si>
  <si>
    <t>Epping Forest (pt)</t>
  </si>
  <si>
    <t>Castle Point BC</t>
  </si>
  <si>
    <t>Chelmsford BC</t>
  </si>
  <si>
    <t>Chelmsford (pt)</t>
  </si>
  <si>
    <t>Clacton CC</t>
  </si>
  <si>
    <t>Tendring (pt)</t>
  </si>
  <si>
    <t>Colchester BC</t>
  </si>
  <si>
    <t>Colchester (pt)</t>
  </si>
  <si>
    <t xml:space="preserve">Epping Forest CC </t>
  </si>
  <si>
    <t>Harlow CC</t>
  </si>
  <si>
    <t>Harwich and North Essex CC</t>
  </si>
  <si>
    <t>Maldon CC</t>
  </si>
  <si>
    <t>Maldon (pt)</t>
  </si>
  <si>
    <t>Rayleigh and Wickford CC</t>
  </si>
  <si>
    <t>Caverswall</t>
  </si>
  <si>
    <t>Cellarhead</t>
  </si>
  <si>
    <t>Huntspill and Pawlett</t>
  </si>
  <si>
    <t>King's Isle</t>
  </si>
  <si>
    <t>Knoll</t>
  </si>
  <si>
    <t>North Petherton</t>
  </si>
  <si>
    <t>Trull</t>
  </si>
  <si>
    <t>Wellington East</t>
  </si>
  <si>
    <t>Wellington North</t>
  </si>
  <si>
    <t>Wellington Rockwell Green and West</t>
  </si>
  <si>
    <t>West Monkton</t>
  </si>
  <si>
    <t>Wiveliscombe and West Deane</t>
  </si>
  <si>
    <t>* as created by The Borough of Taunton Deane (Electoral Changes) Order 2007</t>
  </si>
  <si>
    <t>WEST SOMERSET DISTRICT  *</t>
  </si>
  <si>
    <t>Carhampton and Withycombe</t>
  </si>
  <si>
    <t>Crowcombe and Stogumber</t>
  </si>
  <si>
    <t>Minehead North</t>
  </si>
  <si>
    <t>Minehead South</t>
  </si>
  <si>
    <t>Old Cleeve</t>
  </si>
  <si>
    <t>Porlock and District</t>
  </si>
  <si>
    <t>Quantock Vale</t>
  </si>
  <si>
    <t>Watchet</t>
  </si>
  <si>
    <t>West Quantock</t>
  </si>
  <si>
    <t>Williton</t>
  </si>
  <si>
    <t>BROADLAND DISTRICT  *</t>
  </si>
  <si>
    <t>Acle</t>
  </si>
  <si>
    <t>Aylsham</t>
  </si>
  <si>
    <t>Marfleet</t>
  </si>
  <si>
    <t>Myton</t>
  </si>
  <si>
    <t>Newington</t>
  </si>
  <si>
    <t>Newland</t>
  </si>
  <si>
    <t>Orchard Park and Greenwood</t>
  </si>
  <si>
    <t>Pickering</t>
  </si>
  <si>
    <t>Southcoates East</t>
  </si>
  <si>
    <t>Upper Wensum</t>
  </si>
  <si>
    <t>Watton</t>
  </si>
  <si>
    <t>Wissey</t>
  </si>
  <si>
    <t>Mid Norfolk CC (pt)</t>
  </si>
  <si>
    <t>South West Norfolk CC (pt)</t>
  </si>
  <si>
    <t>* as created by The Borough of North East Lincolnshire (Electoral Changes) Order 2001</t>
  </si>
  <si>
    <t>Ashby</t>
  </si>
  <si>
    <t>Axholme Central</t>
  </si>
  <si>
    <t>Axholme North</t>
  </si>
  <si>
    <t>Axholme South</t>
  </si>
  <si>
    <t>Bottesford</t>
  </si>
  <si>
    <t>Brigg and Wolds</t>
  </si>
  <si>
    <t>Broughton and Appleby</t>
  </si>
  <si>
    <t>Brumby</t>
  </si>
  <si>
    <t>Knighton</t>
  </si>
  <si>
    <t>Old Gaywood</t>
  </si>
  <si>
    <t>Rudham</t>
  </si>
  <si>
    <t>St Lawrence</t>
  </si>
  <si>
    <t>St Margarets with St Nicholas</t>
  </si>
  <si>
    <t>Southcoates West</t>
  </si>
  <si>
    <t>* as created by The City of Kingston upon Hull (Electoral Changes) Order 2001</t>
  </si>
  <si>
    <t>Croft Baker</t>
  </si>
  <si>
    <t>East Marsh</t>
  </si>
  <si>
    <t>Freshney</t>
  </si>
  <si>
    <t>Haverstoe</t>
  </si>
  <si>
    <t>Heneage</t>
  </si>
  <si>
    <t>Springwood</t>
  </si>
  <si>
    <t>Upwell and Delph</t>
  </si>
  <si>
    <t>* as created by The City of Cambridge (Electoral Changes) Order 2002</t>
  </si>
  <si>
    <t>EAST CAMBRIDGESHIRE DISTRICT  *</t>
  </si>
  <si>
    <t>Bottisham</t>
  </si>
  <si>
    <t>Burwell</t>
  </si>
  <si>
    <t>Cheveley</t>
  </si>
  <si>
    <t>Downham Villages</t>
  </si>
  <si>
    <t>Dullingham Villages</t>
  </si>
  <si>
    <t>County Average (Leicestershire) (7 seats)</t>
  </si>
  <si>
    <t>County Average (Rutland) (1 seat)</t>
  </si>
  <si>
    <t>Bosworth CC</t>
  </si>
  <si>
    <t>Hinckley and Bosworth (pt)</t>
  </si>
  <si>
    <t>Charnwood CC</t>
  </si>
  <si>
    <t>Blaby (pt)</t>
  </si>
  <si>
    <t>Charnwood (pt)</t>
  </si>
  <si>
    <t>Harborough CC</t>
  </si>
  <si>
    <t>Bixley</t>
  </si>
  <si>
    <t>Castle Hill</t>
  </si>
  <si>
    <t>Gainsborough</t>
  </si>
  <si>
    <t>Gipping</t>
  </si>
  <si>
    <t>Kesgrave East</t>
  </si>
  <si>
    <t>Kesgrave West</t>
  </si>
  <si>
    <t>Leiston</t>
  </si>
  <si>
    <t>Martlesham</t>
  </si>
  <si>
    <t>Rendlesham</t>
  </si>
  <si>
    <t>Saxmundham</t>
  </si>
  <si>
    <t>Wickham Market</t>
  </si>
  <si>
    <t>Ryhall and Casterton</t>
  </si>
  <si>
    <t>Uppingham</t>
  </si>
  <si>
    <t>Whissendine</t>
  </si>
  <si>
    <t>Holywells</t>
  </si>
  <si>
    <t>Priory Heath</t>
  </si>
  <si>
    <t>Rushmere</t>
  </si>
  <si>
    <t>Sprites</t>
  </si>
  <si>
    <t>Stoke Park</t>
  </si>
  <si>
    <t>Central Suffolk and North Ipswich CC (pt)</t>
  </si>
  <si>
    <t>Countesthorpe</t>
  </si>
  <si>
    <t>Croft Hill</t>
  </si>
  <si>
    <t>Ellis</t>
  </si>
  <si>
    <t>Enderby and St John's</t>
  </si>
  <si>
    <t>Valley Hill</t>
  </si>
  <si>
    <t>Walpole</t>
  </si>
  <si>
    <t>37.</t>
  </si>
  <si>
    <t>38.</t>
  </si>
  <si>
    <t>Watlington</t>
  </si>
  <si>
    <t>39.</t>
  </si>
  <si>
    <t>West Winch</t>
  </si>
  <si>
    <t>Slade Lode</t>
  </si>
  <si>
    <t>Staithe</t>
  </si>
  <si>
    <t>The Mills</t>
  </si>
  <si>
    <t>Wenneye</t>
  </si>
  <si>
    <t>Buckden</t>
  </si>
  <si>
    <t>Fenstanton</t>
  </si>
  <si>
    <t>Huntingdon East</t>
  </si>
  <si>
    <t>Gillingham</t>
  </si>
  <si>
    <t>Harleston</t>
  </si>
  <si>
    <t>Hempnall</t>
  </si>
  <si>
    <t>Hethersett</t>
  </si>
  <si>
    <t>Hingham and Deopham</t>
  </si>
  <si>
    <t>Mulbarton</t>
  </si>
  <si>
    <t>New Costessey</t>
  </si>
  <si>
    <t>Rustens</t>
  </si>
  <si>
    <t>Scole</t>
  </si>
  <si>
    <t>Stoke Holy Cross</t>
  </si>
  <si>
    <t>Clare</t>
  </si>
  <si>
    <t>Eastgate</t>
  </si>
  <si>
    <t>NORTH NORFOLK DISTRICT  *</t>
  </si>
  <si>
    <t>Astley</t>
  </si>
  <si>
    <t>Briston</t>
  </si>
  <si>
    <t>Chaucer</t>
  </si>
  <si>
    <t>Corpusty</t>
  </si>
  <si>
    <t>Fylde CC</t>
  </si>
  <si>
    <t>Preston (pt)</t>
  </si>
  <si>
    <t>Hyndburn BC</t>
  </si>
  <si>
    <t>Rossendale (pt)</t>
  </si>
  <si>
    <t>Lancaster and Fleetwood CC</t>
  </si>
  <si>
    <t>Lancaster (pt)</t>
  </si>
  <si>
    <t>Wyre (pt)</t>
  </si>
  <si>
    <t>Morecambe and Lunesdale CC</t>
  </si>
  <si>
    <t>Pendle BC</t>
  </si>
  <si>
    <t>Preston BC</t>
  </si>
  <si>
    <t>Ribble Valley CC</t>
  </si>
  <si>
    <t>South Ribble  (pt)</t>
  </si>
  <si>
    <t>Rossendale and Darwen BC</t>
  </si>
  <si>
    <t>South Ribble CC</t>
  </si>
  <si>
    <t>South Ribble (pt)</t>
  </si>
  <si>
    <t>West Lancashire (pt)</t>
  </si>
  <si>
    <t>West Lancashire CC</t>
  </si>
  <si>
    <t>Wyre and Preston North CC</t>
  </si>
  <si>
    <t>Audley</t>
  </si>
  <si>
    <t>Bastwell</t>
  </si>
  <si>
    <t>Beardwood with Lammack</t>
  </si>
  <si>
    <t>Corporation Park</t>
  </si>
  <si>
    <t>Earcroft</t>
  </si>
  <si>
    <t>East Rural</t>
  </si>
  <si>
    <t>Ewood</t>
  </si>
  <si>
    <t>University</t>
  </si>
  <si>
    <t>Norwich South BC (pt)</t>
  </si>
  <si>
    <t>* as created by The City of Norwich (Electoral Changes) Order 2002</t>
  </si>
  <si>
    <t>SOUTH NORFOLK DISTRICT  *</t>
  </si>
  <si>
    <t>Beck Vale</t>
  </si>
  <si>
    <t>Bressingham and Burston</t>
  </si>
  <si>
    <t>Brooke</t>
  </si>
  <si>
    <t>Bunwell</t>
  </si>
  <si>
    <t>Chedgrave and Thurton</t>
  </si>
  <si>
    <t>Cringleford</t>
  </si>
  <si>
    <t>Cromwells</t>
  </si>
  <si>
    <t>*as created by The District of Harborough (Electoral Changes) Order 2002</t>
  </si>
  <si>
    <t>HINCKLEY AND BOSWORTH BOROUGH  *</t>
  </si>
  <si>
    <t>Ambien</t>
  </si>
  <si>
    <t>Barlestone, Nailstone and Osbaston</t>
  </si>
  <si>
    <t>Barwell</t>
  </si>
  <si>
    <t>WELWYN HATFIELD BOROUGH  *</t>
  </si>
  <si>
    <t>Haldens</t>
  </si>
  <si>
    <t>Handside</t>
  </si>
  <si>
    <t>St Pancras and Somers Town</t>
  </si>
  <si>
    <t>Hatfield Villages</t>
  </si>
  <si>
    <t>Hollybush</t>
  </si>
  <si>
    <t>Howlands</t>
  </si>
  <si>
    <t>Northaw and Cuffley</t>
  </si>
  <si>
    <t>Panshanger</t>
  </si>
  <si>
    <t>Sherrards</t>
  </si>
  <si>
    <t>Welwyn East</t>
  </si>
  <si>
    <t>Welwyn West</t>
  </si>
  <si>
    <t>HOUNSLOW LONDON BOROUGH  *</t>
  </si>
  <si>
    <t>Brentford and Isleworth BC</t>
  </si>
  <si>
    <t>Hounslow (pt)</t>
  </si>
  <si>
    <t>Feltham and Heston BC</t>
  </si>
  <si>
    <t>Bedfont</t>
  </si>
  <si>
    <t>Brentford</t>
  </si>
  <si>
    <t>Chiswick Homefields</t>
  </si>
  <si>
    <t>Chiswick Riverside</t>
  </si>
  <si>
    <t>Cranford</t>
  </si>
  <si>
    <t>Feltham North</t>
  </si>
  <si>
    <t>Feltham West</t>
  </si>
  <si>
    <t>Cray Valley East</t>
  </si>
  <si>
    <t>Cray Valley West</t>
  </si>
  <si>
    <t>Crystal Palace</t>
  </si>
  <si>
    <t>Darwin</t>
  </si>
  <si>
    <t>Farnborough and Crofton</t>
  </si>
  <si>
    <t>Hayes and Coney Hall</t>
  </si>
  <si>
    <t>Kelsey and Eden Park</t>
  </si>
  <si>
    <t>Eastcott</t>
  </si>
  <si>
    <t>Gorse Hill and Pinehurst</t>
  </si>
  <si>
    <t>Haydon Wick</t>
  </si>
  <si>
    <t>ELMBRIDGE BOROUGH</t>
  </si>
  <si>
    <t>EPSOM AND EWELL BOROUGH</t>
  </si>
  <si>
    <t>GUILDFORD BOROUGH</t>
  </si>
  <si>
    <t>MOLE VALLEY DISTRICT</t>
  </si>
  <si>
    <t>North Thanet CC (pt)</t>
  </si>
  <si>
    <t>DARTFORD BOROUGH  *</t>
  </si>
  <si>
    <t>Bean and Darenth</t>
  </si>
  <si>
    <t>Greenhithe</t>
  </si>
  <si>
    <t>Joyce Green</t>
  </si>
  <si>
    <t>Joydens Wood</t>
  </si>
  <si>
    <t>Littlebrook</t>
  </si>
  <si>
    <t>Longfield, New Barn and Southfleet</t>
  </si>
  <si>
    <t>Princes</t>
  </si>
  <si>
    <t>Stone</t>
  </si>
  <si>
    <t>Sutton-at-Hone and Hawley</t>
  </si>
  <si>
    <t>Swanscombe</t>
  </si>
  <si>
    <t>West Hill</t>
  </si>
  <si>
    <t>Wilmington</t>
  </si>
  <si>
    <t>Dartford CC (pt)</t>
  </si>
  <si>
    <t>SOUTH SOMERSET DISTRICT</t>
  </si>
  <si>
    <t>TAUNTON DEANE BOROUGH</t>
  </si>
  <si>
    <t>WEST SOMERSET DISTRICT</t>
  </si>
  <si>
    <t>Bridgwater and West Somerset CC</t>
  </si>
  <si>
    <t>Brixworth</t>
  </si>
  <si>
    <t>Drayton</t>
  </si>
  <si>
    <t>Long Buckby</t>
  </si>
  <si>
    <t>Moulton</t>
  </si>
  <si>
    <t>NORTHAMPTON BOROUGH  *</t>
  </si>
  <si>
    <t>Abington</t>
  </si>
  <si>
    <t>Billing</t>
  </si>
  <si>
    <t>East Hunsbury</t>
  </si>
  <si>
    <t>Eastfield</t>
  </si>
  <si>
    <t>Headlands</t>
  </si>
  <si>
    <t>Kingsley</t>
  </si>
  <si>
    <t>Kingsthorpe</t>
  </si>
  <si>
    <t>Nene Valley</t>
  </si>
  <si>
    <t>New Duston</t>
  </si>
  <si>
    <t>Old Duston</t>
  </si>
  <si>
    <t>Earls Barton</t>
  </si>
  <si>
    <t>Finedon</t>
  </si>
  <si>
    <t>Irchester</t>
  </si>
  <si>
    <t>Queensway</t>
  </si>
  <si>
    <t>Swanspool</t>
  </si>
  <si>
    <t>Wollaston</t>
  </si>
  <si>
    <t>Aldersgate</t>
  </si>
  <si>
    <t>Aldgate</t>
  </si>
  <si>
    <t>Bassishaw</t>
  </si>
  <si>
    <t>* as created by The London Borough of Brent (Electoral Changes) Order 2000</t>
  </si>
  <si>
    <t># paired with the London Borough of Camden</t>
  </si>
  <si>
    <t>CAMBRIDGESHIRE  *</t>
  </si>
  <si>
    <t>CITY OF PETERBOROUGH  *</t>
  </si>
  <si>
    <t>CITY OF CAMBRIDGE</t>
  </si>
  <si>
    <t>EAST CAMBRIDGESHIRE DISTRICT</t>
  </si>
  <si>
    <t>FENLAND DISTRICT</t>
  </si>
  <si>
    <t>HUNTINGDONSHIRE DISTRICT  *</t>
  </si>
  <si>
    <t>Carshalton Central</t>
  </si>
  <si>
    <t>Carshalton South and Clockhouse</t>
  </si>
  <si>
    <t>Cheam</t>
  </si>
  <si>
    <t>Nonsuch</t>
  </si>
  <si>
    <t>Stonecot</t>
  </si>
  <si>
    <t>Sutton Central</t>
  </si>
  <si>
    <t>Sutton North</t>
  </si>
  <si>
    <t>Sutton South</t>
  </si>
  <si>
    <t>Sutton West</t>
  </si>
  <si>
    <t>The Wrythe</t>
  </si>
  <si>
    <t>Wallington North</t>
  </si>
  <si>
    <t>Wallington South</t>
  </si>
  <si>
    <t>Wandle Valley</t>
  </si>
  <si>
    <t>Walton Central</t>
  </si>
  <si>
    <t>Walton North</t>
  </si>
  <si>
    <t>Walton South</t>
  </si>
  <si>
    <t>Runnymede and Weybridge BC (pt)</t>
  </si>
  <si>
    <t>EPSOM AND EWELL BOROUGH  *</t>
  </si>
  <si>
    <t>Auriol</t>
  </si>
  <si>
    <t>LANCASHIRE  *</t>
  </si>
  <si>
    <t>BLACKBURN WITH DARWEN BOROUGH  *</t>
  </si>
  <si>
    <t>BLACKPOOL BOROUGH  *</t>
  </si>
  <si>
    <t>Billingsgate</t>
  </si>
  <si>
    <t>Bishopsgate</t>
  </si>
  <si>
    <t>Bread Street</t>
  </si>
  <si>
    <t>Bridge</t>
  </si>
  <si>
    <t>Broad Street</t>
  </si>
  <si>
    <t>Candlewick</t>
  </si>
  <si>
    <t>Castle Baynard</t>
  </si>
  <si>
    <t>Cheap</t>
  </si>
  <si>
    <t>Coleman Street</t>
  </si>
  <si>
    <t>Cordwainer</t>
  </si>
  <si>
    <t>Cornhill</t>
  </si>
  <si>
    <t>Cripplegate</t>
  </si>
  <si>
    <t>Dowgate</t>
  </si>
  <si>
    <t>Farringdon Within</t>
  </si>
  <si>
    <t>Farringdon Without</t>
  </si>
  <si>
    <t>Yeovil East</t>
  </si>
  <si>
    <t>Yeovil South</t>
  </si>
  <si>
    <t>Yeovil West</t>
  </si>
  <si>
    <t>Abbey Road</t>
  </si>
  <si>
    <t>Bayswater</t>
  </si>
  <si>
    <t>Bryanston and Dorset Square</t>
  </si>
  <si>
    <t>Churchill</t>
  </si>
  <si>
    <t>Church Street</t>
  </si>
  <si>
    <t>Harrow Road</t>
  </si>
  <si>
    <t>Hyde Park</t>
  </si>
  <si>
    <t>Knightsbridge and Belgravia</t>
  </si>
  <si>
    <t>Lancaster Gate</t>
  </si>
  <si>
    <t>Little Venice</t>
  </si>
  <si>
    <t>Maida Vale</t>
  </si>
  <si>
    <t>Marylebone High Street</t>
  </si>
  <si>
    <t>St James's</t>
  </si>
  <si>
    <t>* as created by The Cambridgeshire (City of Peterborough) (Structural, Boundary and Electoral Changes) Order 1996</t>
  </si>
  <si>
    <t>Barnack</t>
  </si>
  <si>
    <t>Dogsthorpe</t>
  </si>
  <si>
    <t>East</t>
  </si>
  <si>
    <t>Taunton Pyrland and Rowbarton</t>
  </si>
  <si>
    <t>BURNLEY BOROUGH</t>
  </si>
  <si>
    <t>CHORLEY BOROUGH</t>
  </si>
  <si>
    <t>FYLDE BOROUGH</t>
  </si>
  <si>
    <t>HYNDBURN BOROUGH</t>
  </si>
  <si>
    <t>CITY OF LANCASTER</t>
  </si>
  <si>
    <t>PENDLE BOROUGH</t>
  </si>
  <si>
    <t>CITY OF PRESTON</t>
  </si>
  <si>
    <t>RIBBLE VALLEY BOROUGH</t>
  </si>
  <si>
    <t>ROSSENDALE BOROUGH</t>
  </si>
  <si>
    <t>South East Cornwall CC</t>
  </si>
  <si>
    <t>St Austell and Newquay CC</t>
  </si>
  <si>
    <t>St Ives CC</t>
  </si>
  <si>
    <t>Truro and Falmouth CC</t>
  </si>
  <si>
    <t>Ruishton and Creech</t>
  </si>
  <si>
    <t>Staplegrove</t>
  </si>
  <si>
    <t>Taunton Blackbrook and Holway</t>
  </si>
  <si>
    <t>Taunton Eastgate</t>
  </si>
  <si>
    <t>Farningham, Horton Kirby and South Darenth</t>
  </si>
  <si>
    <t>Fawkham and West Kingsdown</t>
  </si>
  <si>
    <t>Halstead, Knockholt and Badgers Mount</t>
  </si>
  <si>
    <t>Hartley and Hodsoll Street</t>
  </si>
  <si>
    <t>Ponteland South with Heddon</t>
  </si>
  <si>
    <t>Ponteland West</t>
  </si>
  <si>
    <t>Rothbury</t>
  </si>
  <si>
    <t>Seaton with Newbiggin West</t>
  </si>
  <si>
    <t>Seghill with Seaton Delaval</t>
  </si>
  <si>
    <t>Shilbottle</t>
  </si>
  <si>
    <t>Sleekburn</t>
  </si>
  <si>
    <t>South Blyth</t>
  </si>
  <si>
    <t>South Tynedale</t>
  </si>
  <si>
    <t>Stakeford</t>
  </si>
  <si>
    <t>Blackburn with Darwen (pt)</t>
  </si>
  <si>
    <t>Blackpool North and Cleveleys BC</t>
  </si>
  <si>
    <t>Blackpool (pt)</t>
  </si>
  <si>
    <t>Wyre(pt)</t>
  </si>
  <si>
    <t>Blackpool South BC</t>
  </si>
  <si>
    <t>Burnley BC</t>
  </si>
  <si>
    <t>Chorley CC</t>
  </si>
  <si>
    <t>Chorley (pt)</t>
  </si>
  <si>
    <t>Tachbrook</t>
  </si>
  <si>
    <t>Croydon (pt)</t>
  </si>
  <si>
    <t>Croydon North BC</t>
  </si>
  <si>
    <t>Croydon South BC</t>
  </si>
  <si>
    <t>Addiscombe</t>
  </si>
  <si>
    <t>Ashburton</t>
  </si>
  <si>
    <t>Bensham Manor</t>
  </si>
  <si>
    <t>Broad Green</t>
  </si>
  <si>
    <t>Coulsdon East</t>
  </si>
  <si>
    <t>Coulsdon West</t>
  </si>
  <si>
    <t>Croham</t>
  </si>
  <si>
    <t>Fairfield</t>
  </si>
  <si>
    <t>Hindpool</t>
  </si>
  <si>
    <t>RICHMONDSHIRE DISTRICT  *</t>
  </si>
  <si>
    <t>Addlebrough</t>
  </si>
  <si>
    <t>Bolton Castle</t>
  </si>
  <si>
    <t>Brompton-on-Swale and Scorton</t>
  </si>
  <si>
    <t>Catterick</t>
  </si>
  <si>
    <t>Colburn</t>
  </si>
  <si>
    <t>Gilling West</t>
  </si>
  <si>
    <t>Hawes and High Abbotside</t>
  </si>
  <si>
    <t>Hipswell</t>
  </si>
  <si>
    <t>Broadway and Wickhamford</t>
  </si>
  <si>
    <t>Dodderhill</t>
  </si>
  <si>
    <t>Drakes Broughton</t>
  </si>
  <si>
    <t>Droitwich Central</t>
  </si>
  <si>
    <t>Droitwich East</t>
  </si>
  <si>
    <t>Droitwich South East</t>
  </si>
  <si>
    <t>Droitwich South West</t>
  </si>
  <si>
    <t>Droitwich West</t>
  </si>
  <si>
    <t>Eckington</t>
  </si>
  <si>
    <t>Elmley Castle and Somerville</t>
  </si>
  <si>
    <t>Evesham North</t>
  </si>
  <si>
    <t>Evesham South</t>
  </si>
  <si>
    <t>Fladbury</t>
  </si>
  <si>
    <t>Great Hampton</t>
  </si>
  <si>
    <t>Hartlebury</t>
  </si>
  <si>
    <t>Ampleforth</t>
  </si>
  <si>
    <t>Cropton</t>
  </si>
  <si>
    <t>Dales</t>
  </si>
  <si>
    <t>Helmsley</t>
  </si>
  <si>
    <t>Hovingham</t>
  </si>
  <si>
    <t>Kirkbymoorside</t>
  </si>
  <si>
    <t>Malton</t>
  </si>
  <si>
    <t>Norton East</t>
  </si>
  <si>
    <t>Shropshire *</t>
  </si>
  <si>
    <t>Richmond Central</t>
  </si>
  <si>
    <t>Richmond East</t>
  </si>
  <si>
    <t>Okewood</t>
  </si>
  <si>
    <t>Westcott</t>
  </si>
  <si>
    <t>* as created by The Mole Valley (Electoral Changes) Order 1999</t>
  </si>
  <si>
    <t>REIGATE AND BANSTEAD BOROUGH  *</t>
  </si>
  <si>
    <t>Banstead Village</t>
  </si>
  <si>
    <t>Chipstead, Hooley and Woodmansterne</t>
  </si>
  <si>
    <t>Earlswood and Whitebushes</t>
  </si>
  <si>
    <t>Horley Central</t>
  </si>
  <si>
    <t>Ealing, Southall BC</t>
  </si>
  <si>
    <t>Acton Central</t>
  </si>
  <si>
    <t>Cleveland</t>
  </si>
  <si>
    <t>Dormers Wells</t>
  </si>
  <si>
    <t>Ealing Broadway</t>
  </si>
  <si>
    <t>Ealing Common</t>
  </si>
  <si>
    <t>East Acton</t>
  </si>
  <si>
    <t>Elthorne</t>
  </si>
  <si>
    <t>Melksham Without North</t>
  </si>
  <si>
    <t>Melksham South</t>
  </si>
  <si>
    <t>Melksham Without South</t>
  </si>
  <si>
    <t>Mere</t>
  </si>
  <si>
    <t>Minety</t>
  </si>
  <si>
    <t>Nadder and East Knoyle</t>
  </si>
  <si>
    <t>Pewsey</t>
  </si>
  <si>
    <t>Pewsey Vale</t>
  </si>
  <si>
    <t>Purton</t>
  </si>
  <si>
    <t>Redlynch and Landford</t>
  </si>
  <si>
    <t>Roundway</t>
  </si>
  <si>
    <t>Salisbury Bemerton</t>
  </si>
  <si>
    <t>Salisbury Fisherton and Bemerton Village</t>
  </si>
  <si>
    <t>Salisbury Harnham</t>
  </si>
  <si>
    <t>Salisbury St Edmund and Milford</t>
  </si>
  <si>
    <t>North Bay</t>
  </si>
  <si>
    <t>Northstead</t>
  </si>
  <si>
    <t>Ramshill</t>
  </si>
  <si>
    <t>Scalby, Hackness and Staintondale</t>
  </si>
  <si>
    <t>Seamer</t>
  </si>
  <si>
    <t>Stepney</t>
  </si>
  <si>
    <t>Streonshalh</t>
  </si>
  <si>
    <t>Weaponness</t>
  </si>
  <si>
    <t>Whitby West Cliff</t>
  </si>
  <si>
    <t>The Lavingtons and Erlestoke</t>
  </si>
  <si>
    <t>Summerham and Seend</t>
  </si>
  <si>
    <t>The Collingbournes and Netheravon</t>
  </si>
  <si>
    <t>Penrith Carleton</t>
  </si>
  <si>
    <t>Penrith East</t>
  </si>
  <si>
    <t>Penrith North</t>
  </si>
  <si>
    <t>Penrith Pategill</t>
  </si>
  <si>
    <t>Penrith South</t>
  </si>
  <si>
    <t>Penrith West</t>
  </si>
  <si>
    <t>Ravenstonedale</t>
  </si>
  <si>
    <t>Shap</t>
  </si>
  <si>
    <t>Skelton</t>
  </si>
  <si>
    <t>Ullswater</t>
  </si>
  <si>
    <t>Warcop</t>
  </si>
  <si>
    <t>* as created by The District of Eden (Electoral Changes) Order 1998</t>
  </si>
  <si>
    <t>SOUTH LAKELAND DISTRICT  *</t>
  </si>
  <si>
    <t>Primrose</t>
  </si>
  <si>
    <t>Belah</t>
  </si>
  <si>
    <t>Carlisle BC</t>
  </si>
  <si>
    <t>Belle Vue</t>
  </si>
  <si>
    <t>Botcherby</t>
  </si>
  <si>
    <t>Burgh</t>
  </si>
  <si>
    <t>Currock</t>
  </si>
  <si>
    <t>Dalston</t>
  </si>
  <si>
    <t>Denton Holme</t>
  </si>
  <si>
    <t>Great Corby and Geltsdale</t>
  </si>
  <si>
    <t>Harraby</t>
  </si>
  <si>
    <t>Hayton</t>
  </si>
  <si>
    <t>Irthing</t>
  </si>
  <si>
    <t>Longtown &amp; Rockcliffe</t>
  </si>
  <si>
    <t>Lyne</t>
  </si>
  <si>
    <t>Morton</t>
  </si>
  <si>
    <t>St Aidans</t>
  </si>
  <si>
    <t>* as created by The Borough of Copeland (Electoral Changes) Order 1998</t>
  </si>
  <si>
    <t>EDEN DISTRICT  *</t>
  </si>
  <si>
    <t>Alston Moor</t>
  </si>
  <si>
    <t>Appleby (Appleby)</t>
  </si>
  <si>
    <t>Appleby (Bongate)</t>
  </si>
  <si>
    <t>Askham</t>
  </si>
  <si>
    <t>Brough</t>
  </si>
  <si>
    <t>Crosby Ravensworth</t>
  </si>
  <si>
    <t>Dacre</t>
  </si>
  <si>
    <t>Eamont</t>
  </si>
  <si>
    <t>Greystoke</t>
  </si>
  <si>
    <t>Hartside</t>
  </si>
  <si>
    <t>Hesket</t>
  </si>
  <si>
    <t>Kirkby Stephen</t>
  </si>
  <si>
    <t>Kirkby Thore</t>
  </si>
  <si>
    <t>Kirkoswald</t>
  </si>
  <si>
    <t>Langwathby</t>
  </si>
  <si>
    <t>Lazonby</t>
  </si>
  <si>
    <t>CITY OF CARLISLE  *</t>
  </si>
  <si>
    <t>Cleator Moor North</t>
  </si>
  <si>
    <t>Cleator Moor South</t>
  </si>
  <si>
    <t>Distington</t>
  </si>
  <si>
    <t>Egremont North</t>
  </si>
  <si>
    <t>Egremont South</t>
  </si>
  <si>
    <t>Ennerdale</t>
  </si>
  <si>
    <t>Frizington</t>
  </si>
  <si>
    <t>Gosforth</t>
  </si>
  <si>
    <t>Harbour</t>
  </si>
  <si>
    <t>Haverigg</t>
  </si>
  <si>
    <t>Hensingham</t>
  </si>
  <si>
    <t>Hillcrest</t>
  </si>
  <si>
    <t>Holborn Hill</t>
  </si>
  <si>
    <t>Kells</t>
  </si>
  <si>
    <t>Millom Without</t>
  </si>
  <si>
    <t>Mirehouse</t>
  </si>
  <si>
    <t>Moresby</t>
  </si>
  <si>
    <t>Send</t>
  </si>
  <si>
    <t>Shalford</t>
  </si>
  <si>
    <t>Stoughton</t>
  </si>
  <si>
    <t>Tillingbourne</t>
  </si>
  <si>
    <t>Worplesdon</t>
  </si>
  <si>
    <t>Old Laund Booth</t>
  </si>
  <si>
    <t>* as created by The Borough of North Lincolnshire (Electoral Changes) Order 2001</t>
  </si>
  <si>
    <t>ISLE OF WIGHT  *</t>
  </si>
  <si>
    <t>Isle of Wight CC</t>
  </si>
  <si>
    <t>Isle of Wight</t>
  </si>
  <si>
    <t>Arreton and Newchurch</t>
  </si>
  <si>
    <t>Binstead and Fishbourne</t>
  </si>
  <si>
    <t>Brading, St Helens and Bembridge</t>
  </si>
  <si>
    <t>Carisbrooke</t>
  </si>
  <si>
    <t>Central Wight</t>
  </si>
  <si>
    <t>Ashfield CC</t>
  </si>
  <si>
    <t>Ashfield (pt)</t>
  </si>
  <si>
    <t>Broxtowe (pt)</t>
  </si>
  <si>
    <t>Bassetlaw CC</t>
  </si>
  <si>
    <t>Bassetlaw (pt)</t>
  </si>
  <si>
    <t>Broxtowe CC</t>
  </si>
  <si>
    <t>Gedling CC</t>
  </si>
  <si>
    <t>Gedling (pt)</t>
  </si>
  <si>
    <t>Mansfield CC</t>
  </si>
  <si>
    <t>Newark CC</t>
  </si>
  <si>
    <t>Newark and Sherwood (pt)</t>
  </si>
  <si>
    <t>Rushcliffe (pt)</t>
  </si>
  <si>
    <t>Rushcliffe CC</t>
  </si>
  <si>
    <t>Sherwood CC</t>
  </si>
  <si>
    <t>* as created by The Nottinghamshire (City of Nottingham) (Structural Change) Order 1996</t>
  </si>
  <si>
    <t>ASHFIELD DISTRICT  *</t>
  </si>
  <si>
    <t>Hucknall Central</t>
  </si>
  <si>
    <t>Hucknall North</t>
  </si>
  <si>
    <t>Hucknall West</t>
  </si>
  <si>
    <t>Newport East</t>
  </si>
  <si>
    <t>Southcourt</t>
  </si>
  <si>
    <t>Steeple Claydon</t>
  </si>
  <si>
    <t>Stewkley</t>
  </si>
  <si>
    <t>Tingewick</t>
  </si>
  <si>
    <t>Waddesdon</t>
  </si>
  <si>
    <t>Weedon</t>
  </si>
  <si>
    <t>Wing</t>
  </si>
  <si>
    <t>35.</t>
  </si>
  <si>
    <t>Wingrave</t>
  </si>
  <si>
    <t>36.</t>
  </si>
  <si>
    <t>Winslow</t>
  </si>
  <si>
    <t>Aylesbury CC (pt)</t>
  </si>
  <si>
    <t>Buckingham CC (pt)</t>
  </si>
  <si>
    <t>CHILTERN DISTRICT  *</t>
  </si>
  <si>
    <t>Amersham Common</t>
  </si>
  <si>
    <t>Amersham-on-the-Hill</t>
  </si>
  <si>
    <t>Amersham Town</t>
  </si>
  <si>
    <t>Asheridge Vale and Lowndes</t>
  </si>
  <si>
    <t>Hareholme</t>
  </si>
  <si>
    <t>Healey and Whitworth</t>
  </si>
  <si>
    <t>Helmshore</t>
  </si>
  <si>
    <t>Irwell</t>
  </si>
  <si>
    <t>Longholme</t>
  </si>
  <si>
    <t>Stacksteads</t>
  </si>
  <si>
    <t>Shanklin Central</t>
  </si>
  <si>
    <t>Shanklin South</t>
  </si>
  <si>
    <t>Totland</t>
  </si>
  <si>
    <t>Ventnor East</t>
  </si>
  <si>
    <t>Ventnor West</t>
  </si>
  <si>
    <t>West Wight</t>
  </si>
  <si>
    <t>Whippingham and Osborne</t>
  </si>
  <si>
    <t>Wootton Bridge</t>
  </si>
  <si>
    <t>Tattenhams</t>
  </si>
  <si>
    <t>East Surrey CC (pt)</t>
  </si>
  <si>
    <t>* as created by The Borough of Reigate and Banstead (Electoral Changes) Order 1999</t>
  </si>
  <si>
    <t>RUNNYMEDE BOROUGH  *</t>
  </si>
  <si>
    <t>Addlestone Bourneside</t>
  </si>
  <si>
    <t>Addlestone North</t>
  </si>
  <si>
    <t>Chertsey Meads</t>
  </si>
  <si>
    <t>May Bank</t>
  </si>
  <si>
    <t>Fulwood</t>
  </si>
  <si>
    <t>Gleadless Valley</t>
  </si>
  <si>
    <t>Graves Park</t>
  </si>
  <si>
    <t>East Saltdean and Telscombe Cliffs</t>
  </si>
  <si>
    <t>Kingston</t>
  </si>
  <si>
    <t>Lewes Bridge</t>
  </si>
  <si>
    <t>Lewes Castle</t>
  </si>
  <si>
    <t>Lewes Priory</t>
  </si>
  <si>
    <t>Newhaven Denton and Meeching</t>
  </si>
  <si>
    <t>Newhaven Valley</t>
  </si>
  <si>
    <t>Newick</t>
  </si>
  <si>
    <t>Ouse Valley and Ringmer</t>
  </si>
  <si>
    <t>Peacehaven East</t>
  </si>
  <si>
    <t>Peacehaven North</t>
  </si>
  <si>
    <t>* as created by The Borough of Ribble Valley (Electoral Changes) Order 2001</t>
  </si>
  <si>
    <t>ROSSENDALE BOROUGH  *</t>
  </si>
  <si>
    <t>Cribden</t>
  </si>
  <si>
    <t>Facit and Shawforth</t>
  </si>
  <si>
    <t>Goodshaw</t>
  </si>
  <si>
    <t>Greenfield</t>
  </si>
  <si>
    <t>Greensclough</t>
  </si>
  <si>
    <t>Egham Town</t>
  </si>
  <si>
    <t>Englefield Green East</t>
  </si>
  <si>
    <t>Englefield Green West</t>
  </si>
  <si>
    <t>Foxhills</t>
  </si>
  <si>
    <t>New Haw</t>
  </si>
  <si>
    <t>Virginia Water</t>
  </si>
  <si>
    <t>Woodham</t>
  </si>
  <si>
    <t>Runnymede and Weybridge CC (pt)</t>
  </si>
  <si>
    <t>Milton-under-Wychwood</t>
  </si>
  <si>
    <t>North Leigh</t>
  </si>
  <si>
    <t>Standlake, Aston and Stanton Harcourt</t>
  </si>
  <si>
    <t>Stonesfield and Tackley</t>
  </si>
  <si>
    <t>The Bartons</t>
  </si>
  <si>
    <t>Witney Central</t>
  </si>
  <si>
    <t>Witney East</t>
  </si>
  <si>
    <t>Witney North</t>
  </si>
  <si>
    <t>Witney South</t>
  </si>
  <si>
    <t>Witney West</t>
  </si>
  <si>
    <t>Stapleford North</t>
  </si>
  <si>
    <t>Stapleford South East</t>
  </si>
  <si>
    <t>Stapleford South West</t>
  </si>
  <si>
    <t xml:space="preserve">Broxtowe CC </t>
  </si>
  <si>
    <t>GEDLING BOROUGH  *</t>
  </si>
  <si>
    <t>Calverton</t>
  </si>
  <si>
    <t>Carlton Hill</t>
  </si>
  <si>
    <t>Daybrook</t>
  </si>
  <si>
    <t>Macclesfield CC</t>
  </si>
  <si>
    <t>Tatton CC</t>
  </si>
  <si>
    <t>Weaver Vale CC</t>
  </si>
  <si>
    <t>Nuneaton CC</t>
  </si>
  <si>
    <t>Crowborough Jarvis Brook</t>
  </si>
  <si>
    <t>Crowborough North</t>
  </si>
  <si>
    <t>Donington, Quadring and Gosberton</t>
  </si>
  <si>
    <t>Fleet</t>
  </si>
  <si>
    <t>Gedney</t>
  </si>
  <si>
    <t>Holbeach Hurn</t>
  </si>
  <si>
    <t>Holbeach Town</t>
  </si>
  <si>
    <t>Moulton, Weston and Cowbit</t>
  </si>
  <si>
    <t>Pinchbeck and Surfleet</t>
  </si>
  <si>
    <t>Spalding Castle</t>
  </si>
  <si>
    <t>Spalding Monks House</t>
  </si>
  <si>
    <t>Spalding St John's</t>
  </si>
  <si>
    <t>Spalding St Mary's</t>
  </si>
  <si>
    <t>Spalding St Paul's</t>
  </si>
  <si>
    <t>Spalding Wygate</t>
  </si>
  <si>
    <t>Sutton Bridge</t>
  </si>
  <si>
    <t>The Saints</t>
  </si>
  <si>
    <t>Whaplode and Holbeach St John's</t>
  </si>
  <si>
    <t>South Holland and The Deepings CC (pt)</t>
  </si>
  <si>
    <t>Codsall South</t>
  </si>
  <si>
    <t>Essington</t>
  </si>
  <si>
    <t>Featherstone and Shareshill</t>
  </si>
  <si>
    <t>Great Wyrley Landywood</t>
  </si>
  <si>
    <t>Great Wyrley Town</t>
  </si>
  <si>
    <t>Himley and Swindon</t>
  </si>
  <si>
    <t>Huntington and Hatherton</t>
  </si>
  <si>
    <t>Kinver</t>
  </si>
  <si>
    <t>Pattingham and Patshull</t>
  </si>
  <si>
    <t>Farnham Castle</t>
  </si>
  <si>
    <t>Farnham Firgrove</t>
  </si>
  <si>
    <t>Farnham Hale and Heath End</t>
  </si>
  <si>
    <t>Farnham Moor Park</t>
  </si>
  <si>
    <t>Farnham Shortheath and Boundstone</t>
  </si>
  <si>
    <t>Farnham Upper Hale</t>
  </si>
  <si>
    <t>Farnham Weybourne and Badshot Lea</t>
  </si>
  <si>
    <t>Farnham Wrecclesham and Rowledge</t>
  </si>
  <si>
    <t>Grantham and Stamford CC</t>
  </si>
  <si>
    <t>South Kesteven (pt)</t>
  </si>
  <si>
    <t>Lincoln BC</t>
  </si>
  <si>
    <t>North Kesteven (pt)</t>
  </si>
  <si>
    <t>Leake</t>
  </si>
  <si>
    <t>Lutterell</t>
  </si>
  <si>
    <t>Marbury</t>
  </si>
  <si>
    <t>Weaver</t>
  </si>
  <si>
    <t>Middle Deal and Sholden</t>
  </si>
  <si>
    <t>North Deal</t>
  </si>
  <si>
    <t>Ringwould</t>
  </si>
  <si>
    <t>St Margaret's-at-Cliffe</t>
  </si>
  <si>
    <t>St Radigunds</t>
  </si>
  <si>
    <t>Sandwich</t>
  </si>
  <si>
    <t>Town and Pier</t>
  </si>
  <si>
    <t>Walmer</t>
  </si>
  <si>
    <t>South Thanet CC (pt)</t>
  </si>
  <si>
    <t>* as created by The District of Dover (Electoral Changes) Order 2001</t>
  </si>
  <si>
    <t>Fishtoft</t>
  </si>
  <si>
    <t>Five Village</t>
  </si>
  <si>
    <t>Old Leake and Wrangle</t>
  </si>
  <si>
    <t>NORTH KESTEVEN DISTRICT  *</t>
  </si>
  <si>
    <t>Ashby de la Launde and Cranwell</t>
  </si>
  <si>
    <t>Bassingham and Brant Broughton</t>
  </si>
  <si>
    <t>Billinghay, Martin and North Kyme</t>
  </si>
  <si>
    <t>Falmouth Trescobeas</t>
  </si>
  <si>
    <t>Bourne Vale</t>
  </si>
  <si>
    <t>Ludlow North</t>
  </si>
  <si>
    <t>Crewe East</t>
  </si>
  <si>
    <t>Crewe North</t>
  </si>
  <si>
    <t>Crewe South</t>
  </si>
  <si>
    <t>Crewe West</t>
  </si>
  <si>
    <t>Knutsford</t>
  </si>
  <si>
    <t>Eagle, Swinderby and Witham St Hughs</t>
  </si>
  <si>
    <t>Heckington Rural</t>
  </si>
  <si>
    <t>Heighington and Washingborough</t>
  </si>
  <si>
    <t>Kirkby la Thorpe and South Kyme</t>
  </si>
  <si>
    <t>Leasingham and Rauceby</t>
  </si>
  <si>
    <t>Metheringham</t>
  </si>
  <si>
    <t>Eddisbury CC (pt)</t>
  </si>
  <si>
    <t>Tatton CC (pt)</t>
  </si>
  <si>
    <t>Blacon</t>
  </si>
  <si>
    <t>Wantage CC (pt)</t>
  </si>
  <si>
    <t>VALE OF WHITE HORSE DISTRICT  *</t>
  </si>
  <si>
    <t>Abingdon Caldecott</t>
  </si>
  <si>
    <t>DEVON</t>
  </si>
  <si>
    <t>Plymouth *</t>
  </si>
  <si>
    <t>Isaac Newton</t>
  </si>
  <si>
    <t>Lincrest</t>
  </si>
  <si>
    <t>Stamford St John's</t>
  </si>
  <si>
    <t>Toller</t>
  </si>
  <si>
    <t>WEST LINDSEY DISTRICT  *</t>
  </si>
  <si>
    <t>BUCKINGHAMSHIRE</t>
  </si>
  <si>
    <t>Cambridge</t>
  </si>
  <si>
    <t>East Cambridgeshire</t>
  </si>
  <si>
    <t>Fenland</t>
  </si>
  <si>
    <t>Huntingdonshire</t>
  </si>
  <si>
    <t>South Cambridgeshire</t>
  </si>
  <si>
    <t>CAMBRIDGESHIRE</t>
  </si>
  <si>
    <t>Peterborough *</t>
  </si>
  <si>
    <t>CAMBRIDGESHIRE &amp; PETERBOROUGH</t>
  </si>
  <si>
    <t>Goring</t>
  </si>
  <si>
    <t>Wickford Castledon</t>
  </si>
  <si>
    <t>Ashington Central</t>
  </si>
  <si>
    <t>Bamburgh</t>
  </si>
  <si>
    <t>Ipswich (pt)</t>
  </si>
  <si>
    <t>Suffolk Coastal (pt)</t>
  </si>
  <si>
    <t>Ipswich BC</t>
  </si>
  <si>
    <t>South Suffolk CC</t>
  </si>
  <si>
    <t>Suffolk Coastal CC</t>
  </si>
  <si>
    <t>Waveney (pt)</t>
  </si>
  <si>
    <t>Waveney CC</t>
  </si>
  <si>
    <t>West Suffolk CC</t>
  </si>
  <si>
    <t>BABERGH DISTRICT  *</t>
  </si>
  <si>
    <t>Berners</t>
  </si>
  <si>
    <t>Boxford</t>
  </si>
  <si>
    <t>Brett Vale</t>
  </si>
  <si>
    <t>Brook</t>
  </si>
  <si>
    <t>Bures St Mary</t>
  </si>
  <si>
    <t>Chadacre</t>
  </si>
  <si>
    <t>Dodnash</t>
  </si>
  <si>
    <t>Glemsford and Stanstead</t>
  </si>
  <si>
    <t>Great Cornard North</t>
  </si>
  <si>
    <t>Great Cornard South</t>
  </si>
  <si>
    <t>Hadleigh North</t>
  </si>
  <si>
    <t>Hadleigh South</t>
  </si>
  <si>
    <t>Wellington</t>
  </si>
  <si>
    <t>Mid Holderness</t>
  </si>
  <si>
    <t>Minster and Woodmansey</t>
  </si>
  <si>
    <t>North Holderness</t>
  </si>
  <si>
    <t>Pocklington Provincial</t>
  </si>
  <si>
    <t>Snaith, Airmyn, Rawcliffe and Marshland</t>
  </si>
  <si>
    <t>South East Holderness</t>
  </si>
  <si>
    <t>South Hunsley</t>
  </si>
  <si>
    <t>South West Holderness</t>
  </si>
  <si>
    <t>Tranby</t>
  </si>
  <si>
    <t>Willerby and Kirk Ella</t>
  </si>
  <si>
    <t>Hawkwell West</t>
  </si>
  <si>
    <t>Hullbridge</t>
  </si>
  <si>
    <t>Lodge</t>
  </si>
  <si>
    <t>South Lakeland</t>
  </si>
  <si>
    <t>CUMBRIA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</si>
  <si>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</si>
  <si>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</si>
  <si>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</si>
  <si>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</si>
  <si>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</si>
  <si>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</si>
  <si>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</si>
  <si>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</si>
  <si>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DERBYSHIRE</t>
  </si>
  <si>
    <t>Derby *</t>
  </si>
  <si>
    <t>DERBYSHIRE &amp; DERBY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</si>
  <si>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</si>
  <si>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</si>
  <si>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</si>
  <si>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</si>
  <si>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</si>
  <si>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</si>
  <si>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</si>
  <si>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</si>
  <si>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Hextable</t>
  </si>
  <si>
    <t>Kemsing</t>
  </si>
  <si>
    <t>Leigh and Chiddingstone Causeway</t>
  </si>
  <si>
    <t>Southchurch</t>
  </si>
  <si>
    <t>Thorpe</t>
  </si>
  <si>
    <t>Westborough</t>
  </si>
  <si>
    <t>West Leigh</t>
  </si>
  <si>
    <t>West Shoebury</t>
  </si>
  <si>
    <t>New Forest</t>
  </si>
  <si>
    <t>Rushmoor</t>
  </si>
  <si>
    <t>Test Valley</t>
  </si>
  <si>
    <t>Winchester</t>
  </si>
  <si>
    <t>HAMPSHIRE</t>
  </si>
  <si>
    <t>Southampton *</t>
  </si>
  <si>
    <t>County Average (Bournemouth) (2 seats)</t>
  </si>
  <si>
    <t>County Average (Poole) (2 seats)</t>
  </si>
  <si>
    <t>Bournemouth East BC</t>
  </si>
  <si>
    <t>Bournemouth (pt)</t>
  </si>
  <si>
    <t>Bournemouth West BC</t>
  </si>
  <si>
    <t>Poole (pt)</t>
  </si>
  <si>
    <t>Cliftonville West</t>
  </si>
  <si>
    <t>Dane Valley</t>
  </si>
  <si>
    <t>Eastcliff</t>
  </si>
  <si>
    <t>Garlinge</t>
  </si>
  <si>
    <t>Kingsgate</t>
  </si>
  <si>
    <t>Margate Central</t>
  </si>
  <si>
    <t>Nethercourt</t>
  </si>
  <si>
    <t>Salmestone</t>
  </si>
  <si>
    <t>Sir Moses Montefiore</t>
  </si>
  <si>
    <t>Queenborough and Halfway</t>
  </si>
  <si>
    <t>Roman</t>
  </si>
  <si>
    <t>Sheppey Central</t>
  </si>
  <si>
    <t>Teynham and Lynsted</t>
  </si>
  <si>
    <t>West Downs</t>
  </si>
  <si>
    <t>Woodstock</t>
  </si>
  <si>
    <t>THANET DISTRICT  *</t>
  </si>
  <si>
    <t>Beacon Road</t>
  </si>
  <si>
    <t>Birchington North</t>
  </si>
  <si>
    <t>Birchington South</t>
  </si>
  <si>
    <t>Bradstowe</t>
  </si>
  <si>
    <t>Central Harbour</t>
  </si>
  <si>
    <t>Cliffsend and Pegwell</t>
  </si>
  <si>
    <t>Cliftonville East</t>
  </si>
  <si>
    <t>Torksey</t>
  </si>
  <si>
    <t>Waddingham and Spital</t>
  </si>
  <si>
    <t>Wold View</t>
  </si>
  <si>
    <t>STAFFORDSHIRE</t>
  </si>
  <si>
    <t>Stoke-on-Trent *</t>
  </si>
  <si>
    <t>CITY OF NEWCASTLE UPON TYNE  *</t>
  </si>
  <si>
    <t>Benwell and Scotswood</t>
  </si>
  <si>
    <t>Blakelaw</t>
  </si>
  <si>
    <t>North East Lincolnshire *</t>
  </si>
  <si>
    <t>North Lincolnshire *</t>
  </si>
  <si>
    <t>SWALE BOROUGH  *</t>
  </si>
  <si>
    <t>Boughton and Courtenay</t>
  </si>
  <si>
    <t>East Cliff and Springbourne</t>
  </si>
  <si>
    <t>East Southbourne and Tuckton</t>
  </si>
  <si>
    <t>STAFFORDSHIRE &amp; STOKE-ON-TRENT</t>
  </si>
  <si>
    <t>Stockton-on-Tees *</t>
  </si>
  <si>
    <t>Babergh</t>
  </si>
  <si>
    <t>Forest Heath</t>
  </si>
  <si>
    <t>Ipswich</t>
  </si>
  <si>
    <t>Mid Suffolk</t>
  </si>
  <si>
    <t>St Edmundsbury</t>
  </si>
  <si>
    <t>Suffolk Coastal</t>
  </si>
  <si>
    <t>Waveney</t>
  </si>
  <si>
    <t>SUFFOLK</t>
  </si>
  <si>
    <t>Elmbridge</t>
  </si>
  <si>
    <t>Epsom and Ewell</t>
  </si>
  <si>
    <t>Guildford</t>
  </si>
  <si>
    <t>Mole Valley</t>
  </si>
  <si>
    <t>Reigate and Banstead</t>
  </si>
  <si>
    <t>Runnymede</t>
  </si>
  <si>
    <t>Haydon and Hadrian</t>
  </si>
  <si>
    <t>Hexham Central with Acomb</t>
  </si>
  <si>
    <t>Kings Hill</t>
  </si>
  <si>
    <t>* as created by The Dorset (Boroughs of Poole and Bournemouth) (Structural Change) Order 1995</t>
  </si>
  <si>
    <t>Boscombe East</t>
  </si>
  <si>
    <t>Boscombe West</t>
  </si>
  <si>
    <t>Bedlington Central</t>
  </si>
  <si>
    <t>Bedlington East</t>
  </si>
  <si>
    <t>Bedlington West</t>
  </si>
  <si>
    <t>Berwick East</t>
  </si>
  <si>
    <t>Berwick North</t>
  </si>
  <si>
    <t>Berwick West with Ord</t>
  </si>
  <si>
    <t>Bothal</t>
  </si>
  <si>
    <t>Bywell</t>
  </si>
  <si>
    <t>Choppington</t>
  </si>
  <si>
    <t>Corbridge</t>
  </si>
  <si>
    <t>Cowpen</t>
  </si>
  <si>
    <t>Cramlington East</t>
  </si>
  <si>
    <t>Cramlington Eastfield</t>
  </si>
  <si>
    <t>Cramlington North</t>
  </si>
  <si>
    <t>Cramlington South East</t>
  </si>
  <si>
    <t>Cramlington Village</t>
  </si>
  <si>
    <t>Cramlington West</t>
  </si>
  <si>
    <t>Bransholme East</t>
  </si>
  <si>
    <t>Bransholme West</t>
  </si>
  <si>
    <t>Bricknell</t>
  </si>
  <si>
    <t>Derringham</t>
  </si>
  <si>
    <t>Drypool</t>
  </si>
  <si>
    <t>Holderness</t>
  </si>
  <si>
    <t>Ings</t>
  </si>
  <si>
    <t>Kings Park</t>
  </si>
  <si>
    <t>Longhill</t>
  </si>
  <si>
    <t>Evington</t>
  </si>
  <si>
    <t>Eyres Monsell</t>
  </si>
  <si>
    <t>Eriswell and The Rows</t>
  </si>
  <si>
    <t>Exning</t>
  </si>
  <si>
    <t>Great Heath</t>
  </si>
  <si>
    <t>Iceni</t>
  </si>
  <si>
    <t>Lakenheath</t>
  </si>
  <si>
    <t>Red Lodge</t>
  </si>
  <si>
    <t>Severals</t>
  </si>
  <si>
    <t>West Suffolk CC (pt)</t>
  </si>
  <si>
    <t>* as created by The District of Forest Heath (Electoral Changes) Order 2001</t>
  </si>
  <si>
    <t>IPSWICH BOROUGH  *</t>
  </si>
  <si>
    <t>Branksome West</t>
  </si>
  <si>
    <t>Broadstone</t>
  </si>
  <si>
    <t>Canford Cliffs</t>
  </si>
  <si>
    <t>Canford Heath East</t>
  </si>
  <si>
    <t>Canford Heath West</t>
  </si>
  <si>
    <t>Creekmoor</t>
  </si>
  <si>
    <t>Hamworthy East</t>
  </si>
  <si>
    <t>Hamworthy West</t>
  </si>
  <si>
    <t>Oakdale</t>
  </si>
  <si>
    <t>Parkstone</t>
  </si>
  <si>
    <t>Penn Hill</t>
  </si>
  <si>
    <t>Poole Town</t>
  </si>
  <si>
    <t>Mid Dorset and North Poole CC (pt)</t>
  </si>
  <si>
    <t>Christchurch CC (pt)</t>
  </si>
  <si>
    <t>* as created by The Borough of Christchurch (Electoral Changes) Order 2002</t>
  </si>
  <si>
    <t>EAST DORSET DISTRICT  *</t>
  </si>
  <si>
    <t>The Beacon</t>
  </si>
  <si>
    <t>Swinton North</t>
  </si>
  <si>
    <t>Swinton South</t>
  </si>
  <si>
    <t>Walkden North</t>
  </si>
  <si>
    <t>Walkden South</t>
  </si>
  <si>
    <t>Weaste and Seedley</t>
  </si>
  <si>
    <t>Winton</t>
  </si>
  <si>
    <t>Peckham</t>
  </si>
  <si>
    <t>Wyke</t>
  </si>
  <si>
    <t>Cheadle Hulme North</t>
  </si>
  <si>
    <t>Cheadle Hulme South</t>
  </si>
  <si>
    <t>Davenport and Cale Green</t>
  </si>
  <si>
    <t>Edgeley and Cheadle Heath</t>
  </si>
  <si>
    <t>St Chad's</t>
  </si>
  <si>
    <t>Sandhill</t>
  </si>
  <si>
    <t>Shiney Row</t>
  </si>
  <si>
    <t>Silksworth</t>
  </si>
  <si>
    <t>Bridport North</t>
  </si>
  <si>
    <t>Broadwindsor</t>
  </si>
  <si>
    <t>Burton Bradstock</t>
  </si>
  <si>
    <t>BATH AND NORTH EAST SOMERSET DISTRICT  *</t>
  </si>
  <si>
    <t>County Average (2 seats)</t>
  </si>
  <si>
    <t>Bath BC</t>
  </si>
  <si>
    <t>Bath and North East Somerset (pt)</t>
  </si>
  <si>
    <t>North East Somerset CC</t>
  </si>
  <si>
    <t>Bathavon North</t>
  </si>
  <si>
    <t>Bathavon South</t>
  </si>
  <si>
    <t>Bathavon West</t>
  </si>
  <si>
    <t>Bathwick</t>
  </si>
  <si>
    <t>WEST DORSET DISTRICT  *</t>
  </si>
  <si>
    <t>Beaminster</t>
  </si>
  <si>
    <t>West Selkley</t>
  </si>
  <si>
    <t>Bucklow-St Martins</t>
  </si>
  <si>
    <t>Clifford</t>
  </si>
  <si>
    <t>Davyhulme East</t>
  </si>
  <si>
    <t>Davyhulme West</t>
  </si>
  <si>
    <t>Flixton</t>
  </si>
  <si>
    <t>County Average (All) (11 seats)</t>
  </si>
  <si>
    <t>Amber Valley CC</t>
  </si>
  <si>
    <t>Amber Valley (pt)</t>
  </si>
  <si>
    <t>Bolsover CC</t>
  </si>
  <si>
    <t>North East Derbyshire (pt)</t>
  </si>
  <si>
    <t>Chesterfield BC</t>
  </si>
  <si>
    <t>Chesterfield (pt)</t>
  </si>
  <si>
    <t>Derbyshire Dales CC</t>
  </si>
  <si>
    <t>Derby North BC</t>
  </si>
  <si>
    <t>Derby (pt)</t>
  </si>
  <si>
    <t>Derby South BC</t>
  </si>
  <si>
    <t>Erewash CC</t>
  </si>
  <si>
    <t>Erewash (pt)</t>
  </si>
  <si>
    <t>High Peak CC</t>
  </si>
  <si>
    <t>Mid Derbyshire CC</t>
  </si>
  <si>
    <t>North East Derbyshire CC</t>
  </si>
  <si>
    <t>South Derbyshire CC</t>
  </si>
  <si>
    <t>* as created by The Derbyshire (City of Derby) (Structural Change) Order 1995</t>
  </si>
  <si>
    <t>Allestree</t>
  </si>
  <si>
    <t>Alvaston</t>
  </si>
  <si>
    <t>Arboretum</t>
  </si>
  <si>
    <t>Blagreaves</t>
  </si>
  <si>
    <t>North Road</t>
  </si>
  <si>
    <t>Park East</t>
  </si>
  <si>
    <t>Park West</t>
  </si>
  <si>
    <t>Pierremont</t>
  </si>
  <si>
    <t>Sedgefield CC (pt)</t>
  </si>
  <si>
    <t>DURHAM  *</t>
  </si>
  <si>
    <t>Annfield Plain</t>
  </si>
  <si>
    <t>Chaddesden</t>
  </si>
  <si>
    <t>Chellaston</t>
  </si>
  <si>
    <t>Darley</t>
  </si>
  <si>
    <t>Derwent</t>
  </si>
  <si>
    <t>Littleover</t>
  </si>
  <si>
    <t>Mackworth</t>
  </si>
  <si>
    <t>CITY OF DERBY  *</t>
  </si>
  <si>
    <t>AMBER VALLEY BOROUGH</t>
  </si>
  <si>
    <t>BOLSOVER DISTRICT</t>
  </si>
  <si>
    <t>CHESTERFIELD BOROUGH</t>
  </si>
  <si>
    <t>DERBYSHIRE DALES DISTRICT</t>
  </si>
  <si>
    <t>Widcombe</t>
  </si>
  <si>
    <t>* as created by The District of Bath and North East Somerset (Electoral Changes) Order 1998</t>
  </si>
  <si>
    <t>BEDFORD BOROUGH  #</t>
  </si>
  <si>
    <t>CENTRAL BEDFORDSHIRE  #</t>
  </si>
  <si>
    <t>LUTON BOROUGH  *</t>
  </si>
  <si>
    <t>County Average (Bedford) (2 seats)</t>
  </si>
  <si>
    <t>Aycliffe East</t>
  </si>
  <si>
    <t>County Average (Luton) (2 seats)</t>
  </si>
  <si>
    <t>DERBYSHIRE  *</t>
  </si>
  <si>
    <t>Shepton West</t>
  </si>
  <si>
    <t>Street North</t>
  </si>
  <si>
    <t>Street South</t>
  </si>
  <si>
    <t>Street West</t>
  </si>
  <si>
    <t>The Pennards and Ditcheat</t>
  </si>
  <si>
    <t>Wells Central</t>
  </si>
  <si>
    <t>Wells St Cuthbert's</t>
  </si>
  <si>
    <t>Wells St Thomas'</t>
  </si>
  <si>
    <t>Wookey and St Cuthbert Out West</t>
  </si>
  <si>
    <t>Somerton and Frome CC (pt)</t>
  </si>
  <si>
    <t>Wells CC (pt)</t>
  </si>
  <si>
    <t>* as created by The District of Mendip (Electoral Changes) Order 2007</t>
  </si>
  <si>
    <t>SEDGEMOOR DISTRICT  *</t>
  </si>
  <si>
    <t>Berrow</t>
  </si>
  <si>
    <t>Thornbury and Yate CC</t>
  </si>
  <si>
    <t>Almondsbury</t>
  </si>
  <si>
    <t>Bitton</t>
  </si>
  <si>
    <t>Boyd Valley</t>
  </si>
  <si>
    <t>Bradley Stoke Central and Stoke Lodge</t>
  </si>
  <si>
    <t>Bradley Stoke North</t>
  </si>
  <si>
    <t>Bradley Stoke South</t>
  </si>
  <si>
    <t>Clevedon East</t>
  </si>
  <si>
    <t>Clevedon South</t>
  </si>
  <si>
    <t>Clevedon Walton</t>
  </si>
  <si>
    <t>Clevedon West</t>
  </si>
  <si>
    <t>Clevedon Yeo</t>
  </si>
  <si>
    <t>Pembridge</t>
  </si>
  <si>
    <t>Queen's Gate</t>
  </si>
  <si>
    <t>Redcliffe</t>
  </si>
  <si>
    <t>Royal Hospital</t>
  </si>
  <si>
    <t>Portishead West</t>
  </si>
  <si>
    <t>Winford</t>
  </si>
  <si>
    <t>Wrington</t>
  </si>
  <si>
    <t>Yatton</t>
  </si>
  <si>
    <t>CITY OF BIRMINGHAM</t>
  </si>
  <si>
    <t>CITY OF COVENTRY</t>
  </si>
  <si>
    <t>DUDLEY BOROUGH</t>
  </si>
  <si>
    <t>NEW FOREST DISTRICT</t>
  </si>
  <si>
    <t>RUSHMOOR BOROUGH</t>
  </si>
  <si>
    <t>TEST VALLEY BOROUGH</t>
  </si>
  <si>
    <t>CITY OF WINCHESTER</t>
  </si>
  <si>
    <t>EAST HAMPSHIRE DISTRICT</t>
  </si>
  <si>
    <t>EASTLEIGH BOROUGH</t>
  </si>
  <si>
    <t>FAREHAM BOROUGH</t>
  </si>
  <si>
    <t>GOSPORT BOROUGH</t>
  </si>
  <si>
    <t>HART DISTRICT</t>
  </si>
  <si>
    <t>HAVANT BOROUGH</t>
  </si>
  <si>
    <t>Shirebrook East</t>
  </si>
  <si>
    <t>Shirebrook Langwith</t>
  </si>
  <si>
    <t>Shirebrook North West</t>
  </si>
  <si>
    <t>Shirebrook South East</t>
  </si>
  <si>
    <t>Shirebrook South West</t>
  </si>
  <si>
    <t>South Normanton East</t>
  </si>
  <si>
    <t>South Normanton West</t>
  </si>
  <si>
    <t>Tibshelf</t>
  </si>
  <si>
    <t>Fernhurst</t>
  </si>
  <si>
    <t>Higher Croft</t>
  </si>
  <si>
    <t>Little Harwood</t>
  </si>
  <si>
    <t>Livesey with Pleasington</t>
  </si>
  <si>
    <t>Marsh House</t>
  </si>
  <si>
    <t>Meadowhead</t>
  </si>
  <si>
    <t>North Turton with Tockholes</t>
  </si>
  <si>
    <t>Roe Lee</t>
  </si>
  <si>
    <t>Shadsworth with Whitebirk</t>
  </si>
  <si>
    <t>Shear Brow</t>
  </si>
  <si>
    <t>Sudell</t>
  </si>
  <si>
    <t>Sunnyhurst</t>
  </si>
  <si>
    <t>Wensley Fold</t>
  </si>
  <si>
    <t>Whitehall</t>
  </si>
  <si>
    <t>Rossendale and Darwen BC (pt)</t>
  </si>
  <si>
    <t>FYLDE BOROUGH  *</t>
  </si>
  <si>
    <t>Ansdell</t>
  </si>
  <si>
    <t>Ashton</t>
  </si>
  <si>
    <t>Elswick and Little Eccleston</t>
  </si>
  <si>
    <t>Fairhaven</t>
  </si>
  <si>
    <t>Freckleton East</t>
  </si>
  <si>
    <t>Freckleton West</t>
  </si>
  <si>
    <t>Heyhouses</t>
  </si>
  <si>
    <t>Kilnhouse</t>
  </si>
  <si>
    <t>Kirkham North</t>
  </si>
  <si>
    <t>Kirkham South</t>
  </si>
  <si>
    <t>Medlar-with-Wesham</t>
  </si>
  <si>
    <t>Newton and Treales</t>
  </si>
  <si>
    <t>Ribby-with-Wrea</t>
  </si>
  <si>
    <t>St Leonards</t>
  </si>
  <si>
    <t>* as created by The East Sussex (Boroughs of Brighton and Hove) (Structural Change) Order 1995</t>
  </si>
  <si>
    <t>Brunswick and Adelaide</t>
  </si>
  <si>
    <t>Central Hove</t>
  </si>
  <si>
    <t>East Brighton</t>
  </si>
  <si>
    <t>Goldsmid</t>
  </si>
  <si>
    <t>Hangleton and Knoll</t>
  </si>
  <si>
    <t>Hanover and Elm Grove</t>
  </si>
  <si>
    <t>Hollingdean and Stanmer</t>
  </si>
  <si>
    <t>Moulsecoomb and Bevendean</t>
  </si>
  <si>
    <t>North Portslade</t>
  </si>
  <si>
    <t>Patcham</t>
  </si>
  <si>
    <t>Preston Park</t>
  </si>
  <si>
    <t>Regency</t>
  </si>
  <si>
    <t>Rottingdean Coastal</t>
  </si>
  <si>
    <t>Dronfield Woodhouse</t>
  </si>
  <si>
    <t>Eckington North</t>
  </si>
  <si>
    <t>Eckington South</t>
  </si>
  <si>
    <t>Gosforth Valley</t>
  </si>
  <si>
    <t>Grassmoor</t>
  </si>
  <si>
    <t>Holmewood and Heath</t>
  </si>
  <si>
    <t>Killamarsh East</t>
  </si>
  <si>
    <t>Killamarsh West</t>
  </si>
  <si>
    <t>North Wingfield Central</t>
  </si>
  <si>
    <t>Pilsley and Morton</t>
  </si>
  <si>
    <t>Renishaw</t>
  </si>
  <si>
    <t>Ridgeway and Marsh Lane</t>
  </si>
  <si>
    <t>Shirland</t>
  </si>
  <si>
    <t>Tupton</t>
  </si>
  <si>
    <t>Unstone</t>
  </si>
  <si>
    <t>Coventry North West BC</t>
  </si>
  <si>
    <t>Coventry South BC</t>
  </si>
  <si>
    <t>Dudley North BC</t>
  </si>
  <si>
    <t>Dudley (pt)</t>
  </si>
  <si>
    <t>Dudley South BC</t>
  </si>
  <si>
    <t>Halesowen and Rowley Regis BC</t>
  </si>
  <si>
    <t>Langney</t>
  </si>
  <si>
    <t>Meads</t>
  </si>
  <si>
    <t>Old Town</t>
  </si>
  <si>
    <t>Ratton</t>
  </si>
  <si>
    <t>St Anthony's</t>
  </si>
  <si>
    <t>Sovereign</t>
  </si>
  <si>
    <t>Upperton</t>
  </si>
  <si>
    <t>Eastbourne BC (pt)</t>
  </si>
  <si>
    <t>Stairfoot</t>
  </si>
  <si>
    <t>Wombwell</t>
  </si>
  <si>
    <t>Worsbrough</t>
  </si>
  <si>
    <t>Penistone and Stocksbridge CC (pt)</t>
  </si>
  <si>
    <t>Wentworth and Dearne CC (pt)</t>
  </si>
  <si>
    <t>* as created by The Borough of Barnsley (Electoral Changes) Order 2003</t>
  </si>
  <si>
    <t>DONCASTER BOROUGH  *</t>
  </si>
  <si>
    <t>Armthorpe</t>
  </si>
  <si>
    <t>Bentley</t>
  </si>
  <si>
    <t>Finningley</t>
  </si>
  <si>
    <t>Hatfield</t>
  </si>
  <si>
    <t>Mexborough</t>
  </si>
  <si>
    <t>ROTHERHAM BOROUGH  *</t>
  </si>
  <si>
    <t>Anston and Woodsetts</t>
  </si>
  <si>
    <t>Boston Castle</t>
  </si>
  <si>
    <t>Brinsworth and Catcliffe</t>
  </si>
  <si>
    <t>Dinnington</t>
  </si>
  <si>
    <t>Hellaby</t>
  </si>
  <si>
    <t>Hoober</t>
  </si>
  <si>
    <t>Keppel</t>
  </si>
  <si>
    <t>Maltby</t>
  </si>
  <si>
    <t>Rawmarsh</t>
  </si>
  <si>
    <t>Rother Vale</t>
  </si>
  <si>
    <t>Rotherham East</t>
  </si>
  <si>
    <t>Rotherham West</t>
  </si>
  <si>
    <t>Sutton Trinity</t>
  </si>
  <si>
    <t>Sutton Vesey</t>
  </si>
  <si>
    <t xml:space="preserve">Birmingham, Edgbaston BC  </t>
  </si>
  <si>
    <t>Polesworth East</t>
  </si>
  <si>
    <t>Polesworth West</t>
  </si>
  <si>
    <t>Water Orton</t>
  </si>
  <si>
    <t>North Warwickshire CC (pt)</t>
  </si>
  <si>
    <t>* as created by The Borough of North Warwickshire (Electoral Changes) Order 2000</t>
  </si>
  <si>
    <t>NUNEATON AND BEDWORTH BOROUGH  *</t>
  </si>
  <si>
    <t>Attleborough</t>
  </si>
  <si>
    <t>Bar Pool</t>
  </si>
  <si>
    <t>Bede</t>
  </si>
  <si>
    <t>Bulkington</t>
  </si>
  <si>
    <t>Rugby CC</t>
  </si>
  <si>
    <t>Camp Hill</t>
  </si>
  <si>
    <t>Exhall</t>
  </si>
  <si>
    <t>Galley Common</t>
  </si>
  <si>
    <t>Poplar</t>
  </si>
  <si>
    <t>St Nicolas</t>
  </si>
  <si>
    <t>Slough</t>
  </si>
  <si>
    <t>Weddington</t>
  </si>
  <si>
    <t>Wem Brook</t>
  </si>
  <si>
    <t>Whitestone</t>
  </si>
  <si>
    <t>Nuneaton CC (pt)</t>
  </si>
  <si>
    <t>TEIGNBRIDGE DISTRICT</t>
  </si>
  <si>
    <t>TORRIDGE DISTRICT</t>
  </si>
  <si>
    <t>WEST DEVON BOROUGH</t>
  </si>
  <si>
    <t>EAST DEVON DISTRICT</t>
  </si>
  <si>
    <t>CITY OF EXETER</t>
  </si>
  <si>
    <t>MID DEVON DISTRICT</t>
  </si>
  <si>
    <t>NORTH DEVON DISTRICT</t>
  </si>
  <si>
    <t>SOUTH HAMS DISTRICT</t>
  </si>
  <si>
    <t>Singleton South</t>
  </si>
  <si>
    <t>South Willesborough</t>
  </si>
  <si>
    <t>Stanhope</t>
  </si>
  <si>
    <t>Waddington West</t>
  </si>
  <si>
    <t>Sleaford and North Hykeham CC (pt)</t>
  </si>
  <si>
    <t>County Average (Torbay) (1 seat)</t>
  </si>
  <si>
    <t>TORBAY BOROUGH  *</t>
  </si>
  <si>
    <t>Long Ditton</t>
  </si>
  <si>
    <t>Molesey East</t>
  </si>
  <si>
    <t>Thames Ditton</t>
  </si>
  <si>
    <t>* as created by The District of North Kesteven (Electoral Changes) Order 2006</t>
  </si>
  <si>
    <t>Ashford CC (pt)</t>
  </si>
  <si>
    <t>Folkestone and Hythe CC  (pt)</t>
  </si>
  <si>
    <t>* as created by The Borough of Ashford (Electoral Changes) Order 2001</t>
  </si>
  <si>
    <t>CITY OF CANTERBURY  *</t>
  </si>
  <si>
    <t>Blean Forest</t>
  </si>
  <si>
    <t>Gorrell</t>
  </si>
  <si>
    <t>Heron</t>
  </si>
  <si>
    <t>Reculver</t>
  </si>
  <si>
    <t>Seasalter</t>
  </si>
  <si>
    <t>St Marychurch</t>
  </si>
  <si>
    <t>St Mary's-with-Summercombe</t>
  </si>
  <si>
    <t>Shiphay-with-the-Willows</t>
  </si>
  <si>
    <t>Tormohun</t>
  </si>
  <si>
    <t>BOLTON BOROUGH</t>
  </si>
  <si>
    <t>BURY BOROUGH</t>
  </si>
  <si>
    <t>CITY OF MANCHESTER</t>
  </si>
  <si>
    <t>Upper Stoke</t>
  </si>
  <si>
    <t>Wainbody</t>
  </si>
  <si>
    <t>Whoberley</t>
  </si>
  <si>
    <t>Wyken</t>
  </si>
  <si>
    <t>* as created by The City of Coventry (Electoral Changes) Order 2003</t>
  </si>
  <si>
    <t>DUDLEY BOROUGH  *</t>
  </si>
  <si>
    <t>Amblecote</t>
  </si>
  <si>
    <t>Brierley Hill</t>
  </si>
  <si>
    <t>Brockmoor and Pensnett</t>
  </si>
  <si>
    <t>City Centre</t>
  </si>
  <si>
    <t>Crumpsall</t>
  </si>
  <si>
    <t>Didsbury East</t>
  </si>
  <si>
    <t>Didsbury West</t>
  </si>
  <si>
    <t>Fallowfield</t>
  </si>
  <si>
    <t>Gorton North</t>
  </si>
  <si>
    <t>Gorton South</t>
  </si>
  <si>
    <t>Harpurhey</t>
  </si>
  <si>
    <t>Higher Blackley</t>
  </si>
  <si>
    <t>Hulme</t>
  </si>
  <si>
    <t>Levenshulme</t>
  </si>
  <si>
    <t>Longsight</t>
  </si>
  <si>
    <t>Miles Platting and Newton Heath</t>
  </si>
  <si>
    <t>Moston</t>
  </si>
  <si>
    <t>Pedmore and Stourbridge East</t>
  </si>
  <si>
    <t>Quarry Bank and Dudley Wood</t>
  </si>
  <si>
    <t>St Thomas's</t>
  </si>
  <si>
    <t>Netherton, Woodside and St Andrews</t>
  </si>
  <si>
    <t>Norton</t>
  </si>
  <si>
    <t>Bolton North East BC</t>
  </si>
  <si>
    <t>Bolton (pt)</t>
  </si>
  <si>
    <t>Bolton South East BC</t>
  </si>
  <si>
    <t>Bolton West CC</t>
  </si>
  <si>
    <t>Wigan (pt)</t>
  </si>
  <si>
    <t>Bury North BC</t>
  </si>
  <si>
    <t>Bury (pt)</t>
  </si>
  <si>
    <t>Bury South BC</t>
  </si>
  <si>
    <t>Cheadle BC</t>
  </si>
  <si>
    <t>Ashton-under-Lyne BC</t>
  </si>
  <si>
    <t>Oldham (pt)</t>
  </si>
  <si>
    <t>Tameside (pt)</t>
  </si>
  <si>
    <t>Blackley and Broughton BC</t>
  </si>
  <si>
    <t>Manchester (pt)</t>
  </si>
  <si>
    <t>Salford (pt)</t>
  </si>
  <si>
    <t>Newcastle-under-Lyme BC</t>
  </si>
  <si>
    <t>Newcastle-under-Lyme (pt)</t>
  </si>
  <si>
    <t>South Staffordshire CC</t>
  </si>
  <si>
    <t>South Staffordshire (pt)</t>
  </si>
  <si>
    <t>Stafford CC</t>
  </si>
  <si>
    <t>Stafford (pt)</t>
  </si>
  <si>
    <t>Staffordshire Moorlands CC</t>
  </si>
  <si>
    <t>Staffordshire Moorlands (pt)</t>
  </si>
  <si>
    <t>Stoke-on-Trent Central BC</t>
  </si>
  <si>
    <t>Stoke-on-Trent (pt)</t>
  </si>
  <si>
    <t>Stoke-on-Trent North BC</t>
  </si>
  <si>
    <t>Stoke-on-Trent South BC</t>
  </si>
  <si>
    <t>Stone CC</t>
  </si>
  <si>
    <t>Tamworth CC</t>
  </si>
  <si>
    <t>Wensleydale</t>
  </si>
  <si>
    <t>Wooler</t>
  </si>
  <si>
    <t>SHEPWAY DISTRICT  *</t>
  </si>
  <si>
    <t>Smethwick</t>
  </si>
  <si>
    <t>Soho and Victoria</t>
  </si>
  <si>
    <t>Tipton Green</t>
  </si>
  <si>
    <t>Tividale</t>
  </si>
  <si>
    <t>CITY OF LIVERPOOL</t>
  </si>
  <si>
    <t>ST HELENS BOROUGH</t>
  </si>
  <si>
    <t>SEFTON BOROUGH</t>
  </si>
  <si>
    <t>WIRRAL BOROUGH</t>
  </si>
  <si>
    <t>Birkenhead BC</t>
  </si>
  <si>
    <t>Wirral (pt)</t>
  </si>
  <si>
    <t>Bootle BC</t>
  </si>
  <si>
    <t>Sefton (pt)</t>
  </si>
  <si>
    <t>Garston and Halewood BC</t>
  </si>
  <si>
    <t>Knowsley (pt)</t>
  </si>
  <si>
    <t>Liverpool (pt)</t>
  </si>
  <si>
    <t>Penton Bellinger</t>
  </si>
  <si>
    <t>Romsey Extra</t>
  </si>
  <si>
    <t>Blackwater</t>
  </si>
  <si>
    <t>Bourne Valley</t>
  </si>
  <si>
    <t>* as created by The Borough of Sandwell (Electoral Changes) Order 2003</t>
  </si>
  <si>
    <t>SOLIHULL BOROUGH  *</t>
  </si>
  <si>
    <t>Bickenhill</t>
  </si>
  <si>
    <t>Blythe</t>
  </si>
  <si>
    <t>Castle Bromwich</t>
  </si>
  <si>
    <t>Tadburn</t>
  </si>
  <si>
    <t>Valley Park</t>
  </si>
  <si>
    <t>* as created by The Borough of Test Valley (Electoral Changes) Order 2001</t>
  </si>
  <si>
    <t>CITY OF WINCHESTER  *</t>
  </si>
  <si>
    <t>Kerswell-with-Combe</t>
  </si>
  <si>
    <t>Halstead Trinity</t>
  </si>
  <si>
    <t>Rayne</t>
  </si>
  <si>
    <t>Stour Valley North</t>
  </si>
  <si>
    <t>Stour Valley South</t>
  </si>
  <si>
    <t>Three Fields</t>
  </si>
  <si>
    <t>Witham North</t>
  </si>
  <si>
    <t>Witham South</t>
  </si>
  <si>
    <t>Witham West</t>
  </si>
  <si>
    <t>Yeldham</t>
  </si>
  <si>
    <t>Witham CC (pt)</t>
  </si>
  <si>
    <t>BRENTWOOD BOROUGH  *</t>
  </si>
  <si>
    <t>Brentwood North</t>
  </si>
  <si>
    <t>Brentwood South</t>
  </si>
  <si>
    <t>Brentwood West</t>
  </si>
  <si>
    <t>Brizes and Doddinghurst</t>
  </si>
  <si>
    <t>Herongate, Ingrave and West Horndon</t>
  </si>
  <si>
    <t>Marwood</t>
  </si>
  <si>
    <t>Newport</t>
  </si>
  <si>
    <t>North Molton</t>
  </si>
  <si>
    <t>Pilton</t>
  </si>
  <si>
    <t>South Molton</t>
  </si>
  <si>
    <t>Witheridge</t>
  </si>
  <si>
    <t>Yeo Valley</t>
  </si>
  <si>
    <t>* as created by The District of North Devon (Electoral Changes) Order 1999 and</t>
  </si>
  <si>
    <t>SOUTH HAMS DISTRICT  *</t>
  </si>
  <si>
    <t>Tunstall</t>
  </si>
  <si>
    <t>Stoke-on-Trent North BC (pt)</t>
  </si>
  <si>
    <t>Hutton Central</t>
  </si>
  <si>
    <t>Hutton East</t>
  </si>
  <si>
    <t>Hutton North</t>
  </si>
  <si>
    <t>Hutton South</t>
  </si>
  <si>
    <t>Ingatestone, Fryerning and Mountnessing</t>
  </si>
  <si>
    <t>Pilgrims Hatch</t>
  </si>
  <si>
    <t>Shenfield</t>
  </si>
  <si>
    <t>South Weald</t>
  </si>
  <si>
    <t>Tipps Cross</t>
  </si>
  <si>
    <t>Warley</t>
  </si>
  <si>
    <t>Brentwood and Ongar CC (pt)</t>
  </si>
  <si>
    <t>Brownhills</t>
  </si>
  <si>
    <t>Darlaston South</t>
  </si>
  <si>
    <t>Paddock</t>
  </si>
  <si>
    <t>Blundellsands</t>
  </si>
  <si>
    <t>Ford</t>
  </si>
  <si>
    <t>Harington</t>
  </si>
  <si>
    <t>Litherland</t>
  </si>
  <si>
    <t>Bloxwich East</t>
  </si>
  <si>
    <t>Bloxwich West</t>
  </si>
  <si>
    <t>Wallasey</t>
  </si>
  <si>
    <t>West Kirby and Thurstaston</t>
  </si>
  <si>
    <t>MERTON LONDON BOROUGH  *</t>
  </si>
  <si>
    <t>Mitcham and Morden BC</t>
  </si>
  <si>
    <t>Merton (pt)</t>
  </si>
  <si>
    <t>Wimbledon BC</t>
  </si>
  <si>
    <t>Cannon Hill</t>
  </si>
  <si>
    <t>* as created by The Borough of Sefton (Electoral Changes) Order 2003</t>
  </si>
  <si>
    <t>WIRRAL BOROUGH  *</t>
  </si>
  <si>
    <t>Bebington</t>
  </si>
  <si>
    <t>Bidston and St James</t>
  </si>
  <si>
    <t>Birkenhead and Tranmere</t>
  </si>
  <si>
    <t>Bromborough</t>
  </si>
  <si>
    <t>Clatterbridge</t>
  </si>
  <si>
    <t>Claughton</t>
  </si>
  <si>
    <t>Eastham</t>
  </si>
  <si>
    <t>Greasby, Frankby and Irby</t>
  </si>
  <si>
    <t>Heswall</t>
  </si>
  <si>
    <t>Hoylake and Meols</t>
  </si>
  <si>
    <t>Leasowe and Moreton East</t>
  </si>
  <si>
    <t>Liscard</t>
  </si>
  <si>
    <t>Moreton West and Saughall Massie</t>
  </si>
  <si>
    <t>Two Rivers</t>
  </si>
  <si>
    <t>Waldon</t>
  </si>
  <si>
    <t>Westward Ho!</t>
  </si>
  <si>
    <t>Winkleigh</t>
  </si>
  <si>
    <t>Torridge and West Devon CC (pt)</t>
  </si>
  <si>
    <t>* as created by The District of Torridge (Electoral Changes) Order 1999</t>
  </si>
  <si>
    <t>WEST DEVON BOROUGH  *</t>
  </si>
  <si>
    <t>Bere Ferrers</t>
  </si>
  <si>
    <t>Bridestowe</t>
  </si>
  <si>
    <t>Buckland Monachorum</t>
  </si>
  <si>
    <t>Burrator</t>
  </si>
  <si>
    <t>Chagford</t>
  </si>
  <si>
    <t>Drewsteignton</t>
  </si>
  <si>
    <t>Northam</t>
  </si>
  <si>
    <t>Orchard Hill</t>
  </si>
  <si>
    <t>Forest</t>
  </si>
  <si>
    <t>Hartland and Bradworthy</t>
  </si>
  <si>
    <t>Bickerstaffe</t>
  </si>
  <si>
    <t>Birch Green</t>
  </si>
  <si>
    <t>Burscough East</t>
  </si>
  <si>
    <t>Burscough West</t>
  </si>
  <si>
    <t>Derby</t>
  </si>
  <si>
    <t>Digmoor</t>
  </si>
  <si>
    <t>Halsall</t>
  </si>
  <si>
    <t>Hesketh-with-Becconsall</t>
  </si>
  <si>
    <t>Moorside</t>
  </si>
  <si>
    <t>Newburgh</t>
  </si>
  <si>
    <t>North Meols</t>
  </si>
  <si>
    <t>Parbold</t>
  </si>
  <si>
    <t>County Average (Kent) (14 seats)</t>
  </si>
  <si>
    <t>County Average (Medway) (3 seats)</t>
  </si>
  <si>
    <t>County Average (All) (17 seats)</t>
  </si>
  <si>
    <t>Wentworth and Dearne CC</t>
  </si>
  <si>
    <t>BARNSLEY BOROUGH  *</t>
  </si>
  <si>
    <t>Cudworth</t>
  </si>
  <si>
    <t>Darfield</t>
  </si>
  <si>
    <t>Darton East</t>
  </si>
  <si>
    <t>Darton West</t>
  </si>
  <si>
    <t>Dearne North</t>
  </si>
  <si>
    <t>Dearne South</t>
  </si>
  <si>
    <t>Dodworth</t>
  </si>
  <si>
    <t>Hoyland Milton</t>
  </si>
  <si>
    <t>Kingstone</t>
  </si>
  <si>
    <t>Monk Bretton</t>
  </si>
  <si>
    <t>North East</t>
  </si>
  <si>
    <t>Penistone East</t>
  </si>
  <si>
    <t>Weardale</t>
  </si>
  <si>
    <t>West Auckland</t>
  </si>
  <si>
    <t>Wingate</t>
  </si>
  <si>
    <t>Woodhouse Close</t>
  </si>
  <si>
    <t>Berechurch</t>
  </si>
  <si>
    <t>FOREST OF DEAN DISTRICT</t>
  </si>
  <si>
    <t>Loughton St John's</t>
  </si>
  <si>
    <t>Loughton St Mary's</t>
  </si>
  <si>
    <t>Lower Nazeing</t>
  </si>
  <si>
    <t>Icknield</t>
  </si>
  <si>
    <t>Marston</t>
  </si>
  <si>
    <t>Northfields</t>
  </si>
  <si>
    <t>Downland</t>
  </si>
  <si>
    <t>East Meon</t>
  </si>
  <si>
    <t>Marine</t>
  </si>
  <si>
    <t>Mash Barn</t>
  </si>
  <si>
    <t>Peverel</t>
  </si>
  <si>
    <t>Southlands</t>
  </si>
  <si>
    <t>Southwick Green</t>
  </si>
  <si>
    <t>Widewater</t>
  </si>
  <si>
    <t>East Worthing and Shoreham CC (pt)</t>
  </si>
  <si>
    <t>* as created by The District of Adur (Electoral Changes) Order 2002</t>
  </si>
  <si>
    <t>ARUN DISTRICT  *</t>
  </si>
  <si>
    <t>Aldwick East</t>
  </si>
  <si>
    <t>Aldwick West</t>
  </si>
  <si>
    <t>Barnham</t>
  </si>
  <si>
    <t>Beach</t>
  </si>
  <si>
    <t>Bersted</t>
  </si>
  <si>
    <t>Silsoe and Shillington</t>
  </si>
  <si>
    <t>Potton</t>
  </si>
  <si>
    <t>Sandy</t>
  </si>
  <si>
    <t>Shefford</t>
  </si>
  <si>
    <t>Newport Pagnell South</t>
  </si>
  <si>
    <t>Cokeham</t>
  </si>
  <si>
    <t>Southminster</t>
  </si>
  <si>
    <t>Maldon West</t>
  </si>
  <si>
    <t>Mayland</t>
  </si>
  <si>
    <t>Purleigh</t>
  </si>
  <si>
    <t>Thistleberry</t>
  </si>
  <si>
    <t>Westlands</t>
  </si>
  <si>
    <t>Wolstanton</t>
  </si>
  <si>
    <t>Staffordshire Moorlands CC (pt)</t>
  </si>
  <si>
    <t>Stone CC (pt)</t>
  </si>
  <si>
    <t>* as created by The Borough of Spelthorne (Electoral Changes) Order 1999</t>
  </si>
  <si>
    <t>SURREY HEATH BOROUGH  *</t>
  </si>
  <si>
    <t>Bagshot</t>
  </si>
  <si>
    <t>Chobham</t>
  </si>
  <si>
    <t>Frimley</t>
  </si>
  <si>
    <t>Frimley Green</t>
  </si>
  <si>
    <t>Heatherside</t>
  </si>
  <si>
    <t>Lightwater</t>
  </si>
  <si>
    <t>Mytchett and Deepcut</t>
  </si>
  <si>
    <t>Old Dean</t>
  </si>
  <si>
    <t>Watchetts</t>
  </si>
  <si>
    <t>Windlesham</t>
  </si>
  <si>
    <t>* as created by The Borough of Surrey Heath (Electoral Changes) Order 1999</t>
  </si>
  <si>
    <t>TANDRIDGE DISTRICT  *</t>
  </si>
  <si>
    <t>Bletchingley and Nutfield</t>
  </si>
  <si>
    <t>Plumpton, Streat, East Chiltington and St John (Without)</t>
  </si>
  <si>
    <t>Seaford Central</t>
  </si>
  <si>
    <t>Seaford East</t>
  </si>
  <si>
    <t>Seaford North</t>
  </si>
  <si>
    <t>Carterton South</t>
  </si>
  <si>
    <t>Leagrave</t>
  </si>
  <si>
    <t>Lewsey</t>
  </si>
  <si>
    <t>Limbury</t>
  </si>
  <si>
    <t>Northwell</t>
  </si>
  <si>
    <t>Round Green</t>
  </si>
  <si>
    <t>Saints</t>
  </si>
  <si>
    <t>South</t>
  </si>
  <si>
    <t>Stopsley</t>
  </si>
  <si>
    <t>Sundon Park</t>
  </si>
  <si>
    <t>Wigmore</t>
  </si>
  <si>
    <t>St Pauls</t>
  </si>
  <si>
    <t>Thorrington, Frating, Elmstead and Great Bromley</t>
  </si>
  <si>
    <t>* as created by The District of Tendring (Electoral Changes) Order 2001</t>
  </si>
  <si>
    <t>UTTLESFORD DISTRICT  *</t>
  </si>
  <si>
    <t>Ashdon</t>
  </si>
  <si>
    <t>Pettits</t>
  </si>
  <si>
    <t>Rainham and Wennington</t>
  </si>
  <si>
    <t>Romford Town</t>
  </si>
  <si>
    <t>St Andrew's</t>
  </si>
  <si>
    <t>South Hornchurch</t>
  </si>
  <si>
    <t>Squirrel's Heath</t>
  </si>
  <si>
    <t>Upminster</t>
  </si>
  <si>
    <t>* as created by The London Borough of Havering (Electoral Changes) Order 2000</t>
  </si>
  <si>
    <t># paired with the London Borough of Barking and Dagenham</t>
  </si>
  <si>
    <t>BRACKNELL FOREST BOROUGH  *</t>
  </si>
  <si>
    <t>READING BOROUGH  *</t>
  </si>
  <si>
    <t>Wheatley</t>
  </si>
  <si>
    <t>Whitehouse</t>
  </si>
  <si>
    <t>Saffron Walden Shire</t>
  </si>
  <si>
    <t>Hylands</t>
  </si>
  <si>
    <t>Mawneys</t>
  </si>
  <si>
    <t>Pennsylvania</t>
  </si>
  <si>
    <t>Pinhoe</t>
  </si>
  <si>
    <t>Priory</t>
  </si>
  <si>
    <t>St David's</t>
  </si>
  <si>
    <t>St James</t>
  </si>
  <si>
    <t>St Loyes</t>
  </si>
  <si>
    <t>St Thomas</t>
  </si>
  <si>
    <t>Topsham</t>
  </si>
  <si>
    <t>MID DEVON DISTRICT  *</t>
  </si>
  <si>
    <t>Boniface</t>
  </si>
  <si>
    <t>Bradninch</t>
  </si>
  <si>
    <t>Cadbury</t>
  </si>
  <si>
    <t>Canonsleigh</t>
  </si>
  <si>
    <t>Clare and Shuttern</t>
  </si>
  <si>
    <t>TENDRING DISTRICT  *</t>
  </si>
  <si>
    <t>Alresford</t>
  </si>
  <si>
    <t>Alton Park</t>
  </si>
  <si>
    <t>Ardleigh and Little Bromley</t>
  </si>
  <si>
    <t>Compton</t>
  </si>
  <si>
    <t>Downlands</t>
  </si>
  <si>
    <t>Falkland</t>
  </si>
  <si>
    <t>Greenham</t>
  </si>
  <si>
    <t>Trafalgar</t>
  </si>
  <si>
    <t>Hartsholme</t>
  </si>
  <si>
    <t>Lincoln BC (pt)</t>
  </si>
  <si>
    <t>Tilehurst</t>
  </si>
  <si>
    <t>Whitley</t>
  </si>
  <si>
    <t>Reading East BC (pt)</t>
  </si>
  <si>
    <t>Reading West CC (pt)</t>
  </si>
  <si>
    <t>* as created by The Borough of Reading (Electoral Changes) Order 2002</t>
  </si>
  <si>
    <t>Baylis and Stoke</t>
  </si>
  <si>
    <t>Werrington</t>
  </si>
  <si>
    <t>* as created by The District of Staffordshire Moorlands (Electoral Changes) Order 2001</t>
  </si>
  <si>
    <t>TAMWORTH BOROUGH  *</t>
  </si>
  <si>
    <t>Amington</t>
  </si>
  <si>
    <t>Bolehall</t>
  </si>
  <si>
    <t>Glascote</t>
  </si>
  <si>
    <t>Mercian</t>
  </si>
  <si>
    <t>Spital</t>
  </si>
  <si>
    <t>Stonydelph</t>
  </si>
  <si>
    <t>Wilnecote</t>
  </si>
  <si>
    <t>* as created by The Borough of Tamworth (Electoral Changes) Order 2001</t>
  </si>
  <si>
    <t>STOCKTON-ON-TEES BOROUGH  *</t>
  </si>
  <si>
    <t>Stockton North BC</t>
  </si>
  <si>
    <t>Stockton-on-Tees (pt)</t>
  </si>
  <si>
    <t>Birchwood</t>
  </si>
  <si>
    <t>Boultham</t>
  </si>
  <si>
    <t>Carholme</t>
  </si>
  <si>
    <t>Glebe</t>
  </si>
  <si>
    <t>Tetney</t>
  </si>
  <si>
    <t>Willoughby with Sloothby</t>
  </si>
  <si>
    <t>Winthorpe</t>
  </si>
  <si>
    <t>Woodhall Spa</t>
  </si>
  <si>
    <t>Wragby</t>
  </si>
  <si>
    <t>Gainsborough CC (pt)</t>
  </si>
  <si>
    <t>Dane</t>
  </si>
  <si>
    <t>Forsbrook</t>
  </si>
  <si>
    <t>Hamps Valley</t>
  </si>
  <si>
    <t>Horton</t>
  </si>
  <si>
    <t>Ipstones</t>
  </si>
  <si>
    <t>Leek East</t>
  </si>
  <si>
    <t>Leek North</t>
  </si>
  <si>
    <t>Leek South</t>
  </si>
  <si>
    <t>Leek West</t>
  </si>
  <si>
    <t>Manifold</t>
  </si>
  <si>
    <t>Chadsmead</t>
  </si>
  <si>
    <t>Chase Terrace</t>
  </si>
  <si>
    <t>Chasetown</t>
  </si>
  <si>
    <t>Curborough</t>
  </si>
  <si>
    <t>Fazeley</t>
  </si>
  <si>
    <t>Leomansley</t>
  </si>
  <si>
    <t>Longdon</t>
  </si>
  <si>
    <t>Shenstone</t>
  </si>
  <si>
    <t>Stowe</t>
  </si>
  <si>
    <t>Sleaford Westholme</t>
  </si>
  <si>
    <t>Lydney North</t>
  </si>
  <si>
    <t>Mitcheldean and Drybrook</t>
  </si>
  <si>
    <t>Newent Central</t>
  </si>
  <si>
    <t>Newland and St Briavels</t>
  </si>
  <si>
    <t>Newnham and Westbury</t>
  </si>
  <si>
    <t>Oxenhall and Newent North East</t>
  </si>
  <si>
    <t>Pillowell</t>
  </si>
  <si>
    <t>Redmarley</t>
  </si>
  <si>
    <t>Tibberton</t>
  </si>
  <si>
    <t>Bisley</t>
  </si>
  <si>
    <t>County Average (Hull) (3 seats)</t>
  </si>
  <si>
    <t>County Average (North East Lincolnshire) (2 seats)</t>
  </si>
  <si>
    <t>County Average (North Lincolnshire) (2 seats)</t>
  </si>
  <si>
    <t>County Average (All) (10 seats)</t>
  </si>
  <si>
    <t>Beverley and Holderness CC</t>
  </si>
  <si>
    <t>East Riding of Yorkshire (pt)</t>
  </si>
  <si>
    <t>Brigg and Goole CC</t>
  </si>
  <si>
    <t>North Lincolnshire (pt)</t>
  </si>
  <si>
    <t>Cleethorpes CC</t>
  </si>
  <si>
    <t>North East Lincolnshire (pt)</t>
  </si>
  <si>
    <t>East Yorkshire CC</t>
  </si>
  <si>
    <t>Great Grimsby BC</t>
  </si>
  <si>
    <t>Haltemprice and Howden CC</t>
  </si>
  <si>
    <t>Kingston upon Hull East BC</t>
  </si>
  <si>
    <t>Kingston upon Hull (pt)</t>
  </si>
  <si>
    <t>Kingston upon Hull North BC</t>
  </si>
  <si>
    <t>Kingston upon Hull West and Hessle BC</t>
  </si>
  <si>
    <t>Winchcombe</t>
  </si>
  <si>
    <t>Hurstpierpoint and Downs</t>
  </si>
  <si>
    <t>Lindfield</t>
  </si>
  <si>
    <t>Brewood and Coven</t>
  </si>
  <si>
    <t>Cheslyn Hay North and Saredon</t>
  </si>
  <si>
    <t>Cheslyn Hay South</t>
  </si>
  <si>
    <t>Codsall North</t>
  </si>
  <si>
    <t>TEWKESBURY BOROUGH  *</t>
  </si>
  <si>
    <t>EAST RIDING OF YORKSHIRE DISTRICT  *</t>
  </si>
  <si>
    <t>CITY OF KINGSTON UPON HULL *</t>
  </si>
  <si>
    <t>NORTH EAST LINCOLNSHIRE BOROUGH  *</t>
  </si>
  <si>
    <t>NORTH LINCOLNSHIRE BOROUGH  *</t>
  </si>
  <si>
    <t>County Average (East Riding of Yorkshire) (4 seats)</t>
  </si>
  <si>
    <t>ROCHFORD DISTRICT</t>
  </si>
  <si>
    <t>TENDRING DISTRICT</t>
  </si>
  <si>
    <t>UTTLESFORD DISTRICT</t>
  </si>
  <si>
    <t>County Average (Essex) (14 seats)</t>
  </si>
  <si>
    <t>County Average (Southend-on-Sea) (2 seats)</t>
  </si>
  <si>
    <t>County Average (Thurrock) (2 seats)</t>
  </si>
  <si>
    <t>County Average (Thurrock) (1 seat)</t>
  </si>
  <si>
    <t>BRECKLAND DISTRICT</t>
  </si>
  <si>
    <t>BROADLAND DISTRICT</t>
  </si>
  <si>
    <t>GREAT YARMOUTH BOROUGH</t>
  </si>
  <si>
    <t>Haywards Heath Franklands</t>
  </si>
  <si>
    <t>Haywards Heath Heath</t>
  </si>
  <si>
    <t>Haywards Heath Lucastes</t>
  </si>
  <si>
    <t>High Weald</t>
  </si>
  <si>
    <t>South Basildon and East Thurrock CC</t>
  </si>
  <si>
    <t>Thurrock (pt)</t>
  </si>
  <si>
    <t>Southend West BC</t>
  </si>
  <si>
    <t>Thurrock BC</t>
  </si>
  <si>
    <t>Witham CC</t>
  </si>
  <si>
    <t>Belfairs</t>
  </si>
  <si>
    <t>Blenheim Park</t>
  </si>
  <si>
    <t>Chalkwell</t>
  </si>
  <si>
    <t>Eastwood Park</t>
  </si>
  <si>
    <t>Kursaal</t>
  </si>
  <si>
    <t>Holbrook</t>
  </si>
  <si>
    <t>Lavenham</t>
  </si>
  <si>
    <t>Leavenheath</t>
  </si>
  <si>
    <t>Long Melford</t>
  </si>
  <si>
    <t>Lower Brett</t>
  </si>
  <si>
    <t>Mid Samford</t>
  </si>
  <si>
    <t>Nayland</t>
  </si>
  <si>
    <t>North Cosford</t>
  </si>
  <si>
    <t>Pinewood</t>
  </si>
  <si>
    <t>South Cosford</t>
  </si>
  <si>
    <t>Sudbury East</t>
  </si>
  <si>
    <t>Sudbury North</t>
  </si>
  <si>
    <t>Sudbury South</t>
  </si>
  <si>
    <t>Waldingfield</t>
  </si>
  <si>
    <t>South Suffolk CC (pt)</t>
  </si>
  <si>
    <t>* as created by The District of Babergh (Electoral Changes) Order 2001</t>
  </si>
  <si>
    <t xml:space="preserve">  and The District of Babergh (Electoral Changes) (Amendment) Order 2002</t>
  </si>
  <si>
    <t>FOREST HEATH DISTRICT  *</t>
  </si>
  <si>
    <t>Brandon East</t>
  </si>
  <si>
    <t>Brandon West</t>
  </si>
  <si>
    <t>Bridlington North</t>
  </si>
  <si>
    <t>Bridlington South</t>
  </si>
  <si>
    <t>Cottingham North</t>
  </si>
  <si>
    <t>Cottingham South</t>
  </si>
  <si>
    <t>Hermitage</t>
  </si>
  <si>
    <t>Launditch</t>
  </si>
  <si>
    <t>Nar Valley</t>
  </si>
  <si>
    <t>Necton</t>
  </si>
  <si>
    <t>Cheadle North East</t>
  </si>
  <si>
    <t>Cheadle South East</t>
  </si>
  <si>
    <t>Cheadle West</t>
  </si>
  <si>
    <t>Checkley</t>
  </si>
  <si>
    <t>Cheddleton</t>
  </si>
  <si>
    <t>Billingham East</t>
  </si>
  <si>
    <t>Billingham North</t>
  </si>
  <si>
    <t>Billingham South</t>
  </si>
  <si>
    <t>Billingham West</t>
  </si>
  <si>
    <t>Ermin</t>
  </si>
  <si>
    <t>Dale</t>
  </si>
  <si>
    <t>CHESHIRE WEST AND CHESTER BOROUGH  #</t>
  </si>
  <si>
    <t>Hucclecote</t>
  </si>
  <si>
    <t>Longlevens</t>
  </si>
  <si>
    <t>Moreland</t>
  </si>
  <si>
    <t>Podsmead</t>
  </si>
  <si>
    <t>Quedgeley Fieldcourt</t>
  </si>
  <si>
    <t>Quedgeley Severn Vale</t>
  </si>
  <si>
    <t>Tuffley</t>
  </si>
  <si>
    <t>Westgate</t>
  </si>
  <si>
    <t>Rotherfield</t>
  </si>
  <si>
    <t>Uckfield Central</t>
  </si>
  <si>
    <t>Uckfield New Town</t>
  </si>
  <si>
    <t>Uckfield North</t>
  </si>
  <si>
    <t>Uckfield Ridgewood</t>
  </si>
  <si>
    <t>Wadhurst</t>
  </si>
  <si>
    <t>Willingdon</t>
  </si>
  <si>
    <t>Bishopsgarth and Elm Tree</t>
  </si>
  <si>
    <t>Eaglescliffe</t>
  </si>
  <si>
    <t>St Barnabas</t>
  </si>
  <si>
    <t>ST EDMUNDSBURY BOROUGH</t>
  </si>
  <si>
    <t>SUFFOLK COASTAL DISTRICT</t>
  </si>
  <si>
    <t>WAVENEY DISTRICT</t>
  </si>
  <si>
    <t>Bury St Edmunds CC</t>
  </si>
  <si>
    <t>Mid Suffolk (pt)</t>
  </si>
  <si>
    <t>St Edmundsbury (pt)</t>
  </si>
  <si>
    <t>Central Suffolk and North Ipswich CC</t>
  </si>
  <si>
    <t>Bishop's Stortford All Saints</t>
  </si>
  <si>
    <t>Bishop's Stortford Central</t>
  </si>
  <si>
    <t>Bishop's Stortford Meads</t>
  </si>
  <si>
    <t>Bishop's Stortford Silverleys</t>
  </si>
  <si>
    <t>Bishop's Stortford South</t>
  </si>
  <si>
    <t>Braughing</t>
  </si>
  <si>
    <t>Buntingford</t>
  </si>
  <si>
    <t>Datchworth &amp; Aston</t>
  </si>
  <si>
    <t>Great Amwell</t>
  </si>
  <si>
    <t>Hertford Bengeo</t>
  </si>
  <si>
    <t>Hertford Castle</t>
  </si>
  <si>
    <t>Wharfedale</t>
  </si>
  <si>
    <t>Wibsey</t>
  </si>
  <si>
    <t>Windhill and Wrose</t>
  </si>
  <si>
    <t>Worth Valley</t>
  </si>
  <si>
    <t>* as created by The City of Bradford (Electoral Changes) Order 2004 and</t>
  </si>
  <si>
    <t>Littleport East</t>
  </si>
  <si>
    <t>Littleport West</t>
  </si>
  <si>
    <t>Soham North</t>
  </si>
  <si>
    <t>Soham South</t>
  </si>
  <si>
    <t>Stretham</t>
  </si>
  <si>
    <t>The Swaffhams</t>
  </si>
  <si>
    <t>North East Cambridgeshire CC (pt)</t>
  </si>
  <si>
    <t>South East Cambridgeshire CC (pt)</t>
  </si>
  <si>
    <t>Hertford Heath</t>
  </si>
  <si>
    <t>Hertford Kingsmead</t>
  </si>
  <si>
    <t>Hertford Rural North</t>
  </si>
  <si>
    <t>Hertford Rural South</t>
  </si>
  <si>
    <t>Hertford Sele</t>
  </si>
  <si>
    <t>Hunsdon</t>
  </si>
  <si>
    <t>Little Hadham</t>
  </si>
  <si>
    <t>Mundens and Cottered</t>
  </si>
  <si>
    <t>Much Hadham</t>
  </si>
  <si>
    <t>Puckeridge</t>
  </si>
  <si>
    <t>Sawbridgeworth</t>
  </si>
  <si>
    <t>Stanstead Abbots</t>
  </si>
  <si>
    <t>Thundridge &amp; Standon</t>
  </si>
  <si>
    <t>Walkern</t>
  </si>
  <si>
    <t>Ware Chadwell</t>
  </si>
  <si>
    <t>Ware Christchurch</t>
  </si>
  <si>
    <t>Ware St Mary's</t>
  </si>
  <si>
    <t>Ware Trinity</t>
  </si>
  <si>
    <t>Watton-at-Stone</t>
  </si>
  <si>
    <t>Ely East</t>
  </si>
  <si>
    <t>Ely North</t>
  </si>
  <si>
    <t>Ely South</t>
  </si>
  <si>
    <t>Ely West</t>
  </si>
  <si>
    <t>Fordham Villages</t>
  </si>
  <si>
    <t>Haddenham</t>
  </si>
  <si>
    <t>Isleham</t>
  </si>
  <si>
    <t>Harborough (pt)</t>
  </si>
  <si>
    <t>Loughborough CC</t>
  </si>
  <si>
    <t>North West Leicestershire CC</t>
  </si>
  <si>
    <t>Rutland and Melton CC</t>
  </si>
  <si>
    <t>Rutland</t>
  </si>
  <si>
    <t>South Leicestershire CC</t>
  </si>
  <si>
    <t>* as created by The Leicestershire (City of Leicester and District of Rutland) (Structural Change) Order 1996</t>
  </si>
  <si>
    <t>Braunston and Belton</t>
  </si>
  <si>
    <t>Cottesmore</t>
  </si>
  <si>
    <t>Exton</t>
  </si>
  <si>
    <t>Greetham</t>
  </si>
  <si>
    <t>Ketton</t>
  </si>
  <si>
    <t>Langham</t>
  </si>
  <si>
    <t>Lyddington</t>
  </si>
  <si>
    <t>Martinsthorpe</t>
  </si>
  <si>
    <t>Oakham North East</t>
  </si>
  <si>
    <t>Oakham North West</t>
  </si>
  <si>
    <t>Oakham South East</t>
  </si>
  <si>
    <t>Oakham South West</t>
  </si>
  <si>
    <t>Cadwell</t>
  </si>
  <si>
    <t>Chesfield</t>
  </si>
  <si>
    <t>Codicote</t>
  </si>
  <si>
    <t>Ermine</t>
  </si>
  <si>
    <t>Hitchin Bearton</t>
  </si>
  <si>
    <t>Huntingdon North</t>
  </si>
  <si>
    <t>Ramsey</t>
  </si>
  <si>
    <t>St Ives East</t>
  </si>
  <si>
    <t>St Ives South</t>
  </si>
  <si>
    <t>St Ives West</t>
  </si>
  <si>
    <t>St Neots Eynesbury</t>
  </si>
  <si>
    <t>Sawtry</t>
  </si>
  <si>
    <t>Somersham</t>
  </si>
  <si>
    <t>Town</t>
  </si>
  <si>
    <t>Wicklewood</t>
  </si>
  <si>
    <t>* as created by The District of South Norfolk (Electoral Changes) Order 2002 and</t>
  </si>
  <si>
    <t xml:space="preserve">   as altered by The South Norfolk (Parish Electoral Arrangements and Electoral Changes) Order 2007</t>
  </si>
  <si>
    <t>Old Costessey</t>
  </si>
  <si>
    <t>Poringland with the Framinghams</t>
  </si>
  <si>
    <t>Rockland</t>
  </si>
  <si>
    <t>Roydon</t>
  </si>
  <si>
    <t>Beeston and Holbeck</t>
  </si>
  <si>
    <t>Misterton</t>
  </si>
  <si>
    <t>Nevill</t>
  </si>
  <si>
    <t>Peatling</t>
  </si>
  <si>
    <t>Thurnby and Houghton</t>
  </si>
  <si>
    <t>Tilton</t>
  </si>
  <si>
    <t>Ullesthorpe</t>
  </si>
  <si>
    <t>Harborough CC (pt)</t>
  </si>
  <si>
    <t>Corby CC (pt)</t>
  </si>
  <si>
    <t>Stratton</t>
  </si>
  <si>
    <t>Tasburgh</t>
  </si>
  <si>
    <t>Thurlton</t>
  </si>
  <si>
    <t>Earsham</t>
  </si>
  <si>
    <t>Forncett</t>
  </si>
  <si>
    <t>Market Harborough-Little Bowden</t>
  </si>
  <si>
    <t>Market Harborough-Logan</t>
  </si>
  <si>
    <t>Market Harborough-Welland</t>
  </si>
  <si>
    <t>Cromer Town</t>
  </si>
  <si>
    <t>Erpingham</t>
  </si>
  <si>
    <t>Glaven Valley</t>
  </si>
  <si>
    <t>Gaunt</t>
  </si>
  <si>
    <t>Happisburgh</t>
  </si>
  <si>
    <t>High Heath</t>
  </si>
  <si>
    <t>Holt</t>
  </si>
  <si>
    <t>Hoveton</t>
  </si>
  <si>
    <t>Lancaster North</t>
  </si>
  <si>
    <t>Lancaster South</t>
  </si>
  <si>
    <t>Mundesley</t>
  </si>
  <si>
    <t>Newton Flotman</t>
  </si>
  <si>
    <t>Scottow</t>
  </si>
  <si>
    <t>St Benet</t>
  </si>
  <si>
    <t>Sheringham North</t>
  </si>
  <si>
    <t>Sheringham South</t>
  </si>
  <si>
    <t>Stalham and Sutton</t>
  </si>
  <si>
    <t>Suffield Park</t>
  </si>
  <si>
    <t>The Raynhams</t>
  </si>
  <si>
    <t>The Runtons</t>
  </si>
  <si>
    <t>Walsingham</t>
  </si>
  <si>
    <t>Waterside</t>
  </si>
  <si>
    <t>Waxham</t>
  </si>
  <si>
    <t>Wensum</t>
  </si>
  <si>
    <t>Worstead</t>
  </si>
  <si>
    <t>CITY OF NORWICH  *</t>
  </si>
  <si>
    <t>Bowthorpe</t>
  </si>
  <si>
    <t>Catton Grove</t>
  </si>
  <si>
    <t>Crome</t>
  </si>
  <si>
    <t>Eaton</t>
  </si>
  <si>
    <t>Lakenham</t>
  </si>
  <si>
    <t>Mancroft</t>
  </si>
  <si>
    <t>Mile Cross</t>
  </si>
  <si>
    <t>Sewell</t>
  </si>
  <si>
    <t>Thorpe Hamlet</t>
  </si>
  <si>
    <t>Town Close</t>
  </si>
  <si>
    <t>Garforth and Swillington</t>
  </si>
  <si>
    <t>Gipton and Harehills</t>
  </si>
  <si>
    <t>Guiseley and Rawdon</t>
  </si>
  <si>
    <t>Headingley</t>
  </si>
  <si>
    <t>Horsforth</t>
  </si>
  <si>
    <t>Hyde Park and Woodhouse</t>
  </si>
  <si>
    <t>Killingbeck and Seacroft</t>
  </si>
  <si>
    <t>Hatfield Central</t>
  </si>
  <si>
    <t>Hatfield East</t>
  </si>
  <si>
    <t>CITY OF WAKEFIELD  *</t>
  </si>
  <si>
    <t>Ackworth, North Elmsall and Upton</t>
  </si>
  <si>
    <t>Airedale and Ferry Fryston</t>
  </si>
  <si>
    <t>Altofts and Whitwood</t>
  </si>
  <si>
    <t>Castleford Central and Glasshoughton</t>
  </si>
  <si>
    <t>Crofton, Ryhill and Walton</t>
  </si>
  <si>
    <t>Featherstone</t>
  </si>
  <si>
    <t>Hemsworth</t>
  </si>
  <si>
    <t>Horbury and South Ossett</t>
  </si>
  <si>
    <t>Knottingley</t>
  </si>
  <si>
    <t>Ossett</t>
  </si>
  <si>
    <t>Pontefract North</t>
  </si>
  <si>
    <t>Pontefract South</t>
  </si>
  <si>
    <t>South Elmsall and South Kirkby</t>
  </si>
  <si>
    <t>Stanley and Outwood East</t>
  </si>
  <si>
    <t>Wakefield East</t>
  </si>
  <si>
    <t>Wakefield North</t>
  </si>
  <si>
    <t>Wakefield Rural</t>
  </si>
  <si>
    <t>Wakefield South</t>
  </si>
  <si>
    <t>Wakefield West</t>
  </si>
  <si>
    <t>Mottingham and Chislehurst North</t>
  </si>
  <si>
    <t>Orpington</t>
  </si>
  <si>
    <t>Penge and Cator</t>
  </si>
  <si>
    <t>Petts Wood and Knoll</t>
  </si>
  <si>
    <t>Felixstowe West</t>
  </si>
  <si>
    <t>Framlingham</t>
  </si>
  <si>
    <t>Grundisburgh</t>
  </si>
  <si>
    <t>Hacheston</t>
  </si>
  <si>
    <t>Swiss Cottage</t>
  </si>
  <si>
    <t>West Hampstead</t>
  </si>
  <si>
    <t>* as created by The London Borough of Camden (Electoral Changes) Order 2000</t>
  </si>
  <si>
    <t># paired with the London Borough of Brent</t>
  </si>
  <si>
    <t>BROMLEY LONDON BOROUGH  * #</t>
  </si>
  <si>
    <t>Beckenham BC</t>
  </si>
  <si>
    <t>Bromley (pt)</t>
  </si>
  <si>
    <t>Bromley and Chislehurst BC</t>
  </si>
  <si>
    <t>Orpington BC</t>
  </si>
  <si>
    <t>Lewisham, Deptford BC</t>
  </si>
  <si>
    <t>Lewisham (pt)</t>
  </si>
  <si>
    <t>Lewisham East BC</t>
  </si>
  <si>
    <t>Lewisham West and Penge BC</t>
  </si>
  <si>
    <t>Bickley</t>
  </si>
  <si>
    <t>Biggin Hill</t>
  </si>
  <si>
    <t>Bromley Common and Keston</t>
  </si>
  <si>
    <t>Bromley Town</t>
  </si>
  <si>
    <t>Chelsfield and Pratts Bottom</t>
  </si>
  <si>
    <t>Chislehurst</t>
  </si>
  <si>
    <t>Clock House</t>
  </si>
  <si>
    <t>Copers Cope</t>
  </si>
  <si>
    <t>Suffolk Coastal CC (pt)</t>
  </si>
  <si>
    <t>WAVENEY DISTRICT  *</t>
  </si>
  <si>
    <t>Beccles North</t>
  </si>
  <si>
    <t>* as created by The Borough of Melton (Electoral Changes) Order 2002</t>
  </si>
  <si>
    <t>NORTH WEST LEICESTERSHIRE DISTRICT  *</t>
  </si>
  <si>
    <t>Appleby</t>
  </si>
  <si>
    <t>Ashby Castle</t>
  </si>
  <si>
    <t>Ashby Holywell</t>
  </si>
  <si>
    <t>Ashby Ivanhoe</t>
  </si>
  <si>
    <t>MENDIP DISTRICT</t>
  </si>
  <si>
    <t>SEDGEMOOR DISTRICT</t>
  </si>
  <si>
    <t>Bristol South BC</t>
  </si>
  <si>
    <t>Bristol West BC</t>
  </si>
  <si>
    <t>South Northamptonshire CC (pt)</t>
  </si>
  <si>
    <t>SOUTH NORTHAMPTONSHIRE DISTRICT  *</t>
  </si>
  <si>
    <t>Astwell</t>
  </si>
  <si>
    <t>Blakesley and Cote</t>
  </si>
  <si>
    <t>Blisworth and Roade</t>
  </si>
  <si>
    <t>Brackley East</t>
  </si>
  <si>
    <t>Brackley South</t>
  </si>
  <si>
    <t>Brackley West</t>
  </si>
  <si>
    <t>Brafield and Yardley</t>
  </si>
  <si>
    <t>Cosgrove and Grafton</t>
  </si>
  <si>
    <t>Danvers and Wardoun</t>
  </si>
  <si>
    <t>Deanshanger</t>
  </si>
  <si>
    <t>Grange Park</t>
  </si>
  <si>
    <t>Hackleton</t>
  </si>
  <si>
    <t>Harpole and Grange</t>
  </si>
  <si>
    <t>Heyfords and Bugbrooke</t>
  </si>
  <si>
    <t>Kings Sutton</t>
  </si>
  <si>
    <t>Kingthorn</t>
  </si>
  <si>
    <t>Little Brook</t>
  </si>
  <si>
    <t>Middleton Cheney</t>
  </si>
  <si>
    <t>Old Stratford</t>
  </si>
  <si>
    <t>Salcey</t>
  </si>
  <si>
    <t>Silverstone</t>
  </si>
  <si>
    <t>Steane</t>
  </si>
  <si>
    <t>Tove</t>
  </si>
  <si>
    <t>Towcester Brook</t>
  </si>
  <si>
    <t>Towcester Mill</t>
  </si>
  <si>
    <t>Washington</t>
  </si>
  <si>
    <t>Whittlewood</t>
  </si>
  <si>
    <t>* as created by The District of South Northamptonshire (Electoral Changes) Order 2006 and</t>
  </si>
  <si>
    <t xml:space="preserve">   The District of South Northamptonshire (Electoral Changes) (Amendment) Order 2007</t>
  </si>
  <si>
    <t>Marlbrook</t>
  </si>
  <si>
    <t>Sidemoor</t>
  </si>
  <si>
    <t>Slideslow</t>
  </si>
  <si>
    <t>Avondale Grange</t>
  </si>
  <si>
    <t>Brambleside</t>
  </si>
  <si>
    <t>Burton Latimer</t>
  </si>
  <si>
    <t>Beccles South</t>
  </si>
  <si>
    <t>Blything</t>
  </si>
  <si>
    <t>Wedmore and Mark</t>
  </si>
  <si>
    <t>Bridgwater and West Somerset CC (pt)</t>
  </si>
  <si>
    <t>* as created by The District of Sedgemoor (Electoral Changes) Order 1998</t>
  </si>
  <si>
    <t>SOUTH SOMERSET DISTRICT  *</t>
  </si>
  <si>
    <t>Blackdown</t>
  </si>
  <si>
    <t>Blackmoor Vale</t>
  </si>
  <si>
    <t>Bruton</t>
  </si>
  <si>
    <t>Brympton</t>
  </si>
  <si>
    <t>Burrow Hill</t>
  </si>
  <si>
    <t>Camelot</t>
  </si>
  <si>
    <t>Cary</t>
  </si>
  <si>
    <t>Chard Avishayes</t>
  </si>
  <si>
    <t>Chard Combe</t>
  </si>
  <si>
    <t>Chard Crimchard</t>
  </si>
  <si>
    <t>Chard Holyrood</t>
  </si>
  <si>
    <t>Chard Jocelyn</t>
  </si>
  <si>
    <t>Coker</t>
  </si>
  <si>
    <t>Crewkerne</t>
  </si>
  <si>
    <t>Curry Rivel</t>
  </si>
  <si>
    <t>Eggwood</t>
  </si>
  <si>
    <t>Hamdon</t>
  </si>
  <si>
    <t>Ilminster</t>
  </si>
  <si>
    <t>Islemoor</t>
  </si>
  <si>
    <t>Ivelchester</t>
  </si>
  <si>
    <t>Langport and Huish</t>
  </si>
  <si>
    <t>Martock</t>
  </si>
  <si>
    <t>Milborne Port</t>
  </si>
  <si>
    <t>Neroche</t>
  </si>
  <si>
    <t>Northstone</t>
  </si>
  <si>
    <t>Parrett</t>
  </si>
  <si>
    <t>SOUTH CAMBRIDGESHIRE DISTRICT</t>
  </si>
  <si>
    <t>Worcester Park</t>
  </si>
  <si>
    <t>South Petherton</t>
  </si>
  <si>
    <t>Tatworth and Forton</t>
  </si>
  <si>
    <t>Turn Hill</t>
  </si>
  <si>
    <t>Wessex</t>
  </si>
  <si>
    <t>Wincanton</t>
  </si>
  <si>
    <t>Windwhistle</t>
  </si>
  <si>
    <t>Yeovil Central</t>
  </si>
  <si>
    <t>Westminster North BC</t>
  </si>
  <si>
    <t>Church Hill</t>
  </si>
  <si>
    <t>Crabbs Cross</t>
  </si>
  <si>
    <t>Headless Cross and Oakenshaw</t>
  </si>
  <si>
    <t>Matchborough</t>
  </si>
  <si>
    <t>Winyates</t>
  </si>
  <si>
    <t>Redditch CC (pt)</t>
  </si>
  <si>
    <t xml:space="preserve">*as created by The Borough of Redditch (Electoral Changes) Order 2002 </t>
  </si>
  <si>
    <t>CITY OF WORCESTER  *</t>
  </si>
  <si>
    <t>Battenhall</t>
  </si>
  <si>
    <t>* as created by The North Yorkshire (District of York) (Structural and Boundary Changes) Order 1995</t>
  </si>
  <si>
    <t>CRAVEN DISTRICT  *</t>
  </si>
  <si>
    <t>Aire Valley with Lothersdale</t>
  </si>
  <si>
    <t>Barden Fell</t>
  </si>
  <si>
    <t>Bentham</t>
  </si>
  <si>
    <t>Cowling</t>
  </si>
  <si>
    <t>Embsay-with-Eastby</t>
  </si>
  <si>
    <t>Gargrave and Malhamdale</t>
  </si>
  <si>
    <t>Glusburn</t>
  </si>
  <si>
    <t>Grassington</t>
  </si>
  <si>
    <t xml:space="preserve">Hellifield and Long Preston </t>
  </si>
  <si>
    <t>Ingleton and Clapham</t>
  </si>
  <si>
    <t>SHROPSHIRE  *</t>
  </si>
  <si>
    <t>TELFORD AND WREKIN  #</t>
  </si>
  <si>
    <t>Bryher</t>
  </si>
  <si>
    <t>St.Agnes</t>
  </si>
  <si>
    <t>St.Martin's</t>
  </si>
  <si>
    <t>St.Mary's</t>
  </si>
  <si>
    <t>Tresco</t>
  </si>
  <si>
    <t>St Ives CC (pt)</t>
  </si>
  <si>
    <t>Cornwall (pt)</t>
  </si>
  <si>
    <t>CORNWALL  *</t>
  </si>
  <si>
    <t>Taunton Fairwater</t>
  </si>
  <si>
    <t>Taunton Halcon</t>
  </si>
  <si>
    <t>Taunton Killams and Mountfield</t>
  </si>
  <si>
    <t>Taunton Lyngford</t>
  </si>
  <si>
    <t>Taunton Manor and Wilton</t>
  </si>
  <si>
    <t>Cowden and Hever</t>
  </si>
  <si>
    <t>Crockenhill and Well Hill</t>
  </si>
  <si>
    <t>Dunton Green and Riverhead</t>
  </si>
  <si>
    <t>Edenbridge North and East</t>
  </si>
  <si>
    <t>Edenbridge South and West</t>
  </si>
  <si>
    <t>SOUTH RIBBLE BOROUGH</t>
  </si>
  <si>
    <t>WYRE BOROUGH</t>
  </si>
  <si>
    <t>County Average (Blackburn with Darwen) (2 seats)</t>
  </si>
  <si>
    <t>County Average (Blackpool) (2 seats)</t>
  </si>
  <si>
    <t>County Average (All) (16 seats)</t>
  </si>
  <si>
    <t>* as created by The Lancashire (Boroughs of Blackburn and Blackpool) (Structural Change) Order 1996</t>
  </si>
  <si>
    <t>Blackburn BC</t>
  </si>
  <si>
    <t>Barrow Island</t>
  </si>
  <si>
    <t>Dalton North</t>
  </si>
  <si>
    <t>Dalton South</t>
  </si>
  <si>
    <t>Hawcoat</t>
  </si>
  <si>
    <t>EDEN DISTRICT</t>
  </si>
  <si>
    <t>SOUTH LAKELAND DISTRICT</t>
  </si>
  <si>
    <t>Barrow and Furness CC</t>
  </si>
  <si>
    <t>South Lakeland (pt)</t>
  </si>
  <si>
    <t>Carlisle CC</t>
  </si>
  <si>
    <t>Carlisle (pt)</t>
  </si>
  <si>
    <t>Copeland CC</t>
  </si>
  <si>
    <t>Allerdale (pt)</t>
  </si>
  <si>
    <t>Penrith and The Border CC</t>
  </si>
  <si>
    <t>Westmorland and Lonsdale CC</t>
  </si>
  <si>
    <t>Workington CC</t>
  </si>
  <si>
    <t>ALLERDALE BOROUGH  *</t>
  </si>
  <si>
    <t>All Saints</t>
  </si>
  <si>
    <t>Aspatria</t>
  </si>
  <si>
    <t>Boltons</t>
  </si>
  <si>
    <t>Broughton St Bridget's</t>
  </si>
  <si>
    <t>Crummock</t>
  </si>
  <si>
    <t>Dalton</t>
  </si>
  <si>
    <t>Derwent Valley</t>
  </si>
  <si>
    <t>Ellen</t>
  </si>
  <si>
    <t>Ironbridge Gorge</t>
  </si>
  <si>
    <t>Muxton</t>
  </si>
  <si>
    <t>Priorslee</t>
  </si>
  <si>
    <t>St Georges</t>
  </si>
  <si>
    <t>Shawbirch</t>
  </si>
  <si>
    <t>The Nedge</t>
  </si>
  <si>
    <t>Wrockwardine</t>
  </si>
  <si>
    <t>Badsey</t>
  </si>
  <si>
    <t>Bengeworth</t>
  </si>
  <si>
    <t>Bredon</t>
  </si>
  <si>
    <t>Bretforton and Offenham</t>
  </si>
  <si>
    <t>Winlaton and High Spen</t>
  </si>
  <si>
    <t>Jarrow BC (pt)</t>
  </si>
  <si>
    <t>Harvington and Norton</t>
  </si>
  <si>
    <t>WILTSHIRE  *</t>
  </si>
  <si>
    <t>Chippenham CC</t>
  </si>
  <si>
    <t>Wiltshire (pt)</t>
  </si>
  <si>
    <t>Devizes CC</t>
  </si>
  <si>
    <t>North Wiltshire CC</t>
  </si>
  <si>
    <t>Salisbury CC</t>
  </si>
  <si>
    <t>Richmond West</t>
  </si>
  <si>
    <t>Scotton</t>
  </si>
  <si>
    <t>Swaledale</t>
  </si>
  <si>
    <t>* as created by The District of Richmondshire (Electoral Changes) Order 2000</t>
  </si>
  <si>
    <t>Amotherby</t>
  </si>
  <si>
    <t>Rosehill with Burnley Wood</t>
  </si>
  <si>
    <t>Whittlefield with Ightenhill</t>
  </si>
  <si>
    <t>* as created by The Borough of Burnley (Electoral Changes) Order 2001</t>
  </si>
  <si>
    <t>Newbarns</t>
  </si>
  <si>
    <t>Ormsgill</t>
  </si>
  <si>
    <t>Parkside</t>
  </si>
  <si>
    <t>Risedale</t>
  </si>
  <si>
    <t>Roosecote</t>
  </si>
  <si>
    <t>Walney North</t>
  </si>
  <si>
    <t>Ruxley</t>
  </si>
  <si>
    <t>Stamford</t>
  </si>
  <si>
    <t>West Ewell</t>
  </si>
  <si>
    <t>Epsom and Ewell BC (pt)</t>
  </si>
  <si>
    <t>* as created by The Borough of Epsom and Ewell (Electoral Changes) Order 1999</t>
  </si>
  <si>
    <t>GUILDFORD BOROUGH  *</t>
  </si>
  <si>
    <t>Ash South and Tongham</t>
  </si>
  <si>
    <t>Ash Vale</t>
  </si>
  <si>
    <t>Ash Wharf</t>
  </si>
  <si>
    <t>Burpham</t>
  </si>
  <si>
    <t>Clandon and Horsley</t>
  </si>
  <si>
    <t>Effingham</t>
  </si>
  <si>
    <t>Friary and St Nicolas</t>
  </si>
  <si>
    <t>Holy Trinity</t>
  </si>
  <si>
    <t>Lovelace</t>
  </si>
  <si>
    <t>Merrow</t>
  </si>
  <si>
    <t>Clayton-le-Woods North</t>
  </si>
  <si>
    <t>Clayton-le-Woods West and Cuerden</t>
  </si>
  <si>
    <t>Coppull</t>
  </si>
  <si>
    <t>Eccleston and Mawdesley</t>
  </si>
  <si>
    <t>Euxton North</t>
  </si>
  <si>
    <t>Hertford</t>
  </si>
  <si>
    <t>Lindhead</t>
  </si>
  <si>
    <t>Ludgershall and Perham Down</t>
  </si>
  <si>
    <t>Lyneham</t>
  </si>
  <si>
    <t>Malmesbury</t>
  </si>
  <si>
    <t>Marlborough East</t>
  </si>
  <si>
    <t>Marlborough West</t>
  </si>
  <si>
    <t>Melksham Central</t>
  </si>
  <si>
    <t>Melksham North</t>
  </si>
  <si>
    <t>Boothstown and Ellenbrook</t>
  </si>
  <si>
    <t>Cadishead</t>
  </si>
  <si>
    <t>Eccles</t>
  </si>
  <si>
    <t>Irlam</t>
  </si>
  <si>
    <t>CITY OF YORK  *</t>
  </si>
  <si>
    <t>York Central BC</t>
  </si>
  <si>
    <t>York (pt)</t>
  </si>
  <si>
    <t>York Outer CC</t>
  </si>
  <si>
    <t>Acomb</t>
  </si>
  <si>
    <t>Bishopthorpe</t>
  </si>
  <si>
    <t>Mulgrave</t>
  </si>
  <si>
    <t>Doxford</t>
  </si>
  <si>
    <t>Fulwell</t>
  </si>
  <si>
    <t>Hetton</t>
  </si>
  <si>
    <t>Worksop North West</t>
  </si>
  <si>
    <t>Dormanstown</t>
  </si>
  <si>
    <t>Eston</t>
  </si>
  <si>
    <t>Grangetown</t>
  </si>
  <si>
    <t>Guisborough</t>
  </si>
  <si>
    <t>Hutton</t>
  </si>
  <si>
    <t>Kirkleatham</t>
  </si>
  <si>
    <t>Lockwood</t>
  </si>
  <si>
    <t>Loftus</t>
  </si>
  <si>
    <t>Longbeck</t>
  </si>
  <si>
    <t>Newcomen</t>
  </si>
  <si>
    <t>Normanby</t>
  </si>
  <si>
    <t>St Germain's</t>
  </si>
  <si>
    <t>Saltburn</t>
  </si>
  <si>
    <t>South Bank</t>
  </si>
  <si>
    <t>Teesville</t>
  </si>
  <si>
    <t>West Dyke</t>
  </si>
  <si>
    <t>Read and Simonstone</t>
  </si>
  <si>
    <t>Ribchester</t>
  </si>
  <si>
    <t>Sabden</t>
  </si>
  <si>
    <t>Salthill</t>
  </si>
  <si>
    <t>Ulverston West</t>
  </si>
  <si>
    <t>Wollaton West</t>
  </si>
  <si>
    <t>* as created by The City of Nottingham (Electoral Changes) Order 2000</t>
  </si>
  <si>
    <t>NOTTINGHAMSHIRE  *</t>
  </si>
  <si>
    <t>ASHFIELD DISTRICT</t>
  </si>
  <si>
    <t>BASSETLAW DISTRICT</t>
  </si>
  <si>
    <t>BROXTOWE BOROUGH</t>
  </si>
  <si>
    <t>GEDLING BOROUGH</t>
  </si>
  <si>
    <t>MANSFIELD DISTRICT</t>
  </si>
  <si>
    <t>NEWARK AND SHERWOOD DISTRICT</t>
  </si>
  <si>
    <t>Wheldrake</t>
  </si>
  <si>
    <t>Acklam</t>
  </si>
  <si>
    <t>Ayresome</t>
  </si>
  <si>
    <t>Coulby Newham</t>
  </si>
  <si>
    <t>Hemlington</t>
  </si>
  <si>
    <t>Kader</t>
  </si>
  <si>
    <t>Ladgate</t>
  </si>
  <si>
    <t>Linthorpe</t>
  </si>
  <si>
    <t>Marton West</t>
  </si>
  <si>
    <t>Jacksdale</t>
  </si>
  <si>
    <t>Selston</t>
  </si>
  <si>
    <t>Long Marton</t>
  </si>
  <si>
    <t>Morland</t>
  </si>
  <si>
    <t>Orton with Tebay</t>
  </si>
  <si>
    <t>Boulsworth</t>
  </si>
  <si>
    <t>Brierfield</t>
  </si>
  <si>
    <t>Clover Hill</t>
  </si>
  <si>
    <t>Coates</t>
  </si>
  <si>
    <t>Earby</t>
  </si>
  <si>
    <t>Foulridge</t>
  </si>
  <si>
    <t>Higham and Pendleside</t>
  </si>
  <si>
    <t>Horsfield</t>
  </si>
  <si>
    <t>Marsden</t>
  </si>
  <si>
    <t>RUSHCLIFFE BOROUGH</t>
  </si>
  <si>
    <t>Quainton</t>
  </si>
  <si>
    <t>Underwood</t>
  </si>
  <si>
    <t>Ashfield CC (pt)</t>
  </si>
  <si>
    <t>Sherwood CC (pt)</t>
  </si>
  <si>
    <t>BASSETLAW DISTRICT  *</t>
  </si>
  <si>
    <t>Beckingham</t>
  </si>
  <si>
    <t>Blyth</t>
  </si>
  <si>
    <t>Clayworth</t>
  </si>
  <si>
    <t>East Markham</t>
  </si>
  <si>
    <t>East Retford East</t>
  </si>
  <si>
    <t>East Retford North</t>
  </si>
  <si>
    <t>East Retford South</t>
  </si>
  <si>
    <t>East Retford West</t>
  </si>
  <si>
    <t>Harworth</t>
  </si>
  <si>
    <t>Langold</t>
  </si>
  <si>
    <t>Ashley Green, Latimer and Chenies</t>
  </si>
  <si>
    <t>Austenwood</t>
  </si>
  <si>
    <t>Ballinger, South Heath and Chartridge</t>
  </si>
  <si>
    <t>Chalfont Common</t>
  </si>
  <si>
    <t>Chalfont St Giles</t>
  </si>
  <si>
    <t>Chesham Bois and Weedon Hill</t>
  </si>
  <si>
    <t>Cholesbury, The Lee and Bellingdon</t>
  </si>
  <si>
    <t>Gold Hill</t>
  </si>
  <si>
    <t>Great Missenden</t>
  </si>
  <si>
    <t>Hilltop and Townsend</t>
  </si>
  <si>
    <t>Holmer Green</t>
  </si>
  <si>
    <t>Little Chalfont</t>
  </si>
  <si>
    <t>Little Missenden</t>
  </si>
  <si>
    <t>Whitewell</t>
  </si>
  <si>
    <t>Worsley</t>
  </si>
  <si>
    <t>Rosendale and Darwen BC (pt)</t>
  </si>
  <si>
    <t>Chertsey St Ann's</t>
  </si>
  <si>
    <t>Chertsey South and Row Town</t>
  </si>
  <si>
    <t>Egham Hythe</t>
  </si>
  <si>
    <t>Sandown North</t>
  </si>
  <si>
    <t>Sandown South</t>
  </si>
  <si>
    <t>Edmonton Green</t>
  </si>
  <si>
    <t>Silverwood</t>
  </si>
  <si>
    <t>Sitwell</t>
  </si>
  <si>
    <t>Swinton</t>
  </si>
  <si>
    <t>Wales</t>
  </si>
  <si>
    <t>Wath</t>
  </si>
  <si>
    <t>Wickersley</t>
  </si>
  <si>
    <t>CITY OF SHEFFIELD  *</t>
  </si>
  <si>
    <t>Beighton</t>
  </si>
  <si>
    <t>Birley</t>
  </si>
  <si>
    <t>Burngreave</t>
  </si>
  <si>
    <t>Darnall</t>
  </si>
  <si>
    <t>East Ecclesfield</t>
  </si>
  <si>
    <t>Ecclesall</t>
  </si>
  <si>
    <t>Firth Park</t>
  </si>
  <si>
    <t>Islington South and Finsbury BC</t>
  </si>
  <si>
    <t>Barnsbury</t>
  </si>
  <si>
    <t>Bunhill</t>
  </si>
  <si>
    <t>Caledonian</t>
  </si>
  <si>
    <t>Canonbury</t>
  </si>
  <si>
    <t>Clerkenwell</t>
  </si>
  <si>
    <t>Finsbury Park</t>
  </si>
  <si>
    <t>Highbury East</t>
  </si>
  <si>
    <t>Highbury West</t>
  </si>
  <si>
    <t>Wiswell and Pendleton</t>
  </si>
  <si>
    <t>Ribble Valley CC (pt)</t>
  </si>
  <si>
    <t>Aylesford Green</t>
  </si>
  <si>
    <t>Beaver</t>
  </si>
  <si>
    <t>County Average (Halton) (1 seat)</t>
  </si>
  <si>
    <t>County Average (All) (9 seats)</t>
  </si>
  <si>
    <t>City of Chester CC</t>
  </si>
  <si>
    <t>Congleton CC</t>
  </si>
  <si>
    <t>Crewe and Nantwich CC</t>
  </si>
  <si>
    <t>Eddisbury CC</t>
  </si>
  <si>
    <t>Ellesmere Port and Neston CC</t>
  </si>
  <si>
    <t>Halton CC</t>
  </si>
  <si>
    <t>Iver Heath</t>
  </si>
  <si>
    <t>Stoke Poges</t>
  </si>
  <si>
    <t>Garstang</t>
  </si>
  <si>
    <t>Great Eccleston</t>
  </si>
  <si>
    <t>Jubilee</t>
  </si>
  <si>
    <t>Mount</t>
  </si>
  <si>
    <t>Pharos</t>
  </si>
  <si>
    <t>Pilling</t>
  </si>
  <si>
    <t>Cuxton and Halling</t>
  </si>
  <si>
    <t>Woodstock and Bladon</t>
  </si>
  <si>
    <t>CITY OF PORTSMOUTH  *</t>
  </si>
  <si>
    <t>Portsmouth North BC</t>
  </si>
  <si>
    <t>Portsmouth (pt)</t>
  </si>
  <si>
    <t>Portsmouth South BC</t>
  </si>
  <si>
    <t>Baffins</t>
  </si>
  <si>
    <t>Central Southsea</t>
  </si>
  <si>
    <t>Coleshill North</t>
  </si>
  <si>
    <t>Coleshill South</t>
  </si>
  <si>
    <t>Curdworth</t>
  </si>
  <si>
    <t>Dordon</t>
  </si>
  <si>
    <t>Fillongley</t>
  </si>
  <si>
    <t>Hartshill</t>
  </si>
  <si>
    <t>Faversham and Mid Kent CC</t>
  </si>
  <si>
    <t>Maidstone (pt)</t>
  </si>
  <si>
    <t>Swale (pt)</t>
  </si>
  <si>
    <t>Folkestone and Hythe CC</t>
  </si>
  <si>
    <t>Gillingham and Rainham BC</t>
  </si>
  <si>
    <t>Gravesham CC</t>
  </si>
  <si>
    <t>Blackheath and Wonersh</t>
  </si>
  <si>
    <t>Bramley, Busbridge and Hascombe</t>
  </si>
  <si>
    <t>Chiddingfold and Dunsfold</t>
  </si>
  <si>
    <t>Cranleigh East</t>
  </si>
  <si>
    <t>Cranleigh West</t>
  </si>
  <si>
    <t>Biddenden</t>
  </si>
  <si>
    <t>Bockhanger</t>
  </si>
  <si>
    <t>Boughton Aluph and Eastwell</t>
  </si>
  <si>
    <t>Bybrook</t>
  </si>
  <si>
    <t>Charing</t>
  </si>
  <si>
    <t>Downs North</t>
  </si>
  <si>
    <t>Downs West</t>
  </si>
  <si>
    <t>Godinton</t>
  </si>
  <si>
    <t>Great Chart with Singleton North</t>
  </si>
  <si>
    <t>Isle of Oxney</t>
  </si>
  <si>
    <t>Kennington</t>
  </si>
  <si>
    <t>Stratford-on-Avon CC</t>
  </si>
  <si>
    <t>Warwick and Leamington BC</t>
  </si>
  <si>
    <t>NORTH WARWICKSHIRE BOROUGH  *</t>
  </si>
  <si>
    <t>Arley and Whitacre</t>
  </si>
  <si>
    <t>Atherstone Central</t>
  </si>
  <si>
    <t>Atherstone North</t>
  </si>
  <si>
    <t>Atherstone South and Mancetter</t>
  </si>
  <si>
    <t>Baddesley and Grendon</t>
  </si>
  <si>
    <t>Elstead and Thursley</t>
  </si>
  <si>
    <t>Ewhurst</t>
  </si>
  <si>
    <t>Farnham Bourne</t>
  </si>
  <si>
    <t>North Willesborough</t>
  </si>
  <si>
    <t>Park Farm North</t>
  </si>
  <si>
    <t>Park Farm South</t>
  </si>
  <si>
    <t>Rolvenden and Tenterden West</t>
  </si>
  <si>
    <t>WEST OXFORDSHIRE DISTRICT</t>
  </si>
  <si>
    <t>Banbury CC</t>
  </si>
  <si>
    <t>Greenbank</t>
  </si>
  <si>
    <t>Kensington and Fairfield</t>
  </si>
  <si>
    <t>NEWARK AND SHERWOOD DISTRICT  *</t>
  </si>
  <si>
    <t>Beacon</t>
  </si>
  <si>
    <t>Cherwell (pt)</t>
  </si>
  <si>
    <t>Henley CC</t>
  </si>
  <si>
    <t>Musters</t>
  </si>
  <si>
    <t>Ruddington</t>
  </si>
  <si>
    <t>Thoroton</t>
  </si>
  <si>
    <t>Trent Bridge</t>
  </si>
  <si>
    <t>CHERWELL DISTRICT</t>
  </si>
  <si>
    <t>CITY OF OXFORD</t>
  </si>
  <si>
    <t>SOUTH OXFORDSHIRE DISTRICT</t>
  </si>
  <si>
    <t>VALE OF WHITE HORSE DISTRICT</t>
  </si>
  <si>
    <t>GRAVESHAM BOROUGH  *</t>
  </si>
  <si>
    <t>Chalk</t>
  </si>
  <si>
    <t>Meopham South and Vigo</t>
  </si>
  <si>
    <t>Northfleet North</t>
  </si>
  <si>
    <t>Northfleet South</t>
  </si>
  <si>
    <t>Painters Ash</t>
  </si>
  <si>
    <t>Pelham</t>
  </si>
  <si>
    <t>Riverview</t>
  </si>
  <si>
    <t>Shorne, Cobham and Luddesdown</t>
  </si>
  <si>
    <t>Singlewell</t>
  </si>
  <si>
    <t>Westcourt</t>
  </si>
  <si>
    <t>Whitehill</t>
  </si>
  <si>
    <t>Woodlands</t>
  </si>
  <si>
    <t>* as created by The Borough of Gravesham (Electoral Changes) Order 2001</t>
  </si>
  <si>
    <t>MAIDSTONE BOROUGH  *</t>
  </si>
  <si>
    <t>Allington</t>
  </si>
  <si>
    <t>Bracebridge Heath and Waddington East</t>
  </si>
  <si>
    <t>Branston</t>
  </si>
  <si>
    <t>Cliff Villages</t>
  </si>
  <si>
    <t>* as created by The Cheshire (Boroughs of Halton and Warrington) (Structural Change) Order 1996</t>
  </si>
  <si>
    <t># as created by The Cheshire (Structural Changes) Order 2008</t>
  </si>
  <si>
    <t>Tenterden North</t>
  </si>
  <si>
    <t>Tenterden South</t>
  </si>
  <si>
    <t>Washford</t>
  </si>
  <si>
    <t>Weald Central</t>
  </si>
  <si>
    <t>Weald East</t>
  </si>
  <si>
    <t>Weald North</t>
  </si>
  <si>
    <t>Weald South</t>
  </si>
  <si>
    <t>Wye</t>
  </si>
  <si>
    <t>Hurley and Wood End</t>
  </si>
  <si>
    <t>Alsager</t>
  </si>
  <si>
    <t>Middlewich</t>
  </si>
  <si>
    <t>Sonning Common</t>
  </si>
  <si>
    <t>Woodcote</t>
  </si>
  <si>
    <t>Hillingdon (pt)</t>
  </si>
  <si>
    <t>Shadwell</t>
  </si>
  <si>
    <t>Weavers</t>
  </si>
  <si>
    <t>Whitechapel</t>
  </si>
  <si>
    <t>GATESHEAD BOROUGH</t>
  </si>
  <si>
    <t>CITY OF NEWCASTLE UPON TYNE</t>
  </si>
  <si>
    <t>NORTH TYNESIDE BOROUGH</t>
  </si>
  <si>
    <t>SOUTH TYNESIDE BOROUGH</t>
  </si>
  <si>
    <t>CITY OF SUNDERLAND</t>
  </si>
  <si>
    <t>Blaydon BC</t>
  </si>
  <si>
    <t>Gateshead (pt)</t>
  </si>
  <si>
    <t>Gateshead BC</t>
  </si>
  <si>
    <t>Houghton and Sunderland South BC</t>
  </si>
  <si>
    <t>Sunderland (pt)</t>
  </si>
  <si>
    <t>Jarrow BC</t>
  </si>
  <si>
    <t>South Tyneside (pt)</t>
  </si>
  <si>
    <t>Newcastle upon Tyne Central BC</t>
  </si>
  <si>
    <t>Newcastle (pt)</t>
  </si>
  <si>
    <t>Newcastle upon Tyne East BC</t>
  </si>
  <si>
    <t>Hayes and Harlington BC</t>
  </si>
  <si>
    <t>Uxbridge and South Ruislip BC</t>
  </si>
  <si>
    <t>Canons</t>
  </si>
  <si>
    <t>Greenhill</t>
  </si>
  <si>
    <t>Torbay *</t>
  </si>
  <si>
    <t>DEVON, PLYMOUTH &amp; TORBAY</t>
  </si>
  <si>
    <t>Christchurch</t>
  </si>
  <si>
    <t>Bardney</t>
  </si>
  <si>
    <t>Cherry Willingham</t>
  </si>
  <si>
    <t>Gainsborough East</t>
  </si>
  <si>
    <t>Lewes</t>
  </si>
  <si>
    <t>Rother</t>
  </si>
  <si>
    <t>Wealden</t>
  </si>
  <si>
    <t>EAST SUSSEX</t>
  </si>
  <si>
    <t>Brighton and Hove *</t>
  </si>
  <si>
    <t>* as created by The District of South Holland (Electoral Changes) Order 2007</t>
  </si>
  <si>
    <t>SOUTH KESTEVEN DISTRICT  *</t>
  </si>
  <si>
    <t>Aveland</t>
  </si>
  <si>
    <t>Bourne East</t>
  </si>
  <si>
    <t>Bourne West</t>
  </si>
  <si>
    <t>Deeping St James</t>
  </si>
  <si>
    <t>Crowborough St.Johns</t>
  </si>
  <si>
    <t>Crowborough West</t>
  </si>
  <si>
    <t>Danehill/Fletching/Nutley</t>
  </si>
  <si>
    <t>East Dean</t>
  </si>
  <si>
    <t>Forest Row</t>
  </si>
  <si>
    <t>Framfield</t>
  </si>
  <si>
    <t>Frant/Withyham</t>
  </si>
  <si>
    <t>Hailsham Central and North</t>
  </si>
  <si>
    <t>Hailsham East</t>
  </si>
  <si>
    <t>Hailsham South and West</t>
  </si>
  <si>
    <t>Hartfield</t>
  </si>
  <si>
    <t>Heathfield East</t>
  </si>
  <si>
    <t>Heathfield North and Central</t>
  </si>
  <si>
    <t>Brasted, Chevening and Sundridge</t>
  </si>
  <si>
    <t>Halton *</t>
  </si>
  <si>
    <t>Isles of Scilly</t>
  </si>
  <si>
    <t>* Unitary Authority (County)</t>
  </si>
  <si>
    <t># Non-Metropolitan County Council abolished</t>
  </si>
  <si>
    <t>Allerdale</t>
  </si>
  <si>
    <t>Barrow-in-Furness</t>
  </si>
  <si>
    <t>Carlisle</t>
  </si>
  <si>
    <t>Copeland</t>
  </si>
  <si>
    <t>Eden</t>
  </si>
  <si>
    <t>Swanley White Oak</t>
  </si>
  <si>
    <t>Westerham and Crockham Hill</t>
  </si>
  <si>
    <t>Tonbridge and Malling CC (pt)</t>
  </si>
  <si>
    <t>Gloucester</t>
  </si>
  <si>
    <t>Stroud</t>
  </si>
  <si>
    <t>Tewkesbury</t>
  </si>
  <si>
    <t>GLOUCESTERSHIRE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</si>
  <si>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</si>
  <si>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</si>
  <si>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</si>
  <si>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</si>
  <si>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</si>
  <si>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</si>
  <si>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</si>
  <si>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County Average (Dorset) (4 seats)</t>
  </si>
  <si>
    <t>Low Fell</t>
  </si>
  <si>
    <t>Pelaw and Heworth</t>
  </si>
  <si>
    <t>Tottington</t>
  </si>
  <si>
    <t>Isle of Wight *</t>
  </si>
  <si>
    <t>Ashford</t>
  </si>
  <si>
    <t>Canterbury</t>
  </si>
  <si>
    <t>Dartford</t>
  </si>
  <si>
    <t>Dover</t>
  </si>
  <si>
    <t>Gravesham</t>
  </si>
  <si>
    <t>Maidstone</t>
  </si>
  <si>
    <t>Sevenoaks</t>
  </si>
  <si>
    <t>Shepway</t>
  </si>
  <si>
    <t>Swale</t>
  </si>
  <si>
    <t>Thanet</t>
  </si>
  <si>
    <t>Tonbridge and Malling</t>
  </si>
  <si>
    <t>Tunbridge Wells</t>
  </si>
  <si>
    <t>KENT</t>
  </si>
  <si>
    <t>Medway *</t>
  </si>
  <si>
    <t>KENT &amp; MEDWAY</t>
  </si>
  <si>
    <t>Burnley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</si>
  <si>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</si>
  <si>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</si>
  <si>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</si>
  <si>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</si>
  <si>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</si>
  <si>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</si>
  <si>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</si>
  <si>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</si>
  <si>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</si>
  <si>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</si>
  <si>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</si>
  <si>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LANCASHIRE</t>
  </si>
  <si>
    <t>Blackburn with Darwen *</t>
  </si>
  <si>
    <t>Blackpool *</t>
  </si>
  <si>
    <t>Hartlip, Newington and Upchurch</t>
  </si>
  <si>
    <t>Kemsley</t>
  </si>
  <si>
    <t>Milton Regis</t>
  </si>
  <si>
    <t>Minster Cliffs</t>
  </si>
  <si>
    <t>South Norfolk</t>
  </si>
  <si>
    <t>NORFOLK</t>
  </si>
  <si>
    <t>Corby</t>
  </si>
  <si>
    <t>Daventry</t>
  </si>
  <si>
    <t>Thanet Villages</t>
  </si>
  <si>
    <t>Viking</t>
  </si>
  <si>
    <t>Westbrook</t>
  </si>
  <si>
    <t>Westgate-on-Sea</t>
  </si>
  <si>
    <t>* as created by The District of Thanet (Electoral Changes) Order 2001</t>
  </si>
  <si>
    <t>TONBRIDGE AND MALLING BOROUGH  *</t>
  </si>
  <si>
    <t>Borough Green and Long Mill</t>
  </si>
  <si>
    <t>Tamworth</t>
  </si>
  <si>
    <t>South Dorset CC</t>
  </si>
  <si>
    <t>West Dorset (pt)</t>
  </si>
  <si>
    <t>West Dorset CC</t>
  </si>
  <si>
    <t>Cherwell</t>
  </si>
  <si>
    <t>Oxford</t>
  </si>
  <si>
    <t>South Oxfordshire</t>
  </si>
  <si>
    <t>Vale of White Horse</t>
  </si>
  <si>
    <t>West Oxfordshire</t>
  </si>
  <si>
    <t>Byker</t>
  </si>
  <si>
    <t>Elswick</t>
  </si>
  <si>
    <t>Lemington</t>
  </si>
  <si>
    <t>North Jesmond</t>
  </si>
  <si>
    <t>South Jesmond</t>
  </si>
  <si>
    <t>Walker</t>
  </si>
  <si>
    <t>Walkergate</t>
  </si>
  <si>
    <t>Wingrove</t>
  </si>
  <si>
    <t>Cheshunt North</t>
  </si>
  <si>
    <t>Flamstead End</t>
  </si>
  <si>
    <t>Goffs Oak</t>
  </si>
  <si>
    <t>Hoddesdon North</t>
  </si>
  <si>
    <t>Hexham East</t>
  </si>
  <si>
    <t>Hexham West</t>
  </si>
  <si>
    <t>Hirst</t>
  </si>
  <si>
    <t>Humshaugh</t>
  </si>
  <si>
    <t>Isabella</t>
  </si>
  <si>
    <t>Kitty Brewster</t>
  </si>
  <si>
    <t>Longhoughton</t>
  </si>
  <si>
    <t>Lynemouth</t>
  </si>
  <si>
    <t>Morpeth Kirkhill</t>
  </si>
  <si>
    <t>Morpeth North</t>
  </si>
  <si>
    <t>Morpeth Stobhill</t>
  </si>
  <si>
    <t>Newbiggin Central and East</t>
  </si>
  <si>
    <t>Newsham</t>
  </si>
  <si>
    <t>Norham and Islandshires</t>
  </si>
  <si>
    <t>Larkfield North</t>
  </si>
  <si>
    <t>Larkfield South</t>
  </si>
  <si>
    <t>Medway</t>
  </si>
  <si>
    <t>Kinson North</t>
  </si>
  <si>
    <t>Kinson South</t>
  </si>
  <si>
    <t>Littledown and Iford</t>
  </si>
  <si>
    <t>Moordown</t>
  </si>
  <si>
    <t>Redhill and Northbourne</t>
  </si>
  <si>
    <t>Strouden Park</t>
  </si>
  <si>
    <t>Talbot and Branksome Woods</t>
  </si>
  <si>
    <t>Leicester East BC</t>
  </si>
  <si>
    <t>Leicester (pt)</t>
  </si>
  <si>
    <t>Leicester South BC</t>
  </si>
  <si>
    <t>Leicester West BC</t>
  </si>
  <si>
    <t>Beaumont Leys</t>
  </si>
  <si>
    <t>Belgrave</t>
  </si>
  <si>
    <t>Haltwhistle</t>
  </si>
  <si>
    <t>Hartley</t>
  </si>
  <si>
    <t>Haydon</t>
  </si>
  <si>
    <t>Wickford North</t>
  </si>
  <si>
    <t>Wickford Park</t>
  </si>
  <si>
    <t>Rayleigh and Wickford CC (pt)</t>
  </si>
  <si>
    <t>Millfield</t>
  </si>
  <si>
    <t>Muxloe</t>
  </si>
  <si>
    <t>Narborough and Littlethorpe</t>
  </si>
  <si>
    <t>North Whetstone</t>
  </si>
  <si>
    <t>Pastures</t>
  </si>
  <si>
    <t>West Southbourne</t>
  </si>
  <si>
    <t>Westbourne and West Cliff</t>
  </si>
  <si>
    <t>Winton East</t>
  </si>
  <si>
    <t>Bournemouth West BC (pt)</t>
  </si>
  <si>
    <t>* as created by The Borough of Bournemouth (Electoral Changes) Order 2002</t>
  </si>
  <si>
    <t>Alderney</t>
  </si>
  <si>
    <t>Branksome East</t>
  </si>
  <si>
    <t>YORKSHIRE AND THE HUMBER REGION</t>
  </si>
  <si>
    <t>Ferndown Central</t>
  </si>
  <si>
    <t>Handley Vale</t>
  </si>
  <si>
    <t>Parley</t>
  </si>
  <si>
    <t>Stour</t>
  </si>
  <si>
    <t>Purewell and Stanpit</t>
  </si>
  <si>
    <t>St Catherine's and Hurn</t>
  </si>
  <si>
    <t>West Highcliffe</t>
  </si>
  <si>
    <t>Village</t>
  </si>
  <si>
    <t>Whalebone</t>
  </si>
  <si>
    <t>Tring Central</t>
  </si>
  <si>
    <t>Tring East</t>
  </si>
  <si>
    <t>Tring West and Rural</t>
  </si>
  <si>
    <t>Woodhall Farm</t>
  </si>
  <si>
    <t>South West Hertfordshire CC (pt)</t>
  </si>
  <si>
    <t>Hitchin Highbury</t>
  </si>
  <si>
    <t>Hitchin Oughton</t>
  </si>
  <si>
    <t>Hitchin Priory</t>
  </si>
  <si>
    <t>* as created by The City of Salford (Electoral Changes) Order 2004</t>
  </si>
  <si>
    <t>STOCKPORT BOROUGH  *</t>
  </si>
  <si>
    <t>Bramhall North</t>
  </si>
  <si>
    <t>Bramhall South</t>
  </si>
  <si>
    <t>Bredbury and Woodley</t>
  </si>
  <si>
    <t>Bredbury Green and Romiley</t>
  </si>
  <si>
    <t>Brinnington and Central</t>
  </si>
  <si>
    <t>Cheadle and Gatley</t>
  </si>
  <si>
    <t>Ordsall</t>
  </si>
  <si>
    <t>Pendlebury</t>
  </si>
  <si>
    <t>Knebworth</t>
  </si>
  <si>
    <t>Letchworth East</t>
  </si>
  <si>
    <t>Letchworth Grange</t>
  </si>
  <si>
    <t>Letchworth South East</t>
  </si>
  <si>
    <t>Letchworth South West</t>
  </si>
  <si>
    <t>Letchworth Wilbury</t>
  </si>
  <si>
    <t>Royston Heath</t>
  </si>
  <si>
    <t>Royston Meridian</t>
  </si>
  <si>
    <t>Royston Palace</t>
  </si>
  <si>
    <t>Weston and Sandon</t>
  </si>
  <si>
    <t>Hitchin and Harpenden CC (pt)</t>
  </si>
  <si>
    <t>* as created by The District of North Hertfordshire (Electoral Changes) Order 2006</t>
  </si>
  <si>
    <t>CITY OF ST ALBANS  *</t>
  </si>
  <si>
    <t>Batchwood</t>
  </si>
  <si>
    <t>Clarence</t>
  </si>
  <si>
    <t>Colney Heath</t>
  </si>
  <si>
    <t>Cunningham</t>
  </si>
  <si>
    <t>Harpenden East</t>
  </si>
  <si>
    <t>Harpenden North</t>
  </si>
  <si>
    <t>Harpenden South</t>
  </si>
  <si>
    <t>Harpenden West</t>
  </si>
  <si>
    <t>London Colney</t>
  </si>
  <si>
    <t>Marshalswick North</t>
  </si>
  <si>
    <t>Chew Valley North</t>
  </si>
  <si>
    <t>Chew Valley South</t>
  </si>
  <si>
    <t>Clutton</t>
  </si>
  <si>
    <t>Combe Down</t>
  </si>
  <si>
    <t>Farmborough</t>
  </si>
  <si>
    <t>High Littleton</t>
  </si>
  <si>
    <t>Hazel Grove</t>
  </si>
  <si>
    <t>Heald Green</t>
  </si>
  <si>
    <t>Heatons North</t>
  </si>
  <si>
    <t>Heatons South</t>
  </si>
  <si>
    <t>Marple North</t>
  </si>
  <si>
    <t>Marple South</t>
  </si>
  <si>
    <t>Offerton</t>
  </si>
  <si>
    <t>Reddish North</t>
  </si>
  <si>
    <t>Reddish South</t>
  </si>
  <si>
    <t>Stepping Hill</t>
  </si>
  <si>
    <t>Denton and Reddish BC (pt)</t>
  </si>
  <si>
    <t>Ashton St Michael's</t>
  </si>
  <si>
    <t>Ashton Waterloo</t>
  </si>
  <si>
    <t>Audenshaw</t>
  </si>
  <si>
    <t>Denton North East</t>
  </si>
  <si>
    <t>Denton South</t>
  </si>
  <si>
    <t>Denton West</t>
  </si>
  <si>
    <t>Droylsden East</t>
  </si>
  <si>
    <t>Droylsden West</t>
  </si>
  <si>
    <t>Dukinfield</t>
  </si>
  <si>
    <t>Dukinfield Stalybridge</t>
  </si>
  <si>
    <t>Hyde Godley</t>
  </si>
  <si>
    <t>Hyde Newton</t>
  </si>
  <si>
    <t>Hyde Werneth</t>
  </si>
  <si>
    <t>Longdendale</t>
  </si>
  <si>
    <t>Mossley</t>
  </si>
  <si>
    <t>Stalybridge North</t>
  </si>
  <si>
    <t>Stalybridge South</t>
  </si>
  <si>
    <t>SOUTH GLOUCESTERSHIRE DISTRICT  *</t>
  </si>
  <si>
    <t>Filton and Bradley Stoke CC</t>
  </si>
  <si>
    <t>Ashton upon Mersey</t>
  </si>
  <si>
    <t>Bowdon</t>
  </si>
  <si>
    <t>Symonds Green</t>
  </si>
  <si>
    <t>Woodfield</t>
  </si>
  <si>
    <t>THREE RIVERS DISTRICT  *</t>
  </si>
  <si>
    <t>Great Sankey South</t>
  </si>
  <si>
    <t>Latchford East</t>
  </si>
  <si>
    <t>Latchford West</t>
  </si>
  <si>
    <t>Orford</t>
  </si>
  <si>
    <t>Gorse Hill</t>
  </si>
  <si>
    <t>Hale Barns</t>
  </si>
  <si>
    <t>Hale Central</t>
  </si>
  <si>
    <t>Longford</t>
  </si>
  <si>
    <t>Sale Moor</t>
  </si>
  <si>
    <t>Stretford</t>
  </si>
  <si>
    <t>Timperley</t>
  </si>
  <si>
    <t>Urmston</t>
  </si>
  <si>
    <t>* as created by The Borough of Trafford (Electoral Changes) Order 2004</t>
  </si>
  <si>
    <t>WIGAN BOROUGH  *</t>
  </si>
  <si>
    <t>Abram</t>
  </si>
  <si>
    <t>Boulton</t>
  </si>
  <si>
    <t>Selby and Ainsty CC (pt)</t>
  </si>
  <si>
    <t>Aycliffe West</t>
  </si>
  <si>
    <t>Barnard Castle East</t>
  </si>
  <si>
    <t>Barnard Castle West</t>
  </si>
  <si>
    <t>Benfieldside</t>
  </si>
  <si>
    <t>Bishop Auckland Town</t>
  </si>
  <si>
    <t>Blackhalls</t>
  </si>
  <si>
    <t>EREWASH BOROUGH</t>
  </si>
  <si>
    <t>HIGH PEAK BOROUGH</t>
  </si>
  <si>
    <t>NORTH EAST DERBYSHIRE DISTRICT</t>
  </si>
  <si>
    <t>SOUTH DERBYSHIRE DISTRICT</t>
  </si>
  <si>
    <t>County Average (Derbyshire) (8 seats)</t>
  </si>
  <si>
    <t>County Average (Derby) (2 seats)</t>
  </si>
  <si>
    <t>Hummersknott</t>
  </si>
  <si>
    <t>Hurworth</t>
  </si>
  <si>
    <t>Mowden</t>
  </si>
  <si>
    <t>Northgate</t>
  </si>
  <si>
    <t>Durham South</t>
  </si>
  <si>
    <t>Evenwood</t>
  </si>
  <si>
    <t>Ferryhill</t>
  </si>
  <si>
    <t>Horden</t>
  </si>
  <si>
    <t>Lanchester</t>
  </si>
  <si>
    <t>Leadgate and Medomsley</t>
  </si>
  <si>
    <t>Lumley</t>
  </si>
  <si>
    <t>Murton</t>
  </si>
  <si>
    <t>Neville's Cross</t>
  </si>
  <si>
    <t>Pelton</t>
  </si>
  <si>
    <t>Peterlee East</t>
  </si>
  <si>
    <t>Peterlee West</t>
  </si>
  <si>
    <t>Sacriston</t>
  </si>
  <si>
    <t>Seaham</t>
  </si>
  <si>
    <t>Sherburn</t>
  </si>
  <si>
    <t>North Somerset (pt)</t>
  </si>
  <si>
    <t>Weston-Super-Mare CC</t>
  </si>
  <si>
    <t>Backwell</t>
  </si>
  <si>
    <t>Kensal Green</t>
  </si>
  <si>
    <t>Kenton</t>
  </si>
  <si>
    <t>Kilburn</t>
  </si>
  <si>
    <t>Mapesbury</t>
  </si>
  <si>
    <t>Northwick Park</t>
  </si>
  <si>
    <t>Queens Park</t>
  </si>
  <si>
    <t>Queensbury</t>
  </si>
  <si>
    <t>Stonebridge</t>
  </si>
  <si>
    <t>Sudbury</t>
  </si>
  <si>
    <t>Tokyngton</t>
  </si>
  <si>
    <t>Welsh Harp</t>
  </si>
  <si>
    <t>Wembley Central</t>
  </si>
  <si>
    <t>Willesden Green</t>
  </si>
  <si>
    <t>Pill</t>
  </si>
  <si>
    <t>Portishead East</t>
  </si>
  <si>
    <t>Romanby</t>
  </si>
  <si>
    <t>Stokesley</t>
  </si>
  <si>
    <t>Thirsk</t>
  </si>
  <si>
    <t>Tollerton</t>
  </si>
  <si>
    <t>Richmond (Yorks) CC (pt)</t>
  </si>
  <si>
    <t>Thirsk and Malton CC (pt)</t>
  </si>
  <si>
    <t>County Average (Southampton) (2 seats)</t>
  </si>
  <si>
    <t>Whitwell</t>
  </si>
  <si>
    <t>Bolsover CC (pt)</t>
  </si>
  <si>
    <t>CHESTERFIELD BOROUGH  *</t>
  </si>
  <si>
    <t>Barrow Hill and New Whittington</t>
  </si>
  <si>
    <t>Brimington North</t>
  </si>
  <si>
    <t>Brimington South</t>
  </si>
  <si>
    <t>Brockwell</t>
  </si>
  <si>
    <t>Dunston</t>
  </si>
  <si>
    <t>Hasland</t>
  </si>
  <si>
    <t>Hollingwood and Inkersall</t>
  </si>
  <si>
    <t>Holmebrook</t>
  </si>
  <si>
    <t>Linacre</t>
  </si>
  <si>
    <t>Loundsley Green</t>
  </si>
  <si>
    <t>Lowgates and Woodthorpe</t>
  </si>
  <si>
    <t>Middlecroft and Poolsbrook</t>
  </si>
  <si>
    <t>Moor</t>
  </si>
  <si>
    <t>Old Whittington</t>
  </si>
  <si>
    <t>St Helen's</t>
  </si>
  <si>
    <t>St Leonard's</t>
  </si>
  <si>
    <t>North East Derbyshire CC (pt)</t>
  </si>
  <si>
    <t>* as created by The Borough of Chesterfield (Electoral Changes) Order 1999</t>
  </si>
  <si>
    <t>DERBYSHIRE DALES DISTRICT  *</t>
  </si>
  <si>
    <t>Ashbourne North</t>
  </si>
  <si>
    <t>Ashbourne South</t>
  </si>
  <si>
    <t>Bakewell</t>
  </si>
  <si>
    <t>Bradwell</t>
  </si>
  <si>
    <t>County Average (Brighton &amp; Hove) (3 seats)</t>
  </si>
  <si>
    <t>Bexhill and Battle CC</t>
  </si>
  <si>
    <t>Rother (pt)</t>
  </si>
  <si>
    <t>Wealden (pt)</t>
  </si>
  <si>
    <t>Brighton, Kemptown BC</t>
  </si>
  <si>
    <t>Brighton and Hove (pt)</t>
  </si>
  <si>
    <t>Lewes (pt)</t>
  </si>
  <si>
    <t>Brighton, Pavilion BC</t>
  </si>
  <si>
    <t>Eastbourne BC</t>
  </si>
  <si>
    <t>Hastings and Rye CC</t>
  </si>
  <si>
    <t>Hove BC</t>
  </si>
  <si>
    <t>Lewes CC</t>
  </si>
  <si>
    <t>Wealden CC</t>
  </si>
  <si>
    <t>WARWICK DISTRICT</t>
  </si>
  <si>
    <t>Kenilworth and Southam CC</t>
  </si>
  <si>
    <t>Rugby (pt)</t>
  </si>
  <si>
    <t>Warwick (pt)</t>
  </si>
  <si>
    <t>Long Eaton Central</t>
  </si>
  <si>
    <t>Nottingham Road</t>
  </si>
  <si>
    <t>Sawley</t>
  </si>
  <si>
    <t>Stanley</t>
  </si>
  <si>
    <t>Wilsthorpe</t>
  </si>
  <si>
    <t>HIGH PEAK BOROUGH  *</t>
  </si>
  <si>
    <t>Barms</t>
  </si>
  <si>
    <t>Blackbrook</t>
  </si>
  <si>
    <t>Burbage</t>
  </si>
  <si>
    <t>Buxton Central</t>
  </si>
  <si>
    <t>Chapel East</t>
  </si>
  <si>
    <t>Chapel West</t>
  </si>
  <si>
    <t>Corbar</t>
  </si>
  <si>
    <t>Cote Heath</t>
  </si>
  <si>
    <t>Dinting</t>
  </si>
  <si>
    <t>Gamesley</t>
  </si>
  <si>
    <t>Hadfield North</t>
  </si>
  <si>
    <t>Hadfield South</t>
  </si>
  <si>
    <t>Hayfield</t>
  </si>
  <si>
    <t>Hope Valley</t>
  </si>
  <si>
    <t>Howard Town</t>
  </si>
  <si>
    <t>Limestone Peak</t>
  </si>
  <si>
    <t>New Mills East</t>
  </si>
  <si>
    <t>New Mills West</t>
  </si>
  <si>
    <t>Old Glossop</t>
  </si>
  <si>
    <t>Padfield</t>
  </si>
  <si>
    <t>Sett</t>
  </si>
  <si>
    <t>Simmondley</t>
  </si>
  <si>
    <t>Stone Bench</t>
  </si>
  <si>
    <t>Temple</t>
  </si>
  <si>
    <t>Tintwistle</t>
  </si>
  <si>
    <t>Whaley Bridge</t>
  </si>
  <si>
    <t>Sandwell (pt)</t>
  </si>
  <si>
    <t>Meriden CC</t>
  </si>
  <si>
    <t>Solihull (pt)</t>
  </si>
  <si>
    <t>Wollaton East and Lenton Abbey</t>
  </si>
  <si>
    <t>* as created by The Borough of Eastbourne (Electoral Changes) Order 2001</t>
  </si>
  <si>
    <t>HASTINGS BOROUGH  *</t>
  </si>
  <si>
    <t>Ashdown</t>
  </si>
  <si>
    <t>Four Marks and Medstead</t>
  </si>
  <si>
    <t>Froxfield and Steep</t>
  </si>
  <si>
    <t>Grayshott</t>
  </si>
  <si>
    <t>Headley</t>
  </si>
  <si>
    <t>Holybourne and Froyle</t>
  </si>
  <si>
    <t>Horndean Catherington and Lovedean</t>
  </si>
  <si>
    <t>Horndean Downs</t>
  </si>
  <si>
    <t>Horndean Hazleton and Blendworth</t>
  </si>
  <si>
    <t>Solihull BC</t>
  </si>
  <si>
    <t>Stourbridge BC</t>
  </si>
  <si>
    <t>Sutton Coldfield BC</t>
  </si>
  <si>
    <t>Walsall North BC</t>
  </si>
  <si>
    <t>Walsall South BC</t>
  </si>
  <si>
    <t>Warley BC</t>
  </si>
  <si>
    <t>West Bromwich East BC</t>
  </si>
  <si>
    <t>West Bromwich West BC</t>
  </si>
  <si>
    <t>Wolverhampton North East BC</t>
  </si>
  <si>
    <t>Wolverhampton (pt)</t>
  </si>
  <si>
    <t>Wolverhampton South East BC</t>
  </si>
  <si>
    <t>Horndean Kings</t>
  </si>
  <si>
    <t>Horndean Murray</t>
  </si>
  <si>
    <t>Lindford</t>
  </si>
  <si>
    <t>Liss</t>
  </si>
  <si>
    <t>Petersfield Bell Hill</t>
  </si>
  <si>
    <t>Petersfield Causeway</t>
  </si>
  <si>
    <t>Petersfield Heath</t>
  </si>
  <si>
    <t>Petersfield Rother</t>
  </si>
  <si>
    <t>Petersfield St Marys</t>
  </si>
  <si>
    <t>Petersfield St Peters</t>
  </si>
  <si>
    <t>Rowlands Castle</t>
  </si>
  <si>
    <t>Ropley and Tisted</t>
  </si>
  <si>
    <t>Selborne</t>
  </si>
  <si>
    <t>The Hangers and Forest</t>
  </si>
  <si>
    <t>Whitehill Chase</t>
  </si>
  <si>
    <t>Whitehill Deadwater</t>
  </si>
  <si>
    <t>Stockland Green</t>
  </si>
  <si>
    <t>Sutton Four Oaks</t>
  </si>
  <si>
    <t>Flackwell Heath and Little Marlow</t>
  </si>
  <si>
    <t>Greater Hughenden</t>
  </si>
  <si>
    <t>Greater Marlow</t>
  </si>
  <si>
    <t>Hambleden Valley</t>
  </si>
  <si>
    <t>Hazlemere North</t>
  </si>
  <si>
    <t>Hazlemere South</t>
  </si>
  <si>
    <t>Lacey Green, Speen and the Hampdens</t>
  </si>
  <si>
    <t>Marlow North and West</t>
  </si>
  <si>
    <t>Marlow South East</t>
  </si>
  <si>
    <t>Micklefield</t>
  </si>
  <si>
    <t>Oakridge and Castlefield</t>
  </si>
  <si>
    <t>Ryemead</t>
  </si>
  <si>
    <t>Sands</t>
  </si>
  <si>
    <t>Stokenchurch and Radnage</t>
  </si>
  <si>
    <t>Terriers and Amersham Hill</t>
  </si>
  <si>
    <t>The Risboroughs</t>
  </si>
  <si>
    <t>The Wooburns</t>
  </si>
  <si>
    <t>Tylers Green and Loudwater</t>
  </si>
  <si>
    <t>* as created by The District of Wycombe (Electoral Changes) Order 2002</t>
  </si>
  <si>
    <t>HALTON BOROUGH  *</t>
  </si>
  <si>
    <t xml:space="preserve">Birmingham, Northfield BC  </t>
  </si>
  <si>
    <t xml:space="preserve">Birmingham, Selly Oak BC  </t>
  </si>
  <si>
    <t>CITY OF COVENTRY  *</t>
  </si>
  <si>
    <t>Bablake</t>
  </si>
  <si>
    <t>County Average (Devon) (8 seats)</t>
  </si>
  <si>
    <t>Botley</t>
  </si>
  <si>
    <t>Eastleigh Central</t>
  </si>
  <si>
    <t>Eastleigh North</t>
  </si>
  <si>
    <t>Eastleigh South</t>
  </si>
  <si>
    <t>* as created by The Devon (City of Plymouth and Borough of Torbay) (Structural Change) Order 1996</t>
  </si>
  <si>
    <t>Budshead</t>
  </si>
  <si>
    <t>Devonport</t>
  </si>
  <si>
    <t>Drake</t>
  </si>
  <si>
    <t>Efford and Lipson</t>
  </si>
  <si>
    <t>Eggbuckland</t>
  </si>
  <si>
    <t>Ham</t>
  </si>
  <si>
    <t>Honicknowle</t>
  </si>
  <si>
    <t>Moor View</t>
  </si>
  <si>
    <t>Ellacombe</t>
  </si>
  <si>
    <t>Goodrington-with-Roselands</t>
  </si>
  <si>
    <t>Roundham-with-Hyde</t>
  </si>
  <si>
    <t>Emsworth</t>
  </si>
  <si>
    <t>Hart Plain</t>
  </si>
  <si>
    <t>Hayling East</t>
  </si>
  <si>
    <t>Hayling West</t>
  </si>
  <si>
    <t>Purbrook</t>
  </si>
  <si>
    <t>St.Faith's</t>
  </si>
  <si>
    <t>Stakes</t>
  </si>
  <si>
    <t>Warren Park</t>
  </si>
  <si>
    <t>* as created by The Borough of Havant (Electoral Changes) Order 2001</t>
  </si>
  <si>
    <t>NEW FOREST DISTRICT  *</t>
  </si>
  <si>
    <t>Ashurst, Copythorne South and Netley Marsh</t>
  </si>
  <si>
    <t>Leesland</t>
  </si>
  <si>
    <t>Peel Common</t>
  </si>
  <si>
    <t>Privett</t>
  </si>
  <si>
    <t>Rowner and Holbrook</t>
  </si>
  <si>
    <t>* as created by The Borough of Gosport (Electoral Changes) Order 2001</t>
  </si>
  <si>
    <t>HART DISTRICT  *</t>
  </si>
  <si>
    <t>Blackwater and Hawley</t>
  </si>
  <si>
    <t>Fleet Central</t>
  </si>
  <si>
    <t>Fleet West</t>
  </si>
  <si>
    <t>Hartley Wintney</t>
  </si>
  <si>
    <t>Hook</t>
  </si>
  <si>
    <t>Long Sutton</t>
  </si>
  <si>
    <t>Odiham</t>
  </si>
  <si>
    <t>Yateley East</t>
  </si>
  <si>
    <t>Yateley West</t>
  </si>
  <si>
    <t>Aldershot BC (pt)</t>
  </si>
  <si>
    <t>Devon</t>
  </si>
  <si>
    <t>Farndon</t>
  </si>
  <si>
    <t>Lowdham</t>
  </si>
  <si>
    <t>TOWER HAMLETS LONDON BOROUGH  *</t>
  </si>
  <si>
    <t>Upper Gornal and Woodsetton</t>
  </si>
  <si>
    <t>Wollaston and Stourbridge Town</t>
  </si>
  <si>
    <t>Stockport (pt)</t>
  </si>
  <si>
    <t>Denton and Reddish BC</t>
  </si>
  <si>
    <t>Hazel Grove CC</t>
  </si>
  <si>
    <t>Heywood and Middleton CC</t>
  </si>
  <si>
    <t>Rochdale (pt)</t>
  </si>
  <si>
    <t>Leigh CC</t>
  </si>
  <si>
    <t>Makerfield CC</t>
  </si>
  <si>
    <t>Manchester Central BC</t>
  </si>
  <si>
    <t>Manchester, Gorton BC</t>
  </si>
  <si>
    <t>Manchester, Withington BC</t>
  </si>
  <si>
    <t>Sidmouth Rural</t>
  </si>
  <si>
    <t>Sidmouth Sidford</t>
  </si>
  <si>
    <t>Sidmouth Town</t>
  </si>
  <si>
    <t>Tale Vale</t>
  </si>
  <si>
    <t>Trinity</t>
  </si>
  <si>
    <t>Whimple</t>
  </si>
  <si>
    <t>Woodbury and Lympstone</t>
  </si>
  <si>
    <t>Yarty</t>
  </si>
  <si>
    <t>Central Devon CC (pt)</t>
  </si>
  <si>
    <t>East Devon CC (pt)</t>
  </si>
  <si>
    <t>Tiverton and Honiton CC (pt)</t>
  </si>
  <si>
    <t>CITY OF EXETER  *</t>
  </si>
  <si>
    <t>Alphington</t>
  </si>
  <si>
    <t>Exwick</t>
  </si>
  <si>
    <t>Heavitree</t>
  </si>
  <si>
    <t>Bashley</t>
  </si>
  <si>
    <t>Becton</t>
  </si>
  <si>
    <t>Boldre and Sway</t>
  </si>
  <si>
    <t>Bramshaw, Copythorne North and Minstead</t>
  </si>
  <si>
    <t>Brockenhurst and Forest South East</t>
  </si>
  <si>
    <t>Buckland</t>
  </si>
  <si>
    <t>Butts Ash and Dibden Purlieu</t>
  </si>
  <si>
    <t>Dibden and Hythe East</t>
  </si>
  <si>
    <t>Downlands and Forest</t>
  </si>
  <si>
    <t>* as created by The Borough of Bolton (Electoral Changes) Order 2004</t>
  </si>
  <si>
    <t>BURY BOROUGH  *</t>
  </si>
  <si>
    <t>KNOWSLEY BOROUGH</t>
  </si>
  <si>
    <t>Holbury and North Blackfield</t>
  </si>
  <si>
    <t>Hordle</t>
  </si>
  <si>
    <t>Hythe West and Langdown</t>
  </si>
  <si>
    <t>Lymington Town</t>
  </si>
  <si>
    <t>Bassetlaw</t>
  </si>
  <si>
    <t>Broxtowe</t>
  </si>
  <si>
    <t>Gedling</t>
  </si>
  <si>
    <t>Mansfield</t>
  </si>
  <si>
    <t>Newark and Sherwood</t>
  </si>
  <si>
    <t>Rushcliffe</t>
  </si>
  <si>
    <t>NOTTINGHAMSHIRE</t>
  </si>
  <si>
    <t>Great Barr with Yew Tree</t>
  </si>
  <si>
    <t>Great Bridge</t>
  </si>
  <si>
    <t>Greets Green and Lyng</t>
  </si>
  <si>
    <t>Hateley Heath</t>
  </si>
  <si>
    <t>Langley</t>
  </si>
  <si>
    <t>Old Warley</t>
  </si>
  <si>
    <t>Oldbury</t>
  </si>
  <si>
    <t>Princes End</t>
  </si>
  <si>
    <t>Failsworth West</t>
  </si>
  <si>
    <t>Hollinwood</t>
  </si>
  <si>
    <t>Medlock Vale</t>
  </si>
  <si>
    <t>Royton North</t>
  </si>
  <si>
    <t>Royton South</t>
  </si>
  <si>
    <t>Saddleworth North</t>
  </si>
  <si>
    <t>Saddleworth South</t>
  </si>
  <si>
    <t>Saddleworth West and Lees</t>
  </si>
  <si>
    <t>St James'</t>
  </si>
  <si>
    <t>Shaw</t>
  </si>
  <si>
    <t>Waterhead</t>
  </si>
  <si>
    <t>Werneth</t>
  </si>
  <si>
    <t>Ashton-under-Lyne BC (pt)</t>
  </si>
  <si>
    <t>Oldham East and Saddleworth CC (pt)</t>
  </si>
  <si>
    <t>North Somerset *</t>
  </si>
  <si>
    <t>Craven</t>
  </si>
  <si>
    <t>Hambleton</t>
  </si>
  <si>
    <t>Harrogate</t>
  </si>
  <si>
    <t>Richmondshire</t>
  </si>
  <si>
    <t>Ryedale</t>
  </si>
  <si>
    <t>Scarborough</t>
  </si>
  <si>
    <t>Selby</t>
  </si>
  <si>
    <t>NORTH YORKSHIRE</t>
  </si>
  <si>
    <t>Nottingham *</t>
  </si>
  <si>
    <t>Ashfield</t>
  </si>
  <si>
    <t>MILTON KEYNES BOROUGH  *</t>
  </si>
  <si>
    <t>Milton Keynes North CC</t>
  </si>
  <si>
    <t>Milton Keynes (pt)</t>
  </si>
  <si>
    <t>Milton Keynes South BC</t>
  </si>
  <si>
    <t>Preesall</t>
  </si>
  <si>
    <t>Rossall</t>
  </si>
  <si>
    <t>Tithebarn</t>
  </si>
  <si>
    <t>Warren</t>
  </si>
  <si>
    <t>Wyresdale</t>
  </si>
  <si>
    <t>Moorland</t>
  </si>
  <si>
    <t>Shaldon and Stokeinteignhead</t>
  </si>
  <si>
    <t>Teignbridge North</t>
  </si>
  <si>
    <t>Teignmouth Central</t>
  </si>
  <si>
    <t>Teignmouth East</t>
  </si>
  <si>
    <t>Teignmouth West</t>
  </si>
  <si>
    <t>Haydock</t>
  </si>
  <si>
    <t>Moss Bank</t>
  </si>
  <si>
    <t>Newton</t>
  </si>
  <si>
    <t>Parr</t>
  </si>
  <si>
    <t>Rainford</t>
  </si>
  <si>
    <t>Elmdon</t>
  </si>
  <si>
    <t>Kingshurst and Fordbridge</t>
  </si>
  <si>
    <t>Lyndon</t>
  </si>
  <si>
    <t>Olton</t>
  </si>
  <si>
    <t>St Alphege</t>
  </si>
  <si>
    <t>Shirley East</t>
  </si>
  <si>
    <t>Shirley South</t>
  </si>
  <si>
    <t>Shirley West</t>
  </si>
  <si>
    <t>Silhill</t>
  </si>
  <si>
    <t>Smith's Wood</t>
  </si>
  <si>
    <t>Houghton</t>
  </si>
  <si>
    <t>Pallion</t>
  </si>
  <si>
    <t>Redhill</t>
  </si>
  <si>
    <t>Ryhope</t>
  </si>
  <si>
    <t>Aspull New Springs Whelley</t>
  </si>
  <si>
    <t>Astley Mosley Common</t>
  </si>
  <si>
    <t>Atherleigh</t>
  </si>
  <si>
    <t>Atherton</t>
  </si>
  <si>
    <t>Bryn</t>
  </si>
  <si>
    <t>Douglas</t>
  </si>
  <si>
    <t>Golborne and Lowton West</t>
  </si>
  <si>
    <t>Hindley</t>
  </si>
  <si>
    <t>Palfrey</t>
  </si>
  <si>
    <t>Pelsall</t>
  </si>
  <si>
    <t>Pheasey Park Farm</t>
  </si>
  <si>
    <t>* as created by The Borough of Solihull (Electoral Changes) Order 2003</t>
  </si>
  <si>
    <t>WALSALL BOROUGH  *</t>
  </si>
  <si>
    <t>Aldridge Central and South</t>
  </si>
  <si>
    <t>Aldridge North and Walsall Wood</t>
  </si>
  <si>
    <t>Bentley and Darlaston North</t>
  </si>
  <si>
    <t>Birchills Leamore</t>
  </si>
  <si>
    <t>Blakenall</t>
  </si>
  <si>
    <t>Lowton East</t>
  </si>
  <si>
    <t>Orrell</t>
  </si>
  <si>
    <t>Pemberton</t>
  </si>
  <si>
    <t>Shevington with Lower Ground</t>
  </si>
  <si>
    <t>Standish with Langtree</t>
  </si>
  <si>
    <t>Wigan Central</t>
  </si>
  <si>
    <t>Wigan West</t>
  </si>
  <si>
    <t>Winstanley</t>
  </si>
  <si>
    <t>Worsley Mesnes</t>
  </si>
  <si>
    <t>* as created by The Borough of Wigan (Electoral Changes) Order 2004</t>
  </si>
  <si>
    <t>HACKNEY LONDON BOROUGH  *</t>
  </si>
  <si>
    <t>Hackney North and Stoke Newington BC</t>
  </si>
  <si>
    <t>Hackney (pt)</t>
  </si>
  <si>
    <t>Hackney South and Shoreditch BC</t>
  </si>
  <si>
    <t>Brownswood</t>
  </si>
  <si>
    <t>Cazenove</t>
  </si>
  <si>
    <t>Clissold</t>
  </si>
  <si>
    <t>De Beauvoir</t>
  </si>
  <si>
    <t>Hackney Central</t>
  </si>
  <si>
    <t>Hackney Downs</t>
  </si>
  <si>
    <t>Haggerston</t>
  </si>
  <si>
    <t>King's Park</t>
  </si>
  <si>
    <t>Springfield</t>
  </si>
  <si>
    <t>HAMMERSMITH AND FULHAM LONDON BOROUGH  * #</t>
  </si>
  <si>
    <t>Chelsea and Fulham BC</t>
  </si>
  <si>
    <t>Hammersmith and Fulham (pt)</t>
  </si>
  <si>
    <t>Kensington and Chelsea (pt)</t>
  </si>
  <si>
    <t>Hammersmith BC</t>
  </si>
  <si>
    <t>Kensington BC</t>
  </si>
  <si>
    <t>Shebbear and Langtree</t>
  </si>
  <si>
    <t>Tamarside</t>
  </si>
  <si>
    <t>Holsworthy</t>
  </si>
  <si>
    <t>Kenwith</t>
  </si>
  <si>
    <t>Monkleigh and Littleham</t>
  </si>
  <si>
    <t>* as created by The Durham (Borough of Darlington) (Structural Change) Order 1995</t>
  </si>
  <si>
    <t># as created by The County Durham (Structural Change) Order 2008</t>
  </si>
  <si>
    <t>Harrowgate Hill</t>
  </si>
  <si>
    <t>Moulsham Lodge</t>
  </si>
  <si>
    <t>Patching Hall</t>
  </si>
  <si>
    <t>Rettendon and Runwell</t>
  </si>
  <si>
    <t>South Hanningfield, Stock and Margaretting</t>
  </si>
  <si>
    <t>South Woodham - Chetwood and Collingwood</t>
  </si>
  <si>
    <t>South Woodham - Elmwood and Woodville</t>
  </si>
  <si>
    <t>Springfield North</t>
  </si>
  <si>
    <t>The Lawns</t>
  </si>
  <si>
    <t>Waterhouse Farm</t>
  </si>
  <si>
    <t>Writtle</t>
  </si>
  <si>
    <t>Maldon CC (pt)</t>
  </si>
  <si>
    <t>Saffron Walden CC (pt)</t>
  </si>
  <si>
    <t>* as created by The Borough of Chelmsford (Electoral Changes) Order 2001</t>
  </si>
  <si>
    <t>COLCHESTER BOROUGH  *</t>
  </si>
  <si>
    <t>Burnham-on-Crouch South</t>
  </si>
  <si>
    <t>Great Totham</t>
  </si>
  <si>
    <t>Heybridge East</t>
  </si>
  <si>
    <t>Heybridge West</t>
  </si>
  <si>
    <t>Maldon East</t>
  </si>
  <si>
    <t>Maldon North</t>
  </si>
  <si>
    <t>Maldon South</t>
  </si>
  <si>
    <t>REDCAR AND CLEVELAND BOROUGH  *</t>
  </si>
  <si>
    <t>County Average (Middlesbrough) (2 seats)</t>
  </si>
  <si>
    <t>County Average (Redcar and Cleveland) (2 seats)</t>
  </si>
  <si>
    <t>County Average (All) (3 seats)</t>
  </si>
  <si>
    <t>Middlesbrough BC</t>
  </si>
  <si>
    <t>Middlesbrough (pt)</t>
  </si>
  <si>
    <t>Middlesbrough South and East Cleveland CC</t>
  </si>
  <si>
    <t>Redcar and Cleveland (pt)</t>
  </si>
  <si>
    <t>Redcar BC</t>
  </si>
  <si>
    <t>CITY OF GLOUCESTER</t>
  </si>
  <si>
    <t>STROUD DISTRICT</t>
  </si>
  <si>
    <t>TEWKESBURY BOROUGH</t>
  </si>
  <si>
    <t>Cheltenham BC</t>
  </si>
  <si>
    <t>Cheltenham (pt)</t>
  </si>
  <si>
    <t>Forest of Dean CC</t>
  </si>
  <si>
    <t>Tewkesbury (pt)</t>
  </si>
  <si>
    <t>Gloucester BC</t>
  </si>
  <si>
    <t>Gloucester (pt)</t>
  </si>
  <si>
    <t>Stroud CC</t>
  </si>
  <si>
    <t>Stroud (pt)</t>
  </si>
  <si>
    <t>Tewkesbury CC</t>
  </si>
  <si>
    <t>The Cotswolds CC</t>
  </si>
  <si>
    <t>CHELTENHAM BOROUGH  *</t>
  </si>
  <si>
    <t>Waltham Abbey Paternoster</t>
  </si>
  <si>
    <t>Waltham Abbey South West</t>
  </si>
  <si>
    <t>Harlow CC (pt)</t>
  </si>
  <si>
    <t>HARLOW DISTRICT  *</t>
  </si>
  <si>
    <t>Bush Fair</t>
  </si>
  <si>
    <t>Church Langley</t>
  </si>
  <si>
    <t>Great Parndon</t>
  </si>
  <si>
    <t>Harlow Common</t>
  </si>
  <si>
    <t>Little Parndon and Hare Street</t>
  </si>
  <si>
    <t>Mark Hall</t>
  </si>
  <si>
    <t>Old Harlow</t>
  </si>
  <si>
    <t>Staple Tye</t>
  </si>
  <si>
    <t>Olney</t>
  </si>
  <si>
    <t>Stantonbury</t>
  </si>
  <si>
    <t>Stony Stratford</t>
  </si>
  <si>
    <t>Wolverton</t>
  </si>
  <si>
    <t>Abingdon Dunmore</t>
  </si>
  <si>
    <t>Abingdon Fitzharris</t>
  </si>
  <si>
    <t>Burstow, Horne and Outwood</t>
  </si>
  <si>
    <t>Chaldon</t>
  </si>
  <si>
    <t>Dormansland and Felcourt</t>
  </si>
  <si>
    <t>Felbridge</t>
  </si>
  <si>
    <t>Godstone</t>
  </si>
  <si>
    <t>Harestone</t>
  </si>
  <si>
    <t>Limpsfield</t>
  </si>
  <si>
    <t>Penkridge West</t>
  </si>
  <si>
    <t>Perton Dippons</t>
  </si>
  <si>
    <t>Perton East</t>
  </si>
  <si>
    <t>Perton Lakeside</t>
  </si>
  <si>
    <t>Trysull and Seisdon</t>
  </si>
  <si>
    <t>Wombourne North and Lower Penn</t>
  </si>
  <si>
    <t>Wombourne South East</t>
  </si>
  <si>
    <t>Wombourne South West</t>
  </si>
  <si>
    <t>Stafford CC (pt)</t>
  </si>
  <si>
    <t>Luton South BC (pt)</t>
  </si>
  <si>
    <t>Barnfield</t>
  </si>
  <si>
    <t>Biscot</t>
  </si>
  <si>
    <t>Bramingham</t>
  </si>
  <si>
    <t>Challney</t>
  </si>
  <si>
    <t>Dallow</t>
  </si>
  <si>
    <t>Bampton and Clanfield</t>
  </si>
  <si>
    <t>Brize Norton and Shilton</t>
  </si>
  <si>
    <t>Burford</t>
  </si>
  <si>
    <t>Carterton North East</t>
  </si>
  <si>
    <t>Carterton North West</t>
  </si>
  <si>
    <t>WEST OXFORDSHIRE DISTRICT  *</t>
  </si>
  <si>
    <t>Alvescot and Filkins</t>
  </si>
  <si>
    <t>Ascott and Shipton</t>
  </si>
  <si>
    <t>TYNE AND WEAR</t>
  </si>
  <si>
    <t>Birmingham</t>
  </si>
  <si>
    <t>Warden Hill</t>
  </si>
  <si>
    <t>Tewkesbury CC (pt)</t>
  </si>
  <si>
    <t>24.</t>
  </si>
  <si>
    <t>25.</t>
  </si>
  <si>
    <t>Wilshamstead</t>
  </si>
  <si>
    <t>26.</t>
  </si>
  <si>
    <t>Wootton</t>
  </si>
  <si>
    <t>Mid Bedfordshire CC (pt)</t>
  </si>
  <si>
    <t>North East Bedfordshire CC (pt)</t>
  </si>
  <si>
    <t>CENTRAL BEDFORDSHIRE  *</t>
  </si>
  <si>
    <t>Ampthill</t>
  </si>
  <si>
    <t>Barton</t>
  </si>
  <si>
    <t>Chadlington and Churchill</t>
  </si>
  <si>
    <t>Charlbury and Finstock</t>
  </si>
  <si>
    <t>Chipping Norton</t>
  </si>
  <si>
    <t>SLOUGH BOROUGH  *</t>
  </si>
  <si>
    <t>WEST BERKSHIRE DISTRICT  *</t>
  </si>
  <si>
    <t>WINDSOR AND MAIDENHEAD BOROUGH  *</t>
  </si>
  <si>
    <t>WOKINGHAM DISTRICT  *</t>
  </si>
  <si>
    <t>Selsey North</t>
  </si>
  <si>
    <t>Clavering</t>
  </si>
  <si>
    <t>Stansted North</t>
  </si>
  <si>
    <t>Holland and Kirby</t>
  </si>
  <si>
    <t>Homelands</t>
  </si>
  <si>
    <t>Lawford</t>
  </si>
  <si>
    <t>Little Clacton and Weeley</t>
  </si>
  <si>
    <t>Manningtree, Mistley, Little Bentley and Tendring</t>
  </si>
  <si>
    <t>Peter Bruff</t>
  </si>
  <si>
    <t>Pier</t>
  </si>
  <si>
    <t>Ramsey and Parkeston</t>
  </si>
  <si>
    <t>Rush Green</t>
  </si>
  <si>
    <t>St Bartholomews</t>
  </si>
  <si>
    <t>Boston and Skegness CC (pt)</t>
  </si>
  <si>
    <t>EAST LINDSEY DISTRICT  *</t>
  </si>
  <si>
    <t>Alford</t>
  </si>
  <si>
    <t>Binbrook</t>
  </si>
  <si>
    <t>Burgh le Marsh</t>
  </si>
  <si>
    <t>Markhouse</t>
  </si>
  <si>
    <t>William Morris</t>
  </si>
  <si>
    <t>Wood Street</t>
  </si>
  <si>
    <t>* as created by The London Borough of Waltham Forest (Electoral Changes) Order 2000</t>
  </si>
  <si>
    <t># paired with the London Borough of Redbridge</t>
  </si>
  <si>
    <t>Langley St.Mary's</t>
  </si>
  <si>
    <t>Upton</t>
  </si>
  <si>
    <t>Wexham Lea</t>
  </si>
  <si>
    <t>Aldermaston</t>
  </si>
  <si>
    <t>Birch Copse</t>
  </si>
  <si>
    <t>Bucklebury</t>
  </si>
  <si>
    <t>Burghfield</t>
  </si>
  <si>
    <t>Calcot</t>
  </si>
  <si>
    <t>Chieveley</t>
  </si>
  <si>
    <t>Clay Hill</t>
  </si>
  <si>
    <t>Cold Ash</t>
  </si>
  <si>
    <t>Three Bridges</t>
  </si>
  <si>
    <t>Leytonstone</t>
  </si>
  <si>
    <t>Broadfield South</t>
  </si>
  <si>
    <t>ST HELENS BOROUGH  *</t>
  </si>
  <si>
    <t>Billinge and Seneley Green</t>
  </si>
  <si>
    <t>Bold</t>
  </si>
  <si>
    <t>Earlestown</t>
  </si>
  <si>
    <t>Eccleston</t>
  </si>
  <si>
    <t>Short Heath</t>
  </si>
  <si>
    <t>Streetly</t>
  </si>
  <si>
    <t>Willenhall North</t>
  </si>
  <si>
    <t>Willenhall South</t>
  </si>
  <si>
    <t>* as created by The Borough of Walsall (Electoral Changes) Order 2003</t>
  </si>
  <si>
    <t>CITY OF WOLVERHAMPTON  *</t>
  </si>
  <si>
    <t>Bilston East</t>
  </si>
  <si>
    <t>Bilston North</t>
  </si>
  <si>
    <t>Blakenhall</t>
  </si>
  <si>
    <t>Bushbury North</t>
  </si>
  <si>
    <t>Bushbury South and Low Hill</t>
  </si>
  <si>
    <t>East Park</t>
  </si>
  <si>
    <t>Ettingshall</t>
  </si>
  <si>
    <t>Fallings Park</t>
  </si>
  <si>
    <t>Graiseley</t>
  </si>
  <si>
    <t>Heath Town</t>
  </si>
  <si>
    <t>Merry Hill</t>
  </si>
  <si>
    <t>Oxley</t>
  </si>
  <si>
    <t>Spring Vale</t>
  </si>
  <si>
    <t>Tettenhall Regis</t>
  </si>
  <si>
    <t>Tettenhall Wightwick</t>
  </si>
  <si>
    <t>Wednesfield North</t>
  </si>
  <si>
    <t>Wednesfield South</t>
  </si>
  <si>
    <t>* as created by The City of Wolverhampton (Electoral Changes) Order 2003</t>
  </si>
  <si>
    <t>ADUR DISTRICT</t>
  </si>
  <si>
    <t>ARUN DISTRICT</t>
  </si>
  <si>
    <t>CHICHESTER DISTRICT</t>
  </si>
  <si>
    <t>Stockton South BC</t>
  </si>
  <si>
    <t>Billingham Central</t>
  </si>
  <si>
    <t>Chalvey</t>
  </si>
  <si>
    <t>Cippenham Green</t>
  </si>
  <si>
    <t>Cippenham Meadows</t>
  </si>
  <si>
    <t>Colnbrook with Poyle</t>
  </si>
  <si>
    <t>Farnham</t>
  </si>
  <si>
    <t>Foxborough</t>
  </si>
  <si>
    <t>FOREST OF DEAN DISTRICT  *</t>
  </si>
  <si>
    <t>Boreham and The Leighs</t>
  </si>
  <si>
    <t>Broomfield and The Walthams</t>
  </si>
  <si>
    <t>Chelmer Village and Beaulieu Park</t>
  </si>
  <si>
    <t>Chelmsford Rural West</t>
  </si>
  <si>
    <t>Galleywood</t>
  </si>
  <si>
    <t>Goat Hall</t>
  </si>
  <si>
    <t>Great Baddow East</t>
  </si>
  <si>
    <t>Highwoods</t>
  </si>
  <si>
    <t>Cinderford West</t>
  </si>
  <si>
    <t>Coleford Central</t>
  </si>
  <si>
    <t>Coleford East</t>
  </si>
  <si>
    <t>Hartpury</t>
  </si>
  <si>
    <t>Hewelsfield and Woolaston</t>
  </si>
  <si>
    <t>Littledean and Ruspidge</t>
  </si>
  <si>
    <t>Lydbrook and Ruardean</t>
  </si>
  <si>
    <t>North Hykeham Witham</t>
  </si>
  <si>
    <t>Osbournby</t>
  </si>
  <si>
    <t>Ruskington</t>
  </si>
  <si>
    <t>Skellingthorpe</t>
  </si>
  <si>
    <t>Sleaford Castle</t>
  </si>
  <si>
    <t>Sleaford Holdingham</t>
  </si>
  <si>
    <t>Sleaford Navigation</t>
  </si>
  <si>
    <t>Sleaford Quarrington and Mareham</t>
  </si>
  <si>
    <t>Bisham and Cookham</t>
  </si>
  <si>
    <t>Boyn Hill</t>
  </si>
  <si>
    <t>Bray</t>
  </si>
  <si>
    <t>Castle Without</t>
  </si>
  <si>
    <t>Clewer East</t>
  </si>
  <si>
    <t>Lydney East</t>
  </si>
  <si>
    <t>Speen</t>
  </si>
  <si>
    <t>Sulhamstead</t>
  </si>
  <si>
    <t>Thatcham Central</t>
  </si>
  <si>
    <t>Thatcham North</t>
  </si>
  <si>
    <t>Thatcham South and Crookham</t>
  </si>
  <si>
    <t>27.</t>
  </si>
  <si>
    <t>Thatcham West</t>
  </si>
  <si>
    <t>28.</t>
  </si>
  <si>
    <t>Theale</t>
  </si>
  <si>
    <t>29.</t>
  </si>
  <si>
    <t>Victoria</t>
  </si>
  <si>
    <t>30.</t>
  </si>
  <si>
    <t>Westwood</t>
  </si>
  <si>
    <t>Wokingham CC (pt)</t>
  </si>
  <si>
    <t>* as created by The District of West Berkshire (Electoral Changes) Order 2002</t>
  </si>
  <si>
    <t>Ascot and Cheapside</t>
  </si>
  <si>
    <t>Belmont</t>
  </si>
  <si>
    <t>STROUD DISTRICT  *</t>
  </si>
  <si>
    <t>Amberley and Woodchester</t>
  </si>
  <si>
    <t>Copthorne and Worth</t>
  </si>
  <si>
    <t>Crawley Down and Turners Hill</t>
  </si>
  <si>
    <t>Cuckfield</t>
  </si>
  <si>
    <t>East Grinstead Ashplats</t>
  </si>
  <si>
    <t>East Grinstead Baldwins</t>
  </si>
  <si>
    <t>East Grinstead Herontye</t>
  </si>
  <si>
    <t>East Grinstead Imberhorne</t>
  </si>
  <si>
    <t>Clewer North</t>
  </si>
  <si>
    <t>Clewer South</t>
  </si>
  <si>
    <t>Cox Green</t>
  </si>
  <si>
    <t>* as created by The District of Mid Sussex (Electoral Changes) Order 2002</t>
  </si>
  <si>
    <t>WORTHING BOROUGH  *</t>
  </si>
  <si>
    <t>Durrington</t>
  </si>
  <si>
    <t>Gaisford</t>
  </si>
  <si>
    <t>Heene</t>
  </si>
  <si>
    <t>Northbrook</t>
  </si>
  <si>
    <t>Offington</t>
  </si>
  <si>
    <t>Salvington</t>
  </si>
  <si>
    <t>Selden</t>
  </si>
  <si>
    <t>Tarring</t>
  </si>
  <si>
    <t>* as created by The Borough of Worthing (Electoral Changes) Order 2002</t>
  </si>
  <si>
    <t>CITY OF BRADFORD</t>
  </si>
  <si>
    <t>CALDERDALE BOROUGH</t>
  </si>
  <si>
    <t>KIRKLEES BOROUGH</t>
  </si>
  <si>
    <t>CITY OF LEEDS</t>
  </si>
  <si>
    <t>CITY OF WAKEFIELD</t>
  </si>
  <si>
    <t>Batley and Spen BC</t>
  </si>
  <si>
    <t>Kirklees (pt)</t>
  </si>
  <si>
    <t>Bradford East BC</t>
  </si>
  <si>
    <t>Bradford (pt)</t>
  </si>
  <si>
    <t>Bradford South BC</t>
  </si>
  <si>
    <t>Bradford West BC</t>
  </si>
  <si>
    <t>Calder Valley CC</t>
  </si>
  <si>
    <t>Calderdale (pt)</t>
  </si>
  <si>
    <t>Colne Valley CC</t>
  </si>
  <si>
    <t>Dewsbury CC</t>
  </si>
  <si>
    <t>Elmet and Rothwell CC</t>
  </si>
  <si>
    <t>Leeds (pt)</t>
  </si>
  <si>
    <t>Halifax BC</t>
  </si>
  <si>
    <t>Hemsworth CC</t>
  </si>
  <si>
    <t>Wakefield (pt)</t>
  </si>
  <si>
    <t>Credenhill</t>
  </si>
  <si>
    <t>Golden Valley North</t>
  </si>
  <si>
    <t>Golden Valley South</t>
  </si>
  <si>
    <t>Hagley</t>
  </si>
  <si>
    <t>Hope End</t>
  </si>
  <si>
    <t>Kerne Bridge</t>
  </si>
  <si>
    <t>Leigh</t>
  </si>
  <si>
    <t>Wildridings and Central</t>
  </si>
  <si>
    <t>Winkfield and Cranbourne</t>
  </si>
  <si>
    <t>Bracknell CC (pt)</t>
  </si>
  <si>
    <t>Windsor CC (pt)</t>
  </si>
  <si>
    <t>Leyton and Wanstead BC</t>
  </si>
  <si>
    <t>Valentines</t>
  </si>
  <si>
    <t>Tilgate</t>
  </si>
  <si>
    <t>* as created by The Borough of Crawley (Electoral Changes) Order 2002</t>
  </si>
  <si>
    <t>HORSHAM DISTRICT  *</t>
  </si>
  <si>
    <t>Billingshurst and Shipley</t>
  </si>
  <si>
    <t>Bramber, Upper Beeding and Woodmancote</t>
  </si>
  <si>
    <t>Broadbridge Heath</t>
  </si>
  <si>
    <t>Chanctonbury</t>
  </si>
  <si>
    <t>Chantry</t>
  </si>
  <si>
    <t>Cowfold, Shermanbury and West Grinstead</t>
  </si>
  <si>
    <t>Denne</t>
  </si>
  <si>
    <t>Prittlewell</t>
  </si>
  <si>
    <t>St Laurence</t>
  </si>
  <si>
    <t>Scunthorpe CC</t>
  </si>
  <si>
    <t>* as created by The Humberside (Structural Change) Order 1995</t>
  </si>
  <si>
    <t>Beverley Rural</t>
  </si>
  <si>
    <t>Bridlington Central and Old Town</t>
  </si>
  <si>
    <t>North Norfolk (pt)</t>
  </si>
  <si>
    <t>Great Yarmouth CC</t>
  </si>
  <si>
    <t>Mid Norfolk CC</t>
  </si>
  <si>
    <t>Breckland (pt)</t>
  </si>
  <si>
    <t>South Norfolk (pt)</t>
  </si>
  <si>
    <t>North Norfolk CC</t>
  </si>
  <si>
    <t>North West Norfolk CC</t>
  </si>
  <si>
    <t>King's Lynn and West Norfolk (pt)</t>
  </si>
  <si>
    <t>Norwich North BC</t>
  </si>
  <si>
    <t>Norwich (pt)</t>
  </si>
  <si>
    <t>Norwich South BC</t>
  </si>
  <si>
    <t>Swaffham</t>
  </si>
  <si>
    <t>Crosby and Park</t>
  </si>
  <si>
    <t>Ferry</t>
  </si>
  <si>
    <t>Frodingham</t>
  </si>
  <si>
    <t>Kingsway with Lincoln Gardens</t>
  </si>
  <si>
    <t>Ridge</t>
  </si>
  <si>
    <t>Claydon</t>
  </si>
  <si>
    <t>East Flegg</t>
  </si>
  <si>
    <t>Fleggburgh</t>
  </si>
  <si>
    <t>Gorleston</t>
  </si>
  <si>
    <t>Lothingland</t>
  </si>
  <si>
    <t>Magdalen</t>
  </si>
  <si>
    <t>Nelson</t>
  </si>
  <si>
    <t>Ormesby</t>
  </si>
  <si>
    <t>Southtown and Cobholm</t>
  </si>
  <si>
    <t>West Flegg</t>
  </si>
  <si>
    <t>Yarmouth North</t>
  </si>
  <si>
    <t>Blofield with South Walsham</t>
  </si>
  <si>
    <t>Brundall</t>
  </si>
  <si>
    <t>Burlingham</t>
  </si>
  <si>
    <t>Buxton</t>
  </si>
  <si>
    <t>West Marsh</t>
  </si>
  <si>
    <t>Wolds</t>
  </si>
  <si>
    <t>Yarborough</t>
  </si>
  <si>
    <t>Cleethorpes CC (pt)</t>
  </si>
  <si>
    <t>KING'S LYNN AND WEST NORFOLK BOROUGH  *</t>
  </si>
  <si>
    <t>Airfield</t>
  </si>
  <si>
    <t>Brancaster</t>
  </si>
  <si>
    <t>Burnham</t>
  </si>
  <si>
    <t>Clenchwarton</t>
  </si>
  <si>
    <t>Denton</t>
  </si>
  <si>
    <t>Dersingham</t>
  </si>
  <si>
    <t>Docking</t>
  </si>
  <si>
    <t>Downham Old Town</t>
  </si>
  <si>
    <t>East Downham</t>
  </si>
  <si>
    <t>Emneth with Outwell</t>
  </si>
  <si>
    <t>Snettisham</t>
  </si>
  <si>
    <t>South and West Lynn</t>
  </si>
  <si>
    <t>South Downham</t>
  </si>
  <si>
    <t>South Wootton</t>
  </si>
  <si>
    <t>Spellowfields</t>
  </si>
  <si>
    <t>* as created by The Borough of Great Yarmouth (Electoral Changes) Order 2002</t>
  </si>
  <si>
    <t>Sprowston Central</t>
  </si>
  <si>
    <t>Sprowston East</t>
  </si>
  <si>
    <t>Taverham North</t>
  </si>
  <si>
    <t>Taverham South</t>
  </si>
  <si>
    <t>Thorpe St Andrew North West</t>
  </si>
  <si>
    <t>Thorpe St Andrew South East</t>
  </si>
  <si>
    <t>Wroxham</t>
  </si>
  <si>
    <t>Broadland CC (pt)</t>
  </si>
  <si>
    <t>Norwich North BC (pt)</t>
  </si>
  <si>
    <t>* as created by The District of Broadland (Electoral Changes) Order 2003</t>
  </si>
  <si>
    <t>GREAT YARMOUTH BOROUGH  *</t>
  </si>
  <si>
    <t>Bradwell North</t>
  </si>
  <si>
    <t>Great Horton</t>
  </si>
  <si>
    <t>Idle and Thackley</t>
  </si>
  <si>
    <t>Ilkley</t>
  </si>
  <si>
    <t>Keighley Central</t>
  </si>
  <si>
    <t>Keighley East</t>
  </si>
  <si>
    <t>Keighley West</t>
  </si>
  <si>
    <t>Little Horton</t>
  </si>
  <si>
    <t>Manningham</t>
  </si>
  <si>
    <t>Royds</t>
  </si>
  <si>
    <t>Fairstead</t>
  </si>
  <si>
    <t>Gayton</t>
  </si>
  <si>
    <t>Gaywood Chase</t>
  </si>
  <si>
    <t>Gaywood North Bank</t>
  </si>
  <si>
    <t>Grimston</t>
  </si>
  <si>
    <t>Heacham</t>
  </si>
  <si>
    <t>Hilgay with Denver</t>
  </si>
  <si>
    <t>Hunstanton</t>
  </si>
  <si>
    <t>Mershe Lande</t>
  </si>
  <si>
    <t>North Downham</t>
  </si>
  <si>
    <t>North Lynn</t>
  </si>
  <si>
    <t>North Wootton</t>
  </si>
  <si>
    <t>* as created by The Borough of Dacorum (Electoral Changes) Order 2007</t>
  </si>
  <si>
    <t>EAST HERTFORDSHIRE DISTRICT  *</t>
  </si>
  <si>
    <t>Petersfield</t>
  </si>
  <si>
    <t>Queen Edith's</t>
  </si>
  <si>
    <t>Romsey</t>
  </si>
  <si>
    <t>Trumpington</t>
  </si>
  <si>
    <t>West Chesterton</t>
  </si>
  <si>
    <t>North East Hertfordshire CC (pt)</t>
  </si>
  <si>
    <t>Luddendenfoot</t>
  </si>
  <si>
    <t>Northowram and Shelf</t>
  </si>
  <si>
    <t>Ovenden</t>
  </si>
  <si>
    <t>Rastrick</t>
  </si>
  <si>
    <t>Rutland and Melton CC (pt)</t>
  </si>
  <si>
    <t>* as created by The District of Rutland (Electoral Changes) Order 2003</t>
  </si>
  <si>
    <t>BLABY DISTRICT  *</t>
  </si>
  <si>
    <t>Blaby South</t>
  </si>
  <si>
    <t>Cosby with South Whetstone</t>
  </si>
  <si>
    <t>Stevenage CC (pt)</t>
  </si>
  <si>
    <t>HERTSMERE BOROUGH  *</t>
  </si>
  <si>
    <t>Aldenham East</t>
  </si>
  <si>
    <t>Aldenham West</t>
  </si>
  <si>
    <t>Borehamwood Brookmeadow</t>
  </si>
  <si>
    <t>Borehamwood Cowley Hill</t>
  </si>
  <si>
    <t>Borehamwood Hillside</t>
  </si>
  <si>
    <t>Borehamwood Kenilworth</t>
  </si>
  <si>
    <t>Bushey Heath</t>
  </si>
  <si>
    <t>Bushey North</t>
  </si>
  <si>
    <t>Bushey Park</t>
  </si>
  <si>
    <t>Bushey St James</t>
  </si>
  <si>
    <t>Elstree</t>
  </si>
  <si>
    <t>Potters Bar Furzefield</t>
  </si>
  <si>
    <t>Potters Bar Oakmere</t>
  </si>
  <si>
    <t>Hill</t>
  </si>
  <si>
    <t>Kirkgate</t>
  </si>
  <si>
    <t>Lattersey</t>
  </si>
  <si>
    <t>Manea</t>
  </si>
  <si>
    <t>March East</t>
  </si>
  <si>
    <t>March North</t>
  </si>
  <si>
    <t>March West</t>
  </si>
  <si>
    <t>Medworth</t>
  </si>
  <si>
    <t>Peckover</t>
  </si>
  <si>
    <t>Roman Bank</t>
  </si>
  <si>
    <t>St Andrews</t>
  </si>
  <si>
    <t>St Marys</t>
  </si>
  <si>
    <t>* as created by The Borough of Hertsmere (Electoral Changes) Order 1998</t>
  </si>
  <si>
    <t>NORTH HERTFORDSHIRE DISTRICT  *</t>
  </si>
  <si>
    <t>Baldock East</t>
  </si>
  <si>
    <t>Baldock Town</t>
  </si>
  <si>
    <t>Holme Valley North</t>
  </si>
  <si>
    <t>Holme Valley South</t>
  </si>
  <si>
    <t>Kirkburton</t>
  </si>
  <si>
    <t>Potters Bar Parkfield</t>
  </si>
  <si>
    <t>Shenley</t>
  </si>
  <si>
    <t>Eltham South</t>
  </si>
  <si>
    <t>Eltham West</t>
  </si>
  <si>
    <t>Glyndon</t>
  </si>
  <si>
    <t>Greenwich West</t>
  </si>
  <si>
    <t>Kidbrooke with Hornfair</t>
  </si>
  <si>
    <t>Middle Park and Sutcliffe</t>
  </si>
  <si>
    <t>Peninsula</t>
  </si>
  <si>
    <t>Plumstead</t>
  </si>
  <si>
    <t>Shooters Hill</t>
  </si>
  <si>
    <t>Thamesmead Moorings</t>
  </si>
  <si>
    <t>Woolwich Common</t>
  </si>
  <si>
    <t>Woolwich Riverside</t>
  </si>
  <si>
    <t>* as created by The London Borough of Greenwich (Electoral Changes) Order 2000</t>
  </si>
  <si>
    <t># paired with the London Borough of Bexley</t>
  </si>
  <si>
    <t>BRENT LONDON BOROUGH  * #</t>
  </si>
  <si>
    <t>Brent Central BC</t>
  </si>
  <si>
    <t>Brent (pt)</t>
  </si>
  <si>
    <t>Brent North BC</t>
  </si>
  <si>
    <t>Hampstead and Kilburn BC</t>
  </si>
  <si>
    <t>Camden (pt)</t>
  </si>
  <si>
    <t>Holborn and St Pancras BC</t>
  </si>
  <si>
    <t>Alperton</t>
  </si>
  <si>
    <t>Barnhill</t>
  </si>
  <si>
    <t>Brondesbury Park</t>
  </si>
  <si>
    <t>Dollis Hill</t>
  </si>
  <si>
    <t>Dudden Hill</t>
  </si>
  <si>
    <t>Lindley</t>
  </si>
  <si>
    <t>Liversedge and Gomersal</t>
  </si>
  <si>
    <t>Mirfield</t>
  </si>
  <si>
    <t>Newsome</t>
  </si>
  <si>
    <t>DAVENTRY DISTRICT  *</t>
  </si>
  <si>
    <t>Abbey North</t>
  </si>
  <si>
    <t>Abbey South</t>
  </si>
  <si>
    <t>Barby and Kilsby</t>
  </si>
  <si>
    <t>Fortune Green</t>
  </si>
  <si>
    <t>Frognal and Fitzjohns</t>
  </si>
  <si>
    <t>Gospel Oak</t>
  </si>
  <si>
    <t>Hampstead Town</t>
  </si>
  <si>
    <t>Haverstock</t>
  </si>
  <si>
    <t>Highgate</t>
  </si>
  <si>
    <t>Holborn and Covent Garden</t>
  </si>
  <si>
    <t>Kentish Town</t>
  </si>
  <si>
    <t>King's Cross</t>
  </si>
  <si>
    <t>Watford BC (pt)</t>
  </si>
  <si>
    <t>WATFORD BOROUGH  *</t>
  </si>
  <si>
    <t>Callowland</t>
  </si>
  <si>
    <t>Holywell</t>
  </si>
  <si>
    <t>Leggatts</t>
  </si>
  <si>
    <t>Meriden</t>
  </si>
  <si>
    <t>Nascot</t>
  </si>
  <si>
    <t>Oxhey</t>
  </si>
  <si>
    <t>Stanborough</t>
  </si>
  <si>
    <t>Tudor</t>
  </si>
  <si>
    <t>Vicarage</t>
  </si>
  <si>
    <t>Moor Park &amp; Eastbury</t>
  </si>
  <si>
    <t>Penn</t>
  </si>
  <si>
    <t>Farnley and Wortley</t>
  </si>
  <si>
    <t>South Northamptonshire (pt)</t>
  </si>
  <si>
    <t>Wellingborough (pt)</t>
  </si>
  <si>
    <t>Kettering CC</t>
  </si>
  <si>
    <t>Northampton North BC</t>
  </si>
  <si>
    <t>Northampton (pt)</t>
  </si>
  <si>
    <t>Northampton South BC</t>
  </si>
  <si>
    <t>South Northamptonshire CC</t>
  </si>
  <si>
    <t>Wellingborough CC</t>
  </si>
  <si>
    <t>CORBY BOROUGH  *</t>
  </si>
  <si>
    <t>Beanfield</t>
  </si>
  <si>
    <t>Danesholme</t>
  </si>
  <si>
    <t>Lodge Park</t>
  </si>
  <si>
    <t>Rowlett</t>
  </si>
  <si>
    <t>Rural West</t>
  </si>
  <si>
    <t>CAMDEN LONDON BOROUGH  * #</t>
  </si>
  <si>
    <t>Belsize</t>
  </si>
  <si>
    <t>Bloomsbury</t>
  </si>
  <si>
    <t>Camden Town with Primrose Hill</t>
  </si>
  <si>
    <t>Cantelowes</t>
  </si>
  <si>
    <t>Leavesden</t>
  </si>
  <si>
    <t>Buckingham North</t>
  </si>
  <si>
    <t>Buckingham South</t>
  </si>
  <si>
    <t>NORTH WARWICKSHIRE BOROUGH</t>
  </si>
  <si>
    <t>NUNEATON AND BEDWORTH BOROUGH</t>
  </si>
  <si>
    <t>RUGBY BOROUGH</t>
  </si>
  <si>
    <t>Kippax and Methley</t>
  </si>
  <si>
    <t>Kirkstall</t>
  </si>
  <si>
    <t>Middleton Park</t>
  </si>
  <si>
    <t>Moortown</t>
  </si>
  <si>
    <t>Morley North</t>
  </si>
  <si>
    <t>Morley South</t>
  </si>
  <si>
    <t>Otley and Yeadon</t>
  </si>
  <si>
    <t>Pudsey</t>
  </si>
  <si>
    <t>Roundhay</t>
  </si>
  <si>
    <t>Temple Newsam</t>
  </si>
  <si>
    <t>Weetwood</t>
  </si>
  <si>
    <t>Wetherby</t>
  </si>
  <si>
    <t>Plaistow and Sundridge</t>
  </si>
  <si>
    <t>Shortlands</t>
  </si>
  <si>
    <t>West Wickham</t>
  </si>
  <si>
    <t>* as created by The London Borough of Bromley (Electoral Changes) Order 2000</t>
  </si>
  <si>
    <t># paired with the London Borough of Lewisham</t>
  </si>
  <si>
    <t>LEWISHAM LONDON BOROUGH  * #</t>
  </si>
  <si>
    <t>Bellingham</t>
  </si>
  <si>
    <t>Blackheath</t>
  </si>
  <si>
    <t>Brockley</t>
  </si>
  <si>
    <t>Catford South</t>
  </si>
  <si>
    <t>Crofton Park</t>
  </si>
  <si>
    <t>Downham</t>
  </si>
  <si>
    <t>Evelyn</t>
  </si>
  <si>
    <t>Forest Hill</t>
  </si>
  <si>
    <t>Grove Park</t>
  </si>
  <si>
    <t>Ladywell</t>
  </si>
  <si>
    <t>Lee Green</t>
  </si>
  <si>
    <t>Lewisham Central</t>
  </si>
  <si>
    <t>New Cross</t>
  </si>
  <si>
    <t>Perry Vale</t>
  </si>
  <si>
    <t>Rushey Green</t>
  </si>
  <si>
    <t>Sydenham</t>
  </si>
  <si>
    <t>Telegraph Hill</t>
  </si>
  <si>
    <t>Whitefoot</t>
  </si>
  <si>
    <t>* as created by The London Borough of Lewisham (Electoral Changes) Order 2000</t>
  </si>
  <si>
    <t>Desborough Loatland</t>
  </si>
  <si>
    <t>Desborough St Giles</t>
  </si>
  <si>
    <t>Ise Lodge</t>
  </si>
  <si>
    <t>St Michael's and Wicksteed</t>
  </si>
  <si>
    <t>Welland</t>
  </si>
  <si>
    <t>William Knibb</t>
  </si>
  <si>
    <t>* as created by The Hereford and Worcester (Structural, Boundary and Electoral Changes) Order 1996</t>
  </si>
  <si>
    <t>BROMSGROVE DISTRICT  *</t>
  </si>
  <si>
    <t>BEXLEY LONDON BOROUGH  * #</t>
  </si>
  <si>
    <t>Bexleyheath and Crayford BC</t>
  </si>
  <si>
    <t>Bristol North West BC</t>
  </si>
  <si>
    <t>* as created by The London Borough of Hounslow (Electoral Changes) Order 2000</t>
  </si>
  <si>
    <t>* as created by The District of Wokingham (Electoral Changes) Order 2002</t>
  </si>
  <si>
    <t># paired with the London Borough of Bromley</t>
  </si>
  <si>
    <t>CITY OF BRISTOL  *</t>
  </si>
  <si>
    <t>County Average (4 seats)</t>
  </si>
  <si>
    <t>Bristol East BC</t>
  </si>
  <si>
    <t>Bristol (pt)</t>
  </si>
  <si>
    <t>Parklands</t>
  </si>
  <si>
    <t>Spencer</t>
  </si>
  <si>
    <t>West Hunsbury</t>
  </si>
  <si>
    <t>Pipers Hill</t>
  </si>
  <si>
    <t>Queen Eleanor and Buccleuch</t>
  </si>
  <si>
    <t>Rothwell</t>
  </si>
  <si>
    <t>Skipton and Ripon CC (pt)</t>
  </si>
  <si>
    <t>Albrighton</t>
  </si>
  <si>
    <t>Alveley and Claverley</t>
  </si>
  <si>
    <t>Bagley</t>
  </si>
  <si>
    <t>Battlefield</t>
  </si>
  <si>
    <t>Bayston Hill, Column and Sutton</t>
  </si>
  <si>
    <t>Bishop's Castle</t>
  </si>
  <si>
    <t>Bowbrook</t>
  </si>
  <si>
    <t>Bridgnorth East and Astley Abbotts</t>
  </si>
  <si>
    <t>Bridgnorth West and Tasley</t>
  </si>
  <si>
    <t>Broseley</t>
  </si>
  <si>
    <t>Brown Clee</t>
  </si>
  <si>
    <t>Burnell</t>
  </si>
  <si>
    <t>Castlefields and Ditherington</t>
  </si>
  <si>
    <t>Cheswardine</t>
  </si>
  <si>
    <t>Chirbury and Worthen</t>
  </si>
  <si>
    <t>Church Stretton and Craven Arms</t>
  </si>
  <si>
    <t>Clee</t>
  </si>
  <si>
    <t>Cleobury Mortimer</t>
  </si>
  <si>
    <t>Clun</t>
  </si>
  <si>
    <t>Copthorne</t>
  </si>
  <si>
    <t>Corvedale</t>
  </si>
  <si>
    <t>Ellesmere Urban</t>
  </si>
  <si>
    <t>Harlescott</t>
  </si>
  <si>
    <t>Highley</t>
  </si>
  <si>
    <t>Hodnet</t>
  </si>
  <si>
    <t>Llanymynech</t>
  </si>
  <si>
    <t>Longden</t>
  </si>
  <si>
    <t>Loton</t>
  </si>
  <si>
    <t>Ludlow East</t>
  </si>
  <si>
    <t>Ludlow South</t>
  </si>
  <si>
    <t>Market Drayton East</t>
  </si>
  <si>
    <t>Market Drayton West</t>
  </si>
  <si>
    <t>Meole</t>
  </si>
  <si>
    <t>Monkmoor</t>
  </si>
  <si>
    <t>Much Wenlock</t>
  </si>
  <si>
    <t>Oswestry East</t>
  </si>
  <si>
    <t>Oswestry South</t>
  </si>
  <si>
    <t>Oswestry West</t>
  </si>
  <si>
    <t>Porthill</t>
  </si>
  <si>
    <t>Prees</t>
  </si>
  <si>
    <t>Tardebigge</t>
  </si>
  <si>
    <t>County Average (Cambridgeshire) (6 seats)</t>
  </si>
  <si>
    <t>County Average (Peterborough) (2 seats)</t>
  </si>
  <si>
    <t>County Average (All) (7 seats)</t>
  </si>
  <si>
    <t>Cambridge BC</t>
  </si>
  <si>
    <t>Cambridge (pt)</t>
  </si>
  <si>
    <t>Huntingdon CC</t>
  </si>
  <si>
    <t>Huntingdonshire (pt)</t>
  </si>
  <si>
    <t>North East Cambridgeshire CC</t>
  </si>
  <si>
    <t>East Cambridgeshire (pt)</t>
  </si>
  <si>
    <t>North West Cambridgeshire CC</t>
  </si>
  <si>
    <t>Peterborough (pt)</t>
  </si>
  <si>
    <t>Peterborough BC</t>
  </si>
  <si>
    <t>South Cambridgeshire CC</t>
  </si>
  <si>
    <t>South Cambridgeshire (pt)</t>
  </si>
  <si>
    <t>South East Cambridgeshire CC</t>
  </si>
  <si>
    <t>NORTH YORKSHIRE  *</t>
  </si>
  <si>
    <t>CRAVEN DISTRICT</t>
  </si>
  <si>
    <t>HAMBLETON DISTRICT</t>
  </si>
  <si>
    <t>HARROGATE BOROUGH  *</t>
  </si>
  <si>
    <t>RICHMONDSHIRE DISTRICT</t>
  </si>
  <si>
    <t>RYEDALE DISTRICT  *</t>
  </si>
  <si>
    <t>SCARBOROUGH BOROUGH</t>
  </si>
  <si>
    <t>SELBY DISTRICT  *</t>
  </si>
  <si>
    <t>Harrogate and Knaresborough CC</t>
  </si>
  <si>
    <t>Harrogate (pt)</t>
  </si>
  <si>
    <t>Richmond (Yorks) CC</t>
  </si>
  <si>
    <t>Hambleton (pt)</t>
  </si>
  <si>
    <t>Scarborough and Whitby CC</t>
  </si>
  <si>
    <t>Scarborough (pt)</t>
  </si>
  <si>
    <t>Selby and Ainsty CC</t>
  </si>
  <si>
    <t>Skipton and Ripon CC</t>
  </si>
  <si>
    <t>Thirsk and Malton CC</t>
  </si>
  <si>
    <t>Vintry</t>
  </si>
  <si>
    <t>Walbrook</t>
  </si>
  <si>
    <t># paired with the City of Westminster</t>
  </si>
  <si>
    <t>Link</t>
  </si>
  <si>
    <t>Martley</t>
  </si>
  <si>
    <t>Pickersleigh</t>
  </si>
  <si>
    <t>Powick</t>
  </si>
  <si>
    <t>Ripple</t>
  </si>
  <si>
    <t>Teme Valley</t>
  </si>
  <si>
    <t>Tenbury</t>
  </si>
  <si>
    <t>Upton and Hanley</t>
  </si>
  <si>
    <t>Wells</t>
  </si>
  <si>
    <t>Woodbury</t>
  </si>
  <si>
    <t>West Worcestershire CC (pt)</t>
  </si>
  <si>
    <t>* as created by The Malvern Hills (Electoral Changes) Order 2002</t>
  </si>
  <si>
    <t>REDDITCH BOROUGH  *</t>
  </si>
  <si>
    <t>Astwood Bank and Feckenham</t>
  </si>
  <si>
    <t>Henley CC (pt)</t>
  </si>
  <si>
    <t>Oxford West and Abingdon CC (pt)</t>
  </si>
  <si>
    <t>CITY OF OXFORD  *</t>
  </si>
  <si>
    <t>Barton and Sandhills</t>
  </si>
  <si>
    <t>Blackbird Leys</t>
  </si>
  <si>
    <t>Carfax</t>
  </si>
  <si>
    <t>Cowley</t>
  </si>
  <si>
    <t>Cowley Marsh</t>
  </si>
  <si>
    <t>Headington</t>
  </si>
  <si>
    <t>Headington Hill and Northway</t>
  </si>
  <si>
    <t>Hinksey Park</t>
  </si>
  <si>
    <t>Iffley Fields</t>
  </si>
  <si>
    <t>Jericho and Osney</t>
  </si>
  <si>
    <t>Littlemore</t>
  </si>
  <si>
    <t>Lye Valley</t>
  </si>
  <si>
    <t>Northfield Brook</t>
  </si>
  <si>
    <t>* as created by The Cornwall (Structural Change) Order 2007</t>
  </si>
  <si>
    <t>CROYDON LONDON BOROUGH  *</t>
  </si>
  <si>
    <t>Borough Average (3 Seats)</t>
  </si>
  <si>
    <t>Croydon Central BC</t>
  </si>
  <si>
    <t>Ellenborough</t>
  </si>
  <si>
    <t>Ewanrigg</t>
  </si>
  <si>
    <t>Flimby</t>
  </si>
  <si>
    <t>Harrington</t>
  </si>
  <si>
    <t>Holme</t>
  </si>
  <si>
    <t>Keswick</t>
  </si>
  <si>
    <t>Marsh</t>
  </si>
  <si>
    <t>Moorclose</t>
  </si>
  <si>
    <t>Moss Bay</t>
  </si>
  <si>
    <t>Netherhall</t>
  </si>
  <si>
    <t>St John's</t>
  </si>
  <si>
    <t>Seaton</t>
  </si>
  <si>
    <t>Silloth</t>
  </si>
  <si>
    <t>Solway</t>
  </si>
  <si>
    <t>Stainburn</t>
  </si>
  <si>
    <t>Wampool</t>
  </si>
  <si>
    <t>Warnell</t>
  </si>
  <si>
    <t>Waver</t>
  </si>
  <si>
    <t>Wharrels</t>
  </si>
  <si>
    <t>Wigton</t>
  </si>
  <si>
    <t>Copeland CC (pt)</t>
  </si>
  <si>
    <t>Penrith and The Border CC (pt)</t>
  </si>
  <si>
    <t>* as created by The Borough of Allerdale (Electoral Changes) Order 1998</t>
  </si>
  <si>
    <t>BARROW-IN-FURNESS BOROUGH  *</t>
  </si>
  <si>
    <t>West Thornton</t>
  </si>
  <si>
    <t>Woodside</t>
  </si>
  <si>
    <t>* as created by The London Borough of Croydon (Electoral Changes) Order 2000</t>
  </si>
  <si>
    <t>ALLERDALE BOROUGH</t>
  </si>
  <si>
    <t>BARROW-IN-FURNESS BOROUGH</t>
  </si>
  <si>
    <t>CITY OF CARLISLE</t>
  </si>
  <si>
    <t>COPELAND BOROUGH</t>
  </si>
  <si>
    <t>South Norwood</t>
  </si>
  <si>
    <t>Thornton Heath</t>
  </si>
  <si>
    <t>Upper Norwood</t>
  </si>
  <si>
    <t>Waddon</t>
  </si>
  <si>
    <t>* as created by The County of Wiltshire (Electoral Changes) Order 2009</t>
  </si>
  <si>
    <t>Wiltshire *</t>
  </si>
  <si>
    <t>Ambleside and Grasmere</t>
  </si>
  <si>
    <t>Broughton</t>
  </si>
  <si>
    <t>Askew</t>
  </si>
  <si>
    <t>South West Wiltshire CC</t>
  </si>
  <si>
    <t>* as created by The Wiltshire (Structural Change) Order 2008</t>
  </si>
  <si>
    <t>Aldbourne and Ramsbury</t>
  </si>
  <si>
    <t>Alderbury and Whiteparish</t>
  </si>
  <si>
    <t>Amesbury East</t>
  </si>
  <si>
    <t>Amesbury West</t>
  </si>
  <si>
    <t>Bourne and Woodford Valley</t>
  </si>
  <si>
    <t>Box and Colerne</t>
  </si>
  <si>
    <t>Bradford-on-Avon North</t>
  </si>
  <si>
    <t>Bradford-on-Avon South</t>
  </si>
  <si>
    <t>Brinkworth</t>
  </si>
  <si>
    <t>Bromham, Rowde and Potterne</t>
  </si>
  <si>
    <t>Bulford, Allington and Figheldean</t>
  </si>
  <si>
    <t>Burbage and the Bedwyns</t>
  </si>
  <si>
    <t>By Brook</t>
  </si>
  <si>
    <t>Calne Central</t>
  </si>
  <si>
    <t>Calne Chilvester and Abberd</t>
  </si>
  <si>
    <t>Calne North</t>
  </si>
  <si>
    <t>Calne Rural</t>
  </si>
  <si>
    <t>Calne South and Cherhill</t>
  </si>
  <si>
    <t>Chippenham Cepen Park and Derriads</t>
  </si>
  <si>
    <t>Chippenham Cepen Park and Redlands</t>
  </si>
  <si>
    <t>Chippenham Hardens and England</t>
  </si>
  <si>
    <t>Chippenham Lowden and Rowden</t>
  </si>
  <si>
    <t>Chippenham Monkton</t>
  </si>
  <si>
    <t>Chippenham Pewsham</t>
  </si>
  <si>
    <t>Chippenham Queens and Sheldon</t>
  </si>
  <si>
    <t>Corsham Town</t>
  </si>
  <si>
    <t>Corsham Without and Box Hill</t>
  </si>
  <si>
    <t>Cricklade and Latton</t>
  </si>
  <si>
    <t>Devizes and Roundway South</t>
  </si>
  <si>
    <t>Devizes East</t>
  </si>
  <si>
    <t>Devizes North</t>
  </si>
  <si>
    <t>Downton and Ebble Valley</t>
  </si>
  <si>
    <t>Durrington and Larkhill</t>
  </si>
  <si>
    <t>Fovant and Chalke Valley</t>
  </si>
  <si>
    <t>Hilperton</t>
  </si>
  <si>
    <t>Holt and Staverton</t>
  </si>
  <si>
    <t>Kington</t>
  </si>
  <si>
    <t>Laverstock, Ford and Old Sarum</t>
  </si>
  <si>
    <t>Chorley North West</t>
  </si>
  <si>
    <t>Chorley South East</t>
  </si>
  <si>
    <t>Chorley South West</t>
  </si>
  <si>
    <t>Clayton-le-Woods and Whittle-le-Woods</t>
  </si>
  <si>
    <t>Esk Valley</t>
  </si>
  <si>
    <t>Falsgrave Park</t>
  </si>
  <si>
    <t>Filey</t>
  </si>
  <si>
    <t>Fylingdales</t>
  </si>
  <si>
    <t>Ryedale South West</t>
  </si>
  <si>
    <t>Sheriff Hutton</t>
  </si>
  <si>
    <t>Sinnington</t>
  </si>
  <si>
    <t>Thornton Dale</t>
  </si>
  <si>
    <t>* as created by The District of Ryedale (Electoral Changes) Order 2000</t>
  </si>
  <si>
    <t>SCARBOROUGH BOROUGH  *</t>
  </si>
  <si>
    <t>Cayton</t>
  </si>
  <si>
    <t>Danby</t>
  </si>
  <si>
    <t>Spotland and Falinge</t>
  </si>
  <si>
    <t>Wardle and West Littleborough</t>
  </si>
  <si>
    <t>West Heywood</t>
  </si>
  <si>
    <t>West Middleton</t>
  </si>
  <si>
    <t>* as created by The Borough of Rochdale (Electoral Changes) Order 2004</t>
  </si>
  <si>
    <t>CITY OF SALFORD  *</t>
  </si>
  <si>
    <t>Strensall</t>
  </si>
  <si>
    <t>Winchester CC</t>
  </si>
  <si>
    <t>Bargate</t>
  </si>
  <si>
    <t>Bassett</t>
  </si>
  <si>
    <t>Bevois</t>
  </si>
  <si>
    <t>Bitterne</t>
  </si>
  <si>
    <t>Bitterne Park</t>
  </si>
  <si>
    <t>Coxford</t>
  </si>
  <si>
    <t>Freemantle</t>
  </si>
  <si>
    <t>Harefield</t>
  </si>
  <si>
    <t>Millbrook</t>
  </si>
  <si>
    <t>Peartree</t>
  </si>
  <si>
    <t>Portswood</t>
  </si>
  <si>
    <t>Sholing</t>
  </si>
  <si>
    <t>Swaythling</t>
  </si>
  <si>
    <t>Woolston</t>
  </si>
  <si>
    <t>Denmead</t>
  </si>
  <si>
    <t>Westworth</t>
  </si>
  <si>
    <t>Zetland</t>
  </si>
  <si>
    <t>Middlesbrough South and East Cleveland CC (pt)</t>
  </si>
  <si>
    <t>* as created by The Borough of Redcar and Cleveland (Electoral Changes) Order 2003</t>
  </si>
  <si>
    <t>Reedley</t>
  </si>
  <si>
    <t>Southfield</t>
  </si>
  <si>
    <t>Vivary Bridge</t>
  </si>
  <si>
    <t>Walverden</t>
  </si>
  <si>
    <t>Whitefield</t>
  </si>
  <si>
    <t>CITY OF PRESTON  *</t>
  </si>
  <si>
    <t>Brookfield</t>
  </si>
  <si>
    <t>Cadley</t>
  </si>
  <si>
    <t>Deepdale</t>
  </si>
  <si>
    <t>Fishwick</t>
  </si>
  <si>
    <t>Garrison</t>
  </si>
  <si>
    <t>Greyfriars</t>
  </si>
  <si>
    <t>Ingol</t>
  </si>
  <si>
    <t>Larches</t>
  </si>
  <si>
    <t>Lea</t>
  </si>
  <si>
    <t>Moor Park</t>
  </si>
  <si>
    <t>Preston Rural East</t>
  </si>
  <si>
    <t>Preston Rural North</t>
  </si>
  <si>
    <t>Ribbleton</t>
  </si>
  <si>
    <t>Riversway</t>
  </si>
  <si>
    <t>St George's</t>
  </si>
  <si>
    <t>St Matthew's</t>
  </si>
  <si>
    <t>Sharoe Green</t>
  </si>
  <si>
    <t>Sedbergh and Kirkby Lonsdale</t>
  </si>
  <si>
    <t>Marsh Gibbon</t>
  </si>
  <si>
    <t>Middlesbrough South and Cleveland CC (pt)</t>
  </si>
  <si>
    <t>Brotton</t>
  </si>
  <si>
    <t>Coatham</t>
  </si>
  <si>
    <t>Romsey and Southampton North CC (pt)</t>
  </si>
  <si>
    <t>* as created by The City of Southampton (Electoral Changes) Order 2001</t>
  </si>
  <si>
    <t>BASINGSTOKE AND DEANE BOROUGH  *</t>
  </si>
  <si>
    <t>Basing</t>
  </si>
  <si>
    <t>Baughurst and Tadley North</t>
  </si>
  <si>
    <t>Bramley and Sherfield</t>
  </si>
  <si>
    <t xml:space="preserve">North East Hampshire CC </t>
  </si>
  <si>
    <t>Brighton Hill North</t>
  </si>
  <si>
    <t>Brighton Hill South</t>
  </si>
  <si>
    <t>Brookvale and Kings Furlong</t>
  </si>
  <si>
    <t>Buckskin</t>
  </si>
  <si>
    <t>Burghclere, Highclere and St Mary Bourne</t>
  </si>
  <si>
    <t xml:space="preserve">North West Hampshire CC </t>
  </si>
  <si>
    <t>Chineham</t>
  </si>
  <si>
    <t>East Woodhay</t>
  </si>
  <si>
    <t>Eastrop</t>
  </si>
  <si>
    <t>Grove</t>
  </si>
  <si>
    <t>Hatch Warren and Beggarwood</t>
  </si>
  <si>
    <t>Kempshott</t>
  </si>
  <si>
    <t>Kingsclere</t>
  </si>
  <si>
    <t>Oakley and North Waltham</t>
  </si>
  <si>
    <t>Overton, Laverstoke and Steventon</t>
  </si>
  <si>
    <t>Pamber and Silchester</t>
  </si>
  <si>
    <t>Popley East</t>
  </si>
  <si>
    <t>Popley West</t>
  </si>
  <si>
    <t>Rooksdown</t>
  </si>
  <si>
    <t>Sherborne St John</t>
  </si>
  <si>
    <t>South Ham</t>
  </si>
  <si>
    <t>* as created by The Isle of Wight (Electoral Changes) Order 2008</t>
  </si>
  <si>
    <t>ISLINGTON LONDON BOROUGH  *</t>
  </si>
  <si>
    <t>Islington North BC</t>
  </si>
  <si>
    <t>Islington (pt)</t>
  </si>
  <si>
    <t>Farington East</t>
  </si>
  <si>
    <t>Farington West</t>
  </si>
  <si>
    <t>Leyland Central</t>
  </si>
  <si>
    <t>Lostock Hall</t>
  </si>
  <si>
    <t>Middleforth</t>
  </si>
  <si>
    <t>Gillingham North</t>
  </si>
  <si>
    <t>Gillingham South</t>
  </si>
  <si>
    <t>Hempstead and Wigmore</t>
  </si>
  <si>
    <t>Lordswood and Capstone</t>
  </si>
  <si>
    <t>Luton and Wayfield</t>
  </si>
  <si>
    <t>Princes Park</t>
  </si>
  <si>
    <t>Rainham Central</t>
  </si>
  <si>
    <t>Rainham North</t>
  </si>
  <si>
    <t>Rainham South</t>
  </si>
  <si>
    <t>Rochester East</t>
  </si>
  <si>
    <t>Rochester South and Horsted</t>
  </si>
  <si>
    <t>Rochester West</t>
  </si>
  <si>
    <t>Strood North</t>
  </si>
  <si>
    <t>Strood Rural</t>
  </si>
  <si>
    <t>Strood South</t>
  </si>
  <si>
    <t>Twydall</t>
  </si>
  <si>
    <t>Walderslade</t>
  </si>
  <si>
    <t>Chatham and Aylesford CC (pt)</t>
  </si>
  <si>
    <t>* as created by The Borough of Medway (Electoral Changes) Order 2002</t>
  </si>
  <si>
    <t>ASHFORD BOROUGH  *</t>
  </si>
  <si>
    <t>Scarisbrick</t>
  </si>
  <si>
    <t>Scott</t>
  </si>
  <si>
    <t>Skelmersdale North</t>
  </si>
  <si>
    <t>Worksop South</t>
  </si>
  <si>
    <t>Worksop South East</t>
  </si>
  <si>
    <t>Newark CC (pt)</t>
  </si>
  <si>
    <t>Goodmayes</t>
  </si>
  <si>
    <t>Hainault</t>
  </si>
  <si>
    <t>Loxford</t>
  </si>
  <si>
    <t>Monkhams</t>
  </si>
  <si>
    <t>Newbury</t>
  </si>
  <si>
    <t>Seven Kings</t>
  </si>
  <si>
    <t>Upper Meon Valley</t>
  </si>
  <si>
    <t>Parliamentary Electorate</t>
  </si>
  <si>
    <t>Theoretical Entitlement</t>
  </si>
  <si>
    <t>District/County/London Borough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</si>
  <si>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</si>
  <si>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</si>
  <si>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</si>
  <si>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</si>
  <si>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</si>
  <si>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</si>
  <si>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</si>
  <si>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</si>
  <si>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</si>
  <si>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</si>
  <si>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GREATER MANCHESTER</t>
  </si>
  <si>
    <t>Knowsley</t>
  </si>
  <si>
    <t>Liverpool</t>
  </si>
  <si>
    <t>St Helens</t>
  </si>
  <si>
    <t>Sefton</t>
  </si>
  <si>
    <t>Wirral</t>
  </si>
  <si>
    <t>MERSEYSIDE</t>
  </si>
  <si>
    <t>Barnsley</t>
  </si>
  <si>
    <t>Doncaster</t>
  </si>
  <si>
    <t>Rotherham</t>
  </si>
  <si>
    <t>Sheffield</t>
  </si>
  <si>
    <t>SOUTH YORKSHIRE</t>
  </si>
  <si>
    <t>Gateshead</t>
  </si>
  <si>
    <t>Newcastle upon Tyne</t>
  </si>
  <si>
    <t>Muskham</t>
  </si>
  <si>
    <t>Ollerton</t>
  </si>
  <si>
    <t>Sutton-on-Trent</t>
  </si>
  <si>
    <t>Trent</t>
  </si>
  <si>
    <t>Haslemere Critchmere and Shottermill</t>
  </si>
  <si>
    <t>Haslemere East and Grayswood</t>
  </si>
  <si>
    <t>Hindhead</t>
  </si>
  <si>
    <t>Shamley Green and Cranleigh North</t>
  </si>
  <si>
    <t>Witley and Hambledon</t>
  </si>
  <si>
    <t>* as created by The Borough of Waverley (Electoral Changes) Order 1999</t>
  </si>
  <si>
    <t>WOKING BOROUGH  *</t>
  </si>
  <si>
    <t>Knaphill</t>
  </si>
  <si>
    <t>Little Burton Farm</t>
  </si>
  <si>
    <t>Norman</t>
  </si>
  <si>
    <t>Bingham West</t>
  </si>
  <si>
    <t>Compton Acres</t>
  </si>
  <si>
    <t>Cotgrave</t>
  </si>
  <si>
    <t>Cranmer</t>
  </si>
  <si>
    <t>Gotham</t>
  </si>
  <si>
    <t>Lady Bay</t>
  </si>
  <si>
    <t>Cressington</t>
  </si>
  <si>
    <t>Croxteth</t>
  </si>
  <si>
    <t>Everton</t>
  </si>
  <si>
    <t>Fazakerley</t>
  </si>
  <si>
    <t>* as created by The District of Newark and Sherwood (Electoral Changes) Order 2007</t>
  </si>
  <si>
    <t>RUSHCLIFFE BOROUGH  *</t>
  </si>
  <si>
    <t>Bingham East</t>
  </si>
  <si>
    <t>Swanside</t>
  </si>
  <si>
    <t>Garston and Halewood BC (pt)</t>
  </si>
  <si>
    <t>St Helens South and Whiston BC (pt)</t>
  </si>
  <si>
    <t>CITY OF LIVERPOOL  *</t>
  </si>
  <si>
    <t>Allerton and Hunts Cross</t>
  </si>
  <si>
    <t>Anfield</t>
  </si>
  <si>
    <t>Belle Vale</t>
  </si>
  <si>
    <t>Childwall</t>
  </si>
  <si>
    <t>Clubmoor</t>
  </si>
  <si>
    <t>County</t>
  </si>
  <si>
    <t>Kirkdale</t>
  </si>
  <si>
    <t>Knotty Ash</t>
  </si>
  <si>
    <t>Mossley Hill</t>
  </si>
  <si>
    <t>Norris Green</t>
  </si>
  <si>
    <t>Old Swan</t>
  </si>
  <si>
    <t>Picton</t>
  </si>
  <si>
    <t>Speke-Garston</t>
  </si>
  <si>
    <t>Tuebrook and Stoneycroft</t>
  </si>
  <si>
    <t>Wavertree</t>
  </si>
  <si>
    <t>West Derby</t>
  </si>
  <si>
    <t>Woolton</t>
  </si>
  <si>
    <t>Yew Tree</t>
  </si>
  <si>
    <t>* as created by The City of Liverpool (Electoral Changes) Order 2003</t>
  </si>
  <si>
    <t>Rayners Lane</t>
  </si>
  <si>
    <t>Roxbourne</t>
  </si>
  <si>
    <t>Roxeth</t>
  </si>
  <si>
    <t>Stanmore Park</t>
  </si>
  <si>
    <t>Wealdstone</t>
  </si>
  <si>
    <t>West Harrow</t>
  </si>
  <si>
    <t>Barming</t>
  </si>
  <si>
    <t>Bearsted</t>
  </si>
  <si>
    <t>Boughton Monchelsea and Chart Sutton</t>
  </si>
  <si>
    <t>Boxley</t>
  </si>
  <si>
    <t>Coxheath and Hunton</t>
  </si>
  <si>
    <t>Detling and Thurnham</t>
  </si>
  <si>
    <t>Downswood and Otham</t>
  </si>
  <si>
    <t>Fant</t>
  </si>
  <si>
    <t>Harrietsham and Lenham</t>
  </si>
  <si>
    <t>Berinsfield</t>
  </si>
  <si>
    <t>Chalgrove</t>
  </si>
  <si>
    <t>Chinnor</t>
  </si>
  <si>
    <t>Poplar and Limehouse BC</t>
  </si>
  <si>
    <t>Limehouse</t>
  </si>
  <si>
    <t>Seven Sisters</t>
  </si>
  <si>
    <t>Stroud Green</t>
  </si>
  <si>
    <t>Tottenham Green</t>
  </si>
  <si>
    <t>Tottenham Hale</t>
  </si>
  <si>
    <t>West Green</t>
  </si>
  <si>
    <t>White Hart Lane</t>
  </si>
  <si>
    <t>* as created by The London Borough of Haringey (Electoral Changes) Order 2000</t>
  </si>
  <si>
    <t>HARROW LONDON BOROUGH  * #</t>
  </si>
  <si>
    <t>Harrow East BC</t>
  </si>
  <si>
    <t>Harrow (pt)</t>
  </si>
  <si>
    <t>Harrow West BC</t>
  </si>
  <si>
    <t>Ruislip, Northwood and Pinner BC</t>
  </si>
  <si>
    <t>CORNWALL &amp; ISLES OF SCILLY</t>
  </si>
  <si>
    <t>Higham</t>
  </si>
  <si>
    <t>Istead Rise</t>
  </si>
  <si>
    <t>Meopham North</t>
  </si>
  <si>
    <t>Coventry</t>
  </si>
  <si>
    <t>Dudley</t>
  </si>
  <si>
    <t>Sandwell</t>
  </si>
  <si>
    <t>Solihull</t>
  </si>
  <si>
    <t>Stoneleigh</t>
  </si>
  <si>
    <t>Bruce Grove</t>
  </si>
  <si>
    <t>Crouch End</t>
  </si>
  <si>
    <t>Fortis Green</t>
  </si>
  <si>
    <t>Harringay</t>
  </si>
  <si>
    <t>Hornsey</t>
  </si>
  <si>
    <t>Muswell Hill</t>
  </si>
  <si>
    <t>Noel Park</t>
  </si>
  <si>
    <t>Northumberland Park</t>
  </si>
  <si>
    <t>St Ann's</t>
  </si>
  <si>
    <t>HARINGEY LONDON BOROUGH  *</t>
  </si>
  <si>
    <t>Hornsey and Wood Green BC</t>
  </si>
  <si>
    <t>Haringey (pt)</t>
  </si>
  <si>
    <t>Tottenham BC</t>
  </si>
  <si>
    <t>Bounds Green</t>
  </si>
  <si>
    <t>Felpham East</t>
  </si>
  <si>
    <t>Felpham West</t>
  </si>
  <si>
    <t>Ferring</t>
  </si>
  <si>
    <t>Hotham</t>
  </si>
  <si>
    <t>Middleton-on-Sea</t>
  </si>
  <si>
    <t>Orchard</t>
  </si>
  <si>
    <t>EAST SUSSEX &amp; BRIGHTON AND HOVE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</si>
  <si>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</si>
  <si>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</si>
  <si>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</si>
  <si>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</si>
  <si>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</si>
  <si>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</si>
  <si>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</si>
  <si>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</si>
  <si>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</si>
  <si>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</si>
  <si>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</si>
  <si>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</si>
  <si>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ESSEX</t>
  </si>
  <si>
    <t>Hellingly</t>
  </si>
  <si>
    <t>Herstmonceux</t>
  </si>
  <si>
    <t>Horam</t>
  </si>
  <si>
    <t>Mayfield</t>
  </si>
  <si>
    <t>Ninfield and Hooe with Wartling</t>
  </si>
  <si>
    <t>Pevensey and Westham</t>
  </si>
  <si>
    <t>Polegate North</t>
  </si>
  <si>
    <t>Polegate South</t>
  </si>
  <si>
    <t>St Luke's</t>
  </si>
  <si>
    <t>Shoeburyness</t>
  </si>
  <si>
    <t>SEVENOAKS DISTRICT  *</t>
  </si>
  <si>
    <t>North Manor</t>
  </si>
  <si>
    <t>Pilkington Park</t>
  </si>
  <si>
    <t>Radcliffe East</t>
  </si>
  <si>
    <t>Radcliffe North</t>
  </si>
  <si>
    <t>Radcliffe West</t>
  </si>
  <si>
    <t>Ramsbottom</t>
  </si>
  <si>
    <t>Redvales</t>
  </si>
  <si>
    <t>Sedgley</t>
  </si>
  <si>
    <t>Otford and Shoreham</t>
  </si>
  <si>
    <t>Penshurst, Fordcombe and Chiddingstone</t>
  </si>
  <si>
    <t>Seal and Weald</t>
  </si>
  <si>
    <t>Sevenoaks Eastern</t>
  </si>
  <si>
    <t>Sevenoaks Kippington</t>
  </si>
  <si>
    <t>Sevenoaks Northern</t>
  </si>
  <si>
    <t>Sevenoaks Town and St John's</t>
  </si>
  <si>
    <t>Swanley Christchurch and Swanley Village</t>
  </si>
  <si>
    <t>Swanley St Mary's</t>
  </si>
  <si>
    <t>Elton</t>
  </si>
  <si>
    <t>Holyrood</t>
  </si>
  <si>
    <t>Harrow on the Hill</t>
  </si>
  <si>
    <t>Harrow Weald</t>
  </si>
  <si>
    <t>Hatch End</t>
  </si>
  <si>
    <t>Headstone North</t>
  </si>
  <si>
    <t>Headstone South</t>
  </si>
  <si>
    <t>Kenton East</t>
  </si>
  <si>
    <t>Kenton West</t>
  </si>
  <si>
    <t>Marlborough</t>
  </si>
  <si>
    <t>Pinner</t>
  </si>
  <si>
    <t>Pinner South</t>
  </si>
  <si>
    <t>Newcastle upon Tyne North BC</t>
  </si>
  <si>
    <t>North Tyneside BC</t>
  </si>
  <si>
    <t>North Tyneside (pt)</t>
  </si>
  <si>
    <t>South Shields BC</t>
  </si>
  <si>
    <t>Sunderland Central BC</t>
  </si>
  <si>
    <t>Tynemouth BC</t>
  </si>
  <si>
    <t>Washington and Sunderland West BC</t>
  </si>
  <si>
    <t>GATESHEAD BOROUGH  *</t>
  </si>
  <si>
    <t>Birtley</t>
  </si>
  <si>
    <t>Blaydon</t>
  </si>
  <si>
    <t>Bridges</t>
  </si>
  <si>
    <t>Chopwell and Rowlands Gill</t>
  </si>
  <si>
    <t>Chowdene</t>
  </si>
  <si>
    <t>Crawcrook and Greenside</t>
  </si>
  <si>
    <t>Deckham</t>
  </si>
  <si>
    <t>Dunston and Teams</t>
  </si>
  <si>
    <t>Dunston Hill and Whickham East</t>
  </si>
  <si>
    <t>Felling</t>
  </si>
  <si>
    <t>High Fell</t>
  </si>
  <si>
    <t>Lamesley</t>
  </si>
  <si>
    <t>Lobley Hill and Bensham</t>
  </si>
  <si>
    <t>Hebburn North</t>
  </si>
  <si>
    <t>Hebburn South</t>
  </si>
  <si>
    <t>Horsley Hill</t>
  </si>
  <si>
    <t>Monkton</t>
  </si>
  <si>
    <t>Simonside and Rekendyke</t>
  </si>
  <si>
    <t>Westoe</t>
  </si>
  <si>
    <t>East Northamptonshire</t>
  </si>
  <si>
    <t>Kettering</t>
  </si>
  <si>
    <t>Northampton</t>
  </si>
  <si>
    <t>South Northamptonshire</t>
  </si>
  <si>
    <t>Wellingborough</t>
  </si>
  <si>
    <t>NORTHAMPTONSHIRE</t>
  </si>
  <si>
    <t>Alnwick</t>
  </si>
  <si>
    <t>DORSET  *</t>
  </si>
  <si>
    <t>BOURNEMOUTH BOROUGH  *</t>
  </si>
  <si>
    <t>POOLE BOROUGH  *</t>
  </si>
  <si>
    <t>CHRISTCHURCH BOROUGH</t>
  </si>
  <si>
    <t>EAST DORSET DISTRICT</t>
  </si>
  <si>
    <t>NORTH DORSET DISTRICT</t>
  </si>
  <si>
    <t>PURBECK DISTRICT</t>
  </si>
  <si>
    <t>WEST DORSET DISTRICT</t>
  </si>
  <si>
    <t>WEYMOUTH AND PORTLAND BOROUGH</t>
  </si>
  <si>
    <t>CITY OF ST ALBANS</t>
  </si>
  <si>
    <t>OXFORDSHIRE</t>
  </si>
  <si>
    <t>Portsmouth *</t>
  </si>
  <si>
    <t>Telford and Wrekin *</t>
  </si>
  <si>
    <t>SHROPSHIRE &amp; TELFORD AND WREKIN</t>
  </si>
  <si>
    <t>Mendip</t>
  </si>
  <si>
    <t>Sedgemoor</t>
  </si>
  <si>
    <t>South Somerset</t>
  </si>
  <si>
    <t>Taunton Deane</t>
  </si>
  <si>
    <t>West Somerset</t>
  </si>
  <si>
    <t>SOMERSET</t>
  </si>
  <si>
    <t>South Gloucestershire *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</si>
  <si>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</si>
  <si>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</si>
  <si>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</si>
  <si>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</si>
  <si>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</si>
  <si>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</si>
  <si>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</si>
  <si>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Welwyn Hatfield (pt)</t>
  </si>
  <si>
    <t>Hemel Hempstead CC</t>
  </si>
  <si>
    <t>Dacorum (pt)</t>
  </si>
  <si>
    <t>Hertford and Stortford CC</t>
  </si>
  <si>
    <t>East Hertfordshire (pt)</t>
  </si>
  <si>
    <t>Hertsmere CC</t>
  </si>
  <si>
    <t>Hitchin and Harpenden CC</t>
  </si>
  <si>
    <t>North Hertfordshire (pt)</t>
  </si>
  <si>
    <t>St Albans (pt)</t>
  </si>
  <si>
    <t>North East Hertfordshire CC</t>
  </si>
  <si>
    <t>South West Hertfordshire CC</t>
  </si>
  <si>
    <t>Three Rivers (pt)</t>
  </si>
  <si>
    <t>St Albans CC</t>
  </si>
  <si>
    <t>Stevenage CC</t>
  </si>
  <si>
    <t>Watford BC</t>
  </si>
  <si>
    <t>Welwyn Hatfield CC</t>
  </si>
  <si>
    <t>BROXBOURNE BOROUGH  *</t>
  </si>
  <si>
    <t>STEVENAGE BOROUGH</t>
  </si>
  <si>
    <t>THREE RIVERS DISTRICT</t>
  </si>
  <si>
    <t>WATFORD BOROUGH</t>
  </si>
  <si>
    <t>WELWYN HATFIELD BOROUGH</t>
  </si>
  <si>
    <t>County Average (11 seats)</t>
  </si>
  <si>
    <t>Broxbourne BC</t>
  </si>
  <si>
    <t>Christchurch CC</t>
  </si>
  <si>
    <t>Christchurch (pt)</t>
  </si>
  <si>
    <t>East Dorset (pt)</t>
  </si>
  <si>
    <t>Mid Dorset and North Poole CC</t>
  </si>
  <si>
    <t>Purbeck (pt)</t>
  </si>
  <si>
    <t>North Dorset CC</t>
  </si>
  <si>
    <t>Poole BC</t>
  </si>
  <si>
    <t>Emmbrook</t>
  </si>
  <si>
    <t>Evendons</t>
  </si>
  <si>
    <t>Finchampstead North</t>
  </si>
  <si>
    <t>Finchampstead South</t>
  </si>
  <si>
    <t>Hawkedon</t>
  </si>
  <si>
    <t>Hillside</t>
  </si>
  <si>
    <t>Hurst</t>
  </si>
  <si>
    <t>Loddon</t>
  </si>
  <si>
    <t>Maiden Erlegh</t>
  </si>
  <si>
    <t>Norreys</t>
  </si>
  <si>
    <t>Waltham Cross</t>
  </si>
  <si>
    <t>Broxbourne BC (pt)</t>
  </si>
  <si>
    <t>DACORUM BOROUGH  *</t>
  </si>
  <si>
    <t>Adeyfield East</t>
  </si>
  <si>
    <t>NORTH TYNESIDE BOROUGH  *</t>
  </si>
  <si>
    <t>Battle Hill</t>
  </si>
  <si>
    <t>Benton</t>
  </si>
  <si>
    <t>Camperdown</t>
  </si>
  <si>
    <t>Chirton</t>
  </si>
  <si>
    <t>Collingwood</t>
  </si>
  <si>
    <t>Cullercoats</t>
  </si>
  <si>
    <t>Howdon</t>
  </si>
  <si>
    <t>Killingworth</t>
  </si>
  <si>
    <t>Spelthorne</t>
  </si>
  <si>
    <t>Surrey Heath</t>
  </si>
  <si>
    <t>Tandridge</t>
  </si>
  <si>
    <t>Waverley</t>
  </si>
  <si>
    <t>Woking</t>
  </si>
  <si>
    <t>SURREY</t>
  </si>
  <si>
    <t>Swindon *</t>
  </si>
  <si>
    <t>Warrington *</t>
  </si>
  <si>
    <t>North Warwickshire</t>
  </si>
  <si>
    <t>Fairestone</t>
  </si>
  <si>
    <t>EASTERN REGION</t>
  </si>
  <si>
    <t>EAST MIDLANDS REGION</t>
  </si>
  <si>
    <t>NORTH EAST REGION</t>
  </si>
  <si>
    <t>NORTH WEST REGION</t>
  </si>
  <si>
    <t>SOUTH EAST REGION</t>
  </si>
  <si>
    <t>SOUTH WEST REGION</t>
  </si>
  <si>
    <t>WEST MIDLANDS REGION</t>
  </si>
  <si>
    <t>* as created by The London Borough of Barking and Dagenham (Electoral Changes) Order 2000</t>
  </si>
  <si>
    <t># paired with the London Borough of Havering</t>
  </si>
  <si>
    <t>BARNET LONDON BOROUGH  *</t>
  </si>
  <si>
    <t>Borough Average (3 seats)</t>
  </si>
  <si>
    <t>Chipping Barnet BC</t>
  </si>
  <si>
    <t>Barnet (pt)</t>
  </si>
  <si>
    <t>Finchley and Golders Green BC</t>
  </si>
  <si>
    <t>Hendon BC</t>
  </si>
  <si>
    <t>1.</t>
  </si>
  <si>
    <t>Brunswick Park</t>
  </si>
  <si>
    <t>2.</t>
  </si>
  <si>
    <t>Burnt Oak</t>
  </si>
  <si>
    <t>3.</t>
  </si>
  <si>
    <t>Childs Hill</t>
  </si>
  <si>
    <t>4.</t>
  </si>
  <si>
    <t>Colindale</t>
  </si>
  <si>
    <t>5.</t>
  </si>
  <si>
    <t>Coppetts</t>
  </si>
  <si>
    <t>Surrey Docks</t>
  </si>
  <si>
    <t># paired with the London Borough of Lambeth</t>
  </si>
  <si>
    <t>Bulbarrow</t>
  </si>
  <si>
    <t>Gillingham Town</t>
  </si>
  <si>
    <t>Hill Forts</t>
  </si>
  <si>
    <t>Lydden Vale</t>
  </si>
  <si>
    <t>Blackmore</t>
  </si>
  <si>
    <t>Blandford Hilltop</t>
  </si>
  <si>
    <t>Blandford Langton St Leonards</t>
  </si>
  <si>
    <t>Blandford Old Town</t>
  </si>
  <si>
    <t>NORTH DORSET DISTRICT  *</t>
  </si>
  <si>
    <t>East Chesterton</t>
  </si>
  <si>
    <t>King's Hedges</t>
  </si>
  <si>
    <t>Market</t>
  </si>
  <si>
    <t>Carpenders Park</t>
  </si>
  <si>
    <t>Bexley (pt)</t>
  </si>
  <si>
    <t>Erith and Thamesmead BC</t>
  </si>
  <si>
    <t>Greenwich (pt)</t>
  </si>
  <si>
    <t>Old Bexley and Sidcup BC</t>
  </si>
  <si>
    <t>Eltham BC</t>
  </si>
  <si>
    <t>Greenwich and Woolwich BC</t>
  </si>
  <si>
    <t>Barnehurst</t>
  </si>
  <si>
    <t>Belvedere</t>
  </si>
  <si>
    <t>Brampton</t>
  </si>
  <si>
    <t>Crayford</t>
  </si>
  <si>
    <t>East Wickham</t>
  </si>
  <si>
    <t>Erith</t>
  </si>
  <si>
    <t>Hitchin Walsworth</t>
  </si>
  <si>
    <t>Hitchwood, Offa and Hoo</t>
  </si>
  <si>
    <t>Kimpton</t>
  </si>
  <si>
    <t>6.</t>
  </si>
  <si>
    <t>East Barnet</t>
  </si>
  <si>
    <t>7.</t>
  </si>
  <si>
    <t>East Finchley</t>
  </si>
  <si>
    <t>8.</t>
  </si>
  <si>
    <t>Edgware</t>
  </si>
  <si>
    <t>9.</t>
  </si>
  <si>
    <t>Finchley Church End</t>
  </si>
  <si>
    <t>10.</t>
  </si>
  <si>
    <t>Garden Suburb</t>
  </si>
  <si>
    <t>11.</t>
  </si>
  <si>
    <t>Golders Green</t>
  </si>
  <si>
    <t>12.</t>
  </si>
  <si>
    <t>Hale</t>
  </si>
  <si>
    <t>13.</t>
  </si>
  <si>
    <t>Hendon</t>
  </si>
  <si>
    <t>14.</t>
  </si>
  <si>
    <t>High Barnet</t>
  </si>
  <si>
    <t>15.</t>
  </si>
  <si>
    <t>Mill Hill</t>
  </si>
  <si>
    <t>16.</t>
  </si>
  <si>
    <t>Oakleigh</t>
  </si>
  <si>
    <t>17.</t>
  </si>
  <si>
    <t>Totteridge</t>
  </si>
  <si>
    <t>18.</t>
  </si>
  <si>
    <t>Underhill</t>
  </si>
  <si>
    <t>19.</t>
  </si>
  <si>
    <t>West Finchley</t>
  </si>
  <si>
    <t>20.</t>
  </si>
  <si>
    <t>West Hendon</t>
  </si>
  <si>
    <t>Woodhouse</t>
  </si>
  <si>
    <t>Marshalswick South</t>
  </si>
  <si>
    <t>Washington Central</t>
  </si>
  <si>
    <t>Washington East</t>
  </si>
  <si>
    <t>Washington North</t>
  </si>
  <si>
    <t>Washington South</t>
  </si>
  <si>
    <t>Washington West</t>
  </si>
  <si>
    <t>* as created by The City of Sunderland (Electoral Changes) Order 2004</t>
  </si>
  <si>
    <t>WANDSWORTH LONDON BOROUGH  *</t>
  </si>
  <si>
    <t>Battersea BC</t>
  </si>
  <si>
    <t>Wandsworth (pt)</t>
  </si>
  <si>
    <t>Putney BC</t>
  </si>
  <si>
    <t>Tooting BC</t>
  </si>
  <si>
    <t>* as created by The Borough of Stockport (Electoral Changes) Order 2004</t>
  </si>
  <si>
    <t>TAMESIDE BOROUGH  *</t>
  </si>
  <si>
    <t>Ashton Hurst</t>
  </si>
  <si>
    <t>Latchmere</t>
  </si>
  <si>
    <t>Nightingale</t>
  </si>
  <si>
    <t>Northcote</t>
  </si>
  <si>
    <t>Queenstown</t>
  </si>
  <si>
    <t>St Mary's Park</t>
  </si>
  <si>
    <t>Shaftesbury</t>
  </si>
  <si>
    <t>Southfields</t>
  </si>
  <si>
    <t>Thamesfield</t>
  </si>
  <si>
    <t>Tooting</t>
  </si>
  <si>
    <t>Wandsworth Common</t>
  </si>
  <si>
    <t>West Putney</t>
  </si>
  <si>
    <t>* as created by The London Borough of Wandsworth (Electoral Changes) Order 2000</t>
  </si>
  <si>
    <t>WARRINGTON BOROUGH  *</t>
  </si>
  <si>
    <t>Warrington North BC</t>
  </si>
  <si>
    <t>Warrington (pt)</t>
  </si>
  <si>
    <t>Warrington South BC</t>
  </si>
  <si>
    <t>Bewsey and Whitecross</t>
  </si>
  <si>
    <t>* as created by The Borough of Tameside (Electoral Changes) Order 2004</t>
  </si>
  <si>
    <t>TRAFFORD BOROUGH  *</t>
  </si>
  <si>
    <t>Altrincham</t>
  </si>
  <si>
    <t>STEVENAGE BOROUGH  *</t>
  </si>
  <si>
    <t>Bandley Hill</t>
  </si>
  <si>
    <t>Bedwell</t>
  </si>
  <si>
    <t>Chells</t>
  </si>
  <si>
    <t>Longmeadow</t>
  </si>
  <si>
    <t>Martins Wood</t>
  </si>
  <si>
    <t>Pin Green</t>
  </si>
  <si>
    <t>Roebuck</t>
  </si>
  <si>
    <t>Shephall</t>
  </si>
  <si>
    <t>Balham</t>
  </si>
  <si>
    <t>Bedford</t>
  </si>
  <si>
    <t>Earlsfield</t>
  </si>
  <si>
    <t>East Putney</t>
  </si>
  <si>
    <t>Furzedown</t>
  </si>
  <si>
    <t>Stokeclimsland</t>
  </si>
  <si>
    <t>Threemilestone and Gloweth</t>
  </si>
  <si>
    <t>Tintagel</t>
  </si>
  <si>
    <t>Torpoint East</t>
  </si>
  <si>
    <t>Torpoint West</t>
  </si>
  <si>
    <t>Wadebridge East</t>
  </si>
  <si>
    <t>Wadebridge West</t>
  </si>
  <si>
    <t>Lelant and Carbis Bay</t>
  </si>
  <si>
    <t>Park Street</t>
  </si>
  <si>
    <t>Redbourn</t>
  </si>
  <si>
    <t>St Peters</t>
  </si>
  <si>
    <t>St Stephen</t>
  </si>
  <si>
    <t>Sandridge</t>
  </si>
  <si>
    <t>Sopwell</t>
  </si>
  <si>
    <t>Verulam</t>
  </si>
  <si>
    <t>Wheathampstead</t>
  </si>
  <si>
    <t>St Albans CC (pt)</t>
  </si>
  <si>
    <t>Ashley</t>
  </si>
  <si>
    <t>Brandon</t>
  </si>
  <si>
    <t>Burnopfield and Dipton</t>
  </si>
  <si>
    <t>Chester-le-Street South</t>
  </si>
  <si>
    <t>Chester-le-Street West Central</t>
  </si>
  <si>
    <t>Chilton</t>
  </si>
  <si>
    <t>Consett North</t>
  </si>
  <si>
    <t>Coundon</t>
  </si>
  <si>
    <t>Coxhoe</t>
  </si>
  <si>
    <t>Craghead and South Moor</t>
  </si>
  <si>
    <t>Dawdon</t>
  </si>
  <si>
    <t>Deneside</t>
  </si>
  <si>
    <t>Clowne South</t>
  </si>
  <si>
    <t>Elmton-with-Creswell</t>
  </si>
  <si>
    <t>Pinxton</t>
  </si>
  <si>
    <t>Fulham Broadway</t>
  </si>
  <si>
    <t>Fulham Reach</t>
  </si>
  <si>
    <t>Hammersmith Broadway</t>
  </si>
  <si>
    <t>Munster</t>
  </si>
  <si>
    <t>Palace Riverside</t>
  </si>
  <si>
    <t>Parsons Green and Walham</t>
  </si>
  <si>
    <t>Ravenscourt Park</t>
  </si>
  <si>
    <t>Sands End</t>
  </si>
  <si>
    <t>Shepherd's Bush Green</t>
  </si>
  <si>
    <t>Wormholt and White City</t>
  </si>
  <si>
    <t>NORTH SOMERSET DISTRICT  *</t>
  </si>
  <si>
    <t>North Somerset CC</t>
  </si>
  <si>
    <t>Harlesden</t>
  </si>
  <si>
    <t>County Average (5 seats)</t>
  </si>
  <si>
    <t>Aylesbury CC</t>
  </si>
  <si>
    <t>Aylesbury Vale (pt)</t>
  </si>
  <si>
    <t>Wycombe (pt)</t>
  </si>
  <si>
    <t>Beaconsfield CC</t>
  </si>
  <si>
    <t>Buckingham CC</t>
  </si>
  <si>
    <t>Chesham and Amersham CC</t>
  </si>
  <si>
    <t>Wycombe CC</t>
  </si>
  <si>
    <t>AYLESBURY VALE DISTRICT  *</t>
  </si>
  <si>
    <t>Bedgrove</t>
  </si>
  <si>
    <t>* as created by The Borough of Scarborough (Electoral Changes) Order 2000</t>
  </si>
  <si>
    <t>Brayton</t>
  </si>
  <si>
    <t>Eggborough</t>
  </si>
  <si>
    <t>Mickleover</t>
  </si>
  <si>
    <t>Normanton</t>
  </si>
  <si>
    <t>Oakwood</t>
  </si>
  <si>
    <t>Sinfin</t>
  </si>
  <si>
    <t>Spondon</t>
  </si>
  <si>
    <t>Mid Derbyshire CC (pt)</t>
  </si>
  <si>
    <t>* as created by The City of Derby (Electoral Changes) Order 2001</t>
  </si>
  <si>
    <t>AMBER VALLEY BOROUGH  *</t>
  </si>
  <si>
    <t>Alfreton</t>
  </si>
  <si>
    <t>Alport</t>
  </si>
  <si>
    <t>Belper Central</t>
  </si>
  <si>
    <t>Belper East</t>
  </si>
  <si>
    <t>Belper North</t>
  </si>
  <si>
    <t>Belper South</t>
  </si>
  <si>
    <t>Codnor and Waingroves</t>
  </si>
  <si>
    <t>Crich</t>
  </si>
  <si>
    <t>Duffield</t>
  </si>
  <si>
    <t>Heage and Ambergate</t>
  </si>
  <si>
    <t>Heanor and Loscoe</t>
  </si>
  <si>
    <t>Heanor East</t>
  </si>
  <si>
    <t>Heanor West</t>
  </si>
  <si>
    <t>Ironville and Riddings</t>
  </si>
  <si>
    <t>* as created by The Hampshire (Cities of Portsmouth and Southampton) (Structural Change) Order 1995</t>
  </si>
  <si>
    <t>Aldershot BC</t>
  </si>
  <si>
    <t>Hart (pt)</t>
  </si>
  <si>
    <t>Basingstoke BC</t>
  </si>
  <si>
    <t>Basingstoke and Deane (pt)</t>
  </si>
  <si>
    <t>East Hampshire CC</t>
  </si>
  <si>
    <t>East Hampshire (pt)</t>
  </si>
  <si>
    <t>Eastleigh BC</t>
  </si>
  <si>
    <t>Eastleigh (pt)</t>
  </si>
  <si>
    <t>Fareham CC</t>
  </si>
  <si>
    <t>Fareham (pt)</t>
  </si>
  <si>
    <t>Gosport BC</t>
  </si>
  <si>
    <t>Havant BC</t>
  </si>
  <si>
    <t>Havant (pt)</t>
  </si>
  <si>
    <t>Meon Valley CC</t>
  </si>
  <si>
    <t>Winchester (pt)</t>
  </si>
  <si>
    <t>New Forest East CC</t>
  </si>
  <si>
    <t>New Forest (pt)</t>
  </si>
  <si>
    <t>New Forest West CC</t>
  </si>
  <si>
    <t>North East Hampshire CC</t>
  </si>
  <si>
    <t>North West Hampshire CC</t>
  </si>
  <si>
    <t>Test Valley (pt)</t>
  </si>
  <si>
    <t>Romsey and Southampton North CC</t>
  </si>
  <si>
    <t>Southampton (pt)</t>
  </si>
  <si>
    <t>Southampton, Itchen BC</t>
  </si>
  <si>
    <t>Southampton, Test BC</t>
  </si>
  <si>
    <t>Matlock All Saints</t>
  </si>
  <si>
    <t>Matlock St Giles</t>
  </si>
  <si>
    <t>Stanton</t>
  </si>
  <si>
    <t>Tideswell</t>
  </si>
  <si>
    <t>Winster and South Darley</t>
  </si>
  <si>
    <t>Wirksworth</t>
  </si>
  <si>
    <t>* as created by The District of Derbyshire Dales (Electoral Changes) Order 1999</t>
  </si>
  <si>
    <t>EREWASH BOROUGH  *</t>
  </si>
  <si>
    <t>Derby Road West</t>
  </si>
  <si>
    <t>Hallam Fields</t>
  </si>
  <si>
    <t>Little Hallam</t>
  </si>
  <si>
    <t>Cotmanhay</t>
  </si>
  <si>
    <t>Derby Road East</t>
  </si>
  <si>
    <t>WYRE FOREST DISTRICT</t>
  </si>
  <si>
    <t>Bromsgrove CC</t>
  </si>
  <si>
    <t>Mid Worcestershire CC</t>
  </si>
  <si>
    <t>Wychavon (pt)</t>
  </si>
  <si>
    <t>Redditch CC</t>
  </si>
  <si>
    <t>West Worcestershire CC</t>
  </si>
  <si>
    <t>Worcester BC</t>
  </si>
  <si>
    <t>Wyre Forest CC</t>
  </si>
  <si>
    <t>* as created by The City of Worcester (Electoral Changes) Order 2002</t>
  </si>
  <si>
    <t>WYCHAVON DISTRICT  *</t>
  </si>
  <si>
    <t>Boroughbridge</t>
  </si>
  <si>
    <t>Claro</t>
  </si>
  <si>
    <t>Knaresborough Scriven Park</t>
  </si>
  <si>
    <t>Marston Moor</t>
  </si>
  <si>
    <t>Newby</t>
  </si>
  <si>
    <t>Nidd Valley</t>
  </si>
  <si>
    <t>Ouseburn</t>
  </si>
  <si>
    <t>SANDWELL BOROUGH</t>
  </si>
  <si>
    <t>SOLIHULL BOROUGH</t>
  </si>
  <si>
    <t>WALSALL BOROUGH</t>
  </si>
  <si>
    <t>CITY OF WOLVERHAMPTON</t>
  </si>
  <si>
    <t>Aldridge-Brownhills BC</t>
  </si>
  <si>
    <t>Walsall (pt)</t>
  </si>
  <si>
    <t>Birmingham, Edgbaston BC</t>
  </si>
  <si>
    <t>Birmingham (pt)</t>
  </si>
  <si>
    <t>Birmingham, Erdington BC</t>
  </si>
  <si>
    <t>Birmingham, Hall Green BC</t>
  </si>
  <si>
    <t>Birmingham, Hodge Hill BC</t>
  </si>
  <si>
    <t>Birmingham, Ladywood BC</t>
  </si>
  <si>
    <t>Birmingham, Northfield BC</t>
  </si>
  <si>
    <t>Birmingham, Perry Barr BC</t>
  </si>
  <si>
    <t>Birmingham, Selly Oak BC</t>
  </si>
  <si>
    <t>Birmingham, Yardley BC</t>
  </si>
  <si>
    <t>* as created by The District of Bassetlaw (Electoral Changes) Order 2000</t>
  </si>
  <si>
    <t>BROXTOWE BOROUGH  *</t>
  </si>
  <si>
    <t>Beeston Central</t>
  </si>
  <si>
    <t>Beeston North</t>
  </si>
  <si>
    <t>Beeston Rylands</t>
  </si>
  <si>
    <t>Beeston West</t>
  </si>
  <si>
    <t>Bramcote</t>
  </si>
  <si>
    <t>Brinsley</t>
  </si>
  <si>
    <t>Chilwell West</t>
  </si>
  <si>
    <t>Wolverhampton South West BC</t>
  </si>
  <si>
    <t>CITY OF BIRMINGHAM  *</t>
  </si>
  <si>
    <t>Acocks Green</t>
  </si>
  <si>
    <t>Bartley Green</t>
  </si>
  <si>
    <t>Billesley</t>
  </si>
  <si>
    <t>Bordesley Green</t>
  </si>
  <si>
    <t>Edgbaston</t>
  </si>
  <si>
    <t>Erdington</t>
  </si>
  <si>
    <t>Handsworth Wood</t>
  </si>
  <si>
    <t>Harborne</t>
  </si>
  <si>
    <t>Kingstanding</t>
  </si>
  <si>
    <t>Ladywood</t>
  </si>
  <si>
    <t>Nechells</t>
  </si>
  <si>
    <t>Oscott</t>
  </si>
  <si>
    <t>Perry Barr</t>
  </si>
  <si>
    <t>Shard End</t>
  </si>
  <si>
    <t>Sheldon</t>
  </si>
  <si>
    <t>South Yardley</t>
  </si>
  <si>
    <t>Downley and Plomer Hill</t>
  </si>
  <si>
    <t>NORTH EAST DERBYSHIRE DISTRICT  *</t>
  </si>
  <si>
    <t>Ashover</t>
  </si>
  <si>
    <t>Barlow and Holmesfield</t>
  </si>
  <si>
    <t>Brampton and Walton</t>
  </si>
  <si>
    <t>Clay Cross North</t>
  </si>
  <si>
    <t>Clay Cross South</t>
  </si>
  <si>
    <t>Coal Aston</t>
  </si>
  <si>
    <t>Dronfield North</t>
  </si>
  <si>
    <t>Dronfield South</t>
  </si>
  <si>
    <t>Bestwood</t>
  </si>
  <si>
    <t>Bilborough</t>
  </si>
  <si>
    <t>Bulwell</t>
  </si>
  <si>
    <t>Bulwell Forest</t>
  </si>
  <si>
    <t>Clifton North</t>
  </si>
  <si>
    <t>Clifton South</t>
  </si>
  <si>
    <t>Dunkirk and Lenton</t>
  </si>
  <si>
    <t>Leen Valley</t>
  </si>
  <si>
    <t>Mapperley</t>
  </si>
  <si>
    <t>Radford and Park</t>
  </si>
  <si>
    <t>Warndon</t>
  </si>
  <si>
    <t>Warndon Parish North</t>
  </si>
  <si>
    <t>Warndon Parish South</t>
  </si>
  <si>
    <t>Beaconsfield CC (pt)</t>
  </si>
  <si>
    <t>WYCOMBE DISTRICT  *</t>
  </si>
  <si>
    <t>Bledlow and Bradenham</t>
  </si>
  <si>
    <t>Booker and Cressex</t>
  </si>
  <si>
    <t>Bourne End-cum-Hedsor</t>
  </si>
  <si>
    <t>Bowerdean</t>
  </si>
  <si>
    <t>West End North</t>
  </si>
  <si>
    <t>West End South</t>
  </si>
  <si>
    <t>Winchester CC (pt)</t>
  </si>
  <si>
    <t>FAREHAM BOROUGH  *</t>
  </si>
  <si>
    <t>Fareham East</t>
  </si>
  <si>
    <t>Fareham North</t>
  </si>
  <si>
    <t>Fareham North-West</t>
  </si>
  <si>
    <t>Fareham South</t>
  </si>
  <si>
    <t>Fareham West</t>
  </si>
  <si>
    <t>Sutton and Mount Gould</t>
  </si>
  <si>
    <t>South West Devon CC (pt)</t>
  </si>
  <si>
    <t>* as created by The City of Plymouth (Electoral Changes) Order 2002</t>
  </si>
  <si>
    <t>Berry Head-with-Furzeham</t>
  </si>
  <si>
    <t>Blatchcombe</t>
  </si>
  <si>
    <t>Churston-with-Galmpton</t>
  </si>
  <si>
    <t>Clifton-with-Maidenway</t>
  </si>
  <si>
    <t>Cockington-with-Chelston</t>
  </si>
  <si>
    <t>HAVANT BOROUGH  *</t>
  </si>
  <si>
    <t>Barncroft</t>
  </si>
  <si>
    <t>Battins</t>
  </si>
  <si>
    <t>Bedhampton</t>
  </si>
  <si>
    <t>Bondfields</t>
  </si>
  <si>
    <t>Cowplain</t>
  </si>
  <si>
    <t>Alverstoke</t>
  </si>
  <si>
    <t>Anglesey</t>
  </si>
  <si>
    <t>Bridgemary North</t>
  </si>
  <si>
    <t>Bridgemary South</t>
  </si>
  <si>
    <t>Brockhurst</t>
  </si>
  <si>
    <t>Elson</t>
  </si>
  <si>
    <t>Forton</t>
  </si>
  <si>
    <t>Hardway</t>
  </si>
  <si>
    <t>Lee East</t>
  </si>
  <si>
    <t>Lee West</t>
  </si>
  <si>
    <t>Foleshill</t>
  </si>
  <si>
    <t>* as created by The Borough of Nuneaton and Bedworth (Electoral Changes) Order 2000</t>
  </si>
  <si>
    <t>RUGBY BOROUGH  *</t>
  </si>
  <si>
    <t>Benn</t>
  </si>
  <si>
    <t>Bilton</t>
  </si>
  <si>
    <t>Hill Head</t>
  </si>
  <si>
    <t>Locks Heath</t>
  </si>
  <si>
    <t>Park Gate</t>
  </si>
  <si>
    <t>Sarisbury</t>
  </si>
  <si>
    <t>Stubbington</t>
  </si>
  <si>
    <t>Titchfield</t>
  </si>
  <si>
    <t>Titchfield Common</t>
  </si>
  <si>
    <t>Warsash</t>
  </si>
  <si>
    <t>Gosport BC (pt)</t>
  </si>
  <si>
    <t>* as created by The Borough of Fareham (Electoral Changes) Order 2001</t>
  </si>
  <si>
    <t>GOSPORT BOROUGH  *</t>
  </si>
  <si>
    <t>EQ +20%</t>
  </si>
  <si>
    <t>EQ +15%</t>
  </si>
  <si>
    <t>EQ +10%</t>
  </si>
  <si>
    <t>EQ + 5%</t>
  </si>
  <si>
    <t>EQ - 5%</t>
  </si>
  <si>
    <t>EQ -10%</t>
  </si>
  <si>
    <t>EQ -15%</t>
  </si>
  <si>
    <t>EQ -20%</t>
  </si>
  <si>
    <t>ELECTORATE TABLE</t>
  </si>
  <si>
    <t>Borough Average (2 seats)</t>
  </si>
  <si>
    <t>Barking BC</t>
  </si>
  <si>
    <t>Barking and Dagenham (pt)</t>
  </si>
  <si>
    <t>Dagenham and Rainham BC</t>
  </si>
  <si>
    <t>Havering (pt)</t>
  </si>
  <si>
    <t>Wordsley</t>
  </si>
  <si>
    <t>Halesowen and Rowley Regis BC (pt)</t>
  </si>
  <si>
    <t>Wolverhampton South East BC (pt)</t>
  </si>
  <si>
    <t>* as created by The Borough of Dudley (Electoral Changes) Order 2003</t>
  </si>
  <si>
    <t>SANDWELL BOROUGH  *</t>
  </si>
  <si>
    <t>Bristnall</t>
  </si>
  <si>
    <t>Charlemont with Grove Vale</t>
  </si>
  <si>
    <t>Cradley Heath and Old Hill</t>
  </si>
  <si>
    <t>Friar Park</t>
  </si>
  <si>
    <t>Oldham East and Saddleworth CC</t>
  </si>
  <si>
    <t>Oldham West and Royton BC</t>
  </si>
  <si>
    <t>Rochdale CC</t>
  </si>
  <si>
    <t>Salford and Eccles BC</t>
  </si>
  <si>
    <t>Stalybridge and Hyde CC</t>
  </si>
  <si>
    <t>Stockport BC</t>
  </si>
  <si>
    <t>Stretford and Urmston BC</t>
  </si>
  <si>
    <t>Wigan CC</t>
  </si>
  <si>
    <t>Worsley and Eccles South CC</t>
  </si>
  <si>
    <t>Wythenshawe and Sale East BC</t>
  </si>
  <si>
    <t/>
  </si>
  <si>
    <t>BOLTON BOROUGH  *</t>
  </si>
  <si>
    <t>Astley Bridge</t>
  </si>
  <si>
    <t>Bradshaw</t>
  </si>
  <si>
    <t>Breightmet</t>
  </si>
  <si>
    <t>Bromley Cross</t>
  </si>
  <si>
    <t>Crompton</t>
  </si>
  <si>
    <t>Great Lever</t>
  </si>
  <si>
    <t>Halliwell</t>
  </si>
  <si>
    <t>Harper Green</t>
  </si>
  <si>
    <t>Heaton and Lostock</t>
  </si>
  <si>
    <t>Horwich and Blackrod</t>
  </si>
  <si>
    <t>Horwich North East</t>
  </si>
  <si>
    <t>Hulton</t>
  </si>
  <si>
    <t>Kearsley</t>
  </si>
  <si>
    <t>Little Lever and Darcy Lever</t>
  </si>
  <si>
    <t>Rumworth</t>
  </si>
  <si>
    <t>Smithills</t>
  </si>
  <si>
    <t>Tonge with the Haulgh</t>
  </si>
  <si>
    <t>Westhoughton North and Chew Moor</t>
  </si>
  <si>
    <t>Westhoughton South</t>
  </si>
  <si>
    <t>Bolton West CC (pt)</t>
  </si>
  <si>
    <t>Woodhouse Park</t>
  </si>
  <si>
    <t>Blackley and Broughton BC (pt)</t>
  </si>
  <si>
    <t>Wythenshawe and Sale East BC (pt)</t>
  </si>
  <si>
    <t>* as created by The City of Manchester (Electoral Changes) Order 2004</t>
  </si>
  <si>
    <t>OLDHAM BOROUGH  *</t>
  </si>
  <si>
    <t>Alexandra</t>
  </si>
  <si>
    <t>Chadderton Central</t>
  </si>
  <si>
    <t>Chadderton North</t>
  </si>
  <si>
    <t>Chadderton South</t>
  </si>
  <si>
    <t>Coldhurst</t>
  </si>
  <si>
    <t>Failsworth East</t>
  </si>
  <si>
    <t>E05001376</t>
  </si>
  <si>
    <t>E05001377</t>
  </si>
  <si>
    <t>E05001378</t>
  </si>
  <si>
    <t>E05001379</t>
  </si>
  <si>
    <t>E05001380</t>
  </si>
  <si>
    <t>E05001381</t>
  </si>
  <si>
    <t>E05001382</t>
  </si>
  <si>
    <t>E05001383</t>
  </si>
  <si>
    <t>E05001384</t>
  </si>
  <si>
    <t>E05001385</t>
  </si>
  <si>
    <t>E05001386</t>
  </si>
  <si>
    <t>E05001387</t>
  </si>
  <si>
    <t>E05001389</t>
  </si>
  <si>
    <t>E05001390</t>
  </si>
  <si>
    <t>E05001391</t>
  </si>
  <si>
    <t>E05001392</t>
  </si>
  <si>
    <t>E05001393</t>
  </si>
  <si>
    <t>E05001396</t>
  </si>
  <si>
    <t>E05001397</t>
  </si>
  <si>
    <t>E05001398</t>
  </si>
  <si>
    <t>E05001399</t>
  </si>
  <si>
    <t>E05001400</t>
  </si>
  <si>
    <t>E05001401</t>
  </si>
  <si>
    <t>E05001402</t>
  </si>
  <si>
    <t>E05001403</t>
  </si>
  <si>
    <t>E05001405</t>
  </si>
  <si>
    <t>E05001407</t>
  </si>
  <si>
    <t>E05001408</t>
  </si>
  <si>
    <t>E05001409</t>
  </si>
  <si>
    <t>E05001410</t>
  </si>
  <si>
    <t>E05001411</t>
  </si>
  <si>
    <t>E05001412</t>
  </si>
  <si>
    <t>E05001413</t>
  </si>
  <si>
    <t>E05001414</t>
  </si>
  <si>
    <t>E05001415</t>
  </si>
  <si>
    <t>E05001416</t>
  </si>
  <si>
    <t>E05001417</t>
  </si>
  <si>
    <t>E05001418</t>
  </si>
  <si>
    <t>E05001419</t>
  </si>
  <si>
    <t>E05001420</t>
  </si>
  <si>
    <t>E05001421</t>
  </si>
  <si>
    <t>E05001422</t>
  </si>
  <si>
    <t>E05001423</t>
  </si>
  <si>
    <t>E05001424</t>
  </si>
  <si>
    <t>E05001425</t>
  </si>
  <si>
    <t>E05001426</t>
  </si>
  <si>
    <t>E05001427</t>
  </si>
  <si>
    <t>E05001428</t>
  </si>
  <si>
    <t>E05001429</t>
  </si>
  <si>
    <t>E05001430</t>
  </si>
  <si>
    <t>E05001431</t>
  </si>
  <si>
    <t>E05001432</t>
  </si>
  <si>
    <t>E05001433</t>
  </si>
  <si>
    <t>E05001434</t>
  </si>
  <si>
    <t>E05001435</t>
  </si>
  <si>
    <t>E05001436</t>
  </si>
  <si>
    <t>E05001437</t>
  </si>
  <si>
    <t>E05001438</t>
  </si>
  <si>
    <t>E05001439</t>
  </si>
  <si>
    <t>E05001440</t>
  </si>
  <si>
    <t>E05001441</t>
  </si>
  <si>
    <t>E05001442</t>
  </si>
  <si>
    <t>E05001443</t>
  </si>
  <si>
    <t>E05001444</t>
  </si>
  <si>
    <t>E05001445</t>
  </si>
  <si>
    <t>E05001446</t>
  </si>
  <si>
    <t>E05001447</t>
  </si>
  <si>
    <t>E05001448</t>
  </si>
  <si>
    <t>E05001449</t>
  </si>
  <si>
    <t>E05001450</t>
  </si>
  <si>
    <t>E05001451</t>
  </si>
  <si>
    <t>E05001452</t>
  </si>
  <si>
    <t>E05001453</t>
  </si>
  <si>
    <t>E05001454</t>
  </si>
  <si>
    <t>E05001455</t>
  </si>
  <si>
    <t>E05001456</t>
  </si>
  <si>
    <t>E05001457</t>
  </si>
  <si>
    <t>E05001458</t>
  </si>
  <si>
    <t>E05001459</t>
  </si>
  <si>
    <t>E05001460</t>
  </si>
  <si>
    <t>E05001461</t>
  </si>
  <si>
    <t>E05001462</t>
  </si>
  <si>
    <t>E05001463</t>
  </si>
  <si>
    <t>E05001464</t>
  </si>
  <si>
    <t>E05001505</t>
  </si>
  <si>
    <t>E05001506</t>
  </si>
  <si>
    <t>E05001507</t>
  </si>
  <si>
    <t>E05001508</t>
  </si>
  <si>
    <t>E05001509</t>
  </si>
  <si>
    <t>E05001510</t>
  </si>
  <si>
    <t>E05001511</t>
  </si>
  <si>
    <t>E05001512</t>
  </si>
  <si>
    <t>E05001513</t>
  </si>
  <si>
    <t>E05001514</t>
  </si>
  <si>
    <t>E05001515</t>
  </si>
  <si>
    <t>E05001516</t>
  </si>
  <si>
    <t>E05001517</t>
  </si>
  <si>
    <t>E05001518</t>
  </si>
  <si>
    <t>E05001519</t>
  </si>
  <si>
    <t>E05001520</t>
  </si>
  <si>
    <t>E05001521</t>
  </si>
  <si>
    <t>E05001522</t>
  </si>
  <si>
    <t>E05001523</t>
  </si>
  <si>
    <t>E05001524</t>
  </si>
  <si>
    <t>E05001525</t>
  </si>
  <si>
    <t>E05001526</t>
  </si>
  <si>
    <t>E05001527</t>
  </si>
  <si>
    <t>Pleck</t>
  </si>
  <si>
    <t>Rushall-Shelfield</t>
  </si>
  <si>
    <t>New Brighton</t>
  </si>
  <si>
    <t>Oxton</t>
  </si>
  <si>
    <t>Pensby and Thingwall</t>
  </si>
  <si>
    <t>Prenton</t>
  </si>
  <si>
    <t>Rock Ferry</t>
  </si>
  <si>
    <t>Seacombe</t>
  </si>
  <si>
    <t>Leigh South</t>
  </si>
  <si>
    <t>Leigh West</t>
  </si>
  <si>
    <t>South Brent</t>
  </si>
  <si>
    <t>Stokenham</t>
  </si>
  <si>
    <t>West Dart</t>
  </si>
  <si>
    <t>TEIGNBRIDGE DISTRICT  *</t>
  </si>
  <si>
    <t>Ambrook</t>
  </si>
  <si>
    <t>Ashburton and Buckfastleigh</t>
  </si>
  <si>
    <t>Bishopsteignton</t>
  </si>
  <si>
    <t>Bovey</t>
  </si>
  <si>
    <t>Bradley</t>
  </si>
  <si>
    <t>Irwell Riverside</t>
  </si>
  <si>
    <t>Kersal</t>
  </si>
  <si>
    <t>Whitburn and Marsden</t>
  </si>
  <si>
    <t>Whiteleas</t>
  </si>
  <si>
    <t>* as created by The Borough of South Tyneside (Electoral Changes) Order 2004</t>
  </si>
  <si>
    <t>CITY OF SUNDERLAND  *</t>
  </si>
  <si>
    <t>Copt Hill</t>
  </si>
  <si>
    <t>Hindley Green</t>
  </si>
  <si>
    <t>Ince</t>
  </si>
  <si>
    <t>Leigh East</t>
  </si>
  <si>
    <t>* as created by The Borough of Basingstoke and Deane (Electoral Changes) Order 2008</t>
  </si>
  <si>
    <t>EAST HAMPSHIRE DISTRICT  *</t>
  </si>
  <si>
    <t>Alton Amery</t>
  </si>
  <si>
    <t>Alton Ashdell</t>
  </si>
  <si>
    <t>Rampton</t>
  </si>
  <si>
    <t>Toddbrook</t>
  </si>
  <si>
    <t>Alton Eastbrooke</t>
  </si>
  <si>
    <t>Three Moors</t>
  </si>
  <si>
    <t>Torrington</t>
  </si>
  <si>
    <t>Great Baddow West</t>
  </si>
  <si>
    <t>Little Baddow, Danbury and Sandon</t>
  </si>
  <si>
    <t>Marconi</t>
  </si>
  <si>
    <t>Moulsham and Central</t>
  </si>
  <si>
    <t>South Tawton</t>
  </si>
  <si>
    <t>Tavistock North</t>
  </si>
  <si>
    <t>Tavistock South West</t>
  </si>
  <si>
    <t>County Average (All) (6 seats)</t>
  </si>
  <si>
    <t>Bedford BC</t>
  </si>
  <si>
    <t>Bedford (pt)</t>
  </si>
  <si>
    <t>Luton North BC</t>
  </si>
  <si>
    <t>Luton (pt)</t>
  </si>
  <si>
    <t>Luton South BC</t>
  </si>
  <si>
    <t>Eastcotts</t>
  </si>
  <si>
    <t>Goldington</t>
  </si>
  <si>
    <t>Great Barford</t>
  </si>
  <si>
    <t>Harpur</t>
  </si>
  <si>
    <t>Harrold</t>
  </si>
  <si>
    <t>Kempston North</t>
  </si>
  <si>
    <t>Kempston South</t>
  </si>
  <si>
    <t>Kingsbrook</t>
  </si>
  <si>
    <t>Newnham</t>
  </si>
  <si>
    <t>Oakley</t>
  </si>
  <si>
    <t>Putnoe</t>
  </si>
  <si>
    <t>Queen's Park</t>
  </si>
  <si>
    <t>21.</t>
  </si>
  <si>
    <t>Riseley</t>
  </si>
  <si>
    <t>22.</t>
  </si>
  <si>
    <t>23.</t>
  </si>
  <si>
    <t>Sharnbrook</t>
  </si>
  <si>
    <t>CHELTENHAM BOROUGH</t>
  </si>
  <si>
    <t>COTSWOLD DISTRICT</t>
  </si>
  <si>
    <t>* as created by The District of Harlow (Electoral Changes) Order 2001</t>
  </si>
  <si>
    <t>MALDON DISTRICT  *</t>
  </si>
  <si>
    <t>Althorne</t>
  </si>
  <si>
    <t>Burnham-on-Crouch North</t>
  </si>
  <si>
    <t>WARWICK DISTRICT  *</t>
  </si>
  <si>
    <t>Bishop's Tachbrook</t>
  </si>
  <si>
    <t>Raynes Park</t>
  </si>
  <si>
    <t>St Helier</t>
  </si>
  <si>
    <t>West Barnes</t>
  </si>
  <si>
    <t>Wimbledon Park</t>
  </si>
  <si>
    <t>Carlton</t>
  </si>
  <si>
    <t>Castle</t>
  </si>
  <si>
    <t>Cauldwell</t>
  </si>
  <si>
    <t>Clapham</t>
  </si>
  <si>
    <t>De Parys</t>
  </si>
  <si>
    <t>Chichester (pt)</t>
  </si>
  <si>
    <t>Horsham (pt)</t>
  </si>
  <si>
    <t>Mid Sussex (pt)</t>
  </si>
  <si>
    <t>Bognor Regis and Littlehampton CC</t>
  </si>
  <si>
    <t>Chichester CC</t>
  </si>
  <si>
    <t>Crawley BC</t>
  </si>
  <si>
    <t>* as created by The London Borough of Merton (Electoral Changes) Order 2000</t>
  </si>
  <si>
    <t>MIDDLESBROUGH BOROUGH  *</t>
  </si>
  <si>
    <t>Hailey, Minster Lovell and Leafield</t>
  </si>
  <si>
    <t>Kingham, Rollright and Enstone</t>
  </si>
  <si>
    <t>Budbrooke</t>
  </si>
  <si>
    <t>Clarendon</t>
  </si>
  <si>
    <t>Crown</t>
  </si>
  <si>
    <t>Manor</t>
  </si>
  <si>
    <t>Milverton</t>
  </si>
  <si>
    <t>Park Hill</t>
  </si>
  <si>
    <t>Radford Semele</t>
  </si>
  <si>
    <t>CHESHIRE EAST BOROUGH  *</t>
  </si>
  <si>
    <t>CHESHIRE WEST AND CHESTER BOROUGH  *</t>
  </si>
  <si>
    <t>Chelmsley Wood</t>
  </si>
  <si>
    <t>Wantage Charlton</t>
  </si>
  <si>
    <t>Abingdon Peachcroft</t>
  </si>
  <si>
    <t>Hendreds</t>
  </si>
  <si>
    <t>Lingfield and Crowhurst</t>
  </si>
  <si>
    <t>Oxted North and Tandridge</t>
  </si>
  <si>
    <t>Oxted South</t>
  </si>
  <si>
    <t>Portley</t>
  </si>
  <si>
    <t>Tatsfield and Titsey</t>
  </si>
  <si>
    <t>Toddington</t>
  </si>
  <si>
    <t>Watling</t>
  </si>
  <si>
    <t>Snitterfield</t>
  </si>
  <si>
    <t>Paddox</t>
  </si>
  <si>
    <t>Kenilworth and Southam CC (pt)</t>
  </si>
  <si>
    <t>Rugby  CC (pt)</t>
  </si>
  <si>
    <t>Bardon</t>
  </si>
  <si>
    <t>Ettington</t>
  </si>
  <si>
    <t>Harbury</t>
  </si>
  <si>
    <t>Henley</t>
  </si>
  <si>
    <t>Kineton</t>
  </si>
  <si>
    <t>Kinwarton</t>
  </si>
  <si>
    <t>Quinton</t>
  </si>
  <si>
    <t>Ancoats and Clayton</t>
  </si>
  <si>
    <t>Ardwick</t>
  </si>
  <si>
    <t>Baguley</t>
  </si>
  <si>
    <t>Burnage</t>
  </si>
  <si>
    <t>Charlestown</t>
  </si>
  <si>
    <t>Cheetham</t>
  </si>
  <si>
    <t>LANCASHIRE, BLACKBURN &amp; BLACKPOOL</t>
  </si>
  <si>
    <t>Leicester *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</si>
  <si>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</si>
  <si>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</si>
  <si>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</si>
  <si>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</si>
  <si>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</si>
  <si>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</si>
  <si>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</si>
  <si>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LEICESTERSHIRE</t>
  </si>
  <si>
    <t>Rutland *</t>
  </si>
  <si>
    <t>Boston</t>
  </si>
  <si>
    <t>East Lindsey</t>
  </si>
  <si>
    <t>Lincoln</t>
  </si>
  <si>
    <t>North Kesteven</t>
  </si>
  <si>
    <t>South Holland</t>
  </si>
  <si>
    <t>Great Dunmow North</t>
  </si>
  <si>
    <t>Hatfield Heath</t>
  </si>
  <si>
    <t>Saffron Walden Audley</t>
  </si>
  <si>
    <t>Saffron Walden Castle</t>
  </si>
  <si>
    <t>Wolverhampton</t>
  </si>
  <si>
    <t>WEST MIDLANDS</t>
  </si>
  <si>
    <t>Bradford</t>
  </si>
  <si>
    <t>Calderdale</t>
  </si>
  <si>
    <t>Kirklees</t>
  </si>
  <si>
    <t>Leeds</t>
  </si>
  <si>
    <t>Wakefield</t>
  </si>
  <si>
    <t>WEST YORKSHIRE</t>
  </si>
  <si>
    <t>Great Hollands South</t>
  </si>
  <si>
    <t>Hanworth</t>
  </si>
  <si>
    <t>Harmans Water</t>
  </si>
  <si>
    <t>Little Sandhurst and Wellington</t>
  </si>
  <si>
    <t>Old Bracknell</t>
  </si>
  <si>
    <t>* as created by The Borough of Cheltenham (Electoral Changes) Order 2001</t>
  </si>
  <si>
    <t>COTSWOLD DISTRICT  *</t>
  </si>
  <si>
    <t># paired with the London Borough of Waltham Forest</t>
  </si>
  <si>
    <t>WALTHAM FOREST LONDON BOROUGH  * #</t>
  </si>
  <si>
    <t xml:space="preserve">Leyton and Wanstead BC </t>
  </si>
  <si>
    <t xml:space="preserve">Ilford North BC </t>
  </si>
  <si>
    <t>Cann Hall</t>
  </si>
  <si>
    <t>Cathall</t>
  </si>
  <si>
    <t>Blockley</t>
  </si>
  <si>
    <t>Furnace Green</t>
  </si>
  <si>
    <t>Gossops Green</t>
  </si>
  <si>
    <t>Ifield</t>
  </si>
  <si>
    <t>Langley Green</t>
  </si>
  <si>
    <t>Maidenbower</t>
  </si>
  <si>
    <t>Pound Hill North</t>
  </si>
  <si>
    <t>Pound Hill South and Worth</t>
  </si>
  <si>
    <t>County Average (Wokingham) (2 seats)</t>
  </si>
  <si>
    <t>County Average (All) (8 seats)</t>
  </si>
  <si>
    <t>Bracknell CC</t>
  </si>
  <si>
    <t>Bracknell Forest (pt)</t>
  </si>
  <si>
    <t>Wokingham (pt)</t>
  </si>
  <si>
    <t>Maidenhead CC</t>
  </si>
  <si>
    <t>Windsor and Maidenhead (pt)</t>
  </si>
  <si>
    <t>Newbury CC</t>
  </si>
  <si>
    <t>West Berkshire (pt)</t>
  </si>
  <si>
    <t>Reading East BC</t>
  </si>
  <si>
    <t>Reading (pt)</t>
  </si>
  <si>
    <t>Reading West CC</t>
  </si>
  <si>
    <t>Slough BC</t>
  </si>
  <si>
    <t>Slough (pt)</t>
  </si>
  <si>
    <t>Stort Valley</t>
  </si>
  <si>
    <t>The Sampfords</t>
  </si>
  <si>
    <t>Chapel End</t>
  </si>
  <si>
    <t>* as created by The District of Chichester (Electoral Changes) Order 2002</t>
  </si>
  <si>
    <t>CRAWLEY BOROUGH  *</t>
  </si>
  <si>
    <t>Bewbush</t>
  </si>
  <si>
    <t>Broadfield North</t>
  </si>
  <si>
    <t>North Mundham</t>
  </si>
  <si>
    <t>Petworth</t>
  </si>
  <si>
    <t>Plaistow</t>
  </si>
  <si>
    <t>Rogate</t>
  </si>
  <si>
    <t>Windsor CC</t>
  </si>
  <si>
    <t>Wokingham CC</t>
  </si>
  <si>
    <t>* as created by The Berkshire (Structural Change) Order 1996</t>
  </si>
  <si>
    <t>Ascot</t>
  </si>
  <si>
    <t>Binfield with Warfield</t>
  </si>
  <si>
    <t>CRAWLEY BOROUGH</t>
  </si>
  <si>
    <t>HORSHAM DISTRICT</t>
  </si>
  <si>
    <t>MID SUSSEX DISTRICT</t>
  </si>
  <si>
    <t>WORTHING BOROUGH</t>
  </si>
  <si>
    <t>Arundel and South Downs CC</t>
  </si>
  <si>
    <t>Arun (pt)</t>
  </si>
  <si>
    <t>Battledown</t>
  </si>
  <si>
    <t>Central</t>
  </si>
  <si>
    <t>Hungerford</t>
  </si>
  <si>
    <t>Kintbury</t>
  </si>
  <si>
    <t>Lambourn Valley</t>
  </si>
  <si>
    <t>Mortimer</t>
  </si>
  <si>
    <t>Alvington, Aylburton and West Lydney</t>
  </si>
  <si>
    <t>Awre</t>
  </si>
  <si>
    <t>Berry Hill</t>
  </si>
  <si>
    <t>Blaisdon and Longhope</t>
  </si>
  <si>
    <t>Bream</t>
  </si>
  <si>
    <t>Bromesberrow and Dymock</t>
  </si>
  <si>
    <t>Christchurch and English Bicknor</t>
  </si>
  <si>
    <t>Churcham and Huntley</t>
  </si>
  <si>
    <t>Cinderford East</t>
  </si>
  <si>
    <t>Northcroft</t>
  </si>
  <si>
    <t>Pangbourne</t>
  </si>
  <si>
    <t>Purley on Thames</t>
  </si>
  <si>
    <t>St Johns</t>
  </si>
  <si>
    <t>St Bartholomew</t>
  </si>
  <si>
    <t>St Luke</t>
  </si>
  <si>
    <t>St Michael</t>
  </si>
  <si>
    <t>St Paul</t>
  </si>
  <si>
    <t>Up Hatherley</t>
  </si>
  <si>
    <t>Horsham CC (pt)</t>
  </si>
  <si>
    <t>MID SUSSEX DISTRICT  *</t>
  </si>
  <si>
    <t>Ardingly and Balcombe</t>
  </si>
  <si>
    <t>Ashurst Wood</t>
  </si>
  <si>
    <t>Bolney</t>
  </si>
  <si>
    <t>Burgess Hill Dunstall</t>
  </si>
  <si>
    <t>BROXBOURNE BOROUGH</t>
  </si>
  <si>
    <t>DACORUM BOROUGH</t>
  </si>
  <si>
    <t>EAST HERTFORDSHIRE DISTRICT</t>
  </si>
  <si>
    <t>HERTSMERE BOROUGH</t>
  </si>
  <si>
    <t>NORTH HERTFORDSHIRE DISTRICT</t>
  </si>
  <si>
    <t>* as created by The Royal Borough of Windsor and Maidenhead (Electoral Changes) Order 2002</t>
  </si>
  <si>
    <t>Arborfield</t>
  </si>
  <si>
    <t>Barkham</t>
  </si>
  <si>
    <t>Bulmershe and Whitegates</t>
  </si>
  <si>
    <t>Charvil</t>
  </si>
  <si>
    <t>Coronation</t>
  </si>
  <si>
    <t>Burgess Hill Franklands</t>
  </si>
  <si>
    <t>Burgess Hill Leylands</t>
  </si>
  <si>
    <t>Burgess Hill Meeds</t>
  </si>
  <si>
    <t>Burgess Hill St Andrews</t>
  </si>
  <si>
    <t>Burgess Hill Victoria</t>
  </si>
  <si>
    <t>Remenham, Wargrave and Ruscombe</t>
  </si>
  <si>
    <t>Northway</t>
  </si>
  <si>
    <t>Oxenton Hill</t>
  </si>
  <si>
    <t>Shurdington</t>
  </si>
  <si>
    <t>Tewkesbury Newtown</t>
  </si>
  <si>
    <t>Tewkesbury Prior's Park</t>
  </si>
  <si>
    <t>Tewkesbury Town with Mitton</t>
  </si>
  <si>
    <t>Twyning</t>
  </si>
  <si>
    <t>Northwood</t>
  </si>
  <si>
    <t>Northwood Hills</t>
  </si>
  <si>
    <t>Pinkwell</t>
  </si>
  <si>
    <t>Datchet</t>
  </si>
  <si>
    <t>Eton and Castle</t>
  </si>
  <si>
    <t>Eton Wick</t>
  </si>
  <si>
    <t>Furze Platt</t>
  </si>
  <si>
    <t>Horton and Wraysbury</t>
  </si>
  <si>
    <t>Hardwicke</t>
  </si>
  <si>
    <t>Kingswood</t>
  </si>
  <si>
    <t>Minchinhampton</t>
  </si>
  <si>
    <t>Nailsworth</t>
  </si>
  <si>
    <t>Rodborough</t>
  </si>
  <si>
    <t>Severn</t>
  </si>
  <si>
    <t>Slade</t>
  </si>
  <si>
    <t>Stonehouse</t>
  </si>
  <si>
    <t>The Stanleys</t>
  </si>
  <si>
    <t>Thrupp</t>
  </si>
  <si>
    <t>Valley</t>
  </si>
  <si>
    <t>Wotton-under-Edge</t>
  </si>
  <si>
    <t>Shinfield North</t>
  </si>
  <si>
    <t>Shinfield South</t>
  </si>
  <si>
    <t>Sonning</t>
  </si>
  <si>
    <t>South Lake</t>
  </si>
  <si>
    <t>Swallowfield</t>
  </si>
  <si>
    <t>Twyford</t>
  </si>
  <si>
    <t>Wescott</t>
  </si>
  <si>
    <t>Winnersh</t>
  </si>
  <si>
    <t>Wokingham Without</t>
  </si>
  <si>
    <t>Ashchurch with Walton Cardiff</t>
  </si>
  <si>
    <t>Badgeworth</t>
  </si>
  <si>
    <t>Brockworth</t>
  </si>
  <si>
    <t>Churchdown Brookfield</t>
  </si>
  <si>
    <t>Churchdown St John's</t>
  </si>
  <si>
    <t>Cleeve Grange</t>
  </si>
  <si>
    <t>Cleeve Hill</t>
  </si>
  <si>
    <t>Owlsmoor</t>
  </si>
  <si>
    <t>Priestwood and Garth</t>
  </si>
  <si>
    <t>Warfield Harvest Ride</t>
  </si>
  <si>
    <t>West</t>
  </si>
  <si>
    <t>North West Cambridgeshire CC (pt)</t>
  </si>
  <si>
    <t>CITY OF CAMBRIDGE  *</t>
  </si>
  <si>
    <t>Arbury</t>
  </si>
  <si>
    <t>Cherry Hinton</t>
  </si>
  <si>
    <t>Coleridge</t>
  </si>
  <si>
    <t>Henfield</t>
  </si>
  <si>
    <t>Holbrook East</t>
  </si>
  <si>
    <t>Holbrook West</t>
  </si>
  <si>
    <t>Horsham Park</t>
  </si>
  <si>
    <t>Itchingfield, Slinfold and Warnham</t>
  </si>
  <si>
    <t>Nuthurst</t>
  </si>
  <si>
    <t>Roffey North</t>
  </si>
  <si>
    <t>Roffey South</t>
  </si>
  <si>
    <t>Rudgwick</t>
  </si>
  <si>
    <t>Rusper and Colgate</t>
  </si>
  <si>
    <t>Southwater</t>
  </si>
  <si>
    <t>Steyning</t>
  </si>
  <si>
    <t>East Grinstead Town</t>
  </si>
  <si>
    <t>Hassocks</t>
  </si>
  <si>
    <t>Hurley and Walthams</t>
  </si>
  <si>
    <t>Maidenhead Riverside</t>
  </si>
  <si>
    <t>Old Windsor</t>
  </si>
  <si>
    <t>Pinkneys Green</t>
  </si>
  <si>
    <t>Sunningdale</t>
  </si>
  <si>
    <t>Sunninghill and South Ascot</t>
  </si>
  <si>
    <t>Maidenhead CC (pt)</t>
  </si>
  <si>
    <t>Huddersfield BC</t>
  </si>
  <si>
    <t>Keighley CC</t>
  </si>
  <si>
    <t>Leeds Central BC</t>
  </si>
  <si>
    <t>Leeds East BC</t>
  </si>
  <si>
    <t>South Norfolk CC</t>
  </si>
  <si>
    <t>South West Norfolk CC</t>
  </si>
  <si>
    <t>Driffield and Rural</t>
  </si>
  <si>
    <t>East Wolds and Coastal</t>
  </si>
  <si>
    <t>Goole North</t>
  </si>
  <si>
    <t>Goole South</t>
  </si>
  <si>
    <t>Hessle</t>
  </si>
  <si>
    <t>Howden</t>
  </si>
  <si>
    <t>Howdenshire</t>
  </si>
  <si>
    <t>BRECKLAND DISTRICT  *</t>
  </si>
  <si>
    <t>Eynsford</t>
  </si>
  <si>
    <t>Coltishall</t>
  </si>
  <si>
    <t>Drayton North</t>
  </si>
  <si>
    <t>Drayton South</t>
  </si>
  <si>
    <t>Eynesford</t>
  </si>
  <si>
    <t>Great Witchingham</t>
  </si>
  <si>
    <t>Hellesdon North West</t>
  </si>
  <si>
    <t>Hellesdon South East</t>
  </si>
  <si>
    <t>Burringham and Gunness</t>
  </si>
  <si>
    <t>Burton upon Stather and Winterton</t>
  </si>
  <si>
    <t>Bradwell South and Hopton</t>
  </si>
  <si>
    <t>Caister North</t>
  </si>
  <si>
    <t>Caister South</t>
  </si>
  <si>
    <t>Central and Northgate</t>
  </si>
  <si>
    <t>North</t>
  </si>
  <si>
    <t>Orton Longueville</t>
  </si>
  <si>
    <t>Orton Waterville</t>
  </si>
  <si>
    <t>Ravensthorpe</t>
  </si>
  <si>
    <t>Walton</t>
  </si>
  <si>
    <t>St Enoder</t>
  </si>
  <si>
    <t>St Keverne and Meneage</t>
  </si>
  <si>
    <t>St Mewan</t>
  </si>
  <si>
    <t>SOUTH CAMBRIDGESHIRE DISTRICT  *</t>
  </si>
  <si>
    <t>Balsham</t>
  </si>
  <si>
    <t>Bar Hill</t>
  </si>
  <si>
    <t>Bassingbourn</t>
  </si>
  <si>
    <t>Caldecote</t>
  </si>
  <si>
    <t>Cottenham</t>
  </si>
  <si>
    <t>Duxford</t>
  </si>
  <si>
    <t>Gamlingay</t>
  </si>
  <si>
    <t>Girton</t>
  </si>
  <si>
    <t>Hardwick</t>
  </si>
  <si>
    <t>Linton</t>
  </si>
  <si>
    <t>Longstanton</t>
  </si>
  <si>
    <t>Melbourn</t>
  </si>
  <si>
    <t>Milton</t>
  </si>
  <si>
    <t>Sawston</t>
  </si>
  <si>
    <t>Swavesey</t>
  </si>
  <si>
    <t>The Mordens</t>
  </si>
  <si>
    <t>31.</t>
  </si>
  <si>
    <t>32.</t>
  </si>
  <si>
    <t>33.</t>
  </si>
  <si>
    <t>Whittlesford</t>
  </si>
  <si>
    <t>34.</t>
  </si>
  <si>
    <t>Hayle North</t>
  </si>
  <si>
    <t>Hayle South</t>
  </si>
  <si>
    <t>Helston North</t>
  </si>
  <si>
    <t>Illogan</t>
  </si>
  <si>
    <t>Ladock, St Clement and St Erme</t>
  </si>
  <si>
    <t>Launceston Central</t>
  </si>
  <si>
    <t>Launceston South</t>
  </si>
  <si>
    <t>Liskeard North</t>
  </si>
  <si>
    <t>Ryburn</t>
  </si>
  <si>
    <t>Skircoat</t>
  </si>
  <si>
    <t>Sowerby Bridge</t>
  </si>
  <si>
    <t>Todmorden</t>
  </si>
  <si>
    <t>* as created by The Borough of Calderdale (Electoral Changes) Order 2003</t>
  </si>
  <si>
    <t>KIRKLEES BOROUGH  *</t>
  </si>
  <si>
    <t>Almondbury</t>
  </si>
  <si>
    <t>Ashbrow</t>
  </si>
  <si>
    <t>Batley East</t>
  </si>
  <si>
    <t>Batley West</t>
  </si>
  <si>
    <t>Birstall and Birkenshaw</t>
  </si>
  <si>
    <t>Cleckheaton</t>
  </si>
  <si>
    <t>Colne Valley</t>
  </si>
  <si>
    <t>Crosland Moor and Netherton</t>
  </si>
  <si>
    <t>Denby Dale</t>
  </si>
  <si>
    <t>Dewsbury East</t>
  </si>
  <si>
    <t>Dewsbury South</t>
  </si>
  <si>
    <t>Dewsbury West</t>
  </si>
  <si>
    <t>Golcar</t>
  </si>
  <si>
    <t>Greenhead</t>
  </si>
  <si>
    <t>Heckmondwike</t>
  </si>
  <si>
    <t>Bedminster</t>
  </si>
  <si>
    <t>Bishopsworth</t>
  </si>
  <si>
    <t>Brislington East</t>
  </si>
  <si>
    <t>Brislington West</t>
  </si>
  <si>
    <t>Clifton</t>
  </si>
  <si>
    <t>Cotham</t>
  </si>
  <si>
    <t>Easton</t>
  </si>
  <si>
    <t>Eastville</t>
  </si>
  <si>
    <t>Filwood</t>
  </si>
  <si>
    <t>Frome Vale</t>
  </si>
  <si>
    <t>Hillfields</t>
  </si>
  <si>
    <t>Horfield</t>
  </si>
  <si>
    <t>Knowle</t>
  </si>
  <si>
    <t>Lawrence Hill</t>
  </si>
  <si>
    <t>Lockleaze</t>
  </si>
  <si>
    <t>Redland</t>
  </si>
  <si>
    <t>St George West</t>
  </si>
  <si>
    <t>Southmead</t>
  </si>
  <si>
    <t>Southville</t>
  </si>
  <si>
    <t>Stockwood</t>
  </si>
  <si>
    <t>Stoke Bishop</t>
  </si>
  <si>
    <t>Windmill Hill</t>
  </si>
  <si>
    <t>AYLESBURY VALE DISTRICT</t>
  </si>
  <si>
    <t>CHILTERN DISTRICT</t>
  </si>
  <si>
    <t>SOUTH BUCKS DISTRICT</t>
  </si>
  <si>
    <t>WYCOMBE DISTRICT</t>
  </si>
  <si>
    <t>CITY OF LEEDS  *</t>
  </si>
  <si>
    <t>Adel and Wharfedale</t>
  </si>
  <si>
    <t>Alwoodley</t>
  </si>
  <si>
    <t>Ardsley and Robin Hood</t>
  </si>
  <si>
    <t>Armley</t>
  </si>
  <si>
    <t>HAMBLETON DISTRICT  *</t>
  </si>
  <si>
    <t>Bedale</t>
  </si>
  <si>
    <t>Easingwold</t>
  </si>
  <si>
    <t>Great Ayton</t>
  </si>
  <si>
    <t>Bramley and Stanningley</t>
  </si>
  <si>
    <t>Burmantofts and Richmond Hill</t>
  </si>
  <si>
    <t>Calverley and Farsley</t>
  </si>
  <si>
    <t>Chapel Allerton</t>
  </si>
  <si>
    <t>City and Hunslet</t>
  </si>
  <si>
    <t>Cross Gates and Whinmoor</t>
  </si>
  <si>
    <t>CORBY BOROUGH</t>
  </si>
  <si>
    <t>DAVENTRY DISTRICT</t>
  </si>
  <si>
    <t>EAST NORTHAMPTONSHIRE DISTRICT</t>
  </si>
  <si>
    <t>KETTERING BOROUGH</t>
  </si>
  <si>
    <t>NORTHAMPTON BOROUGH</t>
  </si>
  <si>
    <t>SOUTH NORTHAMPTONSHIRE DISTRICT</t>
  </si>
  <si>
    <t>WELLINGBOROUGH BOROUGH</t>
  </si>
  <si>
    <t>County Average (7 seats)</t>
  </si>
  <si>
    <t>Corby CC</t>
  </si>
  <si>
    <t>East Northamptonshire (pt)</t>
  </si>
  <si>
    <t>Daventry CC</t>
  </si>
  <si>
    <t>Kilburn, Denby and Holbrook</t>
  </si>
  <si>
    <t>Langley Mill and Aldercar</t>
  </si>
  <si>
    <t>Ripley</t>
  </si>
  <si>
    <t>Ripley and Marehay</t>
  </si>
  <si>
    <t>Shipley Park, Horsley and Horsley Woodhouse</t>
  </si>
  <si>
    <t>Somercotes</t>
  </si>
  <si>
    <t>South West Parishes</t>
  </si>
  <si>
    <t>Swanwick</t>
  </si>
  <si>
    <t>Wingfield</t>
  </si>
  <si>
    <t>Derbyshire Dales CC (pt)</t>
  </si>
  <si>
    <t>BOLSOVER DISTRICT  *</t>
  </si>
  <si>
    <t>Barlborough</t>
  </si>
  <si>
    <t>Blackwell</t>
  </si>
  <si>
    <t>Bolsover North West</t>
  </si>
  <si>
    <t>Bolsover South</t>
  </si>
  <si>
    <t>Bolsover West</t>
  </si>
  <si>
    <t>Clowne North</t>
  </si>
  <si>
    <t>Fryent</t>
  </si>
  <si>
    <t>East Ham North</t>
  </si>
  <si>
    <t>East Ham South</t>
  </si>
  <si>
    <t>Forest Gate North</t>
  </si>
  <si>
    <t>Forest Gate South</t>
  </si>
  <si>
    <t>Green Street East</t>
  </si>
  <si>
    <t>Green Street West</t>
  </si>
  <si>
    <t>Little Ilford</t>
  </si>
  <si>
    <t>Plaistow North</t>
  </si>
  <si>
    <t>Plaistow South</t>
  </si>
  <si>
    <t>Royal Docks</t>
  </si>
  <si>
    <t>Stratford and New Town</t>
  </si>
  <si>
    <t>Wall End</t>
  </si>
  <si>
    <t>West Ham</t>
  </si>
  <si>
    <t>* as created by The London Borough of Newham (Electoral Changes) Order 2000</t>
  </si>
  <si>
    <t>CITY OF NOTTINGHAM  *</t>
  </si>
  <si>
    <t>Nottingham East BC</t>
  </si>
  <si>
    <t>Nottingham (pt)</t>
  </si>
  <si>
    <t>Nottingham North BC</t>
  </si>
  <si>
    <t>Nottingham South BC</t>
  </si>
  <si>
    <t>Aspley</t>
  </si>
  <si>
    <t>Basford</t>
  </si>
  <si>
    <t>Berridge</t>
  </si>
  <si>
    <t>REDDITCH BOROUGH</t>
  </si>
  <si>
    <t>CITY OF WORCESTER</t>
  </si>
  <si>
    <t>WYCHAVON DISTRICT</t>
  </si>
  <si>
    <t>Morley and Outwood CC (pt)</t>
  </si>
  <si>
    <t>* as created by The City of Leeds (Electoral Changes) Order 2004</t>
  </si>
  <si>
    <t>Selby West</t>
  </si>
  <si>
    <t>Sherburn in Elmet</t>
  </si>
  <si>
    <t>NEWHAM LONDON BOROUGH  *</t>
  </si>
  <si>
    <t>East Ham BC</t>
  </si>
  <si>
    <t>Newham (pt)</t>
  </si>
  <si>
    <t>West Ham BC</t>
  </si>
  <si>
    <t>Beckton</t>
  </si>
  <si>
    <t>Boleyn</t>
  </si>
  <si>
    <t>Canning Town North</t>
  </si>
  <si>
    <t>Canning Town South</t>
  </si>
  <si>
    <t>Custom House</t>
  </si>
  <si>
    <t>East Ham Central</t>
  </si>
  <si>
    <t>Wrenthorpe and Outwood West</t>
  </si>
  <si>
    <t>* as created by The City of Wakefield (Electoral Changes) Order 2003</t>
  </si>
  <si>
    <t>WORCESTERSHIRE  *</t>
  </si>
  <si>
    <t>BROMSGROVE DISTRICT</t>
  </si>
  <si>
    <t>MALVERN HILLS DISTRICT</t>
  </si>
  <si>
    <t>Hanworth Park</t>
  </si>
  <si>
    <t>Heston Central</t>
  </si>
  <si>
    <t>Heston East</t>
  </si>
  <si>
    <t>Heston West</t>
  </si>
  <si>
    <t>Hounslow Central</t>
  </si>
  <si>
    <t>Hounslow Heath</t>
  </si>
  <si>
    <t>Hounslow South</t>
  </si>
  <si>
    <t>Hounslow West</t>
  </si>
  <si>
    <t>Isleworth</t>
  </si>
  <si>
    <t>Osterley and Spring Grove</t>
  </si>
  <si>
    <t>Syon</t>
  </si>
  <si>
    <t>Turnham Green</t>
  </si>
  <si>
    <t>Donnington</t>
  </si>
  <si>
    <t>Dothill</t>
  </si>
  <si>
    <t>Ercall</t>
  </si>
  <si>
    <t>Haygate</t>
  </si>
  <si>
    <t>Ryton, Crookhill and Stella</t>
  </si>
  <si>
    <t>Saltwell</t>
  </si>
  <si>
    <t>Wardley and Leam Lane</t>
  </si>
  <si>
    <t>Whickham North</t>
  </si>
  <si>
    <t>Whickham South and Sunniside</t>
  </si>
  <si>
    <t>Windy Nook and Whitehills</t>
  </si>
  <si>
    <t>Lower Stoke</t>
  </si>
  <si>
    <t>Radford</t>
  </si>
  <si>
    <t>Sherbourne</t>
  </si>
  <si>
    <t>Nuneaton and Bedworth (pt)</t>
  </si>
  <si>
    <t>Banbury Hardwick</t>
  </si>
  <si>
    <t>Banbury Ruscote</t>
  </si>
  <si>
    <t>Bicester East</t>
  </si>
  <si>
    <t>Bicester West</t>
  </si>
  <si>
    <t>Deddington</t>
  </si>
  <si>
    <t>Whitfield</t>
  </si>
  <si>
    <t>Radbrook</t>
  </si>
  <si>
    <t>Ruyton and Baschurch</t>
  </si>
  <si>
    <t>Severn Valley</t>
  </si>
  <si>
    <t>Shawbury</t>
  </si>
  <si>
    <t>Shifnal North</t>
  </si>
  <si>
    <t>Shifnal South and Cosford</t>
  </si>
  <si>
    <t>St Oswald</t>
  </si>
  <si>
    <t>Sundorne</t>
  </si>
  <si>
    <t>Tern</t>
  </si>
  <si>
    <t>The Meres</t>
  </si>
  <si>
    <t>Underdale</t>
  </si>
  <si>
    <t>Wem</t>
  </si>
  <si>
    <t>Whitchurch North</t>
  </si>
  <si>
    <t>Whitchurch South</t>
  </si>
  <si>
    <t>Whittington</t>
  </si>
  <si>
    <t>Worfield</t>
  </si>
  <si>
    <t>The Wrekin CC (pt)</t>
  </si>
  <si>
    <t>TELFORD AND WREKIN  *</t>
  </si>
  <si>
    <t>Apley Castle</t>
  </si>
  <si>
    <t>Arleston</t>
  </si>
  <si>
    <t>Brookside</t>
  </si>
  <si>
    <t>WELLINGBOROUGH BOROUGH  *</t>
  </si>
  <si>
    <t>Croyland</t>
  </si>
  <si>
    <t>Coldharbour</t>
  </si>
  <si>
    <t>Edlesborough</t>
  </si>
  <si>
    <t>Gatehouse</t>
  </si>
  <si>
    <t>Great Horwood</t>
  </si>
  <si>
    <t>Long Crendon</t>
  </si>
  <si>
    <t>Luffield Abbey</t>
  </si>
  <si>
    <t>CITY OF LONDON  #</t>
  </si>
  <si>
    <t>Cities of London and Westminster BC</t>
  </si>
  <si>
    <t>Westminster (pt)</t>
  </si>
  <si>
    <t>Charford</t>
  </si>
  <si>
    <t>North Warwickshire CC</t>
  </si>
  <si>
    <t>North Warwickshire (pt)</t>
  </si>
  <si>
    <t>MALVERN HILLS DISTRICT *</t>
  </si>
  <si>
    <t>Alfrick and Leigh</t>
  </si>
  <si>
    <t>Baldwin</t>
  </si>
  <si>
    <t>Dyson Perrins</t>
  </si>
  <si>
    <t>Hallow</t>
  </si>
  <si>
    <t>Kempsey</t>
  </si>
  <si>
    <t>Lindridge</t>
  </si>
  <si>
    <t>Chiltern Rise</t>
  </si>
  <si>
    <t>Disraeli</t>
  </si>
  <si>
    <t>Boughton</t>
  </si>
  <si>
    <t>Bedwardine</t>
  </si>
  <si>
    <t>Cathedral</t>
  </si>
  <si>
    <t>Claines</t>
  </si>
  <si>
    <t>Nunnery</t>
  </si>
  <si>
    <t>Rainbow Hill</t>
  </si>
  <si>
    <t>St Clement</t>
  </si>
  <si>
    <t>St John</t>
  </si>
  <si>
    <t>St Peter's Parish</t>
  </si>
  <si>
    <t>Penyghent</t>
  </si>
  <si>
    <t>Settle and Ribblebanks</t>
  </si>
  <si>
    <t>Heworth</t>
  </si>
  <si>
    <t>Heworth Without</t>
  </si>
  <si>
    <t>Holgate</t>
  </si>
  <si>
    <t>Hull Road</t>
  </si>
  <si>
    <t>Tidworth</t>
  </si>
  <si>
    <t>Till and Wylye Valley</t>
  </si>
  <si>
    <t>Tisbury</t>
  </si>
  <si>
    <t>Trowbridge Adcroft</t>
  </si>
  <si>
    <t>Trowbridge Central</t>
  </si>
  <si>
    <t>Trowbridge Drynham</t>
  </si>
  <si>
    <t>Trowbridge Grove</t>
  </si>
  <si>
    <t>Trowbridge Park</t>
  </si>
  <si>
    <t>Trowbridge Paxcroft</t>
  </si>
  <si>
    <t>Urchfont and The Cannings</t>
  </si>
  <si>
    <t>Warminster Broadway</t>
  </si>
  <si>
    <t>Warminster Copheap and Wylye</t>
  </si>
  <si>
    <t>Warminster East</t>
  </si>
  <si>
    <t>Warminster West</t>
  </si>
  <si>
    <t>Warminster Without</t>
  </si>
  <si>
    <t>Westbury North</t>
  </si>
  <si>
    <t>Westbury East</t>
  </si>
  <si>
    <t>Westbury West</t>
  </si>
  <si>
    <t>Wilton and Lower Wylye Valley</t>
  </si>
  <si>
    <t>Winsley and Westwood</t>
  </si>
  <si>
    <t>Winterslow</t>
  </si>
  <si>
    <t>Binley and Willenhall</t>
  </si>
  <si>
    <t>Cheylesmore</t>
  </si>
  <si>
    <t>Earlsdon</t>
  </si>
  <si>
    <t>Quarry and Risinghurst</t>
  </si>
  <si>
    <t>Rose Hill and Iffley</t>
  </si>
  <si>
    <t xml:space="preserve">St Margaret's </t>
  </si>
  <si>
    <t>Summertown</t>
  </si>
  <si>
    <t>Wolvercote</t>
  </si>
  <si>
    <t>* as created by The City of Oxford (Electoral Changes) Order 2001</t>
  </si>
  <si>
    <t>SOUTH OXFORDSHIRE DISTRICT  *</t>
  </si>
  <si>
    <t>County Average (Shropshire) (3 seats)</t>
  </si>
  <si>
    <t>County Average (Telford and Wrekin) (2 seats)</t>
  </si>
  <si>
    <t>County Average (All) (5 seats)</t>
  </si>
  <si>
    <t>Ludlow CC</t>
  </si>
  <si>
    <t>Shropshire (pt)</t>
  </si>
  <si>
    <t>North Shropshire CC</t>
  </si>
  <si>
    <t>Shrewsbury and Atcham CC</t>
  </si>
  <si>
    <t>Telford BC</t>
  </si>
  <si>
    <t>Telford and Wrekin (pt)</t>
  </si>
  <si>
    <t>The Wrekin CC</t>
  </si>
  <si>
    <t>North Cornwall CC</t>
  </si>
  <si>
    <t>Skipton East</t>
  </si>
  <si>
    <t>Skipton North</t>
  </si>
  <si>
    <t>Skipton South</t>
  </si>
  <si>
    <t>Skipton West</t>
  </si>
  <si>
    <t>Sutton-in-Craven</t>
  </si>
  <si>
    <t>Upper Wharfedale</t>
  </si>
  <si>
    <t>West Craven</t>
  </si>
  <si>
    <t>* as created by The Shropshire (Structural Change) Order 2008</t>
  </si>
  <si>
    <t># as created by The Shropshire (District of The Wrekin) (Structural Change) Order 1996</t>
  </si>
  <si>
    <t>Fieldway</t>
  </si>
  <si>
    <t>Heathfield</t>
  </si>
  <si>
    <t>Kenley</t>
  </si>
  <si>
    <t>New Addington</t>
  </si>
  <si>
    <t>Norbury</t>
  </si>
  <si>
    <t>Purley</t>
  </si>
  <si>
    <t>Sanderstead</t>
  </si>
  <si>
    <t>Selhurst</t>
  </si>
  <si>
    <t>Selsdon and Ballards</t>
  </si>
  <si>
    <t>Shirley</t>
  </si>
  <si>
    <t>Hornchurch and Upminster BC</t>
  </si>
  <si>
    <t>Romford BC</t>
  </si>
  <si>
    <t>Abbey</t>
  </si>
  <si>
    <t>Alibon</t>
  </si>
  <si>
    <t>Becontree</t>
  </si>
  <si>
    <t>Chadwell Heath</t>
  </si>
  <si>
    <t>Eastbrook</t>
  </si>
  <si>
    <t>Eastbury</t>
  </si>
  <si>
    <t>Gascoigne</t>
  </si>
  <si>
    <t>Goresbrook</t>
  </si>
  <si>
    <t>Heath</t>
  </si>
  <si>
    <t>Longbridge</t>
  </si>
  <si>
    <t>Mayesbrook</t>
  </si>
  <si>
    <t>Parsloes</t>
  </si>
  <si>
    <t>River</t>
  </si>
  <si>
    <t>Thames</t>
  </si>
  <si>
    <t>Valence</t>
  </si>
  <si>
    <t>* as created by The Borough of Oldham (Electoral Changes) Order 2004</t>
  </si>
  <si>
    <t>ROCHDALE BOROUGH  *</t>
  </si>
  <si>
    <t>Balderstone and Kirkholt</t>
  </si>
  <si>
    <t>Bamford</t>
  </si>
  <si>
    <t>Castleton</t>
  </si>
  <si>
    <t>Central Rochdale</t>
  </si>
  <si>
    <t>East Middleton</t>
  </si>
  <si>
    <t>Healey</t>
  </si>
  <si>
    <t>Hopwood Hall</t>
  </si>
  <si>
    <t>Littleborough Lakeside</t>
  </si>
  <si>
    <t>Milkstone and Deeplish</t>
  </si>
  <si>
    <t>Milnrow and Newhey</t>
  </si>
  <si>
    <t>Norden</t>
  </si>
  <si>
    <t>North Heywood</t>
  </si>
  <si>
    <t>North Middleton</t>
  </si>
  <si>
    <t>Smallbridge and Firgrove</t>
  </si>
  <si>
    <t>South Middleton</t>
  </si>
  <si>
    <t>Bethnal Green and Bow BC</t>
  </si>
  <si>
    <t>Tower Hamlets (pt)</t>
  </si>
  <si>
    <t>Chorlton</t>
  </si>
  <si>
    <t>Chorlton Park</t>
  </si>
  <si>
    <t>Fishergate</t>
  </si>
  <si>
    <t>Guildhall</t>
  </si>
  <si>
    <t>Northenden</t>
  </si>
  <si>
    <t>Old Moat</t>
  </si>
  <si>
    <t>Rusholme</t>
  </si>
  <si>
    <t>Sharston</t>
  </si>
  <si>
    <t>Whalley Range</t>
  </si>
  <si>
    <t>Withington</t>
  </si>
  <si>
    <t>Avonmore and Brook Green</t>
  </si>
  <si>
    <t>College Park and Old Oak</t>
  </si>
  <si>
    <t>Poulton North</t>
  </si>
  <si>
    <t>Poulton South</t>
  </si>
  <si>
    <t>Stockton Heath</t>
  </si>
  <si>
    <t>Wednesbury North</t>
  </si>
  <si>
    <t>Wednesbury South</t>
  </si>
  <si>
    <t>West Bromwich Central</t>
  </si>
  <si>
    <t>Within 5% of EQ</t>
  </si>
  <si>
    <t>Honeybourne and Pebworth</t>
  </si>
  <si>
    <t>Inkberrow</t>
  </si>
  <si>
    <t>Little Hampton</t>
  </si>
  <si>
    <t>Lovett and North Claines</t>
  </si>
  <si>
    <t>Norton and Whittington</t>
  </si>
  <si>
    <t>Ombersley</t>
  </si>
  <si>
    <t>Pershore</t>
  </si>
  <si>
    <t>Pinvin</t>
  </si>
  <si>
    <t>South Bredon Hill</t>
  </si>
  <si>
    <t>The Littletons</t>
  </si>
  <si>
    <t>Upton Snodsbury</t>
  </si>
  <si>
    <t>* as created by The District of Wychavon (Electoral Changes) Order 2002</t>
  </si>
  <si>
    <t>WYRE FOREST DISTRICT  *</t>
  </si>
  <si>
    <t>Broadwaters</t>
  </si>
  <si>
    <t>Lickhill</t>
  </si>
  <si>
    <t>Mitton</t>
  </si>
  <si>
    <t>Norton West</t>
  </si>
  <si>
    <t>Pickering East</t>
  </si>
  <si>
    <t>Pickering West</t>
  </si>
  <si>
    <t>Rillington</t>
  </si>
  <si>
    <t>* as created by The Borough of Amber Valley (Electoral Changes) Order 1999 and</t>
  </si>
  <si>
    <t xml:space="preserve">   as altered by The Amber Valley (Related Alterations) Order 2009</t>
  </si>
  <si>
    <t>E05001528</t>
  </si>
  <si>
    <t>E05001529</t>
  </si>
  <si>
    <t>E05001530</t>
  </si>
  <si>
    <t>E05001531</t>
  </si>
  <si>
    <t>E05001532</t>
  </si>
  <si>
    <t>E05001533</t>
  </si>
  <si>
    <t>E05001534</t>
  </si>
  <si>
    <t>E05001535</t>
  </si>
  <si>
    <t>E05001536</t>
  </si>
  <si>
    <t>E05001537</t>
  </si>
  <si>
    <t>E05001538</t>
  </si>
  <si>
    <t>E05001539</t>
  </si>
  <si>
    <t>E05001540</t>
  </si>
  <si>
    <t>E05001541</t>
  </si>
  <si>
    <t>E05001542</t>
  </si>
  <si>
    <t>E05001543</t>
  </si>
  <si>
    <t>E05001544</t>
  </si>
  <si>
    <t>E05001545</t>
  </si>
  <si>
    <t>E05001546</t>
  </si>
  <si>
    <t>E05001547</t>
  </si>
  <si>
    <t>E05001548</t>
  </si>
  <si>
    <t>E05001549</t>
  </si>
  <si>
    <t>E05001550</t>
  </si>
  <si>
    <t>E05001551</t>
  </si>
  <si>
    <t>E05001552</t>
  </si>
  <si>
    <t>E05001577</t>
  </si>
  <si>
    <t>E05001578</t>
  </si>
  <si>
    <t>E05001579</t>
  </si>
  <si>
    <t>E05001580</t>
  </si>
  <si>
    <t>E05001581</t>
  </si>
  <si>
    <t>E05001582</t>
  </si>
  <si>
    <t>E05001583</t>
  </si>
  <si>
    <t>E05001584</t>
  </si>
  <si>
    <t>E05001585</t>
  </si>
  <si>
    <t>E05001586</t>
  </si>
  <si>
    <t>E05001587</t>
  </si>
  <si>
    <t>E05001588</t>
  </si>
  <si>
    <t>E05001589</t>
  </si>
  <si>
    <t>E05001590</t>
  </si>
  <si>
    <t>E05001591</t>
  </si>
  <si>
    <t>E05001592</t>
  </si>
  <si>
    <t>E05001593</t>
  </si>
  <si>
    <t>E05001594</t>
  </si>
  <si>
    <t>E05001595</t>
  </si>
  <si>
    <t>E05001596</t>
  </si>
  <si>
    <t>E05001597</t>
  </si>
  <si>
    <t>E05001620</t>
  </si>
  <si>
    <t>E05001621</t>
  </si>
  <si>
    <t>E05001622</t>
  </si>
  <si>
    <t>E05001623</t>
  </si>
  <si>
    <t>E05001624</t>
  </si>
  <si>
    <t>E05001625</t>
  </si>
  <si>
    <t>E05001626</t>
  </si>
  <si>
    <t>E05001627</t>
  </si>
  <si>
    <t>E05001628</t>
  </si>
  <si>
    <t>E05001629</t>
  </si>
  <si>
    <t>E05001630</t>
  </si>
  <si>
    <t>E05001631</t>
  </si>
  <si>
    <t>E05001632</t>
  </si>
  <si>
    <t>E05001633</t>
  </si>
  <si>
    <t>E05001634</t>
  </si>
  <si>
    <t>E05001635</t>
  </si>
  <si>
    <t>E05001636</t>
  </si>
  <si>
    <t>E05001637</t>
  </si>
  <si>
    <t>E05001638</t>
  </si>
  <si>
    <t>E05001639</t>
  </si>
  <si>
    <t>E05001640</t>
  </si>
  <si>
    <t>E05001641</t>
  </si>
  <si>
    <t>E05001642</t>
  </si>
  <si>
    <t>E05001643</t>
  </si>
  <si>
    <t>E05001644</t>
  </si>
  <si>
    <t>E05001645</t>
  </si>
  <si>
    <t>E05001646</t>
  </si>
  <si>
    <t>E05001647</t>
  </si>
  <si>
    <t>E05001648</t>
  </si>
  <si>
    <t>E05001649</t>
  </si>
  <si>
    <t>E05001650</t>
  </si>
  <si>
    <t>E05001651</t>
  </si>
  <si>
    <t>E05001652</t>
  </si>
  <si>
    <t>E05001653</t>
  </si>
  <si>
    <t>E05001654</t>
  </si>
  <si>
    <t>E05001655</t>
  </si>
  <si>
    <t>E05001656</t>
  </si>
  <si>
    <t>E05001657</t>
  </si>
  <si>
    <t>E05001658</t>
  </si>
  <si>
    <t>E05001659</t>
  </si>
  <si>
    <t>E05001660</t>
  </si>
  <si>
    <t>E05001661</t>
  </si>
  <si>
    <t>E05001662</t>
  </si>
  <si>
    <t>E05001663</t>
  </si>
  <si>
    <t>Ulverston East</t>
  </si>
  <si>
    <t>Micklegate</t>
  </si>
  <si>
    <t>Rural West York</t>
  </si>
  <si>
    <t>Nunthorpe</t>
  </si>
  <si>
    <t>Alton Westbrooke</t>
  </si>
  <si>
    <t>Alton Whitedown</t>
  </si>
  <si>
    <t>Alton Wooteys</t>
  </si>
  <si>
    <t>Binsted and Bentley</t>
  </si>
  <si>
    <t>Bramshott and Liphook</t>
  </si>
  <si>
    <t>Clanfield and Finchdean</t>
  </si>
  <si>
    <t>South Oxfordshire (pt)</t>
  </si>
  <si>
    <t>Oxford East BC</t>
  </si>
  <si>
    <t>Fratton</t>
  </si>
  <si>
    <t>Hilsea</t>
  </si>
  <si>
    <t>Paulsgrove</t>
  </si>
  <si>
    <t>St Jude</t>
  </si>
  <si>
    <t>* as created by The City of Portsmouth (Electoral Changes) Order 2001</t>
  </si>
  <si>
    <t>REDBRIDGE LONDON BOROUGH  * #</t>
  </si>
  <si>
    <t xml:space="preserve">Chingford and Woodford Green BC </t>
  </si>
  <si>
    <t>Redbridge (pt)</t>
  </si>
  <si>
    <t>Waltham Forest (pt)</t>
  </si>
  <si>
    <t>Ilford North BC</t>
  </si>
  <si>
    <t>Ilford South BC</t>
  </si>
  <si>
    <t xml:space="preserve">Leyton and Wanstead BC  </t>
  </si>
  <si>
    <t xml:space="preserve">Walthamstow BC </t>
  </si>
  <si>
    <t>Aldborough</t>
  </si>
  <si>
    <t>Barkingside</t>
  </si>
  <si>
    <t>Chadwell</t>
  </si>
  <si>
    <t>Chingford and Woodford Green BC</t>
  </si>
  <si>
    <t>Clayhall</t>
  </si>
  <si>
    <t>Clementswood</t>
  </si>
  <si>
    <t>Cranbrook</t>
  </si>
  <si>
    <t>Fairlop</t>
  </si>
  <si>
    <t>Fullwell</t>
  </si>
  <si>
    <t>Addison</t>
  </si>
  <si>
    <t>Colliers Wood</t>
  </si>
  <si>
    <t>Cricket Green</t>
  </si>
  <si>
    <t>Dundonald</t>
  </si>
  <si>
    <t>Figge's Marsh</t>
  </si>
  <si>
    <t>Graveney</t>
  </si>
  <si>
    <t>Lavender Fields</t>
  </si>
  <si>
    <t>Longthornton</t>
  </si>
  <si>
    <t>Lower Morden</t>
  </si>
  <si>
    <t>Merton Park</t>
  </si>
  <si>
    <t>Pollards Hill</t>
  </si>
  <si>
    <t>Ravensbury</t>
  </si>
  <si>
    <t>Exbourne</t>
  </si>
  <si>
    <t>Hatherleigh</t>
  </si>
  <si>
    <t>Mary Tavy</t>
  </si>
  <si>
    <t>Milton Ford</t>
  </si>
  <si>
    <t>Tadley Central</t>
  </si>
  <si>
    <t>Tadley South</t>
  </si>
  <si>
    <t>Upton Grey and The Candovers</t>
  </si>
  <si>
    <t>Whitchurch</t>
  </si>
  <si>
    <t>Winklebury</t>
  </si>
  <si>
    <t>North East Hampshire CC (pt)</t>
  </si>
  <si>
    <t>North West Hampshire CC (pt)</t>
  </si>
  <si>
    <t>* as created by The Borough of Rossendale (Electoral Changes) Order 2001</t>
  </si>
  <si>
    <t>SOUTH RIBBLE BOROUGH  *</t>
  </si>
  <si>
    <t>Bamber Bridge East</t>
  </si>
  <si>
    <t>Bamber Bridge West</t>
  </si>
  <si>
    <t>Broad Oak</t>
  </si>
  <si>
    <t>Charnock</t>
  </si>
  <si>
    <t>Earnshaw Bridge</t>
  </si>
  <si>
    <t>Ranskill</t>
  </si>
  <si>
    <t>Sturton</t>
  </si>
  <si>
    <t>Tuxford and Trent</t>
  </si>
  <si>
    <t>Welbeck</t>
  </si>
  <si>
    <t>Worksop East</t>
  </si>
  <si>
    <t>Worksop North</t>
  </si>
  <si>
    <t>Worksop North East</t>
  </si>
  <si>
    <t>Newtown</t>
  </si>
  <si>
    <t>Penn and Coleshill</t>
  </si>
  <si>
    <t>Prestwood and Heath End</t>
  </si>
  <si>
    <t>Ridgeway</t>
  </si>
  <si>
    <t>St Mary's and Waterside</t>
  </si>
  <si>
    <t>Seer Green</t>
  </si>
  <si>
    <t>Vale</t>
  </si>
  <si>
    <t>* as created by The District of Chiltern (Electoral Changes) Order 2002 and</t>
  </si>
  <si>
    <t xml:space="preserve">   as altered by The Chiltern (Parish Electoral Arrangements and Electoral Changes) Order 2007</t>
  </si>
  <si>
    <t>SOUTH BUCKS DISTRICT  *</t>
  </si>
  <si>
    <t>Beaconsfield North</t>
  </si>
  <si>
    <t>Beaconsfield South</t>
  </si>
  <si>
    <t>Beaconsfield West</t>
  </si>
  <si>
    <t>Rufford</t>
  </si>
  <si>
    <t>Dorridge and Hockley Heath</t>
  </si>
  <si>
    <t>Knowsley BC</t>
  </si>
  <si>
    <t>Liverpool, Riverside BC</t>
  </si>
  <si>
    <t>Liverpool, Walton BC</t>
  </si>
  <si>
    <t>Liverpool, Wavertree BC</t>
  </si>
  <si>
    <t>Liverpool, West Derby BC</t>
  </si>
  <si>
    <t>St Helens North BC</t>
  </si>
  <si>
    <t>St Helens (pt)</t>
  </si>
  <si>
    <t>St Helens South and Whiston BC</t>
  </si>
  <si>
    <t>Sefton Central CC</t>
  </si>
  <si>
    <t>Southport BC</t>
  </si>
  <si>
    <t>Wallasey BC</t>
  </si>
  <si>
    <t>Wirral South CC</t>
  </si>
  <si>
    <t>Wirral West CC</t>
  </si>
  <si>
    <t>KNOWSLEY BOROUGH  *</t>
  </si>
  <si>
    <t>Cherryfield</t>
  </si>
  <si>
    <t>Halewood North</t>
  </si>
  <si>
    <t>Halewood South</t>
  </si>
  <si>
    <t>Page Moss</t>
  </si>
  <si>
    <t>Roby</t>
  </si>
  <si>
    <t>St Gabriels</t>
  </si>
  <si>
    <t>Shevington</t>
  </si>
  <si>
    <t>Stockbridge</t>
  </si>
  <si>
    <t>Sumners and Kingsmoor</t>
  </si>
  <si>
    <t>Coventry North East BC</t>
  </si>
  <si>
    <t>Coventry (pt)</t>
  </si>
  <si>
    <t>WEST LANCASHIRE BOROUGH</t>
  </si>
  <si>
    <t>WEST LANCASHIRE BOROUGH  *</t>
  </si>
  <si>
    <t xml:space="preserve">   District granted Borough status on 20 May 2009</t>
  </si>
  <si>
    <t>Fosse</t>
  </si>
  <si>
    <t>Hillmorton</t>
  </si>
  <si>
    <t>Leam Valley</t>
  </si>
  <si>
    <t>New Bilton</t>
  </si>
  <si>
    <t>North Tyneside</t>
  </si>
  <si>
    <t>South Tyneside</t>
  </si>
  <si>
    <t>Sunderland</t>
  </si>
  <si>
    <t>County Average (East Cheshire) (4 seats)</t>
  </si>
  <si>
    <t>Ducklington</t>
  </si>
  <si>
    <t>Eynsham and Cassington</t>
  </si>
  <si>
    <t>Freeland and Hanborough</t>
  </si>
  <si>
    <t>Charles Dickens</t>
  </si>
  <si>
    <t>Copnor</t>
  </si>
  <si>
    <t>Cosham</t>
  </si>
  <si>
    <t>Drayton and Farlington</t>
  </si>
  <si>
    <t>Eastney and Craneswater</t>
  </si>
  <si>
    <t>Phoenix</t>
  </si>
  <si>
    <t>Porchester</t>
  </si>
  <si>
    <t>Woodthorpe</t>
  </si>
  <si>
    <t>MANSFIELD DISTRICT  *</t>
  </si>
  <si>
    <t>Broomhill</t>
  </si>
  <si>
    <t>Eakring</t>
  </si>
  <si>
    <t>Grange Farm</t>
  </si>
  <si>
    <t>Ladybrook</t>
  </si>
  <si>
    <t>Lindhurst</t>
  </si>
  <si>
    <t>Meden</t>
  </si>
  <si>
    <t>Oak Tree</t>
  </si>
  <si>
    <t>Portland</t>
  </si>
  <si>
    <t>South Kesteven</t>
  </si>
  <si>
    <t>West Lindsey</t>
  </si>
  <si>
    <t>LINCOLNSHIRE</t>
  </si>
  <si>
    <t>Middlesbrough *</t>
  </si>
  <si>
    <t>Redcar and Cleveland *</t>
  </si>
  <si>
    <t>Milton Keynes *</t>
  </si>
  <si>
    <t>Breckland</t>
  </si>
  <si>
    <t>Broadland</t>
  </si>
  <si>
    <t>Great Yarmouth</t>
  </si>
  <si>
    <t>Kings Lynn and West Norfolk</t>
  </si>
  <si>
    <t>North Norfolk</t>
  </si>
  <si>
    <t>Norwich</t>
  </si>
  <si>
    <t>Charville</t>
  </si>
  <si>
    <t>Eastcote and East Ruislip</t>
  </si>
  <si>
    <t>Heathrow Villages</t>
  </si>
  <si>
    <t>Hillingdon East</t>
  </si>
  <si>
    <t>Ickenham</t>
  </si>
  <si>
    <t>Whitnash</t>
  </si>
  <si>
    <t>Bath and North East Somerset *</t>
  </si>
  <si>
    <t>Luton *</t>
  </si>
  <si>
    <t>BEDFORDSHIRE &amp; LUTON</t>
  </si>
  <si>
    <t>Selsey South</t>
  </si>
  <si>
    <t>Sidlesham</t>
  </si>
  <si>
    <t>Southbourne</t>
  </si>
  <si>
    <t>Stedham</t>
  </si>
  <si>
    <t>Tangmere</t>
  </si>
  <si>
    <t>West Wittering</t>
  </si>
  <si>
    <t>Wisborough Green</t>
  </si>
  <si>
    <t>County Average (Bracknell Forest) (1 seat)</t>
  </si>
  <si>
    <t>County Average (Reading) (1 seat)</t>
  </si>
  <si>
    <t>County Average (Slough) (1 seat)</t>
  </si>
  <si>
    <t>County Average (West Berkshire) (2 seats)</t>
  </si>
  <si>
    <t>County Average (Windsor and Maidenhead) (1 seat)</t>
  </si>
  <si>
    <t>* as created by The London Borough of Harrow (Electoral Changes) Order 2000</t>
  </si>
  <si>
    <t># paired with the London Borough of Hillingdon</t>
  </si>
  <si>
    <t>HILLINGDON LONDON BOROUGH  * #</t>
  </si>
  <si>
    <t>Botwell</t>
  </si>
  <si>
    <t>Brunel</t>
  </si>
  <si>
    <t>Cavendish</t>
  </si>
  <si>
    <t>Unsworth</t>
  </si>
  <si>
    <t>* as created by The Borough of Bury (Electoral Changes) Order 2004</t>
  </si>
  <si>
    <t>CITY OF MANCHESTER  *</t>
  </si>
  <si>
    <t>Oxford (pt)</t>
  </si>
  <si>
    <t>Oxford West and Abingdon CC</t>
  </si>
  <si>
    <t>Vale of White Horse (pt)</t>
  </si>
  <si>
    <t>Wantage CC</t>
  </si>
  <si>
    <t>Witney CC</t>
  </si>
  <si>
    <t>CHERWELL DISTRICT  *</t>
  </si>
  <si>
    <t>Weaver Vale CC (pt)</t>
  </si>
  <si>
    <t>Appleton</t>
  </si>
  <si>
    <t>Beechwood</t>
  </si>
  <si>
    <t>Birchfield</t>
  </si>
  <si>
    <t>Broadheath</t>
  </si>
  <si>
    <t>Halton Castle</t>
  </si>
  <si>
    <t>Daresbury</t>
  </si>
  <si>
    <t>Ditton</t>
  </si>
  <si>
    <t>Farnworth</t>
  </si>
  <si>
    <t>Grange</t>
  </si>
  <si>
    <t>Halton Brook</t>
  </si>
  <si>
    <t>Halton Lea</t>
  </si>
  <si>
    <t>Halton View</t>
  </si>
  <si>
    <t>Hough Green</t>
  </si>
  <si>
    <t>Kingsway</t>
  </si>
  <si>
    <t>Mersey</t>
  </si>
  <si>
    <t>Norton North</t>
  </si>
  <si>
    <t>Norton South</t>
  </si>
  <si>
    <t>Riverside</t>
  </si>
  <si>
    <t>* as created by The Borough of Halton (Electoral Changes) Order 2002</t>
  </si>
  <si>
    <t>Cheshire West and Chester *</t>
  </si>
  <si>
    <t>Cheshire East *</t>
  </si>
  <si>
    <t>Cornwall *</t>
  </si>
  <si>
    <t>Bullbrook</t>
  </si>
  <si>
    <t>Central Sandhurst</t>
  </si>
  <si>
    <t>College Town</t>
  </si>
  <si>
    <t>Crown Wood</t>
  </si>
  <si>
    <t>Crowthorne</t>
  </si>
  <si>
    <t>Great Hollands North</t>
  </si>
  <si>
    <t>Walsall</t>
  </si>
  <si>
    <t>Cleeve St Michael's</t>
  </si>
  <si>
    <t>Cleeve West</t>
  </si>
  <si>
    <t>Coombe Hill</t>
  </si>
  <si>
    <t>Highnam with Haw Bridge</t>
  </si>
  <si>
    <t>Innsworth with Down Hatherley</t>
  </si>
  <si>
    <t>Isbourne</t>
  </si>
  <si>
    <t>SOUTH TYNESIDE BOROUGH  *</t>
  </si>
  <si>
    <t>Beacon and Bents</t>
  </si>
  <si>
    <t>Biddick and All Saints</t>
  </si>
  <si>
    <t>Boldon Colliery</t>
  </si>
  <si>
    <t>Cleadon and East Boldon</t>
  </si>
  <si>
    <t>Cleadon Park</t>
  </si>
  <si>
    <t>Fellgate and Hedworth</t>
  </si>
  <si>
    <t>Harton</t>
  </si>
  <si>
    <t>Benhall and The Reddings</t>
  </si>
  <si>
    <t>Charlton Kings</t>
  </si>
  <si>
    <t>Charlton Park</t>
  </si>
  <si>
    <t>Hesters Way</t>
  </si>
  <si>
    <t>Leckhampton</t>
  </si>
  <si>
    <t>Pittville</t>
  </si>
  <si>
    <t>Prestbury</t>
  </si>
  <si>
    <t>St Mark's</t>
  </si>
  <si>
    <t>St Paul's</t>
  </si>
  <si>
    <t>St Peter's</t>
  </si>
  <si>
    <t>Springbank</t>
  </si>
  <si>
    <t>Swindon Village</t>
  </si>
  <si>
    <t>Pevensey</t>
  </si>
  <si>
    <t>Rustington East</t>
  </si>
  <si>
    <t>Rustington West</t>
  </si>
  <si>
    <t>Yapton</t>
  </si>
  <si>
    <t>Arundel and South Downs CC (pt)</t>
  </si>
  <si>
    <t>Worthing West BC (pt)</t>
  </si>
  <si>
    <t>CHICHESTER DISTRICT  *</t>
  </si>
  <si>
    <t>Bosham</t>
  </si>
  <si>
    <t>Boxgrove</t>
  </si>
  <si>
    <t>Chichester East</t>
  </si>
  <si>
    <t>Chichester North</t>
  </si>
  <si>
    <t>Chichester South</t>
  </si>
  <si>
    <t>Chichester West</t>
  </si>
  <si>
    <t>Easebourne</t>
  </si>
  <si>
    <t>East Wittering</t>
  </si>
  <si>
    <t>Fishbourne</t>
  </si>
  <si>
    <t>Funtington</t>
  </si>
  <si>
    <t>Harting</t>
  </si>
  <si>
    <t>Lavant</t>
  </si>
  <si>
    <t>Midhurst</t>
  </si>
  <si>
    <t>East Dorset</t>
  </si>
  <si>
    <t>North Dorset</t>
  </si>
  <si>
    <t>Purbeck</t>
  </si>
  <si>
    <t>West Dorset</t>
  </si>
  <si>
    <t>Weymouth and Portland</t>
  </si>
  <si>
    <t>DORSET</t>
  </si>
  <si>
    <t>Bournemouth *</t>
  </si>
  <si>
    <t>Poole *</t>
  </si>
  <si>
    <t>DORSET, BOURNEMOUTH &amp; POOLE</t>
  </si>
  <si>
    <t>Easington</t>
  </si>
  <si>
    <t>Sedgefield</t>
  </si>
  <si>
    <t>Darlington *</t>
  </si>
  <si>
    <t>CO. DURHAM &amp; DARLINGTON</t>
  </si>
  <si>
    <t>Eastbourne</t>
  </si>
  <si>
    <t>Hastings</t>
  </si>
  <si>
    <t>Southend-on-Sea *</t>
  </si>
  <si>
    <t>Thurrock *</t>
  </si>
  <si>
    <t>ESSEX, SOUTHEND &amp; THURROCK</t>
  </si>
  <si>
    <t>Cheltenham</t>
  </si>
  <si>
    <t>Cotswold</t>
  </si>
  <si>
    <t>Forest of Dean</t>
  </si>
  <si>
    <t>Besses</t>
  </si>
  <si>
    <t>South Ruislip</t>
  </si>
  <si>
    <t>Townfield</t>
  </si>
  <si>
    <t>Uxbridge North</t>
  </si>
  <si>
    <t>Uxbridge South</t>
  </si>
  <si>
    <t>West Drayton</t>
  </si>
  <si>
    <t>West Ruislip</t>
  </si>
  <si>
    <t>Yeading</t>
  </si>
  <si>
    <t>Yiewsley</t>
  </si>
  <si>
    <t>Haywards Heath Ashenground</t>
  </si>
  <si>
    <t>Haywards Heath Bentswood</t>
  </si>
  <si>
    <t>Leeds North East BC</t>
  </si>
  <si>
    <t>Leeds North West BC</t>
  </si>
  <si>
    <t>Leeds West BC</t>
  </si>
  <si>
    <t>Morley and Outwood CC</t>
  </si>
  <si>
    <t>Normanton, Pontefract and Castleford CC</t>
  </si>
  <si>
    <t>Pudsey BC</t>
  </si>
  <si>
    <t>Shipley CC</t>
  </si>
  <si>
    <t>Wakefield CC</t>
  </si>
  <si>
    <t>CITY OF BRADFORD  *</t>
  </si>
  <si>
    <t>Baildon</t>
  </si>
  <si>
    <t>Bingley</t>
  </si>
  <si>
    <t>Bingley Rural</t>
  </si>
  <si>
    <t>Bolton and Undercliffe</t>
  </si>
  <si>
    <t>Bowling and Barkerend</t>
  </si>
  <si>
    <t>Bradford Moor</t>
  </si>
  <si>
    <t>Clayton and Fairweather Green</t>
  </si>
  <si>
    <t>Eccleshill</t>
  </si>
  <si>
    <t>Adeyfield West</t>
  </si>
  <si>
    <t>Aldbury and Wigginton</t>
  </si>
  <si>
    <t>Apsley and Corner Hall</t>
  </si>
  <si>
    <t>Ashridge</t>
  </si>
  <si>
    <t>Bennetts End</t>
  </si>
  <si>
    <t>Longbenton</t>
  </si>
  <si>
    <t>Monkseaton North</t>
  </si>
  <si>
    <t>Shipley</t>
  </si>
  <si>
    <t>Thornton and Allerton</t>
  </si>
  <si>
    <t>Tong</t>
  </si>
  <si>
    <t>Hevingham</t>
  </si>
  <si>
    <t>Horsford and Felthorpe</t>
  </si>
  <si>
    <t>Marshes</t>
  </si>
  <si>
    <t>Old Catton and Sprowston West</t>
  </si>
  <si>
    <t>Reepham</t>
  </si>
  <si>
    <t>Spixworth with St Faiths</t>
  </si>
  <si>
    <t>% change</t>
  </si>
  <si>
    <t>Rank</t>
  </si>
  <si>
    <t>Total</t>
  </si>
  <si>
    <t>Disparity</t>
  </si>
  <si>
    <t>Highest</t>
  </si>
  <si>
    <t>Lowest</t>
  </si>
  <si>
    <t>Standard Deviation</t>
  </si>
  <si>
    <t>Electoral Quota</t>
  </si>
  <si>
    <t>Wimborne Minster</t>
  </si>
  <si>
    <t>North Dorset CC (pt)</t>
  </si>
  <si>
    <t>Berkhamsted Castle</t>
  </si>
  <si>
    <t>Berkhamsted East</t>
  </si>
  <si>
    <t>Berkhamsted West</t>
  </si>
  <si>
    <t>Bovingdon, Flaunden and Chipperfield</t>
  </si>
  <si>
    <t>Boxmoor</t>
  </si>
  <si>
    <t>Chaulden and Warners End</t>
  </si>
  <si>
    <t>Gadebridge</t>
  </si>
  <si>
    <t>Grovehill</t>
  </si>
  <si>
    <t>Hemel Hempstead Town</t>
  </si>
  <si>
    <t>Kings Langley</t>
  </si>
  <si>
    <t>Leverstock Green</t>
  </si>
  <si>
    <t>Nash Mills</t>
  </si>
  <si>
    <t>Northchurch</t>
  </si>
  <si>
    <t>Lostwithiel</t>
  </si>
  <si>
    <t>Ludgvan</t>
  </si>
  <si>
    <t>Menheniot</t>
  </si>
  <si>
    <t>Mevagissey</t>
  </si>
  <si>
    <t>Mount Charles</t>
  </si>
  <si>
    <t>Mount Hawke and Portreath</t>
  </si>
  <si>
    <t>Newlyn and Goonhavern</t>
  </si>
  <si>
    <t>Newlyn and Mousehole</t>
  </si>
  <si>
    <t>Newquay Central</t>
  </si>
  <si>
    <t>Newquay Pentire</t>
  </si>
  <si>
    <t>Newquay Treloggan</t>
  </si>
  <si>
    <t>Newquay Tretherras</t>
  </si>
  <si>
    <t>Newquay Treviglas</t>
  </si>
  <si>
    <t>Padstow</t>
  </si>
  <si>
    <t>Penryn East and Mylor</t>
  </si>
  <si>
    <t>Leominster South</t>
  </si>
  <si>
    <t>Llangarron</t>
  </si>
  <si>
    <t>Old Gore</t>
  </si>
  <si>
    <t>Penyard</t>
  </si>
  <si>
    <t>St Nicholas</t>
  </si>
  <si>
    <t>Stoney Street</t>
  </si>
  <si>
    <t>Sutton Walls</t>
  </si>
  <si>
    <t>Penryn West</t>
  </si>
  <si>
    <t>Penzance Central</t>
  </si>
  <si>
    <t>Penzance East</t>
  </si>
  <si>
    <t>Penzance Promenade</t>
  </si>
  <si>
    <t>Perranporth</t>
  </si>
  <si>
    <t>Poundstock</t>
  </si>
  <si>
    <t>Redruth Central</t>
  </si>
  <si>
    <t>Tupsley</t>
  </si>
  <si>
    <t>HARTLEPOOL BOROUGH  *</t>
  </si>
  <si>
    <t>County Average (1 seat)</t>
  </si>
  <si>
    <t>Hartlepool BC</t>
  </si>
  <si>
    <t>Hartlepool</t>
  </si>
  <si>
    <t>Burn Valley</t>
  </si>
  <si>
    <t>Foggy Furze</t>
  </si>
  <si>
    <t>Nuneaton and Bedworth</t>
  </si>
  <si>
    <t>Rugby</t>
  </si>
  <si>
    <t>Warwick</t>
  </si>
  <si>
    <t>WARWICKSHIRE</t>
  </si>
  <si>
    <t>Adur</t>
  </si>
  <si>
    <t>Arun</t>
  </si>
  <si>
    <t>Chichester</t>
  </si>
  <si>
    <t>Crawley</t>
  </si>
  <si>
    <t>Horsham</t>
  </si>
  <si>
    <t>Mid Sussex</t>
  </si>
  <si>
    <t>Worthing</t>
  </si>
  <si>
    <t>WEST SUSSEX</t>
  </si>
  <si>
    <t>Bromsgrove</t>
  </si>
  <si>
    <t>Malvern Hills</t>
  </si>
  <si>
    <t>Redditch</t>
  </si>
  <si>
    <t>Worcester</t>
  </si>
  <si>
    <t>Wychavon</t>
  </si>
  <si>
    <t>Throop and Muscliff</t>
  </si>
  <si>
    <t>Wallisdown and Winton West</t>
  </si>
  <si>
    <t>TOTAL ENGLAND</t>
  </si>
  <si>
    <t>Monkseaton South</t>
  </si>
  <si>
    <t>Northumberland</t>
  </si>
  <si>
    <t>Tynemouth</t>
  </si>
  <si>
    <t>Wallsend</t>
  </si>
  <si>
    <t>Weetslade</t>
  </si>
  <si>
    <t>Whitley Bay</t>
  </si>
  <si>
    <t>* as created by The Borough of North Tyneside (Electoral Changes) Order 2004</t>
  </si>
  <si>
    <t>Wyre Forest</t>
  </si>
  <si>
    <t>WORCESTERSHIRE</t>
  </si>
  <si>
    <t>York *</t>
  </si>
  <si>
    <t>Barking and Dagenham</t>
  </si>
  <si>
    <t>Barnet</t>
  </si>
  <si>
    <t>Bexley</t>
  </si>
  <si>
    <t>Brent</t>
  </si>
  <si>
    <t>Bromley</t>
  </si>
  <si>
    <t>Camden</t>
  </si>
  <si>
    <t>Croydon</t>
  </si>
  <si>
    <t>Ealing</t>
  </si>
  <si>
    <t>Enfield</t>
  </si>
  <si>
    <t>Greenwich</t>
  </si>
  <si>
    <t>Hackney</t>
  </si>
  <si>
    <t>Hammersmith and Fulham</t>
  </si>
  <si>
    <t>Haringey</t>
  </si>
  <si>
    <t>Harrow</t>
  </si>
  <si>
    <t>Havering</t>
  </si>
  <si>
    <t>Hillingdon</t>
  </si>
  <si>
    <t>Hounslow</t>
  </si>
  <si>
    <t>Islington</t>
  </si>
  <si>
    <t>Kensington and Chelsea</t>
  </si>
  <si>
    <t>Kingston upon Thames</t>
  </si>
  <si>
    <t>Lambeth</t>
  </si>
  <si>
    <t>Lewisham</t>
  </si>
  <si>
    <t>Merton</t>
  </si>
  <si>
    <t>Newham</t>
  </si>
  <si>
    <t>Redbridge</t>
  </si>
  <si>
    <t>Richmond upon Thames</t>
  </si>
  <si>
    <t>Southwark</t>
  </si>
  <si>
    <t>Sutton</t>
  </si>
  <si>
    <t>Tower Hamlets</t>
  </si>
  <si>
    <t>Waltham Forest</t>
  </si>
  <si>
    <t>Wandsworth</t>
  </si>
  <si>
    <t>Westminster</t>
  </si>
  <si>
    <t>City of London</t>
  </si>
  <si>
    <t>South Cambridgeshire CC (pt)</t>
  </si>
  <si>
    <t>Ripon Minster</t>
  </si>
  <si>
    <t>Ripon Moorside</t>
  </si>
  <si>
    <t>Ripon Spa</t>
  </si>
  <si>
    <t>Spofforth with Lower Wharfedale</t>
  </si>
  <si>
    <t>Washburn</t>
  </si>
  <si>
    <t>Wathvale</t>
  </si>
  <si>
    <t>Looe East</t>
  </si>
  <si>
    <t xml:space="preserve">   as altered by The Bradford (Electoral Changes) Order 2008</t>
  </si>
  <si>
    <t>CALDERDALE BOROUGH  *</t>
  </si>
  <si>
    <t>Brighouse</t>
  </si>
  <si>
    <t>Elland</t>
  </si>
  <si>
    <t>Greetland and Stainland</t>
  </si>
  <si>
    <t>Hipperholme and Lightcliffe</t>
  </si>
  <si>
    <t>Illingworth and Mixenden</t>
  </si>
  <si>
    <t>Longlands</t>
  </si>
  <si>
    <t>North End</t>
  </si>
  <si>
    <t>Northumberland Heath</t>
  </si>
  <si>
    <t>St Mary's</t>
  </si>
  <si>
    <t>St Michael's</t>
  </si>
  <si>
    <t>Sidcup</t>
  </si>
  <si>
    <t>Thamesmead East</t>
  </si>
  <si>
    <t># paired with the London Borough of Greenwich</t>
  </si>
  <si>
    <t xml:space="preserve">GREENWICH LONDON BOROUGH  * # </t>
  </si>
  <si>
    <t>Abbey Wood</t>
  </si>
  <si>
    <t>Blackheath Westcombe</t>
  </si>
  <si>
    <t>Charlton</t>
  </si>
  <si>
    <t>Coldharbour and New Eltham</t>
  </si>
  <si>
    <t>Eltham North</t>
  </si>
  <si>
    <t>* as created by The London Borough of Barnet (Electoral Changes) Order 2000</t>
  </si>
  <si>
    <t>COUNTY ELECTORATE TABLE</t>
  </si>
  <si>
    <t>Langworthy</t>
  </si>
  <si>
    <t>Little Hulton</t>
  </si>
  <si>
    <t>Redruth North</t>
  </si>
  <si>
    <t>Redruth South</t>
  </si>
  <si>
    <t>Roche</t>
  </si>
  <si>
    <t>Roseland</t>
  </si>
  <si>
    <t>St Agnes</t>
  </si>
  <si>
    <t>St Austell Bay</t>
  </si>
  <si>
    <t>St Austell Bethel</t>
  </si>
  <si>
    <t>St Austell Gover</t>
  </si>
  <si>
    <t>St Austell Poltair</t>
  </si>
  <si>
    <t>St Cleer</t>
  </si>
  <si>
    <t>St Buryan</t>
  </si>
  <si>
    <t>E05000475</t>
  </si>
  <si>
    <t>E05000476</t>
  </si>
  <si>
    <t>E05000477</t>
  </si>
  <si>
    <t>E05000478</t>
  </si>
  <si>
    <t>E05000479</t>
  </si>
  <si>
    <t>E05000480</t>
  </si>
  <si>
    <t>E05000481</t>
  </si>
  <si>
    <t>E05000482</t>
  </si>
  <si>
    <t>E05000483</t>
  </si>
  <si>
    <t>E05000484</t>
  </si>
  <si>
    <t>E05000485</t>
  </si>
  <si>
    <t>E05000486</t>
  </si>
  <si>
    <t>E05000487</t>
  </si>
  <si>
    <t>E05000488</t>
  </si>
  <si>
    <t>E05000489</t>
  </si>
  <si>
    <t>E05000490</t>
  </si>
  <si>
    <t>E05000491</t>
  </si>
  <si>
    <t>E05000492</t>
  </si>
  <si>
    <t>E05000493</t>
  </si>
  <si>
    <t>E05000494</t>
  </si>
  <si>
    <t>E05000516</t>
  </si>
  <si>
    <t>E05000517</t>
  </si>
  <si>
    <t>E05000518</t>
  </si>
  <si>
    <t>E05000519</t>
  </si>
  <si>
    <t>E05000520</t>
  </si>
  <si>
    <t>E05000521</t>
  </si>
  <si>
    <t>E05000522</t>
  </si>
  <si>
    <t>E05000523</t>
  </si>
  <si>
    <t>E05000524</t>
  </si>
  <si>
    <t>E05000525</t>
  </si>
  <si>
    <t>E05000526</t>
  </si>
  <si>
    <t>E05000527</t>
  </si>
  <si>
    <t>E05000528</t>
  </si>
  <si>
    <t>E05000529</t>
  </si>
  <si>
    <t>E05000530</t>
  </si>
  <si>
    <t>E05000531</t>
  </si>
  <si>
    <t>E05000532</t>
  </si>
  <si>
    <t>E05000533</t>
  </si>
  <si>
    <t>E05000555</t>
  </si>
  <si>
    <t>E05000556</t>
  </si>
  <si>
    <t>E05000557</t>
  </si>
  <si>
    <t>E05000558</t>
  </si>
  <si>
    <t>E05000559</t>
  </si>
  <si>
    <t>E05000560</t>
  </si>
  <si>
    <t>E05000561</t>
  </si>
  <si>
    <t>E05000562</t>
  </si>
  <si>
    <t>E05000563</t>
  </si>
  <si>
    <t>E05000564</t>
  </si>
  <si>
    <t>E05000565</t>
  </si>
  <si>
    <t>E05000566</t>
  </si>
  <si>
    <t>E05000567</t>
  </si>
  <si>
    <t>E05000568</t>
  </si>
  <si>
    <t>E05000569</t>
  </si>
  <si>
    <t>E05000570</t>
  </si>
  <si>
    <t>E05000571</t>
  </si>
  <si>
    <t>E05000572</t>
  </si>
  <si>
    <t>E05000590</t>
  </si>
  <si>
    <t>E05000591</t>
  </si>
  <si>
    <t>E05000592</t>
  </si>
  <si>
    <t>E05000593</t>
  </si>
  <si>
    <t>E05000594</t>
  </si>
  <si>
    <t>E05000595</t>
  </si>
  <si>
    <t>E05000596</t>
  </si>
  <si>
    <t>E05000597</t>
  </si>
  <si>
    <t>E05000598</t>
  </si>
  <si>
    <t>E05000599</t>
  </si>
  <si>
    <t>E05000600</t>
  </si>
  <si>
    <t>E05000601</t>
  </si>
  <si>
    <t>E05000602</t>
  </si>
  <si>
    <t>E05000603</t>
  </si>
  <si>
    <t>E05000604</t>
  </si>
  <si>
    <t>E05000605</t>
  </si>
  <si>
    <t>E05000606</t>
  </si>
  <si>
    <t>E05000607</t>
  </si>
  <si>
    <t>E05000608</t>
  </si>
  <si>
    <t>E05000609</t>
  </si>
  <si>
    <t>E05000610</t>
  </si>
  <si>
    <t>E05000611</t>
  </si>
  <si>
    <t>E05000612</t>
  </si>
  <si>
    <t>E05000613</t>
  </si>
  <si>
    <t>E05000614</t>
  </si>
  <si>
    <t>E05000615</t>
  </si>
  <si>
    <t>E05000616</t>
  </si>
  <si>
    <t>E05000617</t>
  </si>
  <si>
    <t>E05000618</t>
  </si>
  <si>
    <t>E05000619</t>
  </si>
  <si>
    <t>E05000620</t>
  </si>
  <si>
    <t>E05000621</t>
  </si>
  <si>
    <t>E05000622</t>
  </si>
  <si>
    <t>E05000623</t>
  </si>
  <si>
    <t>E05000624</t>
  </si>
  <si>
    <t>E05000625</t>
  </si>
  <si>
    <t>E05000626</t>
  </si>
  <si>
    <t>E05000627</t>
  </si>
  <si>
    <t>E05000628</t>
  </si>
  <si>
    <t>E05000629</t>
  </si>
  <si>
    <t>E05000630</t>
  </si>
  <si>
    <t>E05000631</t>
  </si>
  <si>
    <t>E05000632</t>
  </si>
  <si>
    <t>E05000633</t>
  </si>
  <si>
    <t>E05000634</t>
  </si>
  <si>
    <t>E05000635</t>
  </si>
  <si>
    <t>E05000636</t>
  </si>
  <si>
    <t>E05000637</t>
  </si>
  <si>
    <t>E05000638</t>
  </si>
  <si>
    <t>E05000639</t>
  </si>
  <si>
    <t>E05000640</t>
  </si>
  <si>
    <t>E05000641</t>
  </si>
  <si>
    <t>E05000642</t>
  </si>
  <si>
    <t>E05000643</t>
  </si>
  <si>
    <t>E05000644</t>
  </si>
  <si>
    <t>E05000645</t>
  </si>
  <si>
    <t>E05000646</t>
  </si>
  <si>
    <t>E05000647</t>
  </si>
  <si>
    <t>E05000648</t>
  </si>
  <si>
    <t>E05000649</t>
  </si>
  <si>
    <t>CITY OF WESTMINSTER  *</t>
  </si>
  <si>
    <t>E05000650</t>
  </si>
  <si>
    <t>E05000651</t>
  </si>
  <si>
    <t>E05000652</t>
  </si>
  <si>
    <t>E05000653</t>
  </si>
  <si>
    <t>E05000654</t>
  </si>
  <si>
    <t>E05000655</t>
  </si>
  <si>
    <t>E05000656</t>
  </si>
  <si>
    <t>E05000657</t>
  </si>
  <si>
    <t>E05000658</t>
  </si>
  <si>
    <t>E05000659</t>
  </si>
  <si>
    <t>E05000660</t>
  </si>
  <si>
    <t>E05000661</t>
  </si>
  <si>
    <t>E05000662</t>
  </si>
  <si>
    <t>E05000663</t>
  </si>
  <si>
    <t>E05000664</t>
  </si>
  <si>
    <t>E05000665</t>
  </si>
  <si>
    <t>E05000666</t>
  </si>
  <si>
    <t>E05000667</t>
  </si>
  <si>
    <t>E05000668</t>
  </si>
  <si>
    <t>E05000669</t>
  </si>
  <si>
    <t>E05000670</t>
  </si>
  <si>
    <t>E05000671</t>
  </si>
  <si>
    <t>E05000672</t>
  </si>
  <si>
    <t>E05000673</t>
  </si>
  <si>
    <t>E05000674</t>
  </si>
  <si>
    <t>E05000675</t>
  </si>
  <si>
    <t>E05000676</t>
  </si>
  <si>
    <t>E05000677</t>
  </si>
  <si>
    <t>E05000678</t>
  </si>
  <si>
    <t>E05000679</t>
  </si>
  <si>
    <t>E05000680</t>
  </si>
  <si>
    <t>E05000681</t>
  </si>
  <si>
    <t>E05000682</t>
  </si>
  <si>
    <t>E05000683</t>
  </si>
  <si>
    <t>E05000684</t>
  </si>
  <si>
    <t>E05000685</t>
  </si>
  <si>
    <t>E05000686</t>
  </si>
  <si>
    <t>E05000687</t>
  </si>
  <si>
    <t>E05000688</t>
  </si>
  <si>
    <t>E05000689</t>
  </si>
  <si>
    <t>E05000690</t>
  </si>
  <si>
    <t>E05000691</t>
  </si>
  <si>
    <t>E05000692</t>
  </si>
  <si>
    <t>E05000693</t>
  </si>
  <si>
    <t>E05000694</t>
  </si>
  <si>
    <t>E05000695</t>
  </si>
  <si>
    <t>E05000696</t>
  </si>
  <si>
    <t>E05000697</t>
  </si>
  <si>
    <t>E05000698</t>
  </si>
  <si>
    <t>E05000699</t>
  </si>
  <si>
    <t>E05000700</t>
  </si>
  <si>
    <t>E05000701</t>
  </si>
  <si>
    <t>E05000702</t>
  </si>
  <si>
    <t>E05000703</t>
  </si>
  <si>
    <t>E05000704</t>
  </si>
  <si>
    <t>E05000705</t>
  </si>
  <si>
    <t>E05000706</t>
  </si>
  <si>
    <t>E05000707</t>
  </si>
  <si>
    <t>E05000708</t>
  </si>
  <si>
    <t>E05000709</t>
  </si>
  <si>
    <t>E05000710</t>
  </si>
  <si>
    <t>E05000711</t>
  </si>
  <si>
    <t>E05000712</t>
  </si>
  <si>
    <t>E05000713</t>
  </si>
  <si>
    <t>E05000714</t>
  </si>
  <si>
    <t>E05000715</t>
  </si>
  <si>
    <t>E05000716</t>
  </si>
  <si>
    <t>E05000717</t>
  </si>
  <si>
    <t>E05000718</t>
  </si>
  <si>
    <t>E05000719</t>
  </si>
  <si>
    <t>E05000720</t>
  </si>
  <si>
    <t>E05000721</t>
  </si>
  <si>
    <t>E05000722</t>
  </si>
  <si>
    <t>E05000723</t>
  </si>
  <si>
    <t>E05000724</t>
  </si>
  <si>
    <t>E05000725</t>
  </si>
  <si>
    <t>E05000726</t>
  </si>
  <si>
    <t>E05000727</t>
  </si>
  <si>
    <t>E05000728</t>
  </si>
  <si>
    <t>E05000729</t>
  </si>
  <si>
    <t>E05000730</t>
  </si>
  <si>
    <t>E05000731</t>
  </si>
  <si>
    <t>E05000732</t>
  </si>
  <si>
    <t>E05000733</t>
  </si>
  <si>
    <t>E05000734</t>
  </si>
  <si>
    <t>E05000735</t>
  </si>
  <si>
    <t>E05000736</t>
  </si>
  <si>
    <t>E05000737</t>
  </si>
  <si>
    <t>E05000738</t>
  </si>
  <si>
    <t>E05000739</t>
  </si>
  <si>
    <t>E05000740</t>
  </si>
  <si>
    <t>E05000741</t>
  </si>
  <si>
    <t>E05000742</t>
  </si>
  <si>
    <t>E05000743</t>
  </si>
  <si>
    <t>E05000744</t>
  </si>
  <si>
    <t>E05000745</t>
  </si>
  <si>
    <t>E05000746</t>
  </si>
  <si>
    <t>E05000747</t>
  </si>
  <si>
    <t>E05000748</t>
  </si>
  <si>
    <t>E05000749</t>
  </si>
  <si>
    <t>E05000750</t>
  </si>
  <si>
    <t>E05000751</t>
  </si>
  <si>
    <t>E05000752</t>
  </si>
  <si>
    <t>E05000753</t>
  </si>
  <si>
    <t>E05000754</t>
  </si>
  <si>
    <t>E05000755</t>
  </si>
  <si>
    <t>E05000756</t>
  </si>
  <si>
    <t>E05000757</t>
  </si>
  <si>
    <t>E05000758</t>
  </si>
  <si>
    <t>E05000759</t>
  </si>
  <si>
    <t>E05000760</t>
  </si>
  <si>
    <t>E05000761</t>
  </si>
  <si>
    <t>E05000762</t>
  </si>
  <si>
    <t>E05000763</t>
  </si>
  <si>
    <t>E05000764</t>
  </si>
  <si>
    <t>E05000765</t>
  </si>
  <si>
    <t>E05000766</t>
  </si>
  <si>
    <t>E05000767</t>
  </si>
  <si>
    <t>E05000768</t>
  </si>
  <si>
    <t>E05000769</t>
  </si>
  <si>
    <t>E05000770</t>
  </si>
  <si>
    <t>E05000771</t>
  </si>
  <si>
    <t>E05000772</t>
  </si>
  <si>
    <t>E05000773</t>
  </si>
  <si>
    <t>E05000774</t>
  </si>
  <si>
    <t>E05000775</t>
  </si>
  <si>
    <t>E05000776</t>
  </si>
  <si>
    <t>E05000777</t>
  </si>
  <si>
    <t>E05000778</t>
  </si>
  <si>
    <t>E05000779</t>
  </si>
  <si>
    <t>E05000780</t>
  </si>
  <si>
    <t>E05000781</t>
  </si>
  <si>
    <t>E05000782</t>
  </si>
  <si>
    <t>E05000783</t>
  </si>
  <si>
    <t>E05000784</t>
  </si>
  <si>
    <t>E05000785</t>
  </si>
  <si>
    <t>E05000786</t>
  </si>
  <si>
    <t>E05000787</t>
  </si>
  <si>
    <t>E05000788</t>
  </si>
  <si>
    <t>E05000789</t>
  </si>
  <si>
    <t>E05000790</t>
  </si>
  <si>
    <t>E05000791</t>
  </si>
  <si>
    <t>E05000792</t>
  </si>
  <si>
    <t>E05000793</t>
  </si>
  <si>
    <t>E05000794</t>
  </si>
  <si>
    <t>E05000795</t>
  </si>
  <si>
    <t>E05000796</t>
  </si>
  <si>
    <t>E05000797</t>
  </si>
  <si>
    <t>E05000798</t>
  </si>
  <si>
    <t>E05000799</t>
  </si>
  <si>
    <t>E05000800</t>
  </si>
  <si>
    <t>E05000801</t>
  </si>
  <si>
    <t>E05000802</t>
  </si>
  <si>
    <t>E05000803</t>
  </si>
  <si>
    <t>E05000804</t>
  </si>
  <si>
    <t>E05000805</t>
  </si>
  <si>
    <t>E05000806</t>
  </si>
  <si>
    <t>E05000807</t>
  </si>
  <si>
    <t>E05000808</t>
  </si>
  <si>
    <t>E05000809</t>
  </si>
  <si>
    <t>E05000810</t>
  </si>
  <si>
    <t>E05000811</t>
  </si>
  <si>
    <t>E05000812</t>
  </si>
  <si>
    <t>E05000813</t>
  </si>
  <si>
    <t>E05000814</t>
  </si>
  <si>
    <t>E05000815</t>
  </si>
  <si>
    <t>E05000816</t>
  </si>
  <si>
    <t>E05000817</t>
  </si>
  <si>
    <t>E05000818</t>
  </si>
  <si>
    <t>E05000819</t>
  </si>
  <si>
    <t>E05000820</t>
  </si>
  <si>
    <t>E05000821</t>
  </si>
  <si>
    <t>E05000822</t>
  </si>
  <si>
    <t>E05000823</t>
  </si>
  <si>
    <t>E05000824</t>
  </si>
  <si>
    <t>E05000825</t>
  </si>
  <si>
    <t>E05000826</t>
  </si>
  <si>
    <t>E05000827</t>
  </si>
  <si>
    <t>E05000828</t>
  </si>
  <si>
    <t>E05000829</t>
  </si>
  <si>
    <t>E05000830</t>
  </si>
  <si>
    <t>E05000831</t>
  </si>
  <si>
    <t>E05000832</t>
  </si>
  <si>
    <t>E05000833</t>
  </si>
  <si>
    <t>E05000834</t>
  </si>
  <si>
    <t>E05000835</t>
  </si>
  <si>
    <t>E05000836</t>
  </si>
  <si>
    <t>E05000837</t>
  </si>
  <si>
    <t>E05000838</t>
  </si>
  <si>
    <t>E05000839</t>
  </si>
  <si>
    <t>E05000840</t>
  </si>
  <si>
    <t>E05000841</t>
  </si>
  <si>
    <t>E05000842</t>
  </si>
  <si>
    <t>E05000843</t>
  </si>
  <si>
    <t>E05000844</t>
  </si>
  <si>
    <t>E05000845</t>
  </si>
  <si>
    <t>E05000846</t>
  </si>
  <si>
    <t>E05000847</t>
  </si>
  <si>
    <t>E05000848</t>
  </si>
  <si>
    <t>E05000849</t>
  </si>
  <si>
    <t>E05000850</t>
  </si>
  <si>
    <t>E05000851</t>
  </si>
  <si>
    <t>E05000852</t>
  </si>
  <si>
    <t>E05000853</t>
  </si>
  <si>
    <t>E05000854</t>
  </si>
  <si>
    <t>E05000855</t>
  </si>
  <si>
    <t>E05000856</t>
  </si>
  <si>
    <t>E05000857</t>
  </si>
  <si>
    <t>E05000858</t>
  </si>
  <si>
    <t>E05000859</t>
  </si>
  <si>
    <t>E05000860</t>
  </si>
  <si>
    <t>E05000861</t>
  </si>
  <si>
    <t>E05000862</t>
  </si>
  <si>
    <t>E05000863</t>
  </si>
  <si>
    <t>E05000864</t>
  </si>
  <si>
    <t>E05000886</t>
  </si>
  <si>
    <t>E05000887</t>
  </si>
  <si>
    <t>E05000888</t>
  </si>
  <si>
    <t>E05000889</t>
  </si>
  <si>
    <t>E05000890</t>
  </si>
  <si>
    <t>E05000891</t>
  </si>
  <si>
    <t>E05000892</t>
  </si>
  <si>
    <t>E05000893</t>
  </si>
  <si>
    <t>E05000894</t>
  </si>
  <si>
    <t>E05000895</t>
  </si>
  <si>
    <t>E05000896</t>
  </si>
  <si>
    <t>E05000897</t>
  </si>
  <si>
    <t>E05000898</t>
  </si>
  <si>
    <t>E05000899</t>
  </si>
  <si>
    <t>E05000900</t>
  </si>
  <si>
    <t>E05000901</t>
  </si>
  <si>
    <t>E05000902</t>
  </si>
  <si>
    <t>E05000903</t>
  </si>
  <si>
    <t>E05000904</t>
  </si>
  <si>
    <t>E05000905</t>
  </si>
  <si>
    <t>E05000906</t>
  </si>
  <si>
    <t>E05000907</t>
  </si>
  <si>
    <t>E05000908</t>
  </si>
  <si>
    <t>E05000909</t>
  </si>
  <si>
    <t>E05000910</t>
  </si>
  <si>
    <t>E05000911</t>
  </si>
  <si>
    <t>E05000912</t>
  </si>
  <si>
    <t>E05000913</t>
  </si>
  <si>
    <t>E05000914</t>
  </si>
  <si>
    <t>E05000915</t>
  </si>
  <si>
    <t>E05000916</t>
  </si>
  <si>
    <t>E05000917</t>
  </si>
  <si>
    <t>E05000918</t>
  </si>
  <si>
    <t>E05000919</t>
  </si>
  <si>
    <t>E05000920</t>
  </si>
  <si>
    <t>E05000921</t>
  </si>
  <si>
    <t>E05000922</t>
  </si>
  <si>
    <t>E05000923</t>
  </si>
  <si>
    <t>E05000924</t>
  </si>
  <si>
    <t>E05000925</t>
  </si>
  <si>
    <t>E05000926</t>
  </si>
  <si>
    <t>E05000927</t>
  </si>
  <si>
    <t>E05000928</t>
  </si>
  <si>
    <t>E05000929</t>
  </si>
  <si>
    <t>E05000930</t>
  </si>
  <si>
    <t>E05000931</t>
  </si>
  <si>
    <t>E05000932</t>
  </si>
  <si>
    <t>E05000933</t>
  </si>
  <si>
    <t>E05000934</t>
  </si>
  <si>
    <t>E05000935</t>
  </si>
  <si>
    <t>E05000936</t>
  </si>
  <si>
    <t>E05000937</t>
  </si>
  <si>
    <t>E05000938</t>
  </si>
  <si>
    <t>E05000939</t>
  </si>
  <si>
    <t>E05000940</t>
  </si>
  <si>
    <t>E05000941</t>
  </si>
  <si>
    <t>E05000942</t>
  </si>
  <si>
    <t>E05000943</t>
  </si>
  <si>
    <t>E05000944</t>
  </si>
  <si>
    <t>E05000945</t>
  </si>
  <si>
    <t>E05000946</t>
  </si>
  <si>
    <t>E05000947</t>
  </si>
  <si>
    <t>E05000948</t>
  </si>
  <si>
    <t>E05000949</t>
  </si>
  <si>
    <t>E05000950</t>
  </si>
  <si>
    <t>E05000951</t>
  </si>
  <si>
    <t>E05000952</t>
  </si>
  <si>
    <t>E05000953</t>
  </si>
  <si>
    <t>E05000954</t>
  </si>
  <si>
    <t>E05000955</t>
  </si>
  <si>
    <t>E05000956</t>
  </si>
  <si>
    <t>E05000957</t>
  </si>
  <si>
    <t>E05000958</t>
  </si>
  <si>
    <t>E05000959</t>
  </si>
  <si>
    <t>E05000960</t>
  </si>
  <si>
    <t>E05000961</t>
  </si>
  <si>
    <t>E05000962</t>
  </si>
  <si>
    <t>E05000963</t>
  </si>
  <si>
    <t>E05000964</t>
  </si>
  <si>
    <t>E05000965</t>
  </si>
  <si>
    <t>E05000966</t>
  </si>
  <si>
    <t>E05000967</t>
  </si>
  <si>
    <t>E05000968</t>
  </si>
  <si>
    <t>E05000969</t>
  </si>
  <si>
    <t>E05000970</t>
  </si>
  <si>
    <t>E05000971</t>
  </si>
  <si>
    <t>E05000972</t>
  </si>
  <si>
    <t>E05000973</t>
  </si>
  <si>
    <t>E05000974</t>
  </si>
  <si>
    <t>E05000975</t>
  </si>
  <si>
    <t>E05000976</t>
  </si>
  <si>
    <t>E05000977</t>
  </si>
  <si>
    <t>E05000978</t>
  </si>
  <si>
    <t>E05000979</t>
  </si>
  <si>
    <t>E05000980</t>
  </si>
  <si>
    <t>E05000981</t>
  </si>
  <si>
    <t>E05000982</t>
  </si>
  <si>
    <t>E05000983</t>
  </si>
  <si>
    <t>E05000984</t>
  </si>
  <si>
    <t>E05000985</t>
  </si>
  <si>
    <t>E05000986</t>
  </si>
  <si>
    <t>E05000987</t>
  </si>
  <si>
    <t>E05000988</t>
  </si>
  <si>
    <t>E05000989</t>
  </si>
  <si>
    <t>E05000990</t>
  </si>
  <si>
    <t>E05000991</t>
  </si>
  <si>
    <t>E05000992</t>
  </si>
  <si>
    <t>E05000993</t>
  </si>
  <si>
    <t>E05000994</t>
  </si>
  <si>
    <t>E05000995</t>
  </si>
  <si>
    <t>E05000996</t>
  </si>
  <si>
    <t>E05001019</t>
  </si>
  <si>
    <t>E05001020</t>
  </si>
  <si>
    <t>E05001022</t>
  </si>
  <si>
    <t>E05001023</t>
  </si>
  <si>
    <t>E05001024</t>
  </si>
  <si>
    <t>E05001025</t>
  </si>
  <si>
    <t>E05001026</t>
  </si>
  <si>
    <t>E05001027</t>
  </si>
  <si>
    <t>E05001028</t>
  </si>
  <si>
    <t>E05001029</t>
  </si>
  <si>
    <t>E05001030</t>
  </si>
  <si>
    <t>E05001031</t>
  </si>
  <si>
    <t>E05001032</t>
  </si>
  <si>
    <t>E05001033</t>
  </si>
  <si>
    <t>E05001034</t>
  </si>
  <si>
    <t>E05001035</t>
  </si>
  <si>
    <t>E05001036</t>
  </si>
  <si>
    <t>E05001037</t>
  </si>
  <si>
    <t>E05001038</t>
  </si>
  <si>
    <t>E05001067</t>
  </si>
  <si>
    <t>E05001068</t>
  </si>
  <si>
    <t>E05001069</t>
  </si>
  <si>
    <t>E05001071</t>
  </si>
  <si>
    <t>E05001072</t>
  </si>
  <si>
    <t>E05001073</t>
  </si>
  <si>
    <t>E05001074</t>
  </si>
  <si>
    <t>E05001075</t>
  </si>
  <si>
    <t>E05001076</t>
  </si>
  <si>
    <t>E05001077</t>
  </si>
  <si>
    <t>E05001078</t>
  </si>
  <si>
    <t>E05001079</t>
  </si>
  <si>
    <t>E05001080</t>
  </si>
  <si>
    <t>E05001081</t>
  </si>
  <si>
    <t>E05001082</t>
  </si>
  <si>
    <t>E05001083</t>
  </si>
  <si>
    <t>E05001084</t>
  </si>
  <si>
    <t>E05001085</t>
  </si>
  <si>
    <t>E05001086</t>
  </si>
  <si>
    <t>E05001087</t>
  </si>
  <si>
    <t>E05001088</t>
  </si>
  <si>
    <t>E05001115</t>
  </si>
  <si>
    <t>E05001116</t>
  </si>
  <si>
    <t>E05001117</t>
  </si>
  <si>
    <t>E05001118</t>
  </si>
  <si>
    <t>E05001119</t>
  </si>
  <si>
    <t>E05001120</t>
  </si>
  <si>
    <t>E05001121</t>
  </si>
  <si>
    <t>E05001122</t>
  </si>
  <si>
    <t>E05001123</t>
  </si>
  <si>
    <t>E05001124</t>
  </si>
  <si>
    <t>E05001125</t>
  </si>
  <si>
    <t>E05001126</t>
  </si>
  <si>
    <t>E05001127</t>
  </si>
  <si>
    <t>E05001128</t>
  </si>
  <si>
    <t>E05001129</t>
  </si>
  <si>
    <t>E05001130</t>
  </si>
  <si>
    <t>E05001131</t>
  </si>
  <si>
    <t>E05001132</t>
  </si>
  <si>
    <t>E05001133</t>
  </si>
  <si>
    <t>E05001134</t>
  </si>
  <si>
    <t>E05001135</t>
  </si>
  <si>
    <t>E05001136</t>
  </si>
  <si>
    <t>E05001137</t>
  </si>
  <si>
    <t>E05001138</t>
  </si>
  <si>
    <t>E05001139</t>
  </si>
  <si>
    <t>E05001140</t>
  </si>
  <si>
    <t>E05001141</t>
  </si>
  <si>
    <t>E05001142</t>
  </si>
  <si>
    <t>E05001143</t>
  </si>
  <si>
    <t>E05001144</t>
  </si>
  <si>
    <t>E05001145</t>
  </si>
  <si>
    <t>E05001146</t>
  </si>
  <si>
    <t>E05001147</t>
  </si>
  <si>
    <t>E05001148</t>
  </si>
  <si>
    <t>E05001149</t>
  </si>
  <si>
    <t>E05001150</t>
  </si>
  <si>
    <t>E05001151</t>
  </si>
  <si>
    <t>E05001152</t>
  </si>
  <si>
    <t>E05001153</t>
  </si>
  <si>
    <t>E05001154</t>
  </si>
  <si>
    <t>E05001155</t>
  </si>
  <si>
    <t>E05001156</t>
  </si>
  <si>
    <t>E05001157</t>
  </si>
  <si>
    <t>E05001158</t>
  </si>
  <si>
    <t>E05001159</t>
  </si>
  <si>
    <t>E05001160</t>
  </si>
  <si>
    <t>E05001161</t>
  </si>
  <si>
    <t>E05001162</t>
  </si>
  <si>
    <t>E05001163</t>
  </si>
  <si>
    <t>E05001164</t>
  </si>
  <si>
    <t>E05001165</t>
  </si>
  <si>
    <t>E05001166</t>
  </si>
  <si>
    <t>E05001167</t>
  </si>
  <si>
    <t>E05001168</t>
  </si>
  <si>
    <t>E05001169</t>
  </si>
  <si>
    <t>E05001170</t>
  </si>
  <si>
    <t>E05001171</t>
  </si>
  <si>
    <t>E05001172</t>
  </si>
  <si>
    <t>E05001173</t>
  </si>
  <si>
    <t>E05001174</t>
  </si>
  <si>
    <t>E05001175</t>
  </si>
  <si>
    <t>E05001176</t>
  </si>
  <si>
    <t>E05001177</t>
  </si>
  <si>
    <t>E05001218</t>
  </si>
  <si>
    <t>E05001219</t>
  </si>
  <si>
    <t>E05001220</t>
  </si>
  <si>
    <t>E05001221</t>
  </si>
  <si>
    <t>E05001222</t>
  </si>
  <si>
    <t>E05001223</t>
  </si>
  <si>
    <t>E05001224</t>
  </si>
  <si>
    <t>E05001225</t>
  </si>
  <si>
    <t>E05001226</t>
  </si>
  <si>
    <t>E05001227</t>
  </si>
  <si>
    <t>E05001228</t>
  </si>
  <si>
    <t>E05001229</t>
  </si>
  <si>
    <t>E05001230</t>
  </si>
  <si>
    <t>E05001231</t>
  </si>
  <si>
    <t>E05001232</t>
  </si>
  <si>
    <t>E05001233</t>
  </si>
  <si>
    <t>E05001234</t>
  </si>
  <si>
    <t>E05001235</t>
  </si>
  <si>
    <t>E05001236</t>
  </si>
  <si>
    <t>E05001237</t>
  </si>
  <si>
    <t>E05001238</t>
  </si>
  <si>
    <t>E05001239</t>
  </si>
  <si>
    <t>E05001240</t>
  </si>
  <si>
    <t>E05001241</t>
  </si>
  <si>
    <t>E05001242</t>
  </si>
  <si>
    <t>E05001243</t>
  </si>
  <si>
    <t>E05001244</t>
  </si>
  <si>
    <t>E05001245</t>
  </si>
  <si>
    <t>E05001246</t>
  </si>
  <si>
    <t>E05001247</t>
  </si>
  <si>
    <t>E05001248</t>
  </si>
  <si>
    <t>E05001249</t>
  </si>
  <si>
    <t>E05001250</t>
  </si>
  <si>
    <t>E05001251</t>
  </si>
  <si>
    <t>E05001252</t>
  </si>
  <si>
    <t>E05001253</t>
  </si>
  <si>
    <t>E05001254</t>
  </si>
  <si>
    <t>E05001255</t>
  </si>
  <si>
    <t>E05001256</t>
  </si>
  <si>
    <t>E05001257</t>
  </si>
  <si>
    <t>E05001258</t>
  </si>
  <si>
    <t>E05001259</t>
  </si>
  <si>
    <t>E05001260</t>
  </si>
  <si>
    <t>E05001261</t>
  </si>
  <si>
    <t>E05001262</t>
  </si>
  <si>
    <t>E05001263</t>
  </si>
  <si>
    <t>E05001264</t>
  </si>
  <si>
    <t>E05001265</t>
  </si>
  <si>
    <t>E05001266</t>
  </si>
  <si>
    <t>E05001267</t>
  </si>
  <si>
    <t>E05001268</t>
  </si>
  <si>
    <t>E05001269</t>
  </si>
  <si>
    <t>E05001270</t>
  </si>
  <si>
    <t>E05001271</t>
  </si>
  <si>
    <t>E05001272</t>
  </si>
  <si>
    <t>E05001273</t>
  </si>
  <si>
    <t>E05001274</t>
  </si>
  <si>
    <t>E05001275</t>
  </si>
  <si>
    <t>E05001276</t>
  </si>
  <si>
    <t>E05001277</t>
  </si>
  <si>
    <t>E05001278</t>
  </si>
  <si>
    <t>E05001279</t>
  </si>
  <si>
    <t>E05001280</t>
  </si>
  <si>
    <t>E05001281</t>
  </si>
  <si>
    <t>E05001282</t>
  </si>
  <si>
    <t>E05001283</t>
  </si>
  <si>
    <t>E05001284</t>
  </si>
  <si>
    <t>E05001285</t>
  </si>
  <si>
    <t>E05001286</t>
  </si>
  <si>
    <t>E05001287</t>
  </si>
  <si>
    <t>E05001288</t>
  </si>
  <si>
    <t>E05001289</t>
  </si>
  <si>
    <t>E05001290</t>
  </si>
  <si>
    <t>E05001291</t>
  </si>
  <si>
    <t>E05001292</t>
  </si>
  <si>
    <t>E05001293</t>
  </si>
  <si>
    <t>E05001294</t>
  </si>
  <si>
    <t>E05001295</t>
  </si>
  <si>
    <t>E05001296</t>
  </si>
  <si>
    <t>E05001297</t>
  </si>
  <si>
    <t>E05001298</t>
  </si>
  <si>
    <t>E05001299</t>
  </si>
  <si>
    <t>E05001300</t>
  </si>
  <si>
    <t>E05001301</t>
  </si>
  <si>
    <t>E05001302</t>
  </si>
  <si>
    <t>E05001303</t>
  </si>
  <si>
    <t>E05001304</t>
  </si>
  <si>
    <t>E05001305</t>
  </si>
  <si>
    <t>E05001306</t>
  </si>
  <si>
    <t>E05001307</t>
  </si>
  <si>
    <t>E05001308</t>
  </si>
  <si>
    <t>E05001309</t>
  </si>
  <si>
    <t>E05001310</t>
  </si>
  <si>
    <t>E05001311</t>
  </si>
  <si>
    <t>E05001312</t>
  </si>
  <si>
    <t>E05001313</t>
  </si>
  <si>
    <t>E05001314</t>
  </si>
  <si>
    <t>E05001315</t>
  </si>
  <si>
    <t>E05001316</t>
  </si>
  <si>
    <t>E05001317</t>
  </si>
  <si>
    <t>E05001318</t>
  </si>
  <si>
    <t>E05001319</t>
  </si>
  <si>
    <t>E05001320</t>
  </si>
  <si>
    <t>E05001321</t>
  </si>
  <si>
    <t>E05001322</t>
  </si>
  <si>
    <t>E05001323</t>
  </si>
  <si>
    <t>E05001324</t>
  </si>
  <si>
    <t>E05001325</t>
  </si>
  <si>
    <t>E05001326</t>
  </si>
  <si>
    <t>E05001327</t>
  </si>
  <si>
    <t>E05001328</t>
  </si>
  <si>
    <t>E05001329</t>
  </si>
  <si>
    <t>E05001330</t>
  </si>
  <si>
    <t>E05001331</t>
  </si>
  <si>
    <t>E05001332</t>
  </si>
  <si>
    <t>E05001333</t>
  </si>
  <si>
    <t>E05001334</t>
  </si>
  <si>
    <t>E05001335</t>
  </si>
  <si>
    <t>E05001336</t>
  </si>
  <si>
    <t>E05001337</t>
  </si>
  <si>
    <t>E05001338</t>
  </si>
  <si>
    <t>E05001339</t>
  </si>
  <si>
    <t>E05001340</t>
  </si>
  <si>
    <t>E05001341</t>
  </si>
  <si>
    <t>E05001342</t>
  </si>
  <si>
    <t>E05001343</t>
  </si>
  <si>
    <t>E05001344</t>
  </si>
  <si>
    <t>E05001345</t>
  </si>
  <si>
    <t>E05001346</t>
  </si>
  <si>
    <t>E05001347</t>
  </si>
  <si>
    <t>E05001348</t>
  </si>
  <si>
    <t>E05001349</t>
  </si>
  <si>
    <t>E05001350</t>
  </si>
  <si>
    <t>E05001351</t>
  </si>
  <si>
    <t>E05001352</t>
  </si>
  <si>
    <t>E05001353</t>
  </si>
  <si>
    <t>E05001354</t>
  </si>
  <si>
    <t>E05001355</t>
  </si>
  <si>
    <t>E05001356</t>
  </si>
  <si>
    <t>E05001357</t>
  </si>
  <si>
    <t>E05001358</t>
  </si>
  <si>
    <t>E05001359</t>
  </si>
  <si>
    <t>E05001360</t>
  </si>
  <si>
    <t>E05001361</t>
  </si>
  <si>
    <t>E05001362</t>
  </si>
  <si>
    <t>E05001363</t>
  </si>
  <si>
    <t>E05001364</t>
  </si>
  <si>
    <t>E05001365</t>
  </si>
  <si>
    <t>E05001366</t>
  </si>
  <si>
    <t>E05001367</t>
  </si>
  <si>
    <t>E05001368</t>
  </si>
  <si>
    <t>E05001369</t>
  </si>
  <si>
    <t>E05001370</t>
  </si>
  <si>
    <t>E05001371</t>
  </si>
  <si>
    <t>E05001372</t>
  </si>
  <si>
    <t>E05001373</t>
  </si>
  <si>
    <t>E05001374</t>
  </si>
  <si>
    <t>E05001375</t>
  </si>
  <si>
    <t>E05001806</t>
  </si>
  <si>
    <t>E05001807</t>
  </si>
  <si>
    <t>E05001808</t>
  </si>
  <si>
    <t>E05001809</t>
  </si>
  <si>
    <t>E05001810</t>
  </si>
  <si>
    <t>E05001811</t>
  </si>
  <si>
    <t>E05001812</t>
  </si>
  <si>
    <t>E05001813</t>
  </si>
  <si>
    <t>E05001814</t>
  </si>
  <si>
    <t>E05001815</t>
  </si>
  <si>
    <t>E05001816</t>
  </si>
  <si>
    <t>E05001817</t>
  </si>
  <si>
    <t>E05001818</t>
  </si>
  <si>
    <t>E05001819</t>
  </si>
  <si>
    <t>E05001820</t>
  </si>
  <si>
    <t>E05001821</t>
  </si>
  <si>
    <t>E05001822</t>
  </si>
  <si>
    <t>E05001823</t>
  </si>
  <si>
    <t>E05001824</t>
  </si>
  <si>
    <t>E05001825</t>
  </si>
  <si>
    <t>E05001826</t>
  </si>
  <si>
    <t>E05001827</t>
  </si>
  <si>
    <t>E05001828</t>
  </si>
  <si>
    <t>E05001829</t>
  </si>
  <si>
    <t>E05001830</t>
  </si>
  <si>
    <t>E05001831</t>
  </si>
  <si>
    <t>E05001832</t>
  </si>
  <si>
    <t>E05001833</t>
  </si>
  <si>
    <t>E05001834</t>
  </si>
  <si>
    <t>E05001835</t>
  </si>
  <si>
    <t>E05001836</t>
  </si>
  <si>
    <t>E05001837</t>
  </si>
  <si>
    <t>E05001838</t>
  </si>
  <si>
    <t>E05001839</t>
  </si>
  <si>
    <t>E05001840</t>
  </si>
  <si>
    <t>E05001841</t>
  </si>
  <si>
    <t>E05001935</t>
  </si>
  <si>
    <t>E05001936</t>
  </si>
  <si>
    <t>E05001937</t>
  </si>
  <si>
    <t>E05001938</t>
  </si>
  <si>
    <t>E05001939</t>
  </si>
  <si>
    <t>E05001940</t>
  </si>
  <si>
    <t>E05001941</t>
  </si>
  <si>
    <t>E05001942</t>
  </si>
  <si>
    <t>E05001943</t>
  </si>
  <si>
    <t>E05001944</t>
  </si>
  <si>
    <t>E05001945</t>
  </si>
  <si>
    <t>E05001946</t>
  </si>
  <si>
    <t>E05001947</t>
  </si>
  <si>
    <t>E05001948</t>
  </si>
  <si>
    <t>E05001949</t>
  </si>
  <si>
    <t>E05001950</t>
  </si>
  <si>
    <t>E05001951</t>
  </si>
  <si>
    <t>E05001952</t>
  </si>
  <si>
    <t>E05001953</t>
  </si>
  <si>
    <t>E05001954</t>
  </si>
  <si>
    <t>E05001955</t>
  </si>
  <si>
    <t>E05001956</t>
  </si>
  <si>
    <t>E05001957</t>
  </si>
  <si>
    <t>E05001958</t>
  </si>
  <si>
    <t>E05001959</t>
  </si>
  <si>
    <t>E05001960</t>
  </si>
  <si>
    <t>E05001961</t>
  </si>
  <si>
    <t>E05001962</t>
  </si>
  <si>
    <t>E05001963</t>
  </si>
  <si>
    <t>E05001964</t>
  </si>
  <si>
    <t>E05001965</t>
  </si>
  <si>
    <t>E05001966</t>
  </si>
  <si>
    <t>E05001967</t>
  </si>
  <si>
    <t>E05001968</t>
  </si>
  <si>
    <t>E05001969</t>
  </si>
  <si>
    <t>E05001970</t>
  </si>
  <si>
    <t>E05001971</t>
  </si>
  <si>
    <t>Weston-super-Mare Central</t>
  </si>
  <si>
    <t>Weston-super-Mare North Worle</t>
  </si>
  <si>
    <t>Weston-super-Mare South Worle</t>
  </si>
  <si>
    <t>E05002043</t>
  </si>
  <si>
    <t>E05002044</t>
  </si>
  <si>
    <t>E05002045</t>
  </si>
  <si>
    <t>E05002046</t>
  </si>
  <si>
    <t>E05002047</t>
  </si>
  <si>
    <t>E05002048</t>
  </si>
  <si>
    <t>E05002049</t>
  </si>
  <si>
    <t>E05002050</t>
  </si>
  <si>
    <t>E05002051</t>
  </si>
  <si>
    <t>E05002052</t>
  </si>
  <si>
    <t>E05002053</t>
  </si>
  <si>
    <t>E05002054</t>
  </si>
  <si>
    <t>E05002055</t>
  </si>
  <si>
    <t>E05002056</t>
  </si>
  <si>
    <t>E05002057</t>
  </si>
  <si>
    <t>E05002058</t>
  </si>
  <si>
    <t>E05002059</t>
  </si>
  <si>
    <t>E05002060</t>
  </si>
  <si>
    <t>E05002061</t>
  </si>
  <si>
    <t>E05002062</t>
  </si>
  <si>
    <t>E05002063</t>
  </si>
  <si>
    <t>E05002064</t>
  </si>
  <si>
    <t>E05002065</t>
  </si>
  <si>
    <t>E05002066</t>
  </si>
  <si>
    <t>E05002067</t>
  </si>
  <si>
    <t>E05002068</t>
  </si>
  <si>
    <t>E05002069</t>
  </si>
  <si>
    <t>E05002070</t>
  </si>
  <si>
    <t>E05002071</t>
  </si>
  <si>
    <t>E05002072</t>
  </si>
  <si>
    <t>E05002073</t>
  </si>
  <si>
    <t>E05002074</t>
  </si>
  <si>
    <t>E05002075</t>
  </si>
  <si>
    <t>E05002076</t>
  </si>
  <si>
    <t>E05002077</t>
  </si>
  <si>
    <t>E05002078</t>
  </si>
  <si>
    <t>E05002079</t>
  </si>
  <si>
    <t>E05002080</t>
  </si>
  <si>
    <t>E05002081</t>
  </si>
  <si>
    <t>E05002082</t>
  </si>
  <si>
    <t>E05002083</t>
  </si>
  <si>
    <t>E05002084</t>
  </si>
  <si>
    <t>E05002085</t>
  </si>
  <si>
    <t>E05002086</t>
  </si>
  <si>
    <t>E05002087</t>
  </si>
  <si>
    <t>E05002088</t>
  </si>
  <si>
    <t>E05002089</t>
  </si>
  <si>
    <t>E05002090</t>
  </si>
  <si>
    <t>E05002091</t>
  </si>
  <si>
    <t>E05002092</t>
  </si>
  <si>
    <t>E05002093</t>
  </si>
  <si>
    <t>E05002094</t>
  </si>
  <si>
    <t>E05002095</t>
  </si>
  <si>
    <t>E05002096</t>
  </si>
  <si>
    <t>E05002097</t>
  </si>
  <si>
    <t>E05002098</t>
  </si>
  <si>
    <t>E05002099</t>
  </si>
  <si>
    <t>E05002100</t>
  </si>
  <si>
    <t>E05002101</t>
  </si>
  <si>
    <t>E05002102</t>
  </si>
  <si>
    <t>E05002103</t>
  </si>
  <si>
    <t>E05002104</t>
  </si>
  <si>
    <t>E05002105</t>
  </si>
  <si>
    <t>E05002106</t>
  </si>
  <si>
    <t>E05002107</t>
  </si>
  <si>
    <t>E05002108</t>
  </si>
  <si>
    <t>E05002109</t>
  </si>
  <si>
    <t>E05002110</t>
  </si>
  <si>
    <t>E05002111</t>
  </si>
  <si>
    <t>E05002112</t>
  </si>
  <si>
    <t>E05002113</t>
  </si>
  <si>
    <t>E05002114</t>
  </si>
  <si>
    <t>E05002115</t>
  </si>
  <si>
    <t>E05002116</t>
  </si>
  <si>
    <t>E05002117</t>
  </si>
  <si>
    <t>E05002118</t>
  </si>
  <si>
    <t>E05002119</t>
  </si>
  <si>
    <t>E05002120</t>
  </si>
  <si>
    <t>E05002121</t>
  </si>
  <si>
    <t>E05002122</t>
  </si>
  <si>
    <t>E05002123</t>
  </si>
  <si>
    <t>E05002124</t>
  </si>
  <si>
    <t>E05002125</t>
  </si>
  <si>
    <t>E05002126</t>
  </si>
  <si>
    <t>E05002127</t>
  </si>
  <si>
    <t>E05002128</t>
  </si>
  <si>
    <t>E05002129</t>
  </si>
  <si>
    <t>E05002130</t>
  </si>
  <si>
    <t>E05002193</t>
  </si>
  <si>
    <t>E05002194</t>
  </si>
  <si>
    <t>E05002195</t>
  </si>
  <si>
    <t>E05002196</t>
  </si>
  <si>
    <t>E05002197</t>
  </si>
  <si>
    <t>E05002198</t>
  </si>
  <si>
    <t>E05002199</t>
  </si>
  <si>
    <t>E05002200</t>
  </si>
  <si>
    <t>E05002201</t>
  </si>
  <si>
    <t>E05002202</t>
  </si>
  <si>
    <t>E05002203</t>
  </si>
  <si>
    <t>E05002204</t>
  </si>
  <si>
    <t>E05002205</t>
  </si>
  <si>
    <t>E05002206</t>
  </si>
  <si>
    <t>E05002207</t>
  </si>
  <si>
    <t>E05002208</t>
  </si>
  <si>
    <t>E05002209</t>
  </si>
  <si>
    <t>E05002210</t>
  </si>
  <si>
    <t>E05002211</t>
  </si>
  <si>
    <t>E05002212</t>
  </si>
  <si>
    <t>E05002213</t>
  </si>
  <si>
    <t>E05002214</t>
  </si>
  <si>
    <t>E05002215</t>
  </si>
  <si>
    <t>E05002216</t>
  </si>
  <si>
    <t>E05002217</t>
  </si>
  <si>
    <t>E05002218</t>
  </si>
  <si>
    <t>E05002219</t>
  </si>
  <si>
    <t>E05002220</t>
  </si>
  <si>
    <t>E05002221</t>
  </si>
  <si>
    <t>E05002222</t>
  </si>
  <si>
    <t>E05002223</t>
  </si>
  <si>
    <t>E05002224</t>
  </si>
  <si>
    <t>E05002225</t>
  </si>
  <si>
    <t>E05002226</t>
  </si>
  <si>
    <t>E05002227</t>
  </si>
  <si>
    <t>E05002228</t>
  </si>
  <si>
    <t>E05002229</t>
  </si>
  <si>
    <t>E05002230</t>
  </si>
  <si>
    <t>E05002231</t>
  </si>
  <si>
    <t>E05002232</t>
  </si>
  <si>
    <t>E05002233</t>
  </si>
  <si>
    <t>E05002234</t>
  </si>
  <si>
    <t>E05002235</t>
  </si>
  <si>
    <t>E05002236</t>
  </si>
  <si>
    <t>E05002237</t>
  </si>
  <si>
    <t>E05002238</t>
  </si>
  <si>
    <t>E05002239</t>
  </si>
  <si>
    <t>E05002240</t>
  </si>
  <si>
    <t>E05002241</t>
  </si>
  <si>
    <t>E05002242</t>
  </si>
  <si>
    <t>E05002243</t>
  </si>
  <si>
    <t>E05002244</t>
  </si>
  <si>
    <t>E05002245</t>
  </si>
  <si>
    <t>E05002246</t>
  </si>
  <si>
    <t>E05002247</t>
  </si>
  <si>
    <t>E05002248</t>
  </si>
  <si>
    <t>E05008136</t>
  </si>
  <si>
    <t>E05008137</t>
  </si>
  <si>
    <t>E05008138</t>
  </si>
  <si>
    <t>E05008139</t>
  </si>
  <si>
    <t>E05008140</t>
  </si>
  <si>
    <t>E05008141</t>
  </si>
  <si>
    <t>E05008142</t>
  </si>
  <si>
    <t>E05008143</t>
  </si>
  <si>
    <t>E05008144</t>
  </si>
  <si>
    <t>E05008145</t>
  </si>
  <si>
    <t>E05008146</t>
  </si>
  <si>
    <t>E05008147</t>
  </si>
  <si>
    <t>E05008148</t>
  </si>
  <si>
    <t>E05008149</t>
  </si>
  <si>
    <t>E05008150</t>
  </si>
  <si>
    <t>E05008151</t>
  </si>
  <si>
    <t>E05008152</t>
  </si>
  <si>
    <t>E05008153</t>
  </si>
  <si>
    <t>E05008154</t>
  </si>
  <si>
    <t>E05008155</t>
  </si>
  <si>
    <t>E05008156</t>
  </si>
  <si>
    <t>E05008157</t>
  </si>
  <si>
    <t>E05008158</t>
  </si>
  <si>
    <t>E05008159</t>
  </si>
  <si>
    <t>E05008160</t>
  </si>
  <si>
    <t>E05008161</t>
  </si>
  <si>
    <t>E05008162</t>
  </si>
  <si>
    <t>E05008163</t>
  </si>
  <si>
    <t>E05008164</t>
  </si>
  <si>
    <t>E05008165</t>
  </si>
  <si>
    <t>E05008166</t>
  </si>
  <si>
    <t>E05008167</t>
  </si>
  <si>
    <t>E05008168</t>
  </si>
  <si>
    <t>E05008169</t>
  </si>
  <si>
    <t>E05008170</t>
  </si>
  <si>
    <t>E05008171</t>
  </si>
  <si>
    <t>E05008172</t>
  </si>
  <si>
    <t>E05008173</t>
  </si>
  <si>
    <t>E05008174</t>
  </si>
  <si>
    <t>E05008178</t>
  </si>
  <si>
    <t>E05008179</t>
  </si>
  <si>
    <t>E05008180</t>
  </si>
  <si>
    <t>E05008181</t>
  </si>
  <si>
    <t>E05008183</t>
  </si>
  <si>
    <t>E05008186</t>
  </si>
  <si>
    <t>E05008187</t>
  </si>
  <si>
    <t>E05008188</t>
  </si>
  <si>
    <t>E05008189</t>
  </si>
  <si>
    <t>E05008190</t>
  </si>
  <si>
    <t>E05008191</t>
  </si>
  <si>
    <t>E05008192</t>
  </si>
  <si>
    <t>E05008193</t>
  </si>
  <si>
    <t>E05008194</t>
  </si>
  <si>
    <t>E05008195</t>
  </si>
  <si>
    <t>E05008196</t>
  </si>
  <si>
    <t>E05008198</t>
  </si>
  <si>
    <t>E05002249</t>
  </si>
  <si>
    <t>E05002250</t>
  </si>
  <si>
    <t>E05002251</t>
  </si>
  <si>
    <t>E05002252</t>
  </si>
  <si>
    <t>E05002253</t>
  </si>
  <si>
    <t>E05002254</t>
  </si>
  <si>
    <t>E05002255</t>
  </si>
  <si>
    <t>E05002256</t>
  </si>
  <si>
    <t>E05002257</t>
  </si>
  <si>
    <t>E05002258</t>
  </si>
  <si>
    <t>E05002259</t>
  </si>
  <si>
    <t>E05002260</t>
  </si>
  <si>
    <t>E05002261</t>
  </si>
  <si>
    <t>E05002262</t>
  </si>
  <si>
    <t>E05002263</t>
  </si>
  <si>
    <t>E05002264</t>
  </si>
  <si>
    <t>E05002265</t>
  </si>
  <si>
    <t>E05002266</t>
  </si>
  <si>
    <t>E05002267</t>
  </si>
  <si>
    <t>E05002268</t>
  </si>
  <si>
    <t>E05002269</t>
  </si>
  <si>
    <t>E05002270</t>
  </si>
  <si>
    <t>E05002271</t>
  </si>
  <si>
    <t>E05002272</t>
  </si>
  <si>
    <t>E05002273</t>
  </si>
  <si>
    <t>E05002274</t>
  </si>
  <si>
    <t>E05002275</t>
  </si>
  <si>
    <t>E05002276</t>
  </si>
  <si>
    <t>E05002277</t>
  </si>
  <si>
    <t>E05002278</t>
  </si>
  <si>
    <t>E05002279</t>
  </si>
  <si>
    <t>E05002280</t>
  </si>
  <si>
    <t>E05002281</t>
  </si>
  <si>
    <t>E05002282</t>
  </si>
  <si>
    <t>E05002283</t>
  </si>
  <si>
    <t>E05002284</t>
  </si>
  <si>
    <t>E05002285</t>
  </si>
  <si>
    <t>E05002286</t>
  </si>
  <si>
    <t>E05002287</t>
  </si>
  <si>
    <t>E05002288</t>
  </si>
  <si>
    <t>E05002289</t>
  </si>
  <si>
    <t>E05002290</t>
  </si>
  <si>
    <t>E05002291</t>
  </si>
  <si>
    <t>E05002292</t>
  </si>
  <si>
    <t>E05002293</t>
  </si>
  <si>
    <t>E05002294</t>
  </si>
  <si>
    <t>E05002295</t>
  </si>
  <si>
    <t>E05002296</t>
  </si>
  <si>
    <t>E05002297</t>
  </si>
  <si>
    <t>E05002298</t>
  </si>
  <si>
    <t>E05002299</t>
  </si>
  <si>
    <t>E05002300</t>
  </si>
  <si>
    <t>E05002301</t>
  </si>
  <si>
    <t>E05002302</t>
  </si>
  <si>
    <t>E05002303</t>
  </si>
  <si>
    <t>E05002304</t>
  </si>
  <si>
    <t>E05002305</t>
  </si>
  <si>
    <t>E05002306</t>
  </si>
  <si>
    <t>E05002307</t>
  </si>
  <si>
    <t>E05002308</t>
  </si>
  <si>
    <t>E05002309</t>
  </si>
  <si>
    <t>E05002310</t>
  </si>
  <si>
    <t>E05002311</t>
  </si>
  <si>
    <t>E05002312</t>
  </si>
  <si>
    <t>E05002313</t>
  </si>
  <si>
    <t>E05002314</t>
  </si>
  <si>
    <t>E05002315</t>
  </si>
  <si>
    <t>E05002316</t>
  </si>
  <si>
    <t>E05002317</t>
  </si>
  <si>
    <t>E05002318</t>
  </si>
  <si>
    <t>E05002319</t>
  </si>
  <si>
    <t>E05002320</t>
  </si>
  <si>
    <t>E05002321</t>
  </si>
  <si>
    <t>E05002322</t>
  </si>
  <si>
    <t>E05002323</t>
  </si>
  <si>
    <t>E05002324</t>
  </si>
  <si>
    <t>E05002325</t>
  </si>
  <si>
    <t>E05002326</t>
  </si>
  <si>
    <t>E05002327</t>
  </si>
  <si>
    <t>E05002328</t>
  </si>
  <si>
    <t>E05002329</t>
  </si>
  <si>
    <t>E05002330</t>
  </si>
  <si>
    <t>E05002331</t>
  </si>
  <si>
    <t>E05002332</t>
  </si>
  <si>
    <t>E05002333</t>
  </si>
  <si>
    <t>E05002334</t>
  </si>
  <si>
    <t>E05002349</t>
  </si>
  <si>
    <t>E05002350</t>
  </si>
  <si>
    <t>E05002351</t>
  </si>
  <si>
    <t>E05002352</t>
  </si>
  <si>
    <t>E05002353</t>
  </si>
  <si>
    <t>E05002354</t>
  </si>
  <si>
    <t>E05002355</t>
  </si>
  <si>
    <t>E05002356</t>
  </si>
  <si>
    <t>E05002357</t>
  </si>
  <si>
    <t>E05002358</t>
  </si>
  <si>
    <t>E05002359</t>
  </si>
  <si>
    <t>E05002360</t>
  </si>
  <si>
    <t>E05002361</t>
  </si>
  <si>
    <t>E05002362</t>
  </si>
  <si>
    <t>E05002363</t>
  </si>
  <si>
    <t>E05002364</t>
  </si>
  <si>
    <t>E05002365</t>
  </si>
  <si>
    <t>E05002366</t>
  </si>
  <si>
    <t>E05002367</t>
  </si>
  <si>
    <t>E05002368</t>
  </si>
  <si>
    <t>E05002369</t>
  </si>
  <si>
    <t>E05002370</t>
  </si>
  <si>
    <t>E05002371</t>
  </si>
  <si>
    <t>E05002372</t>
  </si>
  <si>
    <t>E05002373</t>
  </si>
  <si>
    <t>E05002374</t>
  </si>
  <si>
    <t>E05002375</t>
  </si>
  <si>
    <t>E05002376</t>
  </si>
  <si>
    <t>E05002377</t>
  </si>
  <si>
    <t>E05002378</t>
  </si>
  <si>
    <t>E05002379</t>
  </si>
  <si>
    <t>E05002380</t>
  </si>
  <si>
    <t>E05002381</t>
  </si>
  <si>
    <t>E05002382</t>
  </si>
  <si>
    <t>E05002383</t>
  </si>
  <si>
    <t>E05002384</t>
  </si>
  <si>
    <t>E05002385</t>
  </si>
  <si>
    <t>E05002386</t>
  </si>
  <si>
    <t>E05002387</t>
  </si>
  <si>
    <t>E05002388</t>
  </si>
  <si>
    <t>E05002389</t>
  </si>
  <si>
    <t>E05002390</t>
  </si>
  <si>
    <t>E05002391</t>
  </si>
  <si>
    <t>E05002392</t>
  </si>
  <si>
    <t>E05002393</t>
  </si>
  <si>
    <t>E05002394</t>
  </si>
  <si>
    <t>E05002395</t>
  </si>
  <si>
    <t>E05002396</t>
  </si>
  <si>
    <t>E05002420</t>
  </si>
  <si>
    <t>E05002421</t>
  </si>
  <si>
    <t>E05002422</t>
  </si>
  <si>
    <t>E05002423</t>
  </si>
  <si>
    <t>E05002424</t>
  </si>
  <si>
    <t>E05002425</t>
  </si>
  <si>
    <t>E05002426</t>
  </si>
  <si>
    <t>E05002427</t>
  </si>
  <si>
    <t>E05002428</t>
  </si>
  <si>
    <t>E05002429</t>
  </si>
  <si>
    <t>E05002430</t>
  </si>
  <si>
    <t>E05002431</t>
  </si>
  <si>
    <t>E05002432</t>
  </si>
  <si>
    <t>E05002433</t>
  </si>
  <si>
    <t>E05002434</t>
  </si>
  <si>
    <t>E05002435</t>
  </si>
  <si>
    <t>E05002436</t>
  </si>
  <si>
    <t>E05002437</t>
  </si>
  <si>
    <t>E05002438</t>
  </si>
  <si>
    <t>E05002439</t>
  </si>
  <si>
    <t>E05002440</t>
  </si>
  <si>
    <t>E05002441</t>
  </si>
  <si>
    <t>E05002442</t>
  </si>
  <si>
    <t>E05002443</t>
  </si>
  <si>
    <t>E05002444</t>
  </si>
  <si>
    <t>E05002445</t>
  </si>
  <si>
    <t>E05002446</t>
  </si>
  <si>
    <t>E05002447</t>
  </si>
  <si>
    <t>E05002448</t>
  </si>
  <si>
    <t>E05002449</t>
  </si>
  <si>
    <t>E05002450</t>
  </si>
  <si>
    <t>E05002451</t>
  </si>
  <si>
    <t>E05002452</t>
  </si>
  <si>
    <t>E05002453</t>
  </si>
  <si>
    <t>E05002454</t>
  </si>
  <si>
    <t>E05002630</t>
  </si>
  <si>
    <t>E05002631</t>
  </si>
  <si>
    <t>E05002632</t>
  </si>
  <si>
    <t>E05002633</t>
  </si>
  <si>
    <t>E05002634</t>
  </si>
  <si>
    <t>E05002635</t>
  </si>
  <si>
    <t>E05002636</t>
  </si>
  <si>
    <t>E05002637</t>
  </si>
  <si>
    <t>E05002638</t>
  </si>
  <si>
    <t>E05002639</t>
  </si>
  <si>
    <t>E05002640</t>
  </si>
  <si>
    <t>E05002641</t>
  </si>
  <si>
    <t>E05002642</t>
  </si>
  <si>
    <t>E05002643</t>
  </si>
  <si>
    <t>E05002644</t>
  </si>
  <si>
    <t>E05002645</t>
  </si>
  <si>
    <t>E05002646</t>
  </si>
  <si>
    <t>E05002647</t>
  </si>
  <si>
    <t>E05002648</t>
  </si>
  <si>
    <t>E05002649</t>
  </si>
  <si>
    <t>E05002650</t>
  </si>
  <si>
    <t>E05002651</t>
  </si>
  <si>
    <t>E05002652</t>
  </si>
  <si>
    <t>E05002653</t>
  </si>
  <si>
    <t>E05002654</t>
  </si>
  <si>
    <t>E05002674</t>
  </si>
  <si>
    <t>E05002675</t>
  </si>
  <si>
    <t>E05002676</t>
  </si>
  <si>
    <t>E05002677</t>
  </si>
  <si>
    <t>E05002678</t>
  </si>
  <si>
    <t>E05002679</t>
  </si>
  <si>
    <t>E05002680</t>
  </si>
  <si>
    <t>E05002681</t>
  </si>
  <si>
    <t>E05002682</t>
  </si>
  <si>
    <t>E05002683</t>
  </si>
  <si>
    <t>E05002684</t>
  </si>
  <si>
    <t>E05002685</t>
  </si>
  <si>
    <t>E05002686</t>
  </si>
  <si>
    <t>E05002687</t>
  </si>
  <si>
    <t>E05002688</t>
  </si>
  <si>
    <t>E05002689</t>
  </si>
  <si>
    <t>E05002690</t>
  </si>
  <si>
    <t>E05002691</t>
  </si>
  <si>
    <t>E05002692</t>
  </si>
  <si>
    <t>E05002693</t>
  </si>
  <si>
    <t>E05002694</t>
  </si>
  <si>
    <t>E05002695</t>
  </si>
  <si>
    <t>E05002696</t>
  </si>
  <si>
    <t>E05002697</t>
  </si>
  <si>
    <t>E05002698</t>
  </si>
  <si>
    <t>E05002699</t>
  </si>
  <si>
    <t>E05002700</t>
  </si>
  <si>
    <t>E05002701</t>
  </si>
  <si>
    <t>E05002702</t>
  </si>
  <si>
    <t>E05002703</t>
  </si>
  <si>
    <t>E05002704</t>
  </si>
  <si>
    <t>E05002705</t>
  </si>
  <si>
    <t>E05002706</t>
  </si>
  <si>
    <t>E05002707</t>
  </si>
  <si>
    <t>E05002708</t>
  </si>
  <si>
    <t>E05002709</t>
  </si>
  <si>
    <t>E05002710</t>
  </si>
  <si>
    <t>E05002711</t>
  </si>
  <si>
    <t>E05002712</t>
  </si>
  <si>
    <t>E05002713</t>
  </si>
  <si>
    <t>E05002714</t>
  </si>
  <si>
    <t>E05002715</t>
  </si>
  <si>
    <t>E05002716</t>
  </si>
  <si>
    <t>E05002717</t>
  </si>
  <si>
    <t>E05002718</t>
  </si>
  <si>
    <t>E05002719</t>
  </si>
  <si>
    <t>E05002720</t>
  </si>
  <si>
    <t>E05002721</t>
  </si>
  <si>
    <t>E05002722</t>
  </si>
  <si>
    <t>E05002723</t>
  </si>
  <si>
    <t>E05002724</t>
  </si>
  <si>
    <t>E05002725</t>
  </si>
  <si>
    <t>E05002726</t>
  </si>
  <si>
    <t>E05002727</t>
  </si>
  <si>
    <t>E05002728</t>
  </si>
  <si>
    <t>E05002729</t>
  </si>
  <si>
    <t>E05002730</t>
  </si>
  <si>
    <t>E05002731</t>
  </si>
  <si>
    <t>E05002732</t>
  </si>
  <si>
    <t>E05002733</t>
  </si>
  <si>
    <t>E05002734</t>
  </si>
  <si>
    <t>E05003114</t>
  </si>
  <si>
    <t>E05003115</t>
  </si>
  <si>
    <t>E05003116</t>
  </si>
  <si>
    <t>E05003117</t>
  </si>
  <si>
    <t>E05003118</t>
  </si>
  <si>
    <t>E05003119</t>
  </si>
  <si>
    <t>E05003120</t>
  </si>
  <si>
    <t>E05003121</t>
  </si>
  <si>
    <t>E05003122</t>
  </si>
  <si>
    <t>E05003123</t>
  </si>
  <si>
    <t>E05003124</t>
  </si>
  <si>
    <t>E05003125</t>
  </si>
  <si>
    <t>E05003126</t>
  </si>
  <si>
    <t>E05003127</t>
  </si>
  <si>
    <t>E05003128</t>
  </si>
  <si>
    <t>E05003129</t>
  </si>
  <si>
    <t>E05003130</t>
  </si>
  <si>
    <t>E05003131</t>
  </si>
  <si>
    <t>E05003132</t>
  </si>
  <si>
    <t>E05003133</t>
  </si>
  <si>
    <t>E05003134</t>
  </si>
  <si>
    <t>E05003135</t>
  </si>
  <si>
    <t>E05003136</t>
  </si>
  <si>
    <t>E05003137</t>
  </si>
  <si>
    <t>E05003138</t>
  </si>
  <si>
    <t>E05003139</t>
  </si>
  <si>
    <t>E05003140</t>
  </si>
  <si>
    <t>E05003141</t>
  </si>
  <si>
    <t>E05003142</t>
  </si>
  <si>
    <t>E05003143</t>
  </si>
  <si>
    <t>E05003144</t>
  </si>
  <si>
    <t>E05003145</t>
  </si>
  <si>
    <t>E05003146</t>
  </si>
  <si>
    <t>E05003147</t>
  </si>
  <si>
    <t>E05003148</t>
  </si>
  <si>
    <t>E05003149</t>
  </si>
  <si>
    <t>E05003150</t>
  </si>
  <si>
    <t>E05003151</t>
  </si>
  <si>
    <t>E05003152</t>
  </si>
  <si>
    <t>E05003153</t>
  </si>
  <si>
    <t>E05003154</t>
  </si>
  <si>
    <t>E05003155</t>
  </si>
  <si>
    <t>E05003156</t>
  </si>
  <si>
    <t>E05003157</t>
  </si>
  <si>
    <t>E05003158</t>
  </si>
  <si>
    <t>E05003159</t>
  </si>
  <si>
    <t>E05003160</t>
  </si>
  <si>
    <t>E05003161</t>
  </si>
  <si>
    <t>E05003162</t>
  </si>
  <si>
    <t>E05003163</t>
  </si>
  <si>
    <t>E05003164</t>
  </si>
  <si>
    <t>E05003165</t>
  </si>
  <si>
    <t>E05003166</t>
  </si>
  <si>
    <t>E05003167</t>
  </si>
  <si>
    <t>E05003168</t>
  </si>
  <si>
    <t>E05003169</t>
  </si>
  <si>
    <t>E05003170</t>
  </si>
  <si>
    <t>E05003171</t>
  </si>
  <si>
    <t>E05003172</t>
  </si>
  <si>
    <t>E05003173</t>
  </si>
  <si>
    <t>E05003174</t>
  </si>
  <si>
    <t>E05003175</t>
  </si>
  <si>
    <t>E05003176</t>
  </si>
  <si>
    <t>E05003177</t>
  </si>
  <si>
    <t>E05003178</t>
  </si>
  <si>
    <t>E05003179</t>
  </si>
  <si>
    <t>E05003180</t>
  </si>
  <si>
    <t>E05003181</t>
  </si>
  <si>
    <t>E05003182</t>
  </si>
  <si>
    <t>E05003183</t>
  </si>
  <si>
    <t>E05003184</t>
  </si>
  <si>
    <t>E05003185</t>
  </si>
  <si>
    <t>E05003186</t>
  </si>
  <si>
    <t>E05003187</t>
  </si>
  <si>
    <t>E05003188</t>
  </si>
  <si>
    <t>E05003189</t>
  </si>
  <si>
    <t>E05003190</t>
  </si>
  <si>
    <t>E05003191</t>
  </si>
  <si>
    <t>E05003192</t>
  </si>
  <si>
    <t>E05003193</t>
  </si>
  <si>
    <t>E05003194</t>
  </si>
  <si>
    <t>E05003195</t>
  </si>
  <si>
    <t>E05003196</t>
  </si>
  <si>
    <t>E05003197</t>
  </si>
  <si>
    <t>E05003198</t>
  </si>
  <si>
    <t>E05003199</t>
  </si>
  <si>
    <t>E05003200</t>
  </si>
  <si>
    <t>E05003201</t>
  </si>
  <si>
    <t>E05003202</t>
  </si>
  <si>
    <t>E05003203</t>
  </si>
  <si>
    <t>E05003204</t>
  </si>
  <si>
    <t>E05003205</t>
  </si>
  <si>
    <t>E05003206</t>
  </si>
  <si>
    <t>E05003207</t>
  </si>
  <si>
    <t>E05003208</t>
  </si>
  <si>
    <t>E05003209</t>
  </si>
  <si>
    <t>E05003210</t>
  </si>
  <si>
    <t>E05003211</t>
  </si>
  <si>
    <t>E05003212</t>
  </si>
  <si>
    <t>E05003213</t>
  </si>
  <si>
    <t>E05003214</t>
  </si>
  <si>
    <t>E05003215</t>
  </si>
  <si>
    <t>E05003216</t>
  </si>
  <si>
    <t>E05003217</t>
  </si>
  <si>
    <t>E05003218</t>
  </si>
  <si>
    <t>E05003219</t>
  </si>
  <si>
    <t>E05003220</t>
  </si>
  <si>
    <t>E05003221</t>
  </si>
  <si>
    <t>E05003222</t>
  </si>
  <si>
    <t>E05003223</t>
  </si>
  <si>
    <t>E05003224</t>
  </si>
  <si>
    <t>E05003225</t>
  </si>
  <si>
    <t>E05003226</t>
  </si>
  <si>
    <t>E05003227</t>
  </si>
  <si>
    <t>E05003228</t>
  </si>
  <si>
    <t>E05003229</t>
  </si>
  <si>
    <t>E05003230</t>
  </si>
  <si>
    <t>E05003231</t>
  </si>
  <si>
    <t>E05003232</t>
  </si>
  <si>
    <t>E05003233</t>
  </si>
  <si>
    <t>E05003234</t>
  </si>
  <si>
    <t>E05008479</t>
  </si>
  <si>
    <t>E05008480</t>
  </si>
  <si>
    <t>E05008481</t>
  </si>
  <si>
    <t>E05008482</t>
  </si>
  <si>
    <t>E05008483</t>
  </si>
  <si>
    <t>E05008484</t>
  </si>
  <si>
    <t>E05008485</t>
  </si>
  <si>
    <t>E05008486</t>
  </si>
  <si>
    <t>E05008487</t>
  </si>
  <si>
    <t>E05008488</t>
  </si>
  <si>
    <t>E05008489</t>
  </si>
  <si>
    <t>E05008490</t>
  </si>
  <si>
    <t>E05008491</t>
  </si>
  <si>
    <t>E05008492</t>
  </si>
  <si>
    <t>E05008493</t>
  </si>
  <si>
    <t>E05008494</t>
  </si>
  <si>
    <t>E05008495</t>
  </si>
  <si>
    <t>E05008496</t>
  </si>
  <si>
    <t>E05008497</t>
  </si>
  <si>
    <t>E05008498</t>
  </si>
  <si>
    <t>E05008499</t>
  </si>
  <si>
    <t>E05008500</t>
  </si>
  <si>
    <t>E05008501</t>
  </si>
  <si>
    <t>E05008502</t>
  </si>
  <si>
    <t>E05008503</t>
  </si>
  <si>
    <t>E05008504</t>
  </si>
  <si>
    <t>E05008505</t>
  </si>
  <si>
    <t>E05008506</t>
  </si>
  <si>
    <t>E05008507</t>
  </si>
  <si>
    <t>E05008508</t>
  </si>
  <si>
    <t>E05008509</t>
  </si>
  <si>
    <t>E05008510</t>
  </si>
  <si>
    <t>E05008511</t>
  </si>
  <si>
    <t>E05008512</t>
  </si>
  <si>
    <t>E05008513</t>
  </si>
  <si>
    <t>E05008514</t>
  </si>
  <si>
    <t>E05008515</t>
  </si>
  <si>
    <t>E05008516</t>
  </si>
  <si>
    <t>E05008517</t>
  </si>
  <si>
    <t>E05006191</t>
  </si>
  <si>
    <t>E05006198</t>
  </si>
  <si>
    <t>E05006203</t>
  </si>
  <si>
    <t>E05006206</t>
  </si>
  <si>
    <t>E05006273</t>
  </si>
  <si>
    <t>E05006274</t>
  </si>
  <si>
    <t>E05006275</t>
  </si>
  <si>
    <t>E05006276</t>
  </si>
  <si>
    <t>E05006277</t>
  </si>
  <si>
    <t>E05006278</t>
  </si>
  <si>
    <t>E05006279</t>
  </si>
  <si>
    <t>E05006280</t>
  </si>
  <si>
    <t>E05006281</t>
  </si>
  <si>
    <t>E05006282</t>
  </si>
  <si>
    <t>E05006283</t>
  </si>
  <si>
    <t>E05006284</t>
  </si>
  <si>
    <t>E05006285</t>
  </si>
  <si>
    <t>E05006286</t>
  </si>
  <si>
    <t>E05006287</t>
  </si>
  <si>
    <t>E05006288</t>
  </si>
  <si>
    <t>E05006289</t>
  </si>
  <si>
    <t>E05006290</t>
  </si>
  <si>
    <t>E05006291</t>
  </si>
  <si>
    <t>E05006292</t>
  </si>
  <si>
    <t>E05006293</t>
  </si>
  <si>
    <t>E05006294</t>
  </si>
  <si>
    <t>E05006295</t>
  </si>
  <si>
    <t>E05006296</t>
  </si>
  <si>
    <t>E05006297</t>
  </si>
  <si>
    <t>E05006298</t>
  </si>
  <si>
    <t>E05006299</t>
  </si>
  <si>
    <t>E05006300</t>
  </si>
  <si>
    <t>E05006301</t>
  </si>
  <si>
    <t>E05006302</t>
  </si>
  <si>
    <t>E05006303</t>
  </si>
  <si>
    <t>E05006304</t>
  </si>
  <si>
    <t>E05006305</t>
  </si>
  <si>
    <t>E05006306</t>
  </si>
  <si>
    <t>E05006307</t>
  </si>
  <si>
    <t>E05006308</t>
  </si>
  <si>
    <t>E05006309</t>
  </si>
  <si>
    <t>E05006310</t>
  </si>
  <si>
    <t>E05006311</t>
  </si>
  <si>
    <t>E05006312</t>
  </si>
  <si>
    <t>E05006313</t>
  </si>
  <si>
    <t>E05006314</t>
  </si>
  <si>
    <t>E05006315</t>
  </si>
  <si>
    <t>E05006316</t>
  </si>
  <si>
    <t>E05006317</t>
  </si>
  <si>
    <t>E05006318</t>
  </si>
  <si>
    <t>E05006319</t>
  </si>
  <si>
    <t>E05006320</t>
  </si>
  <si>
    <t>E05006321</t>
  </si>
  <si>
    <t>E05006322</t>
  </si>
  <si>
    <t>E05006323</t>
  </si>
  <si>
    <t>E05006324</t>
  </si>
  <si>
    <t>E05006325</t>
  </si>
  <si>
    <t>E05006326</t>
  </si>
  <si>
    <t>E05006327</t>
  </si>
  <si>
    <t>E05006328</t>
  </si>
  <si>
    <t>E05006329</t>
  </si>
  <si>
    <t>E05006330</t>
  </si>
  <si>
    <t>E05006331</t>
  </si>
  <si>
    <t>E05006332</t>
  </si>
  <si>
    <t>E05006333</t>
  </si>
  <si>
    <t>E05006334</t>
  </si>
  <si>
    <t>E05006335</t>
  </si>
  <si>
    <t>E05006336</t>
  </si>
  <si>
    <t>E05006337</t>
  </si>
  <si>
    <t>E05006338</t>
  </si>
  <si>
    <t>E05006339</t>
  </si>
  <si>
    <t>E05006340</t>
  </si>
  <si>
    <t>E05006341</t>
  </si>
  <si>
    <t>E05004021</t>
  </si>
  <si>
    <t>E05004022</t>
  </si>
  <si>
    <t>E05004023</t>
  </si>
  <si>
    <t>E05004024</t>
  </si>
  <si>
    <t>E05004025</t>
  </si>
  <si>
    <t>E05004026</t>
  </si>
  <si>
    <t>E05004027</t>
  </si>
  <si>
    <t>E05004028</t>
  </si>
  <si>
    <t>E05004029</t>
  </si>
  <si>
    <t>E05004030</t>
  </si>
  <si>
    <t>E05004031</t>
  </si>
  <si>
    <t>E05004032</t>
  </si>
  <si>
    <t>E05004033</t>
  </si>
  <si>
    <t>E05004034</t>
  </si>
  <si>
    <t>E05004035</t>
  </si>
  <si>
    <t>E05004036</t>
  </si>
  <si>
    <t>E05004067</t>
  </si>
  <si>
    <t>E05004068</t>
  </si>
  <si>
    <t>E05004069</t>
  </si>
  <si>
    <t>E05004070</t>
  </si>
  <si>
    <t>E05004071</t>
  </si>
  <si>
    <t>E05004072</t>
  </si>
  <si>
    <t>E05004073</t>
  </si>
  <si>
    <t>E05004074</t>
  </si>
  <si>
    <t>E05004075</t>
  </si>
  <si>
    <t>E05004076</t>
  </si>
  <si>
    <t>E05004077</t>
  </si>
  <si>
    <t>E05004078</t>
  </si>
  <si>
    <t>E05004079</t>
  </si>
  <si>
    <t>E05004080</t>
  </si>
  <si>
    <t>E05004081</t>
  </si>
  <si>
    <t>E05004082</t>
  </si>
  <si>
    <t>E05004083</t>
  </si>
  <si>
    <t>E05004084</t>
  </si>
  <si>
    <t>E05004085</t>
  </si>
  <si>
    <t>E05004086</t>
  </si>
  <si>
    <t>E05004087</t>
  </si>
  <si>
    <t>E05004088</t>
  </si>
  <si>
    <t>E05004089</t>
  </si>
  <si>
    <t>E05004090</t>
  </si>
  <si>
    <t>E05004091</t>
  </si>
  <si>
    <t>E05004092</t>
  </si>
  <si>
    <t>E05004093</t>
  </si>
  <si>
    <t>E05004094</t>
  </si>
  <si>
    <t>E05004095</t>
  </si>
  <si>
    <t>E05004096</t>
  </si>
  <si>
    <t>E05004097</t>
  </si>
  <si>
    <t>E05004098</t>
  </si>
  <si>
    <t>E05004099</t>
  </si>
  <si>
    <t>E05004100</t>
  </si>
  <si>
    <t>E05004101</t>
  </si>
  <si>
    <t>E05004102</t>
  </si>
  <si>
    <t>E05004103</t>
  </si>
  <si>
    <t>E05004104</t>
  </si>
  <si>
    <t>E05004105</t>
  </si>
  <si>
    <t>E05004106</t>
  </si>
  <si>
    <t>E05004107</t>
  </si>
  <si>
    <t>E05004108</t>
  </si>
  <si>
    <t>E05004109</t>
  </si>
  <si>
    <t>E05004110</t>
  </si>
  <si>
    <t>E05004111</t>
  </si>
  <si>
    <t>E05004112</t>
  </si>
  <si>
    <t>E05004113</t>
  </si>
  <si>
    <t>E05004114</t>
  </si>
  <si>
    <t>E05004115</t>
  </si>
  <si>
    <t>E05004116</t>
  </si>
  <si>
    <t>E05004117</t>
  </si>
  <si>
    <t>E05004118</t>
  </si>
  <si>
    <t>E05004119</t>
  </si>
  <si>
    <t>E05004147</t>
  </si>
  <si>
    <t>E05004148</t>
  </si>
  <si>
    <t>E05004149</t>
  </si>
  <si>
    <t>E05004150</t>
  </si>
  <si>
    <t>E05004151</t>
  </si>
  <si>
    <t>E05004152</t>
  </si>
  <si>
    <t>E05004153</t>
  </si>
  <si>
    <t>E05004154</t>
  </si>
  <si>
    <t>E05004155</t>
  </si>
  <si>
    <t>E05004157</t>
  </si>
  <si>
    <t>E05004158</t>
  </si>
  <si>
    <t>E05004159</t>
  </si>
  <si>
    <t>E05004160</t>
  </si>
  <si>
    <t>E05004161</t>
  </si>
  <si>
    <t>E05004162</t>
  </si>
  <si>
    <t>E05004163</t>
  </si>
  <si>
    <t>E05004164</t>
  </si>
  <si>
    <t>E05004165</t>
  </si>
  <si>
    <t>E05004166</t>
  </si>
  <si>
    <t>E05004167</t>
  </si>
  <si>
    <t>E05004169</t>
  </si>
  <si>
    <t>E05004170</t>
  </si>
  <si>
    <t>E05004171</t>
  </si>
  <si>
    <t>E05004172</t>
  </si>
  <si>
    <t>E05004173</t>
  </si>
  <si>
    <t>E05004174</t>
  </si>
  <si>
    <t>E05004175</t>
  </si>
  <si>
    <t>E05004176</t>
  </si>
  <si>
    <t>E05004177</t>
  </si>
  <si>
    <t>E05004178</t>
  </si>
  <si>
    <t>E05004179</t>
  </si>
  <si>
    <t>E05004180</t>
  </si>
  <si>
    <t>E05004181</t>
  </si>
  <si>
    <t>E05004182</t>
  </si>
  <si>
    <t>E05004183</t>
  </si>
  <si>
    <t>E05004184</t>
  </si>
  <si>
    <t>E05004185</t>
  </si>
  <si>
    <t>E05004186</t>
  </si>
  <si>
    <t>E05004187</t>
  </si>
  <si>
    <t>E05004188</t>
  </si>
  <si>
    <t>E05004189</t>
  </si>
  <si>
    <t>E05004190</t>
  </si>
  <si>
    <t>E05004191</t>
  </si>
  <si>
    <t>E05004192</t>
  </si>
  <si>
    <t>E05004193</t>
  </si>
  <si>
    <t>E05004194</t>
  </si>
  <si>
    <t>E05004195</t>
  </si>
  <si>
    <t>E05004196</t>
  </si>
  <si>
    <t>E05004197</t>
  </si>
  <si>
    <t>E05004198</t>
  </si>
  <si>
    <t>E05004199</t>
  </si>
  <si>
    <t>E05004200</t>
  </si>
  <si>
    <t>E05004201</t>
  </si>
  <si>
    <t>E05004202</t>
  </si>
  <si>
    <t>E05004203</t>
  </si>
  <si>
    <t>E05004204</t>
  </si>
  <si>
    <t>E05004205</t>
  </si>
  <si>
    <t>E05004206</t>
  </si>
  <si>
    <t>E05004226</t>
  </si>
  <si>
    <t>E05004227</t>
  </si>
  <si>
    <t>E05004228</t>
  </si>
  <si>
    <t>E05004229</t>
  </si>
  <si>
    <t>E05004230</t>
  </si>
  <si>
    <t>E05004231</t>
  </si>
  <si>
    <t>E05004232</t>
  </si>
  <si>
    <t>E05004233</t>
  </si>
  <si>
    <t>E05004234</t>
  </si>
  <si>
    <t>E05004235</t>
  </si>
  <si>
    <t>E05004236</t>
  </si>
  <si>
    <t>E05004237</t>
  </si>
  <si>
    <t>E05004238</t>
  </si>
  <si>
    <t>E05004239</t>
  </si>
  <si>
    <t>E05004240</t>
  </si>
  <si>
    <t>E05004241</t>
  </si>
  <si>
    <t>E05004242</t>
  </si>
  <si>
    <t>E05004243</t>
  </si>
  <si>
    <t>E05004244</t>
  </si>
  <si>
    <t>E05004245</t>
  </si>
  <si>
    <t>E05004246</t>
  </si>
  <si>
    <t>E05004247</t>
  </si>
  <si>
    <t>E05004248</t>
  </si>
  <si>
    <t>E05004249</t>
  </si>
  <si>
    <t>E05004250</t>
  </si>
  <si>
    <t>E05004251</t>
  </si>
  <si>
    <t>E05004252</t>
  </si>
  <si>
    <t>E05004253</t>
  </si>
  <si>
    <t>E05004254</t>
  </si>
  <si>
    <t>E05004255</t>
  </si>
  <si>
    <t>E05004256</t>
  </si>
  <si>
    <t>E05004257</t>
  </si>
  <si>
    <t>E05004258</t>
  </si>
  <si>
    <t>E05004259</t>
  </si>
  <si>
    <t>E05004260</t>
  </si>
  <si>
    <t>E05007846</t>
  </si>
  <si>
    <t>E05007847</t>
  </si>
  <si>
    <t>E05007848</t>
  </si>
  <si>
    <t>E05007849</t>
  </si>
  <si>
    <t>E05007850</t>
  </si>
  <si>
    <t>E05007851</t>
  </si>
  <si>
    <t>E05007852</t>
  </si>
  <si>
    <t>E05007853</t>
  </si>
  <si>
    <t>E05007854</t>
  </si>
  <si>
    <t>E05007855</t>
  </si>
  <si>
    <t>E05007856</t>
  </si>
  <si>
    <t>E05007857</t>
  </si>
  <si>
    <t>E05007858</t>
  </si>
  <si>
    <t>E05007859</t>
  </si>
  <si>
    <t>E05007860</t>
  </si>
  <si>
    <t>E05007861</t>
  </si>
  <si>
    <t>E05007862</t>
  </si>
  <si>
    <t>E05007863</t>
  </si>
  <si>
    <t>E05007864</t>
  </si>
  <si>
    <t>E05007865</t>
  </si>
  <si>
    <t>E05007866</t>
  </si>
  <si>
    <t>E05007867</t>
  </si>
  <si>
    <t>E05007868</t>
  </si>
  <si>
    <t>E05007869</t>
  </si>
  <si>
    <t>E05007870</t>
  </si>
  <si>
    <t>E05007871</t>
  </si>
  <si>
    <t>E05007872</t>
  </si>
  <si>
    <t>E05007873</t>
  </si>
  <si>
    <t>E05007874</t>
  </si>
  <si>
    <t>E05007875</t>
  </si>
  <si>
    <t>E05007876</t>
  </si>
  <si>
    <t>E05007877</t>
  </si>
  <si>
    <t>E05007878</t>
  </si>
  <si>
    <t>E05007879</t>
  </si>
  <si>
    <t>E05007880</t>
  </si>
  <si>
    <t>E05007881</t>
  </si>
  <si>
    <t>E05007882</t>
  </si>
  <si>
    <t>E05007883</t>
  </si>
  <si>
    <t>E05007884</t>
  </si>
  <si>
    <t>E05007885</t>
  </si>
  <si>
    <t>E05007886</t>
  </si>
  <si>
    <t>E05007887</t>
  </si>
  <si>
    <t>E05007888</t>
  </si>
  <si>
    <t>E05007889</t>
  </si>
  <si>
    <t>E05007890</t>
  </si>
  <si>
    <t>E05007891</t>
  </si>
  <si>
    <t>E05007892</t>
  </si>
  <si>
    <t>E05007893</t>
  </si>
  <si>
    <t>E05007894</t>
  </si>
  <si>
    <t>E05007895</t>
  </si>
  <si>
    <t>E05007896</t>
  </si>
  <si>
    <t>E05007897</t>
  </si>
  <si>
    <t>E05007898</t>
  </si>
  <si>
    <t>E05007899</t>
  </si>
  <si>
    <t>E05007900</t>
  </si>
  <si>
    <t>E05007901</t>
  </si>
  <si>
    <t>E05007902</t>
  </si>
  <si>
    <t>E05007903</t>
  </si>
  <si>
    <t>E05007904</t>
  </si>
  <si>
    <t>E05007905</t>
  </si>
  <si>
    <t>E05007906</t>
  </si>
  <si>
    <t>E05007907</t>
  </si>
  <si>
    <t>E05007908</t>
  </si>
  <si>
    <t>E05007909</t>
  </si>
  <si>
    <t>E05007910</t>
  </si>
  <si>
    <t>E05007911</t>
  </si>
  <si>
    <t>E05007912</t>
  </si>
  <si>
    <t>E05007913</t>
  </si>
  <si>
    <t>E05007914</t>
  </si>
  <si>
    <t>E05007915</t>
  </si>
  <si>
    <t>E05007916</t>
  </si>
  <si>
    <t>E05007917</t>
  </si>
  <si>
    <t>E05007918</t>
  </si>
  <si>
    <t>E05007919</t>
  </si>
  <si>
    <t>E05007920</t>
  </si>
  <si>
    <t>E05007921</t>
  </si>
  <si>
    <t>E05007922</t>
  </si>
  <si>
    <t>E05007923</t>
  </si>
  <si>
    <t>E05007924</t>
  </si>
  <si>
    <t>E05007925</t>
  </si>
  <si>
    <t>E05007926</t>
  </si>
  <si>
    <t>E05006902</t>
  </si>
  <si>
    <t>E05006903</t>
  </si>
  <si>
    <t>E05006904</t>
  </si>
  <si>
    <t>E05006905</t>
  </si>
  <si>
    <t>E05006906</t>
  </si>
  <si>
    <t>E05006907</t>
  </si>
  <si>
    <t>E05006908</t>
  </si>
  <si>
    <t>E05006909</t>
  </si>
  <si>
    <t>E05006910</t>
  </si>
  <si>
    <t>E05006911</t>
  </si>
  <si>
    <t>E05006912</t>
  </si>
  <si>
    <t>E05006913</t>
  </si>
  <si>
    <t>E05006914</t>
  </si>
  <si>
    <t>E05006915</t>
  </si>
  <si>
    <t>E05006916</t>
  </si>
  <si>
    <t>E05006917</t>
  </si>
  <si>
    <t>E05006918</t>
  </si>
  <si>
    <t>E05006919</t>
  </si>
  <si>
    <t>E05006920</t>
  </si>
  <si>
    <t>E05006921</t>
  </si>
  <si>
    <t>E05006922</t>
  </si>
  <si>
    <t>E05006923</t>
  </si>
  <si>
    <t>E05006924</t>
  </si>
  <si>
    <t>E05006925</t>
  </si>
  <si>
    <t>E05006926</t>
  </si>
  <si>
    <t>E05006927</t>
  </si>
  <si>
    <t>E05006928</t>
  </si>
  <si>
    <t>E05006929</t>
  </si>
  <si>
    <t>E05006930</t>
  </si>
  <si>
    <t>E05006931</t>
  </si>
  <si>
    <t>E05006932</t>
  </si>
  <si>
    <t>E05006933</t>
  </si>
  <si>
    <t>E05006934</t>
  </si>
  <si>
    <t>E05006935</t>
  </si>
  <si>
    <t>E05006936</t>
  </si>
  <si>
    <t>E05006937</t>
  </si>
  <si>
    <t>E05006964</t>
  </si>
  <si>
    <t>E05006965</t>
  </si>
  <si>
    <t>E05006966</t>
  </si>
  <si>
    <t>E05006967</t>
  </si>
  <si>
    <t>E05006968</t>
  </si>
  <si>
    <t>E05006969</t>
  </si>
  <si>
    <t>E05006970</t>
  </si>
  <si>
    <t>E05006971</t>
  </si>
  <si>
    <t>E05006972</t>
  </si>
  <si>
    <t>E05006973</t>
  </si>
  <si>
    <t>E05006974</t>
  </si>
  <si>
    <t>E05006975</t>
  </si>
  <si>
    <t>E05006976</t>
  </si>
  <si>
    <t>E05006977</t>
  </si>
  <si>
    <t>E05006978</t>
  </si>
  <si>
    <t>E05006979</t>
  </si>
  <si>
    <t>E05006980</t>
  </si>
  <si>
    <t>E05006981</t>
  </si>
  <si>
    <t>E05006982</t>
  </si>
  <si>
    <t>E05006983</t>
  </si>
  <si>
    <t>E05006984</t>
  </si>
  <si>
    <t>E05006988</t>
  </si>
  <si>
    <t>E05006989</t>
  </si>
  <si>
    <t>E05006990</t>
  </si>
  <si>
    <t>E05006991</t>
  </si>
  <si>
    <t>E05006992</t>
  </si>
  <si>
    <t>E05006993</t>
  </si>
  <si>
    <t>E05006994</t>
  </si>
  <si>
    <t>E05006995</t>
  </si>
  <si>
    <t>E05006996</t>
  </si>
  <si>
    <t>E05006997</t>
  </si>
  <si>
    <t>E05006998</t>
  </si>
  <si>
    <t>E05006999</t>
  </si>
  <si>
    <t>E05007000</t>
  </si>
  <si>
    <t>E05007001</t>
  </si>
  <si>
    <t>E05007002</t>
  </si>
  <si>
    <t>E05007003</t>
  </si>
  <si>
    <t>E05007004</t>
  </si>
  <si>
    <t>E05007005</t>
  </si>
  <si>
    <t>E05007006</t>
  </si>
  <si>
    <t>E05007007</t>
  </si>
  <si>
    <t>E05007008</t>
  </si>
  <si>
    <t>E05007009</t>
  </si>
  <si>
    <t>E05007010</t>
  </si>
  <si>
    <t>E05007011</t>
  </si>
  <si>
    <t>E05007012</t>
  </si>
  <si>
    <t>E05007039</t>
  </si>
  <si>
    <t>E05007040</t>
  </si>
  <si>
    <t>E05007041</t>
  </si>
  <si>
    <t>E05007042</t>
  </si>
  <si>
    <t>E05007043</t>
  </si>
  <si>
    <t>E05007044</t>
  </si>
  <si>
    <t>E05007045</t>
  </si>
  <si>
    <t>E05007046</t>
  </si>
  <si>
    <t>E05007047</t>
  </si>
  <si>
    <t>E05007048</t>
  </si>
  <si>
    <t>E05007049</t>
  </si>
  <si>
    <t>E05007050</t>
  </si>
  <si>
    <t>E05007051</t>
  </si>
  <si>
    <t>E05007052</t>
  </si>
  <si>
    <t>E05007053</t>
  </si>
  <si>
    <t>E05007054</t>
  </si>
  <si>
    <t>E05007055</t>
  </si>
  <si>
    <t>E05007056</t>
  </si>
  <si>
    <t>E05007057</t>
  </si>
  <si>
    <t>E05007058</t>
  </si>
  <si>
    <t>E05007059</t>
  </si>
  <si>
    <t>E05007060</t>
  </si>
  <si>
    <t>E05007061</t>
  </si>
  <si>
    <t>E05007062</t>
  </si>
  <si>
    <t>E05007063</t>
  </si>
  <si>
    <t>E05007064</t>
  </si>
  <si>
    <t>E05007065</t>
  </si>
  <si>
    <t>E05007066</t>
  </si>
  <si>
    <t>E05007067</t>
  </si>
  <si>
    <t>E05007068</t>
  </si>
  <si>
    <t>E05007069</t>
  </si>
  <si>
    <t>E05007070</t>
  </si>
  <si>
    <t>E05007071</t>
  </si>
  <si>
    <t>E05007072</t>
  </si>
  <si>
    <t>E05007073</t>
  </si>
  <si>
    <t>E05007074</t>
  </si>
  <si>
    <t>E05007075</t>
  </si>
  <si>
    <t>E05007457</t>
  </si>
  <si>
    <t>E05007458</t>
  </si>
  <si>
    <t>E05007459</t>
  </si>
  <si>
    <t>E05007460</t>
  </si>
  <si>
    <t>E05007461</t>
  </si>
  <si>
    <t>E05007462</t>
  </si>
  <si>
    <t>E05007463</t>
  </si>
  <si>
    <t>E05007464</t>
  </si>
  <si>
    <t>E05007465</t>
  </si>
  <si>
    <t>E05007466</t>
  </si>
  <si>
    <t>E05007467</t>
  </si>
  <si>
    <t>E05007468</t>
  </si>
  <si>
    <t>E05007469</t>
  </si>
  <si>
    <t>E05007470</t>
  </si>
  <si>
    <t>E05007471</t>
  </si>
  <si>
    <t>E05007472</t>
  </si>
  <si>
    <t>E05007473</t>
  </si>
  <si>
    <t>E05007474</t>
  </si>
  <si>
    <t>E05007475</t>
  </si>
  <si>
    <t>E05007476</t>
  </si>
  <si>
    <t>E05007477</t>
  </si>
  <si>
    <t>E05007478</t>
  </si>
  <si>
    <t>E05007479</t>
  </si>
  <si>
    <t>E05007480</t>
  </si>
  <si>
    <t>E05007481</t>
  </si>
  <si>
    <t>E05007482</t>
  </si>
  <si>
    <t>E05007483</t>
  </si>
  <si>
    <t>E05007484</t>
  </si>
  <si>
    <t>E05007485</t>
  </si>
  <si>
    <t>E05007486</t>
  </si>
  <si>
    <t>E05007487</t>
  </si>
  <si>
    <t>E05007488</t>
  </si>
  <si>
    <t>E05007489</t>
  </si>
  <si>
    <t>E05007490</t>
  </si>
  <si>
    <t>E05003920</t>
  </si>
  <si>
    <t>E05003921</t>
  </si>
  <si>
    <t>E05003922</t>
  </si>
  <si>
    <t>E05003923</t>
  </si>
  <si>
    <t>E05003924</t>
  </si>
  <si>
    <t>E05003925</t>
  </si>
  <si>
    <t>E05003926</t>
  </si>
  <si>
    <t>E05003927</t>
  </si>
  <si>
    <t>E05003928</t>
  </si>
  <si>
    <t>E05003945</t>
  </si>
  <si>
    <t>E05003946</t>
  </si>
  <si>
    <t>E05003947</t>
  </si>
  <si>
    <t>E05003948</t>
  </si>
  <si>
    <t>E05003949</t>
  </si>
  <si>
    <t>E05003950</t>
  </si>
  <si>
    <t>E05003951</t>
  </si>
  <si>
    <t>E05003952</t>
  </si>
  <si>
    <t>E05003953</t>
  </si>
  <si>
    <t>E05003954</t>
  </si>
  <si>
    <t>E05003955</t>
  </si>
  <si>
    <t>E05003956</t>
  </si>
  <si>
    <t>E05003957</t>
  </si>
  <si>
    <t>E05003958</t>
  </si>
  <si>
    <t>E05003959</t>
  </si>
  <si>
    <t>E05003960</t>
  </si>
  <si>
    <t>E05003961</t>
  </si>
  <si>
    <t>E05003962</t>
  </si>
  <si>
    <t>E05003963</t>
  </si>
  <si>
    <t>E05003964</t>
  </si>
  <si>
    <t>E05003965</t>
  </si>
  <si>
    <t>E05003966</t>
  </si>
  <si>
    <t>E05003967</t>
  </si>
  <si>
    <t>E05003968</t>
  </si>
  <si>
    <t>E05003969</t>
  </si>
  <si>
    <t>E05003970</t>
  </si>
  <si>
    <t>E05003971</t>
  </si>
  <si>
    <t>E05003972</t>
  </si>
  <si>
    <t>E05003973</t>
  </si>
  <si>
    <t>E05003974</t>
  </si>
  <si>
    <t>E05003975</t>
  </si>
  <si>
    <t>E05003976</t>
  </si>
  <si>
    <t>E05003977</t>
  </si>
  <si>
    <t>E05003978</t>
  </si>
  <si>
    <t>E05003979</t>
  </si>
  <si>
    <t>E05003980</t>
  </si>
  <si>
    <t>E05003981</t>
  </si>
  <si>
    <t>E05003982</t>
  </si>
  <si>
    <t>E05003983</t>
  </si>
  <si>
    <t>E05003984</t>
  </si>
  <si>
    <t>E05003985</t>
  </si>
  <si>
    <t>E05003986</t>
  </si>
  <si>
    <t>E05003987</t>
  </si>
  <si>
    <t>E05003988</t>
  </si>
  <si>
    <t>E05003989</t>
  </si>
  <si>
    <t>E05003990</t>
  </si>
  <si>
    <t>E05003991</t>
  </si>
  <si>
    <t>E05003992</t>
  </si>
  <si>
    <t>E05003993</t>
  </si>
  <si>
    <t>E05003994</t>
  </si>
  <si>
    <t>E05003995</t>
  </si>
  <si>
    <t>E05003996</t>
  </si>
  <si>
    <t>E05003997</t>
  </si>
  <si>
    <t>E05003998</t>
  </si>
  <si>
    <t>E05003999</t>
  </si>
  <si>
    <t>E05004000</t>
  </si>
  <si>
    <t>E05004001</t>
  </si>
  <si>
    <t>E05004002</t>
  </si>
  <si>
    <t>E05004003</t>
  </si>
  <si>
    <t>E05004004</t>
  </si>
  <si>
    <t>E05004005</t>
  </si>
  <si>
    <t>E05004006</t>
  </si>
  <si>
    <t>E05004007</t>
  </si>
  <si>
    <t>E05004008</t>
  </si>
  <si>
    <t>E05004009</t>
  </si>
  <si>
    <t>E05004010</t>
  </si>
  <si>
    <t>E05004011</t>
  </si>
  <si>
    <t>E05004012</t>
  </si>
  <si>
    <t>E05004013</t>
  </si>
  <si>
    <t>E05004014</t>
  </si>
  <si>
    <t>E05004015</t>
  </si>
  <si>
    <t>E05004016</t>
  </si>
  <si>
    <t>E05004017</t>
  </si>
  <si>
    <t>E05004018</t>
  </si>
  <si>
    <t>E05004019</t>
  </si>
  <si>
    <t>E05004020</t>
  </si>
  <si>
    <t>E05004867</t>
  </si>
  <si>
    <t>E05004868</t>
  </si>
  <si>
    <t>E05004869</t>
  </si>
  <si>
    <t>E05004870</t>
  </si>
  <si>
    <t>E05004871</t>
  </si>
  <si>
    <t>E05004872</t>
  </si>
  <si>
    <t>E05004873</t>
  </si>
  <si>
    <t>E05004874</t>
  </si>
  <si>
    <t>E05004875</t>
  </si>
  <si>
    <t>E05004876</t>
  </si>
  <si>
    <t>E05004877</t>
  </si>
  <si>
    <t>E05004878</t>
  </si>
  <si>
    <t>E05004879</t>
  </si>
  <si>
    <t>E05004880</t>
  </si>
  <si>
    <t>E05004881</t>
  </si>
  <si>
    <t>E05004882</t>
  </si>
  <si>
    <t>E05004883</t>
  </si>
  <si>
    <t>E05004884</t>
  </si>
  <si>
    <t>E05004885</t>
  </si>
  <si>
    <t>E05004886</t>
  </si>
  <si>
    <t>E05004887</t>
  </si>
  <si>
    <t>E05004888</t>
  </si>
  <si>
    <t>E05004889</t>
  </si>
  <si>
    <t>E05004890</t>
  </si>
  <si>
    <t>E05004891</t>
  </si>
  <si>
    <t>E05004892</t>
  </si>
  <si>
    <t>E05004893</t>
  </si>
  <si>
    <t>E05004894</t>
  </si>
  <si>
    <t>E05004895</t>
  </si>
  <si>
    <t>E05004896</t>
  </si>
  <si>
    <t>E05004897</t>
  </si>
  <si>
    <t>E05004898</t>
  </si>
  <si>
    <t>E05004899</t>
  </si>
  <si>
    <t>E05004900</t>
  </si>
  <si>
    <t>E05004901</t>
  </si>
  <si>
    <t>E05004926</t>
  </si>
  <si>
    <t>E05004927</t>
  </si>
  <si>
    <t>E05004928</t>
  </si>
  <si>
    <t>E05004929</t>
  </si>
  <si>
    <t>E05004930</t>
  </si>
  <si>
    <t>E05004931</t>
  </si>
  <si>
    <t>E05004932</t>
  </si>
  <si>
    <t>E05004933</t>
  </si>
  <si>
    <t>E05004934</t>
  </si>
  <si>
    <t>E05004935</t>
  </si>
  <si>
    <t>E05004936</t>
  </si>
  <si>
    <t>E05004937</t>
  </si>
  <si>
    <t>E05004938</t>
  </si>
  <si>
    <t>E05004939</t>
  </si>
  <si>
    <t>E05004940</t>
  </si>
  <si>
    <t>E05004941</t>
  </si>
  <si>
    <t>E05004942</t>
  </si>
  <si>
    <t>E05004943</t>
  </si>
  <si>
    <t>E05004944</t>
  </si>
  <si>
    <t>E05004945</t>
  </si>
  <si>
    <t>E05004946</t>
  </si>
  <si>
    <t>E05004947</t>
  </si>
  <si>
    <t>E05004948</t>
  </si>
  <si>
    <t>E05004949</t>
  </si>
  <si>
    <t>E05004950</t>
  </si>
  <si>
    <t>E05004951</t>
  </si>
  <si>
    <t>E05004952</t>
  </si>
  <si>
    <t>E05004953</t>
  </si>
  <si>
    <t>E05004954</t>
  </si>
  <si>
    <t>E05004955</t>
  </si>
  <si>
    <t>E05004956</t>
  </si>
  <si>
    <t>E05004957</t>
  </si>
  <si>
    <t>E05004958</t>
  </si>
  <si>
    <t>E05004959</t>
  </si>
  <si>
    <t>E05004960</t>
  </si>
  <si>
    <t>E05004961</t>
  </si>
  <si>
    <t>E05004962</t>
  </si>
  <si>
    <t>E05004963</t>
  </si>
  <si>
    <t>E05004964</t>
  </si>
  <si>
    <t>E05004965</t>
  </si>
  <si>
    <t>E05004966</t>
  </si>
  <si>
    <t>E05004967</t>
  </si>
  <si>
    <t>E05004968</t>
  </si>
  <si>
    <t>E05004969</t>
  </si>
  <si>
    <t>E05004970</t>
  </si>
  <si>
    <t>E05004971</t>
  </si>
  <si>
    <t>E05004972</t>
  </si>
  <si>
    <t>E05004973</t>
  </si>
  <si>
    <t>E05004974</t>
  </si>
  <si>
    <t>E05004975</t>
  </si>
  <si>
    <t>E05004976</t>
  </si>
  <si>
    <t>E05004977</t>
  </si>
  <si>
    <t>E05004978</t>
  </si>
  <si>
    <t>E05004979</t>
  </si>
  <si>
    <t>E05004980</t>
  </si>
  <si>
    <t>E05004981</t>
  </si>
  <si>
    <t>E05004982</t>
  </si>
  <si>
    <t>E05004983</t>
  </si>
  <si>
    <t>E05004984</t>
  </si>
  <si>
    <t>E05004985</t>
  </si>
  <si>
    <t>E05004986</t>
  </si>
  <si>
    <t>E05004987</t>
  </si>
  <si>
    <t>E05004989</t>
  </si>
  <si>
    <t>E05004990</t>
  </si>
  <si>
    <t>E05004991</t>
  </si>
  <si>
    <t>E05004992</t>
  </si>
  <si>
    <t>E05004993</t>
  </si>
  <si>
    <t>E05004994</t>
  </si>
  <si>
    <t>E05004995</t>
  </si>
  <si>
    <t>E05004996</t>
  </si>
  <si>
    <t>E05004997</t>
  </si>
  <si>
    <t>E05004999</t>
  </si>
  <si>
    <t>E05005000</t>
  </si>
  <si>
    <t>E05005001</t>
  </si>
  <si>
    <t>E05005002</t>
  </si>
  <si>
    <t>E05005003</t>
  </si>
  <si>
    <t>E05005004</t>
  </si>
  <si>
    <t>E05005006</t>
  </si>
  <si>
    <t>E05005007</t>
  </si>
  <si>
    <t>E05005010</t>
  </si>
  <si>
    <t>E05005011</t>
  </si>
  <si>
    <t>E05005012</t>
  </si>
  <si>
    <t>E05005013</t>
  </si>
  <si>
    <t>E05005014</t>
  </si>
  <si>
    <t>E05005016</t>
  </si>
  <si>
    <t>E05005017</t>
  </si>
  <si>
    <t>E05005018</t>
  </si>
  <si>
    <t>E05005021</t>
  </si>
  <si>
    <t>E05005025</t>
  </si>
  <si>
    <t>E05005026</t>
  </si>
  <si>
    <t>E05005027</t>
  </si>
  <si>
    <t>E05005028</t>
  </si>
  <si>
    <t>E05005029</t>
  </si>
  <si>
    <t>E05005031</t>
  </si>
  <si>
    <t>E05005032</t>
  </si>
  <si>
    <t>E05005081</t>
  </si>
  <si>
    <t>E05005082</t>
  </si>
  <si>
    <t>E05005083</t>
  </si>
  <si>
    <t>E05005084</t>
  </si>
  <si>
    <t>E05005085</t>
  </si>
  <si>
    <t>E05005086</t>
  </si>
  <si>
    <t>E05005087</t>
  </si>
  <si>
    <t>E05005088</t>
  </si>
  <si>
    <t>E05005089</t>
  </si>
  <si>
    <t>E05005090</t>
  </si>
  <si>
    <t>E05005091</t>
  </si>
  <si>
    <t>E05005092</t>
  </si>
  <si>
    <t>E05005093</t>
  </si>
  <si>
    <t>E05005094</t>
  </si>
  <si>
    <t>E05005095</t>
  </si>
  <si>
    <t>E05005096</t>
  </si>
  <si>
    <t>E05005097</t>
  </si>
  <si>
    <t>E05005098</t>
  </si>
  <si>
    <t>E05005099</t>
  </si>
  <si>
    <t>E05005100</t>
  </si>
  <si>
    <t>E05005101</t>
  </si>
  <si>
    <t>E05005102</t>
  </si>
  <si>
    <t>E05005103</t>
  </si>
  <si>
    <t>E05005130</t>
  </si>
  <si>
    <t>E05005131</t>
  </si>
  <si>
    <t>E05005132</t>
  </si>
  <si>
    <t>E05005133</t>
  </si>
  <si>
    <t>E05005134</t>
  </si>
  <si>
    <t>E05005135</t>
  </si>
  <si>
    <t>E05005136</t>
  </si>
  <si>
    <t>E05005137</t>
  </si>
  <si>
    <t>E05005138</t>
  </si>
  <si>
    <t>E05005139</t>
  </si>
  <si>
    <t>E05005140</t>
  </si>
  <si>
    <t>E05005141</t>
  </si>
  <si>
    <t>E05005142</t>
  </si>
  <si>
    <t>E05005143</t>
  </si>
  <si>
    <t>E05005144</t>
  </si>
  <si>
    <t>E05005145</t>
  </si>
  <si>
    <t>E05005146</t>
  </si>
  <si>
    <t>E05005147</t>
  </si>
  <si>
    <t>E05005148</t>
  </si>
  <si>
    <t>E05005149</t>
  </si>
  <si>
    <t>E05006545</t>
  </si>
  <si>
    <t>E05006546</t>
  </si>
  <si>
    <t>E05006547</t>
  </si>
  <si>
    <t>E05006548</t>
  </si>
  <si>
    <t>E05006549</t>
  </si>
  <si>
    <t>E05006550</t>
  </si>
  <si>
    <t>E05006551</t>
  </si>
  <si>
    <t>E05006552</t>
  </si>
  <si>
    <t>E05006553</t>
  </si>
  <si>
    <t>E05006554</t>
  </si>
  <si>
    <t>E05006555</t>
  </si>
  <si>
    <t>E05006556</t>
  </si>
  <si>
    <t>E05006557</t>
  </si>
  <si>
    <t>E05006558</t>
  </si>
  <si>
    <t>E05006559</t>
  </si>
  <si>
    <t>E05006560</t>
  </si>
  <si>
    <t>E05006561</t>
  </si>
  <si>
    <t>E05006562</t>
  </si>
  <si>
    <t>E05006563</t>
  </si>
  <si>
    <t>E05006564</t>
  </si>
  <si>
    <t>E05006565</t>
  </si>
  <si>
    <t>E05006566</t>
  </si>
  <si>
    <t>E05006567</t>
  </si>
  <si>
    <t>E05006568</t>
  </si>
  <si>
    <t>E05006627</t>
  </si>
  <si>
    <t>E05006628</t>
  </si>
  <si>
    <t>E05006629</t>
  </si>
  <si>
    <t>E05006632</t>
  </si>
  <si>
    <t>E05006634</t>
  </si>
  <si>
    <t>E05006637</t>
  </si>
  <si>
    <t>E05006638</t>
  </si>
  <si>
    <t>E05006639</t>
  </si>
  <si>
    <t>E05006640</t>
  </si>
  <si>
    <t>E05006642</t>
  </si>
  <si>
    <t>E05006643</t>
  </si>
  <si>
    <t>E05006644</t>
  </si>
  <si>
    <t>E05006645</t>
  </si>
  <si>
    <t>E05006646</t>
  </si>
  <si>
    <t>E05006647</t>
  </si>
  <si>
    <t>E05006648</t>
  </si>
  <si>
    <t>E05006649</t>
  </si>
  <si>
    <t>E05006650</t>
  </si>
  <si>
    <t>E05006651</t>
  </si>
  <si>
    <t>E05006652</t>
  </si>
  <si>
    <t>E05006653</t>
  </si>
  <si>
    <t>E05007273</t>
  </si>
  <si>
    <t>E05007274</t>
  </si>
  <si>
    <t>E05007275</t>
  </si>
  <si>
    <t>E05007276</t>
  </si>
  <si>
    <t>E05007277</t>
  </si>
  <si>
    <t>E05007278</t>
  </si>
  <si>
    <t>E05007279</t>
  </si>
  <si>
    <t>E05007280</t>
  </si>
  <si>
    <t>E05007281</t>
  </si>
  <si>
    <t>E05007282</t>
  </si>
  <si>
    <t>E05007283</t>
  </si>
  <si>
    <t>E05007284</t>
  </si>
  <si>
    <t>E05007285</t>
  </si>
  <si>
    <t>E05007286</t>
  </si>
  <si>
    <t>E05007287</t>
  </si>
  <si>
    <t>E05007288</t>
  </si>
  <si>
    <t>E05007289</t>
  </si>
  <si>
    <t>E05007290</t>
  </si>
  <si>
    <t>E05007291</t>
  </si>
  <si>
    <t>E05007292</t>
  </si>
  <si>
    <t>E05007293</t>
  </si>
  <si>
    <t>E05007294</t>
  </si>
  <si>
    <t>E05007295</t>
  </si>
  <si>
    <t>E05007296</t>
  </si>
  <si>
    <t>E05007297</t>
  </si>
  <si>
    <t>E05007298</t>
  </si>
  <si>
    <t>E05007299</t>
  </si>
  <si>
    <t>E05007300</t>
  </si>
  <si>
    <t>E05007301</t>
  </si>
  <si>
    <t>E05007302</t>
  </si>
  <si>
    <t>E05007303</t>
  </si>
  <si>
    <t>E05007304</t>
  </si>
  <si>
    <t>E05007305</t>
  </si>
  <si>
    <t>E05007306</t>
  </si>
  <si>
    <t>E05007307</t>
  </si>
  <si>
    <t>E05007308</t>
  </si>
  <si>
    <t>E05007309</t>
  </si>
  <si>
    <t>E05007310</t>
  </si>
  <si>
    <t>E05007311</t>
  </si>
  <si>
    <t>E05007312</t>
  </si>
  <si>
    <t>E05007313</t>
  </si>
  <si>
    <t>E05007314</t>
  </si>
  <si>
    <t>E05007315</t>
  </si>
  <si>
    <t>E05007316</t>
  </si>
  <si>
    <t>E05007317</t>
  </si>
  <si>
    <t>E05007318</t>
  </si>
  <si>
    <t>E05007319</t>
  </si>
  <si>
    <t>E05007320</t>
  </si>
  <si>
    <t>E05007321</t>
  </si>
  <si>
    <t>E05007322</t>
  </si>
  <si>
    <t>E05007323</t>
  </si>
  <si>
    <t>E05007324</t>
  </si>
  <si>
    <t>E05007325</t>
  </si>
  <si>
    <t>E05007326</t>
  </si>
  <si>
    <t>E05007327</t>
  </si>
  <si>
    <t>E05007328</t>
  </si>
  <si>
    <t>E05007329</t>
  </si>
  <si>
    <t>E05007330</t>
  </si>
  <si>
    <t>E05007331</t>
  </si>
  <si>
    <t>E05007332</t>
  </si>
  <si>
    <t>E05007333</t>
  </si>
  <si>
    <t>E05007334</t>
  </si>
  <si>
    <t>E05007335</t>
  </si>
  <si>
    <t>E05007336</t>
  </si>
  <si>
    <t>E05007337</t>
  </si>
  <si>
    <t>E05007338</t>
  </si>
  <si>
    <t>E05007339</t>
  </si>
  <si>
    <t>E05007340</t>
  </si>
  <si>
    <t>E05007341</t>
  </si>
  <si>
    <t>E05007342</t>
  </si>
  <si>
    <t>E05007343</t>
  </si>
  <si>
    <t>E05007344</t>
  </si>
  <si>
    <t>E05007345</t>
  </si>
  <si>
    <t>E05007346</t>
  </si>
  <si>
    <t>E05007347</t>
  </si>
  <si>
    <t>E05007348</t>
  </si>
  <si>
    <t>E05007349</t>
  </si>
  <si>
    <t>E05007350</t>
  </si>
  <si>
    <t>E05007351</t>
  </si>
  <si>
    <t>E05007352</t>
  </si>
  <si>
    <t>E05007353</t>
  </si>
  <si>
    <t>E05007354</t>
  </si>
  <si>
    <t>E05007355</t>
  </si>
  <si>
    <t>E05007356</t>
  </si>
  <si>
    <t>E05007357</t>
  </si>
  <si>
    <t>E05007358</t>
  </si>
  <si>
    <t>E05007359</t>
  </si>
  <si>
    <t>E05007360</t>
  </si>
  <si>
    <t>E05007361</t>
  </si>
  <si>
    <t>E05007362</t>
  </si>
  <si>
    <t>E05007363</t>
  </si>
  <si>
    <t>E05007364</t>
  </si>
  <si>
    <t>E05007365</t>
  </si>
  <si>
    <t>E05007366</t>
  </si>
  <si>
    <t>E05007367</t>
  </si>
  <si>
    <t>E05007368</t>
  </si>
  <si>
    <t>E05007369</t>
  </si>
  <si>
    <t>E05007370</t>
  </si>
  <si>
    <t>E05007371</t>
  </si>
  <si>
    <t>E05007372</t>
  </si>
  <si>
    <t>E05007373</t>
  </si>
  <si>
    <t>E05007374</t>
  </si>
  <si>
    <t>E05007375</t>
  </si>
  <si>
    <t>E05007376</t>
  </si>
  <si>
    <t>E05007377</t>
  </si>
  <si>
    <t>E05007378</t>
  </si>
  <si>
    <t>E05007379</t>
  </si>
  <si>
    <t>E05007380</t>
  </si>
  <si>
    <t>E05007381</t>
  </si>
  <si>
    <t>E05007382</t>
  </si>
  <si>
    <t>E05007383</t>
  </si>
  <si>
    <t>E05007384</t>
  </si>
  <si>
    <t>E05007385</t>
  </si>
  <si>
    <t>E05007386</t>
  </si>
  <si>
    <t>E05007387</t>
  </si>
  <si>
    <t>E05007388</t>
  </si>
  <si>
    <t>E05007389</t>
  </si>
  <si>
    <t>E05007390</t>
  </si>
  <si>
    <t>E05007391</t>
  </si>
  <si>
    <t>E05007392</t>
  </si>
  <si>
    <t>E05007393</t>
  </si>
  <si>
    <t>E05007394</t>
  </si>
  <si>
    <t>E05007395</t>
  </si>
  <si>
    <t>E05007396</t>
  </si>
  <si>
    <t>E05007397</t>
  </si>
  <si>
    <t>E05007398</t>
  </si>
  <si>
    <t>E05007399</t>
  </si>
  <si>
    <t>E05007400</t>
  </si>
  <si>
    <t>E05007401</t>
  </si>
  <si>
    <t>E05007402</t>
  </si>
  <si>
    <t>E05007403</t>
  </si>
  <si>
    <t>E05007404</t>
  </si>
  <si>
    <t>E05007405</t>
  </si>
  <si>
    <t>E05007406</t>
  </si>
  <si>
    <t>E05007407</t>
  </si>
  <si>
    <t>E05007408</t>
  </si>
  <si>
    <t>E05007409</t>
  </si>
  <si>
    <t>E05007410</t>
  </si>
  <si>
    <t>E05007411</t>
  </si>
  <si>
    <t>E05007412</t>
  </si>
  <si>
    <t>E05007413</t>
  </si>
  <si>
    <t>E05007414</t>
  </si>
  <si>
    <t>E05007415</t>
  </si>
  <si>
    <t>E05007416</t>
  </si>
  <si>
    <t>E05007417</t>
  </si>
  <si>
    <t>E05007418</t>
  </si>
  <si>
    <t>E05007419</t>
  </si>
  <si>
    <t>E05007420</t>
  </si>
  <si>
    <t>E05007421</t>
  </si>
  <si>
    <t>E05007422</t>
  </si>
  <si>
    <t>E05007423</t>
  </si>
  <si>
    <t>E05007424</t>
  </si>
  <si>
    <t>E05007425</t>
  </si>
  <si>
    <t>E05007426</t>
  </si>
  <si>
    <t>E05007427</t>
  </si>
  <si>
    <t>E05007428</t>
  </si>
  <si>
    <t>E05007429</t>
  </si>
  <si>
    <t>E05007430</t>
  </si>
  <si>
    <t>E05007431</t>
  </si>
  <si>
    <t>E05007432</t>
  </si>
  <si>
    <t>E05007433</t>
  </si>
  <si>
    <t>E05007434</t>
  </si>
  <si>
    <t>E05007435</t>
  </si>
  <si>
    <t>E05007436</t>
  </si>
  <si>
    <t>E05007437</t>
  </si>
  <si>
    <t>E05007438</t>
  </si>
  <si>
    <t>E05007439</t>
  </si>
  <si>
    <t>E05007562</t>
  </si>
  <si>
    <t>E05007563</t>
  </si>
  <si>
    <t>E05007564</t>
  </si>
  <si>
    <t>E05007565</t>
  </si>
  <si>
    <t>E05007566</t>
  </si>
  <si>
    <t>E05007567</t>
  </si>
  <si>
    <t>E05007568</t>
  </si>
  <si>
    <t>E05007569</t>
  </si>
  <si>
    <t>E05007570</t>
  </si>
  <si>
    <t>E05007571</t>
  </si>
  <si>
    <t>E05007572</t>
  </si>
  <si>
    <t>E05007573</t>
  </si>
  <si>
    <t>E05007574</t>
  </si>
  <si>
    <t>E05007575</t>
  </si>
  <si>
    <t>E05007602</t>
  </si>
  <si>
    <t>E05007603</t>
  </si>
  <si>
    <t>E05007604</t>
  </si>
  <si>
    <t>E05007605</t>
  </si>
  <si>
    <t>E05007606</t>
  </si>
  <si>
    <t>E05007607</t>
  </si>
  <si>
    <t>E05007608</t>
  </si>
  <si>
    <t>E05007609</t>
  </si>
  <si>
    <t>E05007610</t>
  </si>
  <si>
    <t>E05007611</t>
  </si>
  <si>
    <t>E05007612</t>
  </si>
  <si>
    <t>E05007613</t>
  </si>
  <si>
    <t>E05007614</t>
  </si>
  <si>
    <t>E05007615</t>
  </si>
  <si>
    <t>E05007616</t>
  </si>
  <si>
    <t>E05007617</t>
  </si>
  <si>
    <t>E05007618</t>
  </si>
  <si>
    <t>E05007619</t>
  </si>
  <si>
    <t>E05007620</t>
  </si>
  <si>
    <t>E05007621</t>
  </si>
  <si>
    <t>E05007622</t>
  </si>
  <si>
    <t>E05007623</t>
  </si>
  <si>
    <t>E05007624</t>
  </si>
  <si>
    <t>E05007625</t>
  </si>
  <si>
    <t>E05007626</t>
  </si>
  <si>
    <t>E05007627</t>
  </si>
  <si>
    <t>E05007628</t>
  </si>
  <si>
    <t>E05007629</t>
  </si>
  <si>
    <t>E05007630</t>
  </si>
  <si>
    <t>E05007631</t>
  </si>
  <si>
    <t>E05007632</t>
  </si>
  <si>
    <t>E05007633</t>
  </si>
  <si>
    <t>E05007634</t>
  </si>
  <si>
    <t>E05007635</t>
  </si>
  <si>
    <t>E05007636</t>
  </si>
  <si>
    <t>E05007637</t>
  </si>
  <si>
    <t>E05007638</t>
  </si>
  <si>
    <t>E05007639</t>
  </si>
  <si>
    <t>E05007640</t>
  </si>
  <si>
    <t>E05007641</t>
  </si>
  <si>
    <t>E05007642</t>
  </si>
  <si>
    <t>E05007643</t>
  </si>
  <si>
    <t>E05007644</t>
  </si>
  <si>
    <t>E05007645</t>
  </si>
  <si>
    <t>E05007647</t>
  </si>
  <si>
    <t>E05007648</t>
  </si>
  <si>
    <t>E05007649</t>
  </si>
  <si>
    <t>E05007650</t>
  </si>
  <si>
    <t>E05007651</t>
  </si>
  <si>
    <t>E05007652</t>
  </si>
  <si>
    <t>E05007653</t>
  </si>
  <si>
    <t>E05007654</t>
  </si>
  <si>
    <t>E05007655</t>
  </si>
  <si>
    <t>E05007656</t>
  </si>
  <si>
    <t>E05007657</t>
  </si>
  <si>
    <t>E05007658</t>
  </si>
  <si>
    <t>E05007659</t>
  </si>
  <si>
    <t>E05007660</t>
  </si>
  <si>
    <t>E05007661</t>
  </si>
  <si>
    <t>E05007662</t>
  </si>
  <si>
    <t>E05007663</t>
  </si>
  <si>
    <t>E05007664</t>
  </si>
  <si>
    <t>E05007666</t>
  </si>
  <si>
    <t>E05007667</t>
  </si>
  <si>
    <t>E05007668</t>
  </si>
  <si>
    <t>E05007669</t>
  </si>
  <si>
    <t>E05007670</t>
  </si>
  <si>
    <t>E05007671</t>
  </si>
  <si>
    <t>E05007672</t>
  </si>
  <si>
    <t>E05007673</t>
  </si>
  <si>
    <t>E05007674</t>
  </si>
  <si>
    <t>E05007675</t>
  </si>
  <si>
    <t>E05007676</t>
  </si>
  <si>
    <t>E05007677</t>
  </si>
  <si>
    <t>E05007678</t>
  </si>
  <si>
    <t>E05007679</t>
  </si>
  <si>
    <t>E05007680</t>
  </si>
  <si>
    <t>E05007681</t>
  </si>
  <si>
    <t>E05007682</t>
  </si>
  <si>
    <t>E05007683</t>
  </si>
  <si>
    <t>E05007684</t>
  </si>
  <si>
    <t>E05007685</t>
  </si>
  <si>
    <t>E05007686</t>
  </si>
  <si>
    <t>E05007687</t>
  </si>
  <si>
    <t>E05007688</t>
  </si>
  <si>
    <t>E05007689</t>
  </si>
  <si>
    <t>E05007690</t>
  </si>
  <si>
    <t>E05007691</t>
  </si>
  <si>
    <t>E05007692</t>
  </si>
  <si>
    <t>E05007693</t>
  </si>
  <si>
    <t>E05007694</t>
  </si>
  <si>
    <t>E05007695</t>
  </si>
  <si>
    <t>E05007696</t>
  </si>
  <si>
    <t>E05007697</t>
  </si>
  <si>
    <t>E05007698</t>
  </si>
  <si>
    <t>E05007699</t>
  </si>
  <si>
    <t>E05007700</t>
  </si>
  <si>
    <t>E05007701</t>
  </si>
  <si>
    <t>E05007702</t>
  </si>
  <si>
    <t>E05007703</t>
  </si>
  <si>
    <t>E05007704</t>
  </si>
  <si>
    <t>E05007705</t>
  </si>
  <si>
    <t>E05007706</t>
  </si>
  <si>
    <t>E05005408</t>
  </si>
  <si>
    <t>E05005409</t>
  </si>
  <si>
    <t>E05005410</t>
  </si>
  <si>
    <t>E05005411</t>
  </si>
  <si>
    <t>E05005412</t>
  </si>
  <si>
    <t>E05005413</t>
  </si>
  <si>
    <t>E05005414</t>
  </si>
  <si>
    <t>E05005416</t>
  </si>
  <si>
    <t>E05005417</t>
  </si>
  <si>
    <t>E05005418</t>
  </si>
  <si>
    <t>E05005419</t>
  </si>
  <si>
    <t>E05005420</t>
  </si>
  <si>
    <t>E05005421</t>
  </si>
  <si>
    <t>E05005422</t>
  </si>
  <si>
    <t>E05005423</t>
  </si>
  <si>
    <t>E05005424</t>
  </si>
  <si>
    <t>E05005426</t>
  </si>
  <si>
    <t>E05005427</t>
  </si>
  <si>
    <t>E05005428</t>
  </si>
  <si>
    <t>E05005429</t>
  </si>
  <si>
    <t>E05005430</t>
  </si>
  <si>
    <t>E05005431</t>
  </si>
  <si>
    <t>E05005432</t>
  </si>
  <si>
    <t>E05005433</t>
  </si>
  <si>
    <t>E05005434</t>
  </si>
  <si>
    <t>E05005435</t>
  </si>
  <si>
    <t>E05005436</t>
  </si>
  <si>
    <t>E05005437</t>
  </si>
  <si>
    <t>E05005438</t>
  </si>
  <si>
    <t>E05005439</t>
  </si>
  <si>
    <t>E05005440</t>
  </si>
  <si>
    <t>E05005441</t>
  </si>
  <si>
    <t>E05005442</t>
  </si>
  <si>
    <t>E05005443</t>
  </si>
  <si>
    <t>E05005444</t>
  </si>
  <si>
    <t>E05005445</t>
  </si>
  <si>
    <t>E05005446</t>
  </si>
  <si>
    <t>E05005447</t>
  </si>
  <si>
    <t>E05005448</t>
  </si>
  <si>
    <t>E05005449</t>
  </si>
  <si>
    <t>E05005450</t>
  </si>
  <si>
    <t>E05005451</t>
  </si>
  <si>
    <t>E05005452</t>
  </si>
  <si>
    <t>E05005453</t>
  </si>
  <si>
    <t>E05005454</t>
  </si>
  <si>
    <t>E05005455</t>
  </si>
  <si>
    <t>E05005456</t>
  </si>
  <si>
    <t>E05005457</t>
  </si>
  <si>
    <t>E05005458</t>
  </si>
  <si>
    <t>E05005459</t>
  </si>
  <si>
    <t>E05005460</t>
  </si>
  <si>
    <t>E05005461</t>
  </si>
  <si>
    <t>E05005462</t>
  </si>
  <si>
    <t>E05005463</t>
  </si>
  <si>
    <t>E05005464</t>
  </si>
  <si>
    <t>E05005465</t>
  </si>
  <si>
    <t>E05005466</t>
  </si>
  <si>
    <t>E05005467</t>
  </si>
  <si>
    <t>E05005468</t>
  </si>
  <si>
    <t>E05005469</t>
  </si>
  <si>
    <t>E05005470</t>
  </si>
  <si>
    <t>E05005471</t>
  </si>
  <si>
    <t>E05005472</t>
  </si>
  <si>
    <t>E05005473</t>
  </si>
  <si>
    <t>E05005474</t>
  </si>
  <si>
    <t>E05005475</t>
  </si>
  <si>
    <t>E05005476</t>
  </si>
  <si>
    <t>E05005477</t>
  </si>
  <si>
    <t>E05005478</t>
  </si>
  <si>
    <t>E05005479</t>
  </si>
  <si>
    <t>E05005480</t>
  </si>
  <si>
    <t>E05005481</t>
  </si>
  <si>
    <t>E05005482</t>
  </si>
  <si>
    <t>E05005483</t>
  </si>
  <si>
    <t>E05005484</t>
  </si>
  <si>
    <t>E05005485</t>
  </si>
  <si>
    <t>E05005486</t>
  </si>
  <si>
    <t>E05005487</t>
  </si>
  <si>
    <t>E05005488</t>
  </si>
  <si>
    <t>E05005489</t>
  </si>
  <si>
    <t>E05005490</t>
  </si>
  <si>
    <t>E05005491</t>
  </si>
  <si>
    <t>E05005492</t>
  </si>
  <si>
    <t>E05005493</t>
  </si>
  <si>
    <t>E05005494</t>
  </si>
  <si>
    <t>E05005495</t>
  </si>
  <si>
    <t>E05005496</t>
  </si>
  <si>
    <t>E05005497</t>
  </si>
  <si>
    <t>E05005498</t>
  </si>
  <si>
    <t>E05005499</t>
  </si>
  <si>
    <t>E05005500</t>
  </si>
  <si>
    <t>E05005501</t>
  </si>
  <si>
    <t>E05005502</t>
  </si>
  <si>
    <t>E05005503</t>
  </si>
  <si>
    <t>E05005504</t>
  </si>
  <si>
    <t>E05005505</t>
  </si>
  <si>
    <t>E05005506</t>
  </si>
  <si>
    <t>E05005507</t>
  </si>
  <si>
    <t>E05005508</t>
  </si>
  <si>
    <t>E05005509</t>
  </si>
  <si>
    <t>E05005510</t>
  </si>
  <si>
    <t>E05005531</t>
  </si>
  <si>
    <t>E05005532</t>
  </si>
  <si>
    <t>E05005533</t>
  </si>
  <si>
    <t>E05005534</t>
  </si>
  <si>
    <t>E05005535</t>
  </si>
  <si>
    <t>E05005536</t>
  </si>
  <si>
    <t>E05005537</t>
  </si>
  <si>
    <t>E05005538</t>
  </si>
  <si>
    <t>E05005539</t>
  </si>
  <si>
    <t>E05005540</t>
  </si>
  <si>
    <t>E05005965</t>
  </si>
  <si>
    <t>E05005966</t>
  </si>
  <si>
    <t>E05005971</t>
  </si>
  <si>
    <t>E05005972</t>
  </si>
  <si>
    <t>E05005973</t>
  </si>
  <si>
    <t>E05005974</t>
  </si>
  <si>
    <t>E05005975</t>
  </si>
  <si>
    <t>E05005982</t>
  </si>
  <si>
    <t>E05005986</t>
  </si>
  <si>
    <t>E05005987</t>
  </si>
  <si>
    <t>E05005988</t>
  </si>
  <si>
    <t>E05005989</t>
  </si>
  <si>
    <t>E05005991</t>
  </si>
  <si>
    <t>E05005992</t>
  </si>
  <si>
    <t>E05005993</t>
  </si>
  <si>
    <t>E05005994</t>
  </si>
  <si>
    <t>E05005995</t>
  </si>
  <si>
    <t>E05005996</t>
  </si>
  <si>
    <t>E05005998</t>
  </si>
  <si>
    <t>E05005999</t>
  </si>
  <si>
    <t>E05006000</t>
  </si>
  <si>
    <t>E05006001</t>
  </si>
  <si>
    <t>E05006002</t>
  </si>
  <si>
    <t>E05006003</t>
  </si>
  <si>
    <t>E05006027</t>
  </si>
  <si>
    <t>E05006028</t>
  </si>
  <si>
    <t>E05006029</t>
  </si>
  <si>
    <t>E05006030</t>
  </si>
  <si>
    <t>E05006031</t>
  </si>
  <si>
    <t>E05006032</t>
  </si>
  <si>
    <t>E05006033</t>
  </si>
  <si>
    <t>E05006034</t>
  </si>
  <si>
    <t>E05006035</t>
  </si>
  <si>
    <t>E05006036</t>
  </si>
  <si>
    <t>E05006037</t>
  </si>
  <si>
    <t>E05006038</t>
  </si>
  <si>
    <t>E05006039</t>
  </si>
  <si>
    <t>E05006040</t>
  </si>
  <si>
    <t>E05006041</t>
  </si>
  <si>
    <t>E05006042</t>
  </si>
  <si>
    <t>E05006043</t>
  </si>
  <si>
    <t>E05006044</t>
  </si>
  <si>
    <t>E05006045</t>
  </si>
  <si>
    <t>E05006046</t>
  </si>
  <si>
    <t>E05006047</t>
  </si>
  <si>
    <t>E05006048</t>
  </si>
  <si>
    <t>E05006049</t>
  </si>
  <si>
    <t>E05006050</t>
  </si>
  <si>
    <t>E05006051</t>
  </si>
  <si>
    <t>E05006052</t>
  </si>
  <si>
    <t>E05006053</t>
  </si>
  <si>
    <t>E05006377</t>
  </si>
  <si>
    <t>E05006378</t>
  </si>
  <si>
    <t>E05006379</t>
  </si>
  <si>
    <t>E05006380</t>
  </si>
  <si>
    <t>E05006381</t>
  </si>
  <si>
    <t>E05006382</t>
  </si>
  <si>
    <t>E05006383</t>
  </si>
  <si>
    <t>E05006384</t>
  </si>
  <si>
    <t>E05006385</t>
  </si>
  <si>
    <t>E05006386</t>
  </si>
  <si>
    <t>E05006387</t>
  </si>
  <si>
    <t>E05006388</t>
  </si>
  <si>
    <t>E05006389</t>
  </si>
  <si>
    <t>E05006390</t>
  </si>
  <si>
    <t>E05006391</t>
  </si>
  <si>
    <t>E05006392</t>
  </si>
  <si>
    <t>E05006393</t>
  </si>
  <si>
    <t>E05006394</t>
  </si>
  <si>
    <t>E05006395</t>
  </si>
  <si>
    <t>E05006396</t>
  </si>
  <si>
    <t>E05006397</t>
  </si>
  <si>
    <t>E05006398</t>
  </si>
  <si>
    <t>E05006399</t>
  </si>
  <si>
    <t>E05006400</t>
  </si>
  <si>
    <t>E05006401</t>
  </si>
  <si>
    <t>E05005150</t>
  </si>
  <si>
    <t>E05005151</t>
  </si>
  <si>
    <t>E05005152</t>
  </si>
  <si>
    <t>E05005153</t>
  </si>
  <si>
    <t>E05005154</t>
  </si>
  <si>
    <t>E05005155</t>
  </si>
  <si>
    <t>E05005156</t>
  </si>
  <si>
    <t>E05005157</t>
  </si>
  <si>
    <t>E05005158</t>
  </si>
  <si>
    <t>E05005159</t>
  </si>
  <si>
    <t>E05005160</t>
  </si>
  <si>
    <t>E05005161</t>
  </si>
  <si>
    <t>E05005162</t>
  </si>
  <si>
    <t>E05005163</t>
  </si>
  <si>
    <t>E05005164</t>
  </si>
  <si>
    <t>E05005165</t>
  </si>
  <si>
    <t>E05005166</t>
  </si>
  <si>
    <t>E05005167</t>
  </si>
  <si>
    <t>E05005168</t>
  </si>
  <si>
    <t>E05005169</t>
  </si>
  <si>
    <t>E05005170</t>
  </si>
  <si>
    <t>E05005171</t>
  </si>
  <si>
    <t>E05005172</t>
  </si>
  <si>
    <t>E05005173</t>
  </si>
  <si>
    <t>E05005174</t>
  </si>
  <si>
    <t>E05005175</t>
  </si>
  <si>
    <t>E05005176</t>
  </si>
  <si>
    <t>E05005177</t>
  </si>
  <si>
    <t>E05005178</t>
  </si>
  <si>
    <t>E05005179</t>
  </si>
  <si>
    <t>E05005180</t>
  </si>
  <si>
    <t>E05005181</t>
  </si>
  <si>
    <t>E05005182</t>
  </si>
  <si>
    <t>E05005183</t>
  </si>
  <si>
    <t>E05005184</t>
  </si>
  <si>
    <t>E05005185</t>
  </si>
  <si>
    <t>E05005186</t>
  </si>
  <si>
    <t>E05005187</t>
  </si>
  <si>
    <t>E05005188</t>
  </si>
  <si>
    <t>E05005189</t>
  </si>
  <si>
    <t>E05005190</t>
  </si>
  <si>
    <t>E05005191</t>
  </si>
  <si>
    <t>E05005192</t>
  </si>
  <si>
    <t>E05005193</t>
  </si>
  <si>
    <t>E05005194</t>
  </si>
  <si>
    <t>E05005195</t>
  </si>
  <si>
    <t>E05005196</t>
  </si>
  <si>
    <t>E05005197</t>
  </si>
  <si>
    <t>E05005198</t>
  </si>
  <si>
    <t>E05005199</t>
  </si>
  <si>
    <t>E05005200</t>
  </si>
  <si>
    <t>E05005201</t>
  </si>
  <si>
    <t>E05005202</t>
  </si>
  <si>
    <t>E05005203</t>
  </si>
  <si>
    <t>E05005204</t>
  </si>
  <si>
    <t>E05005205</t>
  </si>
  <si>
    <t>E05005206</t>
  </si>
  <si>
    <t>E05005207</t>
  </si>
  <si>
    <t>E05005208</t>
  </si>
  <si>
    <t>E05005209</t>
  </si>
  <si>
    <t>E05005210</t>
  </si>
  <si>
    <t>E05005211</t>
  </si>
  <si>
    <t>E05005212</t>
  </si>
  <si>
    <t>E05005213</t>
  </si>
  <si>
    <t>E05005214</t>
  </si>
  <si>
    <t>E05005215</t>
  </si>
  <si>
    <t>E05005216</t>
  </si>
  <si>
    <t>E05005217</t>
  </si>
  <si>
    <t>E05005218</t>
  </si>
  <si>
    <t>E05005219</t>
  </si>
  <si>
    <t>E05005220</t>
  </si>
  <si>
    <t>E05005221</t>
  </si>
  <si>
    <t>E05005250</t>
  </si>
  <si>
    <t>E05005251</t>
  </si>
  <si>
    <t>E05005252</t>
  </si>
  <si>
    <t>E05005253</t>
  </si>
  <si>
    <t>E05005254</t>
  </si>
  <si>
    <t>E05005255</t>
  </si>
  <si>
    <t>E05005256</t>
  </si>
  <si>
    <t>E05005257</t>
  </si>
  <si>
    <t>E05005260</t>
  </si>
  <si>
    <t>E05005261</t>
  </si>
  <si>
    <t>E05005262</t>
  </si>
  <si>
    <t>E05005263</t>
  </si>
  <si>
    <t>E05005264</t>
  </si>
  <si>
    <t>E05005265</t>
  </si>
  <si>
    <t>E05005266</t>
  </si>
  <si>
    <t>E05005267</t>
  </si>
  <si>
    <t>E05005268</t>
  </si>
  <si>
    <t>E05005269</t>
  </si>
  <si>
    <t>E05005270</t>
  </si>
  <si>
    <t>E05005271</t>
  </si>
  <si>
    <t>E05005272</t>
  </si>
  <si>
    <t>E05005273</t>
  </si>
  <si>
    <t>E05005274</t>
  </si>
  <si>
    <t>E05005275</t>
  </si>
  <si>
    <t>E05005276</t>
  </si>
  <si>
    <t>E05005277</t>
  </si>
  <si>
    <t>E05005278</t>
  </si>
  <si>
    <t>E05005279</t>
  </si>
  <si>
    <t>E05005280</t>
  </si>
  <si>
    <t>E05005281</t>
  </si>
  <si>
    <t>E05005282</t>
  </si>
  <si>
    <t>E05005283</t>
  </si>
  <si>
    <t>E05005284</t>
  </si>
  <si>
    <t>E05005285</t>
  </si>
  <si>
    <t>E05005286</t>
  </si>
  <si>
    <t>E05005287</t>
  </si>
  <si>
    <t>E05005288</t>
  </si>
  <si>
    <t>E05005289</t>
  </si>
  <si>
    <t>E05005290</t>
  </si>
  <si>
    <t>E05005291</t>
  </si>
  <si>
    <t>E05005292</t>
  </si>
  <si>
    <t>E05005293</t>
  </si>
  <si>
    <t>E05005294</t>
  </si>
  <si>
    <t>E05005295</t>
  </si>
  <si>
    <t>E05005296</t>
  </si>
  <si>
    <t>E05005297</t>
  </si>
  <si>
    <t>E05005298</t>
  </si>
  <si>
    <t>E05005299</t>
  </si>
  <si>
    <t>E05005300</t>
  </si>
  <si>
    <t>E05005301</t>
  </si>
  <si>
    <t>E05005302</t>
  </si>
  <si>
    <t>E05005303</t>
  </si>
  <si>
    <t>E05005304</t>
  </si>
  <si>
    <t>E05005305</t>
  </si>
  <si>
    <t>E05005306</t>
  </si>
  <si>
    <t>E05005307</t>
  </si>
  <si>
    <t>E05005308</t>
  </si>
  <si>
    <t>E05005309</t>
  </si>
  <si>
    <t>E05005310</t>
  </si>
  <si>
    <t>E05005311</t>
  </si>
  <si>
    <t>E05005312</t>
  </si>
  <si>
    <t>E05005313</t>
  </si>
  <si>
    <t>E05005314</t>
  </si>
  <si>
    <t>E05005315</t>
  </si>
  <si>
    <t>E05005316</t>
  </si>
  <si>
    <t>E05005317</t>
  </si>
  <si>
    <t>E05005318</t>
  </si>
  <si>
    <t>E05005319</t>
  </si>
  <si>
    <t>E05005320</t>
  </si>
  <si>
    <t>E05005321</t>
  </si>
  <si>
    <t>E05005322</t>
  </si>
  <si>
    <t>E05005323</t>
  </si>
  <si>
    <t>E05005324</t>
  </si>
  <si>
    <t>E05005325</t>
  </si>
  <si>
    <t>E05005326</t>
  </si>
  <si>
    <t>E05005327</t>
  </si>
  <si>
    <t>E05005328</t>
  </si>
  <si>
    <t>E05005329</t>
  </si>
  <si>
    <t>E05005357</t>
  </si>
  <si>
    <t>E05005358</t>
  </si>
  <si>
    <t>E05005359</t>
  </si>
  <si>
    <t>E05005360</t>
  </si>
  <si>
    <t>E05005361</t>
  </si>
  <si>
    <t>E05005362</t>
  </si>
  <si>
    <t>E05005363</t>
  </si>
  <si>
    <t>E05005364</t>
  </si>
  <si>
    <t>E05005365</t>
  </si>
  <si>
    <t>E05005366</t>
  </si>
  <si>
    <t>E05005367</t>
  </si>
  <si>
    <t>E05005368</t>
  </si>
  <si>
    <t>E05005369</t>
  </si>
  <si>
    <t>E05005370</t>
  </si>
  <si>
    <t>E05005371</t>
  </si>
  <si>
    <t>E05005372</t>
  </si>
  <si>
    <t>E05005373</t>
  </si>
  <si>
    <t>E05005374</t>
  </si>
  <si>
    <t>E05005375</t>
  </si>
  <si>
    <t>E05005376</t>
  </si>
  <si>
    <t>E05005377</t>
  </si>
  <si>
    <t>E05005378</t>
  </si>
  <si>
    <t>E05005379</t>
  </si>
  <si>
    <t>E05005380</t>
  </si>
  <si>
    <t>E05005381</t>
  </si>
  <si>
    <t>E05005757</t>
  </si>
  <si>
    <t>E05005758</t>
  </si>
  <si>
    <t>E05005759</t>
  </si>
  <si>
    <t>E05005760</t>
  </si>
  <si>
    <t>E05005761</t>
  </si>
  <si>
    <t>E05005762</t>
  </si>
  <si>
    <t>E05005763</t>
  </si>
  <si>
    <t>E05005764</t>
  </si>
  <si>
    <t>E05005765</t>
  </si>
  <si>
    <t>E05005766</t>
  </si>
  <si>
    <t>E05005767</t>
  </si>
  <si>
    <t>E05005768</t>
  </si>
  <si>
    <t>E05005769</t>
  </si>
  <si>
    <t>E05005770</t>
  </si>
  <si>
    <t>E05005771</t>
  </si>
  <si>
    <t>E05005772</t>
  </si>
  <si>
    <t>E05005773</t>
  </si>
  <si>
    <t>E05005774</t>
  </si>
  <si>
    <t>E05005775</t>
  </si>
  <si>
    <t>E05005776</t>
  </si>
  <si>
    <t>E05005777</t>
  </si>
  <si>
    <t>E05005778</t>
  </si>
  <si>
    <t>E05005779</t>
  </si>
  <si>
    <t>E05005780</t>
  </si>
  <si>
    <t>E05005781</t>
  </si>
  <si>
    <t>E05005782</t>
  </si>
  <si>
    <t>E05005783</t>
  </si>
  <si>
    <t>E05005784</t>
  </si>
  <si>
    <t>E05005785</t>
  </si>
  <si>
    <t>E05005786</t>
  </si>
  <si>
    <t>E05005787</t>
  </si>
  <si>
    <t>E05005788</t>
  </si>
  <si>
    <t>E05005789</t>
  </si>
  <si>
    <t>E05005790</t>
  </si>
  <si>
    <t>E05005791</t>
  </si>
  <si>
    <t>E05005792</t>
  </si>
  <si>
    <t>E05005793</t>
  </si>
  <si>
    <t>E05005794</t>
  </si>
  <si>
    <t>E05005795</t>
  </si>
  <si>
    <t>E05005796</t>
  </si>
  <si>
    <t>E05005797</t>
  </si>
  <si>
    <t>E05005798</t>
  </si>
  <si>
    <t>E05005799</t>
  </si>
  <si>
    <t>E05005800</t>
  </si>
  <si>
    <t>E05005801</t>
  </si>
  <si>
    <t>E05005802</t>
  </si>
  <si>
    <t>E05005803</t>
  </si>
  <si>
    <t>E05005804</t>
  </si>
  <si>
    <t>E05005805</t>
  </si>
  <si>
    <t>E05005806</t>
  </si>
  <si>
    <t>E05005807</t>
  </si>
  <si>
    <t>E05005808</t>
  </si>
  <si>
    <t>E05005809</t>
  </si>
  <si>
    <t>E05005810</t>
  </si>
  <si>
    <t>E05005811</t>
  </si>
  <si>
    <t>E05005812</t>
  </si>
  <si>
    <t>E05005813</t>
  </si>
  <si>
    <t>E05005815</t>
  </si>
  <si>
    <t>E05005816</t>
  </si>
  <si>
    <t>E05005817</t>
  </si>
  <si>
    <t>E05005818</t>
  </si>
  <si>
    <t>E05005819</t>
  </si>
  <si>
    <t>E05005820</t>
  </si>
  <si>
    <t>E05005821</t>
  </si>
  <si>
    <t>E05005823</t>
  </si>
  <si>
    <t>E05005824</t>
  </si>
  <si>
    <t>E05005825</t>
  </si>
  <si>
    <t>E05005826</t>
  </si>
  <si>
    <t>E05005827</t>
  </si>
  <si>
    <t>E05005828</t>
  </si>
  <si>
    <t>E05005829</t>
  </si>
  <si>
    <t>E05005830</t>
  </si>
  <si>
    <t>E05005833</t>
  </si>
  <si>
    <t>E05005834</t>
  </si>
  <si>
    <t>E05005835</t>
  </si>
  <si>
    <t>E05005837</t>
  </si>
  <si>
    <t>E05005838</t>
  </si>
  <si>
    <t>E05005839</t>
  </si>
  <si>
    <t>E05005840</t>
  </si>
  <si>
    <t>E05005841</t>
  </si>
  <si>
    <t>E05005842</t>
  </si>
  <si>
    <t>E05005843</t>
  </si>
  <si>
    <t>E05005844</t>
  </si>
  <si>
    <t>E05005846</t>
  </si>
  <si>
    <t>E05005847</t>
  </si>
  <si>
    <t>E05005848</t>
  </si>
  <si>
    <t>E05005849</t>
  </si>
  <si>
    <t>E05005850</t>
  </si>
  <si>
    <t>E05005851</t>
  </si>
  <si>
    <t>E05005852</t>
  </si>
  <si>
    <t>E05005853</t>
  </si>
  <si>
    <t>E05005854</t>
  </si>
  <si>
    <t>E05005855</t>
  </si>
  <si>
    <t>E05005856</t>
  </si>
  <si>
    <t>E05005857</t>
  </si>
  <si>
    <t>E05005858</t>
  </si>
  <si>
    <t>E05005859</t>
  </si>
  <si>
    <t>E05005860</t>
  </si>
  <si>
    <t>E05005861</t>
  </si>
  <si>
    <t>E05005862</t>
  </si>
  <si>
    <t>E05005863</t>
  </si>
  <si>
    <t>E05005864</t>
  </si>
  <si>
    <t>E05005865</t>
  </si>
  <si>
    <t>E05005866</t>
  </si>
  <si>
    <t>E05005867</t>
  </si>
  <si>
    <t>E05005868</t>
  </si>
  <si>
    <t>E05005869</t>
  </si>
  <si>
    <t>E05005870</t>
  </si>
  <si>
    <t>E05005872</t>
  </si>
  <si>
    <t>E05005873</t>
  </si>
  <si>
    <t>E05005874</t>
  </si>
  <si>
    <t>E05005875</t>
  </si>
  <si>
    <t>E05005876</t>
  </si>
  <si>
    <t>E05005877</t>
  </si>
  <si>
    <t>E05005878</t>
  </si>
  <si>
    <t>E05005879</t>
  </si>
  <si>
    <t>E05005880</t>
  </si>
  <si>
    <t>E05005881</t>
  </si>
  <si>
    <t>E05005882</t>
  </si>
  <si>
    <t>E05005883</t>
  </si>
  <si>
    <t>E05005884</t>
  </si>
  <si>
    <t>E05005885</t>
  </si>
  <si>
    <t>E05005886</t>
  </si>
  <si>
    <t>E05005887</t>
  </si>
  <si>
    <t>E05005888</t>
  </si>
  <si>
    <t>E05005889</t>
  </si>
  <si>
    <t>E05005890</t>
  </si>
  <si>
    <t>E05005891</t>
  </si>
  <si>
    <t>E05005892</t>
  </si>
  <si>
    <t>E05005893</t>
  </si>
  <si>
    <t>E05005894</t>
  </si>
  <si>
    <t>E05005895</t>
  </si>
  <si>
    <t>E05005896</t>
  </si>
  <si>
    <t>E05005897</t>
  </si>
  <si>
    <t>E05005898</t>
  </si>
  <si>
    <t>E05005899</t>
  </si>
  <si>
    <t>E05005900</t>
  </si>
  <si>
    <t>E05005901</t>
  </si>
  <si>
    <t>E05005902</t>
  </si>
  <si>
    <t>E05005903</t>
  </si>
  <si>
    <t>E05005904</t>
  </si>
  <si>
    <t>E05005905</t>
  </si>
  <si>
    <t>E05005906</t>
  </si>
  <si>
    <t>E05005907</t>
  </si>
  <si>
    <t>E05005908</t>
  </si>
  <si>
    <t>E05005909</t>
  </si>
  <si>
    <t>E05005910</t>
  </si>
  <si>
    <t>E05005911</t>
  </si>
  <si>
    <t>E05005912</t>
  </si>
  <si>
    <t>E05005913</t>
  </si>
  <si>
    <t>E05005914</t>
  </si>
  <si>
    <t>E05005915</t>
  </si>
  <si>
    <t>E05005916</t>
  </si>
  <si>
    <t>E05005917</t>
  </si>
  <si>
    <t>E05005918</t>
  </si>
  <si>
    <t>E05005919</t>
  </si>
  <si>
    <t>E05005920</t>
  </si>
  <si>
    <t>E05005921</t>
  </si>
  <si>
    <t>E05005922</t>
  </si>
  <si>
    <t>E05005923</t>
  </si>
  <si>
    <t>E05005924</t>
  </si>
  <si>
    <t>E05005925</t>
  </si>
  <si>
    <t>E05007076</t>
  </si>
  <si>
    <t>E05007077</t>
  </si>
  <si>
    <t>E05007078</t>
  </si>
  <si>
    <t>E05007079</t>
  </si>
  <si>
    <t>E05007080</t>
  </si>
  <si>
    <t>E05007081</t>
  </si>
  <si>
    <t>E05007082</t>
  </si>
  <si>
    <t>E05007083</t>
  </si>
  <si>
    <t>E05007084</t>
  </si>
  <si>
    <t>E05007085</t>
  </si>
  <si>
    <t>E05007086</t>
  </si>
  <si>
    <t>E05007087</t>
  </si>
  <si>
    <t>E05007088</t>
  </si>
  <si>
    <t>E05007089</t>
  </si>
  <si>
    <t>E05007090</t>
  </si>
  <si>
    <t>E05007091</t>
  </si>
  <si>
    <t>E05007092</t>
  </si>
  <si>
    <t>E05007093</t>
  </si>
  <si>
    <t>E05007094</t>
  </si>
  <si>
    <t>E05007095</t>
  </si>
  <si>
    <t>E05007096</t>
  </si>
  <si>
    <t>E05007097</t>
  </si>
  <si>
    <t>E05007098</t>
  </si>
  <si>
    <t>E05007099</t>
  </si>
  <si>
    <t>E05007100</t>
  </si>
  <si>
    <t>E05007101</t>
  </si>
  <si>
    <t>E05007102</t>
  </si>
  <si>
    <t>E05007103</t>
  </si>
  <si>
    <t>E05007104</t>
  </si>
  <si>
    <t>E05007105</t>
  </si>
  <si>
    <t>E05007106</t>
  </si>
  <si>
    <t>E05007107</t>
  </si>
  <si>
    <t>E05007108</t>
  </si>
  <si>
    <t>E05007109</t>
  </si>
  <si>
    <t>E05007110</t>
  </si>
  <si>
    <t>E05007111</t>
  </si>
  <si>
    <t>E05007112</t>
  </si>
  <si>
    <t>E05007113</t>
  </si>
  <si>
    <t>E05007114</t>
  </si>
  <si>
    <t>E05007115</t>
  </si>
  <si>
    <t>E05007116</t>
  </si>
  <si>
    <t>E05007117</t>
  </si>
  <si>
    <t>E05007118</t>
  </si>
  <si>
    <t>E05007119</t>
  </si>
  <si>
    <t>E05007120</t>
  </si>
  <si>
    <t>E05007121</t>
  </si>
  <si>
    <t>E05007122</t>
  </si>
  <si>
    <t>E05007123</t>
  </si>
  <si>
    <t>E05007124</t>
  </si>
  <si>
    <t>E05007125</t>
  </si>
  <si>
    <t>E05007126</t>
  </si>
  <si>
    <t>E05007127</t>
  </si>
  <si>
    <t>E05007128</t>
  </si>
  <si>
    <t>E05007129</t>
  </si>
  <si>
    <t>E05007130</t>
  </si>
  <si>
    <t>E05007131</t>
  </si>
  <si>
    <t>E05007132</t>
  </si>
  <si>
    <t>E05007133</t>
  </si>
  <si>
    <t>E05007134</t>
  </si>
  <si>
    <t>E05007135</t>
  </si>
  <si>
    <t>E05007136</t>
  </si>
  <si>
    <t>E05007137</t>
  </si>
  <si>
    <t>E05007138</t>
  </si>
  <si>
    <t>E05007139</t>
  </si>
  <si>
    <t>E05007140</t>
  </si>
  <si>
    <t>E05007141</t>
  </si>
  <si>
    <t>E05007142</t>
  </si>
  <si>
    <t>E05007143</t>
  </si>
  <si>
    <t>E05007144</t>
  </si>
  <si>
    <t>E05007145</t>
  </si>
  <si>
    <t>E05007146</t>
  </si>
  <si>
    <t>E05007147</t>
  </si>
  <si>
    <t>E05007148</t>
  </si>
  <si>
    <t>E05007149</t>
  </si>
  <si>
    <t>E05007150</t>
  </si>
  <si>
    <t>E05007151</t>
  </si>
  <si>
    <t>E05007152</t>
  </si>
  <si>
    <t>E05007153</t>
  </si>
  <si>
    <t>E05007154</t>
  </si>
  <si>
    <t>E05007155</t>
  </si>
  <si>
    <t>E05007156</t>
  </si>
  <si>
    <t>E05007157</t>
  </si>
  <si>
    <t>E05007158</t>
  </si>
  <si>
    <t>E05007159</t>
  </si>
  <si>
    <t>E05007160</t>
  </si>
  <si>
    <t>E05007161</t>
  </si>
  <si>
    <t>E05007162</t>
  </si>
  <si>
    <t>E05007163</t>
  </si>
  <si>
    <t>E05007164</t>
  </si>
  <si>
    <t>E05007165</t>
  </si>
  <si>
    <t>E05007166</t>
  </si>
  <si>
    <t>E05007167</t>
  </si>
  <si>
    <t>E05007168</t>
  </si>
  <si>
    <t>E05007169</t>
  </si>
  <si>
    <t>E05007170</t>
  </si>
  <si>
    <t>E05007171</t>
  </si>
  <si>
    <t>E05007172</t>
  </si>
  <si>
    <t>E05007173</t>
  </si>
  <si>
    <t>E05007174</t>
  </si>
  <si>
    <t>E05007175</t>
  </si>
  <si>
    <t>E05007176</t>
  </si>
  <si>
    <t>E05007177</t>
  </si>
  <si>
    <t>E05007178</t>
  </si>
  <si>
    <t>E05007179</t>
  </si>
  <si>
    <t>E05007180</t>
  </si>
  <si>
    <t>E05007181</t>
  </si>
  <si>
    <t>E05007182</t>
  </si>
  <si>
    <t>E05007183</t>
  </si>
  <si>
    <t>E05007184</t>
  </si>
  <si>
    <t>E05007185</t>
  </si>
  <si>
    <t>E05007186</t>
  </si>
  <si>
    <t>E05007187</t>
  </si>
  <si>
    <t>E05007188</t>
  </si>
  <si>
    <t>E05007189</t>
  </si>
  <si>
    <t>E05007190</t>
  </si>
  <si>
    <t>E05007191</t>
  </si>
  <si>
    <t>E05007192</t>
  </si>
  <si>
    <t>E05007193</t>
  </si>
  <si>
    <t>E05007228</t>
  </si>
  <si>
    <t>E05007229</t>
  </si>
  <si>
    <t>E05007230</t>
  </si>
  <si>
    <t>E05007231</t>
  </si>
  <si>
    <t>E05007232</t>
  </si>
  <si>
    <t>E05007233</t>
  </si>
  <si>
    <t>E05007234</t>
  </si>
  <si>
    <t>E05007235</t>
  </si>
  <si>
    <t>E05007236</t>
  </si>
  <si>
    <t>E05007237</t>
  </si>
  <si>
    <t>E05007238</t>
  </si>
  <si>
    <t>E05007239</t>
  </si>
  <si>
    <t>E05007240</t>
  </si>
  <si>
    <t>E05007241</t>
  </si>
  <si>
    <t>E05007242</t>
  </si>
  <si>
    <t>E05007243</t>
  </si>
  <si>
    <t>E05007244</t>
  </si>
  <si>
    <t>E05007245</t>
  </si>
  <si>
    <t>E05007246</t>
  </si>
  <si>
    <t>E05007247</t>
  </si>
  <si>
    <t>E05007248</t>
  </si>
  <si>
    <t>E05007249</t>
  </si>
  <si>
    <t>E05007250</t>
  </si>
  <si>
    <t>E05006760</t>
  </si>
  <si>
    <t>E05006761</t>
  </si>
  <si>
    <t>E05006762</t>
  </si>
  <si>
    <t>E05006763</t>
  </si>
  <si>
    <t>E05006764</t>
  </si>
  <si>
    <t>E05006765</t>
  </si>
  <si>
    <t>E05006766</t>
  </si>
  <si>
    <t>E05006767</t>
  </si>
  <si>
    <t>E05006768</t>
  </si>
  <si>
    <t>E05006769</t>
  </si>
  <si>
    <t>E05006770</t>
  </si>
  <si>
    <t>E05006771</t>
  </si>
  <si>
    <t>E05006772</t>
  </si>
  <si>
    <t>E05006773</t>
  </si>
  <si>
    <t>E05006774</t>
  </si>
  <si>
    <t>E05006775</t>
  </si>
  <si>
    <t>E05006776</t>
  </si>
  <si>
    <t>E05006777</t>
  </si>
  <si>
    <t>E05006778</t>
  </si>
  <si>
    <t>E05006779</t>
  </si>
  <si>
    <t>E05006780</t>
  </si>
  <si>
    <t>E05006781</t>
  </si>
  <si>
    <t>E05006782</t>
  </si>
  <si>
    <t>E05006783</t>
  </si>
  <si>
    <t>E05006784</t>
  </si>
  <si>
    <t>E05006785</t>
  </si>
  <si>
    <t>E05006786</t>
  </si>
  <si>
    <t>E05006787</t>
  </si>
  <si>
    <t>E05006788</t>
  </si>
  <si>
    <t>E05006789</t>
  </si>
  <si>
    <t>E05006790</t>
  </si>
  <si>
    <t>E05006791</t>
  </si>
  <si>
    <t>E05006792</t>
  </si>
  <si>
    <t>E05006793</t>
  </si>
  <si>
    <t>E05006819</t>
  </si>
  <si>
    <t>E05006820</t>
  </si>
  <si>
    <t>E05006821</t>
  </si>
  <si>
    <t>E05006822</t>
  </si>
  <si>
    <t>E05006823</t>
  </si>
  <si>
    <t>E05006824</t>
  </si>
  <si>
    <t>E05006825</t>
  </si>
  <si>
    <t>E05006826</t>
  </si>
  <si>
    <t>E05006827</t>
  </si>
  <si>
    <t>E05006828</t>
  </si>
  <si>
    <t>E05006829</t>
  </si>
  <si>
    <t>E05006830</t>
  </si>
  <si>
    <t>E05006831</t>
  </si>
  <si>
    <t>E05006832</t>
  </si>
  <si>
    <t>E05006833</t>
  </si>
  <si>
    <t>E05006834</t>
  </si>
  <si>
    <t>E05006835</t>
  </si>
  <si>
    <t>E05006836</t>
  </si>
  <si>
    <t>E05006837</t>
  </si>
  <si>
    <t>E05006838</t>
  </si>
  <si>
    <t>E05006839</t>
  </si>
  <si>
    <t>E05006840</t>
  </si>
  <si>
    <t>E05006841</t>
  </si>
  <si>
    <t>E05006842</t>
  </si>
  <si>
    <t>E05006843</t>
  </si>
  <si>
    <t>E05006844</t>
  </si>
  <si>
    <t>E05006845</t>
  </si>
  <si>
    <t>E05006846</t>
  </si>
  <si>
    <t>E05006847</t>
  </si>
  <si>
    <t>E05006848</t>
  </si>
  <si>
    <t>E05006849</t>
  </si>
  <si>
    <t>E05006850</t>
  </si>
  <si>
    <t>E05006851</t>
  </si>
  <si>
    <t>E05006852</t>
  </si>
  <si>
    <t>E05006853</t>
  </si>
  <si>
    <t>E05006854</t>
  </si>
  <si>
    <t>E05006855</t>
  </si>
  <si>
    <t>E05006856</t>
  </si>
  <si>
    <t>E05006857</t>
  </si>
  <si>
    <t>E05006858</t>
  </si>
  <si>
    <t>E05006859</t>
  </si>
  <si>
    <t>E05006860</t>
  </si>
  <si>
    <t>E05006861</t>
  </si>
  <si>
    <t>E05006862</t>
  </si>
  <si>
    <t>E05006863</t>
  </si>
  <si>
    <t>E05006864</t>
  </si>
  <si>
    <t>E05006865</t>
  </si>
  <si>
    <t>E05006866</t>
  </si>
  <si>
    <t>E05006867</t>
  </si>
  <si>
    <t>E05006868</t>
  </si>
  <si>
    <t>E05006869</t>
  </si>
  <si>
    <t>E05006870</t>
  </si>
  <si>
    <t>E05006871</t>
  </si>
  <si>
    <t>E05006872</t>
  </si>
  <si>
    <t>E05006873</t>
  </si>
  <si>
    <t>E05006874</t>
  </si>
  <si>
    <t>E05006875</t>
  </si>
  <si>
    <t>E05006876</t>
  </si>
  <si>
    <t>E05006877</t>
  </si>
  <si>
    <t>E05006878</t>
  </si>
  <si>
    <t>E05006879</t>
  </si>
  <si>
    <t>E05006880</t>
  </si>
  <si>
    <t>E05006881</t>
  </si>
  <si>
    <t>E05006882</t>
  </si>
  <si>
    <t>E05006883</t>
  </si>
  <si>
    <t>E05003459</t>
  </si>
  <si>
    <t>E05003460</t>
  </si>
  <si>
    <t>E05003461</t>
  </si>
  <si>
    <t>E05003462</t>
  </si>
  <si>
    <t>E05003463</t>
  </si>
  <si>
    <t>E05003464</t>
  </si>
  <si>
    <t>E05003465</t>
  </si>
  <si>
    <t>E05003466</t>
  </si>
  <si>
    <t>E05003467</t>
  </si>
  <si>
    <t>E05003468</t>
  </si>
  <si>
    <t>E05003469</t>
  </si>
  <si>
    <t>E05003470</t>
  </si>
  <si>
    <t>E05003471</t>
  </si>
  <si>
    <t>E05003472</t>
  </si>
  <si>
    <t>E05003475</t>
  </si>
  <si>
    <t>E05003476</t>
  </si>
  <si>
    <t>E05003477</t>
  </si>
  <si>
    <t>E05003478</t>
  </si>
  <si>
    <t>E05003480</t>
  </si>
  <si>
    <t>E05003481</t>
  </si>
  <si>
    <t>E05003482</t>
  </si>
  <si>
    <t>E05003483</t>
  </si>
  <si>
    <t>E05003484</t>
  </si>
  <si>
    <t>E05003485</t>
  </si>
  <si>
    <t>E05003486</t>
  </si>
  <si>
    <t>E05003487</t>
  </si>
  <si>
    <t>E05003489</t>
  </si>
  <si>
    <t>E05003490</t>
  </si>
  <si>
    <t>E05003510</t>
  </si>
  <si>
    <t>E05003511</t>
  </si>
  <si>
    <t>E05003512</t>
  </si>
  <si>
    <t>E05003513</t>
  </si>
  <si>
    <t>E05003514</t>
  </si>
  <si>
    <t>E05003515</t>
  </si>
  <si>
    <t>E05003516</t>
  </si>
  <si>
    <t>E05003517</t>
  </si>
  <si>
    <t>E05003518</t>
  </si>
  <si>
    <t>E05003519</t>
  </si>
  <si>
    <t>E05003520</t>
  </si>
  <si>
    <t>E05003521</t>
  </si>
  <si>
    <t>E05003522</t>
  </si>
  <si>
    <t>E05003524</t>
  </si>
  <si>
    <t>E05003525</t>
  </si>
  <si>
    <t>E05003526</t>
  </si>
  <si>
    <t>E05003527</t>
  </si>
  <si>
    <t>E05003528</t>
  </si>
  <si>
    <t>E05003529</t>
  </si>
  <si>
    <t>E05003530</t>
  </si>
  <si>
    <t>E05003531</t>
  </si>
  <si>
    <t>E05003533</t>
  </si>
  <si>
    <t>E05003534</t>
  </si>
  <si>
    <t>E05003535</t>
  </si>
  <si>
    <t>E05003536</t>
  </si>
  <si>
    <t>E05003537</t>
  </si>
  <si>
    <t>E05003538</t>
  </si>
  <si>
    <t>E05003540</t>
  </si>
  <si>
    <t>E05003541</t>
  </si>
  <si>
    <t>E05003542</t>
  </si>
  <si>
    <t>E05003543</t>
  </si>
  <si>
    <t>E05003544</t>
  </si>
  <si>
    <t>E05003545</t>
  </si>
  <si>
    <t>E05003546</t>
  </si>
  <si>
    <t>E05003547</t>
  </si>
  <si>
    <t>E05003548</t>
  </si>
  <si>
    <t>E05003549</t>
  </si>
  <si>
    <t>E05003551</t>
  </si>
  <si>
    <t>E05003552</t>
  </si>
  <si>
    <t>E05003553</t>
  </si>
  <si>
    <t>E05003554</t>
  </si>
  <si>
    <t>E05003555</t>
  </si>
  <si>
    <t>E05003556</t>
  </si>
  <si>
    <t>E05003557</t>
  </si>
  <si>
    <t>E05003558</t>
  </si>
  <si>
    <t>E05003559</t>
  </si>
  <si>
    <t>E05003591</t>
  </si>
  <si>
    <t>E05003592</t>
  </si>
  <si>
    <t>E05003593</t>
  </si>
  <si>
    <t>E05003594</t>
  </si>
  <si>
    <t>E05003595</t>
  </si>
  <si>
    <t>E05003596</t>
  </si>
  <si>
    <t>E05003597</t>
  </si>
  <si>
    <t>E05003599</t>
  </si>
  <si>
    <t>E05003600</t>
  </si>
  <si>
    <t>E05003601</t>
  </si>
  <si>
    <t>E05003602</t>
  </si>
  <si>
    <t>E05003603</t>
  </si>
  <si>
    <t>E05003604</t>
  </si>
  <si>
    <t>E05003605</t>
  </si>
  <si>
    <t>E05003606</t>
  </si>
  <si>
    <t>E05003607</t>
  </si>
  <si>
    <t>E05003608</t>
  </si>
  <si>
    <t>E05003609</t>
  </si>
  <si>
    <t>E05003610</t>
  </si>
  <si>
    <t>E05003611</t>
  </si>
  <si>
    <t>E05003612</t>
  </si>
  <si>
    <t>E05003613</t>
  </si>
  <si>
    <t>E05003614</t>
  </si>
  <si>
    <t>E05003615</t>
  </si>
  <si>
    <t>E05003616</t>
  </si>
  <si>
    <t>E05003617</t>
  </si>
  <si>
    <t>E05003618</t>
  </si>
  <si>
    <t>E05003619</t>
  </si>
  <si>
    <t>E05003620</t>
  </si>
  <si>
    <t>E05003621</t>
  </si>
  <si>
    <t>E05003622</t>
  </si>
  <si>
    <t>E05003623</t>
  </si>
  <si>
    <t>E05003624</t>
  </si>
  <si>
    <t>E05003625</t>
  </si>
  <si>
    <t>E05003626</t>
  </si>
  <si>
    <t>E05003627</t>
  </si>
  <si>
    <t>E05003628</t>
  </si>
  <si>
    <t>E05003629</t>
  </si>
  <si>
    <t>E05003630</t>
  </si>
  <si>
    <t>E05003631</t>
  </si>
  <si>
    <t>E05003632</t>
  </si>
  <si>
    <t>E05003633</t>
  </si>
  <si>
    <t>E05003634</t>
  </si>
  <si>
    <t>E05003635</t>
  </si>
  <si>
    <t>E05003636</t>
  </si>
  <si>
    <t>E05003637</t>
  </si>
  <si>
    <t>E05003660</t>
  </si>
  <si>
    <t>E05003661</t>
  </si>
  <si>
    <t>E05003662</t>
  </si>
  <si>
    <t>E05003663</t>
  </si>
  <si>
    <t>E05003664</t>
  </si>
  <si>
    <t>E05003665</t>
  </si>
  <si>
    <t>E05003666</t>
  </si>
  <si>
    <t>E05003667</t>
  </si>
  <si>
    <t>E05003668</t>
  </si>
  <si>
    <t>E05003669</t>
  </si>
  <si>
    <t>E05003670</t>
  </si>
  <si>
    <t>E05003770</t>
  </si>
  <si>
    <t>E05003771</t>
  </si>
  <si>
    <t>E05003772</t>
  </si>
  <si>
    <t>E05003773</t>
  </si>
  <si>
    <t>E05003774</t>
  </si>
  <si>
    <t>E05003775</t>
  </si>
  <si>
    <t>E05003776</t>
  </si>
  <si>
    <t>E05003777</t>
  </si>
  <si>
    <t>E05003778</t>
  </si>
  <si>
    <t>E05003779</t>
  </si>
  <si>
    <t>E05003780</t>
  </si>
  <si>
    <t>E05003781</t>
  </si>
  <si>
    <t>E05003782</t>
  </si>
  <si>
    <t>E05003783</t>
  </si>
  <si>
    <t>E05003784</t>
  </si>
  <si>
    <t>E05008327</t>
  </si>
  <si>
    <t>E05008328</t>
  </si>
  <si>
    <t>E05008329</t>
  </si>
  <si>
    <t>E05008330</t>
  </si>
  <si>
    <t>E05008331</t>
  </si>
  <si>
    <t>E05008332</t>
  </si>
  <si>
    <t>E05008333</t>
  </si>
  <si>
    <t>E05008334</t>
  </si>
  <si>
    <t>E05008335</t>
  </si>
  <si>
    <t>E05008336</t>
  </si>
  <si>
    <t>E05008337</t>
  </si>
  <si>
    <t>E05008338</t>
  </si>
  <si>
    <t>E05008339</t>
  </si>
  <si>
    <t>E05008340</t>
  </si>
  <si>
    <t>E05008341</t>
  </si>
  <si>
    <t>E05008342</t>
  </si>
  <si>
    <t>E05008343</t>
  </si>
  <si>
    <t>E05008344</t>
  </si>
  <si>
    <t>E05008345</t>
  </si>
  <si>
    <t>E05008346</t>
  </si>
  <si>
    <t>E05008347</t>
  </si>
  <si>
    <t>E05008348</t>
  </si>
  <si>
    <t>E05008349</t>
  </si>
  <si>
    <t>E05008350</t>
  </si>
  <si>
    <t>E05008351</t>
  </si>
  <si>
    <t>E05008352</t>
  </si>
  <si>
    <t>E05008353</t>
  </si>
  <si>
    <t>E05008354</t>
  </si>
  <si>
    <t>E05008355</t>
  </si>
  <si>
    <t>E05008356</t>
  </si>
  <si>
    <t>E05008357</t>
  </si>
  <si>
    <t>E05008358</t>
  </si>
  <si>
    <t>E05008359</t>
  </si>
  <si>
    <t>E05008360</t>
  </si>
  <si>
    <t>E05008361</t>
  </si>
  <si>
    <t>E05008362</t>
  </si>
  <si>
    <t>E05008363</t>
  </si>
  <si>
    <t>E05008364</t>
  </si>
  <si>
    <t>E05008365</t>
  </si>
  <si>
    <t>E05008366</t>
  </si>
  <si>
    <t>E05008367</t>
  </si>
  <si>
    <t>E05008368</t>
  </si>
  <si>
    <t>E05008369</t>
  </si>
  <si>
    <t>E05008370</t>
  </si>
  <si>
    <t>E05008371</t>
  </si>
  <si>
    <t>E05008372</t>
  </si>
  <si>
    <t>E05008373</t>
  </si>
  <si>
    <t>E05008374</t>
  </si>
  <si>
    <t>E05008375</t>
  </si>
  <si>
    <t>E05008376</t>
  </si>
  <si>
    <t>E05008377</t>
  </si>
  <si>
    <t>E05008378</t>
  </si>
  <si>
    <t>E05008379</t>
  </si>
  <si>
    <t>E05008380</t>
  </si>
  <si>
    <t>E05008381</t>
  </si>
  <si>
    <t>E05008382</t>
  </si>
  <si>
    <t>E05008383</t>
  </si>
  <si>
    <t>E05008384</t>
  </si>
  <si>
    <t>E05008385</t>
  </si>
  <si>
    <t>E05008386</t>
  </si>
  <si>
    <t>E05008387</t>
  </si>
  <si>
    <t>E05008388</t>
  </si>
  <si>
    <t>E05008389</t>
  </si>
  <si>
    <t>E05008390</t>
  </si>
  <si>
    <t>E05008391</t>
  </si>
  <si>
    <t>E05008392</t>
  </si>
  <si>
    <t>E05008393</t>
  </si>
  <si>
    <t>E05008394</t>
  </si>
  <si>
    <t>E05008395</t>
  </si>
  <si>
    <t>E05008396</t>
  </si>
  <si>
    <t>E05008397</t>
  </si>
  <si>
    <t>E05008398</t>
  </si>
  <si>
    <t>E05008399</t>
  </si>
  <si>
    <t>E05008400</t>
  </si>
  <si>
    <t>E05008401</t>
  </si>
  <si>
    <t>E05008402</t>
  </si>
  <si>
    <t>E05008403</t>
  </si>
  <si>
    <t>E05008404</t>
  </si>
  <si>
    <t>E05008405</t>
  </si>
  <si>
    <t>E05008406</t>
  </si>
  <si>
    <t>E05008407</t>
  </si>
  <si>
    <t>E05008408</t>
  </si>
  <si>
    <t>E05008409</t>
  </si>
  <si>
    <t>E05008410</t>
  </si>
  <si>
    <t>E05008411</t>
  </si>
  <si>
    <t>E05008412</t>
  </si>
  <si>
    <t>E05008413</t>
  </si>
  <si>
    <t>E05008414</t>
  </si>
  <si>
    <t>E05008415</t>
  </si>
  <si>
    <t>E05008416</t>
  </si>
  <si>
    <t>E05008417</t>
  </si>
  <si>
    <t>E05008418</t>
  </si>
  <si>
    <t>E05008419</t>
  </si>
  <si>
    <t>E05008420</t>
  </si>
  <si>
    <t>E05008421</t>
  </si>
  <si>
    <t>E05008422</t>
  </si>
  <si>
    <t>E05008423</t>
  </si>
  <si>
    <t>E05008424</t>
  </si>
  <si>
    <t>E05004288</t>
  </si>
  <si>
    <t>E05004289</t>
  </si>
  <si>
    <t>E05004290</t>
  </si>
  <si>
    <t>E05004291</t>
  </si>
  <si>
    <t>E05004292</t>
  </si>
  <si>
    <t>E05004293</t>
  </si>
  <si>
    <t>E05004294</t>
  </si>
  <si>
    <t>E05004295</t>
  </si>
  <si>
    <t>E05004296</t>
  </si>
  <si>
    <t>E05004297</t>
  </si>
  <si>
    <t>E05004298</t>
  </si>
  <si>
    <t>E05004299</t>
  </si>
  <si>
    <t>E05004300</t>
  </si>
  <si>
    <t>E05004301</t>
  </si>
  <si>
    <t>E05004302</t>
  </si>
  <si>
    <t>E05004303</t>
  </si>
  <si>
    <t>E05004304</t>
  </si>
  <si>
    <t>E05004305</t>
  </si>
  <si>
    <t>E05004306</t>
  </si>
  <si>
    <t>E05004307</t>
  </si>
  <si>
    <t>E05004336</t>
  </si>
  <si>
    <t>E05004337</t>
  </si>
  <si>
    <t>E05004338</t>
  </si>
  <si>
    <t>E05004339</t>
  </si>
  <si>
    <t>E05004340</t>
  </si>
  <si>
    <t>E05004341</t>
  </si>
  <si>
    <t>E05004342</t>
  </si>
  <si>
    <t>E05004343</t>
  </si>
  <si>
    <t>E05004344</t>
  </si>
  <si>
    <t>E05004345</t>
  </si>
  <si>
    <t>E05004346</t>
  </si>
  <si>
    <t>E05004347</t>
  </si>
  <si>
    <t>E05004348</t>
  </si>
  <si>
    <t>E05004349</t>
  </si>
  <si>
    <t>E05004350</t>
  </si>
  <si>
    <t>E05004351</t>
  </si>
  <si>
    <t>E05004352</t>
  </si>
  <si>
    <t>E05004353</t>
  </si>
  <si>
    <t>E05004354</t>
  </si>
  <si>
    <t>E05004355</t>
  </si>
  <si>
    <t>E05004356</t>
  </si>
  <si>
    <t>E05004357</t>
  </si>
  <si>
    <t>E05004358</t>
  </si>
  <si>
    <t>E05004359</t>
  </si>
  <si>
    <t>E05004360</t>
  </si>
  <si>
    <t>E05004361</t>
  </si>
  <si>
    <t>E05004362</t>
  </si>
  <si>
    <t>E05004408</t>
  </si>
  <si>
    <t>E05004412</t>
  </si>
  <si>
    <t>E05004416</t>
  </si>
  <si>
    <t>E05004418</t>
  </si>
  <si>
    <t>E05004420</t>
  </si>
  <si>
    <t>E05004422</t>
  </si>
  <si>
    <t>E05004425</t>
  </si>
  <si>
    <t>E05004427</t>
  </si>
  <si>
    <t>E05004428</t>
  </si>
  <si>
    <t>E05004691</t>
  </si>
  <si>
    <t>E05004692</t>
  </si>
  <si>
    <t>E05004693</t>
  </si>
  <si>
    <t>E05004694</t>
  </si>
  <si>
    <t>E05004695</t>
  </si>
  <si>
    <t>E05004696</t>
  </si>
  <si>
    <t>E05004697</t>
  </si>
  <si>
    <t>E05004698</t>
  </si>
  <si>
    <t>E05004699</t>
  </si>
  <si>
    <t>E05004700</t>
  </si>
  <si>
    <t>E05004701</t>
  </si>
  <si>
    <t>E05004702</t>
  </si>
  <si>
    <t>E05004703</t>
  </si>
  <si>
    <t>E05004704</t>
  </si>
  <si>
    <t>E05004705</t>
  </si>
  <si>
    <t>E05004706</t>
  </si>
  <si>
    <t>E05004707</t>
  </si>
  <si>
    <t>E05004708</t>
  </si>
  <si>
    <t>E05004709</t>
  </si>
  <si>
    <t>E05004710</t>
  </si>
  <si>
    <t>E05004711</t>
  </si>
  <si>
    <t>E05004712</t>
  </si>
  <si>
    <t>E05004713</t>
  </si>
  <si>
    <t>E05004714</t>
  </si>
  <si>
    <t>E05004715</t>
  </si>
  <si>
    <t>E05004716</t>
  </si>
  <si>
    <t>E05004717</t>
  </si>
  <si>
    <t>E05004718</t>
  </si>
  <si>
    <t>E05004719</t>
  </si>
  <si>
    <t>E05004720</t>
  </si>
  <si>
    <t>E05004721</t>
  </si>
  <si>
    <t>E05004722</t>
  </si>
  <si>
    <t>E05004723</t>
  </si>
  <si>
    <t>E05004724</t>
  </si>
  <si>
    <t>E05004725</t>
  </si>
  <si>
    <t>E05004726</t>
  </si>
  <si>
    <t>E05004727</t>
  </si>
  <si>
    <t>E05004728</t>
  </si>
  <si>
    <t>E05004729</t>
  </si>
  <si>
    <t>E05004730</t>
  </si>
  <si>
    <t>E05004731</t>
  </si>
  <si>
    <t>E05004732</t>
  </si>
  <si>
    <t>E05004733</t>
  </si>
  <si>
    <t>E05004734</t>
  </si>
  <si>
    <t>E05004735</t>
  </si>
  <si>
    <t>E05004736</t>
  </si>
  <si>
    <t>E05004737</t>
  </si>
  <si>
    <t>E05004738</t>
  </si>
  <si>
    <t>E05004739</t>
  </si>
  <si>
    <t>E05004741</t>
  </si>
  <si>
    <t>E05004742</t>
  </si>
  <si>
    <t>E05004743</t>
  </si>
  <si>
    <t>E05004744</t>
  </si>
  <si>
    <t>E05004745</t>
  </si>
  <si>
    <t>E05004746</t>
  </si>
  <si>
    <t>E05004747</t>
  </si>
  <si>
    <t>E05004748</t>
  </si>
  <si>
    <t>E05004749</t>
  </si>
  <si>
    <t>E05004750</t>
  </si>
  <si>
    <t>E05004751</t>
  </si>
  <si>
    <t>E05004752</t>
  </si>
  <si>
    <t>E05004753</t>
  </si>
  <si>
    <t>E05004754</t>
  </si>
  <si>
    <t>E05004755</t>
  </si>
  <si>
    <t>E05004756</t>
  </si>
  <si>
    <t>E05004757</t>
  </si>
  <si>
    <t>E05004758</t>
  </si>
  <si>
    <t>E05004759</t>
  </si>
  <si>
    <t>E05004760</t>
  </si>
  <si>
    <t>E05004761</t>
  </si>
  <si>
    <t>E05004762</t>
  </si>
  <si>
    <t>E05004763</t>
  </si>
  <si>
    <t>E05004764</t>
  </si>
  <si>
    <t>E05004765</t>
  </si>
  <si>
    <t>E05004766</t>
  </si>
  <si>
    <t>E05004767</t>
  </si>
  <si>
    <t>E05004768</t>
  </si>
  <si>
    <t>E05004769</t>
  </si>
  <si>
    <t>E05004770</t>
  </si>
  <si>
    <t>E05004771</t>
  </si>
  <si>
    <t>E05004772</t>
  </si>
  <si>
    <t>E05004773</t>
  </si>
  <si>
    <t>E05004774</t>
  </si>
  <si>
    <t>E05004775</t>
  </si>
  <si>
    <t>E05004776</t>
  </si>
  <si>
    <t>E05004777</t>
  </si>
  <si>
    <t>E05004778</t>
  </si>
  <si>
    <t>E05004779</t>
  </si>
  <si>
    <t>E05004780</t>
  </si>
  <si>
    <t>E05004781</t>
  </si>
  <si>
    <t>E05004782</t>
  </si>
  <si>
    <t>E05004783</t>
  </si>
  <si>
    <t>E05004784</t>
  </si>
  <si>
    <t>E05004785</t>
  </si>
  <si>
    <t>E05004786</t>
  </si>
  <si>
    <t>E05004787</t>
  </si>
  <si>
    <t>E05004789</t>
  </si>
  <si>
    <t>E05004790</t>
  </si>
  <si>
    <t>E05004791</t>
  </si>
  <si>
    <t>E05004792</t>
  </si>
  <si>
    <t>E05004793</t>
  </si>
  <si>
    <t>E05004794</t>
  </si>
  <si>
    <t>E05004795</t>
  </si>
  <si>
    <t>E05004796</t>
  </si>
  <si>
    <t>E05004797</t>
  </si>
  <si>
    <t>E05004798</t>
  </si>
  <si>
    <t>E05004799</t>
  </si>
  <si>
    <t>E05004800</t>
  </si>
  <si>
    <t>E05004801</t>
  </si>
  <si>
    <t>E05004802</t>
  </si>
  <si>
    <t>E05004803</t>
  </si>
  <si>
    <t>E05004804</t>
  </si>
  <si>
    <t>E05004805</t>
  </si>
  <si>
    <t>E05004806</t>
  </si>
  <si>
    <t>E05004807</t>
  </si>
  <si>
    <t>E05004808</t>
  </si>
  <si>
    <t>E05004810</t>
  </si>
  <si>
    <t>E05004811</t>
  </si>
  <si>
    <t>E05004812</t>
  </si>
  <si>
    <t>E05004813</t>
  </si>
  <si>
    <t>E05004814</t>
  </si>
  <si>
    <t>E05004815</t>
  </si>
  <si>
    <t>E05004816</t>
  </si>
  <si>
    <t>E05004817</t>
  </si>
  <si>
    <t>CURRENT CONSTITUENCY ELECTORATE TABLE</t>
  </si>
  <si>
    <t>Batchley &amp; Brockhill</t>
  </si>
  <si>
    <t>Rea Valley</t>
  </si>
  <si>
    <t>Morton-on-Swale</t>
  </si>
  <si>
    <t>Gulval and Heamoor</t>
  </si>
  <si>
    <t>Netteswell</t>
  </si>
  <si>
    <t>Quarry and Coton Hill</t>
  </si>
  <si>
    <t>Portchester East</t>
  </si>
  <si>
    <t>Portchester West</t>
  </si>
  <si>
    <t>Aspley and Woburn</t>
  </si>
  <si>
    <t>Barton-le-Clay</t>
  </si>
  <si>
    <t>Biggleswade North</t>
  </si>
  <si>
    <t>Biggleswade South</t>
  </si>
  <si>
    <t>Cranfield and Marston Moretaine</t>
  </si>
  <si>
    <t>Dunstable Central</t>
  </si>
  <si>
    <t>Dunstable Icknield</t>
  </si>
  <si>
    <t>Dunstable Manshead</t>
  </si>
  <si>
    <t>Dunstable Northfields</t>
  </si>
  <si>
    <t>Dunstable Watling</t>
  </si>
  <si>
    <t>Eaton Bray</t>
  </si>
  <si>
    <t>Flitwick</t>
  </si>
  <si>
    <t>Heath and Reach</t>
  </si>
  <si>
    <t>Houghton Conquest and Haynes</t>
  </si>
  <si>
    <t>Houghton Hall</t>
  </si>
  <si>
    <t>Leighton Buzzard North</t>
  </si>
  <si>
    <t>Leighton Buzzard South</t>
  </si>
  <si>
    <t>Linslade</t>
  </si>
  <si>
    <t>Northill</t>
  </si>
  <si>
    <t>Stotfold and Langford</t>
  </si>
  <si>
    <t>Tithe Farm</t>
  </si>
  <si>
    <t>Westoning, Flitton and Greenfield</t>
  </si>
  <si>
    <t>* as created by The Central Bedfordshire (Electoral Changes) Order 2011</t>
  </si>
  <si>
    <t>Bromham and Biddenham</t>
  </si>
  <si>
    <t>Kempston Central and East</t>
  </si>
  <si>
    <t>Wyboston</t>
  </si>
  <si>
    <t>Kempston West</t>
  </si>
  <si>
    <t>Kempston Rural</t>
  </si>
  <si>
    <t>* as created by The Bedford (Electoral Changes) Order 2011</t>
  </si>
  <si>
    <t>Caddington</t>
  </si>
  <si>
    <t>* as created by The Cheshire East (Electoral Changes) Order 2011</t>
  </si>
  <si>
    <t>Alderley Edge</t>
  </si>
  <si>
    <t>Wybunbury</t>
  </si>
  <si>
    <t>Wrenbury</t>
  </si>
  <si>
    <t>Wistaston</t>
  </si>
  <si>
    <t>Wilmslow Dean Row</t>
  </si>
  <si>
    <t>Wilmslow East</t>
  </si>
  <si>
    <t>Wilmslow Lacey Green</t>
  </si>
  <si>
    <t>Wilmslow West and Chorley</t>
  </si>
  <si>
    <t>Willaston and Rope</t>
  </si>
  <si>
    <t>Shavington</t>
  </si>
  <si>
    <t>Sandbach Elworth</t>
  </si>
  <si>
    <t>Sandbach Ettiley Heath and Wheelock</t>
  </si>
  <si>
    <t>Sandbach Heath and East</t>
  </si>
  <si>
    <t>Sandbach Town</t>
  </si>
  <si>
    <t>Poynton East and Pott Shrigley</t>
  </si>
  <si>
    <t>Poynton West and Adlington</t>
  </si>
  <si>
    <t>Odd Rode</t>
  </si>
  <si>
    <t>Nantwich North and West</t>
  </si>
  <si>
    <t>Nantwich South and Stapeley</t>
  </si>
  <si>
    <t>Mobberley</t>
  </si>
  <si>
    <t>Macclesfield Central</t>
  </si>
  <si>
    <t>Macclesfield East</t>
  </si>
  <si>
    <t>Macclesfield Hurdsfield</t>
  </si>
  <si>
    <t>Macclesfield South</t>
  </si>
  <si>
    <t>Macclesfield Tytherington</t>
  </si>
  <si>
    <t>Macclesfield West and Ivy</t>
  </si>
  <si>
    <t>Leighton</t>
  </si>
  <si>
    <t>High Legh</t>
  </si>
  <si>
    <t>Haslington</t>
  </si>
  <si>
    <t>Handforth</t>
  </si>
  <si>
    <t>Gawsworth</t>
  </si>
  <si>
    <t>Disley</t>
  </si>
  <si>
    <t>Crewe Central</t>
  </si>
  <si>
    <t>Crewe St Barnabas</t>
  </si>
  <si>
    <t>Congleton East</t>
  </si>
  <si>
    <t>Congleton West</t>
  </si>
  <si>
    <t>Chelford</t>
  </si>
  <si>
    <t>Bunbury</t>
  </si>
  <si>
    <t>Broken Cross and Upton</t>
  </si>
  <si>
    <t>Brereton Rural</t>
  </si>
  <si>
    <t>Bollington</t>
  </si>
  <si>
    <t>Audlem</t>
  </si>
  <si>
    <t>Witton and Rudheath</t>
  </si>
  <si>
    <t>Winsford Wharton</t>
  </si>
  <si>
    <t>Winsford Swanlow and Dene</t>
  </si>
  <si>
    <t>Winsford Over and Verdin</t>
  </si>
  <si>
    <t>Winnington and Castle</t>
  </si>
  <si>
    <t>Willaston and Thornton</t>
  </si>
  <si>
    <t>Whitby</t>
  </si>
  <si>
    <t>Weaver and Cuddington</t>
  </si>
  <si>
    <t>Tattenhall</t>
  </si>
  <si>
    <t>Tarvin and Kelsall</t>
  </si>
  <si>
    <t>Tarporley</t>
  </si>
  <si>
    <t>Strawberry</t>
  </si>
  <si>
    <t>Shakerley</t>
  </si>
  <si>
    <t>Saughall and Mollington</t>
  </si>
  <si>
    <t>Rossmore</t>
  </si>
  <si>
    <t>Parkgate</t>
  </si>
  <si>
    <t>Netherpool</t>
  </si>
  <si>
    <t>Neston</t>
  </si>
  <si>
    <t>Malpas</t>
  </si>
  <si>
    <t>Little Neston and Burton</t>
  </si>
  <si>
    <t>Ledsham and Manor</t>
  </si>
  <si>
    <t>Lache</t>
  </si>
  <si>
    <t>Hoole</t>
  </si>
  <si>
    <t>Helsby</t>
  </si>
  <si>
    <t>Hartford and Greenbank</t>
  </si>
  <si>
    <t>Handbridge Park</t>
  </si>
  <si>
    <t>Garden Quarter</t>
  </si>
  <si>
    <t>Frodsham</t>
  </si>
  <si>
    <t>Dodleston and Huntington</t>
  </si>
  <si>
    <t>Davenham and Moulton</t>
  </si>
  <si>
    <t>Chester Villages</t>
  </si>
  <si>
    <t>Chester City</t>
  </si>
  <si>
    <t>Ellesmere Port Town</t>
  </si>
  <si>
    <t>* as created by The Cheshire West and Chester (Electoral Changes) Order 2011</t>
  </si>
  <si>
    <t>E05008751</t>
  </si>
  <si>
    <t>E05008752</t>
  </si>
  <si>
    <t>E05008753</t>
  </si>
  <si>
    <t>E05008754</t>
  </si>
  <si>
    <t>E05008755</t>
  </si>
  <si>
    <t>E05008756</t>
  </si>
  <si>
    <t>E05008757</t>
  </si>
  <si>
    <t>E05008758</t>
  </si>
  <si>
    <t>E05008759</t>
  </si>
  <si>
    <t>E05008760</t>
  </si>
  <si>
    <t>E05008761</t>
  </si>
  <si>
    <t>E05008762</t>
  </si>
  <si>
    <t>E05008763</t>
  </si>
  <si>
    <t>E05008764</t>
  </si>
  <si>
    <t>E05008765</t>
  </si>
  <si>
    <t>E05008766</t>
  </si>
  <si>
    <t>E05008767</t>
  </si>
  <si>
    <t>E05008768</t>
  </si>
  <si>
    <t>E05008769</t>
  </si>
  <si>
    <t>E05008770</t>
  </si>
  <si>
    <t>E05008771</t>
  </si>
  <si>
    <t>E05008772</t>
  </si>
  <si>
    <t>E05008773</t>
  </si>
  <si>
    <t>E05008774</t>
  </si>
  <si>
    <t>E05008775</t>
  </si>
  <si>
    <t>E05008776</t>
  </si>
  <si>
    <t>E05008777</t>
  </si>
  <si>
    <t>E05008778</t>
  </si>
  <si>
    <t>E05008779</t>
  </si>
  <si>
    <t>E05008780</t>
  </si>
  <si>
    <t>E05008781</t>
  </si>
  <si>
    <t>E05008782</t>
  </si>
  <si>
    <t>E05008783</t>
  </si>
  <si>
    <t>E05008784</t>
  </si>
  <si>
    <t>E05008785</t>
  </si>
  <si>
    <t>E05008786</t>
  </si>
  <si>
    <t>E05008787</t>
  </si>
  <si>
    <t>E05008788</t>
  </si>
  <si>
    <t>E05008789</t>
  </si>
  <si>
    <t>E05008790</t>
  </si>
  <si>
    <t>E05008791</t>
  </si>
  <si>
    <t>E05008792</t>
  </si>
  <si>
    <t>E05008793</t>
  </si>
  <si>
    <t>E05008794</t>
  </si>
  <si>
    <t>E05008795</t>
  </si>
  <si>
    <t>E05008796</t>
  </si>
  <si>
    <t>E05008797</t>
  </si>
  <si>
    <t>E05008798</t>
  </si>
  <si>
    <t>E05008799</t>
  </si>
  <si>
    <t>E05008800</t>
  </si>
  <si>
    <t>E05008801</t>
  </si>
  <si>
    <t>E05008802</t>
  </si>
  <si>
    <t>E05008803</t>
  </si>
  <si>
    <t>E05008804</t>
  </si>
  <si>
    <t>E05008805</t>
  </si>
  <si>
    <t>E05008806</t>
  </si>
  <si>
    <t>E05008807</t>
  </si>
  <si>
    <t>E05008808</t>
  </si>
  <si>
    <t>E05008610</t>
  </si>
  <si>
    <t>E05008611</t>
  </si>
  <si>
    <t>E05008612</t>
  </si>
  <si>
    <t>E05008613</t>
  </si>
  <si>
    <t>E05008614</t>
  </si>
  <si>
    <t>E05008615</t>
  </si>
  <si>
    <t>E05008616</t>
  </si>
  <si>
    <t>E05008617</t>
  </si>
  <si>
    <t>E05008618</t>
  </si>
  <si>
    <t>E05008619</t>
  </si>
  <si>
    <t>E05008620</t>
  </si>
  <si>
    <t>E05008621</t>
  </si>
  <si>
    <t>E05008622</t>
  </si>
  <si>
    <t>E05008623</t>
  </si>
  <si>
    <t>E05008624</t>
  </si>
  <si>
    <t>E05008625</t>
  </si>
  <si>
    <t>E05008626</t>
  </si>
  <si>
    <t>E05008627</t>
  </si>
  <si>
    <t>E05008628</t>
  </si>
  <si>
    <t>E05008629</t>
  </si>
  <si>
    <t>E05008630</t>
  </si>
  <si>
    <t>E05008631</t>
  </si>
  <si>
    <t>E05008632</t>
  </si>
  <si>
    <t>E05008633</t>
  </si>
  <si>
    <t>E05008634</t>
  </si>
  <si>
    <t>E05008635</t>
  </si>
  <si>
    <t>E05008636</t>
  </si>
  <si>
    <t>E05008637</t>
  </si>
  <si>
    <t>E05008638</t>
  </si>
  <si>
    <t>E05008639</t>
  </si>
  <si>
    <t>E05008640</t>
  </si>
  <si>
    <t>E05008641</t>
  </si>
  <si>
    <t>E05008642</t>
  </si>
  <si>
    <t>E05008643</t>
  </si>
  <si>
    <t>E05008644</t>
  </si>
  <si>
    <t>E05008645</t>
  </si>
  <si>
    <t>E05008646</t>
  </si>
  <si>
    <t>E05008647</t>
  </si>
  <si>
    <t>E05008648</t>
  </si>
  <si>
    <t>E05008649</t>
  </si>
  <si>
    <t>E05008650</t>
  </si>
  <si>
    <t>E05008651</t>
  </si>
  <si>
    <t>E05008652</t>
  </si>
  <si>
    <t>E05008653</t>
  </si>
  <si>
    <t>E05008654</t>
  </si>
  <si>
    <t>E05008655</t>
  </si>
  <si>
    <t>E05008656</t>
  </si>
  <si>
    <t>E05008657</t>
  </si>
  <si>
    <t>E05008658</t>
  </si>
  <si>
    <t>E05008659</t>
  </si>
  <si>
    <t>E05008660</t>
  </si>
  <si>
    <t>E05008661</t>
  </si>
  <si>
    <t>E05008662</t>
  </si>
  <si>
    <t>E05008663</t>
  </si>
  <si>
    <t>E05008664</t>
  </si>
  <si>
    <t>E05008665</t>
  </si>
  <si>
    <t>E05008666</t>
  </si>
  <si>
    <t>E05008667</t>
  </si>
  <si>
    <t>E05008668</t>
  </si>
  <si>
    <t>E05008669</t>
  </si>
  <si>
    <t>E05008670</t>
  </si>
  <si>
    <t>E05008671</t>
  </si>
  <si>
    <t>E05008672</t>
  </si>
  <si>
    <t>E05008673</t>
  </si>
  <si>
    <t>E05008674</t>
  </si>
  <si>
    <t>E05008675</t>
  </si>
  <si>
    <t>E05008676</t>
  </si>
  <si>
    <t>E05008677</t>
  </si>
  <si>
    <t>E05008678</t>
  </si>
  <si>
    <t>E05008679</t>
  </si>
  <si>
    <t>E05008680</t>
  </si>
  <si>
    <t>E05008681</t>
  </si>
  <si>
    <t>E05008682</t>
  </si>
  <si>
    <t>E05008683</t>
  </si>
  <si>
    <t>E05008684</t>
  </si>
  <si>
    <t>E05008685</t>
  </si>
  <si>
    <t>E05008686</t>
  </si>
  <si>
    <t>E05008687</t>
  </si>
  <si>
    <t>E05008688</t>
  </si>
  <si>
    <t>E05008689</t>
  </si>
  <si>
    <t>E05008690</t>
  </si>
  <si>
    <t>E05008691</t>
  </si>
  <si>
    <t>E05008692</t>
  </si>
  <si>
    <t>E05008693</t>
  </si>
  <si>
    <t>E05008694</t>
  </si>
  <si>
    <t>E05008695</t>
  </si>
  <si>
    <t>E05008696</t>
  </si>
  <si>
    <t>E05008697</t>
  </si>
  <si>
    <t>E05008698</t>
  </si>
  <si>
    <t>E05008699</t>
  </si>
  <si>
    <t>E05008700</t>
  </si>
  <si>
    <t>E05008701</t>
  </si>
  <si>
    <t>E05008702</t>
  </si>
  <si>
    <t>E05008703</t>
  </si>
  <si>
    <t>E05008704</t>
  </si>
  <si>
    <t>E05008705</t>
  </si>
  <si>
    <t>E05008706</t>
  </si>
  <si>
    <t>E05008707</t>
  </si>
  <si>
    <t>E05008809</t>
  </si>
  <si>
    <t>E05008810</t>
  </si>
  <si>
    <t>E05008811</t>
  </si>
  <si>
    <t>E05008812</t>
  </si>
  <si>
    <t>E05008813</t>
  </si>
  <si>
    <t>E05008814</t>
  </si>
  <si>
    <t>E05008815</t>
  </si>
  <si>
    <t>E05008816</t>
  </si>
  <si>
    <t>E05008817</t>
  </si>
  <si>
    <t>E05008818</t>
  </si>
  <si>
    <t>E05008819</t>
  </si>
  <si>
    <t>E05008820</t>
  </si>
  <si>
    <t>E05008821</t>
  </si>
  <si>
    <t>E05008822</t>
  </si>
  <si>
    <t>E05008823</t>
  </si>
  <si>
    <t>Ethandune</t>
  </si>
  <si>
    <t>E05008824</t>
  </si>
  <si>
    <t>E05008825</t>
  </si>
  <si>
    <t>Boothville</t>
  </si>
  <si>
    <t>E05008826</t>
  </si>
  <si>
    <t>E05008827</t>
  </si>
  <si>
    <t>E05008828</t>
  </si>
  <si>
    <t>Delapre and Briar Hill</t>
  </si>
  <si>
    <t>E05008829</t>
  </si>
  <si>
    <t>E05008830</t>
  </si>
  <si>
    <t>Kings Heath</t>
  </si>
  <si>
    <t>E05008831</t>
  </si>
  <si>
    <t>E05008832</t>
  </si>
  <si>
    <t>E05008833</t>
  </si>
  <si>
    <t>E05008834</t>
  </si>
  <si>
    <t>E05008835</t>
  </si>
  <si>
    <t>E05008836</t>
  </si>
  <si>
    <t>E05008837</t>
  </si>
  <si>
    <t>Obelisk</t>
  </si>
  <si>
    <t>E05008838</t>
  </si>
  <si>
    <t>E05008839</t>
  </si>
  <si>
    <t>E05008840</t>
  </si>
  <si>
    <t>E05008841</t>
  </si>
  <si>
    <t>E05008842</t>
  </si>
  <si>
    <t>E05008843</t>
  </si>
  <si>
    <t>E05008844</t>
  </si>
  <si>
    <t>E05008845</t>
  </si>
  <si>
    <t>E05008846</t>
  </si>
  <si>
    <t>E05008847</t>
  </si>
  <si>
    <t>E05008848</t>
  </si>
  <si>
    <t>E05008849</t>
  </si>
  <si>
    <t>E05008850</t>
  </si>
  <si>
    <t>E05008851</t>
  </si>
  <si>
    <t>E05008852</t>
  </si>
  <si>
    <t>E05008853</t>
  </si>
  <si>
    <t>E05008854</t>
  </si>
  <si>
    <t>E05008855</t>
  </si>
  <si>
    <t>E05008856</t>
  </si>
  <si>
    <t>Phippsville</t>
  </si>
  <si>
    <t>Rectory Farm</t>
  </si>
  <si>
    <t>Rushmills</t>
  </si>
  <si>
    <t>Semilong</t>
  </si>
  <si>
    <t>Spring Park</t>
  </si>
  <si>
    <t>Sunnyside</t>
  </si>
  <si>
    <t>Talavera</t>
  </si>
  <si>
    <t>Westone</t>
  </si>
  <si>
    <t>* as created by The Northampton (Electoral Changes) Order 2011</t>
  </si>
  <si>
    <t xml:space="preserve">   The District of Basildon was granted Borough status on 26 October 2010</t>
  </si>
  <si>
    <t>* as created by The District of Epping Forest (Electoral Changes) Order 2001 and</t>
  </si>
  <si>
    <t>Ash and New Ash Green</t>
  </si>
  <si>
    <t>Gobowen, Selattyn and Weston Rhyn</t>
  </si>
  <si>
    <t>* as created by The South Derbyshire (Electoral Changes) Order 2011</t>
  </si>
  <si>
    <t>Alcombe</t>
  </si>
  <si>
    <t>Brendon Hills</t>
  </si>
  <si>
    <t>Dulverton and District</t>
  </si>
  <si>
    <t>Dunster and Timberscombe</t>
  </si>
  <si>
    <t>Greater Exmoor</t>
  </si>
  <si>
    <t>Minehead Central</t>
  </si>
  <si>
    <t>E05008916</t>
  </si>
  <si>
    <t>E05008917</t>
  </si>
  <si>
    <t>E05008918</t>
  </si>
  <si>
    <t>E05008919</t>
  </si>
  <si>
    <t>E05008920</t>
  </si>
  <si>
    <t>E05008921</t>
  </si>
  <si>
    <t>E05008922</t>
  </si>
  <si>
    <t>E05008923</t>
  </si>
  <si>
    <t>E05008924</t>
  </si>
  <si>
    <t>E05008925</t>
  </si>
  <si>
    <t>E05008926</t>
  </si>
  <si>
    <t>E05008927</t>
  </si>
  <si>
    <t>E05008928</t>
  </si>
  <si>
    <t>E05008929</t>
  </si>
  <si>
    <t>E05008930</t>
  </si>
  <si>
    <t>E05008931</t>
  </si>
  <si>
    <t>* as created by The West Somerset (Electoral Changes) Order 2011</t>
  </si>
  <si>
    <t>Axevale</t>
  </si>
  <si>
    <t>E05008893</t>
  </si>
  <si>
    <t>E05008894</t>
  </si>
  <si>
    <t>Bridgwater Dunwear</t>
  </si>
  <si>
    <t>E05008895</t>
  </si>
  <si>
    <t>E05008896</t>
  </si>
  <si>
    <t>Bridgwater Fairfax</t>
  </si>
  <si>
    <t>E05008897</t>
  </si>
  <si>
    <t>E05008898</t>
  </si>
  <si>
    <t>E05008899</t>
  </si>
  <si>
    <t>Bridgwater Westover</t>
  </si>
  <si>
    <t>E05008900</t>
  </si>
  <si>
    <t>Bridgwater Wyndham</t>
  </si>
  <si>
    <t>E05008901</t>
  </si>
  <si>
    <t>Burnham Central</t>
  </si>
  <si>
    <t>E05008902</t>
  </si>
  <si>
    <t>E05008903</t>
  </si>
  <si>
    <t>Cannington and Wembdon</t>
  </si>
  <si>
    <t>E05008904</t>
  </si>
  <si>
    <t>E05008905</t>
  </si>
  <si>
    <t>East Polden</t>
  </si>
  <si>
    <t>E05008906</t>
  </si>
  <si>
    <t>Highbridge and Burnham Marine</t>
  </si>
  <si>
    <t>E05008907</t>
  </si>
  <si>
    <t>E05008908</t>
  </si>
  <si>
    <t>E05008909</t>
  </si>
  <si>
    <t>E05008910</t>
  </si>
  <si>
    <t>E05008911</t>
  </si>
  <si>
    <t>Puriton and Woolavington</t>
  </si>
  <si>
    <t>E05008912</t>
  </si>
  <si>
    <t>Quantocks</t>
  </si>
  <si>
    <t>E05008913</t>
  </si>
  <si>
    <t>E05008914</t>
  </si>
  <si>
    <t>West Polden</t>
  </si>
  <si>
    <t>E05008915</t>
  </si>
  <si>
    <t>Abbott</t>
  </si>
  <si>
    <t>E05008857</t>
  </si>
  <si>
    <t>E05008858</t>
  </si>
  <si>
    <t>Brick Kiln</t>
  </si>
  <si>
    <t>E05008859</t>
  </si>
  <si>
    <t>E05008860</t>
  </si>
  <si>
    <t>Bull Farm and Pleasley Hill</t>
  </si>
  <si>
    <t>E05008861</t>
  </si>
  <si>
    <t>Carr Bank</t>
  </si>
  <si>
    <t>E05008862</t>
  </si>
  <si>
    <t>E05008863</t>
  </si>
  <si>
    <t>E05008864</t>
  </si>
  <si>
    <t>Holly</t>
  </si>
  <si>
    <t>E05008865</t>
  </si>
  <si>
    <t>Hornby</t>
  </si>
  <si>
    <t>E05008866</t>
  </si>
  <si>
    <t>Kings Walk</t>
  </si>
  <si>
    <t>E05008867</t>
  </si>
  <si>
    <t>E05008868</t>
  </si>
  <si>
    <t>E05008869</t>
  </si>
  <si>
    <t>E05008870</t>
  </si>
  <si>
    <t>Ling Forest</t>
  </si>
  <si>
    <t>E05008871</t>
  </si>
  <si>
    <t>E05008872</t>
  </si>
  <si>
    <t>Market Warsop</t>
  </si>
  <si>
    <t>E05008873</t>
  </si>
  <si>
    <t>Maun Valley</t>
  </si>
  <si>
    <t>E05008874</t>
  </si>
  <si>
    <t>E05008875</t>
  </si>
  <si>
    <t>Netherfield</t>
  </si>
  <si>
    <t>E05008876</t>
  </si>
  <si>
    <t>Newgate</t>
  </si>
  <si>
    <t>E05008877</t>
  </si>
  <si>
    <t>Newlands</t>
  </si>
  <si>
    <t>E05008878</t>
  </si>
  <si>
    <t>E05008879</t>
  </si>
  <si>
    <t>Oakham</t>
  </si>
  <si>
    <t>E05008880</t>
  </si>
  <si>
    <t>Park Hall</t>
  </si>
  <si>
    <t>E05008881</t>
  </si>
  <si>
    <t>Peafields</t>
  </si>
  <si>
    <t>E05008882</t>
  </si>
  <si>
    <t>Penniment</t>
  </si>
  <si>
    <t>E05008883</t>
  </si>
  <si>
    <t>E05008884</t>
  </si>
  <si>
    <t>Racecourse</t>
  </si>
  <si>
    <t>E05008885</t>
  </si>
  <si>
    <t>Ransom Wood</t>
  </si>
  <si>
    <t>E05008886</t>
  </si>
  <si>
    <t>Sandhurst</t>
  </si>
  <si>
    <t>E05008887</t>
  </si>
  <si>
    <t>E05008888</t>
  </si>
  <si>
    <t>Warsop Carrs</t>
  </si>
  <si>
    <t>E05008889</t>
  </si>
  <si>
    <t>E05008890</t>
  </si>
  <si>
    <t>E05008891</t>
  </si>
  <si>
    <t>Yeoman Hill</t>
  </si>
  <si>
    <t>E05008892</t>
  </si>
  <si>
    <t>* as created by The Mansfield (Electoral Changes) Order 2011</t>
  </si>
  <si>
    <t>Abbey Hulton and Townsend</t>
  </si>
  <si>
    <t>E05008714</t>
  </si>
  <si>
    <t>Baddeley, Milton and Norton</t>
  </si>
  <si>
    <t>E05008715</t>
  </si>
  <si>
    <t>Bentilee and Ubberley</t>
  </si>
  <si>
    <t>E05008716</t>
  </si>
  <si>
    <t>Birches Head and Central Forest Park</t>
  </si>
  <si>
    <t>E05008717</t>
  </si>
  <si>
    <t>Blurton East</t>
  </si>
  <si>
    <t>E05008718</t>
  </si>
  <si>
    <t>Blurton West and Newstead</t>
  </si>
  <si>
    <t>E05008719</t>
  </si>
  <si>
    <t>Boothen and Oak Hill</t>
  </si>
  <si>
    <t>E05008720</t>
  </si>
  <si>
    <t>Bradeley and Chell Heath</t>
  </si>
  <si>
    <t>E05008721</t>
  </si>
  <si>
    <t>Broadway and Longton East</t>
  </si>
  <si>
    <t>E05008722</t>
  </si>
  <si>
    <t>Burslem Central</t>
  </si>
  <si>
    <t>E05008723</t>
  </si>
  <si>
    <t>Burslem Park</t>
  </si>
  <si>
    <t>E05008724</t>
  </si>
  <si>
    <t>Dresden and Florence</t>
  </si>
  <si>
    <t>E05008725</t>
  </si>
  <si>
    <t>Eaton Park</t>
  </si>
  <si>
    <t>E05008726</t>
  </si>
  <si>
    <t>Etruria and Hanley</t>
  </si>
  <si>
    <t>E05008727</t>
  </si>
  <si>
    <t>Fenton East</t>
  </si>
  <si>
    <t>E05008728</t>
  </si>
  <si>
    <t>Fenton West and Mount Pleasant</t>
  </si>
  <si>
    <t>E05008729</t>
  </si>
  <si>
    <t>Ford Green and Smallthorne</t>
  </si>
  <si>
    <t>E05008730</t>
  </si>
  <si>
    <t>Goldenhill and Sandyford</t>
  </si>
  <si>
    <t>E05008731</t>
  </si>
  <si>
    <t>Great Chell and Packmoor</t>
  </si>
  <si>
    <t>E05008732</t>
  </si>
  <si>
    <t>E05008733</t>
  </si>
  <si>
    <t>Hanley Park and Shelton</t>
  </si>
  <si>
    <t>E05008734</t>
  </si>
  <si>
    <t>Hartshill and Basford</t>
  </si>
  <si>
    <t>E05008735</t>
  </si>
  <si>
    <t>Hollybush and Longton West</t>
  </si>
  <si>
    <t>E05008736</t>
  </si>
  <si>
    <t>Joiner's Square</t>
  </si>
  <si>
    <t>E05008737</t>
  </si>
  <si>
    <t>Lightwood North and Normacot</t>
  </si>
  <si>
    <t>E05008738</t>
  </si>
  <si>
    <t>Little Chell and Stanfield</t>
  </si>
  <si>
    <t>E05008739</t>
  </si>
  <si>
    <t>Meir Hay</t>
  </si>
  <si>
    <t>E05008740</t>
  </si>
  <si>
    <t>Meir North</t>
  </si>
  <si>
    <t>E05008741</t>
  </si>
  <si>
    <t>Meir Park</t>
  </si>
  <si>
    <t>E05008742</t>
  </si>
  <si>
    <t>Meir South</t>
  </si>
  <si>
    <t>E05008743</t>
  </si>
  <si>
    <t>Moorcroft</t>
  </si>
  <si>
    <t>E05008744</t>
  </si>
  <si>
    <t>Penkhull and Stoke</t>
  </si>
  <si>
    <t>E05008745</t>
  </si>
  <si>
    <t>Sandford Hill</t>
  </si>
  <si>
    <t>E05008746</t>
  </si>
  <si>
    <t>Sneyd Green</t>
  </si>
  <si>
    <t>E05008747</t>
  </si>
  <si>
    <t>Springfields and Trent Vale</t>
  </si>
  <si>
    <t>E05008748</t>
  </si>
  <si>
    <t>E05008749</t>
  </si>
  <si>
    <t>Weston Coyney</t>
  </si>
  <si>
    <t>E05008750</t>
  </si>
  <si>
    <t>* as created by The Stoke-on-Trent (Electoral Changes) Order 2011</t>
  </si>
  <si>
    <t>E05008542</t>
  </si>
  <si>
    <t>E05008543</t>
  </si>
  <si>
    <t>E05008544</t>
  </si>
  <si>
    <t>E05008545</t>
  </si>
  <si>
    <t>E05008599</t>
  </si>
  <si>
    <t>E05008600</t>
  </si>
  <si>
    <t>E05008546</t>
  </si>
  <si>
    <t>* as created by The District of Mid Devon (Electoral Changes) Order 1999 and</t>
  </si>
  <si>
    <t xml:space="preserve">   as altered by The Mid Devon (Related Alterations) Order 2009</t>
  </si>
  <si>
    <t>* as created by The District of East Devon (Electoral Changes) Order 1999 and</t>
  </si>
  <si>
    <t xml:space="preserve">   as altered by The East Devon (Related Alterations) Order 2009</t>
  </si>
  <si>
    <t>* as created by The District of Teignbridge (Electoral Changes) Order 1999 and</t>
  </si>
  <si>
    <t xml:space="preserve">   as altered by The Teignbridge (Electoral Changes) Order 2010</t>
  </si>
  <si>
    <t>* as created by The District of New Forest (Parishes and Electoral Changes) Order 2001 and</t>
  </si>
  <si>
    <t>E05008932</t>
  </si>
  <si>
    <t>E05008933</t>
  </si>
  <si>
    <t>E05008934</t>
  </si>
  <si>
    <t>E05008549</t>
  </si>
  <si>
    <t>E05008550</t>
  </si>
  <si>
    <t>* as created by The Borough of Kettering (Electoral Changes) Order 2006 and</t>
  </si>
  <si>
    <t xml:space="preserve">   as altered by The Kettering (Related Altertations) Order 2009</t>
  </si>
  <si>
    <t>* as created by The Borough of Maidstone (Electoral Changes) Order 2001 and</t>
  </si>
  <si>
    <t xml:space="preserve">   as altered by The Maidstone (Electoral Changes) Order 2008</t>
  </si>
  <si>
    <t>E05008553</t>
  </si>
  <si>
    <t>E05008554</t>
  </si>
  <si>
    <t>E05008555</t>
  </si>
  <si>
    <t>* as created by The Borough of Tewkesbury (Electoral Changes) Order 2001 and</t>
  </si>
  <si>
    <t xml:space="preserve">   as altered by The Tewkesbury (Related Alterations) Order 2009</t>
  </si>
  <si>
    <t>E05008563</t>
  </si>
  <si>
    <t>E05008564</t>
  </si>
  <si>
    <t>E05008565</t>
  </si>
  <si>
    <t>E05008566</t>
  </si>
  <si>
    <t>E05008567</t>
  </si>
  <si>
    <t>E05008568</t>
  </si>
  <si>
    <t>E05008569</t>
  </si>
  <si>
    <t>E05008570</t>
  </si>
  <si>
    <t>E05008571</t>
  </si>
  <si>
    <t>E05008572</t>
  </si>
  <si>
    <t>E05008573</t>
  </si>
  <si>
    <t>E05008574</t>
  </si>
  <si>
    <t>E05008575</t>
  </si>
  <si>
    <t xml:space="preserve">   as altered by The Epping Forest (Electoral Changes) Order 2011</t>
  </si>
  <si>
    <t>E05008940</t>
  </si>
  <si>
    <t>E05008941</t>
  </si>
  <si>
    <t>* as created by The District of North Norfolk (Electoral Changes) Order 2003 and</t>
  </si>
  <si>
    <t xml:space="preserve">    as altered by The North Norfolk (Related Alterations) Order 2009</t>
  </si>
  <si>
    <t>E05008556</t>
  </si>
  <si>
    <t>E05008557</t>
  </si>
  <si>
    <t>E05008551</t>
  </si>
  <si>
    <t>E05008552</t>
  </si>
  <si>
    <t>* as created by The Borough of Pendle (Electoral Changes) Order 2001 and</t>
  </si>
  <si>
    <t>E05008935</t>
  </si>
  <si>
    <t>E05008936</t>
  </si>
  <si>
    <t>* as created by The Borough of Rotherham (Electoral Changes) Order 2004 and</t>
  </si>
  <si>
    <t xml:space="preserve">   as altered by The Rotherham (Electoral Changes) Order 2010</t>
  </si>
  <si>
    <t>* as created by The Borough of Kirklees (Electoral Changes) Order 2003 and</t>
  </si>
  <si>
    <t xml:space="preserve">   as altered by The Kirklees (Related Alterations) Order 2010</t>
  </si>
  <si>
    <t>E05008558</t>
  </si>
  <si>
    <t>E05008559</t>
  </si>
  <si>
    <t>E05008560</t>
  </si>
  <si>
    <t>E05008561</t>
  </si>
  <si>
    <t>E05008562</t>
  </si>
  <si>
    <t xml:space="preserve">   as altered by The New Forest (Electoral Changes) Order 2011</t>
  </si>
  <si>
    <t>Halstead St Andrew's</t>
  </si>
  <si>
    <t>* as created by The Rushmoor (Electoral Changes) Order 2012</t>
  </si>
  <si>
    <t>Aldershot Park</t>
  </si>
  <si>
    <t>Cherrywood</t>
  </si>
  <si>
    <t>West Heath</t>
  </si>
  <si>
    <t>E05008989</t>
  </si>
  <si>
    <t>E05008990</t>
  </si>
  <si>
    <t>E05008991</t>
  </si>
  <si>
    <t>E05008992</t>
  </si>
  <si>
    <t>E05008993</t>
  </si>
  <si>
    <t>E05008994</t>
  </si>
  <si>
    <t>E05008995</t>
  </si>
  <si>
    <t>E05008996</t>
  </si>
  <si>
    <t>E05008997</t>
  </si>
  <si>
    <t>E05008998</t>
  </si>
  <si>
    <t>E05008999</t>
  </si>
  <si>
    <t>E05009000</t>
  </si>
  <si>
    <t>E05009001</t>
  </si>
  <si>
    <t>De Bruce</t>
  </si>
  <si>
    <t>Fens and Rossmere</t>
  </si>
  <si>
    <t>Headland and Harbour</t>
  </si>
  <si>
    <t>Jesmond</t>
  </si>
  <si>
    <t>Manor House</t>
  </si>
  <si>
    <t>E05008942</t>
  </si>
  <si>
    <t>E05008943</t>
  </si>
  <si>
    <t>E05008944</t>
  </si>
  <si>
    <t>E05008945</t>
  </si>
  <si>
    <t>E05008946</t>
  </si>
  <si>
    <t>E05008947</t>
  </si>
  <si>
    <t>E05008948</t>
  </si>
  <si>
    <t>E05008949</t>
  </si>
  <si>
    <t>E05008950</t>
  </si>
  <si>
    <t>E05008951</t>
  </si>
  <si>
    <t>E05008952</t>
  </si>
  <si>
    <t>* as created by The Hartlepool (Electoral Changes) Order 2012</t>
  </si>
  <si>
    <t>Cheshunt South and Theobalds</t>
  </si>
  <si>
    <t>Hoddesdon Town and Rye Park</t>
  </si>
  <si>
    <t>Rosedale and Bury Green</t>
  </si>
  <si>
    <t>Wormley and Turnford</t>
  </si>
  <si>
    <t>* as created by The Broxbourne (Electoral Changes) Order 2012</t>
  </si>
  <si>
    <t>E05009002</t>
  </si>
  <si>
    <t>E05009003</t>
  </si>
  <si>
    <t>E05009004</t>
  </si>
  <si>
    <t>E05009005</t>
  </si>
  <si>
    <t>E05009006</t>
  </si>
  <si>
    <t>E05009007</t>
  </si>
  <si>
    <t>E05009008</t>
  </si>
  <si>
    <t>E05009009</t>
  </si>
  <si>
    <t>E05009010</t>
  </si>
  <si>
    <t>E05009011</t>
  </si>
  <si>
    <t>Welwyn Hatfield CC (pt)</t>
  </si>
  <si>
    <t xml:space="preserve">   as altered by The St Albans (Parish Electoral Arrangements and Electoral Changes) Order 2007 and</t>
  </si>
  <si>
    <t xml:space="preserve">   The St Albans and Welwyn Hatfield (Boundary Change) Order 2012</t>
  </si>
  <si>
    <t>* as created by The Daventry (Electoral Changes) Order 2012</t>
  </si>
  <si>
    <t>Braunston and Welton</t>
  </si>
  <si>
    <t>E05009012</t>
  </si>
  <si>
    <t>E05009013</t>
  </si>
  <si>
    <t>E05009014</t>
  </si>
  <si>
    <t>E05009015</t>
  </si>
  <si>
    <t>E05009016</t>
  </si>
  <si>
    <t>E05009017</t>
  </si>
  <si>
    <t>E05009018</t>
  </si>
  <si>
    <t>E05009019</t>
  </si>
  <si>
    <t>E05009020</t>
  </si>
  <si>
    <t>E05009021</t>
  </si>
  <si>
    <t>E05009022</t>
  </si>
  <si>
    <t>E05009023</t>
  </si>
  <si>
    <t>E05009024</t>
  </si>
  <si>
    <t>E05009025</t>
  </si>
  <si>
    <t>E05009026</t>
  </si>
  <si>
    <t>E05009027</t>
  </si>
  <si>
    <t>Blunsdon and Highworth</t>
  </si>
  <si>
    <t>Chiseldon and Lawn</t>
  </si>
  <si>
    <t>Covingham and Dorcan</t>
  </si>
  <si>
    <t>Liden, Eldene and Park South</t>
  </si>
  <si>
    <t>Lydiard and Freshbrook</t>
  </si>
  <si>
    <t>Mannington and Western</t>
  </si>
  <si>
    <t>Penhill and Upper Stratton</t>
  </si>
  <si>
    <t>Priory Vale</t>
  </si>
  <si>
    <t>Rodbourne Cheney</t>
  </si>
  <si>
    <t>St Margaret and South Marston</t>
  </si>
  <si>
    <t>Walcot and Park North</t>
  </si>
  <si>
    <t>Wroughton and Wichelstowe</t>
  </si>
  <si>
    <t>E05008954</t>
  </si>
  <si>
    <t>E05008955</t>
  </si>
  <si>
    <t>E05008956</t>
  </si>
  <si>
    <t>E05008957</t>
  </si>
  <si>
    <t>E05008958</t>
  </si>
  <si>
    <t>E05008960</t>
  </si>
  <si>
    <t>E05008961</t>
  </si>
  <si>
    <t>E05008962</t>
  </si>
  <si>
    <t>E05008963</t>
  </si>
  <si>
    <t>E05008965</t>
  </si>
  <si>
    <t>E05008966</t>
  </si>
  <si>
    <t>E05008967</t>
  </si>
  <si>
    <t>E05008968</t>
  </si>
  <si>
    <t>E05008969</t>
  </si>
  <si>
    <t>E05008970</t>
  </si>
  <si>
    <t>E05008971</t>
  </si>
  <si>
    <t>E05008972</t>
  </si>
  <si>
    <t>E05008974</t>
  </si>
  <si>
    <t>E05008975</t>
  </si>
  <si>
    <t>Admirals and Cawston</t>
  </si>
  <si>
    <t>Clifton, Newton and Churchover</t>
  </si>
  <si>
    <t>Coton and Boughton</t>
  </si>
  <si>
    <t>Dunsmore</t>
  </si>
  <si>
    <t>Newbold and Brownsover</t>
  </si>
  <si>
    <t>Rokeby and Overslade</t>
  </si>
  <si>
    <t>Revel and Binley Woods</t>
  </si>
  <si>
    <t>Wolston and the Lawfords</t>
  </si>
  <si>
    <t>Wolvey and Shilton</t>
  </si>
  <si>
    <t>E05008976</t>
  </si>
  <si>
    <t>E05008977</t>
  </si>
  <si>
    <t>E05008979</t>
  </si>
  <si>
    <t>E05008980</t>
  </si>
  <si>
    <t>E05008981</t>
  </si>
  <si>
    <t>E05008982</t>
  </si>
  <si>
    <t>E05008983</t>
  </si>
  <si>
    <t>E05008984</t>
  </si>
  <si>
    <t>E05008985</t>
  </si>
  <si>
    <t>E05008988</t>
  </si>
  <si>
    <t>CITY OF CHELMSFORD</t>
  </si>
  <si>
    <t>CITY OF CHELMSFORD *</t>
  </si>
  <si>
    <t xml:space="preserve">   Borough granted City status on 14 March 2012</t>
  </si>
  <si>
    <t>E05009028</t>
  </si>
  <si>
    <t>* as created by The City of St Albans (Electoral Changes) Order 1998 and</t>
  </si>
  <si>
    <t>Altarnun</t>
  </si>
  <si>
    <t>Eastlands</t>
  </si>
  <si>
    <t>Hanford and Trentham</t>
  </si>
  <si>
    <t>Aycliffe North and Middridge</t>
  </si>
  <si>
    <t>Bishop Middleham and Cornforth</t>
  </si>
  <si>
    <t>Chester-le-Street East</t>
  </si>
  <si>
    <t>Chester-le-Street North</t>
  </si>
  <si>
    <t>Consett South</t>
  </si>
  <si>
    <t>Crook</t>
  </si>
  <si>
    <t>Deerness</t>
  </si>
  <si>
    <t>Delves Lane</t>
  </si>
  <si>
    <t>Elvet and Gilesgate</t>
  </si>
  <si>
    <t>Esh and Witton Gilbert</t>
  </si>
  <si>
    <t>North Lodge</t>
  </si>
  <si>
    <t>Passfield</t>
  </si>
  <si>
    <t>Shildon and Dene Valley</t>
  </si>
  <si>
    <t>Shotton and South Hetton</t>
  </si>
  <si>
    <t>Spennymoor</t>
  </si>
  <si>
    <t>Tow Law</t>
  </si>
  <si>
    <t>Trimdon and Thornley</t>
  </si>
  <si>
    <t>Willington and Hunwick</t>
  </si>
  <si>
    <t>UK Electoral quota</t>
  </si>
  <si>
    <t>* as created by The Durham (Electoral Changes) Order 2012</t>
  </si>
  <si>
    <t>E05009030</t>
  </si>
  <si>
    <t>E05008986</t>
  </si>
  <si>
    <t>E05009031</t>
  </si>
  <si>
    <t>E05009032</t>
  </si>
  <si>
    <t>E05009033</t>
  </si>
  <si>
    <t>E05009034</t>
  </si>
  <si>
    <t>E05009035</t>
  </si>
  <si>
    <t>E05009036</t>
  </si>
  <si>
    <t>E05009037</t>
  </si>
  <si>
    <t>E05009038</t>
  </si>
  <si>
    <t>E05009039</t>
  </si>
  <si>
    <t>E05009040</t>
  </si>
  <si>
    <t>E05009041</t>
  </si>
  <si>
    <t>E05009042</t>
  </si>
  <si>
    <t>E05009043</t>
  </si>
  <si>
    <t>E05009044</t>
  </si>
  <si>
    <t>E05009045</t>
  </si>
  <si>
    <t>E05009046</t>
  </si>
  <si>
    <t>E05009047</t>
  </si>
  <si>
    <t>E05009048</t>
  </si>
  <si>
    <t>E05009049</t>
  </si>
  <si>
    <t>E05009050</t>
  </si>
  <si>
    <t>E05009051</t>
  </si>
  <si>
    <t>E05009052</t>
  </si>
  <si>
    <t>E05009053</t>
  </si>
  <si>
    <t>E05009054</t>
  </si>
  <si>
    <t>E05009055</t>
  </si>
  <si>
    <t>E05009056</t>
  </si>
  <si>
    <t>E05009057</t>
  </si>
  <si>
    <t>E05009058</t>
  </si>
  <si>
    <t>E05009059</t>
  </si>
  <si>
    <t>E05009060</t>
  </si>
  <si>
    <t>E05009061</t>
  </si>
  <si>
    <t>E05009062</t>
  </si>
  <si>
    <t>E05009063</t>
  </si>
  <si>
    <t>E05009064</t>
  </si>
  <si>
    <t>E05009065</t>
  </si>
  <si>
    <t>E05009066</t>
  </si>
  <si>
    <t>E05009067</t>
  </si>
  <si>
    <t>E05009068</t>
  </si>
  <si>
    <t>E05009069</t>
  </si>
  <si>
    <t>E05009070</t>
  </si>
  <si>
    <t>E05009071</t>
  </si>
  <si>
    <t>E05009072</t>
  </si>
  <si>
    <t>E05009073</t>
  </si>
  <si>
    <t>E05009074</t>
  </si>
  <si>
    <t>E05009075</t>
  </si>
  <si>
    <t>E05009076</t>
  </si>
  <si>
    <t>E05009077</t>
  </si>
  <si>
    <t>E05009078</t>
  </si>
  <si>
    <t>E05009079</t>
  </si>
  <si>
    <t>E05009080</t>
  </si>
  <si>
    <t>E05009081</t>
  </si>
  <si>
    <t>E05009082</t>
  </si>
  <si>
    <t>E05009083</t>
  </si>
  <si>
    <t>E05009084</t>
  </si>
  <si>
    <t>E05009085</t>
  </si>
  <si>
    <t>E05009086</t>
  </si>
  <si>
    <t>E05009087</t>
  </si>
  <si>
    <t>E05009088</t>
  </si>
  <si>
    <t>E05009089</t>
  </si>
  <si>
    <t>E05009090</t>
  </si>
  <si>
    <t>E05009091</t>
  </si>
  <si>
    <t>E05009092</t>
  </si>
  <si>
    <t>E05008547</t>
  </si>
  <si>
    <t>Lye and Stourbridge North</t>
  </si>
  <si>
    <t>Cradley and Wollescote</t>
  </si>
  <si>
    <t>Frampton Cotterell</t>
  </si>
  <si>
    <t>Cullompton South</t>
  </si>
  <si>
    <t>Kingsteignton East</t>
  </si>
  <si>
    <t>Kingsteignton West</t>
  </si>
  <si>
    <t>Bransgore and Burley</t>
  </si>
  <si>
    <t>Wheaton Aston, Bishopswood and Lapley</t>
  </si>
  <si>
    <t>Pulborough and Coldwatham</t>
  </si>
  <si>
    <t>Trowbridge Lambrok</t>
  </si>
  <si>
    <t>Great Boughton</t>
  </si>
  <si>
    <t>Arlesey</t>
  </si>
  <si>
    <t>Broxbourne and Hoddesdon South</t>
  </si>
  <si>
    <t>Current</t>
  </si>
  <si>
    <t>Britwell and Northborough</t>
  </si>
  <si>
    <t>Elliman</t>
  </si>
  <si>
    <t>Haymill and Lynch Hill</t>
  </si>
  <si>
    <t>Langley Kedermister</t>
  </si>
  <si>
    <t>* as created by The Slough (Electoral Changes) Order 2012</t>
  </si>
  <si>
    <t>* as created by The County of Shropshire (Electoral Changes) Order 2009 and</t>
  </si>
  <si>
    <t xml:space="preserve">  as altered by The County of Shropshire (Electoral Changes) Order 2012</t>
  </si>
  <si>
    <t>* as created by The District of West Oxfordshire (Electoral Changes) Order 2001 and</t>
  </si>
  <si>
    <t>Druridge Bay</t>
  </si>
  <si>
    <t>Ponteland East and Stannington</t>
  </si>
  <si>
    <t>Prudhoe North</t>
  </si>
  <si>
    <t>Prudhoe South</t>
  </si>
  <si>
    <t>* as created by The Northumberland (Electoral Changes) Order 2011 and</t>
  </si>
  <si>
    <t xml:space="preserve">  as altered by The Gateshead and Northumbrland (Boundary Change) Order 2013</t>
  </si>
  <si>
    <t>Hexham CC (pt)</t>
  </si>
  <si>
    <t>Blaydon BC (pt)</t>
  </si>
  <si>
    <t>* as created by The Borough of Gateshead (Electoral Changes) Order 2004 and</t>
  </si>
  <si>
    <t>* as created by The District of East Hertfordshire (Electoral Changes) Order 1998 and</t>
  </si>
  <si>
    <t>* as created by The Borough of Stevenage (Electoral Changes) Order 1998 and</t>
  </si>
  <si>
    <t>Stevenage (pt)</t>
  </si>
  <si>
    <t>Bodmin St Leonard</t>
  </si>
  <si>
    <t>Bodmin St Mary's</t>
  </si>
  <si>
    <t>Bodmin St Petroc</t>
  </si>
  <si>
    <t>Breage, Germoe and Sithney</t>
  </si>
  <si>
    <t>Bude</t>
  </si>
  <si>
    <t>Camborne Pendarves</t>
  </si>
  <si>
    <t>Camborne Roskear</t>
  </si>
  <si>
    <t>Camborne Trelowarren</t>
  </si>
  <si>
    <t>Camborne Treslothan</t>
  </si>
  <si>
    <t>Camborne Treswithian</t>
  </si>
  <si>
    <t>Carharrack, Gwennap and St Day</t>
  </si>
  <si>
    <t>Chacewater, Kenwyn and Baldhu</t>
  </si>
  <si>
    <t>Constantine, Mawnan and Budock</t>
  </si>
  <si>
    <t>Crowan and Wendron</t>
  </si>
  <si>
    <t>Falmouth Smithick</t>
  </si>
  <si>
    <t>Feock and Playing Place</t>
  </si>
  <si>
    <t>Four Lanes</t>
  </si>
  <si>
    <t>Fowey and Tywardreath</t>
  </si>
  <si>
    <t>Grenville and Stratton</t>
  </si>
  <si>
    <t>Gunnislake and Calstock</t>
  </si>
  <si>
    <t>Helston South</t>
  </si>
  <si>
    <t>Lanivet and Blisland</t>
  </si>
  <si>
    <t>Lanner and Stithians</t>
  </si>
  <si>
    <t>Launceston North and North Petherwin</t>
  </si>
  <si>
    <t>Liskeard East</t>
  </si>
  <si>
    <t>Liskeard West and Dobwalls</t>
  </si>
  <si>
    <t>Lynher</t>
  </si>
  <si>
    <t>Mabe, Perranarworthal and St Gluvais</t>
  </si>
  <si>
    <t>Marazion and Perranuthnoe</t>
  </si>
  <si>
    <t>Mullion and Grade-Ruan</t>
  </si>
  <si>
    <t>Par and St Blazey Gate</t>
  </si>
  <si>
    <t>Penwithick and Boscoppa</t>
  </si>
  <si>
    <t>Pool and Tehidy</t>
  </si>
  <si>
    <t>Porthleven and Helston West</t>
  </si>
  <si>
    <t>Probus, Tregony and Grampound</t>
  </si>
  <si>
    <t>Rame Peninsular</t>
  </si>
  <si>
    <t>Saltash East</t>
  </si>
  <si>
    <t>Saltash North</t>
  </si>
  <si>
    <t>Saltash South</t>
  </si>
  <si>
    <t>Saltash West</t>
  </si>
  <si>
    <t>St Blazey</t>
  </si>
  <si>
    <t>St Columb Major</t>
  </si>
  <si>
    <t>St Dennis and Nanpean</t>
  </si>
  <si>
    <t>St Dominick, Harrowbarrow and Kelly Bray</t>
  </si>
  <si>
    <t>St Germans and Landulph</t>
  </si>
  <si>
    <t>St Issey and St Tudy</t>
  </si>
  <si>
    <t>St Just In Penwith</t>
  </si>
  <si>
    <t>St Mawgan and Colan</t>
  </si>
  <si>
    <t>St Minver and St Endellion</t>
  </si>
  <si>
    <t>St Stephen-In-Brannel</t>
  </si>
  <si>
    <t>St Teath and St Breward</t>
  </si>
  <si>
    <t>Trelawny</t>
  </si>
  <si>
    <t>Truro Redannick</t>
  </si>
  <si>
    <t>* as created by The Cornwall (Electoral Changes) Order 2013</t>
  </si>
  <si>
    <t>County Average (West Cheshire &amp; Chester) (3 seats)</t>
  </si>
  <si>
    <t>County Average (Plymouth) (2 seats)</t>
  </si>
  <si>
    <t>County Average (Durham) (5 seats)</t>
  </si>
  <si>
    <t>County Average (26 seats)</t>
  </si>
  <si>
    <t>County Average (25 seats)</t>
  </si>
  <si>
    <t>County Average (Hampshire) (13 seats)</t>
  </si>
  <si>
    <t>County Average (All) (15 seats)</t>
  </si>
  <si>
    <t>County Average (Lancashire) (12 seats)</t>
  </si>
  <si>
    <t>County Average (All) (14 seats)</t>
  </si>
  <si>
    <t>County Average (21 seats)</t>
  </si>
  <si>
    <t># paired with the Lonon Borough of Hammersmith and Fulham</t>
  </si>
  <si>
    <t>Crookham East</t>
  </si>
  <si>
    <t>Crookham West and Ewshot</t>
  </si>
  <si>
    <t>Fleet East</t>
  </si>
  <si>
    <t>* as created by The Hart (Electoral Changes) Order 2014</t>
  </si>
  <si>
    <t xml:space="preserve">   as altered by The District of West Oxfordshire (Electoral Changes) Order 2012</t>
  </si>
  <si>
    <t xml:space="preserve">   as altered by The East Hertfordshire and Stevenage (Boundary Change) Order 2013</t>
  </si>
  <si>
    <t xml:space="preserve">   as altered by The Gateshead and Northumberland (Boundary Change) Order 2013</t>
  </si>
  <si>
    <t>LONDON REGION</t>
  </si>
  <si>
    <t>E05009337</t>
  </si>
  <si>
    <t>E05009338</t>
  </si>
  <si>
    <t>E05009339</t>
  </si>
  <si>
    <t>E05009340</t>
  </si>
  <si>
    <t>E05009341</t>
  </si>
  <si>
    <t>E05009342</t>
  </si>
  <si>
    <t>E05009343</t>
  </si>
  <si>
    <t>E05009344</t>
  </si>
  <si>
    <t>E05009345</t>
  </si>
  <si>
    <t>E05009346</t>
  </si>
  <si>
    <t>E05009347</t>
  </si>
  <si>
    <t>E05009348</t>
  </si>
  <si>
    <t>E05009349</t>
  </si>
  <si>
    <t>E05009350</t>
  </si>
  <si>
    <t>E05009351</t>
  </si>
  <si>
    <t>E05009352</t>
  </si>
  <si>
    <t>E05009353</t>
  </si>
  <si>
    <t>E05009354</t>
  </si>
  <si>
    <t>E05009355</t>
  </si>
  <si>
    <t>E05009356</t>
  </si>
  <si>
    <t>E05009357</t>
  </si>
  <si>
    <t>E05009358</t>
  </si>
  <si>
    <t>E05009359</t>
  </si>
  <si>
    <t>E05009360</t>
  </si>
  <si>
    <t>E05009361</t>
  </si>
  <si>
    <t>E05009362</t>
  </si>
  <si>
    <t>E05009363</t>
  </si>
  <si>
    <t>E05009364</t>
  </si>
  <si>
    <t>E05009365</t>
  </si>
  <si>
    <t>E05009287</t>
  </si>
  <si>
    <t>E05009281</t>
  </si>
  <si>
    <t>E05009282</t>
  </si>
  <si>
    <t>E05009283</t>
  </si>
  <si>
    <t>E05009284</t>
  </si>
  <si>
    <t>E05009285</t>
  </si>
  <si>
    <t>E05009286</t>
  </si>
  <si>
    <t>E05009315</t>
  </si>
  <si>
    <t>E05009316</t>
  </si>
  <si>
    <t>E05009159</t>
  </si>
  <si>
    <t>E05009160</t>
  </si>
  <si>
    <t>E05009161</t>
  </si>
  <si>
    <t>E05009162</t>
  </si>
  <si>
    <t>E05009163</t>
  </si>
  <si>
    <t>E05009164</t>
  </si>
  <si>
    <t>E05009165</t>
  </si>
  <si>
    <t>E05009166</t>
  </si>
  <si>
    <t>E05009167</t>
  </si>
  <si>
    <t>E05009168</t>
  </si>
  <si>
    <t>E05009169</t>
  </si>
  <si>
    <t>E05009170</t>
  </si>
  <si>
    <t>E05009171</t>
  </si>
  <si>
    <t>E05009172</t>
  </si>
  <si>
    <t>E05009173</t>
  </si>
  <si>
    <t>E05009174</t>
  </si>
  <si>
    <t>E05009175</t>
  </si>
  <si>
    <t>E05009176</t>
  </si>
  <si>
    <t>E05009177</t>
  </si>
  <si>
    <t>E05009178</t>
  </si>
  <si>
    <t>E05009179</t>
  </si>
  <si>
    <t>E05009180</t>
  </si>
  <si>
    <t>E05009181</t>
  </si>
  <si>
    <t>E05009182</t>
  </si>
  <si>
    <t>E05009183</t>
  </si>
  <si>
    <t>E05009184</t>
  </si>
  <si>
    <t>E05009185</t>
  </si>
  <si>
    <t>E05009186</t>
  </si>
  <si>
    <t>E05009187</t>
  </si>
  <si>
    <t>E05009188</t>
  </si>
  <si>
    <t>E05009189</t>
  </si>
  <si>
    <t>E05009190</t>
  </si>
  <si>
    <t>E05009191</t>
  </si>
  <si>
    <t>E05009192</t>
  </si>
  <si>
    <t>E05009193</t>
  </si>
  <si>
    <t>E05009194</t>
  </si>
  <si>
    <t>E05009195</t>
  </si>
  <si>
    <t>E05009196</t>
  </si>
  <si>
    <t>E05009197</t>
  </si>
  <si>
    <t>E05009198</t>
  </si>
  <si>
    <t>E05009199</t>
  </si>
  <si>
    <t>E05009200</t>
  </si>
  <si>
    <t>E05009201</t>
  </si>
  <si>
    <t>E05009202</t>
  </si>
  <si>
    <t>E05009203</t>
  </si>
  <si>
    <t>E05009204</t>
  </si>
  <si>
    <t>E05009205</t>
  </si>
  <si>
    <t>E05009206</t>
  </si>
  <si>
    <t>E05009207</t>
  </si>
  <si>
    <t>E05009208</t>
  </si>
  <si>
    <t>E05009209</t>
  </si>
  <si>
    <t>E05009210</t>
  </si>
  <si>
    <t>E05009211</t>
  </si>
  <si>
    <t>E05009212</t>
  </si>
  <si>
    <t>E05009213</t>
  </si>
  <si>
    <t>E05009214</t>
  </si>
  <si>
    <t>E05009215</t>
  </si>
  <si>
    <t>E05009216</t>
  </si>
  <si>
    <t>E05009217</t>
  </si>
  <si>
    <t>E05009218</t>
  </si>
  <si>
    <t>E05009219</t>
  </si>
  <si>
    <t>E05009220</t>
  </si>
  <si>
    <t>E05009221</t>
  </si>
  <si>
    <t>E05009222</t>
  </si>
  <si>
    <t>E05009223</t>
  </si>
  <si>
    <t>E05009224</t>
  </si>
  <si>
    <t>E05009225</t>
  </si>
  <si>
    <t>E05009226</t>
  </si>
  <si>
    <t>E05009227</t>
  </si>
  <si>
    <t>E05009228</t>
  </si>
  <si>
    <t>E05009229</t>
  </si>
  <si>
    <t>E05009230</t>
  </si>
  <si>
    <t>E05009231</t>
  </si>
  <si>
    <t>E05009232</t>
  </si>
  <si>
    <t>E05009233</t>
  </si>
  <si>
    <t>E05009234</t>
  </si>
  <si>
    <t>E05009235</t>
  </si>
  <si>
    <t>E05009236</t>
  </si>
  <si>
    <t>E05009237</t>
  </si>
  <si>
    <t>E05009238</t>
  </si>
  <si>
    <t>E05009239</t>
  </si>
  <si>
    <t>E05009240</t>
  </si>
  <si>
    <t>E05009241</t>
  </si>
  <si>
    <t>E05009242</t>
  </si>
  <si>
    <t>E05009243</t>
  </si>
  <si>
    <t>E05009244</t>
  </si>
  <si>
    <t>E05009245</t>
  </si>
  <si>
    <t>E05009246</t>
  </si>
  <si>
    <t>E05009247</t>
  </si>
  <si>
    <t>E05009248</t>
  </si>
  <si>
    <t>E05009249</t>
  </si>
  <si>
    <t>E05009250</t>
  </si>
  <si>
    <t>E05009251</t>
  </si>
  <si>
    <t>E05009252</t>
  </si>
  <si>
    <t>E05009253</t>
  </si>
  <si>
    <t>E05009254</t>
  </si>
  <si>
    <t>E05009255</t>
  </si>
  <si>
    <t>E05009256</t>
  </si>
  <si>
    <t>E05009257</t>
  </si>
  <si>
    <t>E05009258</t>
  </si>
  <si>
    <t>E05009259</t>
  </si>
  <si>
    <t>E05009260</t>
  </si>
  <si>
    <t>E05009261</t>
  </si>
  <si>
    <t>E05009262</t>
  </si>
  <si>
    <t>E05009263</t>
  </si>
  <si>
    <t>E05009264</t>
  </si>
  <si>
    <t>E05009265</t>
  </si>
  <si>
    <t>E05009266</t>
  </si>
  <si>
    <t>E05009267</t>
  </si>
  <si>
    <t>E05009268</t>
  </si>
  <si>
    <t>E05009269</t>
  </si>
  <si>
    <t>E05009270</t>
  </si>
  <si>
    <t>E05009271</t>
  </si>
  <si>
    <t>E05009272</t>
  </si>
  <si>
    <t>E05009273</t>
  </si>
  <si>
    <t>E05009274</t>
  </si>
  <si>
    <t>E05009275</t>
  </si>
  <si>
    <t>E05009276</t>
  </si>
  <si>
    <t>E05009277</t>
  </si>
  <si>
    <t>E05009278</t>
  </si>
  <si>
    <t>E05009279</t>
  </si>
  <si>
    <t>E05009280</t>
  </si>
  <si>
    <t>E05009093</t>
  </si>
  <si>
    <t>E05009094</t>
  </si>
  <si>
    <t>E05009095</t>
  </si>
  <si>
    <t>E05009096</t>
  </si>
  <si>
    <t>E05009097</t>
  </si>
  <si>
    <t>E05009098</t>
  </si>
  <si>
    <t>E05009099</t>
  </si>
  <si>
    <t>E05009100</t>
  </si>
  <si>
    <t>E05009101</t>
  </si>
  <si>
    <t>E05009102</t>
  </si>
  <si>
    <t>E05009103</t>
  </si>
  <si>
    <t>E05009104</t>
  </si>
  <si>
    <t>E05009105</t>
  </si>
  <si>
    <t>E05009106</t>
  </si>
  <si>
    <t>E05009107</t>
  </si>
  <si>
    <t>E05009108</t>
  </si>
  <si>
    <t>E05009109</t>
  </si>
  <si>
    <t>E05009110</t>
  </si>
  <si>
    <t>E05009111</t>
  </si>
  <si>
    <t>E05009112</t>
  </si>
  <si>
    <t>E05009113</t>
  </si>
  <si>
    <t>E05009114</t>
  </si>
  <si>
    <t>E05009115</t>
  </si>
  <si>
    <t>E05009116</t>
  </si>
  <si>
    <t>E05009117</t>
  </si>
  <si>
    <t>E05009118</t>
  </si>
  <si>
    <t>E05009119</t>
  </si>
  <si>
    <t>E05009120</t>
  </si>
  <si>
    <t>E05009121</t>
  </si>
  <si>
    <t>E05009122</t>
  </si>
  <si>
    <t>E05009123</t>
  </si>
  <si>
    <t>E05009124</t>
  </si>
  <si>
    <t>E05009125</t>
  </si>
  <si>
    <t>E05009126</t>
  </si>
  <si>
    <t>E05009127</t>
  </si>
  <si>
    <t>E05009128</t>
  </si>
  <si>
    <t>E05009129</t>
  </si>
  <si>
    <t>E05009130</t>
  </si>
  <si>
    <t>E05009131</t>
  </si>
  <si>
    <t>E05009132</t>
  </si>
  <si>
    <t>E05009133</t>
  </si>
  <si>
    <t>E05009134</t>
  </si>
  <si>
    <t>E05009135</t>
  </si>
  <si>
    <t>E05009136</t>
  </si>
  <si>
    <t>E05009137</t>
  </si>
  <si>
    <t>E05009138</t>
  </si>
  <si>
    <t>E05009139</t>
  </si>
  <si>
    <t>E05009140</t>
  </si>
  <si>
    <t>E05009141</t>
  </si>
  <si>
    <t>E05009142</t>
  </si>
  <si>
    <t>E05009143</t>
  </si>
  <si>
    <t>E05009144</t>
  </si>
  <si>
    <t>E05009145</t>
  </si>
  <si>
    <t>E05009146</t>
  </si>
  <si>
    <t>E05009147</t>
  </si>
  <si>
    <t>E05009148</t>
  </si>
  <si>
    <t>E05009149</t>
  </si>
  <si>
    <t>E05009150</t>
  </si>
  <si>
    <t>E05009151</t>
  </si>
  <si>
    <t>E05009152</t>
  </si>
  <si>
    <t>E05009153</t>
  </si>
  <si>
    <t>E05009154</t>
  </si>
  <si>
    <t>E05009155</t>
  </si>
  <si>
    <t>E05009156</t>
  </si>
  <si>
    <t>E05009157</t>
  </si>
  <si>
    <t>E05009158</t>
  </si>
  <si>
    <t>Looe West, Lansallos and Lanteglos</t>
  </si>
  <si>
    <t>* as created by The Borough of Wirral (Electoral Changes) Order 2003</t>
  </si>
  <si>
    <t>* as created by The District of Craven (Electoral Changes) Order 2000 and</t>
  </si>
  <si>
    <t xml:space="preserve">  as altered by The District of Craven (Electoral Changes) Order 2012</t>
  </si>
  <si>
    <t xml:space="preserve">   as altered by The Pendle (Related Alterations) Order 2011</t>
  </si>
  <si>
    <t>Framwellgate and Newton Hall</t>
  </si>
  <si>
    <t>Hackney Wick</t>
  </si>
  <si>
    <t>Homerton</t>
  </si>
  <si>
    <t>Hoxton East &amp; Shoreditch</t>
  </si>
  <si>
    <t>Hoxton West</t>
  </si>
  <si>
    <t>London Fields</t>
  </si>
  <si>
    <t>Shacklewell</t>
  </si>
  <si>
    <t>Stamford Hill West</t>
  </si>
  <si>
    <t>Stoke Newington</t>
  </si>
  <si>
    <t>Woodberry Down</t>
  </si>
  <si>
    <t>* as created by The Hackney (Electoral Changes) Order 2013</t>
  </si>
  <si>
    <t>E05009367</t>
  </si>
  <si>
    <t>E05009368</t>
  </si>
  <si>
    <t>E05009369</t>
  </si>
  <si>
    <t>E05009370</t>
  </si>
  <si>
    <t>E05009371</t>
  </si>
  <si>
    <t>E05009372</t>
  </si>
  <si>
    <t>E05009373</t>
  </si>
  <si>
    <t>E05009374</t>
  </si>
  <si>
    <t>E05009375</t>
  </si>
  <si>
    <t>E05009376</t>
  </si>
  <si>
    <t>E05009377</t>
  </si>
  <si>
    <t>E05009378</t>
  </si>
  <si>
    <t>E05009379</t>
  </si>
  <si>
    <t>E05009380</t>
  </si>
  <si>
    <t>E05009381</t>
  </si>
  <si>
    <t>E05009382</t>
  </si>
  <si>
    <t>E05009383</t>
  </si>
  <si>
    <t>E05009384</t>
  </si>
  <si>
    <t>E05009385</t>
  </si>
  <si>
    <t>E05009386</t>
  </si>
  <si>
    <t>E05009387</t>
  </si>
  <si>
    <t>E05009388</t>
  </si>
  <si>
    <t>Brompton &amp; Hans Town</t>
  </si>
  <si>
    <t>E05009389</t>
  </si>
  <si>
    <t>E05009390</t>
  </si>
  <si>
    <t>Chelsea Riverside</t>
  </si>
  <si>
    <t>E05009391</t>
  </si>
  <si>
    <t>E05009392</t>
  </si>
  <si>
    <t>E05009393</t>
  </si>
  <si>
    <t>Dalgarno</t>
  </si>
  <si>
    <t>E05009394</t>
  </si>
  <si>
    <t>E05009395</t>
  </si>
  <si>
    <t>E05009396</t>
  </si>
  <si>
    <t>E05009397</t>
  </si>
  <si>
    <t>E05009398</t>
  </si>
  <si>
    <t>Notting Dale</t>
  </si>
  <si>
    <t>E05009399</t>
  </si>
  <si>
    <t>E05009400</t>
  </si>
  <si>
    <t>E05009401</t>
  </si>
  <si>
    <t>E05009402</t>
  </si>
  <si>
    <t>E05009403</t>
  </si>
  <si>
    <t>E05009404</t>
  </si>
  <si>
    <t>E05009405</t>
  </si>
  <si>
    <t>* as created by The Kensington and Chelsea (Electoral Changes) Order 2014</t>
  </si>
  <si>
    <t>Bethnal Green</t>
  </si>
  <si>
    <t>Blackwall &amp; Cubitt Town</t>
  </si>
  <si>
    <t>Bromley North</t>
  </si>
  <si>
    <t>Bromley South</t>
  </si>
  <si>
    <t>Canary Wharf</t>
  </si>
  <si>
    <t>Island Gardens</t>
  </si>
  <si>
    <t>Lansbury</t>
  </si>
  <si>
    <t>St Dunstan's</t>
  </si>
  <si>
    <t>St Katherine's &amp; Wapping</t>
  </si>
  <si>
    <t>Spitalfields &amp; Banglatown</t>
  </si>
  <si>
    <t>Stepney Green</t>
  </si>
  <si>
    <t>* as created by The Tower Hamlets (Electoral Changes) Order 2013</t>
  </si>
  <si>
    <t>E05009317</t>
  </si>
  <si>
    <t>E05009318</t>
  </si>
  <si>
    <t>E05009319</t>
  </si>
  <si>
    <t>E05009320</t>
  </si>
  <si>
    <t>E05009321</t>
  </si>
  <si>
    <t>E05009322</t>
  </si>
  <si>
    <t>E05009323</t>
  </si>
  <si>
    <t>E05009324</t>
  </si>
  <si>
    <t>E05009325</t>
  </si>
  <si>
    <t>E05009326</t>
  </si>
  <si>
    <t>E05009327</t>
  </si>
  <si>
    <t>E05009328</t>
  </si>
  <si>
    <t>E05009329</t>
  </si>
  <si>
    <t>E05009330</t>
  </si>
  <si>
    <t>E05009331</t>
  </si>
  <si>
    <t>E05009332</t>
  </si>
  <si>
    <t>E05009333</t>
  </si>
  <si>
    <t>E05009334</t>
  </si>
  <si>
    <t>E05009335</t>
  </si>
  <si>
    <t>E05009336</t>
  </si>
  <si>
    <t>Bletchley East</t>
  </si>
  <si>
    <t>Bletchley Park</t>
  </si>
  <si>
    <t>Bletchley West</t>
  </si>
  <si>
    <t>Campbell Park &amp; Old Woughton</t>
  </si>
  <si>
    <t>Central Milton Keynes</t>
  </si>
  <si>
    <t>Danesborough &amp; Walton</t>
  </si>
  <si>
    <t>Loughton &amp; Shenley</t>
  </si>
  <si>
    <t>Monkston</t>
  </si>
  <si>
    <t>Newport Pagnell North &amp; Hanslope</t>
  </si>
  <si>
    <t>Shenley Brook End</t>
  </si>
  <si>
    <t>Tattenhoe</t>
  </si>
  <si>
    <t>Woughton &amp; Fishermead</t>
  </si>
  <si>
    <t>* as created by The Milton Keynes (Electoral Changes) Order 2014</t>
  </si>
  <si>
    <t>E05009406</t>
  </si>
  <si>
    <t>E05009407</t>
  </si>
  <si>
    <t>E05009408</t>
  </si>
  <si>
    <t>E05009409</t>
  </si>
  <si>
    <t>E05009410</t>
  </si>
  <si>
    <t>E05009411</t>
  </si>
  <si>
    <t>E05009412</t>
  </si>
  <si>
    <t>E05009413</t>
  </si>
  <si>
    <t>E05009414</t>
  </si>
  <si>
    <t>E05009415</t>
  </si>
  <si>
    <t>E05009416</t>
  </si>
  <si>
    <t>E05009417</t>
  </si>
  <si>
    <t>E05009418</t>
  </si>
  <si>
    <t>E05009419</t>
  </si>
  <si>
    <t>E05009420</t>
  </si>
  <si>
    <t>E05009421</t>
  </si>
  <si>
    <t>E05009422</t>
  </si>
  <si>
    <t>E05009423</t>
  </si>
  <si>
    <t>E05009424</t>
  </si>
  <si>
    <t>E05009425</t>
  </si>
  <si>
    <t>Abbots Langley &amp; Bedmond</t>
  </si>
  <si>
    <t>E05009426</t>
  </si>
  <si>
    <t>E05009427</t>
  </si>
  <si>
    <t>Chorleywood North &amp; Sarratt</t>
  </si>
  <si>
    <t>E05009428</t>
  </si>
  <si>
    <t>Chorleywood South &amp; Maple Cross</t>
  </si>
  <si>
    <t>E05009429</t>
  </si>
  <si>
    <t>Dickinsons</t>
  </si>
  <si>
    <t>E05009430</t>
  </si>
  <si>
    <t>Durrants</t>
  </si>
  <si>
    <t>E05009431</t>
  </si>
  <si>
    <t>Gade Valley</t>
  </si>
  <si>
    <t>E05009432</t>
  </si>
  <si>
    <t>E05009433</t>
  </si>
  <si>
    <t>E05009434</t>
  </si>
  <si>
    <t>Oxhey Hall &amp; Hayling</t>
  </si>
  <si>
    <t>E05009435</t>
  </si>
  <si>
    <t>Penn &amp; Mill End</t>
  </si>
  <si>
    <t>E05009436</t>
  </si>
  <si>
    <t>Rickmansworth Town</t>
  </si>
  <si>
    <t>E05009437</t>
  </si>
  <si>
    <t>South Oxhey</t>
  </si>
  <si>
    <t>* as created by The Three Rivers (Electoral Changes) Order 2014</t>
  </si>
  <si>
    <t>NOTTINGHAMSHIRE &amp; NOTTINGHAM</t>
  </si>
  <si>
    <t>* as created by The Essex (Boroughs of Colchester, Southend-on-Sea and Thurrock and District of Tendring) (Structural, Boundary and Electoral Changes) Order 1996</t>
  </si>
  <si>
    <t>"CLEVELAND" #</t>
  </si>
  <si>
    <t>LEICESTERSHIRE, LEICESTER &amp; RUTLAND</t>
  </si>
  <si>
    <t>CHESHIRE, HALTON &amp; WARRINGTON</t>
  </si>
  <si>
    <t>HAMPSHIRE, PORTSMOUTH &amp; SOUTHAMPTON</t>
  </si>
  <si>
    <t>BUCKINGHAMSHIRE &amp; MILTON KEYNES</t>
  </si>
  <si>
    <t>"AVON" #</t>
  </si>
  <si>
    <t>WILTSHIRE &amp; SWINDON</t>
  </si>
  <si>
    <t>* as created by The District of Bolsover (Electoral Changes) Order 1999 and</t>
  </si>
  <si>
    <t xml:space="preserve">   The Bolsover (Electoral Changes) Order 2014</t>
  </si>
  <si>
    <t>E05009313</t>
  </si>
  <si>
    <t>Victoria &amp; Norcross</t>
  </si>
  <si>
    <t>Brock with Catterrall</t>
  </si>
  <si>
    <t>Hambleton &amp; Stalmine</t>
  </si>
  <si>
    <t>Hardhorn with High Cross</t>
  </si>
  <si>
    <t>Marsh Mill</t>
  </si>
  <si>
    <t>Stanah</t>
  </si>
  <si>
    <t>Pheasant's Wood</t>
  </si>
  <si>
    <t>* as created by The Wyre (Electoral Changes) Order 2014</t>
  </si>
  <si>
    <t>Alvechurch South</t>
  </si>
  <si>
    <t>Alvechurch Village</t>
  </si>
  <si>
    <t>Aston Fields</t>
  </si>
  <si>
    <t>Avoncroft</t>
  </si>
  <si>
    <t>Barnt Green &amp; Hopwood</t>
  </si>
  <si>
    <t>Belbroughton &amp; Romsley</t>
  </si>
  <si>
    <t>Bromsgrove Central</t>
  </si>
  <si>
    <t>Catshill North</t>
  </si>
  <si>
    <t>Catshill South</t>
  </si>
  <si>
    <t>Cofton</t>
  </si>
  <si>
    <t>Drakes Cross</t>
  </si>
  <si>
    <t>Hagley East</t>
  </si>
  <si>
    <t>Hagley West</t>
  </si>
  <si>
    <t>Hill Top</t>
  </si>
  <si>
    <t>Hollywood</t>
  </si>
  <si>
    <t>Lickey Hills</t>
  </si>
  <si>
    <t>Wythall West</t>
  </si>
  <si>
    <t>Wythall East</t>
  </si>
  <si>
    <t>Sanders Park</t>
  </si>
  <si>
    <t>Rubery South</t>
  </si>
  <si>
    <t>Rubery North</t>
  </si>
  <si>
    <t>Rock Hill</t>
  </si>
  <si>
    <t>Perryfields</t>
  </si>
  <si>
    <t>Lowes Hill</t>
  </si>
  <si>
    <t>* as created by The Bromsgrove (Electoral Changes) Order 2014</t>
  </si>
  <si>
    <t>Huby</t>
  </si>
  <si>
    <t>Hutton Rudby</t>
  </si>
  <si>
    <t>Northallerton North &amp; Brompton</t>
  </si>
  <si>
    <t>Northallerton South</t>
  </si>
  <si>
    <t>Osmotherley &amp; Swainby</t>
  </si>
  <si>
    <t>Raskelf &amp; White Horse</t>
  </si>
  <si>
    <t>Sowerby &amp; Topcliffe</t>
  </si>
  <si>
    <t>Appleton Wiske &amp; Smeatons</t>
  </si>
  <si>
    <t>Bagby &amp; Thorntons</t>
  </si>
  <si>
    <t>* as created by The Hambleton (Electoral Changes) Order 2014</t>
  </si>
  <si>
    <t>Elstow and Stewartby</t>
  </si>
  <si>
    <t>All Saints &amp; Wayland</t>
  </si>
  <si>
    <t>Ashill</t>
  </si>
  <si>
    <t>Attleborough Burgh &amp; Haverscroft</t>
  </si>
  <si>
    <t>Attleborough Queens &amp; Besthorpe</t>
  </si>
  <si>
    <t>Dereham Neatherd</t>
  </si>
  <si>
    <t>Dereham Toftwood</t>
  </si>
  <si>
    <t>Dereham Withburga</t>
  </si>
  <si>
    <t>Guiltcross</t>
  </si>
  <si>
    <t>Harling &amp; Heathlands</t>
  </si>
  <si>
    <t>Mattishall</t>
  </si>
  <si>
    <t>Saham Toney</t>
  </si>
  <si>
    <t>Shipdham-with-Scarning</t>
  </si>
  <si>
    <t>The Buckenhams &amp; Banham</t>
  </si>
  <si>
    <t>Thetford Boudica</t>
  </si>
  <si>
    <t>Thetford Burrell</t>
  </si>
  <si>
    <t>Thetford Castle</t>
  </si>
  <si>
    <t>Thetford Priory</t>
  </si>
  <si>
    <t>* as created by The Breckland (Electoral Changes) Order 2014</t>
  </si>
  <si>
    <t>Beltinge</t>
  </si>
  <si>
    <t>Chartham &amp; Stone Street</t>
  </si>
  <si>
    <t>Chestfield</t>
  </si>
  <si>
    <t>Herne &amp; Broomfield</t>
  </si>
  <si>
    <t>Little Stour &amp; Adisham</t>
  </si>
  <si>
    <t>Nailbourne</t>
  </si>
  <si>
    <t>St Stephen's</t>
  </si>
  <si>
    <t>Sturry</t>
  </si>
  <si>
    <t>Swalecliffe</t>
  </si>
  <si>
    <t>* as created by The Canterbury (Electoral Changes) Order 2014</t>
  </si>
  <si>
    <t>Coningsby &amp; Mareham</t>
  </si>
  <si>
    <t>Friskney</t>
  </si>
  <si>
    <t>Fulstow</t>
  </si>
  <si>
    <t>Hagworthingham</t>
  </si>
  <si>
    <t>Holton-le-Clay &amp; North Thoresby</t>
  </si>
  <si>
    <t>Mablethorpe</t>
  </si>
  <si>
    <t>Marshchapel &amp; Somercotes</t>
  </si>
  <si>
    <t>Priory &amp; St James'</t>
  </si>
  <si>
    <t>Scarbrough &amp; Seacroft</t>
  </si>
  <si>
    <t>Sibsey &amp; Stickney</t>
  </si>
  <si>
    <t>Sutton on Sea</t>
  </si>
  <si>
    <t>Tetford &amp; Donington</t>
  </si>
  <si>
    <t>Wainfleet</t>
  </si>
  <si>
    <t>Withern &amp; Theddlethorpe</t>
  </si>
  <si>
    <t>Appleton Roebuck &amp; Church Fenton</t>
  </si>
  <si>
    <t>Barlby Village</t>
  </si>
  <si>
    <t>Byram &amp; Brotherton</t>
  </si>
  <si>
    <t>Camblesforth &amp; Carlton</t>
  </si>
  <si>
    <t>Cawood &amp; Wistow</t>
  </si>
  <si>
    <t>Escrick</t>
  </si>
  <si>
    <t>Monk Fryston</t>
  </si>
  <si>
    <t>Riccall</t>
  </si>
  <si>
    <t>Selby East</t>
  </si>
  <si>
    <t>South Milford</t>
  </si>
  <si>
    <t>Tadcaster</t>
  </si>
  <si>
    <t>Thorpe Willoughby</t>
  </si>
  <si>
    <t>* as created by The Selby (Electoral Changes) Order 2014</t>
  </si>
  <si>
    <t>* as created by The East Lindsey (Electoral Changes) Order 2014</t>
  </si>
  <si>
    <t>Allington &amp; Strete</t>
  </si>
  <si>
    <t>Bickleigh &amp; Cornwood</t>
  </si>
  <si>
    <t>Blackawton &amp; Stoke Fleming</t>
  </si>
  <si>
    <t>Dartington &amp; Staverton</t>
  </si>
  <si>
    <t>Dartmouth &amp; East Dart</t>
  </si>
  <si>
    <t>Ermington &amp; Ugborough</t>
  </si>
  <si>
    <t>Ivbridge East</t>
  </si>
  <si>
    <t>Ivybridge West</t>
  </si>
  <si>
    <t>Kingsbridge</t>
  </si>
  <si>
    <t>Loddiswell &amp; Aveton Gifford</t>
  </si>
  <si>
    <t>Salcombe &amp; Thurlestone</t>
  </si>
  <si>
    <t>Totnes</t>
  </si>
  <si>
    <t>Wembury &amp; Brixton</t>
  </si>
  <si>
    <t>Woolwell</t>
  </si>
  <si>
    <t>* as created by The South Hams (Electoral Changes) Order 2014</t>
  </si>
  <si>
    <t>Aylesford North and Walderslade</t>
  </si>
  <si>
    <t>Aylesford South</t>
  </si>
  <si>
    <t>Burham and Wouldham</t>
  </si>
  <si>
    <t>Downs and Mereworth</t>
  </si>
  <si>
    <t>Hadlow and East Peckham</t>
  </si>
  <si>
    <t>Snodland East and Ham Hill</t>
  </si>
  <si>
    <t>Snodland West and Holborough Lakes</t>
  </si>
  <si>
    <t>Wrotham, Ightham and Stansted</t>
  </si>
  <si>
    <t>* as created by The Tonbridge and Malling (Electoral Changes) Order 2013</t>
  </si>
  <si>
    <t>Braintree Central &amp; Beckers Green</t>
  </si>
  <si>
    <t>Braintree West</t>
  </si>
  <si>
    <t>Coggeshall</t>
  </si>
  <si>
    <t>Gosfield &amp; Greenstead Green</t>
  </si>
  <si>
    <t>Great Notley &amp; Black Notley</t>
  </si>
  <si>
    <t>Hatfield Peverel &amp; Terling</t>
  </si>
  <si>
    <t>Hedingham</t>
  </si>
  <si>
    <t>Kelvedon &amp; Feering</t>
  </si>
  <si>
    <t>Silver End &amp; Cressing</t>
  </si>
  <si>
    <t>The Colnes</t>
  </si>
  <si>
    <t>Witham Central</t>
  </si>
  <si>
    <t>* as created by The Braintree (Electoral Changes) Order 2014</t>
  </si>
  <si>
    <t>Broadmead</t>
  </si>
  <si>
    <t>Cheriton</t>
  </si>
  <si>
    <t>East Folkestone</t>
  </si>
  <si>
    <t>Folkestone Central</t>
  </si>
  <si>
    <t>Hythe</t>
  </si>
  <si>
    <t>Hythe Rural</t>
  </si>
  <si>
    <t>New Romney</t>
  </si>
  <si>
    <t>Sandgate &amp; West Folkestone</t>
  </si>
  <si>
    <t>Wallend &amp; Denge Marsh</t>
  </si>
  <si>
    <t>* as created by The Shepway (Electoral Changes) Order 2014</t>
  </si>
  <si>
    <t>Braunstone Park &amp; Rowley Fields</t>
  </si>
  <si>
    <t>Humberstone &amp; Hamilton</t>
  </si>
  <si>
    <t>North Evington</t>
  </si>
  <si>
    <t>Saffron</t>
  </si>
  <si>
    <t>Troon</t>
  </si>
  <si>
    <t>Western</t>
  </si>
  <si>
    <t>Wycliffe</t>
  </si>
  <si>
    <t>* as created by The Leicester (Electoral Changes) Order 2014</t>
  </si>
  <si>
    <t>* as created by The North West Leicestershire (Electoral Changes) Order 2014</t>
  </si>
  <si>
    <t>Ashby Money Hill</t>
  </si>
  <si>
    <t>Ashby Willesley</t>
  </si>
  <si>
    <t>Ashby Woulds</t>
  </si>
  <si>
    <t>Blackfordby</t>
  </si>
  <si>
    <t>Broom Leys</t>
  </si>
  <si>
    <t>Castle Donington Castle</t>
  </si>
  <si>
    <t>Castle Donington Central</t>
  </si>
  <si>
    <t>Castle Donington Park</t>
  </si>
  <si>
    <t>Castle Rock</t>
  </si>
  <si>
    <t>Coalville East</t>
  </si>
  <si>
    <t>Coalville West</t>
  </si>
  <si>
    <t>Daleacre Hill</t>
  </si>
  <si>
    <t>Ellistown &amp; Battleflat</t>
  </si>
  <si>
    <t>Holly Hayes</t>
  </si>
  <si>
    <t>Hugglescote St John's</t>
  </si>
  <si>
    <t>Hugglescote St Mary's</t>
  </si>
  <si>
    <t>Ibstock East</t>
  </si>
  <si>
    <t>Ibstock West</t>
  </si>
  <si>
    <t>Kegworth</t>
  </si>
  <si>
    <t>Long Whatton &amp; Diseworth</t>
  </si>
  <si>
    <t>Measham North</t>
  </si>
  <si>
    <t>Measham South</t>
  </si>
  <si>
    <t>Oakthorpe &amp; Donisthorpe</t>
  </si>
  <si>
    <t>Ravenstone &amp; Packington</t>
  </si>
  <si>
    <t>Sence Valley</t>
  </si>
  <si>
    <t>Snibston North</t>
  </si>
  <si>
    <t>Snibston South</t>
  </si>
  <si>
    <t>Thornborough</t>
  </si>
  <si>
    <t>Worthington &amp; Breedon</t>
  </si>
  <si>
    <t>Bestwood St Albans</t>
  </si>
  <si>
    <t>Colwick</t>
  </si>
  <si>
    <t>Coppice</t>
  </si>
  <si>
    <t>Dumbles</t>
  </si>
  <si>
    <t>Ernehale</t>
  </si>
  <si>
    <t>Newstead Abbey</t>
  </si>
  <si>
    <t>Plains</t>
  </si>
  <si>
    <t>Trent Valley</t>
  </si>
  <si>
    <t>* as created by The Gedling (Electoral Changes) Order 2014</t>
  </si>
  <si>
    <t>Sutton Bonington</t>
  </si>
  <si>
    <t>Radcliffe on Trent</t>
  </si>
  <si>
    <t>Nevile &amp; Langar</t>
  </si>
  <si>
    <t>Keyworth &amp; Wolds</t>
  </si>
  <si>
    <t>Gamston North</t>
  </si>
  <si>
    <t>Gamston South</t>
  </si>
  <si>
    <t>Edwalton</t>
  </si>
  <si>
    <t>East Bridgford</t>
  </si>
  <si>
    <t>Cropwell</t>
  </si>
  <si>
    <t>Bunny</t>
  </si>
  <si>
    <t>Caistor and Yarborough</t>
  </si>
  <si>
    <t>Dunholme and Welton</t>
  </si>
  <si>
    <t>Kelsey Wold</t>
  </si>
  <si>
    <t>Scotter and Blyton</t>
  </si>
  <si>
    <t>* as created by The West Lindsey (Electoral Changes) Order 2012</t>
  </si>
  <si>
    <t>BARKING AND DAGENHAM LONDON BOROUGH  * #</t>
  </si>
  <si>
    <t>Bozeat</t>
  </si>
  <si>
    <t>Great Doddington &amp; Wilby</t>
  </si>
  <si>
    <t>Rixon</t>
  </si>
  <si>
    <t>Redwell</t>
  </si>
  <si>
    <t>Isebrook</t>
  </si>
  <si>
    <t>Harrowden &amp; Sywell</t>
  </si>
  <si>
    <t>* as created by The Wellingborough (Electoral Changes) Order 2014</t>
  </si>
  <si>
    <t>E05009689</t>
  </si>
  <si>
    <t>E05009690</t>
  </si>
  <si>
    <t>E05009691</t>
  </si>
  <si>
    <t>E05009692</t>
  </si>
  <si>
    <t>E05009693</t>
  </si>
  <si>
    <t>E05009694</t>
  </si>
  <si>
    <t>E05009695</t>
  </si>
  <si>
    <t>E05009696</t>
  </si>
  <si>
    <t>E05009697</t>
  </si>
  <si>
    <t>E05009698</t>
  </si>
  <si>
    <t>E05009699</t>
  </si>
  <si>
    <t>E05009700</t>
  </si>
  <si>
    <t>E05009701</t>
  </si>
  <si>
    <t>E05009702</t>
  </si>
  <si>
    <t>E05009703</t>
  </si>
  <si>
    <t>E05009704</t>
  </si>
  <si>
    <t>E05009705</t>
  </si>
  <si>
    <t>E05009706</t>
  </si>
  <si>
    <t>E05009707</t>
  </si>
  <si>
    <t>E05009708</t>
  </si>
  <si>
    <t>E05009709</t>
  </si>
  <si>
    <t>E05009710</t>
  </si>
  <si>
    <t>E05009711</t>
  </si>
  <si>
    <t>E05009712</t>
  </si>
  <si>
    <t>E05009713</t>
  </si>
  <si>
    <t>E05009714</t>
  </si>
  <si>
    <t>E05009715</t>
  </si>
  <si>
    <t>E05009716</t>
  </si>
  <si>
    <t>E05009717</t>
  </si>
  <si>
    <t>E05009718</t>
  </si>
  <si>
    <t>E05009719</t>
  </si>
  <si>
    <t>E05009720</t>
  </si>
  <si>
    <t>E05009721</t>
  </si>
  <si>
    <t>E05009722</t>
  </si>
  <si>
    <t>E05009723</t>
  </si>
  <si>
    <t>E05009724</t>
  </si>
  <si>
    <t>E05009725</t>
  </si>
  <si>
    <t>E05009726</t>
  </si>
  <si>
    <t>E05009727</t>
  </si>
  <si>
    <t>E05009728</t>
  </si>
  <si>
    <t>E05009729</t>
  </si>
  <si>
    <t>E05009730</t>
  </si>
  <si>
    <t>E05009731</t>
  </si>
  <si>
    <t>E05009732</t>
  </si>
  <si>
    <t>* as created by The Rushcliffe (Electoral Changes) Order 2013</t>
  </si>
  <si>
    <t>E05010028</t>
  </si>
  <si>
    <t>E05010029</t>
  </si>
  <si>
    <t>E05010030</t>
  </si>
  <si>
    <t>E05010031</t>
  </si>
  <si>
    <t>E05010032</t>
  </si>
  <si>
    <t>E05010033</t>
  </si>
  <si>
    <t>E05010034</t>
  </si>
  <si>
    <t>E05010035</t>
  </si>
  <si>
    <t>E05010036</t>
  </si>
  <si>
    <t>E05010037</t>
  </si>
  <si>
    <t>E05010038</t>
  </si>
  <si>
    <t>E05010039</t>
  </si>
  <si>
    <t>E05010040</t>
  </si>
  <si>
    <t>E05010041</t>
  </si>
  <si>
    <t>E05010042</t>
  </si>
  <si>
    <t>E05010043</t>
  </si>
  <si>
    <t>E05010237</t>
  </si>
  <si>
    <t>E05010238</t>
  </si>
  <si>
    <t>E05010239</t>
  </si>
  <si>
    <t>E05010240</t>
  </si>
  <si>
    <t>E05010241</t>
  </si>
  <si>
    <t>E05010242</t>
  </si>
  <si>
    <t>E05010243</t>
  </si>
  <si>
    <t>E05010244</t>
  </si>
  <si>
    <t>E05010245</t>
  </si>
  <si>
    <t>E05010246</t>
  </si>
  <si>
    <t>E05010247</t>
  </si>
  <si>
    <t>E05010248</t>
  </si>
  <si>
    <t>E05010249</t>
  </si>
  <si>
    <t>E05010250</t>
  </si>
  <si>
    <t>E05010251</t>
  </si>
  <si>
    <t>E05010252</t>
  </si>
  <si>
    <t>E05010253</t>
  </si>
  <si>
    <t>E05010254</t>
  </si>
  <si>
    <t>E05010255</t>
  </si>
  <si>
    <t>E05010256</t>
  </si>
  <si>
    <t>E05010257</t>
  </si>
  <si>
    <t>E05010258</t>
  </si>
  <si>
    <t>E05010259</t>
  </si>
  <si>
    <t>E05010260</t>
  </si>
  <si>
    <t>E05010261</t>
  </si>
  <si>
    <t>E05010262</t>
  </si>
  <si>
    <t>E05010263</t>
  </si>
  <si>
    <t>* as created by The Borough of King's Lynn and West Norfolk (Electoral Changes) Order 2002 and</t>
  </si>
  <si>
    <t xml:space="preserve">   as altered by The King's Lynn  and West Norfolk (Electoral Changes) Order 2013</t>
  </si>
  <si>
    <t>E05009656</t>
  </si>
  <si>
    <t>E05009657</t>
  </si>
  <si>
    <t>E05009658</t>
  </si>
  <si>
    <t>E05009659</t>
  </si>
  <si>
    <t>E05009660</t>
  </si>
  <si>
    <t>E05009873</t>
  </si>
  <si>
    <t>E05009874</t>
  </si>
  <si>
    <t>E05009875</t>
  </si>
  <si>
    <t>E05009876</t>
  </si>
  <si>
    <t>E05009877</t>
  </si>
  <si>
    <t>E05009878</t>
  </si>
  <si>
    <t>E05009879</t>
  </si>
  <si>
    <t>E05009880</t>
  </si>
  <si>
    <t>E05009881</t>
  </si>
  <si>
    <t>E05009882</t>
  </si>
  <si>
    <t>E05009883</t>
  </si>
  <si>
    <t>E05009884</t>
  </si>
  <si>
    <t>E05009885</t>
  </si>
  <si>
    <t>E05009886</t>
  </si>
  <si>
    <t>E05009887</t>
  </si>
  <si>
    <t>E05009888</t>
  </si>
  <si>
    <t>E05009889</t>
  </si>
  <si>
    <t>E05009890</t>
  </si>
  <si>
    <t>E05009891</t>
  </si>
  <si>
    <t>E05009892</t>
  </si>
  <si>
    <t>E05009893</t>
  </si>
  <si>
    <t>E05009894</t>
  </si>
  <si>
    <t>E05009895</t>
  </si>
  <si>
    <t>E05009896</t>
  </si>
  <si>
    <t>E05009897</t>
  </si>
  <si>
    <t>E05009898</t>
  </si>
  <si>
    <t>E05009899</t>
  </si>
  <si>
    <t>E05009900</t>
  </si>
  <si>
    <t>E05009901</t>
  </si>
  <si>
    <t>E05009902</t>
  </si>
  <si>
    <t>E05009903</t>
  </si>
  <si>
    <t>E05009904</t>
  </si>
  <si>
    <t>E05009905</t>
  </si>
  <si>
    <t>E05009906</t>
  </si>
  <si>
    <t>E05009907</t>
  </si>
  <si>
    <t>E05009908</t>
  </si>
  <si>
    <t>E05009909</t>
  </si>
  <si>
    <t>E05009636</t>
  </si>
  <si>
    <t>E05009637</t>
  </si>
  <si>
    <t>E05009638</t>
  </si>
  <si>
    <t>E05009639</t>
  </si>
  <si>
    <t>E05009640</t>
  </si>
  <si>
    <t>E05009641</t>
  </si>
  <si>
    <t>E05009642</t>
  </si>
  <si>
    <t>E05009643</t>
  </si>
  <si>
    <t>E05009644</t>
  </si>
  <si>
    <t>E05009645</t>
  </si>
  <si>
    <t>E05009646</t>
  </si>
  <si>
    <t>E05009647</t>
  </si>
  <si>
    <t>E05009648</t>
  </si>
  <si>
    <t>E05009649</t>
  </si>
  <si>
    <t>E05009650</t>
  </si>
  <si>
    <t>E05009651</t>
  </si>
  <si>
    <t>E05009652</t>
  </si>
  <si>
    <t>E05009653</t>
  </si>
  <si>
    <t>E05009654</t>
  </si>
  <si>
    <t>E05009655</t>
  </si>
  <si>
    <t>* as created by The District of Blaby (Electoral Changes) Order 2002 and</t>
  </si>
  <si>
    <t xml:space="preserve">   as altered The District of Blaby (Electoral Changes) Order 2012</t>
  </si>
  <si>
    <t>E05009619</t>
  </si>
  <si>
    <t>E05009620</t>
  </si>
  <si>
    <t>E05010090</t>
  </si>
  <si>
    <t>E05010091</t>
  </si>
  <si>
    <t>E05010092</t>
  </si>
  <si>
    <t>E05010093</t>
  </si>
  <si>
    <t>E05010094</t>
  </si>
  <si>
    <t>E05010095</t>
  </si>
  <si>
    <t>E05010096</t>
  </si>
  <si>
    <t>E05010097</t>
  </si>
  <si>
    <t>E05010098</t>
  </si>
  <si>
    <t>E05010099</t>
  </si>
  <si>
    <t>E05010100</t>
  </si>
  <si>
    <t>E05010101</t>
  </si>
  <si>
    <t>E05010102</t>
  </si>
  <si>
    <t>E05010103</t>
  </si>
  <si>
    <t>E05010104</t>
  </si>
  <si>
    <t>E05010105</t>
  </si>
  <si>
    <t>E05010106</t>
  </si>
  <si>
    <t>E05010107</t>
  </si>
  <si>
    <t>E05010108</t>
  </si>
  <si>
    <t>E05010109</t>
  </si>
  <si>
    <t>E05010110</t>
  </si>
  <si>
    <t>E05010111</t>
  </si>
  <si>
    <t>E05010112</t>
  </si>
  <si>
    <t>E05010113</t>
  </si>
  <si>
    <t>E05010114</t>
  </si>
  <si>
    <t>E05010115</t>
  </si>
  <si>
    <t>E05010116</t>
  </si>
  <si>
    <t>E05010117</t>
  </si>
  <si>
    <t>E05010118</t>
  </si>
  <si>
    <t>E05010119</t>
  </si>
  <si>
    <t>E05010120</t>
  </si>
  <si>
    <t>E05010121</t>
  </si>
  <si>
    <t>E05010122</t>
  </si>
  <si>
    <t>E05010123</t>
  </si>
  <si>
    <t>E05010124</t>
  </si>
  <si>
    <t>E05010125</t>
  </si>
  <si>
    <t>E05010126</t>
  </si>
  <si>
    <t>E05010127</t>
  </si>
  <si>
    <t>E05010458</t>
  </si>
  <si>
    <t>E05010459</t>
  </si>
  <si>
    <t>E05010460</t>
  </si>
  <si>
    <t>E05010461</t>
  </si>
  <si>
    <t>E05010462</t>
  </si>
  <si>
    <t>E05010463</t>
  </si>
  <si>
    <t>E05010464</t>
  </si>
  <si>
    <t>E05010465</t>
  </si>
  <si>
    <t>E05010466</t>
  </si>
  <si>
    <t>E05010467</t>
  </si>
  <si>
    <t>E05010468</t>
  </si>
  <si>
    <t>E05010469</t>
  </si>
  <si>
    <t>E05010470</t>
  </si>
  <si>
    <t>E05010471</t>
  </si>
  <si>
    <t>E05010472</t>
  </si>
  <si>
    <t>E05010473</t>
  </si>
  <si>
    <t>E05010474</t>
  </si>
  <si>
    <t>E05010475</t>
  </si>
  <si>
    <t>E05010476</t>
  </si>
  <si>
    <t>E05010477</t>
  </si>
  <si>
    <t>E05010478</t>
  </si>
  <si>
    <t>E05009932</t>
  </si>
  <si>
    <t>E05009933</t>
  </si>
  <si>
    <t>E05009934</t>
  </si>
  <si>
    <t>E05009935</t>
  </si>
  <si>
    <t>E05009936</t>
  </si>
  <si>
    <t>E05009937</t>
  </si>
  <si>
    <t>E05009938</t>
  </si>
  <si>
    <t>E05009939</t>
  </si>
  <si>
    <t>E05009940</t>
  </si>
  <si>
    <t>E05009941</t>
  </si>
  <si>
    <t>E05009942</t>
  </si>
  <si>
    <t>E05009943</t>
  </si>
  <si>
    <t>E05009944</t>
  </si>
  <si>
    <t>E05009945</t>
  </si>
  <si>
    <t>E05009946</t>
  </si>
  <si>
    <t>E05009947</t>
  </si>
  <si>
    <t>E05009948</t>
  </si>
  <si>
    <t>E05009949</t>
  </si>
  <si>
    <t>E05009950</t>
  </si>
  <si>
    <t>E05009951</t>
  </si>
  <si>
    <t>E05009952</t>
  </si>
  <si>
    <t>E05009953</t>
  </si>
  <si>
    <t>E05009954</t>
  </si>
  <si>
    <t>E05009955</t>
  </si>
  <si>
    <t>* as created by The District of Sevenoaks (Electoral Changes) Order 1999 and</t>
  </si>
  <si>
    <t xml:space="preserve">   as altered by The Sevenoaks (Electoral Changes) Order 2014</t>
  </si>
  <si>
    <t>E05009956</t>
  </si>
  <si>
    <t>E05009957</t>
  </si>
  <si>
    <t>E05009958</t>
  </si>
  <si>
    <t>E05009959</t>
  </si>
  <si>
    <t>E05009960</t>
  </si>
  <si>
    <t>E05009961</t>
  </si>
  <si>
    <t>E05009962</t>
  </si>
  <si>
    <t>E05009963</t>
  </si>
  <si>
    <t>E05009964</t>
  </si>
  <si>
    <t>E05009965</t>
  </si>
  <si>
    <t>E05010015</t>
  </si>
  <si>
    <t>E05010016</t>
  </si>
  <si>
    <t>E05010017</t>
  </si>
  <si>
    <t>E05010018</t>
  </si>
  <si>
    <t>E05010019</t>
  </si>
  <si>
    <t>E05010020</t>
  </si>
  <si>
    <t>E05010021</t>
  </si>
  <si>
    <t>E05010022</t>
  </si>
  <si>
    <t>E05010023</t>
  </si>
  <si>
    <t>E05010024</t>
  </si>
  <si>
    <t>E05010025</t>
  </si>
  <si>
    <t>E05010026</t>
  </si>
  <si>
    <t>E05010027</t>
  </si>
  <si>
    <t>E05009568</t>
  </si>
  <si>
    <t>E05009569</t>
  </si>
  <si>
    <t>E05009570</t>
  </si>
  <si>
    <t>E05009571</t>
  </si>
  <si>
    <t>E05009572</t>
  </si>
  <si>
    <t>E05009573</t>
  </si>
  <si>
    <t>E05009574</t>
  </si>
  <si>
    <t>E05009575</t>
  </si>
  <si>
    <t>E05009576</t>
  </si>
  <si>
    <t>E05009577</t>
  </si>
  <si>
    <t>E05009578</t>
  </si>
  <si>
    <t>E05009579</t>
  </si>
  <si>
    <t>E05009580</t>
  </si>
  <si>
    <t>E05009581</t>
  </si>
  <si>
    <t>E05009582</t>
  </si>
  <si>
    <t>E05009583</t>
  </si>
  <si>
    <t>E05009584</t>
  </si>
  <si>
    <t>E05009585</t>
  </si>
  <si>
    <t>E05009586</t>
  </si>
  <si>
    <t>E05009587</t>
  </si>
  <si>
    <t>E05009588</t>
  </si>
  <si>
    <t>E05009589</t>
  </si>
  <si>
    <t>E05009590</t>
  </si>
  <si>
    <t>E05009591</t>
  </si>
  <si>
    <t>E05010311</t>
  </si>
  <si>
    <t>Copmanthorpe</t>
  </si>
  <si>
    <t>Dringhouses &amp; Woodthorpe</t>
  </si>
  <si>
    <t>Fulford &amp; Heslington</t>
  </si>
  <si>
    <t>E05010312</t>
  </si>
  <si>
    <t>E05010313</t>
  </si>
  <si>
    <t>E05010314</t>
  </si>
  <si>
    <t>E05010315</t>
  </si>
  <si>
    <t>E05010316</t>
  </si>
  <si>
    <t>E05010317</t>
  </si>
  <si>
    <t>Haxby &amp; Wigginton</t>
  </si>
  <si>
    <t>E05010318</t>
  </si>
  <si>
    <t>E05010319</t>
  </si>
  <si>
    <t>E05010320</t>
  </si>
  <si>
    <t>E05010321</t>
  </si>
  <si>
    <t>E05010322</t>
  </si>
  <si>
    <t>E05010323</t>
  </si>
  <si>
    <t>Huntington &amp; New Earswick</t>
  </si>
  <si>
    <t>Osbaldwick &amp; Derwent</t>
  </si>
  <si>
    <t>Rawcliffe &amp; Clifton Without</t>
  </si>
  <si>
    <t>E05010324</t>
  </si>
  <si>
    <t>E05010325</t>
  </si>
  <si>
    <t>E05010326</t>
  </si>
  <si>
    <t>E05010327</t>
  </si>
  <si>
    <t>E05010328</t>
  </si>
  <si>
    <t>E05010329</t>
  </si>
  <si>
    <t>E05010330</t>
  </si>
  <si>
    <t>E05010331</t>
  </si>
  <si>
    <t>* as created by The York (Electoral Changes) Order 2014</t>
  </si>
  <si>
    <t>* as created by The Uttlesford (Electoral Changes) Order 2014</t>
  </si>
  <si>
    <t>E05009910</t>
  </si>
  <si>
    <t>Broad Oak &amp; the Hallingburys</t>
  </si>
  <si>
    <t>Debden &amp; Wimbush</t>
  </si>
  <si>
    <t>Elsenham &amp; Henham</t>
  </si>
  <si>
    <t>Felsted &amp; Stebbing</t>
  </si>
  <si>
    <t>Flitch Green &amp; Little Dunmow</t>
  </si>
  <si>
    <t>Great Dunmow South &amp; Barnston</t>
  </si>
  <si>
    <t>High Easter &amp; the Rodings</t>
  </si>
  <si>
    <t>Littlebury, Chesterford &amp; Wenden Lofts</t>
  </si>
  <si>
    <t>Stansted South &amp; Birchanger</t>
  </si>
  <si>
    <t>Takeley</t>
  </si>
  <si>
    <t>Thaxted &amp; the Eastons</t>
  </si>
  <si>
    <t>Balderton North &amp; Coddington</t>
  </si>
  <si>
    <t>E05010063</t>
  </si>
  <si>
    <t>Balderton South</t>
  </si>
  <si>
    <t>Bilsthorpe</t>
  </si>
  <si>
    <t>Collingham</t>
  </si>
  <si>
    <t>Dover Beck</t>
  </si>
  <si>
    <t>E05010064</t>
  </si>
  <si>
    <t>E05010065</t>
  </si>
  <si>
    <t>E05010066</t>
  </si>
  <si>
    <t>E05010067</t>
  </si>
  <si>
    <t>E05010068</t>
  </si>
  <si>
    <t>E05010069</t>
  </si>
  <si>
    <t>E05010070</t>
  </si>
  <si>
    <t>E05010071</t>
  </si>
  <si>
    <t>E05010072</t>
  </si>
  <si>
    <t>Edwinstowe &amp; Clipstone</t>
  </si>
  <si>
    <t>Farndon &amp; Fernwood</t>
  </si>
  <si>
    <t>Farnsfield</t>
  </si>
  <si>
    <t>Rainworth North &amp; Rufford</t>
  </si>
  <si>
    <t>E05010073</t>
  </si>
  <si>
    <t>E05010074</t>
  </si>
  <si>
    <t>E05010075</t>
  </si>
  <si>
    <t>E05010076</t>
  </si>
  <si>
    <t>E05010077</t>
  </si>
  <si>
    <t>E05010078</t>
  </si>
  <si>
    <t>E05010079</t>
  </si>
  <si>
    <t>E05010080</t>
  </si>
  <si>
    <t>Rainworth South &amp; Blidworth</t>
  </si>
  <si>
    <t>Southwell</t>
  </si>
  <si>
    <t>E05010081</t>
  </si>
  <si>
    <t>E05010082</t>
  </si>
  <si>
    <t>E05010083</t>
  </si>
  <si>
    <t>County Average (10 seats)</t>
  </si>
  <si>
    <t>E05010088</t>
  </si>
  <si>
    <t>E05010089</t>
  </si>
  <si>
    <t xml:space="preserve">   as altered by The North Devon (Parish Electoral Arrangements and Electoral Changes) Order 2007 and</t>
  </si>
  <si>
    <t xml:space="preserve">   The North Devon (Electoral Changes) Order 2012</t>
  </si>
  <si>
    <t>E05010084</t>
  </si>
  <si>
    <t>E05010085</t>
  </si>
  <si>
    <t>E05010128</t>
  </si>
  <si>
    <t>E05010129</t>
  </si>
  <si>
    <t>E05010130</t>
  </si>
  <si>
    <t>E05010131</t>
  </si>
  <si>
    <t>E05010132</t>
  </si>
  <si>
    <t>E05010133</t>
  </si>
  <si>
    <t>E05010134</t>
  </si>
  <si>
    <t>E05010135</t>
  </si>
  <si>
    <t>E05010136</t>
  </si>
  <si>
    <t>E05010137</t>
  </si>
  <si>
    <t>E05010138</t>
  </si>
  <si>
    <t>E05010139</t>
  </si>
  <si>
    <t>E05010140</t>
  </si>
  <si>
    <t>E05010141</t>
  </si>
  <si>
    <t>E05010142</t>
  </si>
  <si>
    <t>E05010143</t>
  </si>
  <si>
    <t>E05010144</t>
  </si>
  <si>
    <t>E05010145</t>
  </si>
  <si>
    <t>E05010146</t>
  </si>
  <si>
    <t>E05010147</t>
  </si>
  <si>
    <t>E05010365</t>
  </si>
  <si>
    <t>E05010366</t>
  </si>
  <si>
    <t>E05010367</t>
  </si>
  <si>
    <t>E05010368</t>
  </si>
  <si>
    <t>E05010369</t>
  </si>
  <si>
    <t>E05010370</t>
  </si>
  <si>
    <t>E05010371</t>
  </si>
  <si>
    <t>E05010372</t>
  </si>
  <si>
    <t>E05010373</t>
  </si>
  <si>
    <t>E05010374</t>
  </si>
  <si>
    <t>E05010375</t>
  </si>
  <si>
    <t>E05010376</t>
  </si>
  <si>
    <t>E05010377</t>
  </si>
  <si>
    <t>E05010378</t>
  </si>
  <si>
    <t>E05010379</t>
  </si>
  <si>
    <t>E05010380</t>
  </si>
  <si>
    <t>E05010381</t>
  </si>
  <si>
    <t>E05010382</t>
  </si>
  <si>
    <t>E05010383</t>
  </si>
  <si>
    <t>E05010384</t>
  </si>
  <si>
    <t>E05010385</t>
  </si>
  <si>
    <t>E05010386</t>
  </si>
  <si>
    <t>E05010387</t>
  </si>
  <si>
    <t>E05010388</t>
  </si>
  <si>
    <t>E05010389</t>
  </si>
  <si>
    <t>E05010390</t>
  </si>
  <si>
    <t>E05009911</t>
  </si>
  <si>
    <t>E05009912</t>
  </si>
  <si>
    <t>E05009913</t>
  </si>
  <si>
    <t>E05009914</t>
  </si>
  <si>
    <t>E05009915</t>
  </si>
  <si>
    <t>E05009916</t>
  </si>
  <si>
    <t>E05009917</t>
  </si>
  <si>
    <t>E05009918</t>
  </si>
  <si>
    <t>E05009919</t>
  </si>
  <si>
    <t>E05009920</t>
  </si>
  <si>
    <t>E05009921</t>
  </si>
  <si>
    <t>E05009922</t>
  </si>
  <si>
    <t>E05009923</t>
  </si>
  <si>
    <t>E05009924</t>
  </si>
  <si>
    <t>E05009925</t>
  </si>
  <si>
    <t>E05009926</t>
  </si>
  <si>
    <t>E05009927</t>
  </si>
  <si>
    <t>E05009928</t>
  </si>
  <si>
    <t>E05009929</t>
  </si>
  <si>
    <t>E05009930</t>
  </si>
  <si>
    <t>E05009931</t>
  </si>
  <si>
    <t>* as created by The District of Horsham (Electoral Changes) Order 2002 and</t>
  </si>
  <si>
    <t xml:space="preserve">   as altered by The Horsham (Electoral Changes) Order 2014</t>
  </si>
  <si>
    <t>E05010086</t>
  </si>
  <si>
    <t>E05010087</t>
  </si>
  <si>
    <t>E05010044</t>
  </si>
  <si>
    <t>E05010045</t>
  </si>
  <si>
    <t>E05010046</t>
  </si>
  <si>
    <t>E05010047</t>
  </si>
  <si>
    <t>E05010048</t>
  </si>
  <si>
    <t>E05010049</t>
  </si>
  <si>
    <t>E05010050</t>
  </si>
  <si>
    <t>E05010051</t>
  </si>
  <si>
    <t>E05010052</t>
  </si>
  <si>
    <t>E05010053</t>
  </si>
  <si>
    <t>E05010054</t>
  </si>
  <si>
    <t>E05010055</t>
  </si>
  <si>
    <t>E05010056</t>
  </si>
  <si>
    <t>E05010057</t>
  </si>
  <si>
    <t>E05010058</t>
  </si>
  <si>
    <t>E05010059</t>
  </si>
  <si>
    <t>E05010060</t>
  </si>
  <si>
    <t>E05010061</t>
  </si>
  <si>
    <t>E05010062</t>
  </si>
  <si>
    <t>E05009664</t>
  </si>
  <si>
    <t>E05009665</t>
  </si>
  <si>
    <t>E05009666</t>
  </si>
  <si>
    <t>E05009667</t>
  </si>
  <si>
    <t>E05009668</t>
  </si>
  <si>
    <t>E05009669</t>
  </si>
  <si>
    <t>E05009670</t>
  </si>
  <si>
    <t>E05009671</t>
  </si>
  <si>
    <t>E05009672</t>
  </si>
  <si>
    <t>E05009673</t>
  </si>
  <si>
    <t>E05009674</t>
  </si>
  <si>
    <t>E05009675</t>
  </si>
  <si>
    <t>E05009676</t>
  </si>
  <si>
    <t>E05009677</t>
  </si>
  <si>
    <t>E05009678</t>
  </si>
  <si>
    <t>E05009679</t>
  </si>
  <si>
    <t>E05009680</t>
  </si>
  <si>
    <t>E05009681</t>
  </si>
  <si>
    <t>E05009682</t>
  </si>
  <si>
    <t>E05009683</t>
  </si>
  <si>
    <t>E05009684</t>
  </si>
  <si>
    <t>E05009685</t>
  </si>
  <si>
    <t>E05009686</t>
  </si>
  <si>
    <t>E05009687</t>
  </si>
  <si>
    <t>E05009688</t>
  </si>
  <si>
    <t>"HUMBERSIDE" #</t>
  </si>
  <si>
    <t>NORTH YORKSHIRE &amp; YORK</t>
  </si>
  <si>
    <t>"BERKSHIRE" #</t>
  </si>
  <si>
    <t>Greater than EQ - More than 20%</t>
  </si>
  <si>
    <t>Greater than EQ - More than 15% up to 20%</t>
  </si>
  <si>
    <t>Greater than EQ - More than 10% up to 15%</t>
  </si>
  <si>
    <t>Greater than EQ - More than 5% up to 10%</t>
  </si>
  <si>
    <t>Less than EQ - More than 5% up to 10%</t>
  </si>
  <si>
    <t>Less than EQ - More than 10% up to 15%</t>
  </si>
  <si>
    <t>Less than EQ - More than 15% up to 20%</t>
  </si>
  <si>
    <t>Less than EQ - More than 20%</t>
  </si>
  <si>
    <t>E05009288</t>
  </si>
  <si>
    <t>E05009289</t>
  </si>
  <si>
    <t>E05009290</t>
  </si>
  <si>
    <t>E05009291</t>
  </si>
  <si>
    <t>E05009292</t>
  </si>
  <si>
    <t>E05009293</t>
  </si>
  <si>
    <t>E05009294</t>
  </si>
  <si>
    <t>E05009295</t>
  </si>
  <si>
    <t>E05009296</t>
  </si>
  <si>
    <t>E05009297</t>
  </si>
  <si>
    <t>E05009298</t>
  </si>
  <si>
    <t>E05009299</t>
  </si>
  <si>
    <t>E05009300</t>
  </si>
  <si>
    <t>E05009301</t>
  </si>
  <si>
    <t>E05009302</t>
  </si>
  <si>
    <t>E05009303</t>
  </si>
  <si>
    <t>E05009304</t>
  </si>
  <si>
    <t>E05009305</t>
  </si>
  <si>
    <t>E05009306</t>
  </si>
  <si>
    <t>E05009307</t>
  </si>
  <si>
    <t>E05009308</t>
  </si>
  <si>
    <t>E05009309</t>
  </si>
  <si>
    <t>E05009310</t>
  </si>
  <si>
    <t>E05009311</t>
  </si>
  <si>
    <t>E05009312</t>
  </si>
  <si>
    <t>Burnham Church &amp; Beeches</t>
  </si>
  <si>
    <t>E05010568</t>
  </si>
  <si>
    <t>Burnham Lent Rise &amp; Taplow</t>
  </si>
  <si>
    <t>Denham</t>
  </si>
  <si>
    <t>Farnham &amp; Hedgerley</t>
  </si>
  <si>
    <t>Wexham &amp; Fulmer</t>
  </si>
  <si>
    <t>Gerrards Cross</t>
  </si>
  <si>
    <t>Iver Village &amp; Richings Park</t>
  </si>
  <si>
    <t>E05010569</t>
  </si>
  <si>
    <t>E05010570</t>
  </si>
  <si>
    <t>E05010571</t>
  </si>
  <si>
    <t>E05010572</t>
  </si>
  <si>
    <t>E05010573</t>
  </si>
  <si>
    <t>E05010574</t>
  </si>
  <si>
    <t>E05010575</t>
  </si>
  <si>
    <t>E05010576</t>
  </si>
  <si>
    <t>E05010577</t>
  </si>
  <si>
    <t>E05010578</t>
  </si>
  <si>
    <t>E05010579</t>
  </si>
  <si>
    <t>* as created by The South Bucks (Electoral Changes) Order 2015</t>
  </si>
  <si>
    <t>* as created by The Aylesbury Vale (Electoral Changes) Order 2014</t>
  </si>
  <si>
    <t>E05010332</t>
  </si>
  <si>
    <t>Aston Clinton &amp; Stoke Mandeville</t>
  </si>
  <si>
    <t>E05010333</t>
  </si>
  <si>
    <t>E05010334</t>
  </si>
  <si>
    <t>E05010335</t>
  </si>
  <si>
    <t>Central &amp; Walton</t>
  </si>
  <si>
    <t>E05010336</t>
  </si>
  <si>
    <t>E05010337</t>
  </si>
  <si>
    <t>E05010338</t>
  </si>
  <si>
    <t>Elmhurst</t>
  </si>
  <si>
    <t>E05010339</t>
  </si>
  <si>
    <t>E05010340</t>
  </si>
  <si>
    <t>Great Brickhill &amp; Newton Longville</t>
  </si>
  <si>
    <t>E05010341</t>
  </si>
  <si>
    <t>E05010342</t>
  </si>
  <si>
    <t>Grendon Underwood &amp; Brill</t>
  </si>
  <si>
    <t>E05010343</t>
  </si>
  <si>
    <t>Haddenham &amp; Stone</t>
  </si>
  <si>
    <t>E05010344</t>
  </si>
  <si>
    <t>E05010345</t>
  </si>
  <si>
    <t>E05010346</t>
  </si>
  <si>
    <t>Mandeville &amp; Elm Farm</t>
  </si>
  <si>
    <t>E05010347</t>
  </si>
  <si>
    <t>E05010348</t>
  </si>
  <si>
    <t>Oakfield &amp; Bierton</t>
  </si>
  <si>
    <t>E05010349</t>
  </si>
  <si>
    <t>E05010350</t>
  </si>
  <si>
    <t>Pitstone &amp; Cheddington</t>
  </si>
  <si>
    <t>E05010351</t>
  </si>
  <si>
    <t>E05010352</t>
  </si>
  <si>
    <t>E05010353</t>
  </si>
  <si>
    <t>E05010354</t>
  </si>
  <si>
    <t>E05010355</t>
  </si>
  <si>
    <t>E05010356</t>
  </si>
  <si>
    <t>E05010357</t>
  </si>
  <si>
    <t>E05010358</t>
  </si>
  <si>
    <t>Walton Court &amp; Hawkslade</t>
  </si>
  <si>
    <t>E05010359</t>
  </si>
  <si>
    <t>Watermead</t>
  </si>
  <si>
    <t>E05010360</t>
  </si>
  <si>
    <t>Wendover &amp; Halton</t>
  </si>
  <si>
    <t>E05010361</t>
  </si>
  <si>
    <t>E05010362</t>
  </si>
  <si>
    <t>E05010363</t>
  </si>
  <si>
    <t>E05010364</t>
  </si>
  <si>
    <t>E05009491</t>
  </si>
  <si>
    <t>Benwick, Coates &amp; Eastrea</t>
  </si>
  <si>
    <t>Doddington &amp; Wimblington</t>
  </si>
  <si>
    <t>Elm &amp; Christchurch</t>
  </si>
  <si>
    <t>Octavia Hill</t>
  </si>
  <si>
    <t>Parson Drove &amp; Wisbech St Mary</t>
  </si>
  <si>
    <t>Stonald</t>
  </si>
  <si>
    <t>Waterlees Village</t>
  </si>
  <si>
    <t>E05009492</t>
  </si>
  <si>
    <t>E05009493</t>
  </si>
  <si>
    <t>E05009494</t>
  </si>
  <si>
    <t>E05009495</t>
  </si>
  <si>
    <t>E05009496</t>
  </si>
  <si>
    <t>E05009497</t>
  </si>
  <si>
    <t>E05009498</t>
  </si>
  <si>
    <t>E05009499</t>
  </si>
  <si>
    <t>E05009500</t>
  </si>
  <si>
    <t>E05009501</t>
  </si>
  <si>
    <t>E05009502</t>
  </si>
  <si>
    <t>E05009503</t>
  </si>
  <si>
    <t>E05009504</t>
  </si>
  <si>
    <t>E05009505</t>
  </si>
  <si>
    <t>E05009506</t>
  </si>
  <si>
    <t>E05009507</t>
  </si>
  <si>
    <t>E05009508</t>
  </si>
  <si>
    <t>E05009509</t>
  </si>
  <si>
    <t>E05009510</t>
  </si>
  <si>
    <t>E05009511</t>
  </si>
  <si>
    <t>E05009512</t>
  </si>
  <si>
    <t>E05009513</t>
  </si>
  <si>
    <t>E05009514</t>
  </si>
  <si>
    <t>* as created by The Fenland (Electoral Changes) Order 2014</t>
  </si>
  <si>
    <t>Awsworth Road</t>
  </si>
  <si>
    <t>Draycott &amp; Risley</t>
  </si>
  <si>
    <t>E05010604</t>
  </si>
  <si>
    <t>Kirk Hallam &amp; Stanton-by-Dale</t>
  </si>
  <si>
    <t>Larklands</t>
  </si>
  <si>
    <t>Little Eaton &amp; Stanley</t>
  </si>
  <si>
    <t>Ockbrook &amp; Borrowash</t>
  </si>
  <si>
    <t>Sandiacre</t>
  </si>
  <si>
    <t>Shipley View</t>
  </si>
  <si>
    <t>West Hallam &amp; Dale Abbey</t>
  </si>
  <si>
    <t>E05010605</t>
  </si>
  <si>
    <t>E05010606</t>
  </si>
  <si>
    <t>E05010607</t>
  </si>
  <si>
    <t>E05010608</t>
  </si>
  <si>
    <t>E05010609</t>
  </si>
  <si>
    <t>E05010610</t>
  </si>
  <si>
    <t>E05010611</t>
  </si>
  <si>
    <t>E05010612</t>
  </si>
  <si>
    <t>E05010613</t>
  </si>
  <si>
    <t>E05010614</t>
  </si>
  <si>
    <t>E05010615</t>
  </si>
  <si>
    <t>E05010616</t>
  </si>
  <si>
    <t>E05010617</t>
  </si>
  <si>
    <t>E05010618</t>
  </si>
  <si>
    <t>E05010619</t>
  </si>
  <si>
    <t>E05010620</t>
  </si>
  <si>
    <t>E05010621</t>
  </si>
  <si>
    <t>E05010622</t>
  </si>
  <si>
    <t>* as created by The Erewash (Electoral Changes) Order 2015</t>
  </si>
  <si>
    <t>E05010623</t>
  </si>
  <si>
    <t>E05010624</t>
  </si>
  <si>
    <t>E05010625</t>
  </si>
  <si>
    <t>E05010626</t>
  </si>
  <si>
    <t>E05010627</t>
  </si>
  <si>
    <t>E05010628</t>
  </si>
  <si>
    <t>E05010629</t>
  </si>
  <si>
    <t>E05010630</t>
  </si>
  <si>
    <t>E05010631</t>
  </si>
  <si>
    <t>E05010632</t>
  </si>
  <si>
    <t>E05010633</t>
  </si>
  <si>
    <t>E05010634</t>
  </si>
  <si>
    <t>E05010635</t>
  </si>
  <si>
    <t>E05010636</t>
  </si>
  <si>
    <t>E05010637</t>
  </si>
  <si>
    <t>E05010638</t>
  </si>
  <si>
    <t>E05010639</t>
  </si>
  <si>
    <t>E05010640</t>
  </si>
  <si>
    <t>E05010641</t>
  </si>
  <si>
    <t>E05010642</t>
  </si>
  <si>
    <t>E05010643</t>
  </si>
  <si>
    <t>E05010644</t>
  </si>
  <si>
    <t>E05010645</t>
  </si>
  <si>
    <t>E05010646</t>
  </si>
  <si>
    <t>E05010647</t>
  </si>
  <si>
    <t>E05010648</t>
  </si>
  <si>
    <t>E05010649</t>
  </si>
  <si>
    <t>E05010650</t>
  </si>
  <si>
    <t>* as created by The High Peak (Electoral Changes) Order 2015</t>
  </si>
  <si>
    <t>E05010550</t>
  </si>
  <si>
    <t>E05010551</t>
  </si>
  <si>
    <t>Dartmoor</t>
  </si>
  <si>
    <t>Okehampton North</t>
  </si>
  <si>
    <t>Okehampton South</t>
  </si>
  <si>
    <t>Tavistock South East</t>
  </si>
  <si>
    <t>E05010552</t>
  </si>
  <si>
    <t>E05010553</t>
  </si>
  <si>
    <t>E05010554</t>
  </si>
  <si>
    <t>E05010555</t>
  </si>
  <si>
    <t>E05010556</t>
  </si>
  <si>
    <t>E05010557</t>
  </si>
  <si>
    <t>E05010558</t>
  </si>
  <si>
    <t>E05010559</t>
  </si>
  <si>
    <t>E05010560</t>
  </si>
  <si>
    <t>E05010561</t>
  </si>
  <si>
    <t>E05010562</t>
  </si>
  <si>
    <t>E05010563</t>
  </si>
  <si>
    <t>E05010564</t>
  </si>
  <si>
    <t>E05010565</t>
  </si>
  <si>
    <t>E05010566</t>
  </si>
  <si>
    <t>E05010567</t>
  </si>
  <si>
    <t>* as created by The West Devon (Electoral Changes) Order 2015</t>
  </si>
  <si>
    <t>E05010534</t>
  </si>
  <si>
    <t>E05010535</t>
  </si>
  <si>
    <t>E05010536</t>
  </si>
  <si>
    <t>E05010537</t>
  </si>
  <si>
    <t>E05010538</t>
  </si>
  <si>
    <t>E05010539</t>
  </si>
  <si>
    <t>E05010540</t>
  </si>
  <si>
    <t>E05010541</t>
  </si>
  <si>
    <t>E05010542</t>
  </si>
  <si>
    <t>E05010543</t>
  </si>
  <si>
    <t>E05010544</t>
  </si>
  <si>
    <t>E05010545</t>
  </si>
  <si>
    <t>E05010546</t>
  </si>
  <si>
    <t>E05010547</t>
  </si>
  <si>
    <t>E05010548</t>
  </si>
  <si>
    <t>E05010549</t>
  </si>
  <si>
    <t>Merley &amp; Bearwood</t>
  </si>
  <si>
    <t>* as created by The Poole (Electoral Changes) Order 2015</t>
  </si>
  <si>
    <t>E05009515</t>
  </si>
  <si>
    <t>Corfe Mullen</t>
  </si>
  <si>
    <t>Hampreston &amp; Longham</t>
  </si>
  <si>
    <t>Verwood East</t>
  </si>
  <si>
    <t>Verwood West</t>
  </si>
  <si>
    <t>West Moors &amp; Holt</t>
  </si>
  <si>
    <t>E05009516</t>
  </si>
  <si>
    <t>E05009517</t>
  </si>
  <si>
    <t>E05009518</t>
  </si>
  <si>
    <t>E05009519</t>
  </si>
  <si>
    <t>E05009520</t>
  </si>
  <si>
    <t>E05009521</t>
  </si>
  <si>
    <t>E05009522</t>
  </si>
  <si>
    <t>E05009523</t>
  </si>
  <si>
    <t>E05009524</t>
  </si>
  <si>
    <t>E05009525</t>
  </si>
  <si>
    <t>E05009526</t>
  </si>
  <si>
    <t>E05009527</t>
  </si>
  <si>
    <t>E05009528</t>
  </si>
  <si>
    <t>E05009529</t>
  </si>
  <si>
    <t>E05009530</t>
  </si>
  <si>
    <t>* as created by The East Dorset (Electoral Changes) Order 2014</t>
  </si>
  <si>
    <t>E05010673</t>
  </si>
  <si>
    <t>Abbey Hill</t>
  </si>
  <si>
    <t>Annesley &amp; Kirkby Woodhouse</t>
  </si>
  <si>
    <t>Ashfields</t>
  </si>
  <si>
    <t>Carsic</t>
  </si>
  <si>
    <t>Central &amp; New Cross</t>
  </si>
  <si>
    <t>Hucknall South</t>
  </si>
  <si>
    <t>Huthwaite &amp; Brierley</t>
  </si>
  <si>
    <t>Kirkby Cross &amp; Portland</t>
  </si>
  <si>
    <t>Larwood</t>
  </si>
  <si>
    <t>Leamington</t>
  </si>
  <si>
    <t>Skegby</t>
  </si>
  <si>
    <t>Stanton Hill &amp; Teversal</t>
  </si>
  <si>
    <t>Summit</t>
  </si>
  <si>
    <t>Sutton Junction &amp; Harlow Wood</t>
  </si>
  <si>
    <t>The Dales</t>
  </si>
  <si>
    <t>E05010674</t>
  </si>
  <si>
    <t>E05010675</t>
  </si>
  <si>
    <t>E05010676</t>
  </si>
  <si>
    <t>E05010677</t>
  </si>
  <si>
    <t>E05010678</t>
  </si>
  <si>
    <t>E05010679</t>
  </si>
  <si>
    <t>E05010680</t>
  </si>
  <si>
    <t>E05010681</t>
  </si>
  <si>
    <t>E05010682</t>
  </si>
  <si>
    <t>E05010683</t>
  </si>
  <si>
    <t>E05010684</t>
  </si>
  <si>
    <t>E05010685</t>
  </si>
  <si>
    <t>E05010686</t>
  </si>
  <si>
    <t>E05010687</t>
  </si>
  <si>
    <t>E05010688</t>
  </si>
  <si>
    <t>E05010689</t>
  </si>
  <si>
    <t>E05010690</t>
  </si>
  <si>
    <t>E05010691</t>
  </si>
  <si>
    <t>E05010692</t>
  </si>
  <si>
    <t>E05010693</t>
  </si>
  <si>
    <t>E05010694</t>
  </si>
  <si>
    <t>E05010695</t>
  </si>
  <si>
    <t>* as created by The Ashfield (Electoral Changes) Order 2015</t>
  </si>
  <si>
    <t>Wormside</t>
  </si>
  <si>
    <t>Widemarsh</t>
  </si>
  <si>
    <t>Whitecross</t>
  </si>
  <si>
    <t>Weobley</t>
  </si>
  <si>
    <t>Three Crosses</t>
  </si>
  <si>
    <t>Saxon Gate</t>
  </si>
  <si>
    <t>Ross West</t>
  </si>
  <si>
    <t>Ross North</t>
  </si>
  <si>
    <t>Ross East</t>
  </si>
  <si>
    <t>Red Hill</t>
  </si>
  <si>
    <t>Queenswood</t>
  </si>
  <si>
    <t>Newton Farm</t>
  </si>
  <si>
    <t>Leominster West</t>
  </si>
  <si>
    <t>Leominster North &amp; Rural</t>
  </si>
  <si>
    <t>Leominster East</t>
  </si>
  <si>
    <t>Ledbury West</t>
  </si>
  <si>
    <t>Ledbury South</t>
  </si>
  <si>
    <t>Ledbury North</t>
  </si>
  <si>
    <t>Kings Acre</t>
  </si>
  <si>
    <t>Holmer</t>
  </si>
  <si>
    <t>Hinton &amp; Hunderton</t>
  </si>
  <si>
    <t>Eign Hill</t>
  </si>
  <si>
    <t>Dinedor Hill</t>
  </si>
  <si>
    <t>Bromyard West</t>
  </si>
  <si>
    <t>Bromyard Bringsty</t>
  </si>
  <si>
    <t>Bobblestock</t>
  </si>
  <si>
    <t>Bishops Frome &amp; Cradley</t>
  </si>
  <si>
    <t>Belmont Rural</t>
  </si>
  <si>
    <t>Aylestone Hill</t>
  </si>
  <si>
    <t>Arrow</t>
  </si>
  <si>
    <t>E05009438</t>
  </si>
  <si>
    <t>E05009439</t>
  </si>
  <si>
    <t>E05009440</t>
  </si>
  <si>
    <t>E05009441</t>
  </si>
  <si>
    <t>E05009442</t>
  </si>
  <si>
    <t>E05009443</t>
  </si>
  <si>
    <t>E05009444</t>
  </si>
  <si>
    <t>E05009445</t>
  </si>
  <si>
    <t>E05009446</t>
  </si>
  <si>
    <t>E05009447</t>
  </si>
  <si>
    <t>E05009448</t>
  </si>
  <si>
    <t>E05009449</t>
  </si>
  <si>
    <t>E05009450</t>
  </si>
  <si>
    <t>E05009451</t>
  </si>
  <si>
    <t>E05009452</t>
  </si>
  <si>
    <t>E05009453</t>
  </si>
  <si>
    <t>E05009454</t>
  </si>
  <si>
    <t>E05009455</t>
  </si>
  <si>
    <t>E05009456</t>
  </si>
  <si>
    <t>E05009457</t>
  </si>
  <si>
    <t>E05009458</t>
  </si>
  <si>
    <t>E05009459</t>
  </si>
  <si>
    <t>E05009460</t>
  </si>
  <si>
    <t>E05009461</t>
  </si>
  <si>
    <t>E05009462</t>
  </si>
  <si>
    <t>E05009463</t>
  </si>
  <si>
    <t>E05009464</t>
  </si>
  <si>
    <t>E05009465</t>
  </si>
  <si>
    <t>E05009466</t>
  </si>
  <si>
    <t>E05009467</t>
  </si>
  <si>
    <t>E05009468</t>
  </si>
  <si>
    <t>E05009469</t>
  </si>
  <si>
    <t>E05009470</t>
  </si>
  <si>
    <t>E05009471</t>
  </si>
  <si>
    <t>E05009472</t>
  </si>
  <si>
    <t>E05009473</t>
  </si>
  <si>
    <t>E05009474</t>
  </si>
  <si>
    <t>E05009475</t>
  </si>
  <si>
    <t>E05009476</t>
  </si>
  <si>
    <t>E05009477</t>
  </si>
  <si>
    <t>E05009478</t>
  </si>
  <si>
    <t>E05009479</t>
  </si>
  <si>
    <t>E05009480</t>
  </si>
  <si>
    <t>E05009481</t>
  </si>
  <si>
    <t>E05009482</t>
  </si>
  <si>
    <t>E05009483</t>
  </si>
  <si>
    <t>E05009484</t>
  </si>
  <si>
    <t>E05009485</t>
  </si>
  <si>
    <t>E05009486</t>
  </si>
  <si>
    <t>E05009487</t>
  </si>
  <si>
    <t>E05009488</t>
  </si>
  <si>
    <t>E05009489</t>
  </si>
  <si>
    <t>E05009490</t>
  </si>
  <si>
    <t>* as created by The Herefordshire (Electoral Changes) Order 2014</t>
  </si>
  <si>
    <t>E05009996</t>
  </si>
  <si>
    <t>Blandford Central</t>
  </si>
  <si>
    <t>Gillingham Rural</t>
  </si>
  <si>
    <t>Lower Tarrants</t>
  </si>
  <si>
    <t>Motcombe &amp; Bourton</t>
  </si>
  <si>
    <t>Riversdale &amp; Portman</t>
  </si>
  <si>
    <t>Shaftesbury East</t>
  </si>
  <si>
    <t>Shaftesbury West</t>
  </si>
  <si>
    <t>Sturminster Newton</t>
  </si>
  <si>
    <t>The Stours &amp; Marnhull</t>
  </si>
  <si>
    <t>E05009997</t>
  </si>
  <si>
    <t>E05009998</t>
  </si>
  <si>
    <t>E05009999</t>
  </si>
  <si>
    <t>E05010000</t>
  </si>
  <si>
    <t>E05010001</t>
  </si>
  <si>
    <t>E05010002</t>
  </si>
  <si>
    <t>E05010003</t>
  </si>
  <si>
    <t>E05010004</t>
  </si>
  <si>
    <t>E05010005</t>
  </si>
  <si>
    <t>E05010006</t>
  </si>
  <si>
    <t>E05010007</t>
  </si>
  <si>
    <t>E05010008</t>
  </si>
  <si>
    <t>E05010009</t>
  </si>
  <si>
    <t>E05010010</t>
  </si>
  <si>
    <t>E05010011</t>
  </si>
  <si>
    <t>E05010012</t>
  </si>
  <si>
    <t>E05010013</t>
  </si>
  <si>
    <t>E05010014</t>
  </si>
  <si>
    <t>* as created by The North Dorset (Electoral Changes) Order 2014</t>
  </si>
  <si>
    <t>Lulworth and Winfrith</t>
  </si>
  <si>
    <t>St Martin</t>
  </si>
  <si>
    <t>E05009535</t>
  </si>
  <si>
    <t>E05009536</t>
  </si>
  <si>
    <t>E05009537</t>
  </si>
  <si>
    <t>E05009538</t>
  </si>
  <si>
    <t>E05009539</t>
  </si>
  <si>
    <t>E05009540</t>
  </si>
  <si>
    <t>E05009541</t>
  </si>
  <si>
    <t>* as created by The Purbeck (Electoral Changes) Order 2013 and</t>
  </si>
  <si>
    <t xml:space="preserve">   as altered by The Purbeck (Electoral Changes) Order 2015</t>
  </si>
  <si>
    <t>E05010749</t>
  </si>
  <si>
    <t>E05010750</t>
  </si>
  <si>
    <t>E05010751</t>
  </si>
  <si>
    <t>E05010752</t>
  </si>
  <si>
    <t>E05010753</t>
  </si>
  <si>
    <t>* as created by The Cotswold (Electoral Changes) Order 2015</t>
  </si>
  <si>
    <t>E05010696</t>
  </si>
  <si>
    <t>E05010697</t>
  </si>
  <si>
    <t>E05010698</t>
  </si>
  <si>
    <t>E05010699</t>
  </si>
  <si>
    <t>E05010700</t>
  </si>
  <si>
    <t>E05010701</t>
  </si>
  <si>
    <t>E05010702</t>
  </si>
  <si>
    <t>E05010703</t>
  </si>
  <si>
    <t>E05010704</t>
  </si>
  <si>
    <t>E05010705</t>
  </si>
  <si>
    <t>E05010706</t>
  </si>
  <si>
    <t>E05010707</t>
  </si>
  <si>
    <t>E05010708</t>
  </si>
  <si>
    <t>E05010709</t>
  </si>
  <si>
    <t>E05010710</t>
  </si>
  <si>
    <t>E05010711</t>
  </si>
  <si>
    <t>E05010712</t>
  </si>
  <si>
    <t>E05010713</t>
  </si>
  <si>
    <t>E05010714</t>
  </si>
  <si>
    <t>E05010715</t>
  </si>
  <si>
    <t>E05010716</t>
  </si>
  <si>
    <t>E05010717</t>
  </si>
  <si>
    <t>E05010718</t>
  </si>
  <si>
    <t>E05010719</t>
  </si>
  <si>
    <t>E05010720</t>
  </si>
  <si>
    <t>E05010721</t>
  </si>
  <si>
    <t>E05010722</t>
  </si>
  <si>
    <t>E05010723</t>
  </si>
  <si>
    <t>E05010724</t>
  </si>
  <si>
    <t>E05010725</t>
  </si>
  <si>
    <t>E05010726</t>
  </si>
  <si>
    <t>E05010727</t>
  </si>
  <si>
    <t>Watermoor</t>
  </si>
  <si>
    <t>The Rissingtons</t>
  </si>
  <si>
    <t>The Beeches</t>
  </si>
  <si>
    <t>The Ampneys &amp; Hampton</t>
  </si>
  <si>
    <t>Tetbury with Upton</t>
  </si>
  <si>
    <t>Tetbury Town</t>
  </si>
  <si>
    <t>Tetbury East &amp; Rural</t>
  </si>
  <si>
    <t>South Cerney Village</t>
  </si>
  <si>
    <t>Siddington &amp; Cerney Rural</t>
  </si>
  <si>
    <t>Bourton Vale</t>
  </si>
  <si>
    <t>Bourton Village</t>
  </si>
  <si>
    <t>Campden &amp; Vale</t>
  </si>
  <si>
    <t>Chedworth &amp; Churn Valley</t>
  </si>
  <si>
    <t>Coln Valley</t>
  </si>
  <si>
    <t>Fairford North</t>
  </si>
  <si>
    <t>Grumbolds Ash with Avening</t>
  </si>
  <si>
    <t>Kemble</t>
  </si>
  <si>
    <t>Lechlade, Kempsford &amp; Fairford South</t>
  </si>
  <si>
    <t>Moreton East</t>
  </si>
  <si>
    <t>Moreton West</t>
  </si>
  <si>
    <t>New Mills</t>
  </si>
  <si>
    <t>Four Acres</t>
  </si>
  <si>
    <t>* as created by The Darlington (Electoral Changes) Order 2014</t>
  </si>
  <si>
    <t>Bank Top &amp; Lascelles</t>
  </si>
  <si>
    <t>E05010412</t>
  </si>
  <si>
    <t>E05010413</t>
  </si>
  <si>
    <t>E05010414</t>
  </si>
  <si>
    <t>E05010415</t>
  </si>
  <si>
    <t>E05010416</t>
  </si>
  <si>
    <t>E05010417</t>
  </si>
  <si>
    <t>E05010418</t>
  </si>
  <si>
    <t>E05010419</t>
  </si>
  <si>
    <t>E05010420</t>
  </si>
  <si>
    <t>E05010421</t>
  </si>
  <si>
    <t>E05010422</t>
  </si>
  <si>
    <t>E05010423</t>
  </si>
  <si>
    <t>E05010424</t>
  </si>
  <si>
    <t>E05010425</t>
  </si>
  <si>
    <t>E05010426</t>
  </si>
  <si>
    <t>E05010427</t>
  </si>
  <si>
    <t>E05010428</t>
  </si>
  <si>
    <t>E05010429</t>
  </si>
  <si>
    <t>E05010430</t>
  </si>
  <si>
    <t>E05010431</t>
  </si>
  <si>
    <t>Brinkburn &amp; Faverdale</t>
  </si>
  <si>
    <t>Cockerton</t>
  </si>
  <si>
    <t>Heighington &amp; Coniscliffe</t>
  </si>
  <si>
    <t>Red Hall &amp; Lingfield</t>
  </si>
  <si>
    <t>Sadberge &amp; Middleton St George</t>
  </si>
  <si>
    <t>Stephenson</t>
  </si>
  <si>
    <t>Whinfield</t>
  </si>
  <si>
    <t>E05009544</t>
  </si>
  <si>
    <t>* as created by The Swale (Electoral Changes) Order 2014</t>
  </si>
  <si>
    <t>Borden and Grove Park</t>
  </si>
  <si>
    <t>Bobbing, Iwade and Lower Halstow</t>
  </si>
  <si>
    <t>Sheerness</t>
  </si>
  <si>
    <t>Sheppey East</t>
  </si>
  <si>
    <t>The Meads</t>
  </si>
  <si>
    <t>E05009545</t>
  </si>
  <si>
    <t>E05009546</t>
  </si>
  <si>
    <t>E05009547</t>
  </si>
  <si>
    <t>E05009548</t>
  </si>
  <si>
    <t>E05009549</t>
  </si>
  <si>
    <t>E05009550</t>
  </si>
  <si>
    <t>E05009551</t>
  </si>
  <si>
    <t>E05009552</t>
  </si>
  <si>
    <t>E05009553</t>
  </si>
  <si>
    <t>E05009554</t>
  </si>
  <si>
    <t>E05009555</t>
  </si>
  <si>
    <t>E05009556</t>
  </si>
  <si>
    <t>E05009557</t>
  </si>
  <si>
    <t>E05009558</t>
  </si>
  <si>
    <t>E05009559</t>
  </si>
  <si>
    <t>E05009560</t>
  </si>
  <si>
    <t>E05009561</t>
  </si>
  <si>
    <t>E05009562</t>
  </si>
  <si>
    <t>E05009563</t>
  </si>
  <si>
    <t>E05009564</t>
  </si>
  <si>
    <t>E05009565</t>
  </si>
  <si>
    <t>E05009566</t>
  </si>
  <si>
    <t>E05009567</t>
  </si>
  <si>
    <t>Bolton &amp; Slyne</t>
  </si>
  <si>
    <t>Carnforth &amp; Millhead</t>
  </si>
  <si>
    <t>E05009592</t>
  </si>
  <si>
    <t>University &amp; Scotforth Rural</t>
  </si>
  <si>
    <t>* as created by The Lancaster (Electoral Changes) Order 2014</t>
  </si>
  <si>
    <t>E05009593</t>
  </si>
  <si>
    <t>E05009594</t>
  </si>
  <si>
    <t>E05009595</t>
  </si>
  <si>
    <t>E05009596</t>
  </si>
  <si>
    <t>E05009597</t>
  </si>
  <si>
    <t>E05009598</t>
  </si>
  <si>
    <t>E05009599</t>
  </si>
  <si>
    <t>E05009600</t>
  </si>
  <si>
    <t>E05009601</t>
  </si>
  <si>
    <t>E05009602</t>
  </si>
  <si>
    <t>E05009603</t>
  </si>
  <si>
    <t>E05009604</t>
  </si>
  <si>
    <t>E05009605</t>
  </si>
  <si>
    <t>E05009606</t>
  </si>
  <si>
    <t>E05009607</t>
  </si>
  <si>
    <t>E05009608</t>
  </si>
  <si>
    <t>E05009609</t>
  </si>
  <si>
    <t>E05009610</t>
  </si>
  <si>
    <t>E05009611</t>
  </si>
  <si>
    <t>E05009612</t>
  </si>
  <si>
    <t>E05009613</t>
  </si>
  <si>
    <t>E05009614</t>
  </si>
  <si>
    <t>E05009615</t>
  </si>
  <si>
    <t>E05009616</t>
  </si>
  <si>
    <t>E05009617</t>
  </si>
  <si>
    <t>E05009618</t>
  </si>
  <si>
    <t>E05010214</t>
  </si>
  <si>
    <t>Broadfield</t>
  </si>
  <si>
    <t>Buckshaw &amp; Worden</t>
  </si>
  <si>
    <t>Coupe Green &amp; Gregson Lane</t>
  </si>
  <si>
    <t>E05010215</t>
  </si>
  <si>
    <t>E05010216</t>
  </si>
  <si>
    <t>E05010217</t>
  </si>
  <si>
    <t>E05010218</t>
  </si>
  <si>
    <t>E05010219</t>
  </si>
  <si>
    <t>E05010220</t>
  </si>
  <si>
    <t>E05010221</t>
  </si>
  <si>
    <t>E05010222</t>
  </si>
  <si>
    <t>Howick &amp; Priory</t>
  </si>
  <si>
    <t>Longton &amp; Hutton West</t>
  </si>
  <si>
    <t>New Longton &amp; Hutton East</t>
  </si>
  <si>
    <t>E05010223</t>
  </si>
  <si>
    <t>E05010224</t>
  </si>
  <si>
    <t>E05010225</t>
  </si>
  <si>
    <t>E05010226</t>
  </si>
  <si>
    <t>E05010227</t>
  </si>
  <si>
    <t>E05010228</t>
  </si>
  <si>
    <t>E05010229</t>
  </si>
  <si>
    <t>E05010230</t>
  </si>
  <si>
    <t>E05010231</t>
  </si>
  <si>
    <t>St Ambrose</t>
  </si>
  <si>
    <t>Samlesbury &amp; Walton</t>
  </si>
  <si>
    <t>Walton-le-Dale East</t>
  </si>
  <si>
    <t>Walton-le-Dale West</t>
  </si>
  <si>
    <t>E05010232</t>
  </si>
  <si>
    <t>E05010233</t>
  </si>
  <si>
    <t>E05010234</t>
  </si>
  <si>
    <t>E05010235</t>
  </si>
  <si>
    <t>E05010236</t>
  </si>
  <si>
    <t>E05009621</t>
  </si>
  <si>
    <t>* as created by The Boston (Electoral Changes) Order 2013</t>
  </si>
  <si>
    <t>Kirton and Frampton</t>
  </si>
  <si>
    <t>St Thomas'</t>
  </si>
  <si>
    <t>Staniland</t>
  </si>
  <si>
    <t>Station</t>
  </si>
  <si>
    <t>E05009622</t>
  </si>
  <si>
    <t>E05009623</t>
  </si>
  <si>
    <t>E05009624</t>
  </si>
  <si>
    <t>E05009625</t>
  </si>
  <si>
    <t>E05009626</t>
  </si>
  <si>
    <t>E05009627</t>
  </si>
  <si>
    <t>E05009628</t>
  </si>
  <si>
    <t>E05009629</t>
  </si>
  <si>
    <t>E05009630</t>
  </si>
  <si>
    <t>E05009631</t>
  </si>
  <si>
    <t>E05009632</t>
  </si>
  <si>
    <t>E05009633</t>
  </si>
  <si>
    <t>E05009634</t>
  </si>
  <si>
    <t>E05009635</t>
  </si>
  <si>
    <t>* as created by The South Kesteven (Electoral Changes) Order 2014</t>
  </si>
  <si>
    <t>E05010148</t>
  </si>
  <si>
    <t>Belvoir</t>
  </si>
  <si>
    <t>E05010149</t>
  </si>
  <si>
    <t>E05010150</t>
  </si>
  <si>
    <t>Bourne Austerby</t>
  </si>
  <si>
    <t>Casewick</t>
  </si>
  <si>
    <t>Dole Wood</t>
  </si>
  <si>
    <t>Grantham Arnoldfield</t>
  </si>
  <si>
    <t>E05010151</t>
  </si>
  <si>
    <t>E05010152</t>
  </si>
  <si>
    <t>E05010153</t>
  </si>
  <si>
    <t>E05010154</t>
  </si>
  <si>
    <t>E05010155</t>
  </si>
  <si>
    <t>E05010156</t>
  </si>
  <si>
    <t>E05010157</t>
  </si>
  <si>
    <t>E05010158</t>
  </si>
  <si>
    <t>E05010159</t>
  </si>
  <si>
    <t>Grantham Barrowby Gate</t>
  </si>
  <si>
    <t>Grantham Earlesfield</t>
  </si>
  <si>
    <t>Grantham Harrowby</t>
  </si>
  <si>
    <t>Grantham St Vincent's</t>
  </si>
  <si>
    <t>Grantham St Wulfram's</t>
  </si>
  <si>
    <t>Grantham Springfield</t>
  </si>
  <si>
    <t>E05010160</t>
  </si>
  <si>
    <t>E05010161</t>
  </si>
  <si>
    <t>E05010162</t>
  </si>
  <si>
    <t>E05010163</t>
  </si>
  <si>
    <t>E05010164</t>
  </si>
  <si>
    <t>E05010165</t>
  </si>
  <si>
    <t>Loveden Heath</t>
  </si>
  <si>
    <t>Market &amp; West Deeping</t>
  </si>
  <si>
    <t>Peascliffe &amp; Ridgeway</t>
  </si>
  <si>
    <t>Stamford All Saints</t>
  </si>
  <si>
    <t>Stamford St George's</t>
  </si>
  <si>
    <t>Stamford St Mary's</t>
  </si>
  <si>
    <t>E05010166</t>
  </si>
  <si>
    <t>E05010167</t>
  </si>
  <si>
    <t>E05010168</t>
  </si>
  <si>
    <t>E05010169</t>
  </si>
  <si>
    <t>E05010170</t>
  </si>
  <si>
    <t>E05010171</t>
  </si>
  <si>
    <t>E05010172</t>
  </si>
  <si>
    <t>E05010173</t>
  </si>
  <si>
    <t>E05010174</t>
  </si>
  <si>
    <t>E05010175</t>
  </si>
  <si>
    <t>E05010176</t>
  </si>
  <si>
    <t>E05010177</t>
  </si>
  <si>
    <t>E05009853</t>
  </si>
  <si>
    <t>* as created by The Middlesbrough (Electoral Changes) Order 2014</t>
  </si>
  <si>
    <t>Berwick Hills &amp; Pallister</t>
  </si>
  <si>
    <t>E05009854</t>
  </si>
  <si>
    <t>E05009855</t>
  </si>
  <si>
    <t>Brambles &amp; Thorntree</t>
  </si>
  <si>
    <t>E05009856</t>
  </si>
  <si>
    <t>E05009857</t>
  </si>
  <si>
    <t>E05009858</t>
  </si>
  <si>
    <t>E05009859</t>
  </si>
  <si>
    <t>E05009860</t>
  </si>
  <si>
    <t>E05009861</t>
  </si>
  <si>
    <t>E05009862</t>
  </si>
  <si>
    <t>E05009863</t>
  </si>
  <si>
    <t>Longlands &amp; Beechwood</t>
  </si>
  <si>
    <t>Marton East</t>
  </si>
  <si>
    <t>North Ormesby</t>
  </si>
  <si>
    <t>Park End &amp; Beckfield</t>
  </si>
  <si>
    <t>E05009864</t>
  </si>
  <si>
    <t>E05009865</t>
  </si>
  <si>
    <t>E05009866</t>
  </si>
  <si>
    <t>E05009867</t>
  </si>
  <si>
    <t>E05009868</t>
  </si>
  <si>
    <t>E05009869</t>
  </si>
  <si>
    <t>E05009870</t>
  </si>
  <si>
    <t>Stainton &amp; Thornton</t>
  </si>
  <si>
    <t>Trimdon</t>
  </si>
  <si>
    <t>E05009871</t>
  </si>
  <si>
    <t>E05009872</t>
  </si>
  <si>
    <t>E05010264</t>
  </si>
  <si>
    <t>Kingswood &amp; Hazel Leys</t>
  </si>
  <si>
    <t>Lloyds</t>
  </si>
  <si>
    <t>Oakley North</t>
  </si>
  <si>
    <t>Oakley South</t>
  </si>
  <si>
    <t>Stanion &amp; Corby Village</t>
  </si>
  <si>
    <t>Weldon &amp; Gretton</t>
  </si>
  <si>
    <t>* as created by The Corby (Electoral Changes) Order 2014</t>
  </si>
  <si>
    <t>E05010265</t>
  </si>
  <si>
    <t>E05010266</t>
  </si>
  <si>
    <t>E05010267</t>
  </si>
  <si>
    <t>E05010268</t>
  </si>
  <si>
    <t>E05010269</t>
  </si>
  <si>
    <t>E05010270</t>
  </si>
  <si>
    <t>E05010271</t>
  </si>
  <si>
    <t>E05010272</t>
  </si>
  <si>
    <t>E05010273</t>
  </si>
  <si>
    <t>E05010274</t>
  </si>
  <si>
    <t>E05010275</t>
  </si>
  <si>
    <t>E05010276</t>
  </si>
  <si>
    <t>* as created by The North Somerset (Electoral Changes) Order 2014</t>
  </si>
  <si>
    <t>Banwell &amp; Winscombe</t>
  </si>
  <si>
    <t>Blagdon &amp; Churchill</t>
  </si>
  <si>
    <t>Congresbury &amp; Puxton</t>
  </si>
  <si>
    <t>Gordano Valley</t>
  </si>
  <si>
    <t>Hutton &amp; Locking</t>
  </si>
  <si>
    <t>Long Ashton</t>
  </si>
  <si>
    <t>Nailsea Golden Valley</t>
  </si>
  <si>
    <t>Nailsea West End</t>
  </si>
  <si>
    <t>Nailsea Yeo</t>
  </si>
  <si>
    <t>Nailsea Youngwood</t>
  </si>
  <si>
    <t>Portishead North</t>
  </si>
  <si>
    <t>Portishead South</t>
  </si>
  <si>
    <t>Weston-Super-Mare Hillside</t>
  </si>
  <si>
    <t>Weston-super-Mare Kewstoke</t>
  </si>
  <si>
    <t>Weston-super-Mare Mid Worle</t>
  </si>
  <si>
    <t>Weston-super-Mare Milton</t>
  </si>
  <si>
    <t>Weston-super-Mare Uphill</t>
  </si>
  <si>
    <t>Weston-super-Mare Winterstoke</t>
  </si>
  <si>
    <t>Wick St Lawrence &amp; St Georges</t>
  </si>
  <si>
    <t>E05010277</t>
  </si>
  <si>
    <t>E05010278</t>
  </si>
  <si>
    <t>E05010279</t>
  </si>
  <si>
    <t>E05010280</t>
  </si>
  <si>
    <t>E05010281</t>
  </si>
  <si>
    <t>E05010282</t>
  </si>
  <si>
    <t>E05010283</t>
  </si>
  <si>
    <t>E05010284</t>
  </si>
  <si>
    <t>E05010285</t>
  </si>
  <si>
    <t>E05010286</t>
  </si>
  <si>
    <t>E05010287</t>
  </si>
  <si>
    <t>E05010288</t>
  </si>
  <si>
    <t>E05010289</t>
  </si>
  <si>
    <t>E05010290</t>
  </si>
  <si>
    <t>E05010291</t>
  </si>
  <si>
    <t>E05010292</t>
  </si>
  <si>
    <t>E05010293</t>
  </si>
  <si>
    <t>E05010294</t>
  </si>
  <si>
    <t>E05010295</t>
  </si>
  <si>
    <t>E05010296</t>
  </si>
  <si>
    <t>E05010297</t>
  </si>
  <si>
    <t>E05010298</t>
  </si>
  <si>
    <t>E05010299</t>
  </si>
  <si>
    <t>E05010300</t>
  </si>
  <si>
    <t>E05010301</t>
  </si>
  <si>
    <t>E05010302</t>
  </si>
  <si>
    <t>E05010303</t>
  </si>
  <si>
    <t>E05010304</t>
  </si>
  <si>
    <t>E05010305</t>
  </si>
  <si>
    <t>E05010306</t>
  </si>
  <si>
    <t>E05010307</t>
  </si>
  <si>
    <t>E05010308</t>
  </si>
  <si>
    <t>E05010309</t>
  </si>
  <si>
    <t>E05010310</t>
  </si>
  <si>
    <t>E05010514</t>
  </si>
  <si>
    <t>Attenborough &amp; Chilwell East</t>
  </si>
  <si>
    <t>Awsworth, Cossall &amp; Trowell</t>
  </si>
  <si>
    <t>Eastwood Hall</t>
  </si>
  <si>
    <t>Eastwood Hilltop</t>
  </si>
  <si>
    <t>Eastwood St Mary's</t>
  </si>
  <si>
    <t>Greasley</t>
  </si>
  <si>
    <t>Kimberley</t>
  </si>
  <si>
    <t>Nuthall East &amp; Strelley</t>
  </si>
  <si>
    <t>Toton &amp; Chilwell Meadows</t>
  </si>
  <si>
    <t>Watnall &amp; Nuthall West</t>
  </si>
  <si>
    <t>* as created by The Broxtowe (Electoral Changes) Order 2015</t>
  </si>
  <si>
    <t>E05010515</t>
  </si>
  <si>
    <t>E05010516</t>
  </si>
  <si>
    <t>E05010517</t>
  </si>
  <si>
    <t>E05010518</t>
  </si>
  <si>
    <t>E05010519</t>
  </si>
  <si>
    <t>E05010520</t>
  </si>
  <si>
    <t>E05010521</t>
  </si>
  <si>
    <t>E05010522</t>
  </si>
  <si>
    <t>E05010523</t>
  </si>
  <si>
    <t>E05010524</t>
  </si>
  <si>
    <t>E05010525</t>
  </si>
  <si>
    <t>E05010526</t>
  </si>
  <si>
    <t>E05010527</t>
  </si>
  <si>
    <t>E05010528</t>
  </si>
  <si>
    <t>E05010529</t>
  </si>
  <si>
    <t>E05010530</t>
  </si>
  <si>
    <t>E05010531</t>
  </si>
  <si>
    <t>E05010532</t>
  </si>
  <si>
    <t>E05010533</t>
  </si>
  <si>
    <t>Benson &amp; Crowmarsh</t>
  </si>
  <si>
    <t>E05009733</t>
  </si>
  <si>
    <t>Cholsey</t>
  </si>
  <si>
    <t>Didcot North East</t>
  </si>
  <si>
    <t>Didcot South</t>
  </si>
  <si>
    <t>Didcot West</t>
  </si>
  <si>
    <t>Forest Hill &amp; Holton</t>
  </si>
  <si>
    <t>Garsington &amp; Horspath</t>
  </si>
  <si>
    <t>Haseley Brook</t>
  </si>
  <si>
    <t>Henley-on-Thames</t>
  </si>
  <si>
    <t>Kidmore End &amp; Whitchurch</t>
  </si>
  <si>
    <t>Sandford &amp; the Wittenhams</t>
  </si>
  <si>
    <t>Thame</t>
  </si>
  <si>
    <t>Wallingford</t>
  </si>
  <si>
    <t>Woodcote &amp; Rotherfield</t>
  </si>
  <si>
    <t>* as created by The South Oxfordshire (Electoral Changes) Order 2014</t>
  </si>
  <si>
    <t>E05009734</t>
  </si>
  <si>
    <t>E05009735</t>
  </si>
  <si>
    <t>E05009736</t>
  </si>
  <si>
    <t>E05009737</t>
  </si>
  <si>
    <t>E05009738</t>
  </si>
  <si>
    <t>E05009739</t>
  </si>
  <si>
    <t>E05009740</t>
  </si>
  <si>
    <t>E05009741</t>
  </si>
  <si>
    <t>E05009742</t>
  </si>
  <si>
    <t>E05009743</t>
  </si>
  <si>
    <t>E05009744</t>
  </si>
  <si>
    <t>E05009745</t>
  </si>
  <si>
    <t>E05009746</t>
  </si>
  <si>
    <t>E05009747</t>
  </si>
  <si>
    <t>E05009748</t>
  </si>
  <si>
    <t>E05009749</t>
  </si>
  <si>
    <t>E05009750</t>
  </si>
  <si>
    <t>E05009751</t>
  </si>
  <si>
    <t>E05009752</t>
  </si>
  <si>
    <t>E05009753</t>
  </si>
  <si>
    <t>E05009754</t>
  </si>
  <si>
    <t>Abingdon Abbey Northcourt</t>
  </si>
  <si>
    <t>* as created by The Vale of White Horse (Electoral Changes) Order 2014</t>
  </si>
  <si>
    <t>Blewbury &amp; Harwell</t>
  </si>
  <si>
    <t>Botley &amp; Sunningwell</t>
  </si>
  <si>
    <t>Cumnor</t>
  </si>
  <si>
    <t>Faringdon</t>
  </si>
  <si>
    <t>Grove North</t>
  </si>
  <si>
    <t>Kennington &amp; Radley</t>
  </si>
  <si>
    <t>Kingston Bagpuize</t>
  </si>
  <si>
    <t>Marcham</t>
  </si>
  <si>
    <t>E05009755</t>
  </si>
  <si>
    <t>E05009756</t>
  </si>
  <si>
    <t>E05009757</t>
  </si>
  <si>
    <t>E05009758</t>
  </si>
  <si>
    <t>E05009759</t>
  </si>
  <si>
    <t>E05009760</t>
  </si>
  <si>
    <t>E05009761</t>
  </si>
  <si>
    <t>E05009762</t>
  </si>
  <si>
    <t>E05009763</t>
  </si>
  <si>
    <t>E05009764</t>
  </si>
  <si>
    <t>E05009765</t>
  </si>
  <si>
    <t>E05009766</t>
  </si>
  <si>
    <t>E05009767</t>
  </si>
  <si>
    <t>E05009768</t>
  </si>
  <si>
    <t>E05009769</t>
  </si>
  <si>
    <t>E05009770</t>
  </si>
  <si>
    <t>Steventon &amp; the Hanneys</t>
  </si>
  <si>
    <t>Sutton Courtenay</t>
  </si>
  <si>
    <t>E05009771</t>
  </si>
  <si>
    <t>E05009772</t>
  </si>
  <si>
    <t>E05009773</t>
  </si>
  <si>
    <t>E05009774</t>
  </si>
  <si>
    <t>E05009775</t>
  </si>
  <si>
    <t>Wantage &amp; Grove Brook</t>
  </si>
  <si>
    <t>Watchfield &amp; Shrivenham</t>
  </si>
  <si>
    <t>E05009776</t>
  </si>
  <si>
    <t>E05009777</t>
  </si>
  <si>
    <t>Admaston &amp; Bratton</t>
  </si>
  <si>
    <t>E05009966</t>
  </si>
  <si>
    <t>* as created by The Telford and Wrekin (Electoral Changes) Order 2014</t>
  </si>
  <si>
    <t>Church Aston &amp; Lilleshall</t>
  </si>
  <si>
    <t>Dawley &amp; Aqueduct</t>
  </si>
  <si>
    <t>Edgmond &amp; Ercall Magna</t>
  </si>
  <si>
    <t>Hadley &amp; Leegomery</t>
  </si>
  <si>
    <t>Horsehay &amp; Lightmoor</t>
  </si>
  <si>
    <t>Ketley &amp; Overdale</t>
  </si>
  <si>
    <t>Madeley &amp; Sutton Hill</t>
  </si>
  <si>
    <t>Malinslee &amp; Dawley Bank</t>
  </si>
  <si>
    <t>Newport North &amp; West</t>
  </si>
  <si>
    <t>Newport South &amp; East</t>
  </si>
  <si>
    <t>Oakengates &amp; Ketley Bank</t>
  </si>
  <si>
    <t>Wrockwardine Wood &amp; Trench</t>
  </si>
  <si>
    <t>E05009967</t>
  </si>
  <si>
    <t>E05009968</t>
  </si>
  <si>
    <t>E05009969</t>
  </si>
  <si>
    <t>E05009970</t>
  </si>
  <si>
    <t>E05009971</t>
  </si>
  <si>
    <t>E05009972</t>
  </si>
  <si>
    <t>E05009973</t>
  </si>
  <si>
    <t>E05009974</t>
  </si>
  <si>
    <t>E05009975</t>
  </si>
  <si>
    <t>E05009976</t>
  </si>
  <si>
    <t>E05009977</t>
  </si>
  <si>
    <t>E05009978</t>
  </si>
  <si>
    <t>E05009979</t>
  </si>
  <si>
    <t>E05009980</t>
  </si>
  <si>
    <t>E05009981</t>
  </si>
  <si>
    <t>E05009982</t>
  </si>
  <si>
    <t>E05009983</t>
  </si>
  <si>
    <t>E05009984</t>
  </si>
  <si>
    <t>E05009985</t>
  </si>
  <si>
    <t>E05009986</t>
  </si>
  <si>
    <t>E05009987</t>
  </si>
  <si>
    <t>E05009988</t>
  </si>
  <si>
    <t>E05009989</t>
  </si>
  <si>
    <t>E05009990</t>
  </si>
  <si>
    <t>E05009991</t>
  </si>
  <si>
    <t>E05009992</t>
  </si>
  <si>
    <t>E05009993</t>
  </si>
  <si>
    <t>E05009994</t>
  </si>
  <si>
    <t>E05009995</t>
  </si>
  <si>
    <t>Adwick le Street &amp; Carcroft</t>
  </si>
  <si>
    <t>E05010728</t>
  </si>
  <si>
    <t>Balby South</t>
  </si>
  <si>
    <t>Bessacarr</t>
  </si>
  <si>
    <t>Conisbrough</t>
  </si>
  <si>
    <t>Edenthorpe &amp; Kirk Sandall</t>
  </si>
  <si>
    <t>Edlington &amp; Warmsworth</t>
  </si>
  <si>
    <t>Hexthorpe &amp; Balby North</t>
  </si>
  <si>
    <t>Norton &amp; Askern</t>
  </si>
  <si>
    <t>Roman Ridge</t>
  </si>
  <si>
    <t>Rossington &amp; Bawtry</t>
  </si>
  <si>
    <t>Stainforth &amp; Barnby Dun</t>
  </si>
  <si>
    <t>Thorne &amp; Moorends</t>
  </si>
  <si>
    <t>Wheatley Hills &amp; Intake</t>
  </si>
  <si>
    <t>* as created by The Doncaster (Electoral Changes) Order 2015</t>
  </si>
  <si>
    <t>E05010729</t>
  </si>
  <si>
    <t>E05010730</t>
  </si>
  <si>
    <t>E05010731</t>
  </si>
  <si>
    <t>E05010732</t>
  </si>
  <si>
    <t>E05010733</t>
  </si>
  <si>
    <t>E05010734</t>
  </si>
  <si>
    <t>E05010735</t>
  </si>
  <si>
    <t>E05010736</t>
  </si>
  <si>
    <t>E05010737</t>
  </si>
  <si>
    <t>E05010738</t>
  </si>
  <si>
    <t>E05010739</t>
  </si>
  <si>
    <t>E05010740</t>
  </si>
  <si>
    <t>E05010741</t>
  </si>
  <si>
    <t>E05010742</t>
  </si>
  <si>
    <t>E05010743</t>
  </si>
  <si>
    <t>E05010744</t>
  </si>
  <si>
    <t>E05010745</t>
  </si>
  <si>
    <t>E05010746</t>
  </si>
  <si>
    <t>E05010747</t>
  </si>
  <si>
    <t>E05010748</t>
  </si>
  <si>
    <t>* as created by The Lichfield (Electoral Changes) Order 2015</t>
  </si>
  <si>
    <t>E05010651</t>
  </si>
  <si>
    <t>Alrewas &amp; Fradley</t>
  </si>
  <si>
    <t>Boney Hay &amp; Central</t>
  </si>
  <si>
    <t>Colton &amp; the Ridwares</t>
  </si>
  <si>
    <t>Hammerwich with Wall</t>
  </si>
  <si>
    <t>Little Aston &amp; Stonnall</t>
  </si>
  <si>
    <t>E05010652</t>
  </si>
  <si>
    <t>E05010653</t>
  </si>
  <si>
    <t>E05010654</t>
  </si>
  <si>
    <t>E05010655</t>
  </si>
  <si>
    <t>E05010656</t>
  </si>
  <si>
    <t>E05010657</t>
  </si>
  <si>
    <t>E05010658</t>
  </si>
  <si>
    <t>E05010659</t>
  </si>
  <si>
    <t>E05010660</t>
  </si>
  <si>
    <t>E05010661</t>
  </si>
  <si>
    <t>E05010662</t>
  </si>
  <si>
    <t>E05010663</t>
  </si>
  <si>
    <t>E05010664</t>
  </si>
  <si>
    <t>E05010665</t>
  </si>
  <si>
    <t>Mease Valley</t>
  </si>
  <si>
    <t>Summerfield &amp; All Saints</t>
  </si>
  <si>
    <t>Whittington &amp; Streethay</t>
  </si>
  <si>
    <t>E05010666</t>
  </si>
  <si>
    <t>E05010667</t>
  </si>
  <si>
    <t>E05010668</t>
  </si>
  <si>
    <t>E05010669</t>
  </si>
  <si>
    <t>E05010670</t>
  </si>
  <si>
    <t>E05010671</t>
  </si>
  <si>
    <t>E05010672</t>
  </si>
  <si>
    <t>E05010479</t>
  </si>
  <si>
    <t>* as created by The Stafford (Electoral Changes) Order 2015</t>
  </si>
  <si>
    <t>Barlaston</t>
  </si>
  <si>
    <t>Doxey &amp; Castletown</t>
  </si>
  <si>
    <t>Gnosall &amp; Woodseaves</t>
  </si>
  <si>
    <t>Haywood &amp; Hixon</t>
  </si>
  <si>
    <t>Highfields &amp; Western Downs</t>
  </si>
  <si>
    <t>St Michael's &amp; Stonefield</t>
  </si>
  <si>
    <t>Seighford &amp; Church Eaton</t>
  </si>
  <si>
    <t>Swynnerton &amp; Oulton</t>
  </si>
  <si>
    <t>Weeping Cross &amp; Wildwood</t>
  </si>
  <si>
    <t>E05010480</t>
  </si>
  <si>
    <t>E05010481</t>
  </si>
  <si>
    <t>E05010482</t>
  </si>
  <si>
    <t>E05010483</t>
  </si>
  <si>
    <t>E05010484</t>
  </si>
  <si>
    <t>E05010485</t>
  </si>
  <si>
    <t>E05010486</t>
  </si>
  <si>
    <t>E05010487</t>
  </si>
  <si>
    <t>E05010488</t>
  </si>
  <si>
    <t>E05010489</t>
  </si>
  <si>
    <t>E05010490</t>
  </si>
  <si>
    <t>E05010491</t>
  </si>
  <si>
    <t>E05010492</t>
  </si>
  <si>
    <t>E05010493</t>
  </si>
  <si>
    <t>E05010494</t>
  </si>
  <si>
    <t>E05010495</t>
  </si>
  <si>
    <t>E05010496</t>
  </si>
  <si>
    <t>E05010497</t>
  </si>
  <si>
    <t>E05010498</t>
  </si>
  <si>
    <t>E05010499</t>
  </si>
  <si>
    <t>E05010500</t>
  </si>
  <si>
    <t>E05010501</t>
  </si>
  <si>
    <t>E05010432</t>
  </si>
  <si>
    <t>Deben</t>
  </si>
  <si>
    <t>Fynn Valley</t>
  </si>
  <si>
    <t>Kirton</t>
  </si>
  <si>
    <t>Nacton &amp; Purdis Farm</t>
  </si>
  <si>
    <t>Orford &amp; Eyke</t>
  </si>
  <si>
    <t>Peasenhall &amp; Yoxford</t>
  </si>
  <si>
    <t>The Trimleys</t>
  </si>
  <si>
    <t>Wenhaston &amp; Westleton</t>
  </si>
  <si>
    <t>Woodbridge</t>
  </si>
  <si>
    <t>* as created by The Suffolk Coastal (Electoral Changes) Order 2014</t>
  </si>
  <si>
    <t>E05010433</t>
  </si>
  <si>
    <t>E05010434</t>
  </si>
  <si>
    <t>E05010435</t>
  </si>
  <si>
    <t>E05010436</t>
  </si>
  <si>
    <t>E05010437</t>
  </si>
  <si>
    <t>E05010438</t>
  </si>
  <si>
    <t>E05010439</t>
  </si>
  <si>
    <t>E05010440</t>
  </si>
  <si>
    <t>E05010441</t>
  </si>
  <si>
    <t>E05010442</t>
  </si>
  <si>
    <t>E05010443</t>
  </si>
  <si>
    <t>E05010444</t>
  </si>
  <si>
    <t>E05010445</t>
  </si>
  <si>
    <t>E05010446</t>
  </si>
  <si>
    <t>E05010447</t>
  </si>
  <si>
    <t>E05010448</t>
  </si>
  <si>
    <t>E05010449</t>
  </si>
  <si>
    <t>E05010450</t>
  </si>
  <si>
    <t>E05010451</t>
  </si>
  <si>
    <t>E05010452</t>
  </si>
  <si>
    <t>E05010453</t>
  </si>
  <si>
    <t>E05010454</t>
  </si>
  <si>
    <t>E05010455</t>
  </si>
  <si>
    <t>E05010456</t>
  </si>
  <si>
    <t>E05010457</t>
  </si>
  <si>
    <t>E05010756</t>
  </si>
  <si>
    <t>E05010755</t>
  </si>
  <si>
    <t>E05010757</t>
  </si>
  <si>
    <t>* as created by The Swindon (Electoral Changes) Order 2012 and</t>
  </si>
  <si>
    <t xml:space="preserve">   as altered by The Swindon (Electoral Changes) Order 2015</t>
  </si>
  <si>
    <t>E05010758</t>
  </si>
  <si>
    <t>E05010759</t>
  </si>
  <si>
    <t>E05010760</t>
  </si>
  <si>
    <t>* as created by The Rugby (Electoral Changes) Order 2012 and</t>
  </si>
  <si>
    <t xml:space="preserve">  as altered by The Rugby (Electoral Changes) Order 2015</t>
  </si>
  <si>
    <t>Alcester Town</t>
  </si>
  <si>
    <t>Alcester &amp; Rural</t>
  </si>
  <si>
    <t>E05010178</t>
  </si>
  <si>
    <t>Bidford East</t>
  </si>
  <si>
    <t>Bidford West &amp; Salford</t>
  </si>
  <si>
    <t>Bishop's Itchington</t>
  </si>
  <si>
    <t>Bishopton</t>
  </si>
  <si>
    <t>Brailes &amp; Compton</t>
  </si>
  <si>
    <t>Bridgetown</t>
  </si>
  <si>
    <t>Clopton</t>
  </si>
  <si>
    <t>Hathaway</t>
  </si>
  <si>
    <t>Henley-in-Arden</t>
  </si>
  <si>
    <t>Long Itchington &amp; Stockton</t>
  </si>
  <si>
    <t>Napton &amp; Fenny Compton</t>
  </si>
  <si>
    <t>Red Horse</t>
  </si>
  <si>
    <t>Shipston North</t>
  </si>
  <si>
    <t>Shipston South</t>
  </si>
  <si>
    <t>Shottery</t>
  </si>
  <si>
    <t>Southam North</t>
  </si>
  <si>
    <t>Southam South</t>
  </si>
  <si>
    <t>Studley with Mappleborough Green</t>
  </si>
  <si>
    <t>Studley with Sambourne</t>
  </si>
  <si>
    <t>Tanworth-in-Arden</t>
  </si>
  <si>
    <t>Tiddington</t>
  </si>
  <si>
    <t>Welcombe</t>
  </si>
  <si>
    <t>Welford-on-Avon</t>
  </si>
  <si>
    <t>Wellesbourne East</t>
  </si>
  <si>
    <t>Wellesbourne West</t>
  </si>
  <si>
    <t>* as created by The Stratford-on-Avon (Electoral Changes) Order 2014</t>
  </si>
  <si>
    <t>E05010179</t>
  </si>
  <si>
    <t>E05010180</t>
  </si>
  <si>
    <t>E05010181</t>
  </si>
  <si>
    <t>E05010182</t>
  </si>
  <si>
    <t>E05010183</t>
  </si>
  <si>
    <t>E05010184</t>
  </si>
  <si>
    <t>E05010185</t>
  </si>
  <si>
    <t>E05010186</t>
  </si>
  <si>
    <t>E05010187</t>
  </si>
  <si>
    <t>E05010188</t>
  </si>
  <si>
    <t>E05010189</t>
  </si>
  <si>
    <t>E05010190</t>
  </si>
  <si>
    <t>E05010191</t>
  </si>
  <si>
    <t>E05010192</t>
  </si>
  <si>
    <t>E05010193</t>
  </si>
  <si>
    <t>E05010194</t>
  </si>
  <si>
    <t>E05010195</t>
  </si>
  <si>
    <t>E05010196</t>
  </si>
  <si>
    <t>E05010197</t>
  </si>
  <si>
    <t>E05010198</t>
  </si>
  <si>
    <t>E05010199</t>
  </si>
  <si>
    <t>E05010200</t>
  </si>
  <si>
    <t>E05010201</t>
  </si>
  <si>
    <t>E05010202</t>
  </si>
  <si>
    <t>E05010203</t>
  </si>
  <si>
    <t>E05010204</t>
  </si>
  <si>
    <t>E05010205</t>
  </si>
  <si>
    <t>E05010206</t>
  </si>
  <si>
    <t>E05010207</t>
  </si>
  <si>
    <t>E05010208</t>
  </si>
  <si>
    <t>E05010209</t>
  </si>
  <si>
    <t>E05010210</t>
  </si>
  <si>
    <t>E05010211</t>
  </si>
  <si>
    <t>E05010212</t>
  </si>
  <si>
    <t>E05010213</t>
  </si>
  <si>
    <t>E05009778</t>
  </si>
  <si>
    <t>Woodloes</t>
  </si>
  <si>
    <t>Stoneleigh &amp; Cubbington</t>
  </si>
  <si>
    <t>Saltisford</t>
  </si>
  <si>
    <t>Newbold</t>
  </si>
  <si>
    <t>Myton &amp; Heathcote</t>
  </si>
  <si>
    <t>Leam</t>
  </si>
  <si>
    <t>Emscote</t>
  </si>
  <si>
    <t>Aylesford</t>
  </si>
  <si>
    <t>Arden</t>
  </si>
  <si>
    <t>* as created by The Warwick (Electoral Changes) Order 2014</t>
  </si>
  <si>
    <t>E05009779</t>
  </si>
  <si>
    <t>E05009780</t>
  </si>
  <si>
    <t>E05009781</t>
  </si>
  <si>
    <t>E05009782</t>
  </si>
  <si>
    <t>E05009783</t>
  </si>
  <si>
    <t>E05009784</t>
  </si>
  <si>
    <t>E05009785</t>
  </si>
  <si>
    <t>E05009786</t>
  </si>
  <si>
    <t>E05009787</t>
  </si>
  <si>
    <t>E05009788</t>
  </si>
  <si>
    <t>E05009789</t>
  </si>
  <si>
    <t>E05009790</t>
  </si>
  <si>
    <t>E05009791</t>
  </si>
  <si>
    <t>E05009792</t>
  </si>
  <si>
    <t>E05009793</t>
  </si>
  <si>
    <t>E05009794</t>
  </si>
  <si>
    <t>E05009795</t>
  </si>
  <si>
    <t>E05009796</t>
  </si>
  <si>
    <t>E05009797</t>
  </si>
  <si>
    <t>E05009798</t>
  </si>
  <si>
    <t>E05009799</t>
  </si>
  <si>
    <t>Royal Wootton Bassett North</t>
  </si>
  <si>
    <t>Royal Wootton Bassett South</t>
  </si>
  <si>
    <t>E05010502</t>
  </si>
  <si>
    <t>Aggborough &amp; Spennells</t>
  </si>
  <si>
    <t>Areley Kings &amp; Riverside</t>
  </si>
  <si>
    <t>Bewdley &amp; Rock</t>
  </si>
  <si>
    <t>Blakebrook &amp; Habberley South</t>
  </si>
  <si>
    <t>Foley Park &amp; Hoobrook</t>
  </si>
  <si>
    <t>Franche &amp; Habberley North</t>
  </si>
  <si>
    <t>Offmore &amp; Comberton</t>
  </si>
  <si>
    <t>Wribbenhall &amp; Arley</t>
  </si>
  <si>
    <t>Wyre Forest Rural</t>
  </si>
  <si>
    <t>E05010503</t>
  </si>
  <si>
    <t>E05010504</t>
  </si>
  <si>
    <t>E05010505</t>
  </si>
  <si>
    <t>E05010506</t>
  </si>
  <si>
    <t>E05010507</t>
  </si>
  <si>
    <t>E05010508</t>
  </si>
  <si>
    <t>E05010509</t>
  </si>
  <si>
    <t>E05010510</t>
  </si>
  <si>
    <t>E05010511</t>
  </si>
  <si>
    <t>E05010512</t>
  </si>
  <si>
    <t>E05010513</t>
  </si>
  <si>
    <t>* as created by The Wyre Forest (Electoral Changes) Order 2015</t>
  </si>
  <si>
    <t>E05009800</t>
  </si>
  <si>
    <t>Angmering &amp; Findon</t>
  </si>
  <si>
    <t>Arundel &amp; Walberton</t>
  </si>
  <si>
    <t>Courtwick with Toddington</t>
  </si>
  <si>
    <t>East Preston</t>
  </si>
  <si>
    <t>E05009801</t>
  </si>
  <si>
    <t>E05009802</t>
  </si>
  <si>
    <t>E05009803</t>
  </si>
  <si>
    <t>E05009804</t>
  </si>
  <si>
    <t>E05009805</t>
  </si>
  <si>
    <t>E05009806</t>
  </si>
  <si>
    <t>E05009807</t>
  </si>
  <si>
    <t>E05009808</t>
  </si>
  <si>
    <t>E05009809</t>
  </si>
  <si>
    <t>Pagham</t>
  </si>
  <si>
    <t>E05009810</t>
  </si>
  <si>
    <t>E05009811</t>
  </si>
  <si>
    <t>E05009812</t>
  </si>
  <si>
    <t>E05009813</t>
  </si>
  <si>
    <t>E05009814</t>
  </si>
  <si>
    <t>E05009815</t>
  </si>
  <si>
    <t>E05009816</t>
  </si>
  <si>
    <t>E05009817</t>
  </si>
  <si>
    <t>E05009818</t>
  </si>
  <si>
    <t>E05009819</t>
  </si>
  <si>
    <t>E05009820</t>
  </si>
  <si>
    <t>E05009821</t>
  </si>
  <si>
    <t>E05009822</t>
  </si>
  <si>
    <t>* as created by The Arun (Electoral Changes) Order 2015</t>
  </si>
  <si>
    <t>* as created by The East Northamptonshire (Electoral Changes) Order 2007 and</t>
  </si>
  <si>
    <t xml:space="preserve">   as altered by The East Northamptonshire (Electoral Changes) Order 2015</t>
  </si>
  <si>
    <t>E05010761</t>
  </si>
  <si>
    <t>E05010762</t>
  </si>
  <si>
    <t>E05010763</t>
  </si>
  <si>
    <t>E05010764</t>
  </si>
  <si>
    <t>E05010765</t>
  </si>
  <si>
    <t>E05010766</t>
  </si>
  <si>
    <t>E05010767</t>
  </si>
  <si>
    <t>E05010768</t>
  </si>
  <si>
    <t>E05010769</t>
  </si>
  <si>
    <t>E05010770</t>
  </si>
  <si>
    <t>E05010771</t>
  </si>
  <si>
    <t>E05010772</t>
  </si>
  <si>
    <t>E05010773</t>
  </si>
  <si>
    <t>Homewood</t>
  </si>
  <si>
    <t>Hardwick and Salters Lane</t>
  </si>
  <si>
    <t>Haughton &amp; Springfield</t>
  </si>
  <si>
    <t>* as created by The Lincoln (Electoral Changes) Order 2015</t>
  </si>
  <si>
    <t>County Average (Lancashire) (11 seats)</t>
  </si>
  <si>
    <t>E05010580</t>
  </si>
  <si>
    <t>Bridport South</t>
  </si>
  <si>
    <t>Broadmayne &amp; Crossways</t>
  </si>
  <si>
    <t>E05010581</t>
  </si>
  <si>
    <t>E05010582</t>
  </si>
  <si>
    <t>E05010583</t>
  </si>
  <si>
    <t>E05010584</t>
  </si>
  <si>
    <t>Cerne Valley</t>
  </si>
  <si>
    <t>Chickerell &amp; Chesil Bank</t>
  </si>
  <si>
    <t>Chideock &amp; Symondsbury</t>
  </si>
  <si>
    <t>Lyme Regis &amp; Charmouth</t>
  </si>
  <si>
    <t>E05010585</t>
  </si>
  <si>
    <t>E05010586</t>
  </si>
  <si>
    <t>E05010587</t>
  </si>
  <si>
    <t>E05010588</t>
  </si>
  <si>
    <t>E05010589</t>
  </si>
  <si>
    <t>E05010590</t>
  </si>
  <si>
    <t>E05010591</t>
  </si>
  <si>
    <t>E05010592</t>
  </si>
  <si>
    <t>E05010593</t>
  </si>
  <si>
    <t>E05010594</t>
  </si>
  <si>
    <t>E05010595</t>
  </si>
  <si>
    <t>E05010596</t>
  </si>
  <si>
    <t>E05010597</t>
  </si>
  <si>
    <t>E05010598</t>
  </si>
  <si>
    <t>Yetminster &amp; Cam Vale</t>
  </si>
  <si>
    <t>* as created by The West Dorset (Electoral Changes) Order 2015</t>
  </si>
  <si>
    <t>E05010599</t>
  </si>
  <si>
    <t>E05010600</t>
  </si>
  <si>
    <t>E05010601</t>
  </si>
  <si>
    <t>E05010602</t>
  </si>
  <si>
    <t>E05010603</t>
  </si>
  <si>
    <t>E05010784</t>
  </si>
  <si>
    <t>E05010785</t>
  </si>
  <si>
    <t>E05010786</t>
  </si>
  <si>
    <t>E05010787</t>
  </si>
  <si>
    <t>E05010788</t>
  </si>
  <si>
    <t>E05010789</t>
  </si>
  <si>
    <t>E05010790</t>
  </si>
  <si>
    <t>E05010791</t>
  </si>
  <si>
    <t>E05010792</t>
  </si>
  <si>
    <t>E05010793</t>
  </si>
  <si>
    <t>E05010794</t>
  </si>
  <si>
    <t>E05010827</t>
  </si>
  <si>
    <t>E05010828</t>
  </si>
  <si>
    <t>E05010829</t>
  </si>
  <si>
    <t>Greenstead</t>
  </si>
  <si>
    <t>E05010830</t>
  </si>
  <si>
    <t>E05010831</t>
  </si>
  <si>
    <t>E05010832</t>
  </si>
  <si>
    <t>E05010833</t>
  </si>
  <si>
    <t>E05010834</t>
  </si>
  <si>
    <t>E05010835</t>
  </si>
  <si>
    <t>New Town and Christ Church</t>
  </si>
  <si>
    <t>E05010836</t>
  </si>
  <si>
    <t>E05010837</t>
  </si>
  <si>
    <t>E05010838</t>
  </si>
  <si>
    <t>Rural North</t>
  </si>
  <si>
    <t>E05010839</t>
  </si>
  <si>
    <t>St Anne's and St John's</t>
  </si>
  <si>
    <t>E05010840</t>
  </si>
  <si>
    <t>E05010841</t>
  </si>
  <si>
    <t>E05010842</t>
  </si>
  <si>
    <t>E05010843</t>
  </si>
  <si>
    <t>Wivenhoe</t>
  </si>
  <si>
    <t>Lexden &amp; Braiswick</t>
  </si>
  <si>
    <t>Marks Tey &amp; Layer</t>
  </si>
  <si>
    <t>Mersea &amp; Pyefleet</t>
  </si>
  <si>
    <t>Old Heath &amp; The Hythe</t>
  </si>
  <si>
    <t>* as created by The Colchester (Electoral Changes) Order 2015</t>
  </si>
  <si>
    <t>St Osyth and Point Clear</t>
  </si>
  <si>
    <t>E05009823</t>
  </si>
  <si>
    <t>E05009824</t>
  </si>
  <si>
    <t>E05009825</t>
  </si>
  <si>
    <t>E05009826</t>
  </si>
  <si>
    <t>E05009827</t>
  </si>
  <si>
    <t>E05009828</t>
  </si>
  <si>
    <t>E05009829</t>
  </si>
  <si>
    <t>E05009830</t>
  </si>
  <si>
    <t>E05009831</t>
  </si>
  <si>
    <t>E05009832</t>
  </si>
  <si>
    <t>E05009833</t>
  </si>
  <si>
    <t>E05009834</t>
  </si>
  <si>
    <t>E05009835</t>
  </si>
  <si>
    <t>E05009836</t>
  </si>
  <si>
    <t>E05009837</t>
  </si>
  <si>
    <t>E05009838</t>
  </si>
  <si>
    <t>E05009839</t>
  </si>
  <si>
    <t>E05009840</t>
  </si>
  <si>
    <t>E05009841</t>
  </si>
  <si>
    <t>E05009842</t>
  </si>
  <si>
    <t>E05009843</t>
  </si>
  <si>
    <t>E05009844</t>
  </si>
  <si>
    <t>E05009845</t>
  </si>
  <si>
    <t>E05009846</t>
  </si>
  <si>
    <t>E05009847</t>
  </si>
  <si>
    <t>E05009848</t>
  </si>
  <si>
    <t>E05009849</t>
  </si>
  <si>
    <t>E05009850</t>
  </si>
  <si>
    <t>E05009851</t>
  </si>
  <si>
    <t>E05009852</t>
  </si>
  <si>
    <t>E05010391</t>
  </si>
  <si>
    <t>E05010392</t>
  </si>
  <si>
    <t>E05010393</t>
  </si>
  <si>
    <t>E05010394</t>
  </si>
  <si>
    <t>E05010395</t>
  </si>
  <si>
    <t>E05010396</t>
  </si>
  <si>
    <t>E05010397</t>
  </si>
  <si>
    <t>E05010398</t>
  </si>
  <si>
    <t>E05010399</t>
  </si>
  <si>
    <t>E05010400</t>
  </si>
  <si>
    <t>E05010401</t>
  </si>
  <si>
    <t>E05010402</t>
  </si>
  <si>
    <t>E05010403</t>
  </si>
  <si>
    <t>E05010404</t>
  </si>
  <si>
    <t>E05010405</t>
  </si>
  <si>
    <t>E05010406</t>
  </si>
  <si>
    <t>E05010407</t>
  </si>
  <si>
    <t>E05010408</t>
  </si>
  <si>
    <t>E05010409</t>
  </si>
  <si>
    <t>E05010410</t>
  </si>
  <si>
    <t>E05010411</t>
  </si>
  <si>
    <t>E05010754</t>
  </si>
  <si>
    <t>E05008548</t>
  </si>
  <si>
    <t>Bracknell Forest *</t>
  </si>
  <si>
    <t>Reading *</t>
  </si>
  <si>
    <t>Slough *</t>
  </si>
  <si>
    <t>West Berkshire *</t>
  </si>
  <si>
    <t>Windsor and Maidenhead *</t>
  </si>
  <si>
    <t>Wokingham *</t>
  </si>
  <si>
    <t>Marldon &amp; Littlehempston</t>
  </si>
  <si>
    <t>Wotton Wawen</t>
  </si>
  <si>
    <t>Bedingfeld</t>
  </si>
  <si>
    <t>Newton &amp; Yealmpton</t>
  </si>
  <si>
    <t>Sprotbrough</t>
  </si>
  <si>
    <t>Tickhill &amp; Wadsworth</t>
  </si>
  <si>
    <t>E05010774</t>
  </si>
  <si>
    <t>E05010775</t>
  </si>
  <si>
    <t>E05010776</t>
  </si>
  <si>
    <t>E05010777</t>
  </si>
  <si>
    <t>E05010778</t>
  </si>
  <si>
    <t>E05010779</t>
  </si>
  <si>
    <t>E05010780</t>
  </si>
  <si>
    <t>E05010781</t>
  </si>
  <si>
    <t>E05010782</t>
  </si>
  <si>
    <t>E05010783</t>
  </si>
  <si>
    <t>* as created by The Woking (Electoral Changes) Order 2015</t>
  </si>
  <si>
    <t>Byfleet and West Byfleet</t>
  </si>
  <si>
    <t>E05010795</t>
  </si>
  <si>
    <t>E05010796</t>
  </si>
  <si>
    <t>E05010797</t>
  </si>
  <si>
    <t>E05010798</t>
  </si>
  <si>
    <t>E05010799</t>
  </si>
  <si>
    <t>E05010800</t>
  </si>
  <si>
    <t>E05010801</t>
  </si>
  <si>
    <t>E05010802</t>
  </si>
  <si>
    <t>E05010803</t>
  </si>
  <si>
    <t>E05010804</t>
  </si>
  <si>
    <t>Canalside</t>
  </si>
  <si>
    <t>Goldsworth Park</t>
  </si>
  <si>
    <t>Heathlands</t>
  </si>
  <si>
    <t>Hoe Valley</t>
  </si>
  <si>
    <t>Horsell</t>
  </si>
  <si>
    <t>Mount Hermon</t>
  </si>
  <si>
    <t>E05010805</t>
  </si>
  <si>
    <t>E05010806</t>
  </si>
  <si>
    <t>Bretton</t>
  </si>
  <si>
    <t>E05010807</t>
  </si>
  <si>
    <t>E05010808</t>
  </si>
  <si>
    <t>E05010809</t>
  </si>
  <si>
    <t>Eye, Thorney &amp; Newborough</t>
  </si>
  <si>
    <t>Fletton &amp; Stanground</t>
  </si>
  <si>
    <t>Fletton &amp; Woodston</t>
  </si>
  <si>
    <t>E05010810</t>
  </si>
  <si>
    <t>E05010811</t>
  </si>
  <si>
    <t>E05010812</t>
  </si>
  <si>
    <t>Glinton &amp; Castor</t>
  </si>
  <si>
    <t>E05010813</t>
  </si>
  <si>
    <t>Gunthorpe</t>
  </si>
  <si>
    <t>Hampton Vale</t>
  </si>
  <si>
    <t>Hargate &amp; Hempsted</t>
  </si>
  <si>
    <t>E05010814</t>
  </si>
  <si>
    <t>E05010815</t>
  </si>
  <si>
    <t>E05010816</t>
  </si>
  <si>
    <t>E05010817</t>
  </si>
  <si>
    <t>E05010818</t>
  </si>
  <si>
    <t>E05010819</t>
  </si>
  <si>
    <t>E05010820</t>
  </si>
  <si>
    <t>E05010821</t>
  </si>
  <si>
    <t>E05010822</t>
  </si>
  <si>
    <t>E05010823</t>
  </si>
  <si>
    <t>E05010824</t>
  </si>
  <si>
    <t>E05010825</t>
  </si>
  <si>
    <t>E05010826</t>
  </si>
  <si>
    <t>Paston &amp; Walton</t>
  </si>
  <si>
    <t>Stanground South</t>
  </si>
  <si>
    <t>Wittering</t>
  </si>
  <si>
    <t>* as created by The Peterborough (Electoral Changes) Order 2015</t>
  </si>
  <si>
    <t>E05010844</t>
  </si>
  <si>
    <t>Foulness &amp; The Wakerings</t>
  </si>
  <si>
    <t>Downhall &amp; Rawreth</t>
  </si>
  <si>
    <t>E05010845</t>
  </si>
  <si>
    <t>E05010846</t>
  </si>
  <si>
    <t>E05010847</t>
  </si>
  <si>
    <t>E05010848</t>
  </si>
  <si>
    <t>E05010849</t>
  </si>
  <si>
    <t>E05010850</t>
  </si>
  <si>
    <t>E05010851</t>
  </si>
  <si>
    <t>E05010852</t>
  </si>
  <si>
    <t>E05010853</t>
  </si>
  <si>
    <t>E05010854</t>
  </si>
  <si>
    <t>E05010855</t>
  </si>
  <si>
    <t>E05010856</t>
  </si>
  <si>
    <t>Hawkwell East</t>
  </si>
  <si>
    <t>Hockley</t>
  </si>
  <si>
    <t>Hockley &amp; Ashingdon</t>
  </si>
  <si>
    <t>Roche North &amp; Rural</t>
  </si>
  <si>
    <t>Roche South</t>
  </si>
  <si>
    <t>Sweyne Park &amp; Grange</t>
  </si>
  <si>
    <t>* as created by The Rochford (Electoral Changes) Order 2015</t>
  </si>
  <si>
    <t>E05010857</t>
  </si>
  <si>
    <t>Beauchief &amp; Greenhill</t>
  </si>
  <si>
    <t>E05010858</t>
  </si>
  <si>
    <t>E05010859</t>
  </si>
  <si>
    <t>E05010860</t>
  </si>
  <si>
    <t>Broomhill &amp; Sharrow Vale</t>
  </si>
  <si>
    <t>E05010861</t>
  </si>
  <si>
    <t>E05010862</t>
  </si>
  <si>
    <t>E05010863</t>
  </si>
  <si>
    <t>E05010864</t>
  </si>
  <si>
    <t>E05010865</t>
  </si>
  <si>
    <t>E05010866</t>
  </si>
  <si>
    <t>E05010867</t>
  </si>
  <si>
    <t>E05010868</t>
  </si>
  <si>
    <t>E05010869</t>
  </si>
  <si>
    <t>E05010870</t>
  </si>
  <si>
    <t>E05010871</t>
  </si>
  <si>
    <t>E05010872</t>
  </si>
  <si>
    <t>E05010873</t>
  </si>
  <si>
    <t>E05010874</t>
  </si>
  <si>
    <t>E05010875</t>
  </si>
  <si>
    <t>E05010876</t>
  </si>
  <si>
    <t>E05010877</t>
  </si>
  <si>
    <t>E05010878</t>
  </si>
  <si>
    <t>E05010879</t>
  </si>
  <si>
    <t>E05010880</t>
  </si>
  <si>
    <t>E05010881</t>
  </si>
  <si>
    <t>E05010882</t>
  </si>
  <si>
    <t>E05010883</t>
  </si>
  <si>
    <t>E05010884</t>
  </si>
  <si>
    <t>Crookes &amp; Crosspool</t>
  </si>
  <si>
    <t>Dore &amp; Totley</t>
  </si>
  <si>
    <t>Nether Edge &amp; Sharrow</t>
  </si>
  <si>
    <t>Park &amp; Arbourthorne</t>
  </si>
  <si>
    <t>Shiregreen &amp; Brightside</t>
  </si>
  <si>
    <t>Stocksbridge &amp; Upper Don</t>
  </si>
  <si>
    <t>* as created by The Sheffield (Electoral Changes) Order 2015</t>
  </si>
  <si>
    <t>E05010885</t>
  </si>
  <si>
    <t>E05010886</t>
  </si>
  <si>
    <t>E05010887</t>
  </si>
  <si>
    <t>E05010888</t>
  </si>
  <si>
    <t>E05010889</t>
  </si>
  <si>
    <t>E05010890</t>
  </si>
  <si>
    <t>E05010891</t>
  </si>
  <si>
    <t>E05010892</t>
  </si>
  <si>
    <t>E05010893</t>
  </si>
  <si>
    <t>E05010894</t>
  </si>
  <si>
    <t>E05010895</t>
  </si>
  <si>
    <t>E05010896</t>
  </si>
  <si>
    <t>E05010897</t>
  </si>
  <si>
    <t>E05010898</t>
  </si>
  <si>
    <t>E05010899</t>
  </si>
  <si>
    <t>E05010900</t>
  </si>
  <si>
    <t>E05010901</t>
  </si>
  <si>
    <t>E05010902</t>
  </si>
  <si>
    <t>E05010903</t>
  </si>
  <si>
    <t>E05010904</t>
  </si>
  <si>
    <t>E05010905</t>
  </si>
  <si>
    <t>E05010906</t>
  </si>
  <si>
    <t>E05010907</t>
  </si>
  <si>
    <t>E05010908</t>
  </si>
  <si>
    <t>E05010909</t>
  </si>
  <si>
    <t>E05010910</t>
  </si>
  <si>
    <t>E05010911</t>
  </si>
  <si>
    <t>E05010912</t>
  </si>
  <si>
    <t>E05010913</t>
  </si>
  <si>
    <t>E05010914</t>
  </si>
  <si>
    <t>E05010915</t>
  </si>
  <si>
    <t>E05010916</t>
  </si>
  <si>
    <t>E05010917</t>
  </si>
  <si>
    <t>E05010918</t>
  </si>
  <si>
    <t>* as created by The Bristol (Electoral Changes) Order 2015</t>
  </si>
  <si>
    <t>Avonmouth &amp; Lawrence Weston</t>
  </si>
  <si>
    <t>Bishopston &amp; Ashley Downs</t>
  </si>
  <si>
    <t>Clifton Down</t>
  </si>
  <si>
    <t>Hartcliffe &amp; Withywood</t>
  </si>
  <si>
    <t>Henbury &amp; Brentry</t>
  </si>
  <si>
    <t>Hengrove &amp; Whitchurch Park</t>
  </si>
  <si>
    <t>Hotwells &amp; Harbourside</t>
  </si>
  <si>
    <t>St George Central</t>
  </si>
  <si>
    <t>St George Troopers Hill</t>
  </si>
  <si>
    <t>Westbury-on-Trym &amp; Henleaze</t>
  </si>
  <si>
    <t>E05010921</t>
  </si>
  <si>
    <t>E05010922</t>
  </si>
  <si>
    <t>E05010923</t>
  </si>
  <si>
    <t>E05010924</t>
  </si>
  <si>
    <t>E05010925</t>
  </si>
  <si>
    <t>E05010926</t>
  </si>
  <si>
    <t>E05010927</t>
  </si>
  <si>
    <t>E05010928</t>
  </si>
  <si>
    <t>E05010929</t>
  </si>
  <si>
    <t>E05010930</t>
  </si>
  <si>
    <t>E05010931</t>
  </si>
  <si>
    <t>E05010932</t>
  </si>
  <si>
    <t>E05010933</t>
  </si>
  <si>
    <t>E05010934</t>
  </si>
  <si>
    <t>Adderbury, Bloxham &amp; Bodicote</t>
  </si>
  <si>
    <t>Banbury Calthorpe &amp; Easington</t>
  </si>
  <si>
    <t>Banbury Cross &amp; Neithrop</t>
  </si>
  <si>
    <t>Banbury Grimsbury &amp; Hightown</t>
  </si>
  <si>
    <t>Bicester North &amp; Caversfield</t>
  </si>
  <si>
    <t>Bicester South &amp; Ambrosden</t>
  </si>
  <si>
    <t>Cropredy, Sibfords &amp; Wroxton</t>
  </si>
  <si>
    <t>Fringford &amp; Heyfords</t>
  </si>
  <si>
    <t>Kidlington East</t>
  </si>
  <si>
    <t>Kidlington West</t>
  </si>
  <si>
    <t>Launton &amp; Otmoor</t>
  </si>
  <si>
    <t>* as created by The Knowsley (Electoral Changes) Order 2015</t>
  </si>
  <si>
    <t>E05010935</t>
  </si>
  <si>
    <t>E05010936</t>
  </si>
  <si>
    <t>E05010937</t>
  </si>
  <si>
    <t>E05010938</t>
  </si>
  <si>
    <t>E05010939</t>
  </si>
  <si>
    <t>E05010940</t>
  </si>
  <si>
    <t>E05010941</t>
  </si>
  <si>
    <t>E05010942</t>
  </si>
  <si>
    <t>E05010943</t>
  </si>
  <si>
    <t>E05010944</t>
  </si>
  <si>
    <t>E05010945</t>
  </si>
  <si>
    <t>E05010946</t>
  </si>
  <si>
    <t>E05010947</t>
  </si>
  <si>
    <t>E05010948</t>
  </si>
  <si>
    <t>E05010949</t>
  </si>
  <si>
    <t>Prescot North</t>
  </si>
  <si>
    <t>Prescot South</t>
  </si>
  <si>
    <t>Whiston &amp; Cronton</t>
  </si>
  <si>
    <t>E05010950</t>
  </si>
  <si>
    <t>E05010951</t>
  </si>
  <si>
    <t>E05010952</t>
  </si>
  <si>
    <t>E05010953</t>
  </si>
  <si>
    <t>E05010954</t>
  </si>
  <si>
    <t>E05010955</t>
  </si>
  <si>
    <t>E05010956</t>
  </si>
  <si>
    <t>E05010957</t>
  </si>
  <si>
    <t>E05010958</t>
  </si>
  <si>
    <t>E05010959</t>
  </si>
  <si>
    <t>E05010960</t>
  </si>
  <si>
    <t>E05010961</t>
  </si>
  <si>
    <t>E05010962</t>
  </si>
  <si>
    <t>E05010963</t>
  </si>
  <si>
    <t>E05010964</t>
  </si>
  <si>
    <t>E05010965</t>
  </si>
  <si>
    <t>E05010966</t>
  </si>
  <si>
    <t>E05010967</t>
  </si>
  <si>
    <t>Abbeydale</t>
  </si>
  <si>
    <t>Abbeymead</t>
  </si>
  <si>
    <t>Kingsholm &amp; Wotton</t>
  </si>
  <si>
    <t>Matson &amp; Robinswood</t>
  </si>
  <si>
    <t>* as created by The Gloucester (Electoral Changes) Order 2015</t>
  </si>
  <si>
    <t>Barton &amp; Tredworth</t>
  </si>
  <si>
    <t>Coney Hill</t>
  </si>
  <si>
    <t>* as created by The Stroud (Electoral Changes) Order 2015</t>
  </si>
  <si>
    <t>E05010968</t>
  </si>
  <si>
    <t>E05010969</t>
  </si>
  <si>
    <t>E05010970</t>
  </si>
  <si>
    <t>E05010971</t>
  </si>
  <si>
    <t>E05010972</t>
  </si>
  <si>
    <t>E05010973</t>
  </si>
  <si>
    <t>E05010974</t>
  </si>
  <si>
    <t>E05010975</t>
  </si>
  <si>
    <t>E05010976</t>
  </si>
  <si>
    <t>E05010977</t>
  </si>
  <si>
    <t>E05010978</t>
  </si>
  <si>
    <t>E05010979</t>
  </si>
  <si>
    <t>E05010980</t>
  </si>
  <si>
    <t>E05010981</t>
  </si>
  <si>
    <t>E05010982</t>
  </si>
  <si>
    <t>E05010983</t>
  </si>
  <si>
    <t>E05010984</t>
  </si>
  <si>
    <t>E05010985</t>
  </si>
  <si>
    <t>E05010986</t>
  </si>
  <si>
    <t>E05010987</t>
  </si>
  <si>
    <t>E05010988</t>
  </si>
  <si>
    <t>E05010989</t>
  </si>
  <si>
    <t>E05010990</t>
  </si>
  <si>
    <t>E05010991</t>
  </si>
  <si>
    <t>E05010992</t>
  </si>
  <si>
    <t>E05010993</t>
  </si>
  <si>
    <t>E05010994</t>
  </si>
  <si>
    <t>Berkeley Vale</t>
  </si>
  <si>
    <t>Coaley &amp; Uley</t>
  </si>
  <si>
    <t>Painswick &amp; Upton</t>
  </si>
  <si>
    <t>Randwick, Whiteshill &amp; Ruscombe</t>
  </si>
  <si>
    <t>Stroud Central</t>
  </si>
  <si>
    <t>Stroud Farmhill &amp; Paganhill</t>
  </si>
  <si>
    <t>Stroud Slade</t>
  </si>
  <si>
    <t>Stroud Trinity</t>
  </si>
  <si>
    <t>Stroud Uplands</t>
  </si>
  <si>
    <t>Stroud Valley</t>
  </si>
  <si>
    <t>E05010995</t>
  </si>
  <si>
    <t>E05010996</t>
  </si>
  <si>
    <t>E05010997</t>
  </si>
  <si>
    <t>E05010998</t>
  </si>
  <si>
    <t>E05010999</t>
  </si>
  <si>
    <t>E05011000</t>
  </si>
  <si>
    <t>E05011001</t>
  </si>
  <si>
    <t>E05011002</t>
  </si>
  <si>
    <t>E05011003</t>
  </si>
  <si>
    <t>E05011004</t>
  </si>
  <si>
    <t>E05011005</t>
  </si>
  <si>
    <t>E05011006</t>
  </si>
  <si>
    <t>E05011007</t>
  </si>
  <si>
    <t>E05011008</t>
  </si>
  <si>
    <t>E05011009</t>
  </si>
  <si>
    <t>Alresford &amp; Itchen Valley</t>
  </si>
  <si>
    <t>* as created by The Winchester (Electoral Changes) Order 2015</t>
  </si>
  <si>
    <t>Badger Farm &amp; Oliver's Battery</t>
  </si>
  <si>
    <t>Bishop's Waltham</t>
  </si>
  <si>
    <t>Central Meon Valley</t>
  </si>
  <si>
    <t>Colden Common &amp; Twyford</t>
  </si>
  <si>
    <t>Southwick &amp; Wickham</t>
  </si>
  <si>
    <t>The Worthys</t>
  </si>
  <si>
    <t>Whiteley &amp; Shedfield</t>
  </si>
  <si>
    <t>Wonston &amp; Micheldever</t>
  </si>
  <si>
    <t>E05011010</t>
  </si>
  <si>
    <t>E05011011</t>
  </si>
  <si>
    <t>E05011012</t>
  </si>
  <si>
    <t>E05011013</t>
  </si>
  <si>
    <t>E05011014</t>
  </si>
  <si>
    <t>E05011015</t>
  </si>
  <si>
    <t>E05011016</t>
  </si>
  <si>
    <t>E05011017</t>
  </si>
  <si>
    <t>E05011018</t>
  </si>
  <si>
    <t>E05011019</t>
  </si>
  <si>
    <t>E05011020</t>
  </si>
  <si>
    <t>E05011021</t>
  </si>
  <si>
    <t>E05011022</t>
  </si>
  <si>
    <t>E05011023</t>
  </si>
  <si>
    <t>* as created by The Exeter (Electoral Changes) Order 2016</t>
  </si>
  <si>
    <t>Duryard &amp; St James</t>
  </si>
  <si>
    <t>Mincinglake &amp; Whipton</t>
  </si>
  <si>
    <t>Newtown &amp; St Leonard's</t>
  </si>
  <si>
    <t>E05011024</t>
  </si>
  <si>
    <t>E05011025</t>
  </si>
  <si>
    <t>E05011026</t>
  </si>
  <si>
    <t>E05011027</t>
  </si>
  <si>
    <t>E05011028</t>
  </si>
  <si>
    <t>E05011029</t>
  </si>
  <si>
    <t>E05011030</t>
  </si>
  <si>
    <t>E05011031</t>
  </si>
  <si>
    <t>E05011032</t>
  </si>
  <si>
    <t>E05011033</t>
  </si>
  <si>
    <t>E05011034</t>
  </si>
  <si>
    <t>E05011035</t>
  </si>
  <si>
    <t>E05011036</t>
  </si>
  <si>
    <t>E05011037</t>
  </si>
  <si>
    <t>E05011038</t>
  </si>
  <si>
    <t>E05011039</t>
  </si>
  <si>
    <t>E05011040</t>
  </si>
  <si>
    <t>E05011041</t>
  </si>
  <si>
    <t>E05011042</t>
  </si>
  <si>
    <t>E05011043</t>
  </si>
  <si>
    <t>E05011044</t>
  </si>
  <si>
    <t>E05011045</t>
  </si>
  <si>
    <t>Burtonwood &amp; Winwick</t>
  </si>
  <si>
    <t>Rixton &amp; Woolston</t>
  </si>
  <si>
    <t>Poplars &amp; Hulme</t>
  </si>
  <si>
    <t>Penketh &amp; Cuerdley</t>
  </si>
  <si>
    <t>Lymm South</t>
  </si>
  <si>
    <t>Lymm North &amp; Thelwall</t>
  </si>
  <si>
    <t>Great Sankey North &amp; Whittle Hall</t>
  </si>
  <si>
    <t>Grappenhall</t>
  </si>
  <si>
    <t>Fairfield &amp; Howley</t>
  </si>
  <si>
    <t>Culcheth, Glazebury &amp; Croft</t>
  </si>
  <si>
    <t>Chapelford &amp; Old Hall</t>
  </si>
  <si>
    <t>* as created by The Warrington (Electoral Changes) Order 2016</t>
  </si>
  <si>
    <t>E05011046</t>
  </si>
  <si>
    <t>E05011047</t>
  </si>
  <si>
    <t>E05011048</t>
  </si>
  <si>
    <t>E05011049</t>
  </si>
  <si>
    <t>E05011050</t>
  </si>
  <si>
    <t>E05011051</t>
  </si>
  <si>
    <t>E05011052</t>
  </si>
  <si>
    <t>E05011053</t>
  </si>
  <si>
    <t>E05011054</t>
  </si>
  <si>
    <t>E05011055</t>
  </si>
  <si>
    <t>E05011056</t>
  </si>
  <si>
    <t>E05011057</t>
  </si>
  <si>
    <t>* as created by The Watford (Electoral Changes) Order 2016</t>
  </si>
  <si>
    <t>* as created by The Welwyn Hatfield (Electoral Changes) Order 2016</t>
  </si>
  <si>
    <t>E05011058</t>
  </si>
  <si>
    <t>E05011059</t>
  </si>
  <si>
    <t>E05011060</t>
  </si>
  <si>
    <t>E05011061</t>
  </si>
  <si>
    <t>E05011062</t>
  </si>
  <si>
    <t>E05011063</t>
  </si>
  <si>
    <t>E05011064</t>
  </si>
  <si>
    <t>E05011065</t>
  </si>
  <si>
    <t>E05011066</t>
  </si>
  <si>
    <t>E05011067</t>
  </si>
  <si>
    <t>E05011068</t>
  </si>
  <si>
    <t>E05011069</t>
  </si>
  <si>
    <t>E05011070</t>
  </si>
  <si>
    <t>E05011071</t>
  </si>
  <si>
    <t>E05011072</t>
  </si>
  <si>
    <t>E05011073</t>
  </si>
  <si>
    <t>Brookmans Park &amp; Little Heath</t>
  </si>
  <si>
    <t>Hatfield South West</t>
  </si>
  <si>
    <t>Welham Green &amp; Hatfield South</t>
  </si>
  <si>
    <t>Cobham &amp; Downside</t>
  </si>
  <si>
    <t>E05011074</t>
  </si>
  <si>
    <t>E05011075</t>
  </si>
  <si>
    <t>E05011076</t>
  </si>
  <si>
    <t>E05011077</t>
  </si>
  <si>
    <t>E05011078</t>
  </si>
  <si>
    <t>E05011079</t>
  </si>
  <si>
    <t>E05011080</t>
  </si>
  <si>
    <t>E05011081</t>
  </si>
  <si>
    <t>E05011082</t>
  </si>
  <si>
    <t>E05011083</t>
  </si>
  <si>
    <t>E05011084</t>
  </si>
  <si>
    <t>E05011085</t>
  </si>
  <si>
    <t>E05011086</t>
  </si>
  <si>
    <t>E05011087</t>
  </si>
  <si>
    <t>E05011088</t>
  </si>
  <si>
    <t>E05011089</t>
  </si>
  <si>
    <t>Hersham Village</t>
  </si>
  <si>
    <t>Hinchley Wood &amp; Weston Green</t>
  </si>
  <si>
    <t>Molesey West</t>
  </si>
  <si>
    <t>Oatlands &amp; Burwood Park</t>
  </si>
  <si>
    <t>Oxshott &amp; Stoke D'Abernon</t>
  </si>
  <si>
    <t>Weybridge Riverside</t>
  </si>
  <si>
    <t>Weybridge St George's Hill</t>
  </si>
  <si>
    <t>* as created by The Elmbridge (Electoral Changes) Order 2016</t>
  </si>
  <si>
    <t>Rugby CC (pt)</t>
  </si>
  <si>
    <t>Royal Wootton Bassett East</t>
  </si>
  <si>
    <t>Stratford-on-Avon</t>
  </si>
  <si>
    <t>STRATFORD-ON-AVON DISTRICT</t>
  </si>
  <si>
    <t>Stratford-on-Avon (pt)</t>
  </si>
  <si>
    <t>STRATFORD-ON-AVON DISTRICT  *</t>
  </si>
  <si>
    <t>Longhorsley</t>
  </si>
  <si>
    <t>2010-2018</t>
  </si>
  <si>
    <t>Difference from 2018 EQ</t>
  </si>
  <si>
    <t>Alconbury</t>
  </si>
  <si>
    <t>E05011256</t>
  </si>
  <si>
    <t>* as created by The Huntingdonshire (Electoral Changes) Order 2017</t>
  </si>
  <si>
    <t>E05011257</t>
  </si>
  <si>
    <t>E05011258</t>
  </si>
  <si>
    <t>E05011259</t>
  </si>
  <si>
    <t>Godmanchester &amp; Hemingford Abbots</t>
  </si>
  <si>
    <t>E05011260</t>
  </si>
  <si>
    <t>Great Paxton</t>
  </si>
  <si>
    <t>E05011261</t>
  </si>
  <si>
    <t>Great Staughton</t>
  </si>
  <si>
    <t>E05011262</t>
  </si>
  <si>
    <t>Hemingford Grey &amp; Houghton</t>
  </si>
  <si>
    <t>E05011263</t>
  </si>
  <si>
    <t>Holywell-cum-Needingworth</t>
  </si>
  <si>
    <t>E05011264</t>
  </si>
  <si>
    <t>E05011265</t>
  </si>
  <si>
    <t>E05011266</t>
  </si>
  <si>
    <t>Kimbolton</t>
  </si>
  <si>
    <t>E05011267</t>
  </si>
  <si>
    <t>E05011268</t>
  </si>
  <si>
    <t>E05011269</t>
  </si>
  <si>
    <t>E05011276</t>
  </si>
  <si>
    <t>E05011277</t>
  </si>
  <si>
    <t>E05011278</t>
  </si>
  <si>
    <t>E05011270</t>
  </si>
  <si>
    <t>E05011271</t>
  </si>
  <si>
    <t>St Neots East</t>
  </si>
  <si>
    <t>E05011272</t>
  </si>
  <si>
    <t>E05011273</t>
  </si>
  <si>
    <t>E05011274</t>
  </si>
  <si>
    <t>E05011275</t>
  </si>
  <si>
    <t>St Neots Eatons</t>
  </si>
  <si>
    <t>St Neots Priory Park &amp; Little Paxton</t>
  </si>
  <si>
    <t>Stilton, Folksworth &amp; Washingley</t>
  </si>
  <si>
    <t>The Stukeleys</t>
  </si>
  <si>
    <t>E05011279</t>
  </si>
  <si>
    <t>Warboys</t>
  </si>
  <si>
    <t>E05011280</t>
  </si>
  <si>
    <t>E05011281</t>
  </si>
  <si>
    <t>Yaxley</t>
  </si>
  <si>
    <t>* as created by The South Cambridgeshire (Electoral Changes) Order 2017</t>
  </si>
  <si>
    <t>E05011282</t>
  </si>
  <si>
    <t>E05011283</t>
  </si>
  <si>
    <t>Barrington</t>
  </si>
  <si>
    <t>E05011284</t>
  </si>
  <si>
    <t>E05011285</t>
  </si>
  <si>
    <t>E05011286</t>
  </si>
  <si>
    <t>Cambourne</t>
  </si>
  <si>
    <t>E05011287</t>
  </si>
  <si>
    <t>Caxton &amp; Papworth</t>
  </si>
  <si>
    <t>E05011288</t>
  </si>
  <si>
    <t>E05011289</t>
  </si>
  <si>
    <t>E05011290</t>
  </si>
  <si>
    <t>Fen Ditton &amp; Fulbourn</t>
  </si>
  <si>
    <t>E05011291</t>
  </si>
  <si>
    <t>Foxton</t>
  </si>
  <si>
    <t>E05011292</t>
  </si>
  <si>
    <t>E05011293</t>
  </si>
  <si>
    <t>E05011294</t>
  </si>
  <si>
    <t>E05011295</t>
  </si>
  <si>
    <t>Harston &amp; Comberton</t>
  </si>
  <si>
    <t>E05011296</t>
  </si>
  <si>
    <t>Histon &amp; Impington</t>
  </si>
  <si>
    <t>E05011297</t>
  </si>
  <si>
    <t>E05011298</t>
  </si>
  <si>
    <t>E05011299</t>
  </si>
  <si>
    <t>E05011300</t>
  </si>
  <si>
    <t>Milton &amp; Waterbeach</t>
  </si>
  <si>
    <t>E05011301</t>
  </si>
  <si>
    <t>Over &amp; Willingham</t>
  </si>
  <si>
    <t>E05011302</t>
  </si>
  <si>
    <t>E05011303</t>
  </si>
  <si>
    <t>E05011304</t>
  </si>
  <si>
    <t>Shelford</t>
  </si>
  <si>
    <t>E05011305</t>
  </si>
  <si>
    <t>E05011306</t>
  </si>
  <si>
    <t>E05011307</t>
  </si>
  <si>
    <t>E05011090</t>
  </si>
  <si>
    <t>E05011091</t>
  </si>
  <si>
    <t>E05011092</t>
  </si>
  <si>
    <t>E05011093</t>
  </si>
  <si>
    <t>E05011094</t>
  </si>
  <si>
    <t>* as created by The Isles of Scilly (Electoral Changes) Order 2017</t>
  </si>
  <si>
    <t>E05011201</t>
  </si>
  <si>
    <t>* as created by The Hastings (Electoral Changes) Order 2017</t>
  </si>
  <si>
    <t>E05011202</t>
  </si>
  <si>
    <t>E05011203</t>
  </si>
  <si>
    <t>E05011204</t>
  </si>
  <si>
    <t>E05011205</t>
  </si>
  <si>
    <t>E05011206</t>
  </si>
  <si>
    <t>E05011207</t>
  </si>
  <si>
    <t>E05011208</t>
  </si>
  <si>
    <t>E05011209</t>
  </si>
  <si>
    <t>E05011210</t>
  </si>
  <si>
    <t>E05011211</t>
  </si>
  <si>
    <t>E05011212</t>
  </si>
  <si>
    <t>E05011213</t>
  </si>
  <si>
    <t>E05011214</t>
  </si>
  <si>
    <t>E05011215</t>
  </si>
  <si>
    <t>E05011216</t>
  </si>
  <si>
    <t>* as created by The Eastleigh (Electoral Changes) Order 2017</t>
  </si>
  <si>
    <t>Bishopstoke</t>
  </si>
  <si>
    <t>E05011187</t>
  </si>
  <si>
    <t>E05011188</t>
  </si>
  <si>
    <t>Bursledon &amp; Hound North</t>
  </si>
  <si>
    <t>E05011189</t>
  </si>
  <si>
    <t>Chandler's Ford</t>
  </si>
  <si>
    <t>E05011190</t>
  </si>
  <si>
    <t>E05011191</t>
  </si>
  <si>
    <t>E05011192</t>
  </si>
  <si>
    <t>E05011193</t>
  </si>
  <si>
    <t>Fair Oak &amp; Horton Heath</t>
  </si>
  <si>
    <t>E05011194</t>
  </si>
  <si>
    <t>Hamble &amp; Netley</t>
  </si>
  <si>
    <t>E05011195</t>
  </si>
  <si>
    <t>Hedge End North</t>
  </si>
  <si>
    <t>Hedge End South</t>
  </si>
  <si>
    <t>E05011196</t>
  </si>
  <si>
    <t>E05011197</t>
  </si>
  <si>
    <t>Hiltingbury</t>
  </si>
  <si>
    <t>E05011198</t>
  </si>
  <si>
    <t>E05011199</t>
  </si>
  <si>
    <t>E05011200</t>
  </si>
  <si>
    <t>* as created by The Harrogate (Electoral Changes) Order 2017</t>
  </si>
  <si>
    <t>E05011308</t>
  </si>
  <si>
    <t>Bishop Monkton &amp; Newby</t>
  </si>
  <si>
    <t>E05011309</t>
  </si>
  <si>
    <t>E05011310</t>
  </si>
  <si>
    <t>Fountains &amp; Ripley</t>
  </si>
  <si>
    <t>E05011311</t>
  </si>
  <si>
    <t>Harrogate Bilton Grange</t>
  </si>
  <si>
    <t>E05011312</t>
  </si>
  <si>
    <t>Harrogate Bilton Woodfield</t>
  </si>
  <si>
    <t>E05011313</t>
  </si>
  <si>
    <t>Harrogate Central</t>
  </si>
  <si>
    <t>E05011314</t>
  </si>
  <si>
    <t>Harrogate Coppice Valley</t>
  </si>
  <si>
    <t>E05011315</t>
  </si>
  <si>
    <t>Harrogate Duchy</t>
  </si>
  <si>
    <t>Harrogate Fairfax</t>
  </si>
  <si>
    <t>Harrogate High Harrogate</t>
  </si>
  <si>
    <t>Harrogate Hookstone</t>
  </si>
  <si>
    <t>Harrogate Kingsley</t>
  </si>
  <si>
    <t>E05011316</t>
  </si>
  <si>
    <t>E05011317</t>
  </si>
  <si>
    <t>E05011318</t>
  </si>
  <si>
    <t>E05011319</t>
  </si>
  <si>
    <t>E05011320</t>
  </si>
  <si>
    <t>Harrogate New Park</t>
  </si>
  <si>
    <t>E05011321</t>
  </si>
  <si>
    <t>Harrogate Oatlands</t>
  </si>
  <si>
    <t>E05011322</t>
  </si>
  <si>
    <t>Harrogate Old Bilton</t>
  </si>
  <si>
    <t>Harrogate Harlow</t>
  </si>
  <si>
    <t>E05011323</t>
  </si>
  <si>
    <t>E05011324</t>
  </si>
  <si>
    <t>E05011325</t>
  </si>
  <si>
    <t>E05011326</t>
  </si>
  <si>
    <t>E05011327</t>
  </si>
  <si>
    <t>E05011328</t>
  </si>
  <si>
    <t>E05011329</t>
  </si>
  <si>
    <t>E05011330</t>
  </si>
  <si>
    <t>E05011331</t>
  </si>
  <si>
    <t>E05011332</t>
  </si>
  <si>
    <t>E05011333</t>
  </si>
  <si>
    <t>E05011334</t>
  </si>
  <si>
    <t>E05011335</t>
  </si>
  <si>
    <t>E05011336</t>
  </si>
  <si>
    <t>E05011337</t>
  </si>
  <si>
    <t>E05011338</t>
  </si>
  <si>
    <t>E05011339</t>
  </si>
  <si>
    <t>E05011340</t>
  </si>
  <si>
    <t>E05011341</t>
  </si>
  <si>
    <t>E05011342</t>
  </si>
  <si>
    <t>E05011343</t>
  </si>
  <si>
    <t>E05011344</t>
  </si>
  <si>
    <t>E05011345</t>
  </si>
  <si>
    <t>E05011346</t>
  </si>
  <si>
    <t>E05011347</t>
  </si>
  <si>
    <t>Ripon Ure Bank</t>
  </si>
  <si>
    <t>Pateley Bridge &amp; Nidderdale Moors</t>
  </si>
  <si>
    <t>Masham &amp; Kirkby Malzeard</t>
  </si>
  <si>
    <t>Knaresborough Eastfield</t>
  </si>
  <si>
    <t>Knaresborough Castle</t>
  </si>
  <si>
    <t>Knaresborough Aspin &amp; Calcutt</t>
  </si>
  <si>
    <t>Killinghall &amp; Hampsthwaite</t>
  </si>
  <si>
    <t>Harrogate Pannal</t>
  </si>
  <si>
    <t>Harrogate Saltergate</t>
  </si>
  <si>
    <t>Harrogate St Georges</t>
  </si>
  <si>
    <t>Harrogate Starbeck</t>
  </si>
  <si>
    <t>Harrogate Stray</t>
  </si>
  <si>
    <t>Harrogate Valley Gardens</t>
  </si>
  <si>
    <t>E05011348</t>
  </si>
  <si>
    <t>E05011349</t>
  </si>
  <si>
    <t>* as created by The Cherwell (Electoral Changes) Order 2015 and</t>
  </si>
  <si>
    <t xml:space="preserve">   as altered by The Cherwell (Electoral Changes) (No.2) Order 2017</t>
  </si>
  <si>
    <t>E05011118</t>
  </si>
  <si>
    <t>Allens Cross</t>
  </si>
  <si>
    <t>E05011119</t>
  </si>
  <si>
    <t>Alum Rock</t>
  </si>
  <si>
    <t>E05011120</t>
  </si>
  <si>
    <t>E05011121</t>
  </si>
  <si>
    <t>Balsall Heath West</t>
  </si>
  <si>
    <t>E05011122</t>
  </si>
  <si>
    <t>E05011123</t>
  </si>
  <si>
    <t>E05011124</t>
  </si>
  <si>
    <t>E05011125</t>
  </si>
  <si>
    <t>Bordesley &amp; Highgate</t>
  </si>
  <si>
    <t>E05011126</t>
  </si>
  <si>
    <t>Bournbrook &amp; Selly Park</t>
  </si>
  <si>
    <t>E05011127</t>
  </si>
  <si>
    <t>E05011128</t>
  </si>
  <si>
    <t>Bournville &amp; Cotteridge</t>
  </si>
  <si>
    <t>E05011129</t>
  </si>
  <si>
    <t>Brandwood &amp; King's Heath</t>
  </si>
  <si>
    <t>E05011130</t>
  </si>
  <si>
    <t>Bromford &amp; Hodge Hill</t>
  </si>
  <si>
    <t>E05011131</t>
  </si>
  <si>
    <t>Castle Vale</t>
  </si>
  <si>
    <t>E05011132</t>
  </si>
  <si>
    <t>Druids Heath &amp; Monyhull</t>
  </si>
  <si>
    <t>E05011133</t>
  </si>
  <si>
    <t>E05011134</t>
  </si>
  <si>
    <t>E05011135</t>
  </si>
  <si>
    <t>Frankley Great Park</t>
  </si>
  <si>
    <t>E05011136</t>
  </si>
  <si>
    <t>Garretts Green</t>
  </si>
  <si>
    <t>E05011137</t>
  </si>
  <si>
    <t>Glebe Farm &amp; Tile Cross</t>
  </si>
  <si>
    <t>E05011138</t>
  </si>
  <si>
    <t>Gravelly Hill</t>
  </si>
  <si>
    <t>E05011139</t>
  </si>
  <si>
    <t>Hall Green North</t>
  </si>
  <si>
    <t>Hall Green South</t>
  </si>
  <si>
    <t>E05011140</t>
  </si>
  <si>
    <t>E05011141</t>
  </si>
  <si>
    <t>Handsworth</t>
  </si>
  <si>
    <t>E05011142</t>
  </si>
  <si>
    <t>E05011143</t>
  </si>
  <si>
    <t>E05011144</t>
  </si>
  <si>
    <t>Heartlands</t>
  </si>
  <si>
    <t>E05011145</t>
  </si>
  <si>
    <t>Highter's Heath</t>
  </si>
  <si>
    <t>E05011146</t>
  </si>
  <si>
    <t>Holyhead</t>
  </si>
  <si>
    <t>E05011147</t>
  </si>
  <si>
    <t>King's Norton North</t>
  </si>
  <si>
    <t>E05011148</t>
  </si>
  <si>
    <t>E05011149</t>
  </si>
  <si>
    <t>King's Norton South</t>
  </si>
  <si>
    <t>E05011150</t>
  </si>
  <si>
    <t>E05011151</t>
  </si>
  <si>
    <t>Longbridge &amp; West Heath</t>
  </si>
  <si>
    <t>E05011152</t>
  </si>
  <si>
    <t>Lozells</t>
  </si>
  <si>
    <t>E05011153</t>
  </si>
  <si>
    <t>Moseley</t>
  </si>
  <si>
    <t>E05011154</t>
  </si>
  <si>
    <t>E05011155</t>
  </si>
  <si>
    <t>E05011156</t>
  </si>
  <si>
    <t>North Edgbaston</t>
  </si>
  <si>
    <t>E05011157</t>
  </si>
  <si>
    <t>E05011158</t>
  </si>
  <si>
    <t>E05011159</t>
  </si>
  <si>
    <t>E05011160</t>
  </si>
  <si>
    <t>Perry Common</t>
  </si>
  <si>
    <t>E05011161</t>
  </si>
  <si>
    <t>Pype Hayes</t>
  </si>
  <si>
    <t>E05011162</t>
  </si>
  <si>
    <t>E05011163</t>
  </si>
  <si>
    <t>Rubery &amp; Rednal</t>
  </si>
  <si>
    <t>E05011164</t>
  </si>
  <si>
    <t>E05011165</t>
  </si>
  <si>
    <t>E05011166</t>
  </si>
  <si>
    <t>Small Heath</t>
  </si>
  <si>
    <t>E05011167</t>
  </si>
  <si>
    <t>Soho &amp; Jewellery Quarter</t>
  </si>
  <si>
    <t>E05011168</t>
  </si>
  <si>
    <t>E05011169</t>
  </si>
  <si>
    <t>Sparkbrook &amp; Balsall Heath East</t>
  </si>
  <si>
    <t>E05011170</t>
  </si>
  <si>
    <t>Sparkhill</t>
  </si>
  <si>
    <t>E05011171</t>
  </si>
  <si>
    <t>Stirchley</t>
  </si>
  <si>
    <t>E05011172</t>
  </si>
  <si>
    <t>E05011173</t>
  </si>
  <si>
    <t>E05011174</t>
  </si>
  <si>
    <t>E05011175</t>
  </si>
  <si>
    <t>E05011176</t>
  </si>
  <si>
    <t>E05011177</t>
  </si>
  <si>
    <t>E05011178</t>
  </si>
  <si>
    <t>E05011179</t>
  </si>
  <si>
    <t>E05011180</t>
  </si>
  <si>
    <t>E05011181</t>
  </si>
  <si>
    <t>Sutton Mere Green</t>
  </si>
  <si>
    <t>Sutton Reddicap</t>
  </si>
  <si>
    <t>Sutton Roughley</t>
  </si>
  <si>
    <t>Tyseley &amp; Hay Mills</t>
  </si>
  <si>
    <t>E05011182</t>
  </si>
  <si>
    <t>Ward End</t>
  </si>
  <si>
    <t>Weoley &amp; Selly Oak</t>
  </si>
  <si>
    <t>Yardley East</t>
  </si>
  <si>
    <t>Yardley West &amp; Stechford</t>
  </si>
  <si>
    <t>E05011183</t>
  </si>
  <si>
    <t>E05011184</t>
  </si>
  <si>
    <t>E05011185</t>
  </si>
  <si>
    <t>E05011186</t>
  </si>
  <si>
    <t>Sutton Walmley &amp; Minworth</t>
  </si>
  <si>
    <t>Sutton Wylde Green</t>
  </si>
  <si>
    <t>* as created by The City of Birmingham (Electoral Changes) Order 2016</t>
  </si>
  <si>
    <t>Weston-super-Mare South</t>
  </si>
  <si>
    <t>E05000064</t>
  </si>
  <si>
    <t>E05000065</t>
  </si>
  <si>
    <t>Blackfen and Lamorbey</t>
  </si>
  <si>
    <t>E05000066</t>
  </si>
  <si>
    <t>Blendon and Penhill</t>
  </si>
  <si>
    <t>E05000067</t>
  </si>
  <si>
    <t>E05000068</t>
  </si>
  <si>
    <t>E05000069</t>
  </si>
  <si>
    <t>Colyers</t>
  </si>
  <si>
    <t>E05000070</t>
  </si>
  <si>
    <t>E05000071</t>
  </si>
  <si>
    <t>Cray Meadows</t>
  </si>
  <si>
    <t>E05000072</t>
  </si>
  <si>
    <t>Danson Park</t>
  </si>
  <si>
    <t>E05000073</t>
  </si>
  <si>
    <t>E05000074</t>
  </si>
  <si>
    <t>E05000075</t>
  </si>
  <si>
    <t>Falconwood and Welling</t>
  </si>
  <si>
    <t>E05000076</t>
  </si>
  <si>
    <t>Lesnes Abbey</t>
  </si>
  <si>
    <t>E05000077</t>
  </si>
  <si>
    <t>E05000078</t>
  </si>
  <si>
    <t>E05000079</t>
  </si>
  <si>
    <t>E05000080</t>
  </si>
  <si>
    <t>E05000081</t>
  </si>
  <si>
    <t>E05000082</t>
  </si>
  <si>
    <t>E05000083</t>
  </si>
  <si>
    <t>E05000084</t>
  </si>
  <si>
    <t>* as created by The London Borough of Bexley (Electoral Changes) Order 2000</t>
  </si>
  <si>
    <t>* as created by The South Lakeland (Electoral Changes) Order 2017</t>
  </si>
  <si>
    <t>Cartmel</t>
  </si>
  <si>
    <t>Windermere</t>
  </si>
  <si>
    <t>Arnside and Milnthorpe</t>
  </si>
  <si>
    <t>Bowness and Levens</t>
  </si>
  <si>
    <t>Broughton and Coniston</t>
  </si>
  <si>
    <t>Burton and Crooklands</t>
  </si>
  <si>
    <t>Furness Peninsula</t>
  </si>
  <si>
    <t>Kendal East</t>
  </si>
  <si>
    <t>Kendal North</t>
  </si>
  <si>
    <t>KendalRural</t>
  </si>
  <si>
    <t>Kendal South and Natland</t>
  </si>
  <si>
    <t>Kendal Town</t>
  </si>
  <si>
    <t>Kendal West</t>
  </si>
  <si>
    <t>E05000495</t>
  </si>
  <si>
    <t>E05000496</t>
  </si>
  <si>
    <t>E05000497</t>
  </si>
  <si>
    <t>E05000498</t>
  </si>
  <si>
    <t>Church End</t>
  </si>
  <si>
    <t>E05000499</t>
  </si>
  <si>
    <t>E05000500</t>
  </si>
  <si>
    <t>E05000501</t>
  </si>
  <si>
    <t>E05000502</t>
  </si>
  <si>
    <t>E05000503</t>
  </si>
  <si>
    <t>E05000504</t>
  </si>
  <si>
    <t>E05000505</t>
  </si>
  <si>
    <t>E05000506</t>
  </si>
  <si>
    <t>E05000507</t>
  </si>
  <si>
    <t>E05000508</t>
  </si>
  <si>
    <t>E05000509</t>
  </si>
  <si>
    <t>E05000510</t>
  </si>
  <si>
    <t>Roding</t>
  </si>
  <si>
    <t>E05000511</t>
  </si>
  <si>
    <t>E05000512</t>
  </si>
  <si>
    <t>Snaresbrook</t>
  </si>
  <si>
    <t>E05000513</t>
  </si>
  <si>
    <t>E05000514</t>
  </si>
  <si>
    <t>Wanstead</t>
  </si>
  <si>
    <t>E05000515</t>
  </si>
  <si>
    <t>* as created by The London Borough of Redbridge (Electoral Changes) Order 2000</t>
  </si>
  <si>
    <t>Cathedrals</t>
  </si>
  <si>
    <t>East Dulwich</t>
  </si>
  <si>
    <t>East Walworth</t>
  </si>
  <si>
    <t>Livesey</t>
  </si>
  <si>
    <t>Nunhead</t>
  </si>
  <si>
    <t>South Camberwell</t>
  </si>
  <si>
    <t>The Lane</t>
  </si>
  <si>
    <t>E05000534</t>
  </si>
  <si>
    <t>E05000535</t>
  </si>
  <si>
    <t>E05000536</t>
  </si>
  <si>
    <t>E05000537</t>
  </si>
  <si>
    <t>E05000538</t>
  </si>
  <si>
    <t>E05000539</t>
  </si>
  <si>
    <t>E05000540</t>
  </si>
  <si>
    <t>E05000541</t>
  </si>
  <si>
    <t>E05000542</t>
  </si>
  <si>
    <t>E05000543</t>
  </si>
  <si>
    <t>E05000544</t>
  </si>
  <si>
    <t>E05000545</t>
  </si>
  <si>
    <t>E05000546</t>
  </si>
  <si>
    <t>E05000547</t>
  </si>
  <si>
    <t>E05000548</t>
  </si>
  <si>
    <t>E05000549</t>
  </si>
  <si>
    <t>E05000550</t>
  </si>
  <si>
    <t>E05000551</t>
  </si>
  <si>
    <t>E05000552</t>
  </si>
  <si>
    <t>E05000553</t>
  </si>
  <si>
    <t>E05000554</t>
  </si>
  <si>
    <t>* as created by The London Borough of Southwark (Electoral Changes) Order 2000</t>
  </si>
  <si>
    <t>Crackley &amp; Red Street</t>
  </si>
  <si>
    <t>Holditch and Chesterton</t>
  </si>
  <si>
    <t>Kidsgrove &amp; Ravenscliffe</t>
  </si>
  <si>
    <t>Knutton</t>
  </si>
  <si>
    <t>Loggerheads</t>
  </si>
  <si>
    <t>Madeley &amp; Betley</t>
  </si>
  <si>
    <t>Maer &amp; Whitmore</t>
  </si>
  <si>
    <t>Newchapel &amp; Mow Cop</t>
  </si>
  <si>
    <t>Talke &amp; Butt Lane</t>
  </si>
  <si>
    <t>Westbury Park &amp; Northwood</t>
  </si>
  <si>
    <t>* as created by The Newcastle-under-Lyme (Electoral Changes) Order 2017</t>
  </si>
  <si>
    <t>Arthur`s Hill</t>
  </si>
  <si>
    <t>Fawdon and West Gosforth</t>
  </si>
  <si>
    <t>West Fenham</t>
  </si>
  <si>
    <t>Dene and South Gosforth</t>
  </si>
  <si>
    <t>Callerton and Throckley</t>
  </si>
  <si>
    <t>Chapel</t>
  </si>
  <si>
    <t>Denton and Westerhope</t>
  </si>
  <si>
    <t>Kingston Park South and Newbiggin Hall</t>
  </si>
  <si>
    <t>9</t>
  </si>
  <si>
    <t>* as created by The Newcastle upon Tyne (Electoral Changes) Order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</si>
</sst>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0.00_)"/>
    <numFmt numFmtId="166" formatCode="0_)"/>
    <numFmt numFmtId="167" formatCode="0."/>
    <numFmt numFmtId="168" formatCode="#,###"/>
  </numFmts>
  <fonts count="24">
    <font>
      <sz val="10"/>
      <name val="Book Antiqu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LinePrinter"/>
    </font>
    <font>
      <sz val="8"/>
      <name val="Book Antiqua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u/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mbria"/>
      <family val="1"/>
      <scheme val="maj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4">
    <xf numFmtId="0" fontId="0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 applyFont="0"/>
    <xf numFmtId="164" fontId="6" fillId="0" borderId="0"/>
    <xf numFmtId="164" fontId="6" fillId="0" borderId="0" applyFont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6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0" fontId="8" fillId="0" borderId="0"/>
    <xf numFmtId="0" fontId="19" fillId="0" borderId="0"/>
    <xf numFmtId="0" fontId="22" fillId="0" borderId="0">
      <alignment wrapText="1"/>
    </xf>
    <xf numFmtId="0" fontId="23" fillId="3" borderId="0" applyNumberFormat="0" applyBorder="0" applyAlignment="0" applyProtection="0"/>
    <xf numFmtId="0" fontId="2" fillId="0" borderId="0"/>
  </cellStyleXfs>
  <cellXfs count="957">
    <xf numFmtId="0" fontId="0" fillId="0" borderId="0" xfId="0"/>
    <xf numFmtId="0" fontId="9" fillId="0" borderId="0" xfId="0" applyFont="1"/>
    <xf numFmtId="164" fontId="10" fillId="0" borderId="0" xfId="42" applyFont="1" applyAlignment="1" applyProtection="1">
      <alignment horizontal="left"/>
      <protection locked="0"/>
    </xf>
    <xf numFmtId="164" fontId="10" fillId="0" borderId="0" xfId="42" applyFont="1"/>
    <xf numFmtId="0" fontId="10" fillId="0" borderId="0" xfId="0" quotePrefix="1" applyNumberFormat="1" applyFont="1"/>
    <xf numFmtId="3" fontId="10" fillId="0" borderId="0" xfId="42" applyNumberFormat="1" applyFont="1" applyProtection="1">
      <protection locked="0"/>
    </xf>
    <xf numFmtId="3" fontId="10" fillId="0" borderId="0" xfId="42" applyNumberFormat="1" applyFont="1" applyBorder="1" applyProtection="1">
      <protection locked="0"/>
    </xf>
    <xf numFmtId="164" fontId="10" fillId="0" borderId="0" xfId="41" applyFont="1" applyAlignment="1" applyProtection="1">
      <alignment horizontal="left"/>
      <protection locked="0"/>
    </xf>
    <xf numFmtId="3" fontId="10" fillId="0" borderId="0" xfId="42" applyNumberFormat="1" applyFont="1"/>
    <xf numFmtId="164" fontId="10" fillId="0" borderId="0" xfId="42" applyFont="1" applyProtection="1">
      <protection locked="0"/>
    </xf>
    <xf numFmtId="165" fontId="10" fillId="0" borderId="0" xfId="42" applyNumberFormat="1" applyFont="1" applyAlignment="1" applyProtection="1">
      <alignment horizontal="left"/>
      <protection locked="0"/>
    </xf>
    <xf numFmtId="3" fontId="10" fillId="0" borderId="0" xfId="43" applyNumberFormat="1" applyFont="1" applyProtection="1">
      <protection locked="0"/>
    </xf>
    <xf numFmtId="164" fontId="10" fillId="0" borderId="0" xfId="60" applyFont="1" applyAlignment="1" applyProtection="1">
      <alignment horizontal="left"/>
      <protection locked="0"/>
    </xf>
    <xf numFmtId="164" fontId="10" fillId="0" borderId="0" xfId="60" applyFont="1"/>
    <xf numFmtId="164" fontId="10" fillId="0" borderId="0" xfId="60" applyFont="1" applyProtection="1">
      <protection locked="0"/>
    </xf>
    <xf numFmtId="3" fontId="10" fillId="0" borderId="0" xfId="60" applyNumberFormat="1" applyFont="1" applyProtection="1">
      <protection locked="0"/>
    </xf>
    <xf numFmtId="166" fontId="10" fillId="0" borderId="0" xfId="60" applyNumberFormat="1" applyFont="1" applyAlignment="1" applyProtection="1">
      <alignment horizontal="left"/>
      <protection locked="0"/>
    </xf>
    <xf numFmtId="3" fontId="10" fillId="0" borderId="0" xfId="60" applyNumberFormat="1" applyFont="1"/>
    <xf numFmtId="3" fontId="10" fillId="0" borderId="1" xfId="60" applyNumberFormat="1" applyFont="1" applyBorder="1" applyProtection="1">
      <protection locked="0"/>
    </xf>
    <xf numFmtId="3" fontId="10" fillId="0" borderId="2" xfId="60" applyNumberFormat="1" applyFont="1" applyBorder="1" applyProtection="1">
      <protection locked="0"/>
    </xf>
    <xf numFmtId="164" fontId="10" fillId="0" borderId="0" xfId="37" applyFont="1"/>
    <xf numFmtId="3" fontId="10" fillId="0" borderId="0" xfId="37" applyNumberFormat="1" applyFont="1"/>
    <xf numFmtId="3" fontId="10" fillId="0" borderId="0" xfId="62" applyNumberFormat="1" applyFont="1" applyProtection="1">
      <protection locked="0"/>
    </xf>
    <xf numFmtId="3" fontId="10" fillId="0" borderId="0" xfId="62" applyNumberFormat="1" applyFont="1" applyBorder="1" applyProtection="1">
      <protection locked="0"/>
    </xf>
    <xf numFmtId="164" fontId="10" fillId="0" borderId="0" xfId="16" applyFont="1" applyAlignment="1" applyProtection="1">
      <alignment horizontal="right"/>
      <protection locked="0"/>
    </xf>
    <xf numFmtId="164" fontId="10" fillId="0" borderId="0" xfId="16" applyFont="1"/>
    <xf numFmtId="3" fontId="10" fillId="0" borderId="0" xfId="16" applyNumberFormat="1" applyFont="1" applyBorder="1" applyProtection="1">
      <protection locked="0"/>
    </xf>
    <xf numFmtId="3" fontId="10" fillId="0" borderId="0" xfId="16" applyNumberFormat="1" applyFont="1"/>
    <xf numFmtId="3" fontId="10" fillId="0" borderId="0" xfId="16" applyNumberFormat="1" applyFont="1" applyProtection="1">
      <protection locked="0"/>
    </xf>
    <xf numFmtId="164" fontId="10" fillId="0" borderId="0" xfId="16" applyFont="1" applyAlignment="1" applyProtection="1">
      <alignment horizontal="left"/>
      <protection locked="0"/>
    </xf>
    <xf numFmtId="3" fontId="10" fillId="0" borderId="0" xfId="0" applyNumberFormat="1" applyFont="1" applyBorder="1" applyAlignment="1" applyProtection="1">
      <protection locked="0"/>
    </xf>
    <xf numFmtId="3" fontId="10" fillId="0" borderId="0" xfId="0" applyNumberFormat="1" applyFont="1" applyAlignment="1"/>
    <xf numFmtId="166" fontId="10" fillId="0" borderId="0" xfId="16" applyNumberFormat="1" applyFont="1" applyAlignment="1" applyProtection="1">
      <alignment horizontal="left"/>
      <protection locked="0"/>
    </xf>
    <xf numFmtId="164" fontId="10" fillId="0" borderId="0" xfId="7" applyFont="1" applyAlignment="1" applyProtection="1">
      <alignment horizontal="left"/>
      <protection locked="0"/>
    </xf>
    <xf numFmtId="164" fontId="10" fillId="0" borderId="0" xfId="7" applyFont="1"/>
    <xf numFmtId="164" fontId="10" fillId="0" borderId="0" xfId="7" applyFont="1" applyAlignment="1" applyProtection="1">
      <alignment horizontal="right"/>
      <protection locked="0"/>
    </xf>
    <xf numFmtId="3" fontId="10" fillId="0" borderId="0" xfId="7" applyNumberFormat="1" applyFont="1" applyProtection="1">
      <protection locked="0"/>
    </xf>
    <xf numFmtId="3" fontId="10" fillId="0" borderId="1" xfId="7" applyNumberFormat="1" applyFont="1" applyBorder="1" applyProtection="1">
      <protection locked="0"/>
    </xf>
    <xf numFmtId="166" fontId="10" fillId="0" borderId="0" xfId="7" applyNumberFormat="1" applyFont="1" applyProtection="1">
      <protection locked="0"/>
    </xf>
    <xf numFmtId="3" fontId="10" fillId="0" borderId="0" xfId="7" applyNumberFormat="1" applyFont="1"/>
    <xf numFmtId="3" fontId="10" fillId="0" borderId="0" xfId="7" applyNumberFormat="1" applyFont="1" applyBorder="1" applyProtection="1">
      <protection locked="0"/>
    </xf>
    <xf numFmtId="0" fontId="10" fillId="0" borderId="0" xfId="0" quotePrefix="1" applyFont="1"/>
    <xf numFmtId="164" fontId="10" fillId="0" borderId="0" xfId="6" applyFont="1" applyAlignment="1" applyProtection="1">
      <alignment horizontal="right"/>
      <protection locked="0"/>
    </xf>
    <xf numFmtId="164" fontId="10" fillId="0" borderId="0" xfId="6" applyFont="1"/>
    <xf numFmtId="164" fontId="10" fillId="0" borderId="0" xfId="6" applyFont="1" applyAlignment="1" applyProtection="1">
      <alignment horizontal="left"/>
      <protection locked="0"/>
    </xf>
    <xf numFmtId="3" fontId="10" fillId="0" borderId="0" xfId="6" applyNumberFormat="1" applyFont="1" applyAlignment="1" applyProtection="1">
      <alignment horizontal="right"/>
      <protection locked="0"/>
    </xf>
    <xf numFmtId="167" fontId="10" fillId="0" borderId="0" xfId="7" applyNumberFormat="1" applyFont="1" applyAlignment="1">
      <alignment horizontal="left"/>
    </xf>
    <xf numFmtId="164" fontId="10" fillId="0" borderId="0" xfId="7" applyFont="1" applyProtection="1">
      <protection locked="0"/>
    </xf>
    <xf numFmtId="3" fontId="10" fillId="0" borderId="0" xfId="0" applyNumberFormat="1" applyFont="1"/>
    <xf numFmtId="167" fontId="10" fillId="0" borderId="0" xfId="7" applyNumberFormat="1" applyFont="1" applyAlignment="1" applyProtection="1">
      <alignment horizontal="left"/>
      <protection locked="0"/>
    </xf>
    <xf numFmtId="167" fontId="11" fillId="2" borderId="0" xfId="44" applyNumberFormat="1" applyFont="1" applyFill="1" applyAlignment="1" applyProtection="1">
      <alignment horizontal="left"/>
      <protection locked="0"/>
    </xf>
    <xf numFmtId="164" fontId="11" fillId="2" borderId="0" xfId="44" applyFont="1" applyFill="1" applyAlignment="1" applyProtection="1">
      <alignment horizontal="left"/>
      <protection locked="0"/>
    </xf>
    <xf numFmtId="164" fontId="11" fillId="2" borderId="0" xfId="44" applyFont="1" applyFill="1" applyAlignment="1">
      <alignment horizontal="left"/>
    </xf>
    <xf numFmtId="164" fontId="11" fillId="2" borderId="0" xfId="44" applyFont="1" applyFill="1"/>
    <xf numFmtId="164" fontId="10" fillId="0" borderId="0" xfId="40" applyFont="1" applyAlignment="1" applyProtection="1">
      <alignment horizontal="left"/>
      <protection locked="0"/>
    </xf>
    <xf numFmtId="164" fontId="11" fillId="0" borderId="0" xfId="51" applyFont="1" applyAlignment="1" applyProtection="1">
      <alignment horizontal="right"/>
      <protection locked="0"/>
    </xf>
    <xf numFmtId="3" fontId="11" fillId="2" borderId="0" xfId="44" applyNumberFormat="1" applyFont="1" applyFill="1" applyProtection="1">
      <protection locked="0"/>
    </xf>
    <xf numFmtId="3" fontId="11" fillId="2" borderId="1" xfId="44" applyNumberFormat="1" applyFont="1" applyFill="1" applyBorder="1" applyProtection="1">
      <protection locked="0"/>
    </xf>
    <xf numFmtId="3" fontId="11" fillId="2" borderId="0" xfId="44" applyNumberFormat="1" applyFont="1" applyFill="1"/>
    <xf numFmtId="165" fontId="11" fillId="2" borderId="0" xfId="44" applyNumberFormat="1" applyFont="1" applyFill="1" applyAlignment="1" applyProtection="1">
      <alignment horizontal="left"/>
      <protection locked="0"/>
    </xf>
    <xf numFmtId="166" fontId="11" fillId="2" borderId="0" xfId="44" applyNumberFormat="1" applyFont="1" applyFill="1" applyProtection="1">
      <protection locked="0"/>
    </xf>
    <xf numFmtId="3" fontId="11" fillId="2" borderId="1" xfId="44" applyNumberFormat="1" applyFont="1" applyFill="1" applyBorder="1"/>
    <xf numFmtId="3" fontId="11" fillId="2" borderId="2" xfId="44" applyNumberFormat="1" applyFont="1" applyFill="1" applyBorder="1"/>
    <xf numFmtId="3" fontId="11" fillId="2" borderId="2" xfId="44" applyNumberFormat="1" applyFont="1" applyFill="1" applyBorder="1" applyProtection="1">
      <protection locked="0"/>
    </xf>
    <xf numFmtId="164" fontId="11" fillId="2" borderId="0" xfId="37" applyFont="1" applyFill="1"/>
    <xf numFmtId="164" fontId="11" fillId="0" borderId="0" xfId="51" applyFont="1"/>
    <xf numFmtId="164" fontId="10" fillId="0" borderId="0" xfId="51" applyFont="1"/>
    <xf numFmtId="164" fontId="11" fillId="0" borderId="0" xfId="51" applyFont="1" applyAlignment="1" applyProtection="1">
      <alignment horizontal="left"/>
      <protection locked="0"/>
    </xf>
    <xf numFmtId="3" fontId="11" fillId="2" borderId="0" xfId="44" applyNumberFormat="1" applyFont="1" applyFill="1" applyBorder="1" applyProtection="1">
      <protection locked="0"/>
    </xf>
    <xf numFmtId="164" fontId="11" fillId="2" borderId="0" xfId="44" applyFont="1" applyFill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0" fontId="10" fillId="0" borderId="0" xfId="0" applyFont="1"/>
    <xf numFmtId="164" fontId="10" fillId="0" borderId="0" xfId="44" applyFont="1"/>
    <xf numFmtId="164" fontId="10" fillId="0" borderId="0" xfId="44" applyFont="1" applyAlignment="1">
      <alignment horizontal="left"/>
    </xf>
    <xf numFmtId="164" fontId="10" fillId="0" borderId="0" xfId="29" applyFont="1" applyAlignment="1" applyProtection="1">
      <alignment horizontal="left"/>
      <protection locked="0"/>
    </xf>
    <xf numFmtId="164" fontId="10" fillId="0" borderId="0" xfId="29" applyFont="1"/>
    <xf numFmtId="164" fontId="10" fillId="0" borderId="0" xfId="29" applyFont="1" applyAlignment="1" applyProtection="1">
      <alignment horizontal="right"/>
      <protection locked="0"/>
    </xf>
    <xf numFmtId="3" fontId="10" fillId="0" borderId="0" xfId="29" applyNumberFormat="1" applyFont="1" applyBorder="1" applyProtection="1">
      <protection locked="0"/>
    </xf>
    <xf numFmtId="3" fontId="10" fillId="0" borderId="1" xfId="29" applyNumberFormat="1" applyFont="1" applyBorder="1" applyProtection="1">
      <protection locked="0"/>
    </xf>
    <xf numFmtId="3" fontId="10" fillId="0" borderId="0" xfId="29" applyNumberFormat="1" applyFont="1"/>
    <xf numFmtId="3" fontId="10" fillId="0" borderId="0" xfId="29" applyNumberFormat="1" applyFont="1" applyProtection="1">
      <protection locked="0"/>
    </xf>
    <xf numFmtId="167" fontId="10" fillId="0" borderId="0" xfId="29" applyNumberFormat="1" applyFont="1" applyAlignment="1" applyProtection="1">
      <alignment horizontal="left"/>
      <protection locked="0"/>
    </xf>
    <xf numFmtId="3" fontId="10" fillId="0" borderId="2" xfId="29" applyNumberFormat="1" applyFont="1" applyBorder="1" applyProtection="1">
      <protection locked="0"/>
    </xf>
    <xf numFmtId="164" fontId="10" fillId="0" borderId="0" xfId="22" applyFont="1" applyAlignment="1" applyProtection="1">
      <alignment horizontal="left"/>
      <protection locked="0"/>
    </xf>
    <xf numFmtId="164" fontId="10" fillId="0" borderId="0" xfId="22" applyFont="1"/>
    <xf numFmtId="164" fontId="10" fillId="0" borderId="0" xfId="22" applyFont="1" applyAlignment="1" applyProtection="1">
      <alignment horizontal="right"/>
      <protection locked="0"/>
    </xf>
    <xf numFmtId="3" fontId="10" fillId="0" borderId="0" xfId="22" applyNumberFormat="1" applyFont="1" applyProtection="1">
      <protection locked="0"/>
    </xf>
    <xf numFmtId="3" fontId="10" fillId="0" borderId="1" xfId="22" applyNumberFormat="1" applyFont="1" applyBorder="1" applyProtection="1">
      <protection locked="0"/>
    </xf>
    <xf numFmtId="165" fontId="10" fillId="0" borderId="0" xfId="22" applyNumberFormat="1" applyFont="1" applyAlignment="1" applyProtection="1">
      <alignment horizontal="left"/>
      <protection locked="0"/>
    </xf>
    <xf numFmtId="3" fontId="10" fillId="0" borderId="2" xfId="22" applyNumberFormat="1" applyFont="1" applyBorder="1" applyProtection="1">
      <protection locked="0"/>
    </xf>
    <xf numFmtId="3" fontId="10" fillId="0" borderId="0" xfId="22" applyNumberFormat="1" applyFont="1"/>
    <xf numFmtId="166" fontId="10" fillId="0" borderId="0" xfId="22" applyNumberFormat="1" applyFont="1" applyProtection="1">
      <protection locked="0"/>
    </xf>
    <xf numFmtId="3" fontId="10" fillId="0" borderId="0" xfId="0" quotePrefix="1" applyNumberFormat="1" applyFont="1"/>
    <xf numFmtId="164" fontId="10" fillId="0" borderId="0" xfId="22" applyFont="1" applyFill="1" applyAlignment="1" applyProtection="1">
      <alignment horizontal="left"/>
      <protection locked="0"/>
    </xf>
    <xf numFmtId="3" fontId="10" fillId="0" borderId="2" xfId="22" applyNumberFormat="1" applyFont="1" applyBorder="1"/>
    <xf numFmtId="167" fontId="10" fillId="0" borderId="0" xfId="22" applyNumberFormat="1" applyFont="1" applyAlignment="1" applyProtection="1">
      <alignment horizontal="left"/>
      <protection locked="0"/>
    </xf>
    <xf numFmtId="167" fontId="10" fillId="0" borderId="0" xfId="37" applyNumberFormat="1" applyFont="1" applyAlignment="1">
      <alignment horizontal="left"/>
    </xf>
    <xf numFmtId="0" fontId="5" fillId="0" borderId="0" xfId="0" applyFont="1"/>
    <xf numFmtId="164" fontId="10" fillId="0" borderId="0" xfId="22" applyFont="1" applyProtection="1">
      <protection locked="0"/>
    </xf>
    <xf numFmtId="164" fontId="10" fillId="0" borderId="0" xfId="84" applyFont="1" applyAlignment="1" applyProtection="1">
      <alignment horizontal="left"/>
      <protection locked="0"/>
    </xf>
    <xf numFmtId="164" fontId="10" fillId="0" borderId="0" xfId="84" applyFont="1"/>
    <xf numFmtId="164" fontId="10" fillId="0" borderId="0" xfId="84" applyFont="1" applyAlignment="1" applyProtection="1">
      <alignment horizontal="right"/>
      <protection locked="0"/>
    </xf>
    <xf numFmtId="3" fontId="10" fillId="0" borderId="0" xfId="84" applyNumberFormat="1" applyFont="1" applyProtection="1">
      <protection locked="0"/>
    </xf>
    <xf numFmtId="3" fontId="10" fillId="0" borderId="0" xfId="84" applyNumberFormat="1" applyFont="1"/>
    <xf numFmtId="3" fontId="10" fillId="0" borderId="1" xfId="84" applyNumberFormat="1" applyFont="1" applyBorder="1" applyProtection="1">
      <protection locked="0"/>
    </xf>
    <xf numFmtId="3" fontId="10" fillId="0" borderId="2" xfId="84" applyNumberFormat="1" applyFont="1" applyBorder="1" applyProtection="1">
      <protection locked="0"/>
    </xf>
    <xf numFmtId="166" fontId="10" fillId="0" borderId="0" xfId="84" applyNumberFormat="1" applyFont="1" applyProtection="1">
      <protection locked="0"/>
    </xf>
    <xf numFmtId="164" fontId="10" fillId="0" borderId="0" xfId="35" applyFont="1"/>
    <xf numFmtId="164" fontId="10" fillId="0" borderId="0" xfId="28" applyFont="1"/>
    <xf numFmtId="164" fontId="10" fillId="0" borderId="0" xfId="28" applyFont="1" applyAlignment="1" applyProtection="1">
      <alignment horizontal="right"/>
      <protection locked="0"/>
    </xf>
    <xf numFmtId="164" fontId="11" fillId="0" borderId="0" xfId="74" applyFont="1"/>
    <xf numFmtId="164" fontId="10" fillId="0" borderId="0" xfId="28" applyFont="1" applyAlignment="1" applyProtection="1">
      <alignment horizontal="left"/>
      <protection locked="0"/>
    </xf>
    <xf numFmtId="167" fontId="10" fillId="0" borderId="0" xfId="84" applyNumberFormat="1" applyFont="1" applyAlignment="1" applyProtection="1">
      <alignment horizontal="left"/>
      <protection locked="0"/>
    </xf>
    <xf numFmtId="167" fontId="10" fillId="0" borderId="0" xfId="84" applyNumberFormat="1" applyFont="1" applyAlignment="1">
      <alignment horizontal="left"/>
    </xf>
    <xf numFmtId="3" fontId="10" fillId="0" borderId="0" xfId="84" applyNumberFormat="1" applyFont="1" applyBorder="1"/>
    <xf numFmtId="3" fontId="10" fillId="0" borderId="2" xfId="84" applyNumberFormat="1" applyFont="1" applyBorder="1"/>
    <xf numFmtId="164" fontId="10" fillId="0" borderId="0" xfId="92" applyFont="1" applyAlignment="1" applyProtection="1">
      <alignment horizontal="left"/>
      <protection locked="0"/>
    </xf>
    <xf numFmtId="164" fontId="10" fillId="0" borderId="0" xfId="92" applyFont="1"/>
    <xf numFmtId="164" fontId="10" fillId="0" borderId="0" xfId="92" applyFont="1" applyAlignment="1" applyProtection="1">
      <alignment horizontal="right"/>
      <protection locked="0"/>
    </xf>
    <xf numFmtId="3" fontId="10" fillId="0" borderId="0" xfId="92" applyNumberFormat="1" applyFont="1" applyProtection="1">
      <protection locked="0"/>
    </xf>
    <xf numFmtId="3" fontId="10" fillId="0" borderId="1" xfId="92" applyNumberFormat="1" applyFont="1" applyBorder="1" applyProtection="1">
      <protection locked="0"/>
    </xf>
    <xf numFmtId="3" fontId="10" fillId="0" borderId="0" xfId="92" applyNumberFormat="1" applyFont="1"/>
    <xf numFmtId="167" fontId="10" fillId="0" borderId="0" xfId="92" applyNumberFormat="1" applyFont="1" applyAlignment="1">
      <alignment horizontal="left"/>
    </xf>
    <xf numFmtId="164" fontId="10" fillId="0" borderId="0" xfId="87" applyFont="1" applyAlignment="1" applyProtection="1">
      <alignment horizontal="left"/>
      <protection locked="0"/>
    </xf>
    <xf numFmtId="164" fontId="10" fillId="0" borderId="0" xfId="87" applyFont="1"/>
    <xf numFmtId="164" fontId="10" fillId="0" borderId="0" xfId="87" applyFont="1" applyAlignment="1" applyProtection="1">
      <alignment horizontal="right"/>
      <protection locked="0"/>
    </xf>
    <xf numFmtId="3" fontId="10" fillId="0" borderId="0" xfId="87" applyNumberFormat="1" applyFont="1" applyProtection="1">
      <protection locked="0"/>
    </xf>
    <xf numFmtId="3" fontId="10" fillId="0" borderId="0" xfId="87" applyNumberFormat="1" applyFont="1"/>
    <xf numFmtId="165" fontId="10" fillId="0" borderId="0" xfId="87" applyNumberFormat="1" applyFont="1" applyAlignment="1" applyProtection="1">
      <alignment horizontal="left"/>
      <protection locked="0"/>
    </xf>
    <xf numFmtId="3" fontId="10" fillId="0" borderId="1" xfId="87" applyNumberFormat="1" applyFont="1" applyBorder="1" applyProtection="1">
      <protection locked="0"/>
    </xf>
    <xf numFmtId="3" fontId="10" fillId="0" borderId="0" xfId="87" applyNumberFormat="1" applyFont="1" applyBorder="1" applyProtection="1">
      <protection locked="0"/>
    </xf>
    <xf numFmtId="166" fontId="10" fillId="0" borderId="0" xfId="87" applyNumberFormat="1" applyFont="1" applyProtection="1">
      <protection locked="0"/>
    </xf>
    <xf numFmtId="164" fontId="10" fillId="0" borderId="0" xfId="87" applyFont="1" applyProtection="1">
      <protection locked="0"/>
    </xf>
    <xf numFmtId="164" fontId="10" fillId="0" borderId="0" xfId="86" applyFont="1" applyAlignment="1" applyProtection="1">
      <alignment horizontal="left"/>
      <protection locked="0"/>
    </xf>
    <xf numFmtId="164" fontId="10" fillId="0" borderId="0" xfId="86" applyFont="1"/>
    <xf numFmtId="164" fontId="10" fillId="0" borderId="0" xfId="86" applyFont="1" applyAlignment="1" applyProtection="1">
      <alignment horizontal="right"/>
      <protection locked="0"/>
    </xf>
    <xf numFmtId="3" fontId="10" fillId="0" borderId="0" xfId="86" applyNumberFormat="1" applyFont="1" applyProtection="1">
      <protection locked="0"/>
    </xf>
    <xf numFmtId="3" fontId="10" fillId="0" borderId="0" xfId="86" applyNumberFormat="1" applyFont="1"/>
    <xf numFmtId="165" fontId="10" fillId="0" borderId="0" xfId="86" applyNumberFormat="1" applyFont="1" applyAlignment="1" applyProtection="1">
      <alignment horizontal="left"/>
      <protection locked="0"/>
    </xf>
    <xf numFmtId="3" fontId="10" fillId="0" borderId="0" xfId="86" applyNumberFormat="1" applyFont="1" applyAlignment="1" applyProtection="1">
      <alignment horizontal="left"/>
      <protection locked="0"/>
    </xf>
    <xf numFmtId="3" fontId="10" fillId="0" borderId="1" xfId="86" applyNumberFormat="1" applyFont="1" applyBorder="1" applyProtection="1">
      <protection locked="0"/>
    </xf>
    <xf numFmtId="164" fontId="10" fillId="0" borderId="0" xfId="86" applyFont="1" applyProtection="1">
      <protection locked="0"/>
    </xf>
    <xf numFmtId="3" fontId="10" fillId="0" borderId="0" xfId="86" applyNumberFormat="1" applyFont="1" applyBorder="1" applyProtection="1">
      <protection locked="0"/>
    </xf>
    <xf numFmtId="167" fontId="10" fillId="0" borderId="0" xfId="86" applyNumberFormat="1" applyFont="1" applyAlignment="1" applyProtection="1">
      <alignment horizontal="left"/>
      <protection locked="0"/>
    </xf>
    <xf numFmtId="167" fontId="10" fillId="0" borderId="0" xfId="86" applyNumberFormat="1" applyFont="1" applyAlignment="1">
      <alignment horizontal="left"/>
    </xf>
    <xf numFmtId="3" fontId="11" fillId="0" borderId="0" xfId="51" applyNumberFormat="1" applyFont="1" applyProtection="1">
      <protection locked="0"/>
    </xf>
    <xf numFmtId="3" fontId="11" fillId="0" borderId="0" xfId="51" applyNumberFormat="1" applyFont="1"/>
    <xf numFmtId="165" fontId="11" fillId="0" borderId="0" xfId="51" applyNumberFormat="1" applyFont="1" applyAlignment="1" applyProtection="1">
      <alignment horizontal="left"/>
      <protection locked="0"/>
    </xf>
    <xf numFmtId="3" fontId="11" fillId="0" borderId="1" xfId="51" applyNumberFormat="1" applyFont="1" applyBorder="1" applyProtection="1">
      <protection locked="0"/>
    </xf>
    <xf numFmtId="3" fontId="11" fillId="0" borderId="0" xfId="51" applyNumberFormat="1" applyFont="1" applyBorder="1" applyProtection="1">
      <protection locked="0"/>
    </xf>
    <xf numFmtId="166" fontId="11" fillId="0" borderId="0" xfId="51" applyNumberFormat="1" applyFont="1" applyAlignment="1" applyProtection="1">
      <alignment horizontal="left"/>
      <protection locked="0"/>
    </xf>
    <xf numFmtId="166" fontId="11" fillId="0" borderId="0" xfId="51" applyNumberFormat="1" applyFont="1" applyProtection="1">
      <protection locked="0"/>
    </xf>
    <xf numFmtId="164" fontId="10" fillId="0" borderId="0" xfId="6" applyFont="1" applyAlignment="1" applyProtection="1">
      <protection locked="0"/>
    </xf>
    <xf numFmtId="167" fontId="11" fillId="0" borderId="0" xfId="51" applyNumberFormat="1" applyFont="1" applyAlignment="1" applyProtection="1">
      <alignment horizontal="left"/>
      <protection locked="0"/>
    </xf>
    <xf numFmtId="164" fontId="11" fillId="0" borderId="0" xfId="51" applyFont="1" applyProtection="1">
      <protection locked="0"/>
    </xf>
    <xf numFmtId="3" fontId="10" fillId="0" borderId="0" xfId="51" applyNumberFormat="1" applyFont="1" applyBorder="1" applyProtection="1">
      <protection locked="0"/>
    </xf>
    <xf numFmtId="164" fontId="11" fillId="0" borderId="0" xfId="35" applyFont="1"/>
    <xf numFmtId="3" fontId="11" fillId="0" borderId="2" xfId="51" applyNumberFormat="1" applyFont="1" applyBorder="1" applyProtection="1">
      <protection locked="0"/>
    </xf>
    <xf numFmtId="3" fontId="10" fillId="0" borderId="1" xfId="0" applyNumberFormat="1" applyFont="1" applyBorder="1"/>
    <xf numFmtId="164" fontId="10" fillId="0" borderId="0" xfId="100" applyFont="1" applyAlignment="1" applyProtection="1">
      <alignment horizontal="left"/>
      <protection locked="0"/>
    </xf>
    <xf numFmtId="164" fontId="10" fillId="0" borderId="0" xfId="100" applyFont="1"/>
    <xf numFmtId="164" fontId="10" fillId="0" borderId="0" xfId="100" applyFont="1" applyAlignment="1" applyProtection="1">
      <alignment horizontal="right"/>
      <protection locked="0"/>
    </xf>
    <xf numFmtId="3" fontId="10" fillId="0" borderId="0" xfId="100" applyNumberFormat="1" applyFont="1" applyProtection="1">
      <protection locked="0"/>
    </xf>
    <xf numFmtId="3" fontId="10" fillId="0" borderId="0" xfId="100" applyNumberFormat="1" applyFont="1"/>
    <xf numFmtId="165" fontId="10" fillId="0" borderId="0" xfId="100" applyNumberFormat="1" applyFont="1" applyAlignment="1" applyProtection="1">
      <alignment horizontal="left"/>
      <protection locked="0"/>
    </xf>
    <xf numFmtId="3" fontId="10" fillId="0" borderId="1" xfId="100" applyNumberFormat="1" applyFont="1" applyBorder="1" applyProtection="1">
      <protection locked="0"/>
    </xf>
    <xf numFmtId="3" fontId="10" fillId="0" borderId="1" xfId="100" applyNumberFormat="1" applyFont="1" applyBorder="1"/>
    <xf numFmtId="166" fontId="10" fillId="0" borderId="0" xfId="100" applyNumberFormat="1" applyFont="1" applyAlignment="1" applyProtection="1">
      <alignment horizontal="left"/>
      <protection locked="0"/>
    </xf>
    <xf numFmtId="166" fontId="10" fillId="0" borderId="0" xfId="100" applyNumberFormat="1" applyFont="1" applyProtection="1">
      <protection locked="0"/>
    </xf>
    <xf numFmtId="3" fontId="10" fillId="0" borderId="2" xfId="100" applyNumberFormat="1" applyFont="1" applyBorder="1" applyProtection="1">
      <protection locked="0"/>
    </xf>
    <xf numFmtId="3" fontId="10" fillId="0" borderId="0" xfId="100" applyNumberFormat="1" applyFont="1" applyBorder="1" applyProtection="1">
      <protection locked="0"/>
    </xf>
    <xf numFmtId="164" fontId="10" fillId="0" borderId="0" xfId="100" applyFont="1" applyProtection="1">
      <protection locked="0"/>
    </xf>
    <xf numFmtId="164" fontId="11" fillId="0" borderId="0" xfId="37" applyFont="1"/>
    <xf numFmtId="164" fontId="11" fillId="0" borderId="0" xfId="37" applyFont="1" applyAlignment="1" applyProtection="1">
      <alignment horizontal="centerContinuous"/>
      <protection locked="0"/>
    </xf>
    <xf numFmtId="164" fontId="11" fillId="0" borderId="0" xfId="37" applyFont="1" applyAlignment="1" applyProtection="1">
      <alignment horizontal="left"/>
      <protection locked="0"/>
    </xf>
    <xf numFmtId="164" fontId="11" fillId="0" borderId="0" xfId="37" applyFont="1" applyAlignment="1" applyProtection="1">
      <alignment horizontal="right"/>
      <protection locked="0"/>
    </xf>
    <xf numFmtId="3" fontId="11" fillId="0" borderId="0" xfId="37" applyNumberFormat="1" applyFont="1" applyProtection="1">
      <protection locked="0"/>
    </xf>
    <xf numFmtId="164" fontId="11" fillId="0" borderId="0" xfId="37" applyFont="1" applyProtection="1">
      <protection locked="0"/>
    </xf>
    <xf numFmtId="165" fontId="11" fillId="0" borderId="0" xfId="37" applyNumberFormat="1" applyFont="1" applyProtection="1">
      <protection locked="0"/>
    </xf>
    <xf numFmtId="3" fontId="11" fillId="0" borderId="0" xfId="37" applyNumberFormat="1" applyFont="1"/>
    <xf numFmtId="164" fontId="12" fillId="0" borderId="0" xfId="37" applyFont="1" applyAlignment="1" applyProtection="1">
      <alignment horizontal="left"/>
      <protection locked="0"/>
    </xf>
    <xf numFmtId="166" fontId="11" fillId="0" borderId="0" xfId="37" applyNumberFormat="1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165" fontId="11" fillId="0" borderId="0" xfId="37" applyNumberFormat="1" applyFont="1" applyAlignment="1" applyProtection="1">
      <alignment horizontal="left"/>
      <protection locked="0"/>
    </xf>
    <xf numFmtId="164" fontId="13" fillId="0" borderId="0" xfId="37" applyFont="1"/>
    <xf numFmtId="3" fontId="13" fillId="0" borderId="0" xfId="37" applyNumberFormat="1" applyFont="1"/>
    <xf numFmtId="165" fontId="13" fillId="0" borderId="0" xfId="37" applyNumberFormat="1" applyFont="1" applyProtection="1">
      <protection locked="0"/>
    </xf>
    <xf numFmtId="164" fontId="13" fillId="0" borderId="0" xfId="37" applyFont="1" applyAlignment="1" applyProtection="1">
      <alignment horizontal="left"/>
      <protection locked="0"/>
    </xf>
    <xf numFmtId="3" fontId="13" fillId="0" borderId="0" xfId="37" applyNumberFormat="1" applyFont="1" applyProtection="1">
      <protection locked="0"/>
    </xf>
    <xf numFmtId="164" fontId="13" fillId="0" borderId="0" xfId="37" applyFont="1" applyProtection="1">
      <protection locked="0"/>
    </xf>
    <xf numFmtId="164" fontId="10" fillId="0" borderId="0" xfId="36" applyFont="1" applyAlignment="1" applyProtection="1">
      <alignment horizontal="left"/>
      <protection locked="0"/>
    </xf>
    <xf numFmtId="164" fontId="10" fillId="0" borderId="0" xfId="36" applyFont="1" applyAlignment="1" applyProtection="1">
      <alignment horizontal="right"/>
      <protection locked="0"/>
    </xf>
    <xf numFmtId="164" fontId="10" fillId="0" borderId="0" xfId="36" applyFont="1"/>
    <xf numFmtId="166" fontId="10" fillId="0" borderId="0" xfId="36" applyNumberFormat="1" applyFont="1" applyAlignment="1" applyProtection="1">
      <alignment horizontal="right"/>
      <protection locked="0"/>
    </xf>
    <xf numFmtId="3" fontId="10" fillId="0" borderId="0" xfId="36" applyNumberFormat="1" applyFont="1" applyProtection="1">
      <protection locked="0"/>
    </xf>
    <xf numFmtId="10" fontId="10" fillId="0" borderId="0" xfId="36" applyNumberFormat="1" applyFont="1" applyProtection="1">
      <protection locked="0"/>
    </xf>
    <xf numFmtId="164" fontId="10" fillId="0" borderId="0" xfId="36" applyFont="1" applyProtection="1">
      <protection locked="0"/>
    </xf>
    <xf numFmtId="164" fontId="14" fillId="0" borderId="0" xfId="36" applyFont="1" applyProtection="1">
      <protection locked="0"/>
    </xf>
    <xf numFmtId="164" fontId="10" fillId="0" borderId="0" xfId="0" applyNumberFormat="1" applyFont="1"/>
    <xf numFmtId="164" fontId="10" fillId="0" borderId="0" xfId="36" applyFont="1" applyAlignment="1">
      <alignment horizontal="left"/>
    </xf>
    <xf numFmtId="3" fontId="10" fillId="0" borderId="0" xfId="36" applyNumberFormat="1" applyFont="1" applyAlignment="1" applyProtection="1">
      <protection locked="0"/>
    </xf>
    <xf numFmtId="164" fontId="10" fillId="0" borderId="0" xfId="83" applyFont="1" applyAlignment="1" applyProtection="1">
      <alignment horizontal="left"/>
      <protection locked="0"/>
    </xf>
    <xf numFmtId="3" fontId="10" fillId="0" borderId="0" xfId="36" applyNumberFormat="1" applyFont="1"/>
    <xf numFmtId="3" fontId="15" fillId="0" borderId="0" xfId="36" applyNumberFormat="1" applyFont="1" applyProtection="1">
      <protection locked="0"/>
    </xf>
    <xf numFmtId="164" fontId="10" fillId="0" borderId="0" xfId="58" applyFont="1" applyAlignment="1" applyProtection="1">
      <alignment horizontal="left"/>
      <protection locked="0"/>
    </xf>
    <xf numFmtId="164" fontId="10" fillId="0" borderId="0" xfId="58" applyFont="1"/>
    <xf numFmtId="164" fontId="10" fillId="0" borderId="0" xfId="58" applyFont="1" applyProtection="1">
      <protection locked="0"/>
    </xf>
    <xf numFmtId="3" fontId="10" fillId="0" borderId="0" xfId="58" applyNumberFormat="1" applyFont="1" applyProtection="1">
      <protection locked="0"/>
    </xf>
    <xf numFmtId="3" fontId="10" fillId="0" borderId="0" xfId="58" applyNumberFormat="1" applyFont="1"/>
    <xf numFmtId="3" fontId="10" fillId="0" borderId="0" xfId="59" applyNumberFormat="1" applyFont="1" applyProtection="1">
      <protection locked="0"/>
    </xf>
    <xf numFmtId="164" fontId="10" fillId="0" borderId="0" xfId="64" applyFont="1" applyAlignment="1" applyProtection="1">
      <alignment horizontal="left"/>
      <protection locked="0"/>
    </xf>
    <xf numFmtId="164" fontId="10" fillId="0" borderId="0" xfId="64" applyFont="1"/>
    <xf numFmtId="164" fontId="10" fillId="0" borderId="0" xfId="64" applyFont="1" applyProtection="1">
      <protection locked="0"/>
    </xf>
    <xf numFmtId="3" fontId="10" fillId="0" borderId="0" xfId="64" applyNumberFormat="1" applyFont="1" applyProtection="1">
      <protection locked="0"/>
    </xf>
    <xf numFmtId="3" fontId="10" fillId="0" borderId="0" xfId="64" applyNumberFormat="1" applyFont="1"/>
    <xf numFmtId="3" fontId="10" fillId="0" borderId="1" xfId="64" applyNumberFormat="1" applyFont="1" applyBorder="1" applyProtection="1">
      <protection locked="0"/>
    </xf>
    <xf numFmtId="3" fontId="10" fillId="0" borderId="0" xfId="65" applyNumberFormat="1" applyFont="1" applyProtection="1">
      <protection locked="0"/>
    </xf>
    <xf numFmtId="3" fontId="10" fillId="0" borderId="0" xfId="65" applyNumberFormat="1" applyFont="1" applyBorder="1" applyProtection="1">
      <protection locked="0"/>
    </xf>
    <xf numFmtId="164" fontId="11" fillId="0" borderId="0" xfId="66" applyFont="1" applyAlignment="1" applyProtection="1">
      <alignment horizontal="left"/>
      <protection locked="0"/>
    </xf>
    <xf numFmtId="164" fontId="11" fillId="0" borderId="0" xfId="66" applyFont="1"/>
    <xf numFmtId="164" fontId="11" fillId="0" borderId="0" xfId="66" applyFont="1" applyProtection="1">
      <protection locked="0"/>
    </xf>
    <xf numFmtId="164" fontId="10" fillId="0" borderId="0" xfId="66" applyFont="1"/>
    <xf numFmtId="3" fontId="11" fillId="0" borderId="0" xfId="66" applyNumberFormat="1" applyFont="1" applyProtection="1">
      <protection locked="0"/>
    </xf>
    <xf numFmtId="3" fontId="11" fillId="0" borderId="0" xfId="66" applyNumberFormat="1" applyFont="1"/>
    <xf numFmtId="3" fontId="11" fillId="0" borderId="1" xfId="66" applyNumberFormat="1" applyFont="1" applyBorder="1" applyProtection="1">
      <protection locked="0"/>
    </xf>
    <xf numFmtId="3" fontId="11" fillId="0" borderId="0" xfId="69" applyNumberFormat="1" applyFont="1" applyProtection="1">
      <protection locked="0"/>
    </xf>
    <xf numFmtId="164" fontId="14" fillId="0" borderId="0" xfId="66" applyFont="1" applyAlignment="1" applyProtection="1">
      <alignment horizontal="left"/>
      <protection locked="0"/>
    </xf>
    <xf numFmtId="164" fontId="14" fillId="0" borderId="0" xfId="66" applyFont="1" applyProtection="1">
      <protection locked="0"/>
    </xf>
    <xf numFmtId="164" fontId="11" fillId="0" borderId="0" xfId="72" applyFont="1" applyAlignment="1" applyProtection="1">
      <alignment horizontal="left"/>
      <protection locked="0"/>
    </xf>
    <xf numFmtId="164" fontId="11" fillId="0" borderId="0" xfId="72" applyFont="1"/>
    <xf numFmtId="164" fontId="11" fillId="0" borderId="0" xfId="72" applyFont="1" applyProtection="1">
      <protection locked="0"/>
    </xf>
    <xf numFmtId="164" fontId="10" fillId="0" borderId="0" xfId="72" applyFont="1"/>
    <xf numFmtId="3" fontId="11" fillId="0" borderId="0" xfId="72" applyNumberFormat="1" applyFont="1" applyProtection="1">
      <protection locked="0"/>
    </xf>
    <xf numFmtId="3" fontId="11" fillId="0" borderId="0" xfId="72" applyNumberFormat="1" applyFont="1"/>
    <xf numFmtId="3" fontId="10" fillId="0" borderId="0" xfId="72" applyNumberFormat="1" applyFont="1"/>
    <xf numFmtId="164" fontId="10" fillId="0" borderId="0" xfId="14" applyFont="1" applyAlignment="1" applyProtection="1">
      <alignment horizontal="left"/>
      <protection locked="0"/>
    </xf>
    <xf numFmtId="3" fontId="11" fillId="0" borderId="2" xfId="72" applyNumberFormat="1" applyFont="1" applyBorder="1" applyProtection="1">
      <protection locked="0"/>
    </xf>
    <xf numFmtId="3" fontId="11" fillId="0" borderId="0" xfId="73" applyNumberFormat="1" applyFont="1" applyProtection="1">
      <protection locked="0"/>
    </xf>
    <xf numFmtId="3" fontId="11" fillId="0" borderId="0" xfId="73" applyNumberFormat="1" applyFont="1" applyBorder="1" applyProtection="1">
      <protection locked="0"/>
    </xf>
    <xf numFmtId="164" fontId="10" fillId="0" borderId="0" xfId="76" applyFont="1" applyAlignment="1" applyProtection="1">
      <alignment horizontal="left"/>
      <protection locked="0"/>
    </xf>
    <xf numFmtId="164" fontId="10" fillId="0" borderId="0" xfId="76" applyFont="1"/>
    <xf numFmtId="164" fontId="10" fillId="0" borderId="0" xfId="76" applyFont="1" applyProtection="1">
      <protection locked="0"/>
    </xf>
    <xf numFmtId="3" fontId="10" fillId="0" borderId="0" xfId="76" applyNumberFormat="1" applyFont="1" applyProtection="1">
      <protection locked="0"/>
    </xf>
    <xf numFmtId="3" fontId="10" fillId="0" borderId="0" xfId="76" applyNumberFormat="1" applyFont="1"/>
    <xf numFmtId="3" fontId="10" fillId="0" borderId="0" xfId="77" applyNumberFormat="1" applyFont="1" applyProtection="1">
      <protection locked="0"/>
    </xf>
    <xf numFmtId="3" fontId="10" fillId="0" borderId="0" xfId="76" applyNumberFormat="1" applyFont="1" applyBorder="1" applyProtection="1">
      <protection locked="0"/>
    </xf>
    <xf numFmtId="3" fontId="10" fillId="0" borderId="0" xfId="77" applyNumberFormat="1" applyFont="1" applyBorder="1" applyProtection="1">
      <protection locked="0"/>
    </xf>
    <xf numFmtId="164" fontId="10" fillId="0" borderId="0" xfId="76" quotePrefix="1" applyFont="1"/>
    <xf numFmtId="164" fontId="10" fillId="0" borderId="0" xfId="78" applyFont="1" applyAlignment="1" applyProtection="1">
      <alignment horizontal="left"/>
      <protection locked="0"/>
    </xf>
    <xf numFmtId="164" fontId="10" fillId="0" borderId="0" xfId="78" applyFont="1"/>
    <xf numFmtId="164" fontId="10" fillId="0" borderId="0" xfId="78" applyFont="1" applyProtection="1">
      <protection locked="0"/>
    </xf>
    <xf numFmtId="3" fontId="10" fillId="0" borderId="0" xfId="78" applyNumberFormat="1" applyFont="1" applyProtection="1">
      <protection locked="0"/>
    </xf>
    <xf numFmtId="165" fontId="10" fillId="0" borderId="0" xfId="78" applyNumberFormat="1" applyFont="1" applyAlignment="1" applyProtection="1">
      <alignment horizontal="left"/>
      <protection locked="0"/>
    </xf>
    <xf numFmtId="3" fontId="10" fillId="0" borderId="0" xfId="78" applyNumberFormat="1" applyFont="1"/>
    <xf numFmtId="166" fontId="10" fillId="0" borderId="0" xfId="78" applyNumberFormat="1" applyFont="1" applyAlignment="1" applyProtection="1">
      <alignment horizontal="left"/>
      <protection locked="0"/>
    </xf>
    <xf numFmtId="3" fontId="10" fillId="0" borderId="0" xfId="81" applyNumberFormat="1" applyFont="1" applyProtection="1">
      <protection locked="0"/>
    </xf>
    <xf numFmtId="3" fontId="10" fillId="0" borderId="0" xfId="78" applyNumberFormat="1" applyFont="1" applyBorder="1" applyProtection="1">
      <protection locked="0"/>
    </xf>
    <xf numFmtId="3" fontId="10" fillId="0" borderId="0" xfId="81" applyNumberFormat="1" applyFont="1" applyBorder="1" applyProtection="1">
      <protection locked="0"/>
    </xf>
    <xf numFmtId="164" fontId="10" fillId="0" borderId="0" xfId="88" applyFont="1" applyAlignment="1" applyProtection="1">
      <alignment horizontal="left"/>
      <protection locked="0"/>
    </xf>
    <xf numFmtId="164" fontId="10" fillId="0" borderId="0" xfId="88" applyFont="1"/>
    <xf numFmtId="164" fontId="10" fillId="0" borderId="0" xfId="88" applyFont="1" applyProtection="1">
      <protection locked="0"/>
    </xf>
    <xf numFmtId="3" fontId="10" fillId="0" borderId="0" xfId="88" applyNumberFormat="1" applyFont="1" applyProtection="1">
      <protection locked="0"/>
    </xf>
    <xf numFmtId="3" fontId="10" fillId="0" borderId="0" xfId="88" applyNumberFormat="1" applyFont="1"/>
    <xf numFmtId="3" fontId="10" fillId="0" borderId="1" xfId="88" applyNumberFormat="1" applyFont="1" applyBorder="1" applyProtection="1">
      <protection locked="0"/>
    </xf>
    <xf numFmtId="3" fontId="10" fillId="0" borderId="0" xfId="91" applyNumberFormat="1" applyFont="1" applyProtection="1">
      <protection locked="0"/>
    </xf>
    <xf numFmtId="3" fontId="10" fillId="0" borderId="0" xfId="91" applyNumberFormat="1" applyFont="1" applyBorder="1" applyProtection="1">
      <protection locked="0"/>
    </xf>
    <xf numFmtId="164" fontId="10" fillId="0" borderId="0" xfId="64" applyFont="1" applyBorder="1" applyProtection="1">
      <protection locked="0"/>
    </xf>
    <xf numFmtId="164" fontId="10" fillId="0" borderId="0" xfId="98" applyFont="1" applyAlignment="1" applyProtection="1">
      <alignment horizontal="left"/>
      <protection locked="0"/>
    </xf>
    <xf numFmtId="164" fontId="10" fillId="0" borderId="0" xfId="98" applyFont="1"/>
    <xf numFmtId="164" fontId="10" fillId="0" borderId="0" xfId="98" applyFont="1" applyProtection="1">
      <protection locked="0"/>
    </xf>
    <xf numFmtId="3" fontId="10" fillId="0" borderId="0" xfId="98" applyNumberFormat="1" applyFont="1" applyProtection="1">
      <protection locked="0"/>
    </xf>
    <xf numFmtId="3" fontId="10" fillId="0" borderId="0" xfId="98" applyNumberFormat="1" applyFont="1"/>
    <xf numFmtId="3" fontId="10" fillId="0" borderId="0" xfId="98" applyNumberFormat="1" applyFont="1" applyBorder="1" applyProtection="1">
      <protection locked="0"/>
    </xf>
    <xf numFmtId="3" fontId="10" fillId="0" borderId="0" xfId="99" applyNumberFormat="1" applyFont="1" applyProtection="1">
      <protection locked="0"/>
    </xf>
    <xf numFmtId="164" fontId="10" fillId="0" borderId="0" xfId="98" quotePrefix="1" applyFont="1"/>
    <xf numFmtId="164" fontId="10" fillId="0" borderId="0" xfId="89" applyFont="1" applyAlignment="1" applyProtection="1">
      <alignment horizontal="left"/>
      <protection locked="0"/>
    </xf>
    <xf numFmtId="164" fontId="10" fillId="0" borderId="0" xfId="89" applyFont="1"/>
    <xf numFmtId="164" fontId="10" fillId="0" borderId="0" xfId="89" applyFont="1" applyProtection="1">
      <protection locked="0"/>
    </xf>
    <xf numFmtId="3" fontId="10" fillId="0" borderId="0" xfId="89" applyNumberFormat="1" applyFont="1" applyProtection="1">
      <protection locked="0"/>
    </xf>
    <xf numFmtId="3" fontId="10" fillId="0" borderId="0" xfId="89" applyNumberFormat="1" applyFont="1"/>
    <xf numFmtId="3" fontId="10" fillId="0" borderId="1" xfId="89" applyNumberFormat="1" applyFont="1" applyBorder="1" applyProtection="1">
      <protection locked="0"/>
    </xf>
    <xf numFmtId="3" fontId="10" fillId="0" borderId="0" xfId="90" applyNumberFormat="1" applyFont="1" applyProtection="1">
      <protection locked="0"/>
    </xf>
    <xf numFmtId="3" fontId="10" fillId="0" borderId="0" xfId="90" applyNumberFormat="1" applyFont="1" applyBorder="1" applyProtection="1">
      <protection locked="0"/>
    </xf>
    <xf numFmtId="164" fontId="10" fillId="0" borderId="0" xfId="101" applyFont="1" applyAlignment="1" applyProtection="1">
      <alignment horizontal="left"/>
      <protection locked="0"/>
    </xf>
    <xf numFmtId="164" fontId="10" fillId="0" borderId="0" xfId="101" applyFont="1"/>
    <xf numFmtId="164" fontId="10" fillId="0" borderId="0" xfId="101" applyFont="1" applyProtection="1">
      <protection locked="0"/>
    </xf>
    <xf numFmtId="3" fontId="10" fillId="0" borderId="0" xfId="101" applyNumberFormat="1" applyFont="1" applyProtection="1">
      <protection locked="0"/>
    </xf>
    <xf numFmtId="3" fontId="10" fillId="0" borderId="0" xfId="101" applyNumberFormat="1" applyFont="1"/>
    <xf numFmtId="3" fontId="10" fillId="0" borderId="0" xfId="102" applyNumberFormat="1" applyFont="1" applyProtection="1">
      <protection locked="0"/>
    </xf>
    <xf numFmtId="3" fontId="10" fillId="0" borderId="0" xfId="102" applyNumberFormat="1" applyFont="1" applyBorder="1" applyProtection="1">
      <protection locked="0"/>
    </xf>
    <xf numFmtId="164" fontId="10" fillId="0" borderId="0" xfId="38" applyFont="1" applyAlignment="1" applyProtection="1">
      <alignment horizontal="left"/>
      <protection locked="0"/>
    </xf>
    <xf numFmtId="164" fontId="10" fillId="0" borderId="0" xfId="38" applyFont="1"/>
    <xf numFmtId="164" fontId="10" fillId="0" borderId="0" xfId="38" applyFont="1" applyAlignment="1" applyProtection="1">
      <alignment horizontal="right"/>
      <protection locked="0"/>
    </xf>
    <xf numFmtId="3" fontId="10" fillId="0" borderId="0" xfId="38" applyNumberFormat="1" applyFont="1" applyProtection="1">
      <protection locked="0"/>
    </xf>
    <xf numFmtId="3" fontId="10" fillId="0" borderId="1" xfId="38" applyNumberFormat="1" applyFont="1" applyBorder="1" applyProtection="1">
      <protection locked="0"/>
    </xf>
    <xf numFmtId="3" fontId="10" fillId="0" borderId="0" xfId="38" applyNumberFormat="1" applyFont="1"/>
    <xf numFmtId="165" fontId="10" fillId="0" borderId="0" xfId="38" applyNumberFormat="1" applyFont="1" applyAlignment="1" applyProtection="1">
      <alignment horizontal="left"/>
      <protection locked="0"/>
    </xf>
    <xf numFmtId="166" fontId="10" fillId="0" borderId="0" xfId="38" applyNumberFormat="1" applyFont="1" applyProtection="1">
      <protection locked="0"/>
    </xf>
    <xf numFmtId="3" fontId="10" fillId="0" borderId="2" xfId="38" applyNumberFormat="1" applyFont="1" applyBorder="1" applyProtection="1">
      <protection locked="0"/>
    </xf>
    <xf numFmtId="3" fontId="10" fillId="0" borderId="0" xfId="38" applyNumberFormat="1" applyFont="1" applyBorder="1" applyProtection="1">
      <protection locked="0"/>
    </xf>
    <xf numFmtId="164" fontId="10" fillId="0" borderId="0" xfId="38" applyFont="1" applyAlignment="1">
      <alignment horizontal="left"/>
    </xf>
    <xf numFmtId="166" fontId="10" fillId="0" borderId="0" xfId="38" applyNumberFormat="1" applyFont="1" applyAlignment="1" applyProtection="1">
      <alignment horizontal="left"/>
      <protection locked="0"/>
    </xf>
    <xf numFmtId="167" fontId="10" fillId="0" borderId="0" xfId="38" applyNumberFormat="1" applyFont="1" applyAlignment="1">
      <alignment horizontal="left"/>
    </xf>
    <xf numFmtId="167" fontId="10" fillId="0" borderId="0" xfId="38" applyNumberFormat="1" applyFont="1" applyAlignment="1" applyProtection="1">
      <alignment horizontal="left"/>
      <protection locked="0"/>
    </xf>
    <xf numFmtId="164" fontId="10" fillId="0" borderId="0" xfId="38" applyFont="1" applyProtection="1">
      <protection locked="0"/>
    </xf>
    <xf numFmtId="164" fontId="10" fillId="0" borderId="0" xfId="70" applyFont="1"/>
    <xf numFmtId="3" fontId="10" fillId="0" borderId="0" xfId="38" applyNumberFormat="1" applyFont="1" applyAlignment="1" applyProtection="1">
      <protection locked="0"/>
    </xf>
    <xf numFmtId="164" fontId="10" fillId="0" borderId="0" xfId="2" applyFont="1" applyAlignment="1" applyProtection="1">
      <alignment horizontal="left"/>
      <protection locked="0"/>
    </xf>
    <xf numFmtId="164" fontId="10" fillId="0" borderId="0" xfId="2" applyFont="1"/>
    <xf numFmtId="164" fontId="10" fillId="0" borderId="0" xfId="2" applyFont="1" applyAlignment="1" applyProtection="1">
      <alignment horizontal="right"/>
      <protection locked="0"/>
    </xf>
    <xf numFmtId="3" fontId="10" fillId="0" borderId="0" xfId="2" applyNumberFormat="1" applyFont="1" applyProtection="1">
      <protection locked="0"/>
    </xf>
    <xf numFmtId="165" fontId="10" fillId="0" borderId="0" xfId="2" applyNumberFormat="1" applyFont="1" applyAlignment="1" applyProtection="1">
      <alignment horizontal="left"/>
      <protection locked="0"/>
    </xf>
    <xf numFmtId="3" fontId="10" fillId="0" borderId="0" xfId="2" applyNumberFormat="1" applyFont="1"/>
    <xf numFmtId="3" fontId="10" fillId="0" borderId="1" xfId="2" applyNumberFormat="1" applyFont="1" applyBorder="1"/>
    <xf numFmtId="3" fontId="10" fillId="0" borderId="2" xfId="2" applyNumberFormat="1" applyFont="1" applyBorder="1"/>
    <xf numFmtId="164" fontId="10" fillId="0" borderId="0" xfId="49" applyFont="1" applyAlignment="1" applyProtection="1">
      <alignment horizontal="left"/>
      <protection locked="0"/>
    </xf>
    <xf numFmtId="167" fontId="10" fillId="0" borderId="0" xfId="2" applyNumberFormat="1" applyFont="1" applyAlignment="1" applyProtection="1">
      <alignment horizontal="left"/>
      <protection locked="0"/>
    </xf>
    <xf numFmtId="3" fontId="10" fillId="0" borderId="0" xfId="3" applyNumberFormat="1" applyFont="1" applyProtection="1">
      <protection locked="0"/>
    </xf>
    <xf numFmtId="3" fontId="10" fillId="0" borderId="0" xfId="2" applyNumberFormat="1" applyFont="1" applyBorder="1" applyProtection="1">
      <protection locked="0"/>
    </xf>
    <xf numFmtId="164" fontId="10" fillId="0" borderId="0" xfId="4" applyFont="1" applyAlignment="1" applyProtection="1">
      <alignment horizontal="left"/>
      <protection locked="0"/>
    </xf>
    <xf numFmtId="164" fontId="10" fillId="0" borderId="0" xfId="4" applyFont="1"/>
    <xf numFmtId="164" fontId="10" fillId="0" borderId="0" xfId="1" applyFont="1" applyAlignment="1" applyProtection="1">
      <alignment horizontal="right"/>
      <protection locked="0"/>
    </xf>
    <xf numFmtId="3" fontId="10" fillId="0" borderId="0" xfId="4" applyNumberFormat="1" applyFont="1" applyProtection="1">
      <protection locked="0"/>
    </xf>
    <xf numFmtId="3" fontId="10" fillId="0" borderId="0" xfId="4" applyNumberFormat="1" applyFont="1"/>
    <xf numFmtId="3" fontId="10" fillId="0" borderId="0" xfId="5" applyNumberFormat="1" applyFont="1" applyProtection="1">
      <protection locked="0"/>
    </xf>
    <xf numFmtId="3" fontId="10" fillId="0" borderId="0" xfId="5" applyNumberFormat="1" applyFont="1" applyBorder="1" applyProtection="1">
      <protection locked="0"/>
    </xf>
    <xf numFmtId="167" fontId="10" fillId="0" borderId="0" xfId="4" applyNumberFormat="1" applyFont="1" applyAlignment="1" applyProtection="1">
      <alignment horizontal="left"/>
      <protection locked="0"/>
    </xf>
    <xf numFmtId="164" fontId="10" fillId="0" borderId="0" xfId="14" applyFont="1"/>
    <xf numFmtId="164" fontId="10" fillId="0" borderId="0" xfId="14" applyFont="1" applyProtection="1">
      <protection locked="0"/>
    </xf>
    <xf numFmtId="3" fontId="10" fillId="0" borderId="0" xfId="14" applyNumberFormat="1" applyFont="1" applyProtection="1">
      <protection locked="0"/>
    </xf>
    <xf numFmtId="3" fontId="10" fillId="0" borderId="0" xfId="14" applyNumberFormat="1" applyFont="1"/>
    <xf numFmtId="3" fontId="10" fillId="0" borderId="1" xfId="14" applyNumberFormat="1" applyFont="1" applyBorder="1"/>
    <xf numFmtId="3" fontId="10" fillId="0" borderId="2" xfId="14" applyNumberFormat="1" applyFont="1" applyBorder="1"/>
    <xf numFmtId="3" fontId="10" fillId="0" borderId="0" xfId="15" applyNumberFormat="1" applyFont="1" applyProtection="1">
      <protection locked="0"/>
    </xf>
    <xf numFmtId="167" fontId="10" fillId="0" borderId="0" xfId="14" applyNumberFormat="1" applyFont="1" applyAlignment="1" applyProtection="1">
      <alignment horizontal="left"/>
      <protection locked="0"/>
    </xf>
    <xf numFmtId="3" fontId="10" fillId="0" borderId="0" xfId="14" applyNumberFormat="1" applyFont="1" applyBorder="1" applyProtection="1">
      <protection locked="0"/>
    </xf>
    <xf numFmtId="164" fontId="10" fillId="0" borderId="0" xfId="23" applyFont="1" applyAlignment="1" applyProtection="1">
      <alignment horizontal="left"/>
      <protection locked="0"/>
    </xf>
    <xf numFmtId="164" fontId="10" fillId="0" borderId="0" xfId="23" applyFont="1"/>
    <xf numFmtId="164" fontId="10" fillId="0" borderId="0" xfId="23" applyFont="1" applyProtection="1">
      <protection locked="0"/>
    </xf>
    <xf numFmtId="3" fontId="10" fillId="0" borderId="0" xfId="23" applyNumberFormat="1" applyFont="1" applyProtection="1">
      <protection locked="0"/>
    </xf>
    <xf numFmtId="3" fontId="10" fillId="0" borderId="0" xfId="23" applyNumberFormat="1" applyFont="1"/>
    <xf numFmtId="3" fontId="10" fillId="0" borderId="0" xfId="24" applyNumberFormat="1" applyFont="1" applyProtection="1">
      <protection locked="0"/>
    </xf>
    <xf numFmtId="3" fontId="10" fillId="0" borderId="0" xfId="24" applyNumberFormat="1" applyFont="1" applyBorder="1" applyProtection="1">
      <protection locked="0"/>
    </xf>
    <xf numFmtId="3" fontId="10" fillId="0" borderId="0" xfId="23" applyNumberFormat="1" applyFont="1" applyBorder="1" applyProtection="1">
      <protection locked="0"/>
    </xf>
    <xf numFmtId="164" fontId="10" fillId="0" borderId="0" xfId="23" quotePrefix="1" applyFont="1"/>
    <xf numFmtId="164" fontId="10" fillId="0" borderId="0" xfId="52" applyFont="1" applyAlignment="1" applyProtection="1">
      <alignment horizontal="left"/>
      <protection locked="0"/>
    </xf>
    <xf numFmtId="164" fontId="10" fillId="0" borderId="0" xfId="52" applyFont="1"/>
    <xf numFmtId="164" fontId="10" fillId="0" borderId="0" xfId="52" applyFont="1" applyProtection="1">
      <protection locked="0"/>
    </xf>
    <xf numFmtId="3" fontId="10" fillId="0" borderId="0" xfId="52" applyNumberFormat="1" applyFont="1" applyProtection="1">
      <protection locked="0"/>
    </xf>
    <xf numFmtId="3" fontId="10" fillId="0" borderId="0" xfId="52" applyNumberFormat="1" applyFont="1"/>
    <xf numFmtId="164" fontId="10" fillId="0" borderId="0" xfId="47" applyFont="1"/>
    <xf numFmtId="3" fontId="10" fillId="0" borderId="1" xfId="52" applyNumberFormat="1" applyFont="1" applyBorder="1" applyProtection="1">
      <protection locked="0"/>
    </xf>
    <xf numFmtId="3" fontId="10" fillId="0" borderId="2" xfId="52" applyNumberFormat="1" applyFont="1" applyBorder="1" applyProtection="1">
      <protection locked="0"/>
    </xf>
    <xf numFmtId="166" fontId="10" fillId="0" borderId="0" xfId="52" applyNumberFormat="1" applyFont="1" applyAlignment="1" applyProtection="1">
      <alignment horizontal="left"/>
      <protection locked="0"/>
    </xf>
    <xf numFmtId="3" fontId="10" fillId="0" borderId="0" xfId="53" applyNumberFormat="1" applyFont="1" applyProtection="1">
      <protection locked="0"/>
    </xf>
    <xf numFmtId="3" fontId="10" fillId="0" borderId="0" xfId="53" applyNumberFormat="1" applyFont="1" applyBorder="1" applyProtection="1">
      <protection locked="0"/>
    </xf>
    <xf numFmtId="164" fontId="10" fillId="0" borderId="0" xfId="41" applyFont="1"/>
    <xf numFmtId="164" fontId="10" fillId="0" borderId="0" xfId="41" applyFont="1" applyAlignment="1" applyProtection="1">
      <alignment horizontal="right"/>
      <protection locked="0"/>
    </xf>
    <xf numFmtId="3" fontId="10" fillId="0" borderId="0" xfId="41" applyNumberFormat="1" applyFont="1" applyProtection="1">
      <protection locked="0"/>
    </xf>
    <xf numFmtId="3" fontId="10" fillId="0" borderId="0" xfId="41" applyNumberFormat="1" applyFont="1"/>
    <xf numFmtId="164" fontId="10" fillId="0" borderId="0" xfId="41" applyFont="1" applyAlignment="1">
      <alignment horizontal="left"/>
    </xf>
    <xf numFmtId="165" fontId="10" fillId="0" borderId="0" xfId="41" applyNumberFormat="1" applyFont="1" applyAlignment="1" applyProtection="1">
      <alignment horizontal="left"/>
      <protection locked="0"/>
    </xf>
    <xf numFmtId="3" fontId="10" fillId="0" borderId="1" xfId="41" applyNumberFormat="1" applyFont="1" applyBorder="1" applyProtection="1">
      <protection locked="0"/>
    </xf>
    <xf numFmtId="3" fontId="10" fillId="0" borderId="2" xfId="41" applyNumberFormat="1" applyFont="1" applyBorder="1" applyProtection="1">
      <protection locked="0"/>
    </xf>
    <xf numFmtId="166" fontId="10" fillId="0" borderId="0" xfId="41" applyNumberFormat="1" applyFont="1" applyAlignment="1" applyProtection="1">
      <alignment horizontal="left"/>
      <protection locked="0"/>
    </xf>
    <xf numFmtId="3" fontId="10" fillId="0" borderId="0" xfId="41" applyNumberFormat="1" applyFont="1" applyBorder="1" applyProtection="1">
      <protection locked="0"/>
    </xf>
    <xf numFmtId="167" fontId="10" fillId="0" borderId="0" xfId="41" applyNumberFormat="1" applyFont="1" applyAlignment="1" applyProtection="1">
      <alignment horizontal="left"/>
      <protection locked="0"/>
    </xf>
    <xf numFmtId="164" fontId="10" fillId="0" borderId="0" xfId="41" applyFont="1" applyProtection="1">
      <protection locked="0"/>
    </xf>
    <xf numFmtId="167" fontId="10" fillId="0" borderId="0" xfId="41" applyNumberFormat="1" applyFont="1" applyAlignment="1">
      <alignment horizontal="left"/>
    </xf>
    <xf numFmtId="164" fontId="10" fillId="0" borderId="0" xfId="75" applyFont="1" applyAlignment="1" applyProtection="1">
      <alignment horizontal="left"/>
      <protection locked="0"/>
    </xf>
    <xf numFmtId="164" fontId="10" fillId="0" borderId="0" xfId="75" applyFont="1"/>
    <xf numFmtId="164" fontId="10" fillId="0" borderId="0" xfId="75" applyFont="1" applyAlignment="1" applyProtection="1">
      <alignment horizontal="right"/>
      <protection locked="0"/>
    </xf>
    <xf numFmtId="3" fontId="10" fillId="0" borderId="0" xfId="75" applyNumberFormat="1" applyFont="1" applyProtection="1">
      <protection locked="0"/>
    </xf>
    <xf numFmtId="3" fontId="10" fillId="0" borderId="0" xfId="75" applyNumberFormat="1" applyFont="1"/>
    <xf numFmtId="164" fontId="10" fillId="0" borderId="0" xfId="75" applyFont="1" applyAlignment="1">
      <alignment horizontal="left"/>
    </xf>
    <xf numFmtId="165" fontId="10" fillId="0" borderId="0" xfId="75" applyNumberFormat="1" applyFont="1" applyAlignment="1" applyProtection="1">
      <alignment horizontal="left"/>
      <protection locked="0"/>
    </xf>
    <xf numFmtId="3" fontId="10" fillId="0" borderId="1" xfId="75" applyNumberFormat="1" applyFont="1" applyBorder="1" applyProtection="1">
      <protection locked="0"/>
    </xf>
    <xf numFmtId="3" fontId="10" fillId="0" borderId="2" xfId="75" applyNumberFormat="1" applyFont="1" applyBorder="1" applyProtection="1">
      <protection locked="0"/>
    </xf>
    <xf numFmtId="3" fontId="10" fillId="0" borderId="0" xfId="75" applyNumberFormat="1" applyFont="1" applyBorder="1" applyProtection="1">
      <protection locked="0"/>
    </xf>
    <xf numFmtId="166" fontId="10" fillId="0" borderId="0" xfId="75" applyNumberFormat="1" applyFont="1" applyAlignment="1" applyProtection="1">
      <alignment horizontal="left"/>
      <protection locked="0"/>
    </xf>
    <xf numFmtId="166" fontId="10" fillId="0" borderId="0" xfId="75" applyNumberFormat="1" applyFont="1" applyProtection="1">
      <protection locked="0"/>
    </xf>
    <xf numFmtId="164" fontId="10" fillId="0" borderId="0" xfId="75" applyFont="1" applyProtection="1">
      <protection locked="0"/>
    </xf>
    <xf numFmtId="3" fontId="10" fillId="0" borderId="0" xfId="75" applyNumberFormat="1" applyFont="1" applyBorder="1"/>
    <xf numFmtId="164" fontId="10" fillId="0" borderId="0" xfId="95" applyFont="1" applyAlignment="1" applyProtection="1">
      <alignment horizontal="left"/>
      <protection locked="0"/>
    </xf>
    <xf numFmtId="164" fontId="10" fillId="0" borderId="0" xfId="95" applyFont="1"/>
    <xf numFmtId="164" fontId="10" fillId="0" borderId="0" xfId="95" applyFont="1" applyAlignment="1" applyProtection="1">
      <alignment horizontal="right"/>
      <protection locked="0"/>
    </xf>
    <xf numFmtId="3" fontId="10" fillId="0" borderId="0" xfId="95" applyNumberFormat="1" applyFont="1" applyProtection="1">
      <protection locked="0"/>
    </xf>
    <xf numFmtId="3" fontId="10" fillId="0" borderId="0" xfId="95" applyNumberFormat="1" applyFont="1"/>
    <xf numFmtId="164" fontId="10" fillId="0" borderId="0" xfId="95" applyFont="1" applyAlignment="1">
      <alignment horizontal="left"/>
    </xf>
    <xf numFmtId="165" fontId="10" fillId="0" borderId="0" xfId="95" applyNumberFormat="1" applyFont="1" applyAlignment="1" applyProtection="1">
      <alignment horizontal="left"/>
      <protection locked="0"/>
    </xf>
    <xf numFmtId="3" fontId="10" fillId="0" borderId="1" xfId="95" applyNumberFormat="1" applyFont="1" applyBorder="1"/>
    <xf numFmtId="3" fontId="10" fillId="0" borderId="2" xfId="95" applyNumberFormat="1" applyFont="1" applyBorder="1"/>
    <xf numFmtId="3" fontId="10" fillId="0" borderId="1" xfId="95" applyNumberFormat="1" applyFont="1" applyBorder="1" applyProtection="1">
      <protection locked="0"/>
    </xf>
    <xf numFmtId="3" fontId="10" fillId="0" borderId="2" xfId="95" applyNumberFormat="1" applyFont="1" applyBorder="1" applyProtection="1">
      <protection locked="0"/>
    </xf>
    <xf numFmtId="166" fontId="10" fillId="0" borderId="0" xfId="95" applyNumberFormat="1" applyFont="1" applyProtection="1">
      <protection locked="0"/>
    </xf>
    <xf numFmtId="3" fontId="10" fillId="0" borderId="0" xfId="95" applyNumberFormat="1" applyFont="1" applyBorder="1" applyProtection="1">
      <protection locked="0"/>
    </xf>
    <xf numFmtId="164" fontId="10" fillId="0" borderId="0" xfId="95" applyFont="1" applyProtection="1">
      <protection locked="0"/>
    </xf>
    <xf numFmtId="164" fontId="10" fillId="0" borderId="0" xfId="104" applyFont="1" applyAlignment="1" applyProtection="1">
      <alignment horizontal="left"/>
      <protection locked="0"/>
    </xf>
    <xf numFmtId="164" fontId="10" fillId="0" borderId="0" xfId="104" applyFont="1"/>
    <xf numFmtId="164" fontId="10" fillId="0" borderId="0" xfId="104" applyFont="1" applyAlignment="1" applyProtection="1">
      <alignment horizontal="right"/>
      <protection locked="0"/>
    </xf>
    <xf numFmtId="3" fontId="10" fillId="0" borderId="0" xfId="104" applyNumberFormat="1" applyFont="1" applyProtection="1">
      <protection locked="0"/>
    </xf>
    <xf numFmtId="3" fontId="10" fillId="0" borderId="0" xfId="104" applyNumberFormat="1" applyFont="1"/>
    <xf numFmtId="165" fontId="10" fillId="0" borderId="0" xfId="104" applyNumberFormat="1" applyFont="1" applyAlignment="1" applyProtection="1">
      <alignment horizontal="left"/>
      <protection locked="0"/>
    </xf>
    <xf numFmtId="164" fontId="10" fillId="0" borderId="0" xfId="104" quotePrefix="1" applyFont="1" applyAlignment="1" applyProtection="1">
      <alignment horizontal="left"/>
      <protection locked="0"/>
    </xf>
    <xf numFmtId="3" fontId="10" fillId="0" borderId="1" xfId="104" applyNumberFormat="1" applyFont="1" applyBorder="1" applyProtection="1">
      <protection locked="0"/>
    </xf>
    <xf numFmtId="3" fontId="10" fillId="0" borderId="2" xfId="104" applyNumberFormat="1" applyFont="1" applyBorder="1" applyProtection="1">
      <protection locked="0"/>
    </xf>
    <xf numFmtId="166" fontId="10" fillId="0" borderId="0" xfId="104" applyNumberFormat="1" applyFont="1" applyAlignment="1" applyProtection="1">
      <alignment horizontal="left"/>
      <protection locked="0"/>
    </xf>
    <xf numFmtId="167" fontId="10" fillId="0" borderId="0" xfId="104" applyNumberFormat="1" applyFont="1" applyAlignment="1">
      <alignment horizontal="left"/>
    </xf>
    <xf numFmtId="3" fontId="10" fillId="0" borderId="0" xfId="104" applyNumberFormat="1" applyFont="1" applyBorder="1"/>
    <xf numFmtId="164" fontId="10" fillId="0" borderId="0" xfId="104" applyFont="1" applyProtection="1">
      <protection locked="0"/>
    </xf>
    <xf numFmtId="3" fontId="10" fillId="0" borderId="0" xfId="105" applyNumberFormat="1" applyFont="1" applyBorder="1"/>
    <xf numFmtId="3" fontId="10" fillId="0" borderId="2" xfId="105" applyNumberFormat="1" applyFont="1" applyBorder="1" applyProtection="1">
      <protection locked="0"/>
    </xf>
    <xf numFmtId="3" fontId="10" fillId="0" borderId="0" xfId="105" applyNumberFormat="1" applyFont="1" applyBorder="1" applyAlignment="1"/>
    <xf numFmtId="3" fontId="10" fillId="0" borderId="2" xfId="105" applyNumberFormat="1" applyFont="1" applyBorder="1" applyAlignment="1" applyProtection="1">
      <protection locked="0"/>
    </xf>
    <xf numFmtId="164" fontId="10" fillId="0" borderId="0" xfId="105" applyFont="1" applyAlignment="1" applyProtection="1">
      <alignment horizontal="left"/>
      <protection locked="0"/>
    </xf>
    <xf numFmtId="164" fontId="10" fillId="0" borderId="0" xfId="105" applyFont="1"/>
    <xf numFmtId="164" fontId="10" fillId="0" borderId="0" xfId="105" applyFont="1" applyAlignment="1" applyProtection="1">
      <alignment horizontal="right"/>
      <protection locked="0"/>
    </xf>
    <xf numFmtId="3" fontId="10" fillId="0" borderId="0" xfId="105" applyNumberFormat="1" applyFont="1" applyProtection="1">
      <protection locked="0"/>
    </xf>
    <xf numFmtId="3" fontId="10" fillId="0" borderId="0" xfId="105" applyNumberFormat="1" applyFont="1"/>
    <xf numFmtId="165" fontId="10" fillId="0" borderId="0" xfId="105" applyNumberFormat="1" applyFont="1" applyAlignment="1" applyProtection="1">
      <alignment horizontal="left"/>
      <protection locked="0"/>
    </xf>
    <xf numFmtId="3" fontId="10" fillId="0" borderId="1" xfId="105" applyNumberFormat="1" applyFont="1" applyBorder="1" applyProtection="1">
      <protection locked="0"/>
    </xf>
    <xf numFmtId="3" fontId="10" fillId="0" borderId="0" xfId="105" applyNumberFormat="1" applyFont="1" applyBorder="1" applyProtection="1">
      <protection locked="0"/>
    </xf>
    <xf numFmtId="166" fontId="10" fillId="0" borderId="0" xfId="105" applyNumberFormat="1" applyFont="1" applyAlignment="1" applyProtection="1">
      <alignment horizontal="left"/>
      <protection locked="0"/>
    </xf>
    <xf numFmtId="3" fontId="10" fillId="0" borderId="1" xfId="105" applyNumberFormat="1" applyFont="1" applyBorder="1"/>
    <xf numFmtId="164" fontId="10" fillId="0" borderId="0" xfId="105" applyFont="1" applyProtection="1">
      <protection locked="0"/>
    </xf>
    <xf numFmtId="167" fontId="10" fillId="0" borderId="0" xfId="105" applyNumberFormat="1" applyFont="1" applyAlignment="1" applyProtection="1">
      <alignment horizontal="left"/>
      <protection locked="0"/>
    </xf>
    <xf numFmtId="164" fontId="10" fillId="0" borderId="0" xfId="21" applyFont="1" applyAlignment="1" applyProtection="1">
      <alignment horizontal="left"/>
      <protection locked="0"/>
    </xf>
    <xf numFmtId="164" fontId="10" fillId="0" borderId="0" xfId="21" applyFont="1"/>
    <xf numFmtId="3" fontId="10" fillId="0" borderId="0" xfId="21" applyNumberFormat="1" applyFont="1" applyProtection="1">
      <protection locked="0"/>
    </xf>
    <xf numFmtId="3" fontId="10" fillId="0" borderId="1" xfId="21" applyNumberFormat="1" applyFont="1" applyBorder="1" applyProtection="1">
      <protection locked="0"/>
    </xf>
    <xf numFmtId="3" fontId="10" fillId="0" borderId="0" xfId="21" applyNumberFormat="1" applyFont="1"/>
    <xf numFmtId="164" fontId="10" fillId="0" borderId="0" xfId="21" applyFont="1" applyProtection="1">
      <protection locked="0"/>
    </xf>
    <xf numFmtId="3" fontId="10" fillId="0" borderId="0" xfId="21" applyNumberFormat="1" applyFont="1" applyBorder="1" applyProtection="1">
      <protection locked="0"/>
    </xf>
    <xf numFmtId="164" fontId="11" fillId="0" borderId="0" xfId="71" applyFont="1" applyAlignment="1" applyProtection="1">
      <alignment horizontal="left"/>
      <protection locked="0"/>
    </xf>
    <xf numFmtId="164" fontId="11" fillId="0" borderId="0" xfId="70" applyFont="1"/>
    <xf numFmtId="164" fontId="11" fillId="0" borderId="0" xfId="70" applyFont="1" applyAlignment="1" applyProtection="1">
      <alignment horizontal="right"/>
      <protection locked="0"/>
    </xf>
    <xf numFmtId="164" fontId="11" fillId="0" borderId="0" xfId="70" applyFont="1" applyAlignment="1" applyProtection="1">
      <alignment horizontal="left"/>
      <protection locked="0"/>
    </xf>
    <xf numFmtId="3" fontId="11" fillId="0" borderId="0" xfId="70" applyNumberFormat="1" applyFont="1" applyProtection="1">
      <protection locked="0"/>
    </xf>
    <xf numFmtId="3" fontId="11" fillId="0" borderId="1" xfId="70" applyNumberFormat="1" applyFont="1" applyBorder="1" applyProtection="1">
      <protection locked="0"/>
    </xf>
    <xf numFmtId="164" fontId="11" fillId="0" borderId="0" xfId="70" applyFont="1" applyBorder="1" applyProtection="1">
      <protection locked="0"/>
    </xf>
    <xf numFmtId="3" fontId="11" fillId="0" borderId="1" xfId="70" applyNumberFormat="1" applyFont="1" applyBorder="1"/>
    <xf numFmtId="165" fontId="11" fillId="0" borderId="0" xfId="70" applyNumberFormat="1" applyFont="1" applyAlignment="1" applyProtection="1">
      <alignment horizontal="left"/>
      <protection locked="0"/>
    </xf>
    <xf numFmtId="166" fontId="11" fillId="0" borderId="0" xfId="70" applyNumberFormat="1" applyFont="1" applyProtection="1">
      <protection locked="0"/>
    </xf>
    <xf numFmtId="3" fontId="11" fillId="0" borderId="0" xfId="70" applyNumberFormat="1" applyFont="1"/>
    <xf numFmtId="3" fontId="11" fillId="0" borderId="2" xfId="70" applyNumberFormat="1" applyFont="1" applyBorder="1"/>
    <xf numFmtId="166" fontId="11" fillId="0" borderId="0" xfId="70" applyNumberFormat="1" applyFont="1" applyAlignment="1" applyProtection="1">
      <alignment horizontal="left"/>
      <protection locked="0"/>
    </xf>
    <xf numFmtId="3" fontId="11" fillId="0" borderId="0" xfId="70" applyNumberFormat="1" applyFont="1" applyBorder="1" applyProtection="1">
      <protection locked="0"/>
    </xf>
    <xf numFmtId="167" fontId="10" fillId="0" borderId="0" xfId="70" applyNumberFormat="1" applyFont="1" applyAlignment="1">
      <alignment horizontal="left"/>
    </xf>
    <xf numFmtId="164" fontId="11" fillId="0" borderId="0" xfId="70" applyFont="1" applyProtection="1">
      <protection locked="0"/>
    </xf>
    <xf numFmtId="3" fontId="11" fillId="0" borderId="2" xfId="70" applyNumberFormat="1" applyFont="1" applyBorder="1" applyProtection="1">
      <protection locked="0"/>
    </xf>
    <xf numFmtId="3" fontId="10" fillId="0" borderId="0" xfId="70" applyNumberFormat="1" applyFont="1"/>
    <xf numFmtId="167" fontId="11" fillId="0" borderId="0" xfId="70" applyNumberFormat="1" applyFont="1" applyAlignment="1" applyProtection="1">
      <alignment horizontal="left"/>
      <protection locked="0"/>
    </xf>
    <xf numFmtId="164" fontId="11" fillId="0" borderId="0" xfId="71" applyFont="1"/>
    <xf numFmtId="164" fontId="11" fillId="0" borderId="0" xfId="71" applyFont="1" applyAlignment="1" applyProtection="1">
      <alignment horizontal="right"/>
      <protection locked="0"/>
    </xf>
    <xf numFmtId="164" fontId="10" fillId="0" borderId="0" xfId="71" applyFont="1"/>
    <xf numFmtId="3" fontId="11" fillId="0" borderId="0" xfId="71" applyNumberFormat="1" applyFont="1" applyProtection="1">
      <protection locked="0"/>
    </xf>
    <xf numFmtId="165" fontId="11" fillId="0" borderId="0" xfId="71" applyNumberFormat="1" applyFont="1" applyAlignment="1" applyProtection="1">
      <alignment horizontal="left"/>
      <protection locked="0"/>
    </xf>
    <xf numFmtId="166" fontId="11" fillId="0" borderId="0" xfId="71" applyNumberFormat="1" applyFont="1" applyProtection="1">
      <protection locked="0"/>
    </xf>
    <xf numFmtId="3" fontId="11" fillId="0" borderId="0" xfId="71" applyNumberFormat="1" applyFont="1"/>
    <xf numFmtId="164" fontId="10" fillId="0" borderId="0" xfId="27" applyFont="1" applyAlignment="1" applyProtection="1">
      <alignment horizontal="left"/>
      <protection locked="0"/>
    </xf>
    <xf numFmtId="164" fontId="10" fillId="0" borderId="0" xfId="27" applyFont="1"/>
    <xf numFmtId="164" fontId="10" fillId="0" borderId="0" xfId="27" applyFont="1" applyAlignment="1" applyProtection="1">
      <alignment horizontal="right"/>
      <protection locked="0"/>
    </xf>
    <xf numFmtId="3" fontId="10" fillId="0" borderId="0" xfId="27" applyNumberFormat="1" applyFont="1" applyProtection="1">
      <protection locked="0"/>
    </xf>
    <xf numFmtId="3" fontId="10" fillId="0" borderId="1" xfId="27" applyNumberFormat="1" applyFont="1" applyBorder="1" applyProtection="1">
      <protection locked="0"/>
    </xf>
    <xf numFmtId="3" fontId="10" fillId="0" borderId="1" xfId="37" applyNumberFormat="1" applyFont="1" applyBorder="1"/>
    <xf numFmtId="165" fontId="10" fillId="0" borderId="0" xfId="27" applyNumberFormat="1" applyFont="1" applyAlignment="1" applyProtection="1">
      <alignment horizontal="left"/>
      <protection locked="0"/>
    </xf>
    <xf numFmtId="164" fontId="10" fillId="0" borderId="0" xfId="27" applyFont="1" applyProtection="1">
      <protection locked="0"/>
    </xf>
    <xf numFmtId="166" fontId="10" fillId="0" borderId="0" xfId="27" applyNumberFormat="1" applyFont="1" applyProtection="1">
      <protection locked="0"/>
    </xf>
    <xf numFmtId="3" fontId="10" fillId="0" borderId="0" xfId="27" applyNumberFormat="1" applyFont="1"/>
    <xf numFmtId="3" fontId="10" fillId="0" borderId="1" xfId="27" applyNumberFormat="1" applyFont="1" applyBorder="1"/>
    <xf numFmtId="3" fontId="10" fillId="0" borderId="2" xfId="27" applyNumberFormat="1" applyFont="1" applyBorder="1"/>
    <xf numFmtId="3" fontId="10" fillId="0" borderId="2" xfId="27" applyNumberFormat="1" applyFont="1" applyBorder="1" applyProtection="1">
      <protection locked="0"/>
    </xf>
    <xf numFmtId="3" fontId="10" fillId="0" borderId="0" xfId="27" applyNumberFormat="1" applyFont="1" applyBorder="1" applyProtection="1">
      <protection locked="0"/>
    </xf>
    <xf numFmtId="167" fontId="10" fillId="0" borderId="0" xfId="27" applyNumberFormat="1" applyFont="1" applyAlignment="1" applyProtection="1">
      <alignment horizontal="left"/>
      <protection locked="0"/>
    </xf>
    <xf numFmtId="3" fontId="10" fillId="0" borderId="0" xfId="27" applyNumberFormat="1" applyFont="1" applyAlignment="1" applyProtection="1">
      <protection locked="0"/>
    </xf>
    <xf numFmtId="3" fontId="10" fillId="0" borderId="0" xfId="28" applyNumberFormat="1" applyFont="1" applyProtection="1">
      <protection locked="0"/>
    </xf>
    <xf numFmtId="3" fontId="10" fillId="0" borderId="1" xfId="28" applyNumberFormat="1" applyFont="1" applyBorder="1" applyProtection="1">
      <protection locked="0"/>
    </xf>
    <xf numFmtId="3" fontId="10" fillId="0" borderId="0" xfId="28" applyNumberFormat="1" applyFont="1"/>
    <xf numFmtId="165" fontId="10" fillId="0" borderId="0" xfId="28" applyNumberFormat="1" applyFont="1" applyAlignment="1" applyProtection="1">
      <alignment horizontal="left"/>
      <protection locked="0"/>
    </xf>
    <xf numFmtId="3" fontId="10" fillId="0" borderId="0" xfId="28" applyNumberFormat="1" applyFont="1" applyBorder="1" applyProtection="1">
      <protection locked="0"/>
    </xf>
    <xf numFmtId="167" fontId="10" fillId="0" borderId="0" xfId="28" applyNumberFormat="1" applyFont="1" applyAlignment="1">
      <alignment horizontal="left"/>
    </xf>
    <xf numFmtId="167" fontId="10" fillId="0" borderId="0" xfId="28" applyNumberFormat="1" applyFont="1" applyAlignment="1" applyProtection="1">
      <alignment horizontal="left"/>
      <protection locked="0"/>
    </xf>
    <xf numFmtId="164" fontId="10" fillId="0" borderId="0" xfId="28" applyFont="1" applyProtection="1">
      <protection locked="0"/>
    </xf>
    <xf numFmtId="164" fontId="10" fillId="0" borderId="0" xfId="106" applyFont="1" applyAlignment="1" applyProtection="1">
      <alignment horizontal="left"/>
      <protection locked="0"/>
    </xf>
    <xf numFmtId="164" fontId="10" fillId="0" borderId="0" xfId="106" applyFont="1"/>
    <xf numFmtId="164" fontId="10" fillId="0" borderId="0" xfId="106" applyFont="1" applyAlignment="1" applyProtection="1">
      <alignment horizontal="right"/>
      <protection locked="0"/>
    </xf>
    <xf numFmtId="3" fontId="10" fillId="0" borderId="0" xfId="106" applyNumberFormat="1" applyFont="1" applyProtection="1">
      <protection locked="0"/>
    </xf>
    <xf numFmtId="164" fontId="10" fillId="0" borderId="0" xfId="106" applyFont="1" applyProtection="1">
      <protection locked="0"/>
    </xf>
    <xf numFmtId="3" fontId="10" fillId="0" borderId="0" xfId="106" applyNumberFormat="1" applyFont="1"/>
    <xf numFmtId="166" fontId="10" fillId="0" borderId="0" xfId="106" applyNumberFormat="1" applyFont="1" applyProtection="1">
      <protection locked="0"/>
    </xf>
    <xf numFmtId="3" fontId="10" fillId="0" borderId="1" xfId="106" applyNumberFormat="1" applyFont="1" applyBorder="1" applyProtection="1">
      <protection locked="0"/>
    </xf>
    <xf numFmtId="3" fontId="10" fillId="0" borderId="0" xfId="106" applyNumberFormat="1" applyFont="1" applyBorder="1" applyProtection="1">
      <protection locked="0"/>
    </xf>
    <xf numFmtId="3" fontId="10" fillId="0" borderId="2" xfId="106" applyNumberFormat="1" applyFont="1" applyBorder="1" applyProtection="1">
      <protection locked="0"/>
    </xf>
    <xf numFmtId="164" fontId="10" fillId="0" borderId="0" xfId="17" applyFont="1" applyAlignment="1" applyProtection="1">
      <alignment horizontal="left"/>
      <protection locked="0"/>
    </xf>
    <xf numFmtId="164" fontId="10" fillId="0" borderId="0" xfId="17" applyFont="1"/>
    <xf numFmtId="164" fontId="10" fillId="0" borderId="0" xfId="17" applyFont="1" applyAlignment="1" applyProtection="1">
      <alignment horizontal="right"/>
      <protection locked="0"/>
    </xf>
    <xf numFmtId="3" fontId="10" fillId="0" borderId="0" xfId="17" applyNumberFormat="1" applyFont="1" applyProtection="1">
      <protection locked="0"/>
    </xf>
    <xf numFmtId="3" fontId="10" fillId="0" borderId="1" xfId="17" applyNumberFormat="1" applyFont="1" applyBorder="1" applyProtection="1">
      <protection locked="0"/>
    </xf>
    <xf numFmtId="165" fontId="10" fillId="0" borderId="0" xfId="17" applyNumberFormat="1" applyFont="1" applyAlignment="1" applyProtection="1">
      <alignment horizontal="left"/>
      <protection locked="0"/>
    </xf>
    <xf numFmtId="3" fontId="10" fillId="0" borderId="0" xfId="17" applyNumberFormat="1" applyFont="1"/>
    <xf numFmtId="3" fontId="10" fillId="0" borderId="0" xfId="17" applyNumberFormat="1" applyFont="1" applyBorder="1" applyProtection="1">
      <protection locked="0"/>
    </xf>
    <xf numFmtId="166" fontId="10" fillId="0" borderId="0" xfId="17" applyNumberFormat="1" applyFont="1" applyProtection="1">
      <protection locked="0"/>
    </xf>
    <xf numFmtId="3" fontId="10" fillId="0" borderId="2" xfId="17" applyNumberFormat="1" applyFont="1" applyBorder="1" applyProtection="1">
      <protection locked="0"/>
    </xf>
    <xf numFmtId="164" fontId="10" fillId="0" borderId="0" xfId="17" applyFont="1" applyProtection="1">
      <protection locked="0"/>
    </xf>
    <xf numFmtId="167" fontId="10" fillId="0" borderId="0" xfId="17" applyNumberFormat="1" applyFont="1" applyAlignment="1">
      <alignment horizontal="left"/>
    </xf>
    <xf numFmtId="3" fontId="10" fillId="0" borderId="0" xfId="6" applyNumberFormat="1" applyFont="1" applyProtection="1">
      <protection locked="0"/>
    </xf>
    <xf numFmtId="3" fontId="10" fillId="0" borderId="1" xfId="6" applyNumberFormat="1" applyFont="1" applyBorder="1" applyProtection="1">
      <protection locked="0"/>
    </xf>
    <xf numFmtId="3" fontId="10" fillId="0" borderId="0" xfId="6" applyNumberFormat="1" applyFont="1"/>
    <xf numFmtId="0" fontId="10" fillId="0" borderId="0" xfId="0" applyNumberFormat="1" applyFont="1"/>
    <xf numFmtId="3" fontId="10" fillId="0" borderId="0" xfId="6" applyNumberFormat="1" applyFont="1" applyBorder="1" applyProtection="1">
      <protection locked="0"/>
    </xf>
    <xf numFmtId="3" fontId="10" fillId="0" borderId="2" xfId="6" applyNumberFormat="1" applyFont="1" applyBorder="1" applyProtection="1">
      <protection locked="0"/>
    </xf>
    <xf numFmtId="167" fontId="10" fillId="0" borderId="0" xfId="1" applyNumberFormat="1" applyFont="1" applyAlignment="1" applyProtection="1">
      <alignment horizontal="left"/>
      <protection locked="0"/>
    </xf>
    <xf numFmtId="168" fontId="10" fillId="0" borderId="0" xfId="0" applyNumberFormat="1" applyFont="1" applyAlignment="1"/>
    <xf numFmtId="167" fontId="10" fillId="0" borderId="0" xfId="6" applyNumberFormat="1" applyFont="1" applyAlignment="1" applyProtection="1">
      <alignment horizontal="left"/>
      <protection locked="0"/>
    </xf>
    <xf numFmtId="164" fontId="10" fillId="0" borderId="0" xfId="6" applyFont="1" applyProtection="1">
      <protection locked="0"/>
    </xf>
    <xf numFmtId="164" fontId="10" fillId="0" borderId="0" xfId="39" applyFont="1" applyAlignment="1" applyProtection="1">
      <alignment horizontal="left"/>
      <protection locked="0"/>
    </xf>
    <xf numFmtId="164" fontId="10" fillId="0" borderId="0" xfId="39" applyFont="1"/>
    <xf numFmtId="164" fontId="10" fillId="0" borderId="0" xfId="39" applyFont="1" applyAlignment="1" applyProtection="1">
      <alignment horizontal="right"/>
      <protection locked="0"/>
    </xf>
    <xf numFmtId="3" fontId="10" fillId="0" borderId="0" xfId="39" applyNumberFormat="1" applyFont="1" applyProtection="1">
      <protection locked="0"/>
    </xf>
    <xf numFmtId="3" fontId="10" fillId="0" borderId="1" xfId="39" applyNumberFormat="1" applyFont="1" applyBorder="1" applyProtection="1">
      <protection locked="0"/>
    </xf>
    <xf numFmtId="3" fontId="10" fillId="0" borderId="0" xfId="39" applyNumberFormat="1" applyFont="1"/>
    <xf numFmtId="165" fontId="10" fillId="0" borderId="0" xfId="39" applyNumberFormat="1" applyFont="1" applyAlignment="1" applyProtection="1">
      <alignment horizontal="left"/>
      <protection locked="0"/>
    </xf>
    <xf numFmtId="3" fontId="10" fillId="0" borderId="2" xfId="39" applyNumberFormat="1" applyFont="1" applyBorder="1" applyProtection="1">
      <protection locked="0"/>
    </xf>
    <xf numFmtId="167" fontId="10" fillId="0" borderId="0" xfId="39" applyNumberFormat="1" applyFont="1" applyAlignment="1" applyProtection="1">
      <alignment horizontal="left"/>
      <protection locked="0"/>
    </xf>
    <xf numFmtId="3" fontId="10" fillId="0" borderId="0" xfId="39" applyNumberFormat="1" applyFont="1" applyBorder="1" applyProtection="1">
      <protection locked="0"/>
    </xf>
    <xf numFmtId="164" fontId="10" fillId="0" borderId="0" xfId="39" applyFont="1" applyProtection="1">
      <protection locked="0"/>
    </xf>
    <xf numFmtId="3" fontId="10" fillId="0" borderId="0" xfId="39" applyNumberFormat="1" applyFont="1" applyAlignment="1" applyProtection="1">
      <protection locked="0"/>
    </xf>
    <xf numFmtId="3" fontId="10" fillId="0" borderId="0" xfId="39" applyNumberFormat="1" applyFont="1" applyBorder="1" applyAlignment="1" applyProtection="1">
      <protection locked="0"/>
    </xf>
    <xf numFmtId="3" fontId="10" fillId="0" borderId="2" xfId="39" applyNumberFormat="1" applyFont="1" applyBorder="1" applyAlignment="1" applyProtection="1">
      <protection locked="0"/>
    </xf>
    <xf numFmtId="3" fontId="10" fillId="0" borderId="0" xfId="39" applyNumberFormat="1" applyFont="1" applyBorder="1"/>
    <xf numFmtId="3" fontId="10" fillId="0" borderId="0" xfId="39" applyNumberFormat="1" applyFont="1" applyBorder="1" applyAlignment="1"/>
    <xf numFmtId="167" fontId="10" fillId="0" borderId="0" xfId="39" applyNumberFormat="1" applyFont="1" applyAlignment="1">
      <alignment horizontal="left"/>
    </xf>
    <xf numFmtId="164" fontId="11" fillId="0" borderId="0" xfId="57" applyFont="1" applyAlignment="1" applyProtection="1">
      <alignment horizontal="left"/>
      <protection locked="0"/>
    </xf>
    <xf numFmtId="164" fontId="11" fillId="0" borderId="0" xfId="57" applyFont="1"/>
    <xf numFmtId="164" fontId="10" fillId="0" borderId="0" xfId="57" applyFont="1"/>
    <xf numFmtId="3" fontId="11" fillId="0" borderId="0" xfId="57" applyNumberFormat="1" applyFont="1" applyProtection="1">
      <protection locked="0"/>
    </xf>
    <xf numFmtId="3" fontId="11" fillId="0" borderId="0" xfId="57" applyNumberFormat="1" applyFont="1"/>
    <xf numFmtId="165" fontId="10" fillId="0" borderId="0" xfId="16" applyNumberFormat="1" applyFont="1" applyAlignment="1" applyProtection="1">
      <alignment horizontal="left"/>
      <protection locked="0"/>
    </xf>
    <xf numFmtId="3" fontId="10" fillId="0" borderId="1" xfId="16" applyNumberFormat="1" applyFont="1" applyBorder="1" applyProtection="1">
      <protection locked="0"/>
    </xf>
    <xf numFmtId="3" fontId="10" fillId="0" borderId="2" xfId="16" applyNumberFormat="1" applyFont="1" applyBorder="1" applyProtection="1">
      <protection locked="0"/>
    </xf>
    <xf numFmtId="164" fontId="10" fillId="0" borderId="0" xfId="16" applyFont="1" applyProtection="1">
      <protection locked="0"/>
    </xf>
    <xf numFmtId="164" fontId="10" fillId="0" borderId="0" xfId="25" applyFont="1" applyAlignment="1" applyProtection="1">
      <alignment horizontal="left"/>
      <protection locked="0"/>
    </xf>
    <xf numFmtId="164" fontId="10" fillId="0" borderId="0" xfId="25" applyFont="1"/>
    <xf numFmtId="164" fontId="10" fillId="0" borderId="0" xfId="25" applyFont="1" applyAlignment="1" applyProtection="1">
      <alignment horizontal="right"/>
      <protection locked="0"/>
    </xf>
    <xf numFmtId="3" fontId="10" fillId="0" borderId="0" xfId="25" applyNumberFormat="1" applyFont="1" applyProtection="1">
      <protection locked="0"/>
    </xf>
    <xf numFmtId="3" fontId="10" fillId="0" borderId="0" xfId="25" applyNumberFormat="1" applyFont="1"/>
    <xf numFmtId="165" fontId="10" fillId="0" borderId="0" xfId="25" applyNumberFormat="1" applyFont="1" applyAlignment="1" applyProtection="1">
      <alignment horizontal="left"/>
      <protection locked="0"/>
    </xf>
    <xf numFmtId="3" fontId="10" fillId="0" borderId="1" xfId="25" applyNumberFormat="1" applyFont="1" applyBorder="1" applyProtection="1">
      <protection locked="0"/>
    </xf>
    <xf numFmtId="3" fontId="10" fillId="0" borderId="2" xfId="25" applyNumberFormat="1" applyFont="1" applyBorder="1" applyProtection="1">
      <protection locked="0"/>
    </xf>
    <xf numFmtId="166" fontId="10" fillId="0" borderId="0" xfId="25" applyNumberFormat="1" applyFont="1" applyProtection="1">
      <protection locked="0"/>
    </xf>
    <xf numFmtId="167" fontId="10" fillId="0" borderId="0" xfId="25" applyNumberFormat="1" applyFont="1" applyAlignment="1" applyProtection="1">
      <alignment horizontal="left"/>
      <protection locked="0"/>
    </xf>
    <xf numFmtId="3" fontId="10" fillId="0" borderId="0" xfId="25" applyNumberFormat="1" applyFont="1" applyBorder="1"/>
    <xf numFmtId="164" fontId="10" fillId="0" borderId="0" xfId="25" applyFont="1" applyProtection="1">
      <protection locked="0"/>
    </xf>
    <xf numFmtId="164" fontId="11" fillId="0" borderId="0" xfId="51" applyFont="1" applyAlignment="1" applyProtection="1">
      <alignment horizontal="center"/>
      <protection locked="0"/>
    </xf>
    <xf numFmtId="3" fontId="10" fillId="0" borderId="2" xfId="25" applyNumberFormat="1" applyFont="1" applyBorder="1"/>
    <xf numFmtId="164" fontId="10" fillId="0" borderId="0" xfId="26" applyFont="1" applyAlignment="1" applyProtection="1">
      <alignment horizontal="left"/>
      <protection locked="0"/>
    </xf>
    <xf numFmtId="164" fontId="10" fillId="0" borderId="0" xfId="26" applyFont="1"/>
    <xf numFmtId="164" fontId="10" fillId="0" borderId="0" xfId="26" applyFont="1" applyAlignment="1" applyProtection="1">
      <alignment horizontal="right"/>
      <protection locked="0"/>
    </xf>
    <xf numFmtId="3" fontId="10" fillId="0" borderId="0" xfId="26" applyNumberFormat="1" applyFont="1" applyProtection="1">
      <protection locked="0"/>
    </xf>
    <xf numFmtId="3" fontId="10" fillId="0" borderId="1" xfId="26" applyNumberFormat="1" applyFont="1" applyBorder="1" applyProtection="1">
      <protection locked="0"/>
    </xf>
    <xf numFmtId="3" fontId="10" fillId="0" borderId="0" xfId="26" applyNumberFormat="1" applyFont="1"/>
    <xf numFmtId="165" fontId="10" fillId="0" borderId="0" xfId="26" applyNumberFormat="1" applyFont="1" applyAlignment="1" applyProtection="1">
      <protection locked="0"/>
    </xf>
    <xf numFmtId="166" fontId="10" fillId="0" borderId="0" xfId="26" applyNumberFormat="1" applyFont="1" applyProtection="1">
      <protection locked="0"/>
    </xf>
    <xf numFmtId="3" fontId="10" fillId="0" borderId="0" xfId="26" applyNumberFormat="1" applyFont="1" applyBorder="1" applyProtection="1">
      <protection locked="0"/>
    </xf>
    <xf numFmtId="3" fontId="10" fillId="0" borderId="2" xfId="26" applyNumberFormat="1" applyFont="1" applyBorder="1" applyProtection="1">
      <protection locked="0"/>
    </xf>
    <xf numFmtId="167" fontId="10" fillId="0" borderId="0" xfId="26" applyNumberFormat="1" applyFont="1" applyAlignment="1" applyProtection="1">
      <alignment horizontal="left"/>
      <protection locked="0"/>
    </xf>
    <xf numFmtId="164" fontId="10" fillId="0" borderId="0" xfId="26" applyFont="1" applyProtection="1">
      <protection locked="0"/>
    </xf>
    <xf numFmtId="0" fontId="9" fillId="0" borderId="0" xfId="0" applyFont="1" applyBorder="1" applyAlignment="1" applyProtection="1">
      <protection locked="0"/>
    </xf>
    <xf numFmtId="164" fontId="10" fillId="0" borderId="0" xfId="39" applyFont="1" applyAlignment="1"/>
    <xf numFmtId="164" fontId="10" fillId="0" borderId="0" xfId="40" applyFont="1"/>
    <xf numFmtId="164" fontId="10" fillId="0" borderId="0" xfId="40" applyFont="1" applyAlignment="1" applyProtection="1">
      <alignment horizontal="right"/>
      <protection locked="0"/>
    </xf>
    <xf numFmtId="3" fontId="10" fillId="0" borderId="0" xfId="40" applyNumberFormat="1" applyFont="1" applyProtection="1">
      <protection locked="0"/>
    </xf>
    <xf numFmtId="165" fontId="10" fillId="0" borderId="0" xfId="40" applyNumberFormat="1" applyFont="1" applyAlignment="1" applyProtection="1">
      <alignment horizontal="left"/>
      <protection locked="0"/>
    </xf>
    <xf numFmtId="3" fontId="10" fillId="0" borderId="0" xfId="40" applyNumberFormat="1" applyFont="1"/>
    <xf numFmtId="3" fontId="10" fillId="0" borderId="1" xfId="40" applyNumberFormat="1" applyFont="1" applyBorder="1" applyProtection="1">
      <protection locked="0"/>
    </xf>
    <xf numFmtId="166" fontId="10" fillId="0" borderId="0" xfId="40" applyNumberFormat="1" applyFont="1" applyProtection="1">
      <protection locked="0"/>
    </xf>
    <xf numFmtId="167" fontId="10" fillId="0" borderId="0" xfId="40" applyNumberFormat="1" applyFont="1" applyAlignment="1" applyProtection="1">
      <alignment horizontal="left"/>
      <protection locked="0"/>
    </xf>
    <xf numFmtId="3" fontId="10" fillId="0" borderId="0" xfId="40" applyNumberFormat="1" applyFont="1" applyBorder="1" applyProtection="1">
      <protection locked="0"/>
    </xf>
    <xf numFmtId="167" fontId="10" fillId="0" borderId="0" xfId="40" applyNumberFormat="1" applyFont="1" applyAlignment="1">
      <alignment horizontal="left"/>
    </xf>
    <xf numFmtId="164" fontId="10" fillId="0" borderId="0" xfId="40" applyFont="1" applyProtection="1">
      <protection locked="0"/>
    </xf>
    <xf numFmtId="3" fontId="10" fillId="0" borderId="2" xfId="40" applyNumberFormat="1" applyFont="1" applyBorder="1" applyProtection="1">
      <protection locked="0"/>
    </xf>
    <xf numFmtId="164" fontId="10" fillId="0" borderId="0" xfId="8" applyFont="1" applyAlignment="1" applyProtection="1">
      <alignment horizontal="left"/>
      <protection locked="0"/>
    </xf>
    <xf numFmtId="164" fontId="10" fillId="0" borderId="0" xfId="8" applyFont="1"/>
    <xf numFmtId="164" fontId="10" fillId="0" borderId="0" xfId="8" applyFont="1" applyAlignment="1" applyProtection="1">
      <alignment horizontal="right"/>
      <protection locked="0"/>
    </xf>
    <xf numFmtId="3" fontId="10" fillId="0" borderId="0" xfId="8" applyNumberFormat="1" applyFont="1" applyProtection="1">
      <protection locked="0"/>
    </xf>
    <xf numFmtId="165" fontId="10" fillId="0" borderId="0" xfId="8" applyNumberFormat="1" applyFont="1" applyAlignment="1" applyProtection="1">
      <alignment horizontal="left"/>
      <protection locked="0"/>
    </xf>
    <xf numFmtId="3" fontId="10" fillId="0" borderId="0" xfId="8" applyNumberFormat="1" applyFont="1"/>
    <xf numFmtId="3" fontId="10" fillId="0" borderId="1" xfId="8" applyNumberFormat="1" applyFont="1" applyBorder="1" applyProtection="1">
      <protection locked="0"/>
    </xf>
    <xf numFmtId="3" fontId="10" fillId="0" borderId="0" xfId="11" applyNumberFormat="1" applyFont="1" applyProtection="1">
      <protection locked="0"/>
    </xf>
    <xf numFmtId="3" fontId="10" fillId="0" borderId="0" xfId="8" applyNumberFormat="1" applyFont="1" applyBorder="1" applyProtection="1">
      <protection locked="0"/>
    </xf>
    <xf numFmtId="164" fontId="10" fillId="0" borderId="0" xfId="47" applyFont="1" applyAlignment="1" applyProtection="1">
      <alignment horizontal="left"/>
      <protection locked="0"/>
    </xf>
    <xf numFmtId="164" fontId="10" fillId="0" borderId="0" xfId="47" applyFont="1" applyProtection="1">
      <protection locked="0"/>
    </xf>
    <xf numFmtId="3" fontId="10" fillId="0" borderId="0" xfId="47" applyNumberFormat="1" applyFont="1" applyProtection="1">
      <protection locked="0"/>
    </xf>
    <xf numFmtId="3" fontId="10" fillId="0" borderId="0" xfId="47" applyNumberFormat="1" applyFont="1"/>
    <xf numFmtId="3" fontId="10" fillId="0" borderId="1" xfId="47" applyNumberFormat="1" applyFont="1" applyBorder="1"/>
    <xf numFmtId="3" fontId="10" fillId="0" borderId="2" xfId="47" applyNumberFormat="1" applyFont="1" applyBorder="1"/>
    <xf numFmtId="3" fontId="10" fillId="0" borderId="0" xfId="48" applyNumberFormat="1" applyFont="1" applyProtection="1">
      <protection locked="0"/>
    </xf>
    <xf numFmtId="3" fontId="10" fillId="0" borderId="0" xfId="47" applyNumberFormat="1" applyFont="1" applyBorder="1" applyProtection="1">
      <protection locked="0"/>
    </xf>
    <xf numFmtId="164" fontId="10" fillId="0" borderId="0" xfId="49" applyFont="1"/>
    <xf numFmtId="164" fontId="10" fillId="0" borderId="0" xfId="49" applyFont="1" applyProtection="1">
      <protection locked="0"/>
    </xf>
    <xf numFmtId="3" fontId="10" fillId="0" borderId="0" xfId="49" applyNumberFormat="1" applyFont="1" applyProtection="1">
      <protection locked="0"/>
    </xf>
    <xf numFmtId="3" fontId="10" fillId="0" borderId="0" xfId="49" applyNumberFormat="1" applyFont="1"/>
    <xf numFmtId="3" fontId="10" fillId="0" borderId="1" xfId="49" applyNumberFormat="1" applyFont="1" applyBorder="1" applyProtection="1">
      <protection locked="0"/>
    </xf>
    <xf numFmtId="3" fontId="10" fillId="0" borderId="2" xfId="49" applyNumberFormat="1" applyFont="1" applyBorder="1" applyProtection="1">
      <protection locked="0"/>
    </xf>
    <xf numFmtId="166" fontId="10" fillId="0" borderId="0" xfId="49" applyNumberFormat="1" applyFont="1" applyAlignment="1" applyProtection="1">
      <alignment horizontal="left"/>
      <protection locked="0"/>
    </xf>
    <xf numFmtId="3" fontId="10" fillId="0" borderId="0" xfId="50" applyNumberFormat="1" applyFont="1" applyProtection="1">
      <protection locked="0"/>
    </xf>
    <xf numFmtId="3" fontId="10" fillId="0" borderId="0" xfId="49" applyNumberFormat="1" applyFont="1" applyBorder="1" applyProtection="1">
      <protection locked="0"/>
    </xf>
    <xf numFmtId="164" fontId="10" fillId="0" borderId="0" xfId="67" applyFont="1" applyAlignment="1" applyProtection="1">
      <alignment horizontal="left"/>
      <protection locked="0"/>
    </xf>
    <xf numFmtId="164" fontId="10" fillId="0" borderId="0" xfId="67" applyFont="1"/>
    <xf numFmtId="164" fontId="10" fillId="0" borderId="0" xfId="67" applyFont="1" applyProtection="1">
      <protection locked="0"/>
    </xf>
    <xf numFmtId="3" fontId="10" fillId="0" borderId="0" xfId="67" applyNumberFormat="1" applyFont="1" applyProtection="1">
      <protection locked="0"/>
    </xf>
    <xf numFmtId="3" fontId="10" fillId="0" borderId="0" xfId="67" applyNumberFormat="1" applyFont="1"/>
    <xf numFmtId="3" fontId="10" fillId="0" borderId="1" xfId="67" applyNumberFormat="1" applyFont="1" applyBorder="1" applyProtection="1">
      <protection locked="0"/>
    </xf>
    <xf numFmtId="3" fontId="10" fillId="0" borderId="0" xfId="68" applyNumberFormat="1" applyFont="1" applyProtection="1">
      <protection locked="0"/>
    </xf>
    <xf numFmtId="3" fontId="10" fillId="0" borderId="2" xfId="94" applyNumberFormat="1" applyFont="1" applyBorder="1" applyProtection="1">
      <protection locked="0"/>
    </xf>
    <xf numFmtId="164" fontId="10" fillId="0" borderId="0" xfId="94" applyFont="1" applyAlignment="1" applyProtection="1">
      <alignment horizontal="left"/>
      <protection locked="0"/>
    </xf>
    <xf numFmtId="164" fontId="10" fillId="0" borderId="0" xfId="94" applyFont="1"/>
    <xf numFmtId="164" fontId="10" fillId="0" borderId="0" xfId="94" applyFont="1" applyAlignment="1" applyProtection="1">
      <alignment horizontal="right"/>
      <protection locked="0"/>
    </xf>
    <xf numFmtId="3" fontId="10" fillId="0" borderId="0" xfId="94" applyNumberFormat="1" applyFont="1" applyProtection="1">
      <protection locked="0"/>
    </xf>
    <xf numFmtId="3" fontId="10" fillId="0" borderId="1" xfId="94" applyNumberFormat="1" applyFont="1" applyBorder="1" applyProtection="1">
      <protection locked="0"/>
    </xf>
    <xf numFmtId="3" fontId="10" fillId="0" borderId="0" xfId="94" applyNumberFormat="1" applyFont="1"/>
    <xf numFmtId="165" fontId="10" fillId="0" borderId="0" xfId="94" applyNumberFormat="1" applyFont="1" applyAlignment="1" applyProtection="1">
      <alignment horizontal="left"/>
      <protection locked="0"/>
    </xf>
    <xf numFmtId="166" fontId="10" fillId="0" borderId="0" xfId="94" applyNumberFormat="1" applyFont="1" applyProtection="1">
      <protection locked="0"/>
    </xf>
    <xf numFmtId="3" fontId="10" fillId="0" borderId="0" xfId="94" applyNumberFormat="1" applyFont="1" applyBorder="1" applyProtection="1">
      <protection locked="0"/>
    </xf>
    <xf numFmtId="164" fontId="10" fillId="0" borderId="0" xfId="94" applyFont="1" applyProtection="1">
      <protection locked="0"/>
    </xf>
    <xf numFmtId="164" fontId="10" fillId="0" borderId="0" xfId="1" applyFont="1" applyAlignment="1" applyProtection="1">
      <alignment horizontal="left"/>
      <protection locked="0"/>
    </xf>
    <xf numFmtId="164" fontId="10" fillId="0" borderId="0" xfId="1" applyFont="1"/>
    <xf numFmtId="3" fontId="10" fillId="0" borderId="0" xfId="1" applyNumberFormat="1" applyFont="1" applyProtection="1">
      <protection locked="0"/>
    </xf>
    <xf numFmtId="3" fontId="10" fillId="0" borderId="0" xfId="1" applyNumberFormat="1" applyFont="1" applyBorder="1" applyProtection="1">
      <protection locked="0"/>
    </xf>
    <xf numFmtId="165" fontId="10" fillId="0" borderId="0" xfId="1" applyNumberFormat="1" applyFont="1" applyAlignment="1" applyProtection="1">
      <alignment horizontal="left"/>
      <protection locked="0"/>
    </xf>
    <xf numFmtId="3" fontId="10" fillId="0" borderId="0" xfId="1" applyNumberFormat="1" applyFont="1"/>
    <xf numFmtId="167" fontId="10" fillId="0" borderId="0" xfId="1" applyNumberFormat="1" applyFont="1" applyAlignment="1">
      <alignment horizontal="left"/>
    </xf>
    <xf numFmtId="164" fontId="10" fillId="0" borderId="0" xfId="1" applyFont="1" applyAlignment="1">
      <alignment horizontal="right"/>
    </xf>
    <xf numFmtId="164" fontId="10" fillId="0" borderId="0" xfId="79" applyFont="1" applyAlignment="1" applyProtection="1">
      <alignment horizontal="left"/>
      <protection locked="0"/>
    </xf>
    <xf numFmtId="164" fontId="10" fillId="0" borderId="0" xfId="79" applyFont="1"/>
    <xf numFmtId="164" fontId="10" fillId="0" borderId="0" xfId="79" applyFont="1" applyProtection="1">
      <protection locked="0"/>
    </xf>
    <xf numFmtId="3" fontId="10" fillId="0" borderId="0" xfId="79" applyNumberFormat="1" applyFont="1" applyProtection="1">
      <protection locked="0"/>
    </xf>
    <xf numFmtId="3" fontId="10" fillId="0" borderId="0" xfId="79" applyNumberFormat="1" applyFont="1"/>
    <xf numFmtId="3" fontId="10" fillId="0" borderId="0" xfId="79" applyNumberFormat="1" applyFont="1" applyBorder="1" applyProtection="1">
      <protection locked="0"/>
    </xf>
    <xf numFmtId="166" fontId="10" fillId="0" borderId="0" xfId="79" applyNumberFormat="1" applyFont="1" applyAlignment="1" applyProtection="1">
      <alignment horizontal="left"/>
      <protection locked="0"/>
    </xf>
    <xf numFmtId="3" fontId="10" fillId="0" borderId="0" xfId="80" applyNumberFormat="1" applyFont="1" applyProtection="1">
      <protection locked="0"/>
    </xf>
    <xf numFmtId="164" fontId="11" fillId="2" borderId="0" xfId="63" applyFont="1" applyFill="1" applyAlignment="1" applyProtection="1">
      <alignment horizontal="left"/>
      <protection locked="0"/>
    </xf>
    <xf numFmtId="164" fontId="11" fillId="2" borderId="0" xfId="63" applyFont="1" applyFill="1"/>
    <xf numFmtId="164" fontId="11" fillId="2" borderId="0" xfId="63" applyFont="1" applyFill="1" applyAlignment="1" applyProtection="1">
      <alignment horizontal="right"/>
      <protection locked="0"/>
    </xf>
    <xf numFmtId="164" fontId="10" fillId="0" borderId="0" xfId="63" applyFont="1"/>
    <xf numFmtId="3" fontId="11" fillId="2" borderId="0" xfId="63" applyNumberFormat="1" applyFont="1" applyFill="1" applyProtection="1">
      <protection locked="0"/>
    </xf>
    <xf numFmtId="3" fontId="11" fillId="2" borderId="1" xfId="63" applyNumberFormat="1" applyFont="1" applyFill="1" applyBorder="1" applyProtection="1">
      <protection locked="0"/>
    </xf>
    <xf numFmtId="3" fontId="11" fillId="2" borderId="1" xfId="37" applyNumberFormat="1" applyFont="1" applyFill="1" applyBorder="1"/>
    <xf numFmtId="3" fontId="11" fillId="2" borderId="0" xfId="37" applyNumberFormat="1" applyFont="1" applyFill="1" applyBorder="1"/>
    <xf numFmtId="165" fontId="11" fillId="2" borderId="0" xfId="63" applyNumberFormat="1" applyFont="1" applyFill="1" applyAlignment="1" applyProtection="1">
      <alignment horizontal="left"/>
      <protection locked="0"/>
    </xf>
    <xf numFmtId="166" fontId="11" fillId="2" borderId="0" xfId="63" applyNumberFormat="1" applyFont="1" applyFill="1" applyProtection="1">
      <protection locked="0"/>
    </xf>
    <xf numFmtId="3" fontId="11" fillId="2" borderId="0" xfId="63" applyNumberFormat="1" applyFont="1" applyFill="1"/>
    <xf numFmtId="3" fontId="11" fillId="2" borderId="0" xfId="63" applyNumberFormat="1" applyFont="1" applyFill="1" applyBorder="1" applyProtection="1">
      <protection locked="0"/>
    </xf>
    <xf numFmtId="3" fontId="10" fillId="0" borderId="0" xfId="63" applyNumberFormat="1" applyFont="1"/>
    <xf numFmtId="3" fontId="11" fillId="2" borderId="2" xfId="63" applyNumberFormat="1" applyFont="1" applyFill="1" applyBorder="1" applyProtection="1">
      <protection locked="0"/>
    </xf>
    <xf numFmtId="167" fontId="11" fillId="2" borderId="0" xfId="63" applyNumberFormat="1" applyFont="1" applyFill="1" applyAlignment="1" applyProtection="1">
      <alignment horizontal="left"/>
      <protection locked="0"/>
    </xf>
    <xf numFmtId="3" fontId="11" fillId="2" borderId="0" xfId="37" applyNumberFormat="1" applyFont="1" applyFill="1"/>
    <xf numFmtId="164" fontId="11" fillId="2" borderId="0" xfId="63" applyFont="1" applyFill="1" applyProtection="1">
      <protection locked="0"/>
    </xf>
    <xf numFmtId="164" fontId="11" fillId="0" borderId="0" xfId="63" applyFont="1"/>
    <xf numFmtId="3" fontId="11" fillId="0" borderId="1" xfId="71" applyNumberFormat="1" applyFont="1" applyBorder="1" applyProtection="1">
      <protection locked="0"/>
    </xf>
    <xf numFmtId="166" fontId="11" fillId="0" borderId="0" xfId="71" applyNumberFormat="1" applyFont="1" applyAlignment="1" applyProtection="1">
      <alignment horizontal="left"/>
      <protection locked="0"/>
    </xf>
    <xf numFmtId="3" fontId="11" fillId="0" borderId="0" xfId="71" applyNumberFormat="1" applyFont="1" applyBorder="1" applyProtection="1">
      <protection locked="0"/>
    </xf>
    <xf numFmtId="164" fontId="11" fillId="0" borderId="0" xfId="71" applyFont="1" applyProtection="1">
      <protection locked="0"/>
    </xf>
    <xf numFmtId="164" fontId="11" fillId="0" borderId="0" xfId="74" applyFont="1" applyAlignment="1" applyProtection="1">
      <alignment horizontal="left"/>
      <protection locked="0"/>
    </xf>
    <xf numFmtId="164" fontId="11" fillId="0" borderId="0" xfId="74" applyFont="1" applyAlignment="1" applyProtection="1">
      <alignment horizontal="right"/>
      <protection locked="0"/>
    </xf>
    <xf numFmtId="164" fontId="10" fillId="0" borderId="0" xfId="74" applyFont="1"/>
    <xf numFmtId="3" fontId="11" fillId="0" borderId="0" xfId="74" applyNumberFormat="1" applyFont="1" applyProtection="1">
      <protection locked="0"/>
    </xf>
    <xf numFmtId="3" fontId="11" fillId="0" borderId="0" xfId="74" applyNumberFormat="1" applyFont="1"/>
    <xf numFmtId="165" fontId="11" fillId="0" borderId="0" xfId="74" applyNumberFormat="1" applyFont="1" applyAlignment="1" applyProtection="1">
      <alignment horizontal="left"/>
      <protection locked="0"/>
    </xf>
    <xf numFmtId="3" fontId="11" fillId="0" borderId="1" xfId="74" applyNumberFormat="1" applyFont="1" applyBorder="1" applyProtection="1">
      <protection locked="0"/>
    </xf>
    <xf numFmtId="166" fontId="11" fillId="0" borderId="0" xfId="74" applyNumberFormat="1" applyFont="1" applyProtection="1">
      <protection locked="0"/>
    </xf>
    <xf numFmtId="167" fontId="11" fillId="0" borderId="0" xfId="74" applyNumberFormat="1" applyFont="1" applyAlignment="1" applyProtection="1">
      <alignment horizontal="left"/>
      <protection locked="0"/>
    </xf>
    <xf numFmtId="164" fontId="11" fillId="0" borderId="0" xfId="74" applyFont="1" applyProtection="1">
      <protection locked="0"/>
    </xf>
    <xf numFmtId="3" fontId="11" fillId="0" borderId="0" xfId="74" applyNumberFormat="1" applyFont="1" applyBorder="1" applyProtection="1">
      <protection locked="0"/>
    </xf>
    <xf numFmtId="3" fontId="11" fillId="0" borderId="2" xfId="74" applyNumberFormat="1" applyFont="1" applyBorder="1" applyProtection="1">
      <protection locked="0"/>
    </xf>
    <xf numFmtId="0" fontId="0" fillId="0" borderId="0" xfId="0" applyAlignment="1"/>
    <xf numFmtId="164" fontId="10" fillId="0" borderId="0" xfId="82" applyFont="1" applyAlignment="1" applyProtection="1">
      <alignment horizontal="left"/>
      <protection locked="0"/>
    </xf>
    <xf numFmtId="164" fontId="10" fillId="0" borderId="0" xfId="82" applyFont="1"/>
    <xf numFmtId="164" fontId="10" fillId="0" borderId="0" xfId="82" applyFont="1" applyAlignment="1" applyProtection="1">
      <alignment horizontal="right"/>
      <protection locked="0"/>
    </xf>
    <xf numFmtId="3" fontId="10" fillId="0" borderId="0" xfId="82" applyNumberFormat="1" applyFont="1" applyProtection="1">
      <protection locked="0"/>
    </xf>
    <xf numFmtId="3" fontId="10" fillId="0" borderId="0" xfId="82" applyNumberFormat="1" applyFont="1"/>
    <xf numFmtId="165" fontId="10" fillId="0" borderId="0" xfId="82" applyNumberFormat="1" applyFont="1" applyAlignment="1" applyProtection="1">
      <alignment horizontal="left"/>
      <protection locked="0"/>
    </xf>
    <xf numFmtId="3" fontId="10" fillId="0" borderId="1" xfId="82" applyNumberFormat="1" applyFont="1" applyBorder="1"/>
    <xf numFmtId="3" fontId="10" fillId="0" borderId="2" xfId="82" applyNumberFormat="1" applyFont="1" applyBorder="1"/>
    <xf numFmtId="3" fontId="10" fillId="0" borderId="1" xfId="82" applyNumberFormat="1" applyFont="1" applyBorder="1" applyProtection="1">
      <protection locked="0"/>
    </xf>
    <xf numFmtId="166" fontId="10" fillId="0" borderId="0" xfId="82" applyNumberFormat="1" applyFont="1" applyProtection="1">
      <protection locked="0"/>
    </xf>
    <xf numFmtId="164" fontId="10" fillId="0" borderId="0" xfId="82" applyFont="1" applyProtection="1">
      <protection locked="0"/>
    </xf>
    <xf numFmtId="167" fontId="10" fillId="0" borderId="0" xfId="82" applyNumberFormat="1" applyFont="1" applyAlignment="1">
      <alignment horizontal="left"/>
    </xf>
    <xf numFmtId="3" fontId="10" fillId="0" borderId="0" xfId="82" applyNumberFormat="1" applyFont="1" applyBorder="1" applyProtection="1">
      <protection locked="0"/>
    </xf>
    <xf numFmtId="3" fontId="10" fillId="0" borderId="2" xfId="82" applyNumberFormat="1" applyFont="1" applyBorder="1" applyProtection="1">
      <protection locked="0"/>
    </xf>
    <xf numFmtId="164" fontId="10" fillId="0" borderId="0" xfId="83" applyFont="1"/>
    <xf numFmtId="164" fontId="10" fillId="0" borderId="0" xfId="83" applyFont="1" applyAlignment="1" applyProtection="1">
      <alignment horizontal="right"/>
      <protection locked="0"/>
    </xf>
    <xf numFmtId="3" fontId="10" fillId="0" borderId="0" xfId="83" applyNumberFormat="1" applyFont="1" applyProtection="1">
      <protection locked="0"/>
    </xf>
    <xf numFmtId="3" fontId="10" fillId="0" borderId="0" xfId="83" applyNumberFormat="1" applyFont="1"/>
    <xf numFmtId="165" fontId="10" fillId="0" borderId="0" xfId="83" applyNumberFormat="1" applyFont="1" applyAlignment="1" applyProtection="1">
      <alignment horizontal="left"/>
      <protection locked="0"/>
    </xf>
    <xf numFmtId="3" fontId="10" fillId="0" borderId="1" xfId="83" applyNumberFormat="1" applyFont="1" applyBorder="1" applyProtection="1">
      <protection locked="0"/>
    </xf>
    <xf numFmtId="3" fontId="10" fillId="0" borderId="0" xfId="83" applyNumberFormat="1" applyFont="1" applyBorder="1" applyProtection="1">
      <protection locked="0"/>
    </xf>
    <xf numFmtId="166" fontId="10" fillId="0" borderId="0" xfId="83" applyNumberFormat="1" applyFont="1" applyProtection="1">
      <protection locked="0"/>
    </xf>
    <xf numFmtId="167" fontId="10" fillId="0" borderId="0" xfId="83" applyNumberFormat="1" applyFont="1" applyAlignment="1" applyProtection="1">
      <alignment horizontal="left"/>
      <protection locked="0"/>
    </xf>
    <xf numFmtId="164" fontId="10" fillId="0" borderId="0" xfId="83" applyFont="1" applyProtection="1">
      <protection locked="0"/>
    </xf>
    <xf numFmtId="3" fontId="10" fillId="0" borderId="2" xfId="83" applyNumberFormat="1" applyFont="1" applyBorder="1" applyProtection="1">
      <protection locked="0"/>
    </xf>
    <xf numFmtId="164" fontId="10" fillId="0" borderId="0" xfId="85" applyFont="1" applyAlignment="1" applyProtection="1">
      <alignment horizontal="left"/>
      <protection locked="0"/>
    </xf>
    <xf numFmtId="164" fontId="10" fillId="0" borderId="0" xfId="85" applyFont="1"/>
    <xf numFmtId="164" fontId="10" fillId="0" borderId="0" xfId="85" applyFont="1" applyAlignment="1" applyProtection="1">
      <alignment horizontal="right"/>
      <protection locked="0"/>
    </xf>
    <xf numFmtId="3" fontId="10" fillId="0" borderId="0" xfId="85" applyNumberFormat="1" applyFont="1" applyProtection="1">
      <protection locked="0"/>
    </xf>
    <xf numFmtId="165" fontId="10" fillId="0" borderId="0" xfId="85" applyNumberFormat="1" applyFont="1" applyAlignment="1" applyProtection="1">
      <alignment horizontal="left"/>
      <protection locked="0"/>
    </xf>
    <xf numFmtId="3" fontId="10" fillId="0" borderId="0" xfId="85" applyNumberFormat="1" applyFont="1"/>
    <xf numFmtId="3" fontId="10" fillId="0" borderId="1" xfId="85" applyNumberFormat="1" applyFont="1" applyBorder="1" applyProtection="1">
      <protection locked="0"/>
    </xf>
    <xf numFmtId="3" fontId="10" fillId="0" borderId="0" xfId="85" applyNumberFormat="1" applyFont="1" applyBorder="1" applyProtection="1">
      <protection locked="0"/>
    </xf>
    <xf numFmtId="166" fontId="10" fillId="0" borderId="0" xfId="85" applyNumberFormat="1" applyFont="1" applyProtection="1">
      <protection locked="0"/>
    </xf>
    <xf numFmtId="164" fontId="10" fillId="0" borderId="0" xfId="85" applyFont="1" applyProtection="1">
      <protection locked="0"/>
    </xf>
    <xf numFmtId="167" fontId="10" fillId="0" borderId="0" xfId="85" applyNumberFormat="1" applyFont="1" applyAlignment="1" applyProtection="1">
      <alignment horizontal="left"/>
      <protection locked="0"/>
    </xf>
    <xf numFmtId="164" fontId="10" fillId="0" borderId="0" xfId="96" applyFont="1" applyAlignment="1" applyProtection="1">
      <alignment horizontal="left"/>
      <protection locked="0"/>
    </xf>
    <xf numFmtId="164" fontId="10" fillId="0" borderId="0" xfId="96" applyFont="1"/>
    <xf numFmtId="164" fontId="10" fillId="0" borderId="0" xfId="96" applyFont="1" applyAlignment="1" applyProtection="1">
      <alignment horizontal="right"/>
      <protection locked="0"/>
    </xf>
    <xf numFmtId="3" fontId="10" fillId="0" borderId="0" xfId="96" applyNumberFormat="1" applyFont="1" applyProtection="1">
      <protection locked="0"/>
    </xf>
    <xf numFmtId="3" fontId="10" fillId="0" borderId="0" xfId="96" applyNumberFormat="1" applyFont="1"/>
    <xf numFmtId="165" fontId="10" fillId="0" borderId="0" xfId="96" applyNumberFormat="1" applyFont="1" applyAlignment="1" applyProtection="1">
      <alignment horizontal="left"/>
      <protection locked="0"/>
    </xf>
    <xf numFmtId="3" fontId="10" fillId="0" borderId="1" xfId="96" applyNumberFormat="1" applyFont="1" applyBorder="1" applyProtection="1">
      <protection locked="0"/>
    </xf>
    <xf numFmtId="164" fontId="10" fillId="0" borderId="0" xfId="96" applyFont="1" applyBorder="1"/>
    <xf numFmtId="166" fontId="10" fillId="0" borderId="0" xfId="96" applyNumberFormat="1" applyFont="1" applyProtection="1">
      <protection locked="0"/>
    </xf>
    <xf numFmtId="164" fontId="10" fillId="0" borderId="0" xfId="96" applyFont="1" applyProtection="1">
      <protection locked="0"/>
    </xf>
    <xf numFmtId="3" fontId="10" fillId="0" borderId="0" xfId="96" applyNumberFormat="1" applyFont="1" applyBorder="1"/>
    <xf numFmtId="167" fontId="10" fillId="0" borderId="0" xfId="96" applyNumberFormat="1" applyFont="1" applyAlignment="1" applyProtection="1">
      <alignment horizontal="left"/>
      <protection locked="0"/>
    </xf>
    <xf numFmtId="164" fontId="10" fillId="0" borderId="0" xfId="97" applyFont="1" applyAlignment="1" applyProtection="1">
      <alignment horizontal="left"/>
      <protection locked="0"/>
    </xf>
    <xf numFmtId="164" fontId="10" fillId="0" borderId="0" xfId="97" applyFont="1"/>
    <xf numFmtId="164" fontId="10" fillId="0" borderId="0" xfId="97" applyFont="1" applyAlignment="1" applyProtection="1">
      <alignment horizontal="right"/>
      <protection locked="0"/>
    </xf>
    <xf numFmtId="3" fontId="10" fillId="0" borderId="0" xfId="97" applyNumberFormat="1" applyFont="1" applyProtection="1">
      <protection locked="0"/>
    </xf>
    <xf numFmtId="3" fontId="10" fillId="0" borderId="0" xfId="97" applyNumberFormat="1" applyFont="1"/>
    <xf numFmtId="165" fontId="10" fillId="0" borderId="0" xfId="97" applyNumberFormat="1" applyFont="1" applyAlignment="1" applyProtection="1">
      <alignment horizontal="left"/>
      <protection locked="0"/>
    </xf>
    <xf numFmtId="166" fontId="10" fillId="0" borderId="0" xfId="97" applyNumberFormat="1" applyFont="1" applyProtection="1">
      <protection locked="0"/>
    </xf>
    <xf numFmtId="3" fontId="10" fillId="0" borderId="1" xfId="97" applyNumberFormat="1" applyFont="1" applyBorder="1" applyProtection="1">
      <protection locked="0"/>
    </xf>
    <xf numFmtId="3" fontId="10" fillId="0" borderId="0" xfId="97" applyNumberFormat="1" applyFont="1" applyBorder="1" applyProtection="1">
      <protection locked="0"/>
    </xf>
    <xf numFmtId="166" fontId="10" fillId="0" borderId="0" xfId="97" applyNumberFormat="1" applyFont="1" applyAlignment="1" applyProtection="1">
      <alignment horizontal="left"/>
      <protection locked="0"/>
    </xf>
    <xf numFmtId="167" fontId="10" fillId="0" borderId="0" xfId="97" applyNumberFormat="1" applyFont="1" applyAlignment="1">
      <alignment horizontal="left"/>
    </xf>
    <xf numFmtId="164" fontId="10" fillId="0" borderId="0" xfId="97" applyFont="1" applyProtection="1">
      <protection locked="0"/>
    </xf>
    <xf numFmtId="3" fontId="10" fillId="0" borderId="2" xfId="103" applyNumberFormat="1" applyFont="1" applyBorder="1"/>
    <xf numFmtId="164" fontId="10" fillId="0" borderId="0" xfId="103" applyFont="1" applyAlignment="1" applyProtection="1">
      <alignment horizontal="left"/>
      <protection locked="0"/>
    </xf>
    <xf numFmtId="164" fontId="10" fillId="0" borderId="0" xfId="103" applyFont="1"/>
    <xf numFmtId="164" fontId="10" fillId="0" borderId="0" xfId="103" applyFont="1" applyAlignment="1" applyProtection="1">
      <alignment horizontal="right"/>
      <protection locked="0"/>
    </xf>
    <xf numFmtId="3" fontId="10" fillId="0" borderId="0" xfId="103" applyNumberFormat="1" applyFont="1" applyProtection="1">
      <protection locked="0"/>
    </xf>
    <xf numFmtId="165" fontId="10" fillId="0" borderId="0" xfId="103" applyNumberFormat="1" applyFont="1" applyAlignment="1" applyProtection="1">
      <alignment horizontal="left"/>
      <protection locked="0"/>
    </xf>
    <xf numFmtId="3" fontId="10" fillId="0" borderId="0" xfId="103" applyNumberFormat="1" applyFont="1"/>
    <xf numFmtId="3" fontId="10" fillId="0" borderId="1" xfId="103" applyNumberFormat="1" applyFont="1" applyBorder="1"/>
    <xf numFmtId="3" fontId="10" fillId="0" borderId="1" xfId="103" applyNumberFormat="1" applyFont="1" applyBorder="1" applyProtection="1">
      <protection locked="0"/>
    </xf>
    <xf numFmtId="3" fontId="10" fillId="0" borderId="0" xfId="103" applyNumberFormat="1" applyFont="1" applyBorder="1" applyProtection="1">
      <protection locked="0"/>
    </xf>
    <xf numFmtId="166" fontId="10" fillId="0" borderId="0" xfId="103" applyNumberFormat="1" applyFont="1" applyProtection="1">
      <protection locked="0"/>
    </xf>
    <xf numFmtId="167" fontId="10" fillId="0" borderId="0" xfId="103" applyNumberFormat="1" applyFont="1" applyAlignment="1" applyProtection="1">
      <alignment horizontal="left"/>
      <protection locked="0"/>
    </xf>
    <xf numFmtId="164" fontId="10" fillId="0" borderId="0" xfId="103" applyFont="1" applyProtection="1">
      <protection locked="0"/>
    </xf>
    <xf numFmtId="167" fontId="10" fillId="0" borderId="0" xfId="103" applyNumberFormat="1" applyFont="1" applyAlignment="1">
      <alignment horizontal="left"/>
    </xf>
    <xf numFmtId="3" fontId="10" fillId="0" borderId="0" xfId="103" applyNumberFormat="1" applyFont="1" applyBorder="1"/>
    <xf numFmtId="164" fontId="10" fillId="0" borderId="0" xfId="108" applyFont="1" applyAlignment="1" applyProtection="1">
      <alignment horizontal="left"/>
      <protection locked="0"/>
    </xf>
    <xf numFmtId="164" fontId="10" fillId="0" borderId="0" xfId="108" applyFont="1"/>
    <xf numFmtId="164" fontId="10" fillId="0" borderId="0" xfId="108" applyFont="1" applyAlignment="1" applyProtection="1">
      <alignment horizontal="right"/>
      <protection locked="0"/>
    </xf>
    <xf numFmtId="3" fontId="10" fillId="0" borderId="0" xfId="108" applyNumberFormat="1" applyFont="1" applyProtection="1">
      <protection locked="0"/>
    </xf>
    <xf numFmtId="3" fontId="10" fillId="0" borderId="0" xfId="108" applyNumberFormat="1" applyFont="1"/>
    <xf numFmtId="165" fontId="10" fillId="0" borderId="0" xfId="108" applyNumberFormat="1" applyFont="1" applyAlignment="1" applyProtection="1">
      <alignment horizontal="left"/>
      <protection locked="0"/>
    </xf>
    <xf numFmtId="3" fontId="10" fillId="0" borderId="1" xfId="108" applyNumberFormat="1" applyFont="1" applyBorder="1" applyProtection="1">
      <protection locked="0"/>
    </xf>
    <xf numFmtId="166" fontId="10" fillId="0" borderId="0" xfId="108" applyNumberFormat="1" applyFont="1" applyProtection="1">
      <protection locked="0"/>
    </xf>
    <xf numFmtId="164" fontId="10" fillId="0" borderId="0" xfId="108" applyFont="1" applyProtection="1">
      <protection locked="0"/>
    </xf>
    <xf numFmtId="3" fontId="10" fillId="0" borderId="0" xfId="108" applyNumberFormat="1" applyFont="1" applyBorder="1" applyProtection="1">
      <protection locked="0"/>
    </xf>
    <xf numFmtId="167" fontId="10" fillId="0" borderId="0" xfId="108" applyNumberFormat="1" applyFont="1" applyAlignment="1" applyProtection="1">
      <alignment horizontal="left"/>
      <protection locked="0"/>
    </xf>
    <xf numFmtId="167" fontId="10" fillId="0" borderId="0" xfId="108" applyNumberFormat="1" applyFont="1" applyAlignment="1">
      <alignment horizontal="left"/>
    </xf>
    <xf numFmtId="164" fontId="10" fillId="0" borderId="0" xfId="107" applyFont="1" applyAlignment="1" applyProtection="1">
      <alignment horizontal="left"/>
      <protection locked="0"/>
    </xf>
    <xf numFmtId="164" fontId="10" fillId="0" borderId="0" xfId="107" applyFont="1"/>
    <xf numFmtId="3" fontId="10" fillId="0" borderId="0" xfId="107" applyNumberFormat="1" applyFont="1" applyBorder="1" applyProtection="1">
      <protection locked="0"/>
    </xf>
    <xf numFmtId="3" fontId="10" fillId="0" borderId="0" xfId="107" applyNumberFormat="1" applyFont="1"/>
    <xf numFmtId="3" fontId="10" fillId="0" borderId="0" xfId="107" applyNumberFormat="1" applyFont="1" applyProtection="1">
      <protection locked="0"/>
    </xf>
    <xf numFmtId="165" fontId="10" fillId="0" borderId="0" xfId="107" applyNumberFormat="1" applyFont="1" applyAlignment="1" applyProtection="1">
      <alignment horizontal="left"/>
      <protection locked="0"/>
    </xf>
    <xf numFmtId="3" fontId="10" fillId="0" borderId="1" xfId="107" applyNumberFormat="1" applyFont="1" applyBorder="1" applyProtection="1">
      <protection locked="0"/>
    </xf>
    <xf numFmtId="166" fontId="10" fillId="0" borderId="0" xfId="107" applyNumberFormat="1" applyFont="1" applyAlignment="1" applyProtection="1">
      <alignment horizontal="left"/>
      <protection locked="0"/>
    </xf>
    <xf numFmtId="166" fontId="10" fillId="0" borderId="0" xfId="107" applyNumberFormat="1" applyFont="1" applyProtection="1">
      <protection locked="0"/>
    </xf>
    <xf numFmtId="164" fontId="10" fillId="0" borderId="0" xfId="107" quotePrefix="1" applyFont="1" applyAlignment="1" applyProtection="1">
      <alignment horizontal="left"/>
      <protection locked="0"/>
    </xf>
    <xf numFmtId="167" fontId="10" fillId="0" borderId="0" xfId="107" applyNumberFormat="1" applyFont="1" applyAlignment="1" applyProtection="1">
      <alignment horizontal="left"/>
      <protection locked="0"/>
    </xf>
    <xf numFmtId="167" fontId="10" fillId="0" borderId="0" xfId="107" applyNumberFormat="1" applyFont="1" applyAlignment="1">
      <alignment horizontal="left"/>
    </xf>
    <xf numFmtId="3" fontId="10" fillId="0" borderId="0" xfId="107" applyNumberFormat="1" applyFont="1" applyFill="1" applyBorder="1"/>
    <xf numFmtId="164" fontId="10" fillId="0" borderId="0" xfId="107" applyFont="1" applyProtection="1">
      <protection locked="0"/>
    </xf>
    <xf numFmtId="3" fontId="10" fillId="0" borderId="0" xfId="107" applyNumberFormat="1" applyFont="1" applyBorder="1"/>
    <xf numFmtId="164" fontId="10" fillId="0" borderId="0" xfId="33" applyFont="1" applyAlignment="1" applyProtection="1">
      <alignment horizontal="left"/>
      <protection locked="0"/>
    </xf>
    <xf numFmtId="164" fontId="10" fillId="0" borderId="0" xfId="33" applyFont="1"/>
    <xf numFmtId="164" fontId="10" fillId="0" borderId="0" xfId="33" applyFont="1" applyProtection="1">
      <protection locked="0"/>
    </xf>
    <xf numFmtId="3" fontId="10" fillId="0" borderId="0" xfId="33" applyNumberFormat="1" applyFont="1" applyProtection="1">
      <protection locked="0"/>
    </xf>
    <xf numFmtId="3" fontId="10" fillId="0" borderId="0" xfId="33" applyNumberFormat="1" applyFont="1"/>
    <xf numFmtId="167" fontId="10" fillId="0" borderId="0" xfId="33" applyNumberFormat="1" applyFont="1" applyAlignment="1" applyProtection="1">
      <alignment horizontal="left"/>
      <protection locked="0"/>
    </xf>
    <xf numFmtId="3" fontId="10" fillId="0" borderId="0" xfId="33" applyNumberFormat="1" applyFont="1" applyBorder="1" applyProtection="1">
      <protection locked="0"/>
    </xf>
    <xf numFmtId="3" fontId="10" fillId="0" borderId="0" xfId="34" applyNumberFormat="1" applyFont="1" applyProtection="1">
      <protection locked="0"/>
    </xf>
    <xf numFmtId="166" fontId="10" fillId="0" borderId="0" xfId="93" applyFont="1" applyAlignment="1" applyProtection="1">
      <alignment horizontal="left"/>
      <protection locked="0"/>
    </xf>
    <xf numFmtId="166" fontId="10" fillId="0" borderId="0" xfId="93" applyFont="1"/>
    <xf numFmtId="3" fontId="10" fillId="0" borderId="0" xfId="93" applyNumberFormat="1" applyFont="1" applyProtection="1">
      <protection locked="0"/>
    </xf>
    <xf numFmtId="3" fontId="10" fillId="0" borderId="0" xfId="93" applyNumberFormat="1" applyFont="1"/>
    <xf numFmtId="2" fontId="10" fillId="0" borderId="0" xfId="93" applyNumberFormat="1" applyFont="1" applyAlignment="1">
      <alignment horizontal="left"/>
    </xf>
    <xf numFmtId="3" fontId="10" fillId="0" borderId="1" xfId="93" applyNumberFormat="1" applyFont="1" applyBorder="1" applyProtection="1">
      <protection locked="0"/>
    </xf>
    <xf numFmtId="166" fontId="10" fillId="0" borderId="0" xfId="93" applyNumberFormat="1" applyFont="1" applyProtection="1">
      <protection locked="0"/>
    </xf>
    <xf numFmtId="167" fontId="10" fillId="0" borderId="0" xfId="93" applyNumberFormat="1" applyFont="1" applyAlignment="1" applyProtection="1">
      <alignment horizontal="left"/>
      <protection locked="0"/>
    </xf>
    <xf numFmtId="166" fontId="10" fillId="0" borderId="0" xfId="93" applyFont="1" applyProtection="1">
      <protection locked="0"/>
    </xf>
    <xf numFmtId="3" fontId="10" fillId="0" borderId="1" xfId="93" applyNumberFormat="1" applyFont="1" applyBorder="1"/>
    <xf numFmtId="3" fontId="10" fillId="0" borderId="0" xfId="93" applyNumberFormat="1" applyFont="1" applyBorder="1"/>
    <xf numFmtId="3" fontId="10" fillId="0" borderId="2" xfId="93" applyNumberFormat="1" applyFont="1" applyBorder="1"/>
    <xf numFmtId="3" fontId="10" fillId="0" borderId="0" xfId="42" applyNumberFormat="1" applyFont="1" applyBorder="1"/>
    <xf numFmtId="3" fontId="10" fillId="0" borderId="0" xfId="80" applyNumberFormat="1" applyFont="1" applyBorder="1" applyProtection="1">
      <protection locked="0"/>
    </xf>
    <xf numFmtId="3" fontId="10" fillId="0" borderId="0" xfId="60" applyNumberFormat="1" applyFont="1" applyBorder="1" applyProtection="1">
      <protection locked="0"/>
    </xf>
    <xf numFmtId="165" fontId="10" fillId="0" borderId="0" xfId="60" applyNumberFormat="1" applyFont="1" applyProtection="1">
      <protection locked="0"/>
    </xf>
    <xf numFmtId="3" fontId="10" fillId="0" borderId="0" xfId="61" applyNumberFormat="1" applyFont="1" applyProtection="1">
      <protection locked="0"/>
    </xf>
    <xf numFmtId="164" fontId="10" fillId="0" borderId="0" xfId="60" applyFont="1" applyAlignment="1" applyProtection="1">
      <alignment horizontal="right"/>
      <protection locked="0"/>
    </xf>
    <xf numFmtId="164" fontId="10" fillId="0" borderId="0" xfId="21" applyFont="1" applyAlignment="1" applyProtection="1">
      <alignment horizontal="right"/>
      <protection locked="0"/>
    </xf>
    <xf numFmtId="3" fontId="10" fillId="0" borderId="0" xfId="0" applyNumberFormat="1" applyFont="1" applyBorder="1" applyAlignment="1"/>
    <xf numFmtId="164" fontId="11" fillId="2" borderId="0" xfId="44" applyFont="1" applyFill="1" applyAlignment="1" applyProtection="1">
      <alignment horizontal="right"/>
      <protection locked="0"/>
    </xf>
    <xf numFmtId="3" fontId="11" fillId="2" borderId="0" xfId="44" applyNumberFormat="1" applyFont="1" applyFill="1" applyBorder="1"/>
    <xf numFmtId="3" fontId="10" fillId="0" borderId="0" xfId="0" applyNumberFormat="1" applyFont="1" applyBorder="1" applyAlignment="1" applyProtection="1">
      <alignment horizontal="right"/>
      <protection locked="0"/>
    </xf>
    <xf numFmtId="164" fontId="10" fillId="0" borderId="0" xfId="60" applyFont="1" applyAlignment="1">
      <alignment horizontal="left"/>
    </xf>
    <xf numFmtId="167" fontId="10" fillId="0" borderId="0" xfId="60" applyNumberFormat="1" applyFont="1" applyAlignment="1" applyProtection="1">
      <alignment horizontal="left"/>
      <protection locked="0"/>
    </xf>
    <xf numFmtId="164" fontId="10" fillId="0" borderId="0" xfId="12" applyFont="1" applyAlignment="1" applyProtection="1">
      <alignment horizontal="left"/>
      <protection locked="0"/>
    </xf>
    <xf numFmtId="164" fontId="10" fillId="0" borderId="0" xfId="12" applyFont="1"/>
    <xf numFmtId="164" fontId="10" fillId="0" borderId="0" xfId="12" applyFont="1" applyProtection="1">
      <protection locked="0"/>
    </xf>
    <xf numFmtId="3" fontId="10" fillId="0" borderId="0" xfId="12" applyNumberFormat="1" applyFont="1" applyProtection="1">
      <protection locked="0"/>
    </xf>
    <xf numFmtId="3" fontId="10" fillId="0" borderId="0" xfId="12" applyNumberFormat="1" applyFont="1"/>
    <xf numFmtId="3" fontId="10" fillId="0" borderId="1" xfId="12" applyNumberFormat="1" applyFont="1" applyBorder="1" applyProtection="1">
      <protection locked="0"/>
    </xf>
    <xf numFmtId="3" fontId="10" fillId="0" borderId="2" xfId="12" applyNumberFormat="1" applyFont="1" applyBorder="1" applyProtection="1">
      <protection locked="0"/>
    </xf>
    <xf numFmtId="166" fontId="10" fillId="0" borderId="0" xfId="12" applyNumberFormat="1" applyFont="1" applyAlignment="1" applyProtection="1">
      <alignment horizontal="left"/>
      <protection locked="0"/>
    </xf>
    <xf numFmtId="3" fontId="10" fillId="0" borderId="0" xfId="13" applyNumberFormat="1" applyFont="1" applyProtection="1">
      <protection locked="0"/>
    </xf>
    <xf numFmtId="3" fontId="10" fillId="0" borderId="0" xfId="13" applyNumberFormat="1" applyFont="1" applyBorder="1" applyProtection="1">
      <protection locked="0"/>
    </xf>
    <xf numFmtId="164" fontId="10" fillId="0" borderId="0" xfId="18" applyFont="1" applyAlignment="1" applyProtection="1">
      <alignment horizontal="left"/>
      <protection locked="0"/>
    </xf>
    <xf numFmtId="164" fontId="10" fillId="0" borderId="0" xfId="18" applyFont="1"/>
    <xf numFmtId="164" fontId="10" fillId="0" borderId="0" xfId="18" applyFont="1" applyProtection="1">
      <protection locked="0"/>
    </xf>
    <xf numFmtId="3" fontId="10" fillId="0" borderId="0" xfId="18" applyNumberFormat="1" applyFont="1" applyProtection="1">
      <protection locked="0"/>
    </xf>
    <xf numFmtId="3" fontId="10" fillId="0" borderId="0" xfId="18" applyNumberFormat="1" applyFont="1"/>
    <xf numFmtId="3" fontId="10" fillId="0" borderId="1" xfId="18" applyNumberFormat="1" applyFont="1" applyBorder="1" applyProtection="1">
      <protection locked="0"/>
    </xf>
    <xf numFmtId="3" fontId="10" fillId="0" borderId="2" xfId="18" applyNumberFormat="1" applyFont="1" applyBorder="1" applyProtection="1">
      <protection locked="0"/>
    </xf>
    <xf numFmtId="166" fontId="10" fillId="0" borderId="0" xfId="18" applyNumberFormat="1" applyFont="1" applyAlignment="1" applyProtection="1">
      <alignment horizontal="left"/>
      <protection locked="0"/>
    </xf>
    <xf numFmtId="3" fontId="10" fillId="0" borderId="0" xfId="19" applyNumberFormat="1" applyFont="1" applyProtection="1">
      <protection locked="0"/>
    </xf>
    <xf numFmtId="3" fontId="10" fillId="0" borderId="0" xfId="19" applyNumberFormat="1" applyFont="1" applyBorder="1" applyProtection="1">
      <protection locked="0"/>
    </xf>
    <xf numFmtId="164" fontId="10" fillId="0" borderId="0" xfId="54" applyFont="1" applyAlignment="1" applyProtection="1">
      <alignment horizontal="left"/>
      <protection locked="0"/>
    </xf>
    <xf numFmtId="164" fontId="10" fillId="0" borderId="0" xfId="54" applyFont="1"/>
    <xf numFmtId="164" fontId="10" fillId="0" borderId="0" xfId="54" applyFont="1" applyProtection="1">
      <protection locked="0"/>
    </xf>
    <xf numFmtId="3" fontId="10" fillId="0" borderId="0" xfId="54" applyNumberFormat="1" applyFont="1" applyProtection="1">
      <protection locked="0"/>
    </xf>
    <xf numFmtId="3" fontId="10" fillId="0" borderId="0" xfId="54" applyNumberFormat="1" applyFont="1"/>
    <xf numFmtId="166" fontId="10" fillId="0" borderId="0" xfId="54" applyNumberFormat="1" applyFont="1" applyAlignment="1" applyProtection="1">
      <alignment horizontal="left"/>
      <protection locked="0"/>
    </xf>
    <xf numFmtId="3" fontId="10" fillId="0" borderId="0" xfId="55" applyNumberFormat="1" applyFont="1" applyProtection="1">
      <protection locked="0"/>
    </xf>
    <xf numFmtId="3" fontId="10" fillId="0" borderId="0" xfId="55" applyNumberFormat="1" applyFont="1" applyBorder="1" applyProtection="1">
      <protection locked="0"/>
    </xf>
    <xf numFmtId="164" fontId="10" fillId="0" borderId="0" xfId="20" applyFont="1" applyAlignment="1" applyProtection="1">
      <alignment horizontal="left"/>
      <protection locked="0"/>
    </xf>
    <xf numFmtId="164" fontId="10" fillId="0" borderId="0" xfId="20" applyFont="1"/>
    <xf numFmtId="164" fontId="10" fillId="0" borderId="0" xfId="20" applyFont="1" applyAlignment="1" applyProtection="1">
      <alignment horizontal="right"/>
      <protection locked="0"/>
    </xf>
    <xf numFmtId="3" fontId="10" fillId="0" borderId="0" xfId="20" applyNumberFormat="1" applyFont="1" applyProtection="1">
      <protection locked="0"/>
    </xf>
    <xf numFmtId="3" fontId="10" fillId="0" borderId="1" xfId="20" applyNumberFormat="1" applyFont="1" applyBorder="1" applyProtection="1">
      <protection locked="0"/>
    </xf>
    <xf numFmtId="164" fontId="10" fillId="0" borderId="0" xfId="20" applyFont="1" applyProtection="1">
      <protection locked="0"/>
    </xf>
    <xf numFmtId="3" fontId="10" fillId="0" borderId="0" xfId="20" applyNumberFormat="1" applyFont="1"/>
    <xf numFmtId="166" fontId="10" fillId="0" borderId="0" xfId="20" applyNumberFormat="1" applyFont="1" applyProtection="1">
      <protection locked="0"/>
    </xf>
    <xf numFmtId="167" fontId="10" fillId="0" borderId="0" xfId="20" applyNumberFormat="1" applyFont="1" applyAlignment="1" applyProtection="1">
      <alignment horizontal="left"/>
      <protection locked="0"/>
    </xf>
    <xf numFmtId="3" fontId="10" fillId="0" borderId="0" xfId="20" applyNumberFormat="1" applyFont="1" applyBorder="1" applyProtection="1">
      <protection locked="0"/>
    </xf>
    <xf numFmtId="3" fontId="10" fillId="0" borderId="2" xfId="20" applyNumberFormat="1" applyFont="1" applyBorder="1" applyProtection="1">
      <protection locked="0"/>
    </xf>
    <xf numFmtId="167" fontId="10" fillId="0" borderId="0" xfId="20" applyNumberFormat="1" applyFont="1" applyAlignment="1">
      <alignment horizontal="left"/>
    </xf>
    <xf numFmtId="164" fontId="18" fillId="0" borderId="0" xfId="106" applyFont="1" applyProtection="1">
      <protection locked="0"/>
    </xf>
    <xf numFmtId="167" fontId="10" fillId="0" borderId="0" xfId="106" applyNumberFormat="1" applyFont="1" applyAlignment="1" applyProtection="1">
      <alignment horizontal="left"/>
      <protection locked="0"/>
    </xf>
    <xf numFmtId="164" fontId="10" fillId="0" borderId="0" xfId="30" applyFont="1" applyAlignment="1" applyProtection="1">
      <alignment horizontal="left"/>
      <protection locked="0"/>
    </xf>
    <xf numFmtId="164" fontId="10" fillId="0" borderId="0" xfId="30" applyFont="1"/>
    <xf numFmtId="164" fontId="10" fillId="0" borderId="0" xfId="30" applyFont="1" applyProtection="1">
      <protection locked="0"/>
    </xf>
    <xf numFmtId="3" fontId="10" fillId="0" borderId="0" xfId="30" applyNumberFormat="1" applyFont="1" applyProtection="1">
      <protection locked="0"/>
    </xf>
    <xf numFmtId="3" fontId="10" fillId="0" borderId="0" xfId="30" applyNumberFormat="1" applyFont="1"/>
    <xf numFmtId="3" fontId="10" fillId="0" borderId="1" xfId="30" applyNumberFormat="1" applyFont="1" applyBorder="1" applyProtection="1">
      <protection locked="0"/>
    </xf>
    <xf numFmtId="166" fontId="10" fillId="0" borderId="0" xfId="30" applyNumberFormat="1" applyFont="1" applyAlignment="1" applyProtection="1">
      <alignment horizontal="left"/>
      <protection locked="0"/>
    </xf>
    <xf numFmtId="3" fontId="10" fillId="0" borderId="0" xfId="32" applyNumberFormat="1" applyFont="1" applyProtection="1">
      <protection locked="0"/>
    </xf>
    <xf numFmtId="164" fontId="10" fillId="0" borderId="0" xfId="30" quotePrefix="1" applyFont="1"/>
    <xf numFmtId="164" fontId="10" fillId="0" borderId="0" xfId="1" applyFont="1" applyProtection="1">
      <protection locked="0"/>
    </xf>
    <xf numFmtId="164" fontId="10" fillId="0" borderId="0" xfId="56" applyFont="1" applyAlignment="1" applyProtection="1">
      <alignment horizontal="left"/>
      <protection locked="0"/>
    </xf>
    <xf numFmtId="164" fontId="10" fillId="0" borderId="0" xfId="56" applyFont="1"/>
    <xf numFmtId="164" fontId="10" fillId="0" borderId="0" xfId="56" applyFont="1" applyAlignment="1" applyProtection="1">
      <alignment horizontal="right"/>
      <protection locked="0"/>
    </xf>
    <xf numFmtId="3" fontId="10" fillId="0" borderId="0" xfId="56" applyNumberFormat="1" applyFont="1" applyProtection="1">
      <protection locked="0"/>
    </xf>
    <xf numFmtId="3" fontId="10" fillId="0" borderId="1" xfId="56" applyNumberFormat="1" applyFont="1" applyBorder="1" applyProtection="1">
      <protection locked="0"/>
    </xf>
    <xf numFmtId="3" fontId="10" fillId="0" borderId="0" xfId="56" applyNumberFormat="1" applyFont="1"/>
    <xf numFmtId="3" fontId="10" fillId="0" borderId="0" xfId="56" applyNumberFormat="1" applyFont="1" applyBorder="1" applyProtection="1">
      <protection locked="0"/>
    </xf>
    <xf numFmtId="167" fontId="10" fillId="0" borderId="0" xfId="56" applyNumberFormat="1" applyFont="1" applyAlignment="1">
      <alignment horizontal="left"/>
    </xf>
    <xf numFmtId="164" fontId="10" fillId="0" borderId="0" xfId="56" applyFont="1" applyProtection="1">
      <protection locked="0"/>
    </xf>
    <xf numFmtId="167" fontId="10" fillId="0" borderId="0" xfId="30" applyNumberFormat="1" applyFont="1" applyAlignment="1" applyProtection="1">
      <alignment horizontal="left"/>
      <protection locked="0"/>
    </xf>
    <xf numFmtId="3" fontId="10" fillId="0" borderId="0" xfId="31" applyNumberFormat="1" applyFont="1" applyProtection="1">
      <protection locked="0"/>
    </xf>
    <xf numFmtId="3" fontId="10" fillId="0" borderId="0" xfId="31" applyNumberFormat="1" applyFont="1" applyBorder="1" applyProtection="1">
      <protection locked="0"/>
    </xf>
    <xf numFmtId="164" fontId="10" fillId="0" borderId="0" xfId="30" applyFont="1" applyAlignment="1" applyProtection="1">
      <alignment horizontal="right"/>
      <protection locked="0"/>
    </xf>
    <xf numFmtId="164" fontId="10" fillId="0" borderId="0" xfId="9" applyFont="1" applyAlignment="1" applyProtection="1">
      <alignment horizontal="left"/>
      <protection locked="0"/>
    </xf>
    <xf numFmtId="164" fontId="10" fillId="0" borderId="0" xfId="9" applyFont="1"/>
    <xf numFmtId="164" fontId="10" fillId="0" borderId="0" xfId="9" applyFont="1" applyAlignment="1" applyProtection="1">
      <alignment horizontal="right"/>
      <protection locked="0"/>
    </xf>
    <xf numFmtId="3" fontId="10" fillId="0" borderId="0" xfId="9" applyNumberFormat="1" applyFont="1" applyProtection="1">
      <protection locked="0"/>
    </xf>
    <xf numFmtId="165" fontId="10" fillId="0" borderId="0" xfId="9" applyNumberFormat="1" applyFont="1" applyAlignment="1" applyProtection="1">
      <alignment horizontal="left"/>
      <protection locked="0"/>
    </xf>
    <xf numFmtId="3" fontId="10" fillId="0" borderId="0" xfId="9" applyNumberFormat="1" applyFont="1"/>
    <xf numFmtId="3" fontId="10" fillId="0" borderId="1" xfId="9" applyNumberFormat="1" applyFont="1" applyBorder="1" applyProtection="1">
      <protection locked="0"/>
    </xf>
    <xf numFmtId="3" fontId="10" fillId="0" borderId="0" xfId="10" applyNumberFormat="1" applyFont="1" applyProtection="1">
      <protection locked="0"/>
    </xf>
    <xf numFmtId="3" fontId="10" fillId="0" borderId="0" xfId="9" applyNumberFormat="1" applyFont="1" applyBorder="1" applyProtection="1">
      <protection locked="0"/>
    </xf>
    <xf numFmtId="164" fontId="10" fillId="0" borderId="0" xfId="45" applyFont="1" applyAlignment="1" applyProtection="1">
      <alignment horizontal="left"/>
      <protection locked="0"/>
    </xf>
    <xf numFmtId="164" fontId="10" fillId="0" borderId="0" xfId="45" applyFont="1"/>
    <xf numFmtId="164" fontId="10" fillId="0" borderId="0" xfId="45" applyFont="1" applyProtection="1">
      <protection locked="0"/>
    </xf>
    <xf numFmtId="3" fontId="10" fillId="0" borderId="0" xfId="45" applyNumberFormat="1" applyFont="1" applyProtection="1">
      <protection locked="0"/>
    </xf>
    <xf numFmtId="3" fontId="10" fillId="0" borderId="0" xfId="45" applyNumberFormat="1" applyFont="1"/>
    <xf numFmtId="3" fontId="10" fillId="0" borderId="0" xfId="46" applyNumberFormat="1" applyFont="1" applyProtection="1">
      <protection locked="0"/>
    </xf>
    <xf numFmtId="3" fontId="10" fillId="0" borderId="0" xfId="60" applyNumberFormat="1" applyFont="1" applyBorder="1"/>
    <xf numFmtId="3" fontId="16" fillId="0" borderId="0" xfId="0" applyNumberFormat="1" applyFont="1" applyBorder="1" applyAlignment="1" applyProtection="1">
      <protection locked="0"/>
    </xf>
    <xf numFmtId="3" fontId="17" fillId="0" borderId="0" xfId="0" applyNumberFormat="1" applyFont="1" applyAlignment="1"/>
    <xf numFmtId="3" fontId="10" fillId="0" borderId="1" xfId="42" applyNumberFormat="1" applyFont="1" applyBorder="1" applyProtection="1">
      <protection locked="0"/>
    </xf>
    <xf numFmtId="3" fontId="10" fillId="0" borderId="2" xfId="42" applyNumberFormat="1" applyFont="1" applyBorder="1" applyProtection="1">
      <protection locked="0"/>
    </xf>
    <xf numFmtId="3" fontId="10" fillId="0" borderId="2" xfId="62" applyNumberFormat="1" applyFont="1" applyBorder="1" applyProtection="1">
      <protection locked="0"/>
    </xf>
    <xf numFmtId="3" fontId="10" fillId="0" borderId="2" xfId="80" applyNumberFormat="1" applyFont="1" applyBorder="1" applyProtection="1">
      <protection locked="0"/>
    </xf>
    <xf numFmtId="3" fontId="10" fillId="0" borderId="1" xfId="0" applyNumberFormat="1" applyFont="1" applyBorder="1" applyAlignment="1" applyProtection="1">
      <protection locked="0"/>
    </xf>
    <xf numFmtId="3" fontId="10" fillId="0" borderId="2" xfId="0" applyNumberFormat="1" applyFont="1" applyBorder="1" applyAlignment="1" applyProtection="1">
      <protection locked="0"/>
    </xf>
    <xf numFmtId="164" fontId="12" fillId="0" borderId="0" xfId="37" applyFont="1"/>
    <xf numFmtId="3" fontId="10" fillId="0" borderId="2" xfId="86" applyNumberFormat="1" applyFont="1" applyBorder="1" applyProtection="1">
      <protection locked="0"/>
    </xf>
    <xf numFmtId="3" fontId="10" fillId="0" borderId="0" xfId="0" applyNumberFormat="1" applyFont="1" applyAlignment="1">
      <alignment horizontal="right"/>
    </xf>
    <xf numFmtId="3" fontId="10" fillId="0" borderId="0" xfId="85" applyNumberFormat="1" applyFont="1" applyAlignment="1"/>
    <xf numFmtId="3" fontId="10" fillId="0" borderId="1" xfId="0" applyNumberFormat="1" applyFont="1" applyBorder="1" applyAlignment="1"/>
    <xf numFmtId="3" fontId="10" fillId="0" borderId="2" xfId="0" applyNumberFormat="1" applyFont="1" applyBorder="1" applyAlignment="1"/>
    <xf numFmtId="3" fontId="4" fillId="0" borderId="0" xfId="0" applyNumberFormat="1" applyFont="1" applyBorder="1" applyAlignment="1"/>
    <xf numFmtId="3" fontId="10" fillId="0" borderId="2" xfId="85" applyNumberFormat="1" applyFont="1" applyBorder="1" applyProtection="1">
      <protection locked="0"/>
    </xf>
    <xf numFmtId="3" fontId="11" fillId="0" borderId="0" xfId="0" applyNumberFormat="1" applyFont="1" applyAlignment="1"/>
    <xf numFmtId="3" fontId="10" fillId="0" borderId="0" xfId="0" applyNumberFormat="1" applyFont="1" applyAlignment="1">
      <alignment vertical="top"/>
    </xf>
    <xf numFmtId="3" fontId="10" fillId="0" borderId="2" xfId="28" applyNumberFormat="1" applyFont="1" applyBorder="1" applyProtection="1">
      <protection locked="0"/>
    </xf>
    <xf numFmtId="3" fontId="10" fillId="0" borderId="2" xfId="0" applyNumberFormat="1" applyFont="1" applyBorder="1"/>
    <xf numFmtId="3" fontId="10" fillId="0" borderId="1" xfId="0" applyNumberFormat="1" applyFont="1" applyBorder="1" applyAlignment="1" applyProtection="1">
      <alignment horizontal="right"/>
      <protection locked="0"/>
    </xf>
    <xf numFmtId="3" fontId="11" fillId="0" borderId="2" xfId="71" applyNumberFormat="1" applyFont="1" applyBorder="1" applyProtection="1">
      <protection locked="0"/>
    </xf>
    <xf numFmtId="3" fontId="10" fillId="0" borderId="2" xfId="21" applyNumberFormat="1" applyFont="1" applyBorder="1" applyProtection="1">
      <protection locked="0"/>
    </xf>
    <xf numFmtId="3" fontId="10" fillId="0" borderId="2" xfId="87" applyNumberFormat="1" applyFont="1" applyBorder="1" applyProtection="1">
      <protection locked="0"/>
    </xf>
    <xf numFmtId="3" fontId="10" fillId="0" borderId="2" xfId="92" applyNumberFormat="1" applyFont="1" applyBorder="1" applyProtection="1">
      <protection locked="0"/>
    </xf>
    <xf numFmtId="3" fontId="10" fillId="0" borderId="1" xfId="96" applyNumberFormat="1" applyFont="1" applyBorder="1"/>
    <xf numFmtId="3" fontId="10" fillId="0" borderId="2" xfId="96" applyNumberFormat="1" applyFont="1" applyBorder="1"/>
    <xf numFmtId="3" fontId="10" fillId="0" borderId="2" xfId="108" applyNumberFormat="1" applyFont="1" applyBorder="1" applyProtection="1">
      <protection locked="0"/>
    </xf>
    <xf numFmtId="0" fontId="11" fillId="0" borderId="0" xfId="110" applyFont="1" applyFill="1" applyBorder="1" applyAlignment="1">
      <alignment wrapText="1"/>
    </xf>
    <xf numFmtId="3" fontId="10" fillId="0" borderId="2" xfId="100" applyNumberFormat="1" applyFont="1" applyBorder="1" applyProtection="1"/>
    <xf numFmtId="3" fontId="3" fillId="0" borderId="0" xfId="0" applyNumberFormat="1" applyFont="1" applyAlignment="1"/>
    <xf numFmtId="3" fontId="20" fillId="0" borderId="0" xfId="0" applyNumberFormat="1" applyFont="1"/>
    <xf numFmtId="3" fontId="10" fillId="0" borderId="1" xfId="1" applyNumberFormat="1" applyFont="1" applyBorder="1" applyProtection="1">
      <protection locked="0"/>
    </xf>
    <xf numFmtId="3" fontId="10" fillId="0" borderId="2" xfId="1" applyNumberFormat="1" applyFont="1" applyBorder="1" applyProtection="1">
      <protection locked="0"/>
    </xf>
    <xf numFmtId="3" fontId="10" fillId="0" borderId="1" xfId="75" applyNumberFormat="1" applyFont="1" applyBorder="1"/>
    <xf numFmtId="3" fontId="10" fillId="0" borderId="2" xfId="75" applyNumberFormat="1" applyFont="1" applyBorder="1"/>
    <xf numFmtId="0" fontId="0" fillId="0" borderId="0" xfId="0" applyAlignment="1">
      <alignment horizontal="center"/>
    </xf>
    <xf numFmtId="0" fontId="10" fillId="0" borderId="0" xfId="0" applyFont="1" applyBorder="1" applyAlignment="1" applyProtection="1">
      <protection locked="0"/>
    </xf>
    <xf numFmtId="3" fontId="10" fillId="0" borderId="0" xfId="0" applyNumberFormat="1" applyFont="1" applyAlignment="1">
      <alignment vertical="center"/>
    </xf>
    <xf numFmtId="167" fontId="10" fillId="0" borderId="0" xfId="88" applyNumberFormat="1" applyFont="1" applyAlignment="1" applyProtection="1">
      <alignment horizontal="left"/>
      <protection locked="0"/>
    </xf>
    <xf numFmtId="0" fontId="21" fillId="0" borderId="0" xfId="0" applyFont="1" applyBorder="1" applyProtection="1"/>
    <xf numFmtId="0" fontId="10" fillId="0" borderId="0" xfId="0" applyFont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3" fontId="10" fillId="0" borderId="0" xfId="11" applyNumberFormat="1" applyFont="1" applyBorder="1" applyProtection="1">
      <protection locked="0"/>
    </xf>
    <xf numFmtId="164" fontId="10" fillId="0" borderId="0" xfId="0" quotePrefix="1" applyNumberFormat="1" applyFont="1"/>
    <xf numFmtId="164" fontId="10" fillId="0" borderId="0" xfId="27" applyFont="1" applyAlignment="1">
      <alignment horizontal="left"/>
    </xf>
    <xf numFmtId="0" fontId="10" fillId="0" borderId="0" xfId="0" quotePrefix="1" applyNumberFormat="1" applyFont="1" applyAlignment="1">
      <alignment horizontal="left"/>
    </xf>
    <xf numFmtId="0" fontId="10" fillId="0" borderId="0" xfId="0" applyFont="1" applyAlignment="1">
      <alignment horizontal="left"/>
    </xf>
    <xf numFmtId="164" fontId="10" fillId="0" borderId="0" xfId="28" applyFont="1" applyAlignment="1">
      <alignment horizontal="left"/>
    </xf>
    <xf numFmtId="164" fontId="10" fillId="0" borderId="0" xfId="39" applyFont="1" applyAlignment="1">
      <alignment horizontal="left"/>
    </xf>
    <xf numFmtId="164" fontId="10" fillId="0" borderId="0" xfId="38" applyFont="1" applyAlignment="1"/>
    <xf numFmtId="0" fontId="10" fillId="0" borderId="0" xfId="0" quotePrefix="1" applyNumberFormat="1" applyFont="1" applyAlignment="1"/>
    <xf numFmtId="0" fontId="10" fillId="0" borderId="0" xfId="0" applyFont="1" applyAlignment="1"/>
    <xf numFmtId="164" fontId="10" fillId="0" borderId="0" xfId="40" applyFont="1" applyAlignment="1"/>
    <xf numFmtId="164" fontId="10" fillId="0" borderId="0" xfId="71" applyFont="1" applyAlignment="1"/>
    <xf numFmtId="164" fontId="10" fillId="0" borderId="0" xfId="74" applyFont="1" applyAlignment="1"/>
    <xf numFmtId="164" fontId="10" fillId="0" borderId="0" xfId="82" applyFont="1" applyAlignment="1"/>
    <xf numFmtId="164" fontId="10" fillId="0" borderId="0" xfId="83" applyFont="1" applyAlignment="1"/>
    <xf numFmtId="164" fontId="10" fillId="0" borderId="0" xfId="86" applyFont="1" applyAlignment="1"/>
    <xf numFmtId="166" fontId="10" fillId="0" borderId="0" xfId="93" applyFont="1" applyAlignment="1"/>
    <xf numFmtId="49" fontId="10" fillId="0" borderId="0" xfId="100" applyNumberFormat="1" applyFont="1" applyAlignment="1" applyProtection="1">
      <alignment horizontal="left"/>
      <protection locked="0"/>
    </xf>
    <xf numFmtId="3" fontId="1" fillId="0" borderId="0" xfId="112" applyNumberFormat="1" applyFont="1" applyFill="1" applyBorder="1" applyAlignment="1" applyProtection="1">
      <protection locked="0"/>
    </xf>
    <xf numFmtId="164" fontId="10" fillId="0" borderId="0" xfId="6" applyFont="1" applyAlignment="1" applyProtection="1">
      <alignment horizontal="center"/>
      <protection locked="0"/>
    </xf>
  </cellXfs>
  <cellStyles count="114">
    <cellStyle name="Bad" xfId="112" builtinId="27"/>
    <cellStyle name="Normal" xfId="0" builtinId="0"/>
    <cellStyle name="Normal 2" xfId="109"/>
    <cellStyle name="Normal 3" xfId="111"/>
    <cellStyle name="Normal 4" xfId="113"/>
    <cellStyle name="Normal_AVON" xfId="1"/>
    <cellStyle name="Normal_BARKDAG" xfId="2"/>
    <cellStyle name="Normal_BARKDAG_Barking and Havering" xfId="3"/>
    <cellStyle name="Normal_BARNET" xfId="4"/>
    <cellStyle name="Normal_BARNET_BARNET" xfId="5"/>
    <cellStyle name="Normal_BEDS" xfId="6"/>
    <cellStyle name="Normal_BERKS" xfId="7"/>
    <cellStyle name="Normal_BEXGREEN" xfId="8"/>
    <cellStyle name="Normal_BEXGREEN (2)" xfId="9"/>
    <cellStyle name="Normal_BEXGREEN (2)_Bexley and Greenwich" xfId="10"/>
    <cellStyle name="Normal_BEXGREEN_Bexley and Greenwich" xfId="11"/>
    <cellStyle name="Normal_BRENT" xfId="12"/>
    <cellStyle name="Normal_BRENT_Brent and Westminster" xfId="13"/>
    <cellStyle name="Normal_BROMLEY" xfId="14"/>
    <cellStyle name="Normal_BROMLEY_Bromley and Lewisham" xfId="15"/>
    <cellStyle name="Normal_BUCKS" xfId="16"/>
    <cellStyle name="Normal_CAMBS" xfId="17"/>
    <cellStyle name="Normal_CAMDEN" xfId="18"/>
    <cellStyle name="Normal_CAMDEN_CAMDEN" xfId="19"/>
    <cellStyle name="Normal_CHESHIRE" xfId="20"/>
    <cellStyle name="Normal_CLEVELAND" xfId="21"/>
    <cellStyle name="Normal_CORNWALL" xfId="22"/>
    <cellStyle name="Normal_CROYDON" xfId="23"/>
    <cellStyle name="Normal_CROYDON_CROYDON" xfId="24"/>
    <cellStyle name="Normal_CUMBRIA" xfId="25"/>
    <cellStyle name="Normal_DERBY" xfId="26"/>
    <cellStyle name="Normal_DEVON" xfId="27"/>
    <cellStyle name="Normal_DORSET" xfId="28"/>
    <cellStyle name="Normal_DURHAM" xfId="29"/>
    <cellStyle name="Normal_EALIHAMM (2)" xfId="30"/>
    <cellStyle name="Normal_EALIHAMM (2)_Ealing" xfId="31"/>
    <cellStyle name="Normal_EALIHAMM (2)_Hammersmith and Kensington" xfId="32"/>
    <cellStyle name="Normal_ENFIELD" xfId="33"/>
    <cellStyle name="Normal_ENFIELD_ENFIELD" xfId="34"/>
    <cellStyle name="Normal_ENGLAN99" xfId="35"/>
    <cellStyle name="Normal_ENGLAND" xfId="36"/>
    <cellStyle name="Normal_ENGLAND2000" xfId="37"/>
    <cellStyle name="Normal_ESSEX" xfId="38"/>
    <cellStyle name="Normal_ESUSSEX" xfId="39"/>
    <cellStyle name="Normal_GLOUCS" xfId="40"/>
    <cellStyle name="Normal_GTRMANCHESTER" xfId="41"/>
    <cellStyle name="Normal_HACKNEY" xfId="42"/>
    <cellStyle name="Normal_HACKNEY_HACKNEY" xfId="43"/>
    <cellStyle name="Normal_HAMPSHIR" xfId="44"/>
    <cellStyle name="Normal_HARINGEY" xfId="45"/>
    <cellStyle name="Normal_HARINGEY_HARINGEY" xfId="46"/>
    <cellStyle name="Normal_HARROW" xfId="47"/>
    <cellStyle name="Normal_HARROW_Harrow and Hillingdon" xfId="48"/>
    <cellStyle name="Normal_HAVERING" xfId="49"/>
    <cellStyle name="Normal_HAVERING_Barking and Havering" xfId="50"/>
    <cellStyle name="Normal_HERTS" xfId="51"/>
    <cellStyle name="Normal_HILLINGD" xfId="52"/>
    <cellStyle name="Normal_HILLINGD_Harrow and Hillingdon" xfId="53"/>
    <cellStyle name="Normal_HOUNSLOW" xfId="54"/>
    <cellStyle name="Normal_HOUNSLOW_HOUNSLOW" xfId="55"/>
    <cellStyle name="Normal_HUMBER" xfId="56"/>
    <cellStyle name="Normal_IOWIGHT" xfId="57"/>
    <cellStyle name="Normal_ISLINGTO" xfId="58"/>
    <cellStyle name="Normal_ISLINGTO_Islington" xfId="59"/>
    <cellStyle name="Normal_KENCHEWM" xfId="60"/>
    <cellStyle name="Normal_KENCHEWM_Brent and Westminster" xfId="61"/>
    <cellStyle name="Normal_KENCHEWM_Hammersmith and Kensington" xfId="62"/>
    <cellStyle name="Normal_KENT" xfId="63"/>
    <cellStyle name="Normal_KINGRICH" xfId="64"/>
    <cellStyle name="Normal_KINGRICH_Kingston and Richmond" xfId="65"/>
    <cellStyle name="Normal_LAMSOUTH" xfId="66"/>
    <cellStyle name="Normal_LAMSOUTH (2)" xfId="67"/>
    <cellStyle name="Normal_LAMSOUTH (2)_Lambeth and Southwark" xfId="68"/>
    <cellStyle name="Normal_LAMSOUTH_Lambeth and Southwark" xfId="69"/>
    <cellStyle name="Normal_LANCS" xfId="70"/>
    <cellStyle name="Normal_LEICS" xfId="71"/>
    <cellStyle name="Normal_LEWISHAM" xfId="72"/>
    <cellStyle name="Normal_LEWISHAM_Bromley and Lewisham" xfId="73"/>
    <cellStyle name="Normal_LINCS" xfId="74"/>
    <cellStyle name="Normal_MERSEY" xfId="75"/>
    <cellStyle name="Normal_MERTON" xfId="76"/>
    <cellStyle name="Normal_MERTON_MERTON" xfId="77"/>
    <cellStyle name="Normal_NEWTOWER" xfId="78"/>
    <cellStyle name="Normal_NEWTOWER (2)" xfId="79"/>
    <cellStyle name="Normal_NEWTOWER (2)_Newham and Tower Hamlets" xfId="80"/>
    <cellStyle name="Normal_NEWTOWER_Newham and Tower Hamlets" xfId="81"/>
    <cellStyle name="Normal_NORFOLK" xfId="82"/>
    <cellStyle name="Normal_NORTHAMPTONSHIRE" xfId="83"/>
    <cellStyle name="Normal_NORTHUMB" xfId="84"/>
    <cellStyle name="Normal_NOTTS" xfId="85"/>
    <cellStyle name="Normal_NYORKS" xfId="86"/>
    <cellStyle name="Normal_OXFORD" xfId="87"/>
    <cellStyle name="Normal_REDWALTH" xfId="88"/>
    <cellStyle name="Normal_REDWALTH (2)" xfId="89"/>
    <cellStyle name="Normal_REDWALTH (2)_Redbridge and Waltham Forest" xfId="90"/>
    <cellStyle name="Normal_REDWALTH_Redbridge and Waltham Forest" xfId="91"/>
    <cellStyle name="Normal_Sheet1 2" xfId="110"/>
    <cellStyle name="Normal_SHROPSHIRE" xfId="92"/>
    <cellStyle name="Normal_SOMERSET" xfId="93"/>
    <cellStyle name="Normal_STAFFS" xfId="94"/>
    <cellStyle name="Normal_STHYORKS" xfId="95"/>
    <cellStyle name="Normal_SUFFOLK" xfId="96"/>
    <cellStyle name="Normal_SURREY" xfId="97"/>
    <cellStyle name="Normal_SUTTON" xfId="98"/>
    <cellStyle name="Normal_SUTTON_SUTTON" xfId="99"/>
    <cellStyle name="Normal_TYNEWEAR" xfId="100"/>
    <cellStyle name="Normal_WANDSWORTH" xfId="101"/>
    <cellStyle name="Normal_WANDSWORTH_Wandsworth" xfId="102"/>
    <cellStyle name="Normal_WARWICK" xfId="103"/>
    <cellStyle name="Normal_WESTMIDL" xfId="104"/>
    <cellStyle name="Normal_WESTYORKS" xfId="105"/>
    <cellStyle name="Normal_WILTS" xfId="106"/>
    <cellStyle name="Normal_WORCS" xfId="107"/>
    <cellStyle name="Normal_WSUSSEX" xfId="1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T474"/>
  <sheetViews>
    <sheetView showGridLines="0" tabSelected="1" topLeftCell="A451" zoomScale="83" zoomScaleNormal="83" workbookViewId="0">
      <selection activeCell="J468" sqref="J468"/>
    </sheetView>
  </sheetViews>
  <sheetFormatPr defaultColWidth="12.5703125" defaultRowHeight="15"/>
  <cols>
    <col min="1" max="1" width="46.42578125" style="20" bestFit="1" customWidth="1"/>
    <col min="2" max="10" width="12.5703125" style="20" customWidth="1"/>
    <col min="11" max="11" width="5.7109375" style="20" customWidth="1"/>
    <col min="12" max="20" width="10.7109375" style="20" customWidth="1"/>
    <col min="21" max="16384" width="12.5703125" style="20"/>
  </cols>
  <sheetData>
    <row r="1" spans="1:20">
      <c r="A1" s="173"/>
      <c r="C1" s="183" t="s">
        <v>6625</v>
      </c>
      <c r="D1" s="174"/>
      <c r="E1" s="174"/>
      <c r="F1" s="174"/>
      <c r="G1" s="174"/>
      <c r="H1" s="174"/>
      <c r="I1" s="174"/>
      <c r="J1" s="174"/>
      <c r="K1" s="174"/>
      <c r="M1" s="184" t="s">
        <v>6626</v>
      </c>
    </row>
    <row r="2" spans="1:20">
      <c r="A2" s="175" t="s">
        <v>6627</v>
      </c>
      <c r="B2" s="176">
        <v>2010</v>
      </c>
      <c r="C2" s="176">
        <v>2011</v>
      </c>
      <c r="D2" s="176">
        <v>2012</v>
      </c>
      <c r="E2" s="176">
        <v>2013</v>
      </c>
      <c r="F2" s="176">
        <v>2014</v>
      </c>
      <c r="G2" s="176">
        <v>2015</v>
      </c>
      <c r="H2" s="176">
        <v>2016</v>
      </c>
      <c r="I2" s="176">
        <v>2017</v>
      </c>
      <c r="J2" s="176">
        <v>2018</v>
      </c>
      <c r="K2" s="176"/>
      <c r="L2" s="20">
        <v>2010</v>
      </c>
      <c r="M2" s="20">
        <v>2011</v>
      </c>
      <c r="N2" s="20">
        <v>2012</v>
      </c>
      <c r="O2" s="176">
        <v>2013</v>
      </c>
      <c r="P2" s="20">
        <v>2014</v>
      </c>
      <c r="Q2" s="176">
        <v>2015</v>
      </c>
      <c r="R2" s="176">
        <v>2016</v>
      </c>
      <c r="S2" s="176">
        <v>2017</v>
      </c>
      <c r="T2" s="176">
        <v>2018</v>
      </c>
    </row>
    <row r="3" spans="1:20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</row>
    <row r="4" spans="1:20">
      <c r="A4" s="175" t="s">
        <v>2375</v>
      </c>
      <c r="B4" s="177">
        <f>BEDFORDSHIRE!D3</f>
        <v>110958</v>
      </c>
      <c r="C4" s="177">
        <f>BEDFORDSHIRE!E3</f>
        <v>112268</v>
      </c>
      <c r="D4" s="177">
        <f>BEDFORDSHIRE!F3</f>
        <v>114213</v>
      </c>
      <c r="E4" s="177">
        <f>BEDFORDSHIRE!G3</f>
        <v>115242</v>
      </c>
      <c r="F4" s="177">
        <f>BEDFORDSHIRE!H3</f>
        <v>117223</v>
      </c>
      <c r="G4" s="177">
        <f>BEDFORDSHIRE!I3</f>
        <v>114202</v>
      </c>
      <c r="H4" s="177">
        <f>BEDFORDSHIRE!J3</f>
        <v>118210</v>
      </c>
      <c r="I4" s="177">
        <f>BEDFORDSHIRE!K3</f>
        <v>119397</v>
      </c>
      <c r="J4" s="177">
        <f>BEDFORDSHIRE!L3</f>
        <v>120132</v>
      </c>
      <c r="K4" s="178"/>
      <c r="L4" s="179">
        <f t="shared" ref="L4:T19" si="0">B4/B$470</f>
        <v>1.4612811462887847</v>
      </c>
      <c r="M4" s="179">
        <f t="shared" si="0"/>
        <v>1.4648556255789982</v>
      </c>
      <c r="N4" s="179">
        <f t="shared" si="0"/>
        <v>1.4817270144393559</v>
      </c>
      <c r="O4" s="179">
        <f t="shared" si="0"/>
        <v>1.4871086793816295</v>
      </c>
      <c r="P4" s="179">
        <f t="shared" si="0"/>
        <v>1.5197318951435166</v>
      </c>
      <c r="Q4" s="179">
        <f t="shared" si="0"/>
        <v>1.5071396521234197</v>
      </c>
      <c r="R4" s="179">
        <f t="shared" si="0"/>
        <v>1.5810028220251708</v>
      </c>
      <c r="S4" s="179">
        <f t="shared" si="0"/>
        <v>1.5604391295824349</v>
      </c>
      <c r="T4" s="179">
        <f t="shared" si="0"/>
        <v>1.5570619418557929</v>
      </c>
    </row>
    <row r="5" spans="1:20">
      <c r="A5" s="175" t="s">
        <v>2376</v>
      </c>
      <c r="B5" s="177">
        <f>BEDFORDSHIRE!D4</f>
        <v>191765</v>
      </c>
      <c r="C5" s="177">
        <f>BEDFORDSHIRE!E4</f>
        <v>192536</v>
      </c>
      <c r="D5" s="177">
        <f>BEDFORDSHIRE!F4</f>
        <v>196284</v>
      </c>
      <c r="E5" s="177">
        <f>BEDFORDSHIRE!G4</f>
        <v>199191</v>
      </c>
      <c r="F5" s="177">
        <f>BEDFORDSHIRE!H4</f>
        <v>202078</v>
      </c>
      <c r="G5" s="177">
        <f>BEDFORDSHIRE!I4</f>
        <v>199782</v>
      </c>
      <c r="H5" s="177">
        <f>BEDFORDSHIRE!J4</f>
        <v>197493</v>
      </c>
      <c r="I5" s="177">
        <f>BEDFORDSHIRE!K4</f>
        <v>202047</v>
      </c>
      <c r="J5" s="177">
        <f>BEDFORDSHIRE!L4</f>
        <v>205651</v>
      </c>
      <c r="K5" s="178"/>
      <c r="L5" s="179">
        <f t="shared" si="0"/>
        <v>2.5254833271874837</v>
      </c>
      <c r="M5" s="179">
        <f t="shared" si="0"/>
        <v>2.5121801646638224</v>
      </c>
      <c r="N5" s="179">
        <f t="shared" si="0"/>
        <v>2.5464641091838454</v>
      </c>
      <c r="O5" s="179">
        <f t="shared" si="0"/>
        <v>2.5704054507445737</v>
      </c>
      <c r="P5" s="179">
        <f t="shared" si="0"/>
        <v>2.6198304249747193</v>
      </c>
      <c r="Q5" s="179">
        <f t="shared" si="0"/>
        <v>2.6365507957874734</v>
      </c>
      <c r="R5" s="179">
        <f t="shared" si="0"/>
        <v>2.6413754363439392</v>
      </c>
      <c r="S5" s="179">
        <f t="shared" si="0"/>
        <v>2.6406194863752206</v>
      </c>
      <c r="T5" s="179">
        <f t="shared" si="0"/>
        <v>2.6654958329552967</v>
      </c>
    </row>
    <row r="6" spans="1:20">
      <c r="A6" s="175" t="s">
        <v>8525</v>
      </c>
      <c r="B6" s="177">
        <f>BEDFORDSHIRE!D5</f>
        <v>126090</v>
      </c>
      <c r="C6" s="177">
        <f>BEDFORDSHIRE!E5</f>
        <v>127286</v>
      </c>
      <c r="D6" s="177">
        <f>BEDFORDSHIRE!F5</f>
        <v>131069</v>
      </c>
      <c r="E6" s="177">
        <f>BEDFORDSHIRE!G5</f>
        <v>134116</v>
      </c>
      <c r="F6" s="177">
        <f>BEDFORDSHIRE!H5</f>
        <v>131480</v>
      </c>
      <c r="G6" s="177">
        <f>BEDFORDSHIRE!I5</f>
        <v>125886</v>
      </c>
      <c r="H6" s="177">
        <f>BEDFORDSHIRE!J5</f>
        <v>123871</v>
      </c>
      <c r="I6" s="177">
        <f>BEDFORDSHIRE!K5</f>
        <v>127033</v>
      </c>
      <c r="J6" s="177">
        <f>BEDFORDSHIRE!L5</f>
        <v>127400</v>
      </c>
      <c r="K6" s="178"/>
      <c r="L6" s="179">
        <f t="shared" si="0"/>
        <v>1.6605647157983459</v>
      </c>
      <c r="M6" s="179">
        <f t="shared" si="0"/>
        <v>1.6608081836092954</v>
      </c>
      <c r="N6" s="179">
        <f t="shared" si="0"/>
        <v>1.7004060663457921</v>
      </c>
      <c r="O6" s="179">
        <f t="shared" si="0"/>
        <v>1.7306630190724444</v>
      </c>
      <c r="P6" s="179">
        <f t="shared" si="0"/>
        <v>1.7045660798091633</v>
      </c>
      <c r="Q6" s="179">
        <f t="shared" si="0"/>
        <v>1.6613350225671075</v>
      </c>
      <c r="R6" s="179">
        <f t="shared" si="0"/>
        <v>1.6567160186708396</v>
      </c>
      <c r="S6" s="179">
        <f t="shared" si="0"/>
        <v>1.6602365549238711</v>
      </c>
      <c r="T6" s="179">
        <f t="shared" si="0"/>
        <v>1.6512643707956918</v>
      </c>
    </row>
    <row r="7" spans="1:20">
      <c r="A7" s="181" t="s">
        <v>8526</v>
      </c>
      <c r="B7" s="177">
        <f t="shared" ref="B7:G7" si="1">SUM(B4:B6)</f>
        <v>428813</v>
      </c>
      <c r="C7" s="177">
        <f t="shared" si="1"/>
        <v>432090</v>
      </c>
      <c r="D7" s="177">
        <f t="shared" si="1"/>
        <v>441566</v>
      </c>
      <c r="E7" s="177">
        <f t="shared" si="1"/>
        <v>448549</v>
      </c>
      <c r="F7" s="177">
        <f t="shared" si="1"/>
        <v>450781</v>
      </c>
      <c r="G7" s="177">
        <f t="shared" si="1"/>
        <v>439870</v>
      </c>
      <c r="H7" s="177">
        <f t="shared" ref="H7" si="2">SUM(H4:H6)</f>
        <v>439574</v>
      </c>
      <c r="I7" s="177">
        <f t="shared" ref="I7:J7" si="3">SUM(I4:I6)</f>
        <v>448477</v>
      </c>
      <c r="J7" s="177">
        <f t="shared" si="3"/>
        <v>453183</v>
      </c>
      <c r="K7" s="178"/>
      <c r="L7" s="179">
        <f t="shared" si="0"/>
        <v>5.6473291892746138</v>
      </c>
      <c r="M7" s="179">
        <f t="shared" si="0"/>
        <v>5.6378439738521156</v>
      </c>
      <c r="N7" s="179">
        <f t="shared" si="0"/>
        <v>5.728597189968994</v>
      </c>
      <c r="O7" s="179">
        <f t="shared" si="0"/>
        <v>5.7881771491986473</v>
      </c>
      <c r="P7" s="179">
        <f t="shared" si="0"/>
        <v>5.8441283999273992</v>
      </c>
      <c r="Q7" s="179">
        <f t="shared" si="0"/>
        <v>5.8050254704780002</v>
      </c>
      <c r="R7" s="179">
        <f t="shared" si="0"/>
        <v>5.8790942770399495</v>
      </c>
      <c r="S7" s="179">
        <f t="shared" si="0"/>
        <v>5.8612951708815269</v>
      </c>
      <c r="T7" s="179">
        <f t="shared" si="0"/>
        <v>5.8738221456067814</v>
      </c>
    </row>
    <row r="8" spans="1:20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T8" s="179"/>
    </row>
    <row r="9" spans="1:20">
      <c r="A9" s="175" t="s">
        <v>3298</v>
      </c>
      <c r="B9" s="177">
        <f>CAMBRIDGESHIRE!D7</f>
        <v>81609</v>
      </c>
      <c r="C9" s="177">
        <f>CAMBRIDGESHIRE!E7</f>
        <v>81291</v>
      </c>
      <c r="D9" s="177">
        <f>CAMBRIDGESHIRE!F7</f>
        <v>81856</v>
      </c>
      <c r="E9" s="177">
        <f>CAMBRIDGESHIRE!G7</f>
        <v>79341</v>
      </c>
      <c r="F9" s="177">
        <f>CAMBRIDGESHIRE!H7</f>
        <v>82439</v>
      </c>
      <c r="G9" s="177">
        <f>CAMBRIDGESHIRE!I7</f>
        <v>80802</v>
      </c>
      <c r="H9" s="177">
        <f>CAMBRIDGESHIRE!J7</f>
        <v>72757</v>
      </c>
      <c r="I9" s="177">
        <f>CAMBRIDGESHIRE!K7</f>
        <v>77556</v>
      </c>
      <c r="J9" s="177">
        <f>CAMBRIDGESHIRE!L7</f>
        <v>80703</v>
      </c>
      <c r="K9" s="178"/>
      <c r="L9" s="179">
        <f t="shared" ref="L9:S16" si="4">B9/B$470</f>
        <v>1.074764262761418</v>
      </c>
      <c r="M9" s="179">
        <f t="shared" si="4"/>
        <v>1.0606724860061847</v>
      </c>
      <c r="N9" s="179">
        <f t="shared" si="4"/>
        <v>1.061947821123234</v>
      </c>
      <c r="O9" s="179">
        <f t="shared" si="4"/>
        <v>1.0238341032854157</v>
      </c>
      <c r="P9" s="179">
        <f t="shared" si="4"/>
        <v>1.0687764150698784</v>
      </c>
      <c r="Q9" s="179">
        <f t="shared" si="4"/>
        <v>1.0663552141895638</v>
      </c>
      <c r="R9" s="179">
        <f t="shared" si="4"/>
        <v>0.97309045192526311</v>
      </c>
      <c r="S9" s="179">
        <f t="shared" si="4"/>
        <v>1.0136051754557929</v>
      </c>
      <c r="T9" s="179">
        <f t="shared" si="0"/>
        <v>1.0460124687309631</v>
      </c>
    </row>
    <row r="10" spans="1:20">
      <c r="A10" s="175" t="s">
        <v>3299</v>
      </c>
      <c r="B10" s="177">
        <f>CAMBRIDGESHIRE!D8</f>
        <v>60562</v>
      </c>
      <c r="C10" s="177">
        <f>CAMBRIDGESHIRE!E8</f>
        <v>61073</v>
      </c>
      <c r="D10" s="177">
        <f>CAMBRIDGESHIRE!F8</f>
        <v>61782</v>
      </c>
      <c r="E10" s="177">
        <f>CAMBRIDGESHIRE!G8</f>
        <v>62510</v>
      </c>
      <c r="F10" s="177">
        <f>CAMBRIDGESHIRE!H8</f>
        <v>62919</v>
      </c>
      <c r="G10" s="177">
        <f>CAMBRIDGESHIRE!I8</f>
        <v>60857</v>
      </c>
      <c r="H10" s="177">
        <f>CAMBRIDGESHIRE!J8</f>
        <v>60605</v>
      </c>
      <c r="I10" s="177">
        <f>CAMBRIDGESHIRE!K8</f>
        <v>62463</v>
      </c>
      <c r="J10" s="177">
        <f>CAMBRIDGESHIRE!L8</f>
        <v>62547</v>
      </c>
      <c r="K10" s="178"/>
      <c r="L10" s="179">
        <f t="shared" si="4"/>
        <v>0.79758204709476899</v>
      </c>
      <c r="M10" s="179">
        <f t="shared" si="4"/>
        <v>0.79687112642058433</v>
      </c>
      <c r="N10" s="179">
        <f t="shared" si="4"/>
        <v>0.80152047845772634</v>
      </c>
      <c r="O10" s="179">
        <f t="shared" si="4"/>
        <v>0.80664309494928643</v>
      </c>
      <c r="P10" s="179">
        <f t="shared" si="4"/>
        <v>0.81571032229626361</v>
      </c>
      <c r="Q10" s="179">
        <f t="shared" si="4"/>
        <v>0.80313827962097817</v>
      </c>
      <c r="R10" s="179">
        <f t="shared" si="4"/>
        <v>0.81056320132675308</v>
      </c>
      <c r="S10" s="179">
        <f t="shared" si="4"/>
        <v>0.81634973534601063</v>
      </c>
      <c r="T10" s="179">
        <f t="shared" si="0"/>
        <v>0.81068785400438093</v>
      </c>
    </row>
    <row r="11" spans="1:20">
      <c r="A11" s="175" t="s">
        <v>3300</v>
      </c>
      <c r="B11" s="177">
        <f>CAMBRIDGESHIRE!D9</f>
        <v>70329</v>
      </c>
      <c r="C11" s="177">
        <f>CAMBRIDGESHIRE!E9</f>
        <v>71117</v>
      </c>
      <c r="D11" s="177">
        <f>CAMBRIDGESHIRE!F9</f>
        <v>71339</v>
      </c>
      <c r="E11" s="177">
        <f>CAMBRIDGESHIRE!G9</f>
        <v>71418</v>
      </c>
      <c r="F11" s="177">
        <f>CAMBRIDGESHIRE!H9</f>
        <v>69961</v>
      </c>
      <c r="G11" s="177">
        <f>CAMBRIDGESHIRE!I9</f>
        <v>69145</v>
      </c>
      <c r="H11" s="177">
        <f>CAMBRIDGESHIRE!J9</f>
        <v>69319</v>
      </c>
      <c r="I11" s="177">
        <f>CAMBRIDGESHIRE!K9</f>
        <v>70336</v>
      </c>
      <c r="J11" s="177">
        <f>CAMBRIDGESHIRE!L9</f>
        <v>70209</v>
      </c>
      <c r="K11" s="178"/>
      <c r="L11" s="179">
        <f t="shared" si="4"/>
        <v>0.92621029342042882</v>
      </c>
      <c r="M11" s="179">
        <f t="shared" si="4"/>
        <v>0.92792369619394321</v>
      </c>
      <c r="N11" s="179">
        <f t="shared" si="4"/>
        <v>0.92550693426395614</v>
      </c>
      <c r="O11" s="179">
        <f t="shared" si="4"/>
        <v>0.92159392985263378</v>
      </c>
      <c r="P11" s="179">
        <f t="shared" si="4"/>
        <v>0.90700598957658096</v>
      </c>
      <c r="Q11" s="179">
        <f t="shared" si="4"/>
        <v>0.91251616649510381</v>
      </c>
      <c r="R11" s="179">
        <f t="shared" si="4"/>
        <v>0.92710882852519094</v>
      </c>
      <c r="S11" s="179">
        <f t="shared" si="4"/>
        <v>0.91924459256354962</v>
      </c>
      <c r="T11" s="179">
        <f t="shared" si="0"/>
        <v>0.90999701891047657</v>
      </c>
    </row>
    <row r="12" spans="1:20">
      <c r="A12" s="175" t="s">
        <v>3301</v>
      </c>
      <c r="B12" s="177">
        <f>CAMBRIDGESHIRE!D10</f>
        <v>123393</v>
      </c>
      <c r="C12" s="177">
        <f>CAMBRIDGESHIRE!E10</f>
        <v>121827</v>
      </c>
      <c r="D12" s="177">
        <f>CAMBRIDGESHIRE!F10</f>
        <v>121600</v>
      </c>
      <c r="E12" s="177">
        <f>CAMBRIDGESHIRE!G10</f>
        <v>122579</v>
      </c>
      <c r="F12" s="177">
        <f>CAMBRIDGESHIRE!H10</f>
        <v>126462</v>
      </c>
      <c r="G12" s="177">
        <f>CAMBRIDGESHIRE!I10</f>
        <v>124746</v>
      </c>
      <c r="H12" s="177">
        <f>CAMBRIDGESHIRE!J10</f>
        <v>124073</v>
      </c>
      <c r="I12" s="177">
        <f>CAMBRIDGESHIRE!K10</f>
        <v>127242</v>
      </c>
      <c r="J12" s="177">
        <f>CAMBRIDGESHIRE!L10</f>
        <v>127398</v>
      </c>
      <c r="K12" s="178"/>
      <c r="L12" s="179">
        <f t="shared" si="4"/>
        <v>1.6250460938734657</v>
      </c>
      <c r="M12" s="179">
        <f t="shared" si="4"/>
        <v>1.5895799898226797</v>
      </c>
      <c r="N12" s="179">
        <f t="shared" si="4"/>
        <v>1.577561266719425</v>
      </c>
      <c r="O12" s="179">
        <f t="shared" si="4"/>
        <v>1.5817869770562882</v>
      </c>
      <c r="P12" s="179">
        <f t="shared" si="4"/>
        <v>1.6395104623123395</v>
      </c>
      <c r="Q12" s="179">
        <f t="shared" si="4"/>
        <v>1.6462902842663711</v>
      </c>
      <c r="R12" s="179">
        <f t="shared" si="4"/>
        <v>1.659417673099814</v>
      </c>
      <c r="S12" s="179">
        <f t="shared" si="4"/>
        <v>1.6629680454812781</v>
      </c>
      <c r="T12" s="179">
        <f t="shared" si="0"/>
        <v>1.6512384482780968</v>
      </c>
    </row>
    <row r="13" spans="1:20">
      <c r="A13" s="175" t="s">
        <v>3302</v>
      </c>
      <c r="B13" s="177">
        <f>CAMBRIDGESHIRE!D11</f>
        <v>105655</v>
      </c>
      <c r="C13" s="177">
        <f>CAMBRIDGESHIRE!E11</f>
        <v>107705</v>
      </c>
      <c r="D13" s="177">
        <f>CAMBRIDGESHIRE!F11</f>
        <v>109091</v>
      </c>
      <c r="E13" s="177">
        <f>CAMBRIDGESHIRE!G11</f>
        <v>109442</v>
      </c>
      <c r="F13" s="177">
        <f>CAMBRIDGESHIRE!H11</f>
        <v>110714</v>
      </c>
      <c r="G13" s="177">
        <f>CAMBRIDGESHIRE!I11</f>
        <v>110709</v>
      </c>
      <c r="H13" s="177">
        <f>CAMBRIDGESHIRE!J11</f>
        <v>110289</v>
      </c>
      <c r="I13" s="177">
        <f>CAMBRIDGESHIRE!K11</f>
        <v>113361</v>
      </c>
      <c r="J13" s="177">
        <f>CAMBRIDGESHIRE!L11</f>
        <v>112913</v>
      </c>
      <c r="K13" s="178"/>
      <c r="L13" s="179">
        <f t="shared" si="4"/>
        <v>1.3914423431491334</v>
      </c>
      <c r="M13" s="179">
        <f t="shared" si="4"/>
        <v>1.4053183022142195</v>
      </c>
      <c r="N13" s="179">
        <f t="shared" si="4"/>
        <v>1.4152774354250723</v>
      </c>
      <c r="O13" s="179">
        <f t="shared" si="4"/>
        <v>1.4122641752909904</v>
      </c>
      <c r="P13" s="179">
        <f t="shared" si="4"/>
        <v>1.4353462804988721</v>
      </c>
      <c r="Q13" s="179">
        <f t="shared" si="4"/>
        <v>1.4610420460844089</v>
      </c>
      <c r="R13" s="179">
        <f t="shared" si="4"/>
        <v>1.4750631946394896</v>
      </c>
      <c r="S13" s="179">
        <f t="shared" si="4"/>
        <v>1.4815526367378946</v>
      </c>
      <c r="T13" s="179">
        <f t="shared" si="0"/>
        <v>1.4634946145969696</v>
      </c>
    </row>
    <row r="14" spans="1:20">
      <c r="A14" s="173" t="s">
        <v>3303</v>
      </c>
      <c r="B14" s="180">
        <f t="shared" ref="B14:G14" si="5">SUM(B9:B13)</f>
        <v>441548</v>
      </c>
      <c r="C14" s="180">
        <f t="shared" si="5"/>
        <v>443013</v>
      </c>
      <c r="D14" s="180">
        <f t="shared" si="5"/>
        <v>445668</v>
      </c>
      <c r="E14" s="180">
        <f t="shared" si="5"/>
        <v>445290</v>
      </c>
      <c r="F14" s="180">
        <f t="shared" si="5"/>
        <v>452495</v>
      </c>
      <c r="G14" s="180">
        <f t="shared" si="5"/>
        <v>446259</v>
      </c>
      <c r="H14" s="180">
        <f t="shared" ref="H14:I14" si="6">SUM(H9:H13)</f>
        <v>437043</v>
      </c>
      <c r="I14" s="180">
        <f t="shared" si="6"/>
        <v>450958</v>
      </c>
      <c r="J14" s="180">
        <f t="shared" ref="J14" si="7">SUM(J9:J13)</f>
        <v>453770</v>
      </c>
      <c r="K14" s="173"/>
      <c r="L14" s="179">
        <f t="shared" si="4"/>
        <v>5.8150450402992151</v>
      </c>
      <c r="M14" s="179">
        <f t="shared" si="4"/>
        <v>5.7803656006576114</v>
      </c>
      <c r="N14" s="179">
        <f t="shared" si="4"/>
        <v>5.7818139359894136</v>
      </c>
      <c r="O14" s="179">
        <f t="shared" si="4"/>
        <v>5.7461222804346139</v>
      </c>
      <c r="P14" s="179">
        <f t="shared" si="4"/>
        <v>5.8663494697539349</v>
      </c>
      <c r="Q14" s="179">
        <f t="shared" si="4"/>
        <v>5.8893419906564253</v>
      </c>
      <c r="R14" s="179">
        <f t="shared" si="4"/>
        <v>5.8452433495165108</v>
      </c>
      <c r="S14" s="179">
        <f t="shared" si="4"/>
        <v>5.8937201855845256</v>
      </c>
      <c r="T14" s="179">
        <f t="shared" si="0"/>
        <v>5.8814304045208869</v>
      </c>
    </row>
    <row r="15" spans="1:20">
      <c r="A15" s="175" t="s">
        <v>3304</v>
      </c>
      <c r="B15" s="177">
        <f>CAMBRIDGESHIRE!D4</f>
        <v>113970</v>
      </c>
      <c r="C15" s="177">
        <f>CAMBRIDGESHIRE!E4</f>
        <v>119513</v>
      </c>
      <c r="D15" s="177">
        <f>CAMBRIDGESHIRE!F4</f>
        <v>121182</v>
      </c>
      <c r="E15" s="177">
        <f>CAMBRIDGESHIRE!G4</f>
        <v>120684</v>
      </c>
      <c r="F15" s="177">
        <f>CAMBRIDGESHIRE!H4</f>
        <v>119920</v>
      </c>
      <c r="G15" s="177">
        <f>CAMBRIDGESHIRE!I4</f>
        <v>119762</v>
      </c>
      <c r="H15" s="177">
        <f>CAMBRIDGESHIRE!J4</f>
        <v>117844</v>
      </c>
      <c r="I15" s="177">
        <f>CAMBRIDGESHIRE!K4</f>
        <v>120872</v>
      </c>
      <c r="J15" s="177">
        <f>CAMBRIDGESHIRE!L4</f>
        <v>118379</v>
      </c>
      <c r="K15" s="178"/>
      <c r="L15" s="179">
        <f t="shared" si="4"/>
        <v>1.5009482168255808</v>
      </c>
      <c r="M15" s="179">
        <f t="shared" si="4"/>
        <v>1.5593872731305698</v>
      </c>
      <c r="N15" s="179">
        <f t="shared" si="4"/>
        <v>1.5721383998650771</v>
      </c>
      <c r="O15" s="179">
        <f t="shared" si="4"/>
        <v>1.5573334709783984</v>
      </c>
      <c r="P15" s="179">
        <f t="shared" si="4"/>
        <v>1.5546970207690514</v>
      </c>
      <c r="Q15" s="179">
        <f t="shared" si="4"/>
        <v>1.5805157441866604</v>
      </c>
      <c r="R15" s="179">
        <f t="shared" si="4"/>
        <v>1.5761077451885139</v>
      </c>
      <c r="S15" s="179">
        <f t="shared" si="4"/>
        <v>1.5797163954780109</v>
      </c>
      <c r="T15" s="179">
        <f t="shared" si="0"/>
        <v>1.5343408551838555</v>
      </c>
    </row>
    <row r="16" spans="1:20">
      <c r="A16" s="181" t="s">
        <v>3305</v>
      </c>
      <c r="B16" s="177">
        <f t="shared" ref="B16:G16" si="8">B14+B15</f>
        <v>555518</v>
      </c>
      <c r="C16" s="177">
        <f t="shared" si="8"/>
        <v>562526</v>
      </c>
      <c r="D16" s="177">
        <f t="shared" si="8"/>
        <v>566850</v>
      </c>
      <c r="E16" s="177">
        <f t="shared" si="8"/>
        <v>565974</v>
      </c>
      <c r="F16" s="177">
        <f t="shared" si="8"/>
        <v>572415</v>
      </c>
      <c r="G16" s="177">
        <f t="shared" si="8"/>
        <v>566021</v>
      </c>
      <c r="H16" s="177">
        <f t="shared" ref="H16" si="9">H14+H15</f>
        <v>554887</v>
      </c>
      <c r="I16" s="177">
        <f t="shared" ref="I16:J16" si="10">I14+I15</f>
        <v>571830</v>
      </c>
      <c r="J16" s="177">
        <f t="shared" si="10"/>
        <v>572149</v>
      </c>
      <c r="K16" s="178"/>
      <c r="L16" s="179">
        <f t="shared" si="4"/>
        <v>7.3159932571247959</v>
      </c>
      <c r="M16" s="179">
        <f t="shared" si="4"/>
        <v>7.3397528737881812</v>
      </c>
      <c r="N16" s="179">
        <f t="shared" si="4"/>
        <v>7.3539523358544905</v>
      </c>
      <c r="O16" s="179">
        <f t="shared" si="4"/>
        <v>7.3034557514130123</v>
      </c>
      <c r="P16" s="179">
        <f t="shared" si="4"/>
        <v>7.4210464905229863</v>
      </c>
      <c r="Q16" s="179">
        <f t="shared" si="4"/>
        <v>7.4698577348430861</v>
      </c>
      <c r="R16" s="179">
        <f t="shared" si="4"/>
        <v>7.4213510947050247</v>
      </c>
      <c r="S16" s="179">
        <f t="shared" si="4"/>
        <v>7.4734365810625372</v>
      </c>
      <c r="T16" s="179">
        <f t="shared" si="0"/>
        <v>7.4157712597047425</v>
      </c>
    </row>
    <row r="17" spans="1:20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T17" s="179"/>
    </row>
    <row r="18" spans="1:20">
      <c r="A18" s="175" t="s">
        <v>6764</v>
      </c>
      <c r="B18" s="177">
        <f>ESSEX!D8</f>
        <v>127760</v>
      </c>
      <c r="C18" s="177">
        <f>ESSEX!E8</f>
        <v>127981</v>
      </c>
      <c r="D18" s="177">
        <f>ESSEX!F8</f>
        <v>128749</v>
      </c>
      <c r="E18" s="177">
        <f>ESSEX!G8</f>
        <v>131062</v>
      </c>
      <c r="F18" s="177">
        <f>ESSEX!H8</f>
        <v>131592</v>
      </c>
      <c r="G18" s="177">
        <f>ESSEX!I8</f>
        <v>132163</v>
      </c>
      <c r="H18" s="177">
        <f>ESSEX!J8</f>
        <v>126526</v>
      </c>
      <c r="I18" s="177">
        <f>ESSEX!K8</f>
        <v>131494</v>
      </c>
      <c r="J18" s="177">
        <f>ESSEX!L8</f>
        <v>134416</v>
      </c>
      <c r="K18" s="178"/>
      <c r="L18" s="179">
        <f t="shared" ref="L18:L33" si="11">B18/B$470</f>
        <v>1.6825580782805669</v>
      </c>
      <c r="M18" s="179">
        <f t="shared" ref="M18:M33" si="12">C18/C$470</f>
        <v>1.6698764368940906</v>
      </c>
      <c r="N18" s="179">
        <f t="shared" ref="N18:N33" si="13">D18/D$470</f>
        <v>1.6703078579675925</v>
      </c>
      <c r="O18" s="179">
        <f t="shared" ref="O18:O33" si="14">E18/E$470</f>
        <v>1.6912535164012699</v>
      </c>
      <c r="P18" s="179">
        <f t="shared" ref="P18:P33" si="15">F18/F$470</f>
        <v>1.7060180983742579</v>
      </c>
      <c r="Q18" s="179">
        <f t="shared" ref="Q18:T33" si="16">G18/G$470</f>
        <v>1.7441734631931798</v>
      </c>
      <c r="R18" s="179">
        <f t="shared" si="16"/>
        <v>1.6922253875269162</v>
      </c>
      <c r="S18" s="179">
        <f t="shared" si="16"/>
        <v>1.7185388485917794</v>
      </c>
      <c r="T18" s="179">
        <f t="shared" si="0"/>
        <v>1.7422005625186319</v>
      </c>
    </row>
    <row r="19" spans="1:20">
      <c r="A19" s="175" t="s">
        <v>6765</v>
      </c>
      <c r="B19" s="177">
        <f>ESSEX!D9</f>
        <v>106789</v>
      </c>
      <c r="C19" s="177">
        <f>ESSEX!E9</f>
        <v>108402</v>
      </c>
      <c r="D19" s="177">
        <f>ESSEX!F9</f>
        <v>110124</v>
      </c>
      <c r="E19" s="177">
        <f>ESSEX!G9</f>
        <v>111319</v>
      </c>
      <c r="F19" s="177">
        <f>ESSEX!H9</f>
        <v>110453</v>
      </c>
      <c r="G19" s="177">
        <f>ESSEX!I9</f>
        <v>109550</v>
      </c>
      <c r="H19" s="177">
        <f>ESSEX!J9</f>
        <v>108866</v>
      </c>
      <c r="I19" s="177">
        <f>ESSEX!K9</f>
        <v>111922</v>
      </c>
      <c r="J19" s="177">
        <f>ESSEX!L9</f>
        <v>111428</v>
      </c>
      <c r="K19" s="178"/>
      <c r="L19" s="179">
        <f t="shared" si="11"/>
        <v>1.4063767581520308</v>
      </c>
      <c r="M19" s="179">
        <f t="shared" si="12"/>
        <v>1.4144126511919208</v>
      </c>
      <c r="N19" s="179">
        <f t="shared" si="13"/>
        <v>1.4286789221727794</v>
      </c>
      <c r="O19" s="179">
        <f t="shared" si="14"/>
        <v>1.4364854053217024</v>
      </c>
      <c r="P19" s="179">
        <f t="shared" si="15"/>
        <v>1.4319625586641429</v>
      </c>
      <c r="Q19" s="179">
        <f t="shared" si="16"/>
        <v>1.4457465621453269</v>
      </c>
      <c r="R19" s="179">
        <f t="shared" si="16"/>
        <v>1.4560312428947826</v>
      </c>
      <c r="S19" s="179">
        <f t="shared" si="16"/>
        <v>1.4627458668234987</v>
      </c>
      <c r="T19" s="179">
        <f t="shared" si="0"/>
        <v>1.4442471452827499</v>
      </c>
    </row>
    <row r="20" spans="1:20">
      <c r="A20" s="175" t="s">
        <v>6766</v>
      </c>
      <c r="B20" s="177">
        <f>ESSEX!D10</f>
        <v>55162</v>
      </c>
      <c r="C20" s="177">
        <f>ESSEX!E10</f>
        <v>55692</v>
      </c>
      <c r="D20" s="177">
        <f>ESSEX!F10</f>
        <v>56703</v>
      </c>
      <c r="E20" s="177">
        <f>ESSEX!G10</f>
        <v>57648</v>
      </c>
      <c r="F20" s="177">
        <f>ESSEX!H10</f>
        <v>57961</v>
      </c>
      <c r="G20" s="177">
        <f>ESSEX!I10</f>
        <v>58154</v>
      </c>
      <c r="H20" s="177">
        <f>ESSEX!J10</f>
        <v>56445</v>
      </c>
      <c r="I20" s="177">
        <f>ESSEX!K10</f>
        <v>58144</v>
      </c>
      <c r="J20" s="177">
        <f>ESSEX!L10</f>
        <v>57670</v>
      </c>
      <c r="K20" s="178"/>
      <c r="L20" s="179">
        <f t="shared" si="11"/>
        <v>0.7264657851762103</v>
      </c>
      <c r="M20" s="179">
        <f t="shared" si="12"/>
        <v>0.72666066465729828</v>
      </c>
      <c r="N20" s="179">
        <f t="shared" si="13"/>
        <v>0.73562875416769369</v>
      </c>
      <c r="O20" s="179">
        <f t="shared" si="14"/>
        <v>0.74390275376158155</v>
      </c>
      <c r="P20" s="179">
        <f t="shared" si="15"/>
        <v>0.75143257188788337</v>
      </c>
      <c r="Q20" s="179">
        <f t="shared" si="16"/>
        <v>0.76746641328160059</v>
      </c>
      <c r="R20" s="179">
        <f t="shared" si="16"/>
        <v>0.75492516952212818</v>
      </c>
      <c r="S20" s="179">
        <f t="shared" si="16"/>
        <v>0.75990328693720188</v>
      </c>
      <c r="T20" s="179">
        <f t="shared" si="16"/>
        <v>0.7474757948491958</v>
      </c>
    </row>
    <row r="21" spans="1:20">
      <c r="A21" s="175" t="s">
        <v>6767</v>
      </c>
      <c r="B21" s="177">
        <f>ESSEX!D11</f>
        <v>67689</v>
      </c>
      <c r="C21" s="177">
        <f>ESSEX!E11</f>
        <v>64562</v>
      </c>
      <c r="D21" s="177">
        <f>ESSEX!F11</f>
        <v>66697</v>
      </c>
      <c r="E21" s="177">
        <f>ESSEX!G11</f>
        <v>67284</v>
      </c>
      <c r="F21" s="177">
        <f>ESSEX!H11</f>
        <v>68085</v>
      </c>
      <c r="G21" s="177">
        <f>ESSEX!I11</f>
        <v>67461</v>
      </c>
      <c r="H21" s="177">
        <f>ESSEX!J11</f>
        <v>67541</v>
      </c>
      <c r="I21" s="177">
        <f>ESSEX!K11</f>
        <v>68558</v>
      </c>
      <c r="J21" s="177">
        <f>ESSEX!L11</f>
        <v>69147</v>
      </c>
      <c r="K21" s="178"/>
      <c r="L21" s="179">
        <f t="shared" si="11"/>
        <v>0.8914423431491334</v>
      </c>
      <c r="M21" s="179">
        <f t="shared" si="12"/>
        <v>0.84239506269490216</v>
      </c>
      <c r="N21" s="179">
        <f t="shared" si="13"/>
        <v>0.86528457077619647</v>
      </c>
      <c r="O21" s="179">
        <f t="shared" si="14"/>
        <v>0.86824786435078849</v>
      </c>
      <c r="P21" s="179">
        <f t="shared" si="15"/>
        <v>0.882684678611248</v>
      </c>
      <c r="Q21" s="179">
        <f t="shared" si="16"/>
        <v>0.89029218465436688</v>
      </c>
      <c r="R21" s="179">
        <f t="shared" si="16"/>
        <v>0.90332891973946416</v>
      </c>
      <c r="S21" s="179">
        <f t="shared" si="16"/>
        <v>0.89600731882637397</v>
      </c>
      <c r="T21" s="179">
        <f t="shared" si="16"/>
        <v>0.89623216206758005</v>
      </c>
    </row>
    <row r="22" spans="1:20">
      <c r="A22" s="175" t="s">
        <v>6768</v>
      </c>
      <c r="B22" s="177">
        <f>ESSEX!D12</f>
        <v>126419</v>
      </c>
      <c r="C22" s="177">
        <f>ESSEX!E12</f>
        <v>126981</v>
      </c>
      <c r="D22" s="177">
        <f>ESSEX!F12</f>
        <v>126983</v>
      </c>
      <c r="E22" s="177">
        <f>ESSEX!G12</f>
        <v>128500</v>
      </c>
      <c r="F22" s="177">
        <f>ESSEX!H12</f>
        <v>128307</v>
      </c>
      <c r="G22" s="177">
        <f>ESSEX!I12</f>
        <v>128252</v>
      </c>
      <c r="H22" s="177">
        <f>ESSEX!J12</f>
        <v>127528</v>
      </c>
      <c r="I22" s="177">
        <f>ESSEX!K12</f>
        <v>128790</v>
      </c>
      <c r="J22" s="177">
        <f>ESSEX!L12</f>
        <v>129985</v>
      </c>
      <c r="K22" s="178"/>
      <c r="L22" s="179">
        <f t="shared" si="11"/>
        <v>1.6648975399041248</v>
      </c>
      <c r="M22" s="179">
        <f t="shared" si="12"/>
        <v>1.6568285904411477</v>
      </c>
      <c r="N22" s="179">
        <f t="shared" si="13"/>
        <v>1.6473968941762562</v>
      </c>
      <c r="O22" s="179">
        <f t="shared" si="14"/>
        <v>1.6581928923529563</v>
      </c>
      <c r="P22" s="179">
        <f t="shared" si="15"/>
        <v>1.6634298752819767</v>
      </c>
      <c r="Q22" s="179">
        <f t="shared" si="16"/>
        <v>1.6925594531105657</v>
      </c>
      <c r="R22" s="179">
        <f t="shared" si="16"/>
        <v>1.7056266634567803</v>
      </c>
      <c r="S22" s="179">
        <f t="shared" si="16"/>
        <v>1.6831993726720251</v>
      </c>
      <c r="T22" s="179">
        <f t="shared" si="16"/>
        <v>1.6847692247871113</v>
      </c>
    </row>
    <row r="23" spans="1:20">
      <c r="A23" s="175" t="s">
        <v>6769</v>
      </c>
      <c r="B23" s="177">
        <f>ESSEX!D13</f>
        <v>124169</v>
      </c>
      <c r="C23" s="177">
        <f>ESSEX!E13</f>
        <v>124252</v>
      </c>
      <c r="D23" s="177">
        <f>ESSEX!F13</f>
        <v>124454</v>
      </c>
      <c r="E23" s="177">
        <f>ESSEX!G13</f>
        <v>127376</v>
      </c>
      <c r="F23" s="177">
        <f>ESSEX!H13</f>
        <v>122733</v>
      </c>
      <c r="G23" s="177">
        <f>ESSEX!I13</f>
        <v>117280</v>
      </c>
      <c r="H23" s="177">
        <f>ESSEX!J13</f>
        <v>120001</v>
      </c>
      <c r="I23" s="177">
        <f>ESSEX!K13</f>
        <v>130591</v>
      </c>
      <c r="J23" s="177">
        <f>ESSEX!L13</f>
        <v>127252</v>
      </c>
      <c r="K23" s="178"/>
      <c r="L23" s="179">
        <f t="shared" si="11"/>
        <v>1.6352657641047252</v>
      </c>
      <c r="M23" s="179">
        <f t="shared" si="12"/>
        <v>1.6212210174710664</v>
      </c>
      <c r="N23" s="179">
        <f t="shared" si="13"/>
        <v>1.6145872523708826</v>
      </c>
      <c r="O23" s="179">
        <f t="shared" si="14"/>
        <v>1.6436885436291842</v>
      </c>
      <c r="P23" s="179">
        <f t="shared" si="15"/>
        <v>1.5911660227655768</v>
      </c>
      <c r="Q23" s="179">
        <f t="shared" si="16"/>
        <v>1.5477604455354079</v>
      </c>
      <c r="R23" s="179">
        <f t="shared" si="16"/>
        <v>1.604956599660287</v>
      </c>
      <c r="S23" s="179">
        <f t="shared" si="16"/>
        <v>1.7067372410638437</v>
      </c>
      <c r="T23" s="179">
        <f t="shared" si="16"/>
        <v>1.6493461044936684</v>
      </c>
    </row>
    <row r="24" spans="1:20">
      <c r="A24" s="175" t="s">
        <v>6770</v>
      </c>
      <c r="B24" s="177">
        <f>ESSEX!D14</f>
        <v>95464</v>
      </c>
      <c r="C24" s="177">
        <f>ESSEX!E14</f>
        <v>95881</v>
      </c>
      <c r="D24" s="177">
        <f>ESSEX!F14</f>
        <v>97065</v>
      </c>
      <c r="E24" s="177">
        <f>ESSEX!G14</f>
        <v>97467</v>
      </c>
      <c r="F24" s="177">
        <f>ESSEX!H14</f>
        <v>96837</v>
      </c>
      <c r="G24" s="177">
        <f>ESSEX!I14</f>
        <v>96989</v>
      </c>
      <c r="H24" s="177">
        <f>ESSEX!J14</f>
        <v>97897</v>
      </c>
      <c r="I24" s="177">
        <f>ESSEX!K14</f>
        <v>99177</v>
      </c>
      <c r="J24" s="177">
        <f>ESSEX!L14</f>
        <v>98420</v>
      </c>
      <c r="K24" s="178"/>
      <c r="L24" s="179">
        <f t="shared" si="11"/>
        <v>1.2572301532950534</v>
      </c>
      <c r="M24" s="179">
        <f t="shared" si="12"/>
        <v>1.2510405657546222</v>
      </c>
      <c r="N24" s="179">
        <f t="shared" si="13"/>
        <v>1.2592597397542844</v>
      </c>
      <c r="O24" s="179">
        <f t="shared" si="14"/>
        <v>1.2577360827935067</v>
      </c>
      <c r="P24" s="179">
        <f t="shared" si="15"/>
        <v>1.2554385873933673</v>
      </c>
      <c r="Q24" s="179">
        <f t="shared" si="16"/>
        <v>1.2799773009211604</v>
      </c>
      <c r="R24" s="179">
        <f t="shared" si="16"/>
        <v>1.3093260575907126</v>
      </c>
      <c r="S24" s="179">
        <f t="shared" si="16"/>
        <v>1.2961772201529111</v>
      </c>
      <c r="T24" s="179">
        <f t="shared" si="16"/>
        <v>1.2756470908454629</v>
      </c>
    </row>
    <row r="25" spans="1:20">
      <c r="A25" s="175" t="s">
        <v>6771</v>
      </c>
      <c r="B25" s="177">
        <f>ESSEX!D15</f>
        <v>59167</v>
      </c>
      <c r="C25" s="177">
        <f>ESSEX!E15</f>
        <v>59380</v>
      </c>
      <c r="D25" s="177">
        <f>ESSEX!F15</f>
        <v>60159</v>
      </c>
      <c r="E25" s="177">
        <f>ESSEX!G15</f>
        <v>60705</v>
      </c>
      <c r="F25" s="177">
        <f>ESSEX!H15</f>
        <v>60380</v>
      </c>
      <c r="G25" s="177">
        <f>ESSEX!I15</f>
        <v>58988</v>
      </c>
      <c r="H25" s="177">
        <f>ESSEX!J15</f>
        <v>57532</v>
      </c>
      <c r="I25" s="177">
        <f>ESSEX!K15</f>
        <v>58776</v>
      </c>
      <c r="J25" s="177">
        <f>ESSEX!L15</f>
        <v>58671</v>
      </c>
      <c r="K25" s="178"/>
      <c r="L25" s="179">
        <f t="shared" si="11"/>
        <v>0.7792103460991413</v>
      </c>
      <c r="M25" s="179">
        <f t="shared" si="12"/>
        <v>0.77478112237575192</v>
      </c>
      <c r="N25" s="179">
        <f t="shared" si="13"/>
        <v>0.7804647059586669</v>
      </c>
      <c r="O25" s="179">
        <f t="shared" si="14"/>
        <v>0.78335096910728574</v>
      </c>
      <c r="P25" s="179">
        <f t="shared" si="15"/>
        <v>0.78279358000363009</v>
      </c>
      <c r="Q25" s="179">
        <f t="shared" si="16"/>
        <v>0.77847282709108667</v>
      </c>
      <c r="R25" s="179">
        <f t="shared" si="16"/>
        <v>0.7694632802364616</v>
      </c>
      <c r="S25" s="179">
        <f t="shared" si="16"/>
        <v>0.76816310527347575</v>
      </c>
      <c r="T25" s="179">
        <f t="shared" si="16"/>
        <v>0.76045001490544761</v>
      </c>
    </row>
    <row r="26" spans="1:20">
      <c r="A26" s="175" t="s">
        <v>6772</v>
      </c>
      <c r="B26" s="177">
        <f>ESSEX!D16</f>
        <v>47843</v>
      </c>
      <c r="C26" s="177">
        <f>ESSEX!E16</f>
        <v>48619</v>
      </c>
      <c r="D26" s="177">
        <f>ESSEX!F16</f>
        <v>48025</v>
      </c>
      <c r="E26" s="177">
        <f>ESSEX!G16</f>
        <v>47802</v>
      </c>
      <c r="F26" s="177">
        <f>ESSEX!H16</f>
        <v>47762</v>
      </c>
      <c r="G26" s="177">
        <f>ESSEX!I16</f>
        <v>46959</v>
      </c>
      <c r="H26" s="177">
        <f>ESSEX!J16</f>
        <v>47312</v>
      </c>
      <c r="I26" s="177">
        <f>ESSEX!K16</f>
        <v>49001</v>
      </c>
      <c r="J26" s="177">
        <f>ESSEX!L16</f>
        <v>49433</v>
      </c>
      <c r="K26" s="178"/>
      <c r="L26" s="179">
        <f t="shared" si="11"/>
        <v>0.63007691092029716</v>
      </c>
      <c r="M26" s="179">
        <f t="shared" si="12"/>
        <v>0.63437324669563289</v>
      </c>
      <c r="N26" s="179">
        <f t="shared" si="13"/>
        <v>0.62304588679441109</v>
      </c>
      <c r="O26" s="179">
        <f t="shared" si="14"/>
        <v>0.61684775595529973</v>
      </c>
      <c r="P26" s="179">
        <f t="shared" si="15"/>
        <v>0.61920813130396457</v>
      </c>
      <c r="Q26" s="179">
        <f t="shared" si="16"/>
        <v>0.61972444374059699</v>
      </c>
      <c r="R26" s="179">
        <f t="shared" si="16"/>
        <v>0.63277561556259942</v>
      </c>
      <c r="S26" s="179">
        <f t="shared" si="16"/>
        <v>0.64041037705025161</v>
      </c>
      <c r="T26" s="179">
        <f t="shared" si="16"/>
        <v>0.6407139061345638</v>
      </c>
    </row>
    <row r="27" spans="1:20">
      <c r="A27" s="175" t="s">
        <v>6773</v>
      </c>
      <c r="B27" s="177">
        <f>ESSEX!D17</f>
        <v>64867</v>
      </c>
      <c r="C27" s="177">
        <f>ESSEX!E17</f>
        <v>65133</v>
      </c>
      <c r="D27" s="177">
        <f>ESSEX!F17</f>
        <v>65401</v>
      </c>
      <c r="E27" s="177">
        <f>ESSEX!G17</f>
        <v>66122</v>
      </c>
      <c r="F27" s="177">
        <f>ESSEX!H17</f>
        <v>66359</v>
      </c>
      <c r="G27" s="177">
        <f>ESSEX!I17</f>
        <v>65617</v>
      </c>
      <c r="H27" s="177">
        <f>ESSEX!J17</f>
        <v>64466</v>
      </c>
      <c r="I27" s="177">
        <f>ESSEX!K17</f>
        <v>65876</v>
      </c>
      <c r="J27" s="177">
        <f>ESSEX!L17</f>
        <v>65824</v>
      </c>
      <c r="K27" s="178"/>
      <c r="L27" s="179">
        <f t="shared" si="11"/>
        <v>0.85427751145761999</v>
      </c>
      <c r="M27" s="179">
        <f t="shared" si="12"/>
        <v>0.84984538301953261</v>
      </c>
      <c r="N27" s="179">
        <f t="shared" si="13"/>
        <v>0.84847108885458156</v>
      </c>
      <c r="O27" s="179">
        <f t="shared" si="14"/>
        <v>0.85325315508297417</v>
      </c>
      <c r="P27" s="179">
        <f t="shared" si="15"/>
        <v>0.8603080353670236</v>
      </c>
      <c r="Q27" s="179">
        <f t="shared" si="16"/>
        <v>0.86595666059598275</v>
      </c>
      <c r="R27" s="179">
        <f t="shared" si="16"/>
        <v>0.86220224959542058</v>
      </c>
      <c r="S27" s="179">
        <f t="shared" si="16"/>
        <v>0.86095536822845198</v>
      </c>
      <c r="T27" s="179">
        <f t="shared" si="16"/>
        <v>0.85316189908363904</v>
      </c>
    </row>
    <row r="28" spans="1:20">
      <c r="A28" s="175" t="s">
        <v>6774</v>
      </c>
      <c r="B28" s="177">
        <f>ESSEX!D18</f>
        <v>107765</v>
      </c>
      <c r="C28" s="177">
        <f>ESSEX!E18</f>
        <v>108308</v>
      </c>
      <c r="D28" s="177">
        <f>ESSEX!F18</f>
        <v>108723</v>
      </c>
      <c r="E28" s="177">
        <f>ESSEX!G18</f>
        <v>109553</v>
      </c>
      <c r="F28" s="177">
        <f>ESSEX!H18</f>
        <v>110276</v>
      </c>
      <c r="G28" s="177">
        <f>ESSEX!I18</f>
        <v>107859</v>
      </c>
      <c r="H28" s="177">
        <f>ESSEX!J18</f>
        <v>108820</v>
      </c>
      <c r="I28" s="177">
        <f>ESSEX!K18</f>
        <v>109092</v>
      </c>
      <c r="J28" s="177">
        <f>ESSEX!L18</f>
        <v>109023</v>
      </c>
      <c r="K28" s="178"/>
      <c r="L28" s="179">
        <f t="shared" si="11"/>
        <v>1.4192303640099035</v>
      </c>
      <c r="M28" s="179">
        <f t="shared" si="12"/>
        <v>1.4131861536253441</v>
      </c>
      <c r="N28" s="179">
        <f t="shared" si="13"/>
        <v>1.4105032368547372</v>
      </c>
      <c r="O28" s="179">
        <f t="shared" si="14"/>
        <v>1.4136965442485869</v>
      </c>
      <c r="P28" s="179">
        <f t="shared" si="15"/>
        <v>1.4296678507532345</v>
      </c>
      <c r="Q28" s="179">
        <f t="shared" si="16"/>
        <v>1.4234302003325678</v>
      </c>
      <c r="R28" s="179">
        <f t="shared" si="16"/>
        <v>1.4554160146584814</v>
      </c>
      <c r="S28" s="179">
        <f t="shared" si="16"/>
        <v>1.4257596549696139</v>
      </c>
      <c r="T28" s="179">
        <f t="shared" si="16"/>
        <v>1.4130753178748721</v>
      </c>
    </row>
    <row r="29" spans="1:20">
      <c r="A29" s="175" t="s">
        <v>6775</v>
      </c>
      <c r="B29" s="177">
        <f>ESSEX!D19</f>
        <v>58606</v>
      </c>
      <c r="C29" s="177">
        <f>ESSEX!E19</f>
        <v>59608</v>
      </c>
      <c r="D29" s="177">
        <f>ESSEX!F19</f>
        <v>60719</v>
      </c>
      <c r="E29" s="177">
        <f>ESSEX!G19</f>
        <v>61613</v>
      </c>
      <c r="F29" s="177">
        <f>ESSEX!H19</f>
        <v>62275</v>
      </c>
      <c r="G29" s="177">
        <f>ESSEX!I19</f>
        <v>62081</v>
      </c>
      <c r="H29" s="177">
        <f>ESSEX!J19</f>
        <v>61702</v>
      </c>
      <c r="I29" s="177">
        <f>ESSEX!K19</f>
        <v>64461</v>
      </c>
      <c r="J29" s="177">
        <f>ESSEX!L19</f>
        <v>63764</v>
      </c>
      <c r="K29" s="178"/>
      <c r="L29" s="179">
        <f t="shared" si="11"/>
        <v>0.77182215666649112</v>
      </c>
      <c r="M29" s="179">
        <f t="shared" si="12"/>
        <v>0.77775603136702287</v>
      </c>
      <c r="N29" s="179">
        <f t="shared" si="13"/>
        <v>0.78772979073961158</v>
      </c>
      <c r="O29" s="179">
        <f t="shared" si="14"/>
        <v>0.79506800526492372</v>
      </c>
      <c r="P29" s="179">
        <f t="shared" si="15"/>
        <v>0.80736121554697016</v>
      </c>
      <c r="Q29" s="179">
        <f t="shared" si="16"/>
        <v>0.81929157758597937</v>
      </c>
      <c r="R29" s="179">
        <f t="shared" si="16"/>
        <v>0.8252350573098477</v>
      </c>
      <c r="S29" s="179">
        <f t="shared" si="16"/>
        <v>0.84246226230150956</v>
      </c>
      <c r="T29" s="179">
        <f t="shared" si="16"/>
        <v>0.82646170596088298</v>
      </c>
    </row>
    <row r="30" spans="1:20">
      <c r="A30" s="175" t="s">
        <v>6776</v>
      </c>
      <c r="B30" s="180">
        <f t="shared" ref="B30:G30" si="17">SUM(B18:B29)</f>
        <v>1041700</v>
      </c>
      <c r="C30" s="180">
        <f t="shared" si="17"/>
        <v>1044799</v>
      </c>
      <c r="D30" s="180">
        <f t="shared" si="17"/>
        <v>1053802</v>
      </c>
      <c r="E30" s="180">
        <f t="shared" si="17"/>
        <v>1066451</v>
      </c>
      <c r="F30" s="180">
        <f t="shared" si="17"/>
        <v>1063020</v>
      </c>
      <c r="G30" s="180">
        <f t="shared" si="17"/>
        <v>1051353</v>
      </c>
      <c r="H30" s="180">
        <f t="shared" ref="H30" si="18">SUM(H18:H29)</f>
        <v>1044636</v>
      </c>
      <c r="I30" s="180">
        <f t="shared" ref="I30:J30" si="19">SUM(I18:I29)</f>
        <v>1075882</v>
      </c>
      <c r="J30" s="180">
        <f t="shared" si="19"/>
        <v>1075033</v>
      </c>
      <c r="K30" s="173"/>
      <c r="L30" s="179">
        <f t="shared" si="11"/>
        <v>13.718853711215298</v>
      </c>
      <c r="M30" s="179">
        <f t="shared" si="12"/>
        <v>13.632376926188332</v>
      </c>
      <c r="N30" s="179">
        <f t="shared" si="13"/>
        <v>13.671358700587694</v>
      </c>
      <c r="O30" s="179">
        <f t="shared" si="14"/>
        <v>13.761723488270059</v>
      </c>
      <c r="P30" s="179">
        <f t="shared" si="15"/>
        <v>13.781471205953276</v>
      </c>
      <c r="Q30" s="179">
        <f t="shared" si="16"/>
        <v>13.874851532187822</v>
      </c>
      <c r="R30" s="179">
        <f t="shared" si="16"/>
        <v>13.971512257753883</v>
      </c>
      <c r="S30" s="179">
        <f t="shared" si="16"/>
        <v>14.061059922890937</v>
      </c>
      <c r="T30" s="179">
        <f t="shared" si="16"/>
        <v>13.933780928803806</v>
      </c>
    </row>
    <row r="31" spans="1:20">
      <c r="A31" s="175" t="s">
        <v>8645</v>
      </c>
      <c r="B31" s="180">
        <f>ESSEX!D4</f>
        <v>127017</v>
      </c>
      <c r="C31" s="180">
        <f>ESSEX!E4</f>
        <v>126250</v>
      </c>
      <c r="D31" s="180">
        <f>ESSEX!F4</f>
        <v>127389</v>
      </c>
      <c r="E31" s="180">
        <f>ESSEX!G4</f>
        <v>128702</v>
      </c>
      <c r="F31" s="180">
        <f>ESSEX!H4</f>
        <v>129615</v>
      </c>
      <c r="G31" s="180">
        <f>ESSEX!I4</f>
        <v>124293</v>
      </c>
      <c r="H31" s="180">
        <f>ESSEX!J4</f>
        <v>123050</v>
      </c>
      <c r="I31" s="180">
        <f>ESSEX!K4</f>
        <v>126228</v>
      </c>
      <c r="J31" s="180">
        <f>ESSEX!L4</f>
        <v>126938</v>
      </c>
      <c r="K31" s="178"/>
      <c r="L31" s="179">
        <f t="shared" si="11"/>
        <v>1.6727730074276985</v>
      </c>
      <c r="M31" s="179">
        <f t="shared" si="12"/>
        <v>1.6472906146840465</v>
      </c>
      <c r="N31" s="179">
        <f t="shared" si="13"/>
        <v>1.6526640806424411</v>
      </c>
      <c r="O31" s="179">
        <f t="shared" si="14"/>
        <v>1.6607995457712854</v>
      </c>
      <c r="P31" s="179">
        <f t="shared" si="15"/>
        <v>1.6803873778100449</v>
      </c>
      <c r="Q31" s="179">
        <f t="shared" si="16"/>
        <v>1.6403119803626574</v>
      </c>
      <c r="R31" s="179">
        <f t="shared" si="16"/>
        <v>1.6457355321055518</v>
      </c>
      <c r="S31" s="179">
        <f t="shared" si="16"/>
        <v>1.6497157420113704</v>
      </c>
      <c r="T31" s="179">
        <f t="shared" si="16"/>
        <v>1.6452762692312677</v>
      </c>
    </row>
    <row r="32" spans="1:20">
      <c r="A32" s="175" t="s">
        <v>8646</v>
      </c>
      <c r="B32" s="180">
        <f>ESSEX!D5</f>
        <v>109569</v>
      </c>
      <c r="C32" s="180">
        <f>ESSEX!E5</f>
        <v>109495</v>
      </c>
      <c r="D32" s="180">
        <f>ESSEX!F5</f>
        <v>109404</v>
      </c>
      <c r="E32" s="180">
        <f>ESSEX!G5</f>
        <v>108998</v>
      </c>
      <c r="F32" s="180">
        <f>ESSEX!H5</f>
        <v>108957</v>
      </c>
      <c r="G32" s="180">
        <f>ESSEX!I5</f>
        <v>107760</v>
      </c>
      <c r="H32" s="180">
        <f>ESSEX!J5</f>
        <v>106911</v>
      </c>
      <c r="I32" s="180">
        <f>ESSEX!K5</f>
        <v>109252</v>
      </c>
      <c r="J32" s="180">
        <f>ESSEX!L5</f>
        <v>110304</v>
      </c>
      <c r="K32" s="178"/>
      <c r="L32" s="179">
        <f t="shared" si="11"/>
        <v>1.4429884633619554</v>
      </c>
      <c r="M32" s="179">
        <f t="shared" si="12"/>
        <v>1.4286739473649874</v>
      </c>
      <c r="N32" s="179">
        <f t="shared" si="13"/>
        <v>1.4193380988829931</v>
      </c>
      <c r="O32" s="179">
        <f t="shared" si="14"/>
        <v>1.4065346994606034</v>
      </c>
      <c r="P32" s="179">
        <f t="shared" si="15"/>
        <v>1.412567739258952</v>
      </c>
      <c r="Q32" s="179">
        <f t="shared" si="16"/>
        <v>1.4221236835853988</v>
      </c>
      <c r="R32" s="179">
        <f t="shared" si="16"/>
        <v>1.4298840428519841</v>
      </c>
      <c r="S32" s="179">
        <f t="shared" si="16"/>
        <v>1.4278507482193035</v>
      </c>
      <c r="T32" s="179">
        <f t="shared" si="16"/>
        <v>1.4296786903944112</v>
      </c>
    </row>
    <row r="33" spans="1:20">
      <c r="A33" s="181" t="s">
        <v>8647</v>
      </c>
      <c r="B33" s="177">
        <f t="shared" ref="B33:G33" si="20">SUM(B30:B32)</f>
        <v>1278286</v>
      </c>
      <c r="C33" s="177">
        <f t="shared" si="20"/>
        <v>1280544</v>
      </c>
      <c r="D33" s="177">
        <f t="shared" si="20"/>
        <v>1290595</v>
      </c>
      <c r="E33" s="177">
        <f t="shared" si="20"/>
        <v>1304151</v>
      </c>
      <c r="F33" s="177">
        <f t="shared" si="20"/>
        <v>1301592</v>
      </c>
      <c r="G33" s="177">
        <f t="shared" si="20"/>
        <v>1283406</v>
      </c>
      <c r="H33" s="177">
        <f t="shared" ref="H33" si="21">SUM(H30:H32)</f>
        <v>1274597</v>
      </c>
      <c r="I33" s="177">
        <f t="shared" ref="I33:J33" si="22">SUM(I30:I32)</f>
        <v>1311362</v>
      </c>
      <c r="J33" s="177">
        <f t="shared" si="22"/>
        <v>1312275</v>
      </c>
      <c r="K33" s="178"/>
      <c r="L33" s="179">
        <f t="shared" si="11"/>
        <v>16.834615182004953</v>
      </c>
      <c r="M33" s="179">
        <f t="shared" si="12"/>
        <v>16.708341488237366</v>
      </c>
      <c r="N33" s="179">
        <f t="shared" si="13"/>
        <v>16.743360880113126</v>
      </c>
      <c r="O33" s="179">
        <f t="shared" si="14"/>
        <v>16.829057733501948</v>
      </c>
      <c r="P33" s="179">
        <f t="shared" si="15"/>
        <v>16.874426323022274</v>
      </c>
      <c r="Q33" s="179">
        <f t="shared" si="16"/>
        <v>16.937287196135877</v>
      </c>
      <c r="R33" s="179">
        <f t="shared" si="16"/>
        <v>17.047131832711418</v>
      </c>
      <c r="S33" s="179">
        <f t="shared" si="16"/>
        <v>17.13862641312161</v>
      </c>
      <c r="T33" s="179">
        <f t="shared" si="16"/>
        <v>17.008735888429484</v>
      </c>
    </row>
    <row r="34" spans="1:20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T34" s="179"/>
    </row>
    <row r="35" spans="1:20">
      <c r="A35" s="175" t="s">
        <v>1646</v>
      </c>
      <c r="B35" s="177">
        <f>HERTFORDSHIRE!D5</f>
        <v>66975</v>
      </c>
      <c r="C35" s="177">
        <f>HERTFORDSHIRE!E5</f>
        <v>67608</v>
      </c>
      <c r="D35" s="177">
        <f>HERTFORDSHIRE!F5</f>
        <v>67824</v>
      </c>
      <c r="E35" s="177">
        <f>HERTFORDSHIRE!G5</f>
        <v>68539</v>
      </c>
      <c r="F35" s="177">
        <f>HERTFORDSHIRE!H5</f>
        <v>69142</v>
      </c>
      <c r="G35" s="177">
        <f>HERTFORDSHIRE!I5</f>
        <v>67663</v>
      </c>
      <c r="H35" s="177">
        <f>HERTFORDSHIRE!J5</f>
        <v>66150</v>
      </c>
      <c r="I35" s="177">
        <f>HERTFORDSHIRE!K5</f>
        <v>68001</v>
      </c>
      <c r="J35" s="177">
        <f>HERTFORDSHIRE!L5</f>
        <v>68055</v>
      </c>
      <c r="K35" s="178"/>
      <c r="L35" s="179">
        <f t="shared" ref="L35:L45" si="23">B35/B$470</f>
        <v>0.88203919296212396</v>
      </c>
      <c r="M35" s="179">
        <f t="shared" ref="M35:M45" si="24">C35/C$470</f>
        <v>0.88213880299056646</v>
      </c>
      <c r="N35" s="179">
        <f t="shared" ref="N35:N45" si="25">D35/D$470</f>
        <v>0.87990555389784775</v>
      </c>
      <c r="O35" s="179">
        <f t="shared" ref="O35:O45" si="26">E35/E$470</f>
        <v>0.88444266652902159</v>
      </c>
      <c r="P35" s="179">
        <f t="shared" ref="P35:P45" si="27">F35/F$470</f>
        <v>0.89638810381932743</v>
      </c>
      <c r="Q35" s="179">
        <f t="shared" ref="Q35:T45" si="28">G35/G$470</f>
        <v>0.89295800670414649</v>
      </c>
      <c r="R35" s="179">
        <f t="shared" si="28"/>
        <v>0.8847249528547928</v>
      </c>
      <c r="S35" s="179">
        <f t="shared" si="28"/>
        <v>0.888727700450892</v>
      </c>
      <c r="T35" s="179">
        <f t="shared" ref="T35:T36" si="29">J35/J$470</f>
        <v>0.8820784674607598</v>
      </c>
    </row>
    <row r="36" spans="1:20">
      <c r="A36" s="175" t="s">
        <v>1647</v>
      </c>
      <c r="B36" s="177">
        <f>HERTFORDSHIRE!D6</f>
        <v>106996</v>
      </c>
      <c r="C36" s="177">
        <f>HERTFORDSHIRE!E6</f>
        <v>106844</v>
      </c>
      <c r="D36" s="177">
        <f>HERTFORDSHIRE!F6</f>
        <v>107754</v>
      </c>
      <c r="E36" s="177">
        <f>HERTFORDSHIRE!G6</f>
        <v>108351</v>
      </c>
      <c r="F36" s="177">
        <f>HERTFORDSHIRE!H6</f>
        <v>109027</v>
      </c>
      <c r="G36" s="177">
        <f>HERTFORDSHIRE!I6</f>
        <v>106474</v>
      </c>
      <c r="H36" s="177">
        <f>HERTFORDSHIRE!J6</f>
        <v>104252</v>
      </c>
      <c r="I36" s="177">
        <f>HERTFORDSHIRE!K6</f>
        <v>107820</v>
      </c>
      <c r="J36" s="177">
        <f>HERTFORDSHIRE!L6</f>
        <v>108869</v>
      </c>
      <c r="K36" s="178"/>
      <c r="L36" s="179">
        <f t="shared" si="23"/>
        <v>1.4091028815255755</v>
      </c>
      <c r="M36" s="179">
        <f t="shared" si="24"/>
        <v>1.3940841064182357</v>
      </c>
      <c r="N36" s="179">
        <f t="shared" si="25"/>
        <v>1.3979320455105668</v>
      </c>
      <c r="O36" s="179">
        <f t="shared" si="26"/>
        <v>1.3981856659870442</v>
      </c>
      <c r="P36" s="179">
        <f t="shared" si="27"/>
        <v>1.413475250862136</v>
      </c>
      <c r="Q36" s="179">
        <f t="shared" si="28"/>
        <v>1.4051521630110593</v>
      </c>
      <c r="R36" s="179">
        <f t="shared" si="28"/>
        <v>1.3943211758884029</v>
      </c>
      <c r="S36" s="179">
        <f t="shared" si="28"/>
        <v>1.4091354636345814</v>
      </c>
      <c r="T36" s="179">
        <f t="shared" si="29"/>
        <v>1.4110792840200641</v>
      </c>
    </row>
    <row r="37" spans="1:20">
      <c r="A37" s="175" t="s">
        <v>1580</v>
      </c>
      <c r="B37" s="177">
        <f>HERTFORDSHIRE!D7</f>
        <v>101416</v>
      </c>
      <c r="C37" s="177">
        <f>HERTFORDSHIRE!E7</f>
        <v>102932</v>
      </c>
      <c r="D37" s="177">
        <f>HERTFORDSHIRE!F7</f>
        <v>101872</v>
      </c>
      <c r="E37" s="177">
        <f>HERTFORDSHIRE!G7</f>
        <v>103019</v>
      </c>
      <c r="F37" s="177">
        <f>HERTFORDSHIRE!H7</f>
        <v>100180</v>
      </c>
      <c r="G37" s="177">
        <f>HERTFORDSHIRE!I7</f>
        <v>100388</v>
      </c>
      <c r="H37" s="177">
        <f>HERTFORDSHIRE!J7</f>
        <v>101155</v>
      </c>
      <c r="I37" s="177">
        <f>HERTFORDSHIRE!K7</f>
        <v>106579</v>
      </c>
      <c r="J37" s="177">
        <f>HERTFORDSHIRE!L7</f>
        <v>106632</v>
      </c>
      <c r="K37" s="178"/>
      <c r="L37" s="179">
        <f t="shared" si="23"/>
        <v>1.3356160775430648</v>
      </c>
      <c r="M37" s="179">
        <f t="shared" si="24"/>
        <v>1.343040931094323</v>
      </c>
      <c r="N37" s="179">
        <f t="shared" si="25"/>
        <v>1.3216227085792867</v>
      </c>
      <c r="O37" s="179">
        <f t="shared" si="26"/>
        <v>1.3293803391230288</v>
      </c>
      <c r="P37" s="179">
        <f t="shared" si="27"/>
        <v>1.2987787486711437</v>
      </c>
      <c r="Q37" s="179">
        <f t="shared" si="28"/>
        <v>1.3248343759073034</v>
      </c>
      <c r="R37" s="179">
        <f t="shared" si="28"/>
        <v>1.3529002661530849</v>
      </c>
      <c r="S37" s="179">
        <f t="shared" si="28"/>
        <v>1.3929164216166765</v>
      </c>
      <c r="T37" s="179">
        <f t="shared" si="28"/>
        <v>1.3820849480901585</v>
      </c>
    </row>
    <row r="38" spans="1:20">
      <c r="A38" s="175" t="s">
        <v>1581</v>
      </c>
      <c r="B38" s="177">
        <f>HERTFORDSHIRE!D8</f>
        <v>69438</v>
      </c>
      <c r="C38" s="177">
        <f>HERTFORDSHIRE!E8</f>
        <v>70772</v>
      </c>
      <c r="D38" s="177">
        <f>HERTFORDSHIRE!F8</f>
        <v>71090</v>
      </c>
      <c r="E38" s="177">
        <f>HERTFORDSHIRE!G8</f>
        <v>73045</v>
      </c>
      <c r="F38" s="177">
        <f>HERTFORDSHIRE!H8</f>
        <v>75100</v>
      </c>
      <c r="G38" s="177">
        <f>HERTFORDSHIRE!I8</f>
        <v>72528</v>
      </c>
      <c r="H38" s="177">
        <f>HERTFORDSHIRE!J8</f>
        <v>69825</v>
      </c>
      <c r="I38" s="177">
        <f>HERTFORDSHIRE!K8</f>
        <v>71816</v>
      </c>
      <c r="J38" s="177">
        <f>HERTFORDSHIRE!L8</f>
        <v>72251</v>
      </c>
      <c r="K38" s="178"/>
      <c r="L38" s="179">
        <f t="shared" si="23"/>
        <v>0.91447611020386665</v>
      </c>
      <c r="M38" s="179">
        <f t="shared" si="24"/>
        <v>0.92342218916767782</v>
      </c>
      <c r="N38" s="179">
        <f t="shared" si="25"/>
        <v>0.92227656620957177</v>
      </c>
      <c r="O38" s="179">
        <f t="shared" si="26"/>
        <v>0.94258910367254234</v>
      </c>
      <c r="P38" s="179">
        <f t="shared" si="27"/>
        <v>0.97363030570176579</v>
      </c>
      <c r="Q38" s="179">
        <f t="shared" si="28"/>
        <v>0.95716208725948215</v>
      </c>
      <c r="R38" s="179">
        <f t="shared" si="28"/>
        <v>0.93387633912450352</v>
      </c>
      <c r="S38" s="179">
        <f t="shared" si="28"/>
        <v>0.9385872051231785</v>
      </c>
      <c r="T38" s="179">
        <f t="shared" si="28"/>
        <v>0.93646390937487844</v>
      </c>
    </row>
    <row r="39" spans="1:20">
      <c r="A39" s="175" t="s">
        <v>1582</v>
      </c>
      <c r="B39" s="177">
        <f>HERTFORDSHIRE!D9</f>
        <v>95970</v>
      </c>
      <c r="C39" s="177">
        <f>HERTFORDSHIRE!E9</f>
        <v>96462</v>
      </c>
      <c r="D39" s="177">
        <f>HERTFORDSHIRE!F9</f>
        <v>96772</v>
      </c>
      <c r="E39" s="177">
        <f>HERTFORDSHIRE!G9</f>
        <v>96740</v>
      </c>
      <c r="F39" s="177">
        <f>HERTFORDSHIRE!H9</f>
        <v>97721</v>
      </c>
      <c r="G39" s="177">
        <f>HERTFORDSHIRE!I9</f>
        <v>96628</v>
      </c>
      <c r="H39" s="177">
        <f>HERTFORDSHIRE!J9</f>
        <v>95635</v>
      </c>
      <c r="I39" s="177">
        <f>HERTFORDSHIRE!K9</f>
        <v>97253</v>
      </c>
      <c r="J39" s="177">
        <f>HERTFORDSHIRE!L9</f>
        <v>97645</v>
      </c>
      <c r="K39" s="178"/>
      <c r="L39" s="179">
        <f t="shared" si="23"/>
        <v>1.2638940104303851</v>
      </c>
      <c r="M39" s="179">
        <f t="shared" si="24"/>
        <v>1.258621364543782</v>
      </c>
      <c r="N39" s="179">
        <f t="shared" si="25"/>
        <v>1.2554585436099688</v>
      </c>
      <c r="O39" s="179">
        <f t="shared" si="26"/>
        <v>1.2483547113324902</v>
      </c>
      <c r="P39" s="179">
        <f t="shared" si="27"/>
        <v>1.2668991624964347</v>
      </c>
      <c r="Q39" s="179">
        <f t="shared" si="28"/>
        <v>1.2752131337925938</v>
      </c>
      <c r="R39" s="179">
        <f t="shared" si="28"/>
        <v>1.279072877796948</v>
      </c>
      <c r="S39" s="179">
        <f t="shared" si="28"/>
        <v>1.2710318238253937</v>
      </c>
      <c r="T39" s="179">
        <f t="shared" si="28"/>
        <v>1.2656021152774357</v>
      </c>
    </row>
    <row r="40" spans="1:20">
      <c r="A40" s="175" t="s">
        <v>1583</v>
      </c>
      <c r="B40" s="177">
        <f>HERTFORDSHIRE!D10</f>
        <v>101579</v>
      </c>
      <c r="C40" s="177">
        <f>HERTFORDSHIRE!E10</f>
        <v>102152</v>
      </c>
      <c r="D40" s="177">
        <f>HERTFORDSHIRE!F10</f>
        <v>102727</v>
      </c>
      <c r="E40" s="177">
        <f>HERTFORDSHIRE!G10</f>
        <v>103311</v>
      </c>
      <c r="F40" s="177">
        <f>HERTFORDSHIRE!H10</f>
        <v>103840</v>
      </c>
      <c r="G40" s="177">
        <f>HERTFORDSHIRE!I10</f>
        <v>103176</v>
      </c>
      <c r="H40" s="177">
        <f>HERTFORDSHIRE!J10</f>
        <v>101652</v>
      </c>
      <c r="I40" s="177">
        <f>HERTFORDSHIRE!K10</f>
        <v>104112</v>
      </c>
      <c r="J40" s="177">
        <f>HERTFORDSHIRE!L10</f>
        <v>104118</v>
      </c>
      <c r="K40" s="178"/>
      <c r="L40" s="179">
        <f t="shared" si="23"/>
        <v>1.3377627350787547</v>
      </c>
      <c r="M40" s="179">
        <f t="shared" si="24"/>
        <v>1.3328636108610274</v>
      </c>
      <c r="N40" s="179">
        <f t="shared" si="25"/>
        <v>1.3327149362359076</v>
      </c>
      <c r="O40" s="179">
        <f t="shared" si="26"/>
        <v>1.3331483727772473</v>
      </c>
      <c r="P40" s="179">
        <f t="shared" si="27"/>
        <v>1.3462286410661966</v>
      </c>
      <c r="Q40" s="179">
        <f t="shared" si="28"/>
        <v>1.3616279990498059</v>
      </c>
      <c r="R40" s="179">
        <f t="shared" si="28"/>
        <v>1.3595474060105124</v>
      </c>
      <c r="S40" s="179">
        <f t="shared" si="28"/>
        <v>1.360674377573025</v>
      </c>
      <c r="T40" s="179">
        <f t="shared" si="28"/>
        <v>1.3495003434733581</v>
      </c>
    </row>
    <row r="41" spans="1:20">
      <c r="A41" s="175" t="s">
        <v>1584</v>
      </c>
      <c r="B41" s="177">
        <f>HERTFORDSHIRE!D11</f>
        <v>59801</v>
      </c>
      <c r="C41" s="177">
        <f>HERTFORDSHIRE!E11</f>
        <v>61203</v>
      </c>
      <c r="D41" s="177">
        <f>HERTFORDSHIRE!F11</f>
        <v>61966</v>
      </c>
      <c r="E41" s="177">
        <f>HERTFORDSHIRE!G11</f>
        <v>62835</v>
      </c>
      <c r="F41" s="177">
        <f>HERTFORDSHIRE!H11</f>
        <v>62262</v>
      </c>
      <c r="G41" s="177">
        <f>HERTFORDSHIRE!I11</f>
        <v>61680</v>
      </c>
      <c r="H41" s="177">
        <f>HERTFORDSHIRE!J11</f>
        <v>59620</v>
      </c>
      <c r="I41" s="177">
        <f>HERTFORDSHIRE!K11</f>
        <v>61384</v>
      </c>
      <c r="J41" s="177">
        <f>HERTFORDSHIRE!L11</f>
        <v>61566</v>
      </c>
      <c r="K41" s="178"/>
      <c r="L41" s="179">
        <f t="shared" si="23"/>
        <v>0.7875599220355054</v>
      </c>
      <c r="M41" s="179">
        <f t="shared" si="24"/>
        <v>0.79856734645946692</v>
      </c>
      <c r="N41" s="179">
        <f t="shared" si="25"/>
        <v>0.80390757774289379</v>
      </c>
      <c r="O41" s="179">
        <f t="shared" si="26"/>
        <v>0.81083696802333083</v>
      </c>
      <c r="P41" s="179">
        <f t="shared" si="27"/>
        <v>0.80719267767780745</v>
      </c>
      <c r="Q41" s="179">
        <f t="shared" si="28"/>
        <v>0.81399952490300098</v>
      </c>
      <c r="R41" s="179">
        <f t="shared" si="28"/>
        <v>0.79738929235378297</v>
      </c>
      <c r="S41" s="179">
        <f t="shared" si="28"/>
        <v>0.80224792524341637</v>
      </c>
      <c r="T41" s="179">
        <f t="shared" si="28"/>
        <v>0.79797285912407812</v>
      </c>
    </row>
    <row r="42" spans="1:20">
      <c r="A42" s="175" t="s">
        <v>1585</v>
      </c>
      <c r="B42" s="177">
        <f>HERTFORDSHIRE!D12</f>
        <v>64499</v>
      </c>
      <c r="C42" s="177">
        <f>HERTFORDSHIRE!E12</f>
        <v>64926</v>
      </c>
      <c r="D42" s="177">
        <f>HERTFORDSHIRE!F12</f>
        <v>65668</v>
      </c>
      <c r="E42" s="177">
        <f>HERTFORDSHIRE!G12</f>
        <v>66415</v>
      </c>
      <c r="F42" s="177">
        <f>HERTFORDSHIRE!H12</f>
        <v>66463</v>
      </c>
      <c r="G42" s="177">
        <f>HERTFORDSHIRE!I12</f>
        <v>65252</v>
      </c>
      <c r="H42" s="177">
        <f>HERTFORDSHIRE!J12</f>
        <v>66161</v>
      </c>
      <c r="I42" s="177">
        <f>HERTFORDSHIRE!K12</f>
        <v>66556</v>
      </c>
      <c r="J42" s="177">
        <f>HERTFORDSHIRE!L12</f>
        <v>66644</v>
      </c>
      <c r="K42" s="178"/>
      <c r="L42" s="179">
        <f t="shared" si="23"/>
        <v>0.84943106990465156</v>
      </c>
      <c r="M42" s="179">
        <f t="shared" si="24"/>
        <v>0.84714447880377342</v>
      </c>
      <c r="N42" s="179">
        <f t="shared" si="25"/>
        <v>0.8519349774912105</v>
      </c>
      <c r="O42" s="179">
        <f t="shared" si="26"/>
        <v>0.85703409296203581</v>
      </c>
      <c r="P42" s="179">
        <f t="shared" si="27"/>
        <v>0.86165633832032562</v>
      </c>
      <c r="Q42" s="179">
        <f t="shared" si="28"/>
        <v>0.86113970491197511</v>
      </c>
      <c r="R42" s="179">
        <f t="shared" si="28"/>
        <v>0.88487207265043</v>
      </c>
      <c r="S42" s="179">
        <f t="shared" si="28"/>
        <v>0.86984251453963279</v>
      </c>
      <c r="T42" s="179">
        <f t="shared" si="28"/>
        <v>0.86379013129755167</v>
      </c>
    </row>
    <row r="43" spans="1:20">
      <c r="A43" s="175" t="s">
        <v>1586</v>
      </c>
      <c r="B43" s="177">
        <f>HERTFORDSHIRE!D13</f>
        <v>62277</v>
      </c>
      <c r="C43" s="177">
        <f>HERTFORDSHIRE!E13</f>
        <v>63007</v>
      </c>
      <c r="D43" s="177">
        <f>HERTFORDSHIRE!F13</f>
        <v>64042</v>
      </c>
      <c r="E43" s="177">
        <f>HERTFORDSHIRE!G13</f>
        <v>64822</v>
      </c>
      <c r="F43" s="177">
        <f>HERTFORDSHIRE!H13</f>
        <v>65767</v>
      </c>
      <c r="G43" s="177">
        <f>HERTFORDSHIRE!I13</f>
        <v>63950</v>
      </c>
      <c r="H43" s="177">
        <f>HERTFORDSHIRE!J13</f>
        <v>63484</v>
      </c>
      <c r="I43" s="177">
        <f>HERTFORDSHIRE!K13</f>
        <v>63683</v>
      </c>
      <c r="J43" s="177">
        <f>HERTFORDSHIRE!L13</f>
        <v>63574</v>
      </c>
      <c r="K43" s="178"/>
      <c r="L43" s="179">
        <f t="shared" si="23"/>
        <v>0.82016804509297792</v>
      </c>
      <c r="M43" s="179">
        <f t="shared" si="24"/>
        <v>0.82210566146057595</v>
      </c>
      <c r="N43" s="179">
        <f t="shared" si="25"/>
        <v>0.8308402848951103</v>
      </c>
      <c r="O43" s="179">
        <f t="shared" si="26"/>
        <v>0.83647766278679636</v>
      </c>
      <c r="P43" s="179">
        <f t="shared" si="27"/>
        <v>0.85263308009438121</v>
      </c>
      <c r="Q43" s="179">
        <f t="shared" si="28"/>
        <v>0.84395703011587087</v>
      </c>
      <c r="R43" s="179">
        <f t="shared" si="28"/>
        <v>0.8490684642030788</v>
      </c>
      <c r="S43" s="179">
        <f t="shared" si="28"/>
        <v>0.83229432137489379</v>
      </c>
      <c r="T43" s="179">
        <f t="shared" si="28"/>
        <v>0.82399906678936663</v>
      </c>
    </row>
    <row r="44" spans="1:20">
      <c r="A44" s="175" t="s">
        <v>1587</v>
      </c>
      <c r="B44" s="177">
        <f>HERTFORDSHIRE!D14</f>
        <v>75980</v>
      </c>
      <c r="C44" s="177">
        <f>HERTFORDSHIRE!E14</f>
        <v>76030</v>
      </c>
      <c r="D44" s="177">
        <f>HERTFORDSHIRE!F14</f>
        <v>77317</v>
      </c>
      <c r="E44" s="177">
        <f>HERTFORDSHIRE!G14</f>
        <v>78108</v>
      </c>
      <c r="F44" s="177">
        <f>HERTFORDSHIRE!H14</f>
        <v>78269</v>
      </c>
      <c r="G44" s="177">
        <f>HERTFORDSHIRE!I14</f>
        <v>75463</v>
      </c>
      <c r="H44" s="177">
        <f>HERTFORDSHIRE!J14</f>
        <v>73296</v>
      </c>
      <c r="I44" s="177">
        <f>HERTFORDSHIRE!K14</f>
        <v>75807</v>
      </c>
      <c r="J44" s="177">
        <f>HERTFORDSHIRE!L14</f>
        <v>76108</v>
      </c>
      <c r="K44" s="178"/>
      <c r="L44" s="179">
        <f t="shared" si="23"/>
        <v>1.0006321445503872</v>
      </c>
      <c r="M44" s="179">
        <f t="shared" si="24"/>
        <v>0.99202776581725183</v>
      </c>
      <c r="N44" s="179">
        <f t="shared" si="25"/>
        <v>1.0030617143005409</v>
      </c>
      <c r="O44" s="179">
        <f t="shared" si="26"/>
        <v>1.0079231940537332</v>
      </c>
      <c r="P44" s="179">
        <f t="shared" si="27"/>
        <v>1.0147146524230559</v>
      </c>
      <c r="Q44" s="179">
        <f t="shared" si="28"/>
        <v>0.9958956898144482</v>
      </c>
      <c r="R44" s="179">
        <f t="shared" si="28"/>
        <v>0.98029932191148739</v>
      </c>
      <c r="S44" s="179">
        <f t="shared" si="28"/>
        <v>0.99074691237012347</v>
      </c>
      <c r="T44" s="179">
        <f t="shared" si="28"/>
        <v>0.9864554845566601</v>
      </c>
    </row>
    <row r="45" spans="1:20">
      <c r="A45" s="175" t="s">
        <v>1588</v>
      </c>
      <c r="B45" s="177">
        <f t="shared" ref="B45:G45" si="30">SUM(B35:B44)</f>
        <v>804931</v>
      </c>
      <c r="C45" s="177">
        <f t="shared" si="30"/>
        <v>811936</v>
      </c>
      <c r="D45" s="177">
        <f t="shared" si="30"/>
        <v>817032</v>
      </c>
      <c r="E45" s="177">
        <f t="shared" si="30"/>
        <v>825185</v>
      </c>
      <c r="F45" s="177">
        <f t="shared" si="30"/>
        <v>827771</v>
      </c>
      <c r="G45" s="177">
        <f t="shared" si="30"/>
        <v>813202</v>
      </c>
      <c r="H45" s="177">
        <f t="shared" ref="H45" si="31">SUM(H35:H44)</f>
        <v>801230</v>
      </c>
      <c r="I45" s="177">
        <f t="shared" ref="I45:J45" si="32">SUM(I35:I44)</f>
        <v>823011</v>
      </c>
      <c r="J45" s="177">
        <f t="shared" si="32"/>
        <v>825462</v>
      </c>
      <c r="K45" s="178"/>
      <c r="L45" s="179">
        <f t="shared" si="23"/>
        <v>10.600682189327292</v>
      </c>
      <c r="M45" s="179">
        <f t="shared" si="24"/>
        <v>10.59401625761668</v>
      </c>
      <c r="N45" s="179">
        <f t="shared" si="25"/>
        <v>10.599654908472905</v>
      </c>
      <c r="O45" s="179">
        <f t="shared" si="26"/>
        <v>10.648372777247271</v>
      </c>
      <c r="P45" s="179">
        <f t="shared" si="27"/>
        <v>10.731596961132574</v>
      </c>
      <c r="Q45" s="179">
        <f t="shared" si="28"/>
        <v>10.731939715469686</v>
      </c>
      <c r="R45" s="179">
        <f t="shared" si="28"/>
        <v>10.716072168947024</v>
      </c>
      <c r="S45" s="179">
        <f t="shared" si="28"/>
        <v>10.756204665751813</v>
      </c>
      <c r="T45" s="179">
        <f t="shared" si="28"/>
        <v>10.699026609464312</v>
      </c>
    </row>
    <row r="46" spans="1:20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</row>
    <row r="47" spans="1:20">
      <c r="A47" s="175" t="s">
        <v>8512</v>
      </c>
      <c r="B47" s="177">
        <f>NORFOLK!D5</f>
        <v>93852</v>
      </c>
      <c r="C47" s="177">
        <f>NORFOLK!E5</f>
        <v>94715</v>
      </c>
      <c r="D47" s="177">
        <f>NORFOLK!F5</f>
        <v>95612</v>
      </c>
      <c r="E47" s="177">
        <f>NORFOLK!G5</f>
        <v>97612</v>
      </c>
      <c r="F47" s="177">
        <f>NORFOLK!H5</f>
        <v>94135</v>
      </c>
      <c r="G47" s="177">
        <f>NORFOLK!I5</f>
        <v>95607</v>
      </c>
      <c r="H47" s="177">
        <f>NORFOLK!J5</f>
        <v>97669</v>
      </c>
      <c r="I47" s="177">
        <f>NORFOLK!K5</f>
        <v>100068</v>
      </c>
      <c r="J47" s="177">
        <f>NORFOLK!L5</f>
        <v>99776</v>
      </c>
      <c r="K47" s="178"/>
      <c r="L47" s="179">
        <f t="shared" ref="L47:T54" si="33">B47/B$470</f>
        <v>1.2360006321445505</v>
      </c>
      <c r="M47" s="179">
        <f t="shared" si="33"/>
        <v>1.2358267767904907</v>
      </c>
      <c r="N47" s="179">
        <f t="shared" si="33"/>
        <v>1.2404094394208689</v>
      </c>
      <c r="O47" s="179">
        <f t="shared" si="33"/>
        <v>1.2596071953957726</v>
      </c>
      <c r="P47" s="179">
        <f t="shared" si="33"/>
        <v>1.2204086395104623</v>
      </c>
      <c r="Q47" s="179">
        <f t="shared" si="33"/>
        <v>1.2617388550162325</v>
      </c>
      <c r="R47" s="179">
        <f t="shared" si="33"/>
        <v>1.3062766654629592</v>
      </c>
      <c r="S47" s="179">
        <f t="shared" si="33"/>
        <v>1.3078219956871202</v>
      </c>
      <c r="T47" s="179">
        <f t="shared" si="33"/>
        <v>1.2932225577748111</v>
      </c>
    </row>
    <row r="48" spans="1:20">
      <c r="A48" s="175" t="s">
        <v>8513</v>
      </c>
      <c r="B48" s="177">
        <f>NORFOLK!D6</f>
        <v>93920</v>
      </c>
      <c r="C48" s="177">
        <f>NORFOLK!E6</f>
        <v>95393</v>
      </c>
      <c r="D48" s="177">
        <f>NORFOLK!F6</f>
        <v>96268</v>
      </c>
      <c r="E48" s="177">
        <f>NORFOLK!G6</f>
        <v>97292</v>
      </c>
      <c r="F48" s="177">
        <f>NORFOLK!H6</f>
        <v>96559</v>
      </c>
      <c r="G48" s="177">
        <f>NORFOLK!I6</f>
        <v>93466</v>
      </c>
      <c r="H48" s="177">
        <f>NORFOLK!J6</f>
        <v>94862</v>
      </c>
      <c r="I48" s="177">
        <f>NORFOLK!K6</f>
        <v>98674</v>
      </c>
      <c r="J48" s="177">
        <f>NORFOLK!L6</f>
        <v>98807</v>
      </c>
      <c r="K48" s="178"/>
      <c r="L48" s="179">
        <f t="shared" si="33"/>
        <v>1.2368961702575989</v>
      </c>
      <c r="M48" s="179">
        <f t="shared" si="33"/>
        <v>1.2446732166855861</v>
      </c>
      <c r="N48" s="179">
        <f t="shared" si="33"/>
        <v>1.2489199673071185</v>
      </c>
      <c r="O48" s="179">
        <f t="shared" si="33"/>
        <v>1.2554778434459442</v>
      </c>
      <c r="P48" s="179">
        <f t="shared" si="33"/>
        <v>1.2518344698835793</v>
      </c>
      <c r="Q48" s="179">
        <f t="shared" si="33"/>
        <v>1.2334837807163408</v>
      </c>
      <c r="R48" s="179">
        <f t="shared" si="33"/>
        <v>1.2687343685217136</v>
      </c>
      <c r="S48" s="179">
        <f t="shared" si="33"/>
        <v>1.2896033457491995</v>
      </c>
      <c r="T48" s="179">
        <f t="shared" si="33"/>
        <v>1.2806630980000777</v>
      </c>
    </row>
    <row r="49" spans="1:20">
      <c r="A49" s="175" t="s">
        <v>8514</v>
      </c>
      <c r="B49" s="177">
        <f>NORFOLK!D7</f>
        <v>70196</v>
      </c>
      <c r="C49" s="177">
        <f>NORFOLK!E7</f>
        <v>70526</v>
      </c>
      <c r="D49" s="177">
        <f>NORFOLK!F7</f>
        <v>69872</v>
      </c>
      <c r="E49" s="177">
        <f>NORFOLK!G7</f>
        <v>69238</v>
      </c>
      <c r="F49" s="177">
        <f>NORFOLK!H7</f>
        <v>69616</v>
      </c>
      <c r="G49" s="177">
        <f>NORFOLK!I7</f>
        <v>68756</v>
      </c>
      <c r="H49" s="177">
        <f>NORFOLK!J7</f>
        <v>69691</v>
      </c>
      <c r="I49" s="177">
        <f>NORFOLK!K7</f>
        <v>70816</v>
      </c>
      <c r="J49" s="177">
        <f>NORFOLK!L7</f>
        <v>69332</v>
      </c>
      <c r="K49" s="178"/>
      <c r="L49" s="179">
        <f t="shared" si="33"/>
        <v>0.92445872622873093</v>
      </c>
      <c r="M49" s="179">
        <f t="shared" si="33"/>
        <v>0.92021241894025396</v>
      </c>
      <c r="N49" s="179">
        <f t="shared" si="33"/>
        <v>0.906475006811017</v>
      </c>
      <c r="O49" s="179">
        <f t="shared" si="33"/>
        <v>0.89346271969442792</v>
      </c>
      <c r="P49" s="179">
        <f t="shared" si="33"/>
        <v>0.90253325381803096</v>
      </c>
      <c r="Q49" s="179">
        <f t="shared" si="33"/>
        <v>0.90738247947844908</v>
      </c>
      <c r="R49" s="179">
        <f t="shared" si="33"/>
        <v>0.9320841525231045</v>
      </c>
      <c r="S49" s="179">
        <f t="shared" si="33"/>
        <v>0.92551787231261839</v>
      </c>
      <c r="T49" s="179">
        <f t="shared" si="33"/>
        <v>0.89862999494510909</v>
      </c>
    </row>
    <row r="50" spans="1:20">
      <c r="A50" s="175" t="s">
        <v>8515</v>
      </c>
      <c r="B50" s="177">
        <f>NORFOLK!D8</f>
        <v>112712</v>
      </c>
      <c r="C50" s="177">
        <f>NORFOLK!E8</f>
        <v>113156</v>
      </c>
      <c r="D50" s="177">
        <f>NORFOLK!F8</f>
        <v>113756</v>
      </c>
      <c r="E50" s="177">
        <f>NORFOLK!G8</f>
        <v>114603</v>
      </c>
      <c r="F50" s="177">
        <f>NORFOLK!H8</f>
        <v>112488</v>
      </c>
      <c r="G50" s="177">
        <f>NORFOLK!I8</f>
        <v>110585</v>
      </c>
      <c r="H50" s="177">
        <f>NORFOLK!J8</f>
        <v>110945</v>
      </c>
      <c r="I50" s="177">
        <f>NORFOLK!K8</f>
        <v>111441</v>
      </c>
      <c r="J50" s="177">
        <f>NORFOLK!L8</f>
        <v>112209</v>
      </c>
      <c r="K50" s="178"/>
      <c r="L50" s="179">
        <f t="shared" si="33"/>
        <v>1.4843807617341833</v>
      </c>
      <c r="M50" s="179">
        <f t="shared" si="33"/>
        <v>1.4764421132292116</v>
      </c>
      <c r="N50" s="179">
        <f t="shared" si="33"/>
        <v>1.4757981863234779</v>
      </c>
      <c r="O50" s="179">
        <f t="shared" si="33"/>
        <v>1.478862879706816</v>
      </c>
      <c r="P50" s="179">
        <f t="shared" si="33"/>
        <v>1.4583452174138511</v>
      </c>
      <c r="Q50" s="179">
        <f t="shared" si="33"/>
        <v>1.4594056008657323</v>
      </c>
      <c r="R50" s="179">
        <f t="shared" si="33"/>
        <v>1.483836884270219</v>
      </c>
      <c r="S50" s="179">
        <f t="shared" si="33"/>
        <v>1.4564595177416193</v>
      </c>
      <c r="T50" s="179">
        <f t="shared" si="33"/>
        <v>1.4543698884035619</v>
      </c>
    </row>
    <row r="51" spans="1:20">
      <c r="A51" s="175" t="s">
        <v>8516</v>
      </c>
      <c r="B51" s="177">
        <f>NORFOLK!D9</f>
        <v>81366</v>
      </c>
      <c r="C51" s="177">
        <f>NORFOLK!E9</f>
        <v>81667</v>
      </c>
      <c r="D51" s="177">
        <f>NORFOLK!F9</f>
        <v>81767</v>
      </c>
      <c r="E51" s="177">
        <f>NORFOLK!G9</f>
        <v>82455</v>
      </c>
      <c r="F51" s="177">
        <f>NORFOLK!H9</f>
        <v>82104</v>
      </c>
      <c r="G51" s="177">
        <f>NORFOLK!I9</f>
        <v>81470</v>
      </c>
      <c r="H51" s="177">
        <f>NORFOLK!J9</f>
        <v>80922</v>
      </c>
      <c r="I51" s="177">
        <f>NORFOLK!K9</f>
        <v>81527</v>
      </c>
      <c r="J51" s="177">
        <f>NORFOLK!L9</f>
        <v>82455</v>
      </c>
      <c r="K51" s="178"/>
      <c r="L51" s="179">
        <f t="shared" si="33"/>
        <v>1.0715640309750829</v>
      </c>
      <c r="M51" s="179">
        <f t="shared" si="33"/>
        <v>1.0655784762724911</v>
      </c>
      <c r="N51" s="179">
        <f t="shared" si="33"/>
        <v>1.0607931915776909</v>
      </c>
      <c r="O51" s="179">
        <f t="shared" si="33"/>
        <v>1.064017859447183</v>
      </c>
      <c r="P51" s="179">
        <f t="shared" si="33"/>
        <v>1.0644333238260688</v>
      </c>
      <c r="Q51" s="179">
        <f t="shared" si="33"/>
        <v>1.0751709029482408</v>
      </c>
      <c r="R51" s="179">
        <f t="shared" si="33"/>
        <v>1.0822934638687156</v>
      </c>
      <c r="S51" s="179">
        <f t="shared" si="33"/>
        <v>1.0655034960465268</v>
      </c>
      <c r="T51" s="179">
        <f t="shared" si="33"/>
        <v>1.0687205941441034</v>
      </c>
    </row>
    <row r="52" spans="1:20">
      <c r="A52" s="175" t="s">
        <v>8517</v>
      </c>
      <c r="B52" s="177">
        <f>NORFOLK!D10</f>
        <v>97431</v>
      </c>
      <c r="C52" s="177">
        <f>NORFOLK!E10</f>
        <v>98569</v>
      </c>
      <c r="D52" s="177">
        <f>NORFOLK!F10</f>
        <v>98771</v>
      </c>
      <c r="E52" s="177">
        <f>NORFOLK!G10</f>
        <v>97924</v>
      </c>
      <c r="F52" s="177">
        <f>NORFOLK!H10</f>
        <v>98595</v>
      </c>
      <c r="G52" s="177">
        <f>NORFOLK!I10</f>
        <v>93985</v>
      </c>
      <c r="H52" s="177">
        <f>NORFOLK!J10</f>
        <v>93077</v>
      </c>
      <c r="I52" s="177">
        <f>NORFOLK!K10</f>
        <v>93894</v>
      </c>
      <c r="J52" s="177">
        <f>NORFOLK!L10</f>
        <v>96154</v>
      </c>
      <c r="K52" s="178"/>
      <c r="L52" s="179">
        <f t="shared" si="33"/>
        <v>1.2831349101827951</v>
      </c>
      <c r="M52" s="179">
        <f t="shared" si="33"/>
        <v>1.2861131770201328</v>
      </c>
      <c r="N52" s="179">
        <f t="shared" si="33"/>
        <v>1.2813923016048054</v>
      </c>
      <c r="O52" s="179">
        <f t="shared" si="33"/>
        <v>1.2636333135468552</v>
      </c>
      <c r="P52" s="179">
        <f t="shared" si="33"/>
        <v>1.2782300930847617</v>
      </c>
      <c r="Q52" s="179">
        <f t="shared" si="33"/>
        <v>1.2403330957848338</v>
      </c>
      <c r="R52" s="179">
        <f t="shared" si="33"/>
        <v>1.2448608380478541</v>
      </c>
      <c r="S52" s="179">
        <f t="shared" si="33"/>
        <v>1.2271319349147225</v>
      </c>
      <c r="T52" s="179">
        <f t="shared" si="33"/>
        <v>1.2462768784104312</v>
      </c>
    </row>
    <row r="53" spans="1:20">
      <c r="A53" s="175" t="s">
        <v>5094</v>
      </c>
      <c r="B53" s="177">
        <f>NORFOLK!D11</f>
        <v>95769</v>
      </c>
      <c r="C53" s="177">
        <f>NORFOLK!E11</f>
        <v>97093</v>
      </c>
      <c r="D53" s="177">
        <f>NORFOLK!F11</f>
        <v>97804</v>
      </c>
      <c r="E53" s="177">
        <f>NORFOLK!G11</f>
        <v>99227</v>
      </c>
      <c r="F53" s="177">
        <f>NORFOLK!H11</f>
        <v>99183</v>
      </c>
      <c r="G53" s="177">
        <f>NORFOLK!I11</f>
        <v>97771</v>
      </c>
      <c r="H53" s="177">
        <f>NORFOLK!J11</f>
        <v>98595</v>
      </c>
      <c r="I53" s="177">
        <f>NORFOLK!K11</f>
        <v>103887</v>
      </c>
      <c r="J53" s="177">
        <f>NORFOLK!L11</f>
        <v>103957</v>
      </c>
      <c r="K53" s="178"/>
      <c r="L53" s="179">
        <f t="shared" si="33"/>
        <v>1.2612469051256388</v>
      </c>
      <c r="M53" s="179">
        <f t="shared" si="33"/>
        <v>1.266854555655589</v>
      </c>
      <c r="N53" s="179">
        <f t="shared" si="33"/>
        <v>1.2688470569919954</v>
      </c>
      <c r="O53" s="179">
        <f t="shared" si="33"/>
        <v>1.2804475185175626</v>
      </c>
      <c r="P53" s="179">
        <f t="shared" si="33"/>
        <v>1.2858531905515078</v>
      </c>
      <c r="Q53" s="179">
        <f t="shared" si="33"/>
        <v>1.2902974635099111</v>
      </c>
      <c r="R53" s="179">
        <f t="shared" si="33"/>
        <v>1.3186614773502388</v>
      </c>
      <c r="S53" s="179">
        <f t="shared" si="33"/>
        <v>1.3577337776906488</v>
      </c>
      <c r="T53" s="179">
        <f t="shared" si="33"/>
        <v>1.347413580806968</v>
      </c>
    </row>
    <row r="54" spans="1:20">
      <c r="A54" s="175" t="s">
        <v>5095</v>
      </c>
      <c r="B54" s="177">
        <f t="shared" ref="B54:G54" si="34">SUM(B47:B53)</f>
        <v>645246</v>
      </c>
      <c r="C54" s="177">
        <f t="shared" si="34"/>
        <v>651119</v>
      </c>
      <c r="D54" s="177">
        <f t="shared" si="34"/>
        <v>653850</v>
      </c>
      <c r="E54" s="177">
        <f t="shared" si="34"/>
        <v>658351</v>
      </c>
      <c r="F54" s="177">
        <f t="shared" si="34"/>
        <v>652680</v>
      </c>
      <c r="G54" s="177">
        <f t="shared" si="34"/>
        <v>641640</v>
      </c>
      <c r="H54" s="177">
        <f t="shared" ref="H54" si="35">SUM(H47:H53)</f>
        <v>645761</v>
      </c>
      <c r="I54" s="177">
        <f t="shared" ref="I54:J54" si="36">SUM(I47:I53)</f>
        <v>660307</v>
      </c>
      <c r="J54" s="177">
        <f t="shared" si="36"/>
        <v>662690</v>
      </c>
      <c r="K54" s="178"/>
      <c r="L54" s="179">
        <f t="shared" si="33"/>
        <v>8.4976821366485797</v>
      </c>
      <c r="M54" s="179">
        <f t="shared" si="33"/>
        <v>8.4957007345937559</v>
      </c>
      <c r="N54" s="179">
        <f t="shared" si="33"/>
        <v>8.4826351500369732</v>
      </c>
      <c r="O54" s="179">
        <f t="shared" si="33"/>
        <v>8.4955093297545616</v>
      </c>
      <c r="P54" s="179">
        <f t="shared" si="33"/>
        <v>8.4616381880882621</v>
      </c>
      <c r="Q54" s="179">
        <f t="shared" si="33"/>
        <v>8.4678121783197398</v>
      </c>
      <c r="R54" s="179">
        <f t="shared" si="33"/>
        <v>8.6367478500448041</v>
      </c>
      <c r="S54" s="179">
        <f t="shared" si="33"/>
        <v>8.6297719401424562</v>
      </c>
      <c r="T54" s="179">
        <f t="shared" si="33"/>
        <v>8.5892965924850628</v>
      </c>
    </row>
    <row r="55" spans="1:20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</row>
    <row r="56" spans="1:20">
      <c r="A56" s="175" t="s">
        <v>3425</v>
      </c>
      <c r="B56" s="177">
        <f>SUFFOLK!D5</f>
        <v>69365</v>
      </c>
      <c r="C56" s="177">
        <f>SUFFOLK!E5</f>
        <v>69609</v>
      </c>
      <c r="D56" s="177">
        <f>SUFFOLK!F5</f>
        <v>69910</v>
      </c>
      <c r="E56" s="177">
        <f>SUFFOLK!G5</f>
        <v>70307</v>
      </c>
      <c r="F56" s="177">
        <f>SUFFOLK!H5</f>
        <v>70322</v>
      </c>
      <c r="G56" s="177">
        <f>SUFFOLK!I5</f>
        <v>69094</v>
      </c>
      <c r="H56" s="177">
        <f>SUFFOLK!J5</f>
        <v>68206</v>
      </c>
      <c r="I56" s="177">
        <f>SUFFOLK!K5</f>
        <v>71175</v>
      </c>
      <c r="J56" s="177">
        <f>SUFFOLK!L5</f>
        <v>71840</v>
      </c>
      <c r="K56" s="178"/>
      <c r="L56" s="179">
        <f t="shared" ref="L56:T63" si="37">B56/B$470</f>
        <v>0.91351472370015274</v>
      </c>
      <c r="M56" s="179">
        <f t="shared" si="37"/>
        <v>0.90824754374290528</v>
      </c>
      <c r="N56" s="179">
        <f t="shared" si="37"/>
        <v>0.90696799470686684</v>
      </c>
      <c r="O56" s="179">
        <f t="shared" si="37"/>
        <v>0.90725733605182335</v>
      </c>
      <c r="P56" s="179">
        <f t="shared" si="37"/>
        <v>0.91168615655871599</v>
      </c>
      <c r="Q56" s="179">
        <f t="shared" si="37"/>
        <v>0.9118431124132288</v>
      </c>
      <c r="R56" s="179">
        <f t="shared" si="37"/>
        <v>0.91222298011207859</v>
      </c>
      <c r="S56" s="179">
        <f t="shared" si="37"/>
        <v>0.9302097627916095</v>
      </c>
      <c r="T56" s="179">
        <f t="shared" si="37"/>
        <v>0.93113683200912467</v>
      </c>
    </row>
    <row r="57" spans="1:20">
      <c r="A57" s="175" t="s">
        <v>3426</v>
      </c>
      <c r="B57" s="177">
        <f>SUFFOLK!D6</f>
        <v>36178</v>
      </c>
      <c r="C57" s="177">
        <f>SUFFOLK!E6</f>
        <v>37584</v>
      </c>
      <c r="D57" s="177">
        <f>SUFFOLK!F6</f>
        <v>37950</v>
      </c>
      <c r="E57" s="177">
        <f>SUFFOLK!G6</f>
        <v>38412</v>
      </c>
      <c r="F57" s="177">
        <f>SUFFOLK!H6</f>
        <v>37709</v>
      </c>
      <c r="G57" s="177">
        <f>SUFFOLK!I6</f>
        <v>37485</v>
      </c>
      <c r="H57" s="177">
        <f>SUFFOLK!J6</f>
        <v>36057</v>
      </c>
      <c r="I57" s="177">
        <f>SUFFOLK!K6</f>
        <v>38139</v>
      </c>
      <c r="J57" s="177">
        <f>SUFFOLK!L6</f>
        <v>37771</v>
      </c>
      <c r="K57" s="178"/>
      <c r="L57" s="179">
        <f t="shared" si="37"/>
        <v>0.47645261549807721</v>
      </c>
      <c r="M57" s="179">
        <f t="shared" si="37"/>
        <v>0.49039026108740752</v>
      </c>
      <c r="N57" s="179">
        <f t="shared" si="37"/>
        <v>0.49233922756580739</v>
      </c>
      <c r="O57" s="179">
        <f t="shared" si="37"/>
        <v>0.49567708467752342</v>
      </c>
      <c r="P57" s="179">
        <f t="shared" si="37"/>
        <v>0.48887650063525812</v>
      </c>
      <c r="Q57" s="179">
        <f t="shared" si="37"/>
        <v>0.49469475017816139</v>
      </c>
      <c r="R57" s="179">
        <f t="shared" si="37"/>
        <v>0.48224531557196165</v>
      </c>
      <c r="S57" s="179">
        <f t="shared" si="37"/>
        <v>0.49845128406194866</v>
      </c>
      <c r="T57" s="179">
        <f t="shared" si="37"/>
        <v>0.48955970603865046</v>
      </c>
    </row>
    <row r="58" spans="1:20">
      <c r="A58" s="175" t="s">
        <v>3427</v>
      </c>
      <c r="B58" s="177">
        <f>SUFFOLK!D7</f>
        <v>94748</v>
      </c>
      <c r="C58" s="177">
        <f>SUFFOLK!E7</f>
        <v>93141</v>
      </c>
      <c r="D58" s="177">
        <f>SUFFOLK!F7</f>
        <v>94517</v>
      </c>
      <c r="E58" s="177">
        <f>SUFFOLK!G7</f>
        <v>94107</v>
      </c>
      <c r="F58" s="177">
        <f>SUFFOLK!H7</f>
        <v>93983</v>
      </c>
      <c r="G58" s="177">
        <f>SUFFOLK!I7</f>
        <v>90508</v>
      </c>
      <c r="H58" s="177">
        <f>SUFFOLK!J7</f>
        <v>87527</v>
      </c>
      <c r="I58" s="177">
        <f>SUFFOLK!K7</f>
        <v>89624</v>
      </c>
      <c r="J58" s="177">
        <f>SUFFOLK!L7</f>
        <v>90544</v>
      </c>
      <c r="K58" s="178"/>
      <c r="L58" s="179">
        <f t="shared" si="37"/>
        <v>1.247800663751778</v>
      </c>
      <c r="M58" s="179">
        <f t="shared" si="37"/>
        <v>1.2152894664735585</v>
      </c>
      <c r="N58" s="179">
        <f t="shared" si="37"/>
        <v>1.226203604000986</v>
      </c>
      <c r="O58" s="179">
        <f t="shared" si="37"/>
        <v>1.2143778873203086</v>
      </c>
      <c r="P58" s="179">
        <f t="shared" si="37"/>
        <v>1.2184380428864054</v>
      </c>
      <c r="Q58" s="179">
        <f t="shared" si="37"/>
        <v>1.1944466439675878</v>
      </c>
      <c r="R58" s="179">
        <f t="shared" si="37"/>
        <v>1.1706322138854337</v>
      </c>
      <c r="S58" s="179">
        <f t="shared" si="37"/>
        <v>1.1713258838136313</v>
      </c>
      <c r="T58" s="179">
        <f t="shared" si="37"/>
        <v>1.1735642165567119</v>
      </c>
    </row>
    <row r="59" spans="1:20">
      <c r="A59" s="175" t="s">
        <v>3428</v>
      </c>
      <c r="B59" s="177">
        <f>SUFFOLK!D8</f>
        <v>74950</v>
      </c>
      <c r="C59" s="177">
        <f>SUFFOLK!E8</f>
        <v>75670</v>
      </c>
      <c r="D59" s="177">
        <f>SUFFOLK!F8</f>
        <v>76313</v>
      </c>
      <c r="E59" s="177">
        <f>SUFFOLK!G8</f>
        <v>76721</v>
      </c>
      <c r="F59" s="177">
        <f>SUFFOLK!H8</f>
        <v>76808</v>
      </c>
      <c r="G59" s="177">
        <f>SUFFOLK!I8</f>
        <v>76023</v>
      </c>
      <c r="H59" s="177">
        <f>SUFFOLK!J8</f>
        <v>76018</v>
      </c>
      <c r="I59" s="177">
        <f>SUFFOLK!K8</f>
        <v>79484</v>
      </c>
      <c r="J59" s="177">
        <f>SUFFOLK!L8</f>
        <v>80113</v>
      </c>
      <c r="K59" s="178"/>
      <c r="L59" s="179">
        <f t="shared" si="37"/>
        <v>0.98706737607332873</v>
      </c>
      <c r="M59" s="179">
        <f t="shared" si="37"/>
        <v>0.98733054109419238</v>
      </c>
      <c r="N59" s="179">
        <f t="shared" si="37"/>
        <v>0.99003645515756156</v>
      </c>
      <c r="O59" s="179">
        <f t="shared" si="37"/>
        <v>0.99002503419619581</v>
      </c>
      <c r="P59" s="179">
        <f t="shared" si="37"/>
        <v>0.9957735888194571</v>
      </c>
      <c r="Q59" s="179">
        <f t="shared" si="37"/>
        <v>1.0032860875762135</v>
      </c>
      <c r="R59" s="179">
        <f t="shared" si="37"/>
        <v>1.0167047840682635</v>
      </c>
      <c r="S59" s="179">
        <f t="shared" si="37"/>
        <v>1.0388028491145527</v>
      </c>
      <c r="T59" s="179">
        <f t="shared" si="37"/>
        <v>1.0383653260404651</v>
      </c>
    </row>
    <row r="60" spans="1:20">
      <c r="A60" s="175" t="s">
        <v>3429</v>
      </c>
      <c r="B60" s="177">
        <f>SUFFOLK!D9</f>
        <v>79908</v>
      </c>
      <c r="C60" s="177">
        <f>SUFFOLK!E9</f>
        <v>81408</v>
      </c>
      <c r="D60" s="177">
        <f>SUFFOLK!F9</f>
        <v>81039</v>
      </c>
      <c r="E60" s="177">
        <f>SUFFOLK!G9</f>
        <v>81327</v>
      </c>
      <c r="F60" s="177">
        <f>SUFFOLK!H9</f>
        <v>80223</v>
      </c>
      <c r="G60" s="177">
        <f>SUFFOLK!I9</f>
        <v>79718</v>
      </c>
      <c r="H60" s="177">
        <f>SUFFOLK!J9</f>
        <v>76662</v>
      </c>
      <c r="I60" s="177">
        <f>SUFFOLK!K9</f>
        <v>80852</v>
      </c>
      <c r="J60" s="177">
        <f>SUFFOLK!L9</f>
        <v>79973</v>
      </c>
      <c r="K60" s="178"/>
      <c r="L60" s="179">
        <f t="shared" si="37"/>
        <v>1.052362640257072</v>
      </c>
      <c r="M60" s="179">
        <f t="shared" si="37"/>
        <v>1.062199084041179</v>
      </c>
      <c r="N60" s="179">
        <f t="shared" si="37"/>
        <v>1.0513485813624628</v>
      </c>
      <c r="O60" s="179">
        <f t="shared" si="37"/>
        <v>1.0494618938240381</v>
      </c>
      <c r="P60" s="179">
        <f t="shared" si="37"/>
        <v>1.0400471906033655</v>
      </c>
      <c r="Q60" s="179">
        <f t="shared" si="37"/>
        <v>1.0520495156650038</v>
      </c>
      <c r="R60" s="179">
        <f t="shared" si="37"/>
        <v>1.0253179793764795</v>
      </c>
      <c r="S60" s="179">
        <f t="shared" si="37"/>
        <v>1.0566816963993988</v>
      </c>
      <c r="T60" s="179">
        <f t="shared" si="37"/>
        <v>1.0365507498088213</v>
      </c>
    </row>
    <row r="61" spans="1:20">
      <c r="A61" s="175" t="s">
        <v>3430</v>
      </c>
      <c r="B61" s="177">
        <f>SUFFOLK!D10</f>
        <v>95460</v>
      </c>
      <c r="C61" s="177">
        <f>SUFFOLK!E10</f>
        <v>95500</v>
      </c>
      <c r="D61" s="177">
        <f>SUFFOLK!F10</f>
        <v>96210</v>
      </c>
      <c r="E61" s="177">
        <f>SUFFOLK!G10</f>
        <v>96928</v>
      </c>
      <c r="F61" s="177">
        <f>SUFFOLK!H10</f>
        <v>93136</v>
      </c>
      <c r="G61" s="177">
        <f>SUFFOLK!I10</f>
        <v>94326</v>
      </c>
      <c r="H61" s="177">
        <f>SUFFOLK!J10</f>
        <v>93970</v>
      </c>
      <c r="I61" s="177">
        <f>SUFFOLK!K10</f>
        <v>96661</v>
      </c>
      <c r="J61" s="177">
        <f>SUFFOLK!L10</f>
        <v>97776</v>
      </c>
      <c r="K61" s="178"/>
      <c r="L61" s="179">
        <f t="shared" si="37"/>
        <v>1.2571774745825213</v>
      </c>
      <c r="M61" s="179">
        <f t="shared" si="37"/>
        <v>1.2460693362560509</v>
      </c>
      <c r="N61" s="179">
        <f t="shared" si="37"/>
        <v>1.2481675120976634</v>
      </c>
      <c r="O61" s="179">
        <f t="shared" si="37"/>
        <v>1.2507807056030145</v>
      </c>
      <c r="P61" s="179">
        <f t="shared" si="37"/>
        <v>1.2074571524878783</v>
      </c>
      <c r="Q61" s="179">
        <f t="shared" si="37"/>
        <v>1.2448333201361945</v>
      </c>
      <c r="R61" s="179">
        <f t="shared" si="37"/>
        <v>1.256804290548222</v>
      </c>
      <c r="S61" s="179">
        <f t="shared" si="37"/>
        <v>1.2632947788015423</v>
      </c>
      <c r="T61" s="179">
        <f t="shared" si="37"/>
        <v>1.2673000401799022</v>
      </c>
    </row>
    <row r="62" spans="1:20">
      <c r="A62" s="175" t="s">
        <v>3431</v>
      </c>
      <c r="B62" s="177">
        <f>SUFFOLK!D11</f>
        <v>89625</v>
      </c>
      <c r="C62" s="177">
        <f>SUFFOLK!E11</f>
        <v>89580</v>
      </c>
      <c r="D62" s="177">
        <f>SUFFOLK!F11</f>
        <v>89559</v>
      </c>
      <c r="E62" s="177">
        <f>SUFFOLK!G11</f>
        <v>89489</v>
      </c>
      <c r="F62" s="177">
        <f>SUFFOLK!H11</f>
        <v>90369</v>
      </c>
      <c r="G62" s="177">
        <f>SUFFOLK!I11</f>
        <v>89402</v>
      </c>
      <c r="H62" s="177">
        <f>SUFFOLK!J11</f>
        <v>87777</v>
      </c>
      <c r="I62" s="177">
        <f>SUFFOLK!K11</f>
        <v>89601</v>
      </c>
      <c r="J62" s="177">
        <f>SUFFOLK!L11</f>
        <v>90376</v>
      </c>
      <c r="K62" s="178"/>
      <c r="L62" s="179">
        <f t="shared" si="37"/>
        <v>1.1803324026760786</v>
      </c>
      <c r="M62" s="179">
        <f t="shared" si="37"/>
        <v>1.1688260852546288</v>
      </c>
      <c r="N62" s="179">
        <f t="shared" si="37"/>
        <v>1.1618816569582646</v>
      </c>
      <c r="O62" s="179">
        <f t="shared" si="37"/>
        <v>1.1547861769943479</v>
      </c>
      <c r="P62" s="179">
        <f t="shared" si="37"/>
        <v>1.1715845152591593</v>
      </c>
      <c r="Q62" s="179">
        <f t="shared" si="37"/>
        <v>1.1798506083881015</v>
      </c>
      <c r="R62" s="179">
        <f t="shared" si="37"/>
        <v>1.1739758456044618</v>
      </c>
      <c r="S62" s="179">
        <f t="shared" si="37"/>
        <v>1.1710252891589885</v>
      </c>
      <c r="T62" s="179">
        <f t="shared" si="37"/>
        <v>1.1713867250787398</v>
      </c>
    </row>
    <row r="63" spans="1:20">
      <c r="A63" s="175" t="s">
        <v>3432</v>
      </c>
      <c r="B63" s="177">
        <f t="shared" ref="B63:G63" si="38">SUM(B56:B62)</f>
        <v>540234</v>
      </c>
      <c r="C63" s="177">
        <f t="shared" si="38"/>
        <v>542492</v>
      </c>
      <c r="D63" s="177">
        <f t="shared" si="38"/>
        <v>545498</v>
      </c>
      <c r="E63" s="177">
        <f t="shared" si="38"/>
        <v>547291</v>
      </c>
      <c r="F63" s="177">
        <f t="shared" si="38"/>
        <v>542550</v>
      </c>
      <c r="G63" s="177">
        <f t="shared" si="38"/>
        <v>536556</v>
      </c>
      <c r="H63" s="177">
        <f t="shared" ref="H63" si="39">SUM(H56:H62)</f>
        <v>526217</v>
      </c>
      <c r="I63" s="177">
        <f t="shared" ref="I63:J63" si="40">SUM(I56:I62)</f>
        <v>545536</v>
      </c>
      <c r="J63" s="177">
        <f t="shared" si="40"/>
        <v>548393</v>
      </c>
      <c r="K63" s="178"/>
      <c r="L63" s="179">
        <f t="shared" si="37"/>
        <v>7.1147078965390085</v>
      </c>
      <c r="M63" s="179">
        <f t="shared" si="37"/>
        <v>7.0783523179499221</v>
      </c>
      <c r="N63" s="179">
        <f t="shared" si="37"/>
        <v>7.076945031849613</v>
      </c>
      <c r="O63" s="179">
        <f t="shared" si="37"/>
        <v>7.0623661186672519</v>
      </c>
      <c r="P63" s="179">
        <f t="shared" si="37"/>
        <v>7.0338631472502398</v>
      </c>
      <c r="Q63" s="179">
        <f t="shared" si="37"/>
        <v>7.0810040383244912</v>
      </c>
      <c r="R63" s="179">
        <f t="shared" si="37"/>
        <v>7.0379034091669004</v>
      </c>
      <c r="S63" s="179">
        <f t="shared" si="37"/>
        <v>7.1297915441416713</v>
      </c>
      <c r="T63" s="179">
        <f t="shared" si="37"/>
        <v>7.1078635957124154</v>
      </c>
    </row>
    <row r="64" spans="1:20">
      <c r="A64" s="175"/>
      <c r="B64" s="177"/>
      <c r="C64" s="177"/>
      <c r="D64" s="177"/>
      <c r="E64" s="177"/>
      <c r="F64" s="177"/>
      <c r="G64" s="177"/>
      <c r="H64" s="177"/>
      <c r="I64" s="177"/>
      <c r="J64" s="177"/>
      <c r="K64" s="178"/>
      <c r="L64" s="179"/>
      <c r="M64" s="179"/>
      <c r="N64" s="179"/>
      <c r="O64" s="179"/>
      <c r="P64" s="179"/>
      <c r="Q64" s="179"/>
      <c r="R64" s="179"/>
      <c r="S64" s="179"/>
      <c r="T64" s="179"/>
    </row>
    <row r="65" spans="1:20">
      <c r="A65" s="185" t="s">
        <v>6942</v>
      </c>
      <c r="B65" s="186">
        <f t="shared" ref="B65:H65" si="41">B7+B16+B33+B45+B54+B63</f>
        <v>4253028</v>
      </c>
      <c r="C65" s="186">
        <f>C7+C16+C33+C45+C54+C63</f>
        <v>4280707</v>
      </c>
      <c r="D65" s="186">
        <f t="shared" si="41"/>
        <v>4315391</v>
      </c>
      <c r="E65" s="186">
        <f t="shared" si="41"/>
        <v>4349501</v>
      </c>
      <c r="F65" s="186">
        <f t="shared" si="41"/>
        <v>4347789</v>
      </c>
      <c r="G65" s="186">
        <f t="shared" si="41"/>
        <v>4280695</v>
      </c>
      <c r="H65" s="186">
        <f t="shared" si="41"/>
        <v>4242266</v>
      </c>
      <c r="I65" s="186">
        <f t="shared" ref="I65:J65" si="42">I7+I16+I33+I45+I54+I63</f>
        <v>4360523</v>
      </c>
      <c r="J65" s="186">
        <f t="shared" si="42"/>
        <v>4374152</v>
      </c>
      <c r="K65" s="185"/>
      <c r="L65" s="187">
        <f t="shared" ref="L65:T65" si="43">B65/B$470</f>
        <v>56.011009850919244</v>
      </c>
      <c r="M65" s="187">
        <f t="shared" si="43"/>
        <v>55.854007646038021</v>
      </c>
      <c r="N65" s="187">
        <f t="shared" si="43"/>
        <v>55.985145496296106</v>
      </c>
      <c r="O65" s="187">
        <f t="shared" si="43"/>
        <v>56.12693885978269</v>
      </c>
      <c r="P65" s="187">
        <f t="shared" si="43"/>
        <v>56.366699509943736</v>
      </c>
      <c r="Q65" s="187">
        <f t="shared" si="43"/>
        <v>56.492926333570885</v>
      </c>
      <c r="R65" s="187">
        <f t="shared" si="43"/>
        <v>56.738300632615122</v>
      </c>
      <c r="S65" s="187">
        <f t="shared" si="43"/>
        <v>56.989126315101615</v>
      </c>
      <c r="T65" s="187">
        <f t="shared" si="43"/>
        <v>56.694516091402797</v>
      </c>
    </row>
    <row r="66" spans="1:20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</row>
    <row r="67" spans="1:20">
      <c r="A67" s="175" t="s">
        <v>5034</v>
      </c>
      <c r="B67" s="173"/>
      <c r="C67" s="173"/>
      <c r="D67" s="173"/>
      <c r="E67" s="173"/>
      <c r="F67" s="173"/>
      <c r="G67" s="173"/>
      <c r="H67" s="173"/>
      <c r="I67" s="173"/>
      <c r="J67" s="173"/>
      <c r="K67" s="173"/>
    </row>
    <row r="68" spans="1:20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</row>
    <row r="69" spans="1:20">
      <c r="A69" s="175" t="s">
        <v>3347</v>
      </c>
      <c r="B69" s="177">
        <f>DERBYSHIRE!D7</f>
        <v>96862</v>
      </c>
      <c r="C69" s="177">
        <f>DERBYSHIRE!E7</f>
        <v>97127</v>
      </c>
      <c r="D69" s="177">
        <f>DERBYSHIRE!F7</f>
        <v>97440</v>
      </c>
      <c r="E69" s="177">
        <f>DERBYSHIRE!G7</f>
        <v>98057</v>
      </c>
      <c r="F69" s="177">
        <f>DERBYSHIRE!H7</f>
        <v>98440</v>
      </c>
      <c r="G69" s="177">
        <f>DERBYSHIRE!I7</f>
        <v>97788</v>
      </c>
      <c r="H69" s="177">
        <f>DERBYSHIRE!J7</f>
        <v>90840</v>
      </c>
      <c r="I69" s="177">
        <f>DERBYSHIRE!K7</f>
        <v>94183</v>
      </c>
      <c r="J69" s="177">
        <f>DERBYSHIRE!L7</f>
        <v>97199</v>
      </c>
      <c r="K69" s="178"/>
      <c r="L69" s="179">
        <f t="shared" ref="L69:L79" si="44">B69/B$470</f>
        <v>1.2756413633250803</v>
      </c>
      <c r="M69" s="179">
        <f t="shared" ref="M69:M79" si="45">C69/C$470</f>
        <v>1.2672981824349892</v>
      </c>
      <c r="N69" s="179">
        <f t="shared" ref="N69:N79" si="46">D69/D$470</f>
        <v>1.2641247518843814</v>
      </c>
      <c r="O69" s="179">
        <f t="shared" ref="O69:O79" si="47">E69/E$470</f>
        <v>1.2653495754510027</v>
      </c>
      <c r="P69" s="179">
        <f t="shared" ref="P69:P79" si="48">F69/F$470</f>
        <v>1.2762206031062826</v>
      </c>
      <c r="Q69" s="179">
        <f t="shared" ref="Q69:T79" si="49">G69/G$470</f>
        <v>1.290521814870536</v>
      </c>
      <c r="R69" s="179">
        <f t="shared" si="49"/>
        <v>1.2149420214259921</v>
      </c>
      <c r="S69" s="179">
        <f t="shared" si="49"/>
        <v>1.2309089720969744</v>
      </c>
      <c r="T69" s="179">
        <f t="shared" si="49"/>
        <v>1.259821393853771</v>
      </c>
    </row>
    <row r="70" spans="1:20">
      <c r="A70" s="175" t="s">
        <v>3348</v>
      </c>
      <c r="B70" s="177">
        <f>DERBYSHIRE!D8</f>
        <v>58843</v>
      </c>
      <c r="C70" s="177">
        <f>DERBYSHIRE!E8</f>
        <v>57694</v>
      </c>
      <c r="D70" s="177">
        <f>DERBYSHIRE!F8</f>
        <v>57137</v>
      </c>
      <c r="E70" s="177">
        <f>DERBYSHIRE!G8</f>
        <v>57353</v>
      </c>
      <c r="F70" s="177">
        <f>DERBYSHIRE!H8</f>
        <v>57501</v>
      </c>
      <c r="G70" s="177">
        <f>DERBYSHIRE!I8</f>
        <v>56877</v>
      </c>
      <c r="H70" s="177">
        <f>DERBYSHIRE!J8</f>
        <v>56533</v>
      </c>
      <c r="I70" s="177">
        <f>DERBYSHIRE!K8</f>
        <v>58312</v>
      </c>
      <c r="J70" s="177">
        <f>DERBYSHIRE!L8</f>
        <v>58315</v>
      </c>
      <c r="K70" s="178"/>
      <c r="L70" s="179">
        <f t="shared" si="44"/>
        <v>0.77494337038402783</v>
      </c>
      <c r="M70" s="179">
        <f t="shared" si="45"/>
        <v>0.75278245325609006</v>
      </c>
      <c r="N70" s="179">
        <f t="shared" si="46"/>
        <v>0.74125919487292591</v>
      </c>
      <c r="O70" s="179">
        <f t="shared" si="47"/>
        <v>0.74009600743283355</v>
      </c>
      <c r="P70" s="179">
        <f t="shared" si="48"/>
        <v>0.7454689242098167</v>
      </c>
      <c r="Q70" s="179">
        <f t="shared" si="49"/>
        <v>0.75061366695700371</v>
      </c>
      <c r="R70" s="179">
        <f t="shared" si="49"/>
        <v>0.75610212788722597</v>
      </c>
      <c r="S70" s="179">
        <f t="shared" si="49"/>
        <v>0.76209893484937596</v>
      </c>
      <c r="T70" s="179">
        <f t="shared" si="49"/>
        <v>0.75583580677355389</v>
      </c>
    </row>
    <row r="71" spans="1:20">
      <c r="A71" s="175" t="s">
        <v>3349</v>
      </c>
      <c r="B71" s="177">
        <f>DERBYSHIRE!D9</f>
        <v>80031</v>
      </c>
      <c r="C71" s="177">
        <f>DERBYSHIRE!E9</f>
        <v>80945</v>
      </c>
      <c r="D71" s="177">
        <f>DERBYSHIRE!F9</f>
        <v>80718</v>
      </c>
      <c r="E71" s="177">
        <f>DERBYSHIRE!G9</f>
        <v>81633</v>
      </c>
      <c r="F71" s="177">
        <f>DERBYSHIRE!H9</f>
        <v>80351</v>
      </c>
      <c r="G71" s="177">
        <f>DERBYSHIRE!I9</f>
        <v>77709</v>
      </c>
      <c r="H71" s="177">
        <f>DERBYSHIRE!J9</f>
        <v>79028</v>
      </c>
      <c r="I71" s="177">
        <f>DERBYSHIRE!K9</f>
        <v>79656</v>
      </c>
      <c r="J71" s="177">
        <f>DERBYSHIRE!L9</f>
        <v>78758</v>
      </c>
      <c r="K71" s="178"/>
      <c r="L71" s="179">
        <f t="shared" si="44"/>
        <v>1.0539825106674392</v>
      </c>
      <c r="M71" s="179">
        <f t="shared" si="45"/>
        <v>1.0561579311334663</v>
      </c>
      <c r="N71" s="179">
        <f t="shared" si="46"/>
        <v>1.0471841309790999</v>
      </c>
      <c r="O71" s="179">
        <f t="shared" si="47"/>
        <v>1.0534105866260615</v>
      </c>
      <c r="P71" s="179">
        <f t="shared" si="48"/>
        <v>1.041706640392045</v>
      </c>
      <c r="Q71" s="179">
        <f t="shared" si="49"/>
        <v>1.0255364636946709</v>
      </c>
      <c r="R71" s="179">
        <f t="shared" si="49"/>
        <v>1.0569621099653599</v>
      </c>
      <c r="S71" s="179">
        <f t="shared" si="49"/>
        <v>1.0410507743579691</v>
      </c>
      <c r="T71" s="179">
        <f t="shared" si="49"/>
        <v>1.0208028203699144</v>
      </c>
    </row>
    <row r="72" spans="1:20">
      <c r="A72" s="175" t="s">
        <v>3350</v>
      </c>
      <c r="B72" s="177">
        <f>DERBYSHIRE!D10</f>
        <v>57679</v>
      </c>
      <c r="C72" s="177">
        <f>DERBYSHIRE!E10</f>
        <v>57433</v>
      </c>
      <c r="D72" s="177">
        <f>DERBYSHIRE!F10</f>
        <v>57557</v>
      </c>
      <c r="E72" s="177">
        <f>DERBYSHIRE!G10</f>
        <v>57719</v>
      </c>
      <c r="F72" s="177">
        <f>DERBYSHIRE!H10</f>
        <v>57220</v>
      </c>
      <c r="G72" s="177">
        <f>DERBYSHIRE!I10</f>
        <v>56360</v>
      </c>
      <c r="H72" s="177">
        <f>DERBYSHIRE!J10</f>
        <v>54902</v>
      </c>
      <c r="I72" s="177">
        <f>DERBYSHIRE!K10</f>
        <v>56655</v>
      </c>
      <c r="J72" s="177">
        <f>DERBYSHIRE!L10</f>
        <v>57137</v>
      </c>
      <c r="K72" s="178"/>
      <c r="L72" s="179">
        <f t="shared" si="44"/>
        <v>0.75961386503713846</v>
      </c>
      <c r="M72" s="179">
        <f t="shared" si="45"/>
        <v>0.74937696533187192</v>
      </c>
      <c r="N72" s="179">
        <f t="shared" si="46"/>
        <v>0.74670800845863439</v>
      </c>
      <c r="O72" s="179">
        <f t="shared" si="47"/>
        <v>0.74481895372544971</v>
      </c>
      <c r="P72" s="179">
        <f t="shared" si="48"/>
        <v>0.74182591334560632</v>
      </c>
      <c r="Q72" s="179">
        <f t="shared" si="49"/>
        <v>0.7437907461662312</v>
      </c>
      <c r="R72" s="179">
        <f t="shared" si="49"/>
        <v>0.73428827455228773</v>
      </c>
      <c r="S72" s="179">
        <f t="shared" si="49"/>
        <v>0.74044305038227798</v>
      </c>
      <c r="T72" s="179">
        <f t="shared" si="49"/>
        <v>0.7405674439101525</v>
      </c>
    </row>
    <row r="73" spans="1:20">
      <c r="A73" s="175" t="s">
        <v>3351</v>
      </c>
      <c r="B73" s="177">
        <f>DERBYSHIRE!D11</f>
        <v>83767</v>
      </c>
      <c r="C73" s="177">
        <f>DERBYSHIRE!E11</f>
        <v>84310</v>
      </c>
      <c r="D73" s="177">
        <f>DERBYSHIRE!F11</f>
        <v>85279</v>
      </c>
      <c r="E73" s="177">
        <f>DERBYSHIRE!G11</f>
        <v>85634</v>
      </c>
      <c r="F73" s="177">
        <f>DERBYSHIRE!H11</f>
        <v>85283</v>
      </c>
      <c r="G73" s="177">
        <f>DERBYSHIRE!I11</f>
        <v>85237</v>
      </c>
      <c r="H73" s="177">
        <f>DERBYSHIRE!J11</f>
        <v>84625</v>
      </c>
      <c r="I73" s="177">
        <f>DERBYSHIRE!K11</f>
        <v>86017</v>
      </c>
      <c r="J73" s="177">
        <f>DERBYSHIRE!L11</f>
        <v>85564</v>
      </c>
      <c r="K73" s="178"/>
      <c r="L73" s="179">
        <f t="shared" si="44"/>
        <v>1.1031844281725756</v>
      </c>
      <c r="M73" s="179">
        <f t="shared" si="45"/>
        <v>1.1000639344476195</v>
      </c>
      <c r="N73" s="179">
        <f t="shared" si="46"/>
        <v>1.1063556518467585</v>
      </c>
      <c r="O73" s="179">
        <f t="shared" si="47"/>
        <v>1.1050403902237593</v>
      </c>
      <c r="P73" s="179">
        <f t="shared" si="48"/>
        <v>1.1056473150620998</v>
      </c>
      <c r="Q73" s="179">
        <f t="shared" si="49"/>
        <v>1.1248845250349724</v>
      </c>
      <c r="R73" s="179">
        <f t="shared" si="49"/>
        <v>1.1318193368909575</v>
      </c>
      <c r="S73" s="179">
        <f t="shared" si="49"/>
        <v>1.1241848003659414</v>
      </c>
      <c r="T73" s="179">
        <f t="shared" si="49"/>
        <v>1.109017147745389</v>
      </c>
    </row>
    <row r="74" spans="1:20">
      <c r="A74" s="175" t="s">
        <v>3352</v>
      </c>
      <c r="B74" s="177">
        <f>DERBYSHIRE!D12</f>
        <v>71685</v>
      </c>
      <c r="C74" s="177">
        <f>DERBYSHIRE!E12</f>
        <v>72178</v>
      </c>
      <c r="D74" s="177">
        <f>DERBYSHIRE!F12</f>
        <v>72211</v>
      </c>
      <c r="E74" s="177">
        <f>DERBYSHIRE!G12</f>
        <v>72226</v>
      </c>
      <c r="F74" s="177">
        <f>DERBYSHIRE!H12</f>
        <v>72226</v>
      </c>
      <c r="G74" s="177">
        <f>DERBYSHIRE!I12</f>
        <v>71263</v>
      </c>
      <c r="H74" s="177">
        <f>DERBYSHIRE!J12</f>
        <v>71130</v>
      </c>
      <c r="I74" s="177">
        <f>DERBYSHIRE!K12</f>
        <v>72415</v>
      </c>
      <c r="J74" s="177">
        <f>DERBYSHIRE!L12</f>
        <v>71880</v>
      </c>
      <c r="K74" s="178"/>
      <c r="L74" s="179">
        <f t="shared" si="44"/>
        <v>0.94406837696886692</v>
      </c>
      <c r="M74" s="179">
        <f t="shared" si="45"/>
        <v>0.94176746128051569</v>
      </c>
      <c r="N74" s="179">
        <f t="shared" si="46"/>
        <v>0.93681970913714141</v>
      </c>
      <c r="O74" s="179">
        <f t="shared" si="47"/>
        <v>0.93202054352595043</v>
      </c>
      <c r="P74" s="179">
        <f t="shared" si="48"/>
        <v>0.93637047216532265</v>
      </c>
      <c r="Q74" s="179">
        <f t="shared" si="49"/>
        <v>0.94046770660120882</v>
      </c>
      <c r="R74" s="179">
        <f t="shared" si="49"/>
        <v>0.95133009669782931</v>
      </c>
      <c r="S74" s="179">
        <f t="shared" si="49"/>
        <v>0.94641573547670388</v>
      </c>
      <c r="T74" s="179">
        <f t="shared" si="49"/>
        <v>0.93165528236102291</v>
      </c>
    </row>
    <row r="75" spans="1:20">
      <c r="A75" s="175" t="s">
        <v>3353</v>
      </c>
      <c r="B75" s="177">
        <f>DERBYSHIRE!D13</f>
        <v>78010</v>
      </c>
      <c r="C75" s="177">
        <f>DERBYSHIRE!E13</f>
        <v>78763</v>
      </c>
      <c r="D75" s="177">
        <f>DERBYSHIRE!F13</f>
        <v>79146</v>
      </c>
      <c r="E75" s="177">
        <f>DERBYSHIRE!G13</f>
        <v>79419</v>
      </c>
      <c r="F75" s="177">
        <f>DERBYSHIRE!H13</f>
        <v>79712</v>
      </c>
      <c r="G75" s="177">
        <f>DERBYSHIRE!I13</f>
        <v>77640</v>
      </c>
      <c r="H75" s="177">
        <f>DERBYSHIRE!J13</f>
        <v>77256</v>
      </c>
      <c r="I75" s="177">
        <f>DERBYSHIRE!K13</f>
        <v>78439</v>
      </c>
      <c r="J75" s="177">
        <f>DERBYSHIRE!L13</f>
        <v>78466</v>
      </c>
      <c r="K75" s="178"/>
      <c r="L75" s="179">
        <f t="shared" si="44"/>
        <v>1.0273665911605121</v>
      </c>
      <c r="M75" s="179">
        <f t="shared" si="45"/>
        <v>1.027687530173145</v>
      </c>
      <c r="N75" s="179">
        <f t="shared" si="46"/>
        <v>1.0267900001297336</v>
      </c>
      <c r="O75" s="179">
        <f t="shared" si="47"/>
        <v>1.0248406328231863</v>
      </c>
      <c r="P75" s="179">
        <f t="shared" si="48"/>
        <v>1.0334223559001219</v>
      </c>
      <c r="Q75" s="179">
        <f t="shared" si="49"/>
        <v>1.0246258611133106</v>
      </c>
      <c r="R75" s="179">
        <f t="shared" si="49"/>
        <v>1.0332624483408899</v>
      </c>
      <c r="S75" s="179">
        <f t="shared" si="49"/>
        <v>1.0251453963275174</v>
      </c>
      <c r="T75" s="179">
        <f t="shared" si="49"/>
        <v>1.0170181328010577</v>
      </c>
    </row>
    <row r="76" spans="1:20">
      <c r="A76" s="175" t="s">
        <v>3354</v>
      </c>
      <c r="B76" s="177">
        <f>DERBYSHIRE!D14</f>
        <v>70443</v>
      </c>
      <c r="C76" s="177">
        <f>DERBYSHIRE!E14</f>
        <v>71326</v>
      </c>
      <c r="D76" s="177">
        <f>DERBYSHIRE!F14</f>
        <v>72354</v>
      </c>
      <c r="E76" s="177">
        <f>DERBYSHIRE!G14</f>
        <v>73346</v>
      </c>
      <c r="F76" s="177">
        <f>DERBYSHIRE!H14</f>
        <v>74205</v>
      </c>
      <c r="G76" s="177">
        <f>DERBYSHIRE!I14</f>
        <v>72972</v>
      </c>
      <c r="H76" s="177">
        <f>DERBYSHIRE!J14</f>
        <v>71577</v>
      </c>
      <c r="I76" s="177">
        <f>DERBYSHIRE!K14</f>
        <v>75362</v>
      </c>
      <c r="J76" s="177">
        <f>DERBYSHIRE!L14</f>
        <v>78689</v>
      </c>
      <c r="K76" s="178"/>
      <c r="L76" s="179">
        <f t="shared" si="44"/>
        <v>0.92771163672759838</v>
      </c>
      <c r="M76" s="179">
        <f t="shared" si="45"/>
        <v>0.93065069610260831</v>
      </c>
      <c r="N76" s="179">
        <f t="shared" si="46"/>
        <v>0.93867490042941837</v>
      </c>
      <c r="O76" s="179">
        <f t="shared" si="47"/>
        <v>0.94647327535034975</v>
      </c>
      <c r="P76" s="179">
        <f t="shared" si="48"/>
        <v>0.96202712163248372</v>
      </c>
      <c r="Q76" s="179">
        <f t="shared" si="49"/>
        <v>0.96302161691345312</v>
      </c>
      <c r="R76" s="179">
        <f t="shared" si="49"/>
        <v>0.95730851021145125</v>
      </c>
      <c r="S76" s="179">
        <f t="shared" si="49"/>
        <v>0.98493105926942426</v>
      </c>
      <c r="T76" s="179">
        <f t="shared" si="49"/>
        <v>1.0199084935128899</v>
      </c>
    </row>
    <row r="77" spans="1:20">
      <c r="A77" s="175" t="s">
        <v>3355</v>
      </c>
      <c r="B77" s="180">
        <f t="shared" ref="B77:G77" si="50">SUM(B69:B76)</f>
        <v>597320</v>
      </c>
      <c r="C77" s="180">
        <f t="shared" si="50"/>
        <v>599776</v>
      </c>
      <c r="D77" s="180">
        <f t="shared" si="50"/>
        <v>601842</v>
      </c>
      <c r="E77" s="180">
        <f t="shared" si="50"/>
        <v>605387</v>
      </c>
      <c r="F77" s="180">
        <f t="shared" si="50"/>
        <v>604938</v>
      </c>
      <c r="G77" s="180">
        <f t="shared" si="50"/>
        <v>595846</v>
      </c>
      <c r="H77" s="180">
        <f t="shared" ref="H77" si="51">SUM(H69:H76)</f>
        <v>585891</v>
      </c>
      <c r="I77" s="180">
        <f t="shared" ref="I77:J77" si="52">SUM(I69:I76)</f>
        <v>601039</v>
      </c>
      <c r="J77" s="180">
        <f t="shared" si="52"/>
        <v>606008</v>
      </c>
      <c r="K77" s="173"/>
      <c r="L77" s="179">
        <f t="shared" si="44"/>
        <v>7.8665121424432387</v>
      </c>
      <c r="M77" s="179">
        <f t="shared" si="45"/>
        <v>7.8257851541603056</v>
      </c>
      <c r="N77" s="179">
        <f t="shared" si="46"/>
        <v>7.807916347738094</v>
      </c>
      <c r="O77" s="179">
        <f t="shared" si="47"/>
        <v>7.8120499651585931</v>
      </c>
      <c r="P77" s="179">
        <f t="shared" si="48"/>
        <v>7.8426893458137785</v>
      </c>
      <c r="Q77" s="179">
        <f t="shared" si="49"/>
        <v>7.863462401351387</v>
      </c>
      <c r="R77" s="179">
        <f t="shared" si="49"/>
        <v>7.8360149259719938</v>
      </c>
      <c r="S77" s="179">
        <f t="shared" si="49"/>
        <v>7.8551787231261843</v>
      </c>
      <c r="T77" s="179">
        <f t="shared" si="49"/>
        <v>7.8546265213277513</v>
      </c>
    </row>
    <row r="78" spans="1:20">
      <c r="A78" s="175" t="s">
        <v>3356</v>
      </c>
      <c r="B78" s="177">
        <f>DERBYSHIRE!D4</f>
        <v>173057</v>
      </c>
      <c r="C78" s="177">
        <f>DERBYSHIRE!E4</f>
        <v>175659</v>
      </c>
      <c r="D78" s="177">
        <f>DERBYSHIRE!F4</f>
        <v>177443</v>
      </c>
      <c r="E78" s="177">
        <f>DERBYSHIRE!G4</f>
        <v>176951</v>
      </c>
      <c r="F78" s="177">
        <f>DERBYSHIRE!H4</f>
        <v>175062</v>
      </c>
      <c r="G78" s="177">
        <f>DERBYSHIRE!I4</f>
        <v>167269</v>
      </c>
      <c r="H78" s="177">
        <f>DERBYSHIRE!J4</f>
        <v>170659</v>
      </c>
      <c r="I78" s="177">
        <f>DERBYSHIRE!K4</f>
        <v>169154</v>
      </c>
      <c r="J78" s="177">
        <f>DERBYSHIRE!L4</f>
        <v>168544</v>
      </c>
      <c r="K78" s="178"/>
      <c r="L78" s="179">
        <f t="shared" si="44"/>
        <v>2.2791049886740766</v>
      </c>
      <c r="M78" s="179">
        <f t="shared" si="45"/>
        <v>2.2919716600775044</v>
      </c>
      <c r="N78" s="179">
        <f t="shared" si="46"/>
        <v>2.3020329264020964</v>
      </c>
      <c r="O78" s="179">
        <f t="shared" si="47"/>
        <v>2.2834154902315018</v>
      </c>
      <c r="P78" s="179">
        <f t="shared" si="48"/>
        <v>2.2695828039515646</v>
      </c>
      <c r="Q78" s="179">
        <f t="shared" si="49"/>
        <v>2.2074722200226993</v>
      </c>
      <c r="R78" s="179">
        <f t="shared" si="49"/>
        <v>2.2824833821503563</v>
      </c>
      <c r="S78" s="179">
        <f t="shared" si="49"/>
        <v>2.2107299222374697</v>
      </c>
      <c r="T78" s="179">
        <f t="shared" si="49"/>
        <v>2.1845424027581557</v>
      </c>
    </row>
    <row r="79" spans="1:20">
      <c r="A79" s="181" t="s">
        <v>3357</v>
      </c>
      <c r="B79" s="177">
        <f t="shared" ref="B79:G79" si="53">B77+B78</f>
        <v>770377</v>
      </c>
      <c r="C79" s="177">
        <f t="shared" si="53"/>
        <v>775435</v>
      </c>
      <c r="D79" s="177">
        <f t="shared" si="53"/>
        <v>779285</v>
      </c>
      <c r="E79" s="177">
        <f t="shared" si="53"/>
        <v>782338</v>
      </c>
      <c r="F79" s="177">
        <f t="shared" si="53"/>
        <v>780000</v>
      </c>
      <c r="G79" s="177">
        <f t="shared" si="53"/>
        <v>763115</v>
      </c>
      <c r="H79" s="177">
        <f t="shared" ref="H79" si="54">H77+H78</f>
        <v>756550</v>
      </c>
      <c r="I79" s="177">
        <f t="shared" ref="I79:J79" si="55">I77+I78</f>
        <v>770193</v>
      </c>
      <c r="J79" s="177">
        <f t="shared" si="55"/>
        <v>774552</v>
      </c>
      <c r="K79" s="178"/>
      <c r="L79" s="179">
        <f t="shared" si="44"/>
        <v>10.145617131117316</v>
      </c>
      <c r="M79" s="179">
        <f t="shared" si="45"/>
        <v>10.11775681423781</v>
      </c>
      <c r="N79" s="179">
        <f t="shared" si="46"/>
        <v>10.10994927414019</v>
      </c>
      <c r="O79" s="179">
        <f t="shared" si="47"/>
        <v>10.095465455390094</v>
      </c>
      <c r="P79" s="179">
        <f t="shared" si="48"/>
        <v>10.112272149765344</v>
      </c>
      <c r="Q79" s="179">
        <f t="shared" si="49"/>
        <v>10.070934621374086</v>
      </c>
      <c r="R79" s="179">
        <f t="shared" si="49"/>
        <v>10.11849830812235</v>
      </c>
      <c r="S79" s="179">
        <f t="shared" si="49"/>
        <v>10.065908645363654</v>
      </c>
      <c r="T79" s="179">
        <f t="shared" si="49"/>
        <v>10.039168924085907</v>
      </c>
    </row>
    <row r="80" spans="1:20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</row>
    <row r="81" spans="1:20">
      <c r="A81" s="175" t="s">
        <v>7641</v>
      </c>
      <c r="B81" s="177">
        <f>LEICESTERSHIRE!D7</f>
        <v>72515</v>
      </c>
      <c r="C81" s="177">
        <f>LEICESTERSHIRE!E7</f>
        <v>73026</v>
      </c>
      <c r="D81" s="177">
        <f>LEICESTERSHIRE!F7</f>
        <v>73140</v>
      </c>
      <c r="E81" s="177">
        <f>LEICESTERSHIRE!G7</f>
        <v>73787</v>
      </c>
      <c r="F81" s="177">
        <f>LEICESTERSHIRE!H7</f>
        <v>73430</v>
      </c>
      <c r="G81" s="177">
        <f>LEICESTERSHIRE!I7</f>
        <v>72327</v>
      </c>
      <c r="H81" s="177">
        <f>LEICESTERSHIRE!J7</f>
        <v>72073</v>
      </c>
      <c r="I81" s="177">
        <f>LEICESTERSHIRE!K7</f>
        <v>73738</v>
      </c>
      <c r="J81" s="177">
        <f>LEICESTERSHIRE!L7</f>
        <v>74499</v>
      </c>
      <c r="K81" s="178"/>
      <c r="L81" s="179">
        <f t="shared" ref="L81:L91" si="56">B81/B$470</f>
        <v>0.95499920981931197</v>
      </c>
      <c r="M81" s="179">
        <f t="shared" ref="M81:M91" si="57">C81/C$470</f>
        <v>0.95283203507261127</v>
      </c>
      <c r="N81" s="179">
        <f t="shared" ref="N81:N91" si="58">D81/D$470</f>
        <v>0.9488719658541015</v>
      </c>
      <c r="O81" s="179">
        <f t="shared" ref="O81:O91" si="59">E81/E$470</f>
        <v>0.9521640385062069</v>
      </c>
      <c r="P81" s="179">
        <f t="shared" ref="P81:P91" si="60">F81/F$470</f>
        <v>0.95197967174008868</v>
      </c>
      <c r="Q81" s="179">
        <f t="shared" ref="Q81:T91" si="61">G81/G$470</f>
        <v>0.95450946234856282</v>
      </c>
      <c r="R81" s="179">
        <f t="shared" si="61"/>
        <v>0.96394227554200274</v>
      </c>
      <c r="S81" s="179">
        <f t="shared" si="61"/>
        <v>0.96370646278507477</v>
      </c>
      <c r="T81" s="179">
        <f t="shared" si="61"/>
        <v>0.96560081915155604</v>
      </c>
    </row>
    <row r="82" spans="1:20">
      <c r="A82" s="175" t="s">
        <v>7642</v>
      </c>
      <c r="B82" s="177">
        <f>LEICESTERSHIRE!D8</f>
        <v>129911</v>
      </c>
      <c r="C82" s="177">
        <f>LEICESTERSHIRE!E8</f>
        <v>130936</v>
      </c>
      <c r="D82" s="177">
        <f>LEICESTERSHIRE!F8</f>
        <v>131782</v>
      </c>
      <c r="E82" s="177">
        <f>LEICESTERSHIRE!G8</f>
        <v>132712</v>
      </c>
      <c r="F82" s="177">
        <f>LEICESTERSHIRE!H8</f>
        <v>133185</v>
      </c>
      <c r="G82" s="177">
        <f>LEICESTERSHIRE!I8</f>
        <v>124752</v>
      </c>
      <c r="H82" s="177">
        <f>LEICESTERSHIRE!J8</f>
        <v>127526</v>
      </c>
      <c r="I82" s="177">
        <f>LEICESTERSHIRE!K8</f>
        <v>131411</v>
      </c>
      <c r="J82" s="177">
        <f>LEICESTERSHIRE!L8</f>
        <v>129612</v>
      </c>
      <c r="K82" s="178"/>
      <c r="L82" s="179">
        <f t="shared" si="56"/>
        <v>1.7108860559447927</v>
      </c>
      <c r="M82" s="179">
        <f t="shared" si="57"/>
        <v>1.708432823162537</v>
      </c>
      <c r="N82" s="179">
        <f t="shared" si="58"/>
        <v>1.7096560760758164</v>
      </c>
      <c r="O82" s="179">
        <f t="shared" si="59"/>
        <v>1.7125454873925723</v>
      </c>
      <c r="P82" s="179">
        <f t="shared" si="60"/>
        <v>1.7266704695724324</v>
      </c>
      <c r="Q82" s="179">
        <f t="shared" si="61"/>
        <v>1.6463694670995328</v>
      </c>
      <c r="R82" s="179">
        <f t="shared" si="61"/>
        <v>1.7055999144030281</v>
      </c>
      <c r="S82" s="179">
        <f t="shared" si="61"/>
        <v>1.717454093968503</v>
      </c>
      <c r="T82" s="179">
        <f t="shared" si="61"/>
        <v>1.6799346752556608</v>
      </c>
    </row>
    <row r="83" spans="1:20">
      <c r="A83" s="175" t="s">
        <v>7643</v>
      </c>
      <c r="B83" s="177">
        <f>LEICESTERSHIRE!D9</f>
        <v>65051</v>
      </c>
      <c r="C83" s="177">
        <f>LEICESTERSHIRE!E9</f>
        <v>65594</v>
      </c>
      <c r="D83" s="177">
        <f>LEICESTERSHIRE!F9</f>
        <v>65748</v>
      </c>
      <c r="E83" s="177">
        <f>LEICESTERSHIRE!G9</f>
        <v>66579</v>
      </c>
      <c r="F83" s="177">
        <f>LEICESTERSHIRE!H9</f>
        <v>67111</v>
      </c>
      <c r="G83" s="177">
        <f>LEICESTERSHIRE!I9</f>
        <v>65562</v>
      </c>
      <c r="H83" s="177">
        <f>LEICESTERSHIRE!J9</f>
        <v>63449</v>
      </c>
      <c r="I83" s="177">
        <f>LEICESTERSHIRE!K9</f>
        <v>66650</v>
      </c>
      <c r="J83" s="177">
        <f>LEICESTERSHIRE!L9</f>
        <v>67688</v>
      </c>
      <c r="K83" s="178"/>
      <c r="L83" s="179">
        <f t="shared" si="56"/>
        <v>0.85670073223410415</v>
      </c>
      <c r="M83" s="179">
        <f t="shared" si="57"/>
        <v>0.85586044023433927</v>
      </c>
      <c r="N83" s="179">
        <f t="shared" si="58"/>
        <v>0.85297284674563123</v>
      </c>
      <c r="O83" s="179">
        <f t="shared" si="59"/>
        <v>0.85915038583632286</v>
      </c>
      <c r="P83" s="179">
        <f t="shared" si="60"/>
        <v>0.8700573028755153</v>
      </c>
      <c r="Q83" s="179">
        <f t="shared" si="61"/>
        <v>0.86523081795866652</v>
      </c>
      <c r="R83" s="179">
        <f t="shared" si="61"/>
        <v>0.84860035576241488</v>
      </c>
      <c r="S83" s="179">
        <f t="shared" si="61"/>
        <v>0.87107103182382539</v>
      </c>
      <c r="T83" s="179">
        <f t="shared" si="61"/>
        <v>0.87732168548209399</v>
      </c>
    </row>
    <row r="84" spans="1:20">
      <c r="A84" s="175" t="s">
        <v>7644</v>
      </c>
      <c r="B84" s="177">
        <f>LEICESTERSHIRE!D10</f>
        <v>82877</v>
      </c>
      <c r="C84" s="177">
        <f>LEICESTERSHIRE!E10</f>
        <v>83309</v>
      </c>
      <c r="D84" s="177">
        <f>LEICESTERSHIRE!F10</f>
        <v>84001</v>
      </c>
      <c r="E84" s="177">
        <f>LEICESTERSHIRE!G10</f>
        <v>84838</v>
      </c>
      <c r="F84" s="177">
        <f>LEICESTERSHIRE!H10</f>
        <v>84913</v>
      </c>
      <c r="G84" s="177">
        <f>LEICESTERSHIRE!I10</f>
        <v>84052</v>
      </c>
      <c r="H84" s="177">
        <f>LEICESTERSHIRE!J10</f>
        <v>83628</v>
      </c>
      <c r="I84" s="177">
        <f>LEICESTERSHIRE!K10</f>
        <v>84789</v>
      </c>
      <c r="J84" s="177">
        <f>LEICESTERSHIRE!L10</f>
        <v>86573</v>
      </c>
      <c r="K84" s="178"/>
      <c r="L84" s="179">
        <f t="shared" si="56"/>
        <v>1.0914634146341464</v>
      </c>
      <c r="M84" s="179">
        <f t="shared" si="57"/>
        <v>1.0870030401482236</v>
      </c>
      <c r="N84" s="179">
        <f t="shared" si="58"/>
        <v>1.0897756905073883</v>
      </c>
      <c r="O84" s="179">
        <f t="shared" si="59"/>
        <v>1.0947686272485613</v>
      </c>
      <c r="P84" s="179">
        <f t="shared" si="60"/>
        <v>1.1008504680166982</v>
      </c>
      <c r="Q84" s="179">
        <f t="shared" si="61"/>
        <v>1.1092459154855228</v>
      </c>
      <c r="R84" s="179">
        <f t="shared" si="61"/>
        <v>1.1184849335954741</v>
      </c>
      <c r="S84" s="179">
        <f t="shared" si="61"/>
        <v>1.1081356596745735</v>
      </c>
      <c r="T84" s="179">
        <f t="shared" si="61"/>
        <v>1.1220950578720206</v>
      </c>
    </row>
    <row r="85" spans="1:20">
      <c r="A85" s="175" t="s">
        <v>7645</v>
      </c>
      <c r="B85" s="177">
        <f>LEICESTERSHIRE!D11</f>
        <v>37655</v>
      </c>
      <c r="C85" s="177">
        <f>LEICESTERSHIRE!E11</f>
        <v>38266</v>
      </c>
      <c r="D85" s="177">
        <f>LEICESTERSHIRE!F11</f>
        <v>38399</v>
      </c>
      <c r="E85" s="177">
        <f>LEICESTERSHIRE!G11</f>
        <v>38381</v>
      </c>
      <c r="F85" s="177">
        <f>LEICESTERSHIRE!H11</f>
        <v>38473</v>
      </c>
      <c r="G85" s="177">
        <f>LEICESTERSHIRE!I11</f>
        <v>37633</v>
      </c>
      <c r="H85" s="177">
        <f>LEICESTERSHIRE!J11</f>
        <v>36820</v>
      </c>
      <c r="I85" s="177">
        <f>LEICESTERSHIRE!K11</f>
        <v>37948</v>
      </c>
      <c r="J85" s="177">
        <f>LEICESTERSHIRE!L11</f>
        <v>38246</v>
      </c>
      <c r="K85" s="178"/>
      <c r="L85" s="179">
        <f t="shared" si="56"/>
        <v>0.49590423010061635</v>
      </c>
      <c r="M85" s="179">
        <f t="shared" si="57"/>
        <v>0.49928889236831459</v>
      </c>
      <c r="N85" s="179">
        <f t="shared" si="58"/>
        <v>0.49816426875624342</v>
      </c>
      <c r="O85" s="179">
        <f t="shared" si="59"/>
        <v>0.49527705370738379</v>
      </c>
      <c r="P85" s="179">
        <f t="shared" si="60"/>
        <v>0.49878134156143855</v>
      </c>
      <c r="Q85" s="179">
        <f t="shared" si="61"/>
        <v>0.49664792672948505</v>
      </c>
      <c r="R85" s="179">
        <f t="shared" si="61"/>
        <v>0.4924500795784349</v>
      </c>
      <c r="S85" s="179">
        <f t="shared" si="61"/>
        <v>0.4959550414951317</v>
      </c>
      <c r="T85" s="179">
        <f t="shared" si="61"/>
        <v>0.49571630396744132</v>
      </c>
    </row>
    <row r="86" spans="1:20">
      <c r="A86" s="175" t="s">
        <v>7646</v>
      </c>
      <c r="B86" s="177">
        <f>LEICESTERSHIRE!D12</f>
        <v>71108</v>
      </c>
      <c r="C86" s="177">
        <f>LEICESTERSHIRE!E12</f>
        <v>72022</v>
      </c>
      <c r="D86" s="177">
        <f>LEICESTERSHIRE!F12</f>
        <v>72392</v>
      </c>
      <c r="E86" s="177">
        <f>LEICESTERSHIRE!G12</f>
        <v>72823</v>
      </c>
      <c r="F86" s="177">
        <f>LEICESTERSHIRE!H12</f>
        <v>72678</v>
      </c>
      <c r="G86" s="177">
        <f>LEICESTERSHIRE!I12</f>
        <v>70231</v>
      </c>
      <c r="H86" s="177">
        <f>LEICESTERSHIRE!J12</f>
        <v>71377</v>
      </c>
      <c r="I86" s="177">
        <f>LEICESTERSHIRE!K12</f>
        <v>74767</v>
      </c>
      <c r="J86" s="177">
        <f>LEICESTERSHIRE!L12</f>
        <v>76225</v>
      </c>
      <c r="K86" s="178"/>
      <c r="L86" s="179">
        <f t="shared" si="56"/>
        <v>0.9364694726860876</v>
      </c>
      <c r="M86" s="179">
        <f t="shared" si="57"/>
        <v>0.93973199723385659</v>
      </c>
      <c r="N86" s="179">
        <f t="shared" si="58"/>
        <v>0.93916788832526821</v>
      </c>
      <c r="O86" s="179">
        <f t="shared" si="59"/>
        <v>0.93972436575734897</v>
      </c>
      <c r="P86" s="179">
        <f t="shared" si="60"/>
        <v>0.94223040423159699</v>
      </c>
      <c r="Q86" s="179">
        <f t="shared" si="61"/>
        <v>0.92684825929738435</v>
      </c>
      <c r="R86" s="179">
        <f t="shared" si="61"/>
        <v>0.95463360483622894</v>
      </c>
      <c r="S86" s="179">
        <f t="shared" si="61"/>
        <v>0.97715480624714113</v>
      </c>
      <c r="T86" s="179">
        <f t="shared" si="61"/>
        <v>0.98797195183596231</v>
      </c>
    </row>
    <row r="87" spans="1:20">
      <c r="A87" s="175" t="s">
        <v>7647</v>
      </c>
      <c r="B87" s="177">
        <f>LEICESTERSHIRE!D13</f>
        <v>44786</v>
      </c>
      <c r="C87" s="177">
        <f>LEICESTERSHIRE!E13</f>
        <v>45046</v>
      </c>
      <c r="D87" s="177">
        <f>LEICESTERSHIRE!F13</f>
        <v>44892</v>
      </c>
      <c r="E87" s="177">
        <f>LEICESTERSHIRE!G13</f>
        <v>45001</v>
      </c>
      <c r="F87" s="177">
        <f>LEICESTERSHIRE!H13</f>
        <v>44899</v>
      </c>
      <c r="G87" s="177">
        <f>LEICESTERSHIRE!I13</f>
        <v>42362</v>
      </c>
      <c r="H87" s="177">
        <f>LEICESTERSHIRE!J13</f>
        <v>41620</v>
      </c>
      <c r="I87" s="177">
        <f>LEICESTERSHIRE!K13</f>
        <v>41451</v>
      </c>
      <c r="J87" s="177">
        <f>LEICESTERSHIRE!L13</f>
        <v>41780</v>
      </c>
      <c r="K87" s="178"/>
      <c r="L87" s="179">
        <f t="shared" si="56"/>
        <v>0.58981720486751299</v>
      </c>
      <c r="M87" s="179">
        <f t="shared" si="57"/>
        <v>0.58775329131926779</v>
      </c>
      <c r="N87" s="179">
        <f t="shared" si="58"/>
        <v>0.58240033211816145</v>
      </c>
      <c r="O87" s="179">
        <f t="shared" si="59"/>
        <v>0.58070302216945824</v>
      </c>
      <c r="P87" s="179">
        <f t="shared" si="60"/>
        <v>0.58209090673373609</v>
      </c>
      <c r="Q87" s="179">
        <f t="shared" si="61"/>
        <v>0.55905719639982054</v>
      </c>
      <c r="R87" s="179">
        <f t="shared" si="61"/>
        <v>0.55664780858377139</v>
      </c>
      <c r="S87" s="179">
        <f t="shared" si="61"/>
        <v>0.5417369143305234</v>
      </c>
      <c r="T87" s="179">
        <f t="shared" si="61"/>
        <v>0.5415213925576452</v>
      </c>
    </row>
    <row r="88" spans="1:20">
      <c r="A88" s="175" t="s">
        <v>7648</v>
      </c>
      <c r="B88" s="180">
        <f t="shared" ref="B88:G88" si="62">SUM(B81:B87)</f>
        <v>503903</v>
      </c>
      <c r="C88" s="180">
        <f t="shared" si="62"/>
        <v>508199</v>
      </c>
      <c r="D88" s="180">
        <f t="shared" si="62"/>
        <v>510354</v>
      </c>
      <c r="E88" s="180">
        <f t="shared" si="62"/>
        <v>514121</v>
      </c>
      <c r="F88" s="180">
        <f t="shared" si="62"/>
        <v>514689</v>
      </c>
      <c r="G88" s="180">
        <f t="shared" si="62"/>
        <v>496919</v>
      </c>
      <c r="H88" s="180">
        <f t="shared" ref="H88" si="63">SUM(H81:H87)</f>
        <v>496493</v>
      </c>
      <c r="I88" s="180">
        <f t="shared" ref="I88:J88" si="64">SUM(I81:I87)</f>
        <v>510754</v>
      </c>
      <c r="J88" s="180">
        <f t="shared" si="64"/>
        <v>514623</v>
      </c>
      <c r="K88" s="173"/>
      <c r="L88" s="179">
        <f t="shared" si="56"/>
        <v>6.6362403202865723</v>
      </c>
      <c r="M88" s="179">
        <f t="shared" si="57"/>
        <v>6.6309025195391502</v>
      </c>
      <c r="N88" s="179">
        <f t="shared" si="58"/>
        <v>6.6210090683826106</v>
      </c>
      <c r="O88" s="179">
        <f t="shared" si="59"/>
        <v>6.6343329806178541</v>
      </c>
      <c r="P88" s="179">
        <f t="shared" si="60"/>
        <v>6.6726605647315065</v>
      </c>
      <c r="Q88" s="179">
        <f t="shared" si="61"/>
        <v>6.5579090453189748</v>
      </c>
      <c r="R88" s="179">
        <f t="shared" si="61"/>
        <v>6.640358972301355</v>
      </c>
      <c r="S88" s="179">
        <f t="shared" si="61"/>
        <v>6.6752140103247726</v>
      </c>
      <c r="T88" s="179">
        <f t="shared" si="61"/>
        <v>6.6701618861223801</v>
      </c>
    </row>
    <row r="89" spans="1:20">
      <c r="A89" s="175" t="s">
        <v>7640</v>
      </c>
      <c r="B89" s="177">
        <f>LEICESTER!D3</f>
        <v>215534</v>
      </c>
      <c r="C89" s="177">
        <f>LEICESTER!E3</f>
        <v>218242</v>
      </c>
      <c r="D89" s="177">
        <f>LEICESTER!F3</f>
        <v>221621</v>
      </c>
      <c r="E89" s="177">
        <f>LEICESTER!G3</f>
        <v>220937</v>
      </c>
      <c r="F89" s="177">
        <f>LEICESTER!H3</f>
        <v>219873</v>
      </c>
      <c r="G89" s="177">
        <f>LEICESTER!I3</f>
        <v>206793</v>
      </c>
      <c r="H89" s="177">
        <f>LEICESTER!J3</f>
        <v>210775</v>
      </c>
      <c r="I89" s="177">
        <f>LEICESTER!K3</f>
        <v>217838</v>
      </c>
      <c r="J89" s="177">
        <f>LEICESTER!L3</f>
        <v>219271</v>
      </c>
      <c r="K89" s="178"/>
      <c r="L89" s="179">
        <f t="shared" si="56"/>
        <v>2.8385134067323397</v>
      </c>
      <c r="M89" s="179">
        <f t="shared" si="57"/>
        <v>2.8475881055831733</v>
      </c>
      <c r="N89" s="179">
        <f t="shared" si="58"/>
        <v>2.8751702754245536</v>
      </c>
      <c r="O89" s="179">
        <f t="shared" si="59"/>
        <v>2.8510207241850982</v>
      </c>
      <c r="P89" s="179">
        <f t="shared" si="60"/>
        <v>2.850532838955584</v>
      </c>
      <c r="Q89" s="179">
        <f t="shared" si="61"/>
        <v>2.7290759363370021</v>
      </c>
      <c r="R89" s="179">
        <f t="shared" si="61"/>
        <v>2.8190159023124557</v>
      </c>
      <c r="S89" s="179">
        <f t="shared" si="61"/>
        <v>2.846997320786774</v>
      </c>
      <c r="T89" s="179">
        <f t="shared" si="61"/>
        <v>2.8420281777766259</v>
      </c>
    </row>
    <row r="90" spans="1:20">
      <c r="A90" s="175" t="s">
        <v>7649</v>
      </c>
      <c r="B90" s="177">
        <f>LEICESTERSHIRE!D4</f>
        <v>29006</v>
      </c>
      <c r="C90" s="177">
        <f>LEICESTERSHIRE!E4</f>
        <v>28437</v>
      </c>
      <c r="D90" s="177">
        <f>LEICESTERSHIRE!F4</f>
        <v>28331</v>
      </c>
      <c r="E90" s="177">
        <f>LEICESTERSHIRE!G4</f>
        <v>28707</v>
      </c>
      <c r="F90" s="177">
        <f>LEICESTERSHIRE!H4</f>
        <v>28954</v>
      </c>
      <c r="G90" s="177">
        <f>LEICESTERSHIRE!I4</f>
        <v>29053</v>
      </c>
      <c r="H90" s="177">
        <f>LEICESTERSHIRE!J4</f>
        <v>27355</v>
      </c>
      <c r="I90" s="177">
        <f>LEICESTERSHIRE!K4</f>
        <v>28933</v>
      </c>
      <c r="J90" s="177">
        <f>LEICESTERSHIRE!L4</f>
        <v>28836</v>
      </c>
      <c r="K90" s="178"/>
      <c r="L90" s="179">
        <f t="shared" si="56"/>
        <v>0.38199968392772482</v>
      </c>
      <c r="M90" s="179">
        <f t="shared" si="57"/>
        <v>0.37104160958233845</v>
      </c>
      <c r="N90" s="179">
        <f t="shared" si="58"/>
        <v>0.36754842308740154</v>
      </c>
      <c r="O90" s="179">
        <f t="shared" si="59"/>
        <v>0.37044158257413479</v>
      </c>
      <c r="P90" s="179">
        <f t="shared" si="60"/>
        <v>0.37537272797987919</v>
      </c>
      <c r="Q90" s="179">
        <f t="shared" si="61"/>
        <v>0.3834164753081532</v>
      </c>
      <c r="R90" s="179">
        <f t="shared" si="61"/>
        <v>0.36586018269603715</v>
      </c>
      <c r="S90" s="179">
        <f t="shared" si="61"/>
        <v>0.37813500620793311</v>
      </c>
      <c r="T90" s="179">
        <f t="shared" si="61"/>
        <v>0.3737508586833953</v>
      </c>
    </row>
    <row r="91" spans="1:20">
      <c r="A91" s="181" t="s">
        <v>13790</v>
      </c>
      <c r="B91" s="177">
        <f>SUM(B88:B90)</f>
        <v>748443</v>
      </c>
      <c r="C91" s="177">
        <f t="shared" ref="C91:G91" si="65">SUM(C88:C90)</f>
        <v>754878</v>
      </c>
      <c r="D91" s="177">
        <f t="shared" si="65"/>
        <v>760306</v>
      </c>
      <c r="E91" s="177">
        <f t="shared" si="65"/>
        <v>763765</v>
      </c>
      <c r="F91" s="177">
        <f t="shared" si="65"/>
        <v>763516</v>
      </c>
      <c r="G91" s="177">
        <f t="shared" si="65"/>
        <v>732765</v>
      </c>
      <c r="H91" s="177">
        <f t="shared" ref="H91" si="66">SUM(H88:H90)</f>
        <v>734623</v>
      </c>
      <c r="I91" s="177">
        <f t="shared" ref="I91:J91" si="67">SUM(I88:I90)</f>
        <v>757525</v>
      </c>
      <c r="J91" s="177">
        <f t="shared" si="67"/>
        <v>762730</v>
      </c>
      <c r="K91" s="178"/>
      <c r="L91" s="179">
        <f t="shared" si="56"/>
        <v>9.8567534109466362</v>
      </c>
      <c r="M91" s="179">
        <f t="shared" si="57"/>
        <v>9.8495322347046628</v>
      </c>
      <c r="N91" s="179">
        <f t="shared" si="58"/>
        <v>9.8637277668945647</v>
      </c>
      <c r="O91" s="179">
        <f t="shared" si="59"/>
        <v>9.855795287377088</v>
      </c>
      <c r="P91" s="179">
        <f t="shared" si="60"/>
        <v>9.8985661316669695</v>
      </c>
      <c r="Q91" s="179">
        <f t="shared" si="61"/>
        <v>9.6704014569641306</v>
      </c>
      <c r="R91" s="179">
        <f t="shared" si="61"/>
        <v>9.8252350573098468</v>
      </c>
      <c r="S91" s="179">
        <f t="shared" si="61"/>
        <v>9.9003463373194798</v>
      </c>
      <c r="T91" s="179">
        <f t="shared" si="61"/>
        <v>9.8859409225824013</v>
      </c>
    </row>
    <row r="92" spans="1:20">
      <c r="A92" s="173"/>
      <c r="B92" s="180"/>
      <c r="C92" s="180"/>
      <c r="D92" s="180"/>
      <c r="E92" s="180"/>
      <c r="F92" s="180"/>
      <c r="G92" s="180"/>
      <c r="H92" s="180"/>
      <c r="I92" s="180"/>
      <c r="J92" s="180"/>
      <c r="K92" s="173"/>
      <c r="L92" s="173"/>
      <c r="M92" s="173"/>
      <c r="N92" s="173"/>
      <c r="O92" s="173"/>
      <c r="P92" s="173"/>
      <c r="Q92" s="173"/>
      <c r="R92" s="173"/>
      <c r="S92" s="173"/>
      <c r="T92" s="173"/>
    </row>
    <row r="93" spans="1:20">
      <c r="A93" s="175" t="s">
        <v>7650</v>
      </c>
      <c r="B93" s="177">
        <f>LINCOLNSHIRE!D5</f>
        <v>44167</v>
      </c>
      <c r="C93" s="177">
        <f>LINCOLNSHIRE!E5</f>
        <v>44117</v>
      </c>
      <c r="D93" s="177">
        <f>LINCOLNSHIRE!F5</f>
        <v>44030</v>
      </c>
      <c r="E93" s="177">
        <f>LINCOLNSHIRE!G5</f>
        <v>43915</v>
      </c>
      <c r="F93" s="177">
        <f>LINCOLNSHIRE!H5</f>
        <v>43313</v>
      </c>
      <c r="G93" s="177">
        <f>LINCOLNSHIRE!I5</f>
        <v>40833</v>
      </c>
      <c r="H93" s="177">
        <f>LINCOLNSHIRE!J5</f>
        <v>39834</v>
      </c>
      <c r="I93" s="177">
        <f>LINCOLNSHIRE!K5</f>
        <v>39739</v>
      </c>
      <c r="J93" s="177">
        <f>LINCOLNSHIRE!L5</f>
        <v>40157</v>
      </c>
      <c r="K93" s="178"/>
      <c r="L93" s="179">
        <f t="shared" ref="L93:T100" si="68">B93/B$470</f>
        <v>0.58166517410314489</v>
      </c>
      <c r="M93" s="179">
        <f t="shared" si="68"/>
        <v>0.5756318419644838</v>
      </c>
      <c r="N93" s="179">
        <f t="shared" si="68"/>
        <v>0.57121729090177864</v>
      </c>
      <c r="O93" s="179">
        <f t="shared" si="68"/>
        <v>0.56668903398972825</v>
      </c>
      <c r="P93" s="179">
        <f t="shared" si="68"/>
        <v>0.56152928669587987</v>
      </c>
      <c r="Q93" s="179">
        <f t="shared" si="68"/>
        <v>0.53887877108242932</v>
      </c>
      <c r="R93" s="179">
        <f t="shared" si="68"/>
        <v>0.53276090358303574</v>
      </c>
      <c r="S93" s="179">
        <f t="shared" si="68"/>
        <v>0.51936221655884462</v>
      </c>
      <c r="T93" s="179">
        <f t="shared" si="68"/>
        <v>0.52048526952937668</v>
      </c>
    </row>
    <row r="94" spans="1:20">
      <c r="A94" s="175" t="s">
        <v>7651</v>
      </c>
      <c r="B94" s="177">
        <f>LINCOLNSHIRE!D6</f>
        <v>105825</v>
      </c>
      <c r="C94" s="177">
        <f>LINCOLNSHIRE!E6</f>
        <v>104586</v>
      </c>
      <c r="D94" s="177">
        <f>LINCOLNSHIRE!F6</f>
        <v>104757</v>
      </c>
      <c r="E94" s="177">
        <f>LINCOLNSHIRE!G6</f>
        <v>101192</v>
      </c>
      <c r="F94" s="177">
        <f>LINCOLNSHIRE!H6</f>
        <v>106037</v>
      </c>
      <c r="G94" s="177">
        <f>LINCOLNSHIRE!I6</f>
        <v>100037</v>
      </c>
      <c r="H94" s="177">
        <f>LINCOLNSHIRE!J6</f>
        <v>102964</v>
      </c>
      <c r="I94" s="177">
        <f>LINCOLNSHIRE!K6</f>
        <v>107124</v>
      </c>
      <c r="J94" s="177">
        <f>LINCOLNSHIRE!L6</f>
        <v>108850</v>
      </c>
      <c r="K94" s="178"/>
      <c r="L94" s="179">
        <f t="shared" si="68"/>
        <v>1.3936811884317548</v>
      </c>
      <c r="M94" s="179">
        <f t="shared" si="68"/>
        <v>1.3646220691274904</v>
      </c>
      <c r="N94" s="179">
        <f t="shared" si="68"/>
        <v>1.3590508685668323</v>
      </c>
      <c r="O94" s="179">
        <f t="shared" si="68"/>
        <v>1.3058043203344776</v>
      </c>
      <c r="P94" s="179">
        <f t="shared" si="68"/>
        <v>1.3747115409547022</v>
      </c>
      <c r="Q94" s="179">
        <f t="shared" si="68"/>
        <v>1.3202021801673398</v>
      </c>
      <c r="R94" s="179">
        <f t="shared" si="68"/>
        <v>1.377094785271971</v>
      </c>
      <c r="S94" s="179">
        <f t="shared" si="68"/>
        <v>1.4000392079984316</v>
      </c>
      <c r="T94" s="179">
        <f t="shared" si="68"/>
        <v>1.4108330201029124</v>
      </c>
    </row>
    <row r="95" spans="1:20">
      <c r="A95" s="175" t="s">
        <v>7652</v>
      </c>
      <c r="B95" s="177">
        <f>LINCOLNSHIRE!D7</f>
        <v>63464</v>
      </c>
      <c r="C95" s="177">
        <f>LINCOLNSHIRE!E7</f>
        <v>63215</v>
      </c>
      <c r="D95" s="177">
        <f>LINCOLNSHIRE!F7</f>
        <v>63266</v>
      </c>
      <c r="E95" s="177">
        <f>LINCOLNSHIRE!G7</f>
        <v>62447</v>
      </c>
      <c r="F95" s="177">
        <f>LINCOLNSHIRE!H7</f>
        <v>61327</v>
      </c>
      <c r="G95" s="177">
        <f>LINCOLNSHIRE!I7</f>
        <v>60111</v>
      </c>
      <c r="H95" s="177">
        <f>LINCOLNSHIRE!J7</f>
        <v>57705</v>
      </c>
      <c r="I95" s="177">
        <f>LINCOLNSHIRE!K7</f>
        <v>58963</v>
      </c>
      <c r="J95" s="177">
        <f>LINCOLNSHIRE!L7</f>
        <v>58504</v>
      </c>
      <c r="K95" s="178"/>
      <c r="L95" s="179">
        <f t="shared" si="68"/>
        <v>0.83580045303692774</v>
      </c>
      <c r="M95" s="179">
        <f t="shared" si="68"/>
        <v>0.8248196135227881</v>
      </c>
      <c r="N95" s="179">
        <f t="shared" si="68"/>
        <v>0.82077295312722975</v>
      </c>
      <c r="O95" s="179">
        <f t="shared" si="68"/>
        <v>0.80583012878416393</v>
      </c>
      <c r="P95" s="179">
        <f t="shared" si="68"/>
        <v>0.79507091554956311</v>
      </c>
      <c r="Q95" s="179">
        <f t="shared" si="68"/>
        <v>0.79329321403119801</v>
      </c>
      <c r="R95" s="179">
        <f t="shared" si="68"/>
        <v>0.77177707338602897</v>
      </c>
      <c r="S95" s="179">
        <f t="shared" si="68"/>
        <v>0.77060707050905053</v>
      </c>
      <c r="T95" s="179">
        <f t="shared" si="68"/>
        <v>0.75828548468627277</v>
      </c>
    </row>
    <row r="96" spans="1:20">
      <c r="A96" s="175" t="s">
        <v>7653</v>
      </c>
      <c r="B96" s="177">
        <f>LINCOLNSHIRE!D8</f>
        <v>81126</v>
      </c>
      <c r="C96" s="177">
        <f>LINCOLNSHIRE!E8</f>
        <v>81989</v>
      </c>
      <c r="D96" s="177">
        <f>LINCOLNSHIRE!F8</f>
        <v>83130</v>
      </c>
      <c r="E96" s="177">
        <f>LINCOLNSHIRE!G8</f>
        <v>83815</v>
      </c>
      <c r="F96" s="177">
        <f>LINCOLNSHIRE!H8</f>
        <v>84539</v>
      </c>
      <c r="G96" s="177">
        <f>LINCOLNSHIRE!I8</f>
        <v>81591</v>
      </c>
      <c r="H96" s="177">
        <f>LINCOLNSHIRE!J8</f>
        <v>83059</v>
      </c>
      <c r="I96" s="177">
        <f>LINCOLNSHIRE!K8</f>
        <v>85520</v>
      </c>
      <c r="J96" s="177">
        <f>LINCOLNSHIRE!L8</f>
        <v>86946</v>
      </c>
      <c r="K96" s="178"/>
      <c r="L96" s="179">
        <f t="shared" si="68"/>
        <v>1.068403308223147</v>
      </c>
      <c r="M96" s="179">
        <f t="shared" si="68"/>
        <v>1.0697798828303389</v>
      </c>
      <c r="N96" s="179">
        <f t="shared" si="68"/>
        <v>1.0784758889998833</v>
      </c>
      <c r="O96" s="179">
        <f t="shared" si="68"/>
        <v>1.0815676052339536</v>
      </c>
      <c r="P96" s="179">
        <f t="shared" si="68"/>
        <v>1.0960017631654004</v>
      </c>
      <c r="Q96" s="179">
        <f t="shared" si="68"/>
        <v>1.0767677567503364</v>
      </c>
      <c r="R96" s="179">
        <f t="shared" si="68"/>
        <v>1.1108748278029665</v>
      </c>
      <c r="S96" s="179">
        <f t="shared" si="68"/>
        <v>1.117689341959093</v>
      </c>
      <c r="T96" s="179">
        <f t="shared" si="68"/>
        <v>1.1269296074034709</v>
      </c>
    </row>
    <row r="97" spans="1:20">
      <c r="A97" s="175" t="s">
        <v>7654</v>
      </c>
      <c r="B97" s="177">
        <f>LINCOLNSHIRE!D9</f>
        <v>66166</v>
      </c>
      <c r="C97" s="177">
        <f>LINCOLNSHIRE!E9</f>
        <v>66318</v>
      </c>
      <c r="D97" s="177">
        <f>LINCOLNSHIRE!F9</f>
        <v>66084</v>
      </c>
      <c r="E97" s="177">
        <f>LINCOLNSHIRE!G9</f>
        <v>65930</v>
      </c>
      <c r="F97" s="177">
        <f>LINCOLNSHIRE!H9</f>
        <v>64854</v>
      </c>
      <c r="G97" s="177">
        <f>LINCOLNSHIRE!I9</f>
        <v>64719</v>
      </c>
      <c r="H97" s="177">
        <f>LINCOLNSHIRE!J9</f>
        <v>63636</v>
      </c>
      <c r="I97" s="177">
        <f>LINCOLNSHIRE!K9</f>
        <v>66560</v>
      </c>
      <c r="J97" s="177">
        <f>LINCOLNSHIRE!L9</f>
        <v>65795</v>
      </c>
      <c r="K97" s="178"/>
      <c r="L97" s="179">
        <f t="shared" si="68"/>
        <v>0.87138492335247331</v>
      </c>
      <c r="M97" s="179">
        <f t="shared" si="68"/>
        <v>0.86530708106626997</v>
      </c>
      <c r="N97" s="179">
        <f t="shared" si="68"/>
        <v>0.85733189761419804</v>
      </c>
      <c r="O97" s="179">
        <f t="shared" si="68"/>
        <v>0.85077554391307719</v>
      </c>
      <c r="P97" s="179">
        <f t="shared" si="68"/>
        <v>0.84079653589856618</v>
      </c>
      <c r="Q97" s="179">
        <f t="shared" si="68"/>
        <v>0.85410562989943783</v>
      </c>
      <c r="R97" s="179">
        <f t="shared" si="68"/>
        <v>0.85110139228824777</v>
      </c>
      <c r="S97" s="179">
        <f t="shared" si="68"/>
        <v>0.86989479187087504</v>
      </c>
      <c r="T97" s="179">
        <f t="shared" si="68"/>
        <v>0.85278602257851277</v>
      </c>
    </row>
    <row r="98" spans="1:20">
      <c r="A98" s="175" t="s">
        <v>8506</v>
      </c>
      <c r="B98" s="177">
        <f>LINCOLNSHIRE!D10</f>
        <v>100933</v>
      </c>
      <c r="C98" s="177">
        <f>LINCOLNSHIRE!E10</f>
        <v>102758</v>
      </c>
      <c r="D98" s="177">
        <f>LINCOLNSHIRE!F10</f>
        <v>102743</v>
      </c>
      <c r="E98" s="177">
        <f>LINCOLNSHIRE!G10</f>
        <v>104467</v>
      </c>
      <c r="F98" s="177">
        <f>LINCOLNSHIRE!H10</f>
        <v>105100</v>
      </c>
      <c r="G98" s="177">
        <f>LINCOLNSHIRE!I10</f>
        <v>102679</v>
      </c>
      <c r="H98" s="177">
        <f>LINCOLNSHIRE!J10</f>
        <v>101682</v>
      </c>
      <c r="I98" s="177">
        <f>LINCOLNSHIRE!K10</f>
        <v>105585</v>
      </c>
      <c r="J98" s="177">
        <f>LINCOLNSHIRE!L10</f>
        <v>104537</v>
      </c>
      <c r="K98" s="178"/>
      <c r="L98" s="179">
        <f t="shared" si="68"/>
        <v>1.3292551230047938</v>
      </c>
      <c r="M98" s="179">
        <f t="shared" si="68"/>
        <v>1.3407706058115108</v>
      </c>
      <c r="N98" s="179">
        <f t="shared" si="68"/>
        <v>1.3329225100867919</v>
      </c>
      <c r="O98" s="179">
        <f t="shared" si="68"/>
        <v>1.3480656566960023</v>
      </c>
      <c r="P98" s="179">
        <f t="shared" si="68"/>
        <v>1.3625638499235098</v>
      </c>
      <c r="Q98" s="179">
        <f t="shared" si="68"/>
        <v>1.3550690210362393</v>
      </c>
      <c r="R98" s="179">
        <f t="shared" si="68"/>
        <v>1.3599486418167956</v>
      </c>
      <c r="S98" s="179">
        <f t="shared" si="68"/>
        <v>1.3799255048029797</v>
      </c>
      <c r="T98" s="179">
        <f t="shared" si="68"/>
        <v>1.3549311109094915</v>
      </c>
    </row>
    <row r="99" spans="1:20">
      <c r="A99" s="175" t="s">
        <v>8507</v>
      </c>
      <c r="B99" s="177">
        <f>LINCOLNSHIRE!D11</f>
        <v>71024</v>
      </c>
      <c r="C99" s="177">
        <f>LINCOLNSHIRE!E11</f>
        <v>71945</v>
      </c>
      <c r="D99" s="177">
        <f>LINCOLNSHIRE!F11</f>
        <v>72234</v>
      </c>
      <c r="E99" s="177">
        <f>LINCOLNSHIRE!G11</f>
        <v>72776</v>
      </c>
      <c r="F99" s="177">
        <f>LINCOLNSHIRE!H11</f>
        <v>73315</v>
      </c>
      <c r="G99" s="177">
        <f>LINCOLNSHIRE!I11</f>
        <v>71827</v>
      </c>
      <c r="H99" s="177">
        <f>LINCOLNSHIRE!J11</f>
        <v>72401</v>
      </c>
      <c r="I99" s="177">
        <f>LINCOLNSHIRE!K11</f>
        <v>72884</v>
      </c>
      <c r="J99" s="177">
        <f>LINCOLNSHIRE!L11</f>
        <v>72939</v>
      </c>
      <c r="K99" s="178"/>
      <c r="L99" s="179">
        <f t="shared" si="68"/>
        <v>0.93536321972290992</v>
      </c>
      <c r="M99" s="179">
        <f t="shared" si="68"/>
        <v>0.93872731305697998</v>
      </c>
      <c r="N99" s="179">
        <f t="shared" si="68"/>
        <v>0.93711809654778744</v>
      </c>
      <c r="O99" s="179">
        <f t="shared" si="68"/>
        <v>0.9391178671897179</v>
      </c>
      <c r="P99" s="179">
        <f t="shared" si="68"/>
        <v>0.95048875982057202</v>
      </c>
      <c r="Q99" s="179">
        <f t="shared" si="68"/>
        <v>0.94791089291841524</v>
      </c>
      <c r="R99" s="179">
        <f t="shared" si="68"/>
        <v>0.9683291203573674</v>
      </c>
      <c r="S99" s="179">
        <f t="shared" si="68"/>
        <v>0.95254525256485656</v>
      </c>
      <c r="T99" s="179">
        <f t="shared" si="68"/>
        <v>0.94538125542752716</v>
      </c>
    </row>
    <row r="100" spans="1:20">
      <c r="A100" s="175" t="s">
        <v>8508</v>
      </c>
      <c r="B100" s="177">
        <f t="shared" ref="B100:G100" si="69">SUM(B93:B99)</f>
        <v>532705</v>
      </c>
      <c r="C100" s="177">
        <f t="shared" si="69"/>
        <v>534928</v>
      </c>
      <c r="D100" s="177">
        <f t="shared" si="69"/>
        <v>536244</v>
      </c>
      <c r="E100" s="177">
        <f t="shared" si="69"/>
        <v>534542</v>
      </c>
      <c r="F100" s="177">
        <f t="shared" si="69"/>
        <v>538485</v>
      </c>
      <c r="G100" s="177">
        <f t="shared" si="69"/>
        <v>521797</v>
      </c>
      <c r="H100" s="177">
        <f t="shared" ref="H100" si="70">SUM(H93:H99)</f>
        <v>521281</v>
      </c>
      <c r="I100" s="177">
        <f t="shared" ref="I100:J100" si="71">SUM(I93:I99)</f>
        <v>536375</v>
      </c>
      <c r="J100" s="177">
        <f t="shared" si="71"/>
        <v>537728</v>
      </c>
      <c r="K100" s="178"/>
      <c r="L100" s="179">
        <f t="shared" si="68"/>
        <v>7.0155533898751514</v>
      </c>
      <c r="M100" s="179">
        <f t="shared" si="68"/>
        <v>6.979658407379862</v>
      </c>
      <c r="N100" s="179">
        <f t="shared" si="68"/>
        <v>6.9568895058445008</v>
      </c>
      <c r="O100" s="179">
        <f t="shared" si="68"/>
        <v>6.8978501561411205</v>
      </c>
      <c r="P100" s="179">
        <f t="shared" si="68"/>
        <v>6.9811626520081935</v>
      </c>
      <c r="Q100" s="179">
        <f t="shared" si="68"/>
        <v>6.8862274658853959</v>
      </c>
      <c r="R100" s="179">
        <f t="shared" si="68"/>
        <v>6.9718867445064134</v>
      </c>
      <c r="S100" s="179">
        <f t="shared" si="68"/>
        <v>7.0100633862641315</v>
      </c>
      <c r="T100" s="179">
        <f t="shared" si="68"/>
        <v>6.9696317706375641</v>
      </c>
    </row>
    <row r="101" spans="1:20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</row>
    <row r="102" spans="1:20">
      <c r="A102" s="175" t="s">
        <v>5096</v>
      </c>
      <c r="B102" s="177">
        <f>NORTHAMPTONSHIRE!D5</f>
        <v>41659</v>
      </c>
      <c r="C102" s="177">
        <f>NORTHAMPTONSHIRE!E5</f>
        <v>42372</v>
      </c>
      <c r="D102" s="177">
        <f>NORTHAMPTONSHIRE!F5</f>
        <v>42779</v>
      </c>
      <c r="E102" s="177">
        <f>NORTHAMPTONSHIRE!G5</f>
        <v>43438</v>
      </c>
      <c r="F102" s="177">
        <f>NORTHAMPTONSHIRE!H5</f>
        <v>42829</v>
      </c>
      <c r="G102" s="177">
        <f>NORTHAMPTONSHIRE!I5</f>
        <v>42278</v>
      </c>
      <c r="H102" s="177">
        <f>NORTHAMPTONSHIRE!J5</f>
        <v>43281</v>
      </c>
      <c r="I102" s="177">
        <f>NORTHAMPTONSHIRE!K5</f>
        <v>43333</v>
      </c>
      <c r="J102" s="177">
        <f>NORTHAMPTONSHIRE!L5</f>
        <v>43899</v>
      </c>
      <c r="K102" s="178"/>
      <c r="L102" s="179">
        <f t="shared" ref="L102:T109" si="72">B102/B$470</f>
        <v>0.54863562134541433</v>
      </c>
      <c r="M102" s="179">
        <f t="shared" si="72"/>
        <v>0.55286334990409836</v>
      </c>
      <c r="N102" s="179">
        <f t="shared" si="72"/>
        <v>0.55498761043577538</v>
      </c>
      <c r="O102" s="179">
        <f t="shared" si="72"/>
        <v>0.5605337187395153</v>
      </c>
      <c r="P102" s="179">
        <f t="shared" si="72"/>
        <v>0.55525449218243572</v>
      </c>
      <c r="Q102" s="179">
        <f t="shared" si="72"/>
        <v>0.55794863673555573</v>
      </c>
      <c r="R102" s="179">
        <f t="shared" si="72"/>
        <v>0.578862897724993</v>
      </c>
      <c r="S102" s="179">
        <f t="shared" si="72"/>
        <v>0.56633339867999744</v>
      </c>
      <c r="T102" s="179">
        <f t="shared" si="72"/>
        <v>0.56898629994945105</v>
      </c>
    </row>
    <row r="103" spans="1:20">
      <c r="A103" s="175" t="s">
        <v>5097</v>
      </c>
      <c r="B103" s="177">
        <f>NORTHAMPTONSHIRE!D6</f>
        <v>58855</v>
      </c>
      <c r="C103" s="177">
        <f>NORTHAMPTONSHIRE!E6</f>
        <v>59174</v>
      </c>
      <c r="D103" s="177">
        <f>NORTHAMPTONSHIRE!F6</f>
        <v>59865</v>
      </c>
      <c r="E103" s="177">
        <f>NORTHAMPTONSHIRE!G6</f>
        <v>60328</v>
      </c>
      <c r="F103" s="177">
        <f>NORTHAMPTONSHIRE!H6</f>
        <v>59363</v>
      </c>
      <c r="G103" s="177">
        <f>NORTHAMPTONSHIRE!I6</f>
        <v>59101</v>
      </c>
      <c r="H103" s="177">
        <f>NORTHAMPTONSHIRE!J6</f>
        <v>58392</v>
      </c>
      <c r="I103" s="177">
        <f>NORTHAMPTONSHIRE!K6</f>
        <v>60501</v>
      </c>
      <c r="J103" s="177">
        <f>NORTHAMPTONSHIRE!L6</f>
        <v>61169</v>
      </c>
      <c r="K103" s="178"/>
      <c r="L103" s="179">
        <f t="shared" si="72"/>
        <v>0.77510140652162463</v>
      </c>
      <c r="M103" s="179">
        <f t="shared" si="72"/>
        <v>0.77209326600644568</v>
      </c>
      <c r="N103" s="179">
        <f t="shared" si="72"/>
        <v>0.77665053644867088</v>
      </c>
      <c r="O103" s="179">
        <f t="shared" si="72"/>
        <v>0.77848607634139422</v>
      </c>
      <c r="P103" s="179">
        <f t="shared" si="72"/>
        <v>0.76960873285451292</v>
      </c>
      <c r="Q103" s="179">
        <f t="shared" si="72"/>
        <v>0.77996410378229997</v>
      </c>
      <c r="R103" s="179">
        <f t="shared" si="72"/>
        <v>0.78096537334991778</v>
      </c>
      <c r="S103" s="179">
        <f t="shared" si="72"/>
        <v>0.7907077043716918</v>
      </c>
      <c r="T103" s="179">
        <f t="shared" si="72"/>
        <v>0.79282723938148869</v>
      </c>
    </row>
    <row r="104" spans="1:20">
      <c r="A104" s="175" t="s">
        <v>6844</v>
      </c>
      <c r="B104" s="177">
        <f>NORTHAMPTONSHIRE!D7</f>
        <v>65126</v>
      </c>
      <c r="C104" s="177">
        <f>NORTHAMPTONSHIRE!E7</f>
        <v>65681</v>
      </c>
      <c r="D104" s="177">
        <f>NORTHAMPTONSHIRE!F7</f>
        <v>65584</v>
      </c>
      <c r="E104" s="177">
        <f>NORTHAMPTONSHIRE!G7</f>
        <v>65940</v>
      </c>
      <c r="F104" s="177">
        <f>NORTHAMPTONSHIRE!H7</f>
        <v>64986</v>
      </c>
      <c r="G104" s="177">
        <f>NORTHAMPTONSHIRE!I7</f>
        <v>66036</v>
      </c>
      <c r="H104" s="177">
        <f>NORTHAMPTONSHIRE!J7</f>
        <v>64731</v>
      </c>
      <c r="I104" s="177">
        <f>NORTHAMPTONSHIRE!K7</f>
        <v>66896</v>
      </c>
      <c r="J104" s="177">
        <f>NORTHAMPTONSHIRE!L7</f>
        <v>67376</v>
      </c>
      <c r="K104" s="178"/>
      <c r="L104" s="179">
        <f t="shared" si="72"/>
        <v>0.85768845809408423</v>
      </c>
      <c r="M104" s="179">
        <f t="shared" si="72"/>
        <v>0.85699560287574539</v>
      </c>
      <c r="N104" s="179">
        <f t="shared" si="72"/>
        <v>0.85084521477406883</v>
      </c>
      <c r="O104" s="179">
        <f t="shared" si="72"/>
        <v>0.85090458616150932</v>
      </c>
      <c r="P104" s="179">
        <f t="shared" si="72"/>
        <v>0.84250784349314178</v>
      </c>
      <c r="Q104" s="179">
        <f t="shared" si="72"/>
        <v>0.87148626177844646</v>
      </c>
      <c r="R104" s="179">
        <f t="shared" si="72"/>
        <v>0.86574649921759017</v>
      </c>
      <c r="S104" s="179">
        <f t="shared" si="72"/>
        <v>0.8742860876952232</v>
      </c>
      <c r="T104" s="179">
        <f t="shared" si="72"/>
        <v>0.87327777273728824</v>
      </c>
    </row>
    <row r="105" spans="1:20">
      <c r="A105" s="175" t="s">
        <v>6845</v>
      </c>
      <c r="B105" s="177">
        <f>NORTHAMPTONSHIRE!D8</f>
        <v>68786</v>
      </c>
      <c r="C105" s="177">
        <f>NORTHAMPTONSHIRE!E8</f>
        <v>69610</v>
      </c>
      <c r="D105" s="177">
        <f>NORTHAMPTONSHIRE!F8</f>
        <v>69842</v>
      </c>
      <c r="E105" s="177">
        <f>NORTHAMPTONSHIRE!G8</f>
        <v>70826</v>
      </c>
      <c r="F105" s="177">
        <f>NORTHAMPTONSHIRE!H8</f>
        <v>70431</v>
      </c>
      <c r="G105" s="177">
        <f>NORTHAMPTONSHIRE!I8</f>
        <v>69424</v>
      </c>
      <c r="H105" s="177">
        <f>NORTHAMPTONSHIRE!J8</f>
        <v>68279</v>
      </c>
      <c r="I105" s="177">
        <f>NORTHAMPTONSHIRE!K8</f>
        <v>69982</v>
      </c>
      <c r="J105" s="177">
        <f>NORTHAMPTONSHIRE!L8</f>
        <v>70589</v>
      </c>
      <c r="K105" s="178"/>
      <c r="L105" s="179">
        <f t="shared" si="72"/>
        <v>0.90588948006110726</v>
      </c>
      <c r="M105" s="179">
        <f t="shared" si="72"/>
        <v>0.90826059158935812</v>
      </c>
      <c r="N105" s="179">
        <f t="shared" si="72"/>
        <v>0.90608580584060927</v>
      </c>
      <c r="O105" s="179">
        <f t="shared" si="72"/>
        <v>0.9139546287454513</v>
      </c>
      <c r="P105" s="179">
        <f t="shared" si="72"/>
        <v>0.91309928176938837</v>
      </c>
      <c r="Q105" s="179">
        <f t="shared" si="72"/>
        <v>0.91619816823712619</v>
      </c>
      <c r="R105" s="179">
        <f t="shared" si="72"/>
        <v>0.91319932057403475</v>
      </c>
      <c r="S105" s="179">
        <f t="shared" si="72"/>
        <v>0.91461804874861141</v>
      </c>
      <c r="T105" s="179">
        <f t="shared" si="72"/>
        <v>0.91492229725350926</v>
      </c>
    </row>
    <row r="106" spans="1:20">
      <c r="A106" s="175" t="s">
        <v>6846</v>
      </c>
      <c r="B106" s="177">
        <f>NORTHAMPTONSHIRE!D9</f>
        <v>147560</v>
      </c>
      <c r="C106" s="177">
        <f>NORTHAMPTONSHIRE!E9</f>
        <v>149064</v>
      </c>
      <c r="D106" s="177">
        <f>NORTHAMPTONSHIRE!F9</f>
        <v>148811</v>
      </c>
      <c r="E106" s="177">
        <f>NORTHAMPTONSHIRE!G9</f>
        <v>149562</v>
      </c>
      <c r="F106" s="177">
        <f>NORTHAMPTONSHIRE!H9</f>
        <v>138479</v>
      </c>
      <c r="G106" s="177">
        <f>NORTHAMPTONSHIRE!I9</f>
        <v>140451</v>
      </c>
      <c r="H106" s="177">
        <f>NORTHAMPTONSHIRE!J9</f>
        <v>137787</v>
      </c>
      <c r="I106" s="177">
        <f>NORTHAMPTONSHIRE!K9</f>
        <v>142274</v>
      </c>
      <c r="J106" s="177">
        <f>NORTHAMPTONSHIRE!L9</f>
        <v>144275</v>
      </c>
      <c r="K106" s="178"/>
      <c r="L106" s="179">
        <f t="shared" si="72"/>
        <v>1.9433177053152821</v>
      </c>
      <c r="M106" s="179">
        <f t="shared" si="72"/>
        <v>1.9449641836614866</v>
      </c>
      <c r="N106" s="179">
        <f t="shared" si="72"/>
        <v>1.9305795202449372</v>
      </c>
      <c r="O106" s="179">
        <f t="shared" si="72"/>
        <v>1.9299816760007227</v>
      </c>
      <c r="P106" s="179">
        <f t="shared" si="72"/>
        <v>1.7953042756760962</v>
      </c>
      <c r="Q106" s="179">
        <f t="shared" si="72"/>
        <v>1.8535513500673053</v>
      </c>
      <c r="R106" s="179">
        <f t="shared" si="72"/>
        <v>1.8428359346788108</v>
      </c>
      <c r="S106" s="179">
        <f t="shared" si="72"/>
        <v>1.8594262562896164</v>
      </c>
      <c r="T106" s="179">
        <f t="shared" si="72"/>
        <v>1.8699856130027348</v>
      </c>
    </row>
    <row r="107" spans="1:20">
      <c r="A107" s="175" t="s">
        <v>6847</v>
      </c>
      <c r="B107" s="177">
        <f>NORTHAMPTONSHIRE!D10</f>
        <v>66250</v>
      </c>
      <c r="C107" s="177">
        <f>NORTHAMPTONSHIRE!E10</f>
        <v>66929</v>
      </c>
      <c r="D107" s="177">
        <f>NORTHAMPTONSHIRE!F10</f>
        <v>67985</v>
      </c>
      <c r="E107" s="177">
        <f>NORTHAMPTONSHIRE!G10</f>
        <v>68855</v>
      </c>
      <c r="F107" s="177">
        <f>NORTHAMPTONSHIRE!H10</f>
        <v>68861</v>
      </c>
      <c r="G107" s="177">
        <f>NORTHAMPTONSHIRE!I10</f>
        <v>65830</v>
      </c>
      <c r="H107" s="177">
        <f>NORTHAMPTONSHIRE!J10</f>
        <v>68535</v>
      </c>
      <c r="I107" s="177">
        <f>NORTHAMPTONSHIRE!K10</f>
        <v>71946</v>
      </c>
      <c r="J107" s="177">
        <f>NORTHAMPTONSHIRE!L10</f>
        <v>70055</v>
      </c>
      <c r="K107" s="178"/>
      <c r="L107" s="179">
        <f t="shared" si="72"/>
        <v>0.87249117631565087</v>
      </c>
      <c r="M107" s="179">
        <f t="shared" si="72"/>
        <v>0.87327931524901814</v>
      </c>
      <c r="N107" s="179">
        <f t="shared" si="72"/>
        <v>0.88199426577236928</v>
      </c>
      <c r="O107" s="179">
        <f t="shared" si="72"/>
        <v>0.88852040157947709</v>
      </c>
      <c r="P107" s="179">
        <f t="shared" si="72"/>
        <v>0.89274509295511706</v>
      </c>
      <c r="Q107" s="179">
        <f t="shared" si="72"/>
        <v>0.86876765117322563</v>
      </c>
      <c r="R107" s="179">
        <f t="shared" si="72"/>
        <v>0.91662319945431925</v>
      </c>
      <c r="S107" s="179">
        <f t="shared" si="72"/>
        <v>0.94028621838855131</v>
      </c>
      <c r="T107" s="179">
        <f t="shared" si="72"/>
        <v>0.90800098505566862</v>
      </c>
    </row>
    <row r="108" spans="1:20">
      <c r="A108" s="175" t="s">
        <v>6848</v>
      </c>
      <c r="B108" s="177">
        <f>NORTHAMPTONSHIRE!D11</f>
        <v>53911</v>
      </c>
      <c r="C108" s="177">
        <f>NORTHAMPTONSHIRE!E11</f>
        <v>53798</v>
      </c>
      <c r="D108" s="177">
        <f>NORTHAMPTONSHIRE!F11</f>
        <v>54336</v>
      </c>
      <c r="E108" s="177">
        <f>NORTHAMPTONSHIRE!G11</f>
        <v>53716</v>
      </c>
      <c r="F108" s="177">
        <f>NORTHAMPTONSHIRE!H11</f>
        <v>50165</v>
      </c>
      <c r="G108" s="177">
        <f>NORTHAMPTONSHIRE!I11</f>
        <v>52872</v>
      </c>
      <c r="H108" s="177">
        <f>NORTHAMPTONSHIRE!J11</f>
        <v>52566</v>
      </c>
      <c r="I108" s="177">
        <f>NORTHAMPTONSHIRE!K11</f>
        <v>55382</v>
      </c>
      <c r="J108" s="177">
        <f>NORTHAMPTONSHIRE!L11</f>
        <v>54987</v>
      </c>
      <c r="K108" s="178"/>
      <c r="L108" s="179">
        <f t="shared" si="72"/>
        <v>0.70999051783174416</v>
      </c>
      <c r="M108" s="179">
        <f t="shared" si="72"/>
        <v>0.70194804347542439</v>
      </c>
      <c r="N108" s="179">
        <f t="shared" si="72"/>
        <v>0.70492079760252202</v>
      </c>
      <c r="O108" s="179">
        <f t="shared" si="72"/>
        <v>0.69316334167806537</v>
      </c>
      <c r="P108" s="179">
        <f t="shared" si="72"/>
        <v>0.65036170819612626</v>
      </c>
      <c r="Q108" s="179">
        <f t="shared" si="72"/>
        <v>0.69775912582152189</v>
      </c>
      <c r="R108" s="179">
        <f t="shared" si="72"/>
        <v>0.70304537976969061</v>
      </c>
      <c r="S108" s="179">
        <f t="shared" si="72"/>
        <v>0.7238057897144351</v>
      </c>
      <c r="T108" s="179">
        <f t="shared" si="72"/>
        <v>0.71270073749562557</v>
      </c>
    </row>
    <row r="109" spans="1:20">
      <c r="A109" s="175" t="s">
        <v>6849</v>
      </c>
      <c r="B109" s="177">
        <f t="shared" ref="B109:G109" si="73">SUM(B102:B108)</f>
        <v>502147</v>
      </c>
      <c r="C109" s="177">
        <f t="shared" si="73"/>
        <v>506628</v>
      </c>
      <c r="D109" s="177">
        <f t="shared" si="73"/>
        <v>509202</v>
      </c>
      <c r="E109" s="177">
        <f t="shared" si="73"/>
        <v>512665</v>
      </c>
      <c r="F109" s="177">
        <f t="shared" si="73"/>
        <v>495114</v>
      </c>
      <c r="G109" s="177">
        <f t="shared" si="73"/>
        <v>495992</v>
      </c>
      <c r="H109" s="177">
        <f t="shared" ref="H109" si="74">SUM(H102:H108)</f>
        <v>493571</v>
      </c>
      <c r="I109" s="177">
        <f t="shared" ref="I109:J109" si="75">SUM(I102:I108)</f>
        <v>510314</v>
      </c>
      <c r="J109" s="177">
        <f t="shared" si="75"/>
        <v>512350</v>
      </c>
      <c r="K109" s="178"/>
      <c r="L109" s="179">
        <f t="shared" si="72"/>
        <v>6.6131143654849076</v>
      </c>
      <c r="M109" s="179">
        <f t="shared" si="72"/>
        <v>6.6104043527615763</v>
      </c>
      <c r="N109" s="179">
        <f t="shared" si="72"/>
        <v>6.6060637511189526</v>
      </c>
      <c r="O109" s="179">
        <f t="shared" si="72"/>
        <v>6.6155444292461354</v>
      </c>
      <c r="P109" s="179">
        <f t="shared" si="72"/>
        <v>6.4188814271268182</v>
      </c>
      <c r="Q109" s="179">
        <f t="shared" si="72"/>
        <v>6.5456752975954817</v>
      </c>
      <c r="R109" s="179">
        <f t="shared" si="72"/>
        <v>6.6012786047693561</v>
      </c>
      <c r="S109" s="179">
        <f t="shared" si="72"/>
        <v>6.6694635038881263</v>
      </c>
      <c r="T109" s="179">
        <f t="shared" si="72"/>
        <v>6.6407009448757659</v>
      </c>
    </row>
    <row r="110" spans="1:20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</row>
    <row r="111" spans="1:20">
      <c r="A111" s="175" t="s">
        <v>5612</v>
      </c>
      <c r="B111" s="177">
        <f>NOTTINGHAMSHIRE!D5</f>
        <v>90381</v>
      </c>
      <c r="C111" s="177">
        <f>NOTTINGHAMSHIRE!E5</f>
        <v>89647</v>
      </c>
      <c r="D111" s="177">
        <f>NOTTINGHAMSHIRE!F5</f>
        <v>90993</v>
      </c>
      <c r="E111" s="177">
        <f>NOTTINGHAMSHIRE!G5</f>
        <v>91360</v>
      </c>
      <c r="F111" s="177">
        <f>NOTTINGHAMSHIRE!H5</f>
        <v>86925</v>
      </c>
      <c r="G111" s="177">
        <f>NOTTINGHAMSHIRE!I5</f>
        <v>89567</v>
      </c>
      <c r="H111" s="177">
        <f>NOTTINGHAMSHIRE!J5</f>
        <v>90473</v>
      </c>
      <c r="I111" s="177">
        <f>NOTTINGHAMSHIRE!K5</f>
        <v>91469</v>
      </c>
      <c r="J111" s="177">
        <f>NOTTINGHAMSHIRE!L5</f>
        <v>92262</v>
      </c>
      <c r="K111" s="178"/>
      <c r="L111" s="179">
        <f t="shared" ref="L111:L120" si="76">B111/B$470</f>
        <v>1.1902886793446767</v>
      </c>
      <c r="M111" s="179">
        <f t="shared" ref="M111:M120" si="77">C111/C$470</f>
        <v>1.1697002909669758</v>
      </c>
      <c r="N111" s="179">
        <f t="shared" ref="N111:N120" si="78">D111/D$470</f>
        <v>1.1804854633437554</v>
      </c>
      <c r="O111" s="179">
        <f t="shared" ref="O111:O120" si="79">E111/E$470</f>
        <v>1.1789299816760008</v>
      </c>
      <c r="P111" s="179">
        <f t="shared" ref="P111:P120" si="80">F111/F$470</f>
        <v>1.1269349443825032</v>
      </c>
      <c r="Q111" s="179">
        <f t="shared" ref="Q111:T120" si="81">G111/G$470</f>
        <v>1.1820281363000502</v>
      </c>
      <c r="R111" s="179">
        <f t="shared" si="81"/>
        <v>1.2100335700624589</v>
      </c>
      <c r="S111" s="179">
        <f t="shared" si="81"/>
        <v>1.1954388028491145</v>
      </c>
      <c r="T111" s="179">
        <f t="shared" si="81"/>
        <v>1.1958316591707387</v>
      </c>
    </row>
    <row r="112" spans="1:20">
      <c r="A112" s="175" t="s">
        <v>5573</v>
      </c>
      <c r="B112" s="177">
        <f>NOTTINGHAMSHIRE!D6</f>
        <v>83556</v>
      </c>
      <c r="C112" s="177">
        <f>NOTTINGHAMSHIRE!E6</f>
        <v>85194</v>
      </c>
      <c r="D112" s="177">
        <f>NOTTINGHAMSHIRE!F6</f>
        <v>84495</v>
      </c>
      <c r="E112" s="177">
        <f>NOTTINGHAMSHIRE!G6</f>
        <v>85384</v>
      </c>
      <c r="F112" s="177">
        <f>NOTTINGHAMSHIRE!H6</f>
        <v>84812</v>
      </c>
      <c r="G112" s="177">
        <f>NOTTINGHAMSHIRE!I6</f>
        <v>82635</v>
      </c>
      <c r="H112" s="177">
        <f>NOTTINGHAMSHIRE!J6</f>
        <v>83683</v>
      </c>
      <c r="I112" s="177">
        <f>NOTTINGHAMSHIRE!K6</f>
        <v>84587</v>
      </c>
      <c r="J112" s="177">
        <f>NOTTINGHAMSHIRE!L6</f>
        <v>84201</v>
      </c>
      <c r="K112" s="178"/>
      <c r="L112" s="179">
        <f t="shared" si="76"/>
        <v>1.1004056260864985</v>
      </c>
      <c r="M112" s="179">
        <f t="shared" si="77"/>
        <v>1.1115982307120209</v>
      </c>
      <c r="N112" s="179">
        <f t="shared" si="78"/>
        <v>1.0961845331534359</v>
      </c>
      <c r="O112" s="179">
        <f t="shared" si="79"/>
        <v>1.1018143340129558</v>
      </c>
      <c r="P112" s="179">
        <f t="shared" si="80"/>
        <v>1.0995410584178182</v>
      </c>
      <c r="Q112" s="179">
        <f t="shared" si="81"/>
        <v>1.0905455697204847</v>
      </c>
      <c r="R112" s="179">
        <f t="shared" si="81"/>
        <v>1.1192205325736602</v>
      </c>
      <c r="S112" s="179">
        <f t="shared" si="81"/>
        <v>1.1054956544468404</v>
      </c>
      <c r="T112" s="179">
        <f t="shared" si="81"/>
        <v>1.0913509520044586</v>
      </c>
    </row>
    <row r="113" spans="1:20">
      <c r="A113" s="175" t="s">
        <v>5574</v>
      </c>
      <c r="B113" s="177">
        <f>NOTTINGHAMSHIRE!D7</f>
        <v>82815</v>
      </c>
      <c r="C113" s="177">
        <f>NOTTINGHAMSHIRE!E7</f>
        <v>83413</v>
      </c>
      <c r="D113" s="177">
        <f>NOTTINGHAMSHIRE!F7</f>
        <v>83728</v>
      </c>
      <c r="E113" s="177">
        <f>NOTTINGHAMSHIRE!G7</f>
        <v>83060</v>
      </c>
      <c r="F113" s="177">
        <f>NOTTINGHAMSHIRE!H7</f>
        <v>79977</v>
      </c>
      <c r="G113" s="177">
        <f>NOTTINGHAMSHIRE!I7</f>
        <v>80645</v>
      </c>
      <c r="H113" s="177">
        <f>NOTTINGHAMSHIRE!J7</f>
        <v>80641</v>
      </c>
      <c r="I113" s="177">
        <f>NOTTINGHAMSHIRE!K7</f>
        <v>82766</v>
      </c>
      <c r="J113" s="177">
        <f>NOTTINGHAMSHIRE!L7</f>
        <v>82674</v>
      </c>
      <c r="K113" s="178"/>
      <c r="L113" s="179">
        <f t="shared" si="76"/>
        <v>1.0906468945898962</v>
      </c>
      <c r="M113" s="179">
        <f t="shared" si="77"/>
        <v>1.0883600161793296</v>
      </c>
      <c r="N113" s="179">
        <f t="shared" si="78"/>
        <v>1.0862339616766779</v>
      </c>
      <c r="O113" s="179">
        <f t="shared" si="79"/>
        <v>1.0718249154773272</v>
      </c>
      <c r="P113" s="179">
        <f t="shared" si="80"/>
        <v>1.0368579355407472</v>
      </c>
      <c r="Q113" s="179">
        <f t="shared" si="81"/>
        <v>1.0642832633884973</v>
      </c>
      <c r="R113" s="179">
        <f t="shared" si="81"/>
        <v>1.0785352218165283</v>
      </c>
      <c r="S113" s="179">
        <f t="shared" si="81"/>
        <v>1.0816963993988107</v>
      </c>
      <c r="T113" s="179">
        <f t="shared" si="81"/>
        <v>1.0715591098207458</v>
      </c>
    </row>
    <row r="114" spans="1:20">
      <c r="A114" s="175" t="s">
        <v>5575</v>
      </c>
      <c r="B114" s="177">
        <f>NOTTINGHAMSHIRE!D8</f>
        <v>87612</v>
      </c>
      <c r="C114" s="177">
        <f>NOTTINGHAMSHIRE!E8</f>
        <v>87700</v>
      </c>
      <c r="D114" s="177">
        <f>NOTTINGHAMSHIRE!F8</f>
        <v>87412</v>
      </c>
      <c r="E114" s="177">
        <f>NOTTINGHAMSHIRE!G8</f>
        <v>88706</v>
      </c>
      <c r="F114" s="177">
        <f>NOTTINGHAMSHIRE!H8</f>
        <v>85183</v>
      </c>
      <c r="G114" s="177">
        <f>NOTTINGHAMSHIRE!I8</f>
        <v>85895</v>
      </c>
      <c r="H114" s="177">
        <f>NOTTINGHAMSHIRE!J8</f>
        <v>85825</v>
      </c>
      <c r="I114" s="177">
        <f>NOTTINGHAMSHIRE!K8</f>
        <v>88234</v>
      </c>
      <c r="J114" s="177">
        <f>NOTTINGHAMSHIRE!L8</f>
        <v>88369</v>
      </c>
      <c r="K114" s="178"/>
      <c r="L114" s="179">
        <f t="shared" si="76"/>
        <v>1.1538218405942158</v>
      </c>
      <c r="M114" s="179">
        <f t="shared" si="77"/>
        <v>1.1442961339230959</v>
      </c>
      <c r="N114" s="179">
        <f t="shared" si="78"/>
        <v>1.1340278408427498</v>
      </c>
      <c r="O114" s="179">
        <f t="shared" si="79"/>
        <v>1.1446821689421116</v>
      </c>
      <c r="P114" s="179">
        <f t="shared" si="80"/>
        <v>1.104350869914694</v>
      </c>
      <c r="Q114" s="179">
        <f t="shared" si="81"/>
        <v>1.1335682424050466</v>
      </c>
      <c r="R114" s="179">
        <f t="shared" si="81"/>
        <v>1.1478687691422915</v>
      </c>
      <c r="S114" s="179">
        <f t="shared" si="81"/>
        <v>1.1531595112069528</v>
      </c>
      <c r="T114" s="179">
        <f t="shared" si="81"/>
        <v>1.1453734786722487</v>
      </c>
    </row>
    <row r="115" spans="1:20">
      <c r="A115" s="175" t="s">
        <v>5576</v>
      </c>
      <c r="B115" s="177">
        <f>NOTTINGHAMSHIRE!D9</f>
        <v>80247</v>
      </c>
      <c r="C115" s="177">
        <f>NOTTINGHAMSHIRE!E9</f>
        <v>79849</v>
      </c>
      <c r="D115" s="177">
        <f>NOTTINGHAMSHIRE!F9</f>
        <v>79748</v>
      </c>
      <c r="E115" s="177">
        <f>NOTTINGHAMSHIRE!G9</f>
        <v>79714</v>
      </c>
      <c r="F115" s="177">
        <f>NOTTINGHAMSHIRE!H9</f>
        <v>75412</v>
      </c>
      <c r="G115" s="177">
        <f>NOTTINGHAMSHIRE!I9</f>
        <v>77022</v>
      </c>
      <c r="H115" s="177">
        <f>NOTTINGHAMSHIRE!J9</f>
        <v>74066</v>
      </c>
      <c r="I115" s="177">
        <f>NOTTINGHAMSHIRE!K9</f>
        <v>76353</v>
      </c>
      <c r="J115" s="177">
        <f>NOTTINGHAMSHIRE!L9</f>
        <v>76181</v>
      </c>
      <c r="K115" s="178"/>
      <c r="L115" s="179">
        <f t="shared" si="76"/>
        <v>1.0568271611441817</v>
      </c>
      <c r="M115" s="179">
        <f t="shared" si="77"/>
        <v>1.041857491421041</v>
      </c>
      <c r="N115" s="179">
        <f t="shared" si="78"/>
        <v>1.0345999662692493</v>
      </c>
      <c r="O115" s="179">
        <f t="shared" si="79"/>
        <v>1.0286473791519344</v>
      </c>
      <c r="P115" s="179">
        <f t="shared" si="80"/>
        <v>0.97767521456167195</v>
      </c>
      <c r="Q115" s="179">
        <f t="shared" si="81"/>
        <v>1.0164700292976483</v>
      </c>
      <c r="R115" s="179">
        <f t="shared" si="81"/>
        <v>0.99059770760609345</v>
      </c>
      <c r="S115" s="179">
        <f t="shared" si="81"/>
        <v>0.99788276808468923</v>
      </c>
      <c r="T115" s="179">
        <f t="shared" si="81"/>
        <v>0.98740165644887434</v>
      </c>
    </row>
    <row r="116" spans="1:20">
      <c r="A116" s="175" t="s">
        <v>5577</v>
      </c>
      <c r="B116" s="177">
        <f>NOTTINGHAMSHIRE!D10</f>
        <v>84062</v>
      </c>
      <c r="C116" s="177">
        <f>NOTTINGHAMSHIRE!E10</f>
        <v>84788</v>
      </c>
      <c r="D116" s="177">
        <f>NOTTINGHAMSHIRE!F10</f>
        <v>85099</v>
      </c>
      <c r="E116" s="177">
        <f>NOTTINGHAMSHIRE!G10</f>
        <v>84985</v>
      </c>
      <c r="F116" s="177">
        <f>NOTTINGHAMSHIRE!H10</f>
        <v>85748</v>
      </c>
      <c r="G116" s="177">
        <f>NOTTINGHAMSHIRE!I10</f>
        <v>83432</v>
      </c>
      <c r="H116" s="177">
        <f>NOTTINGHAMSHIRE!J10</f>
        <v>82713</v>
      </c>
      <c r="I116" s="177">
        <f>NOTTINGHAMSHIRE!K10</f>
        <v>85751</v>
      </c>
      <c r="J116" s="177">
        <f>NOTTINGHAMSHIRE!L10</f>
        <v>87110</v>
      </c>
      <c r="K116" s="178"/>
      <c r="L116" s="179">
        <f t="shared" si="76"/>
        <v>1.10706948322183</v>
      </c>
      <c r="M116" s="179">
        <f t="shared" si="77"/>
        <v>1.1063008050521261</v>
      </c>
      <c r="N116" s="179">
        <f t="shared" si="78"/>
        <v>1.1040204460243122</v>
      </c>
      <c r="O116" s="179">
        <f t="shared" si="79"/>
        <v>1.0966655483005137</v>
      </c>
      <c r="P116" s="179">
        <f t="shared" si="80"/>
        <v>1.1116757849975367</v>
      </c>
      <c r="Q116" s="179">
        <f t="shared" si="81"/>
        <v>1.1010636893921397</v>
      </c>
      <c r="R116" s="179">
        <f t="shared" si="81"/>
        <v>1.1062472415038318</v>
      </c>
      <c r="S116" s="179">
        <f t="shared" si="81"/>
        <v>1.1207083578383323</v>
      </c>
      <c r="T116" s="179">
        <f t="shared" si="81"/>
        <v>1.1290552538462535</v>
      </c>
    </row>
    <row r="117" spans="1:20">
      <c r="A117" s="175" t="s">
        <v>5578</v>
      </c>
      <c r="B117" s="177">
        <f>NOTTINGHAMSHIRE!D11</f>
        <v>84531</v>
      </c>
      <c r="C117" s="177">
        <f>NOTTINGHAMSHIRE!E11</f>
        <v>85408</v>
      </c>
      <c r="D117" s="177">
        <f>NOTTINGHAMSHIRE!F11</f>
        <v>85920</v>
      </c>
      <c r="E117" s="177">
        <f>NOTTINGHAMSHIRE!G11</f>
        <v>86681</v>
      </c>
      <c r="F117" s="177">
        <f>NOTTINGHAMSHIRE!H11</f>
        <v>86640</v>
      </c>
      <c r="G117" s="177">
        <f>NOTTINGHAMSHIRE!I11</f>
        <v>84302</v>
      </c>
      <c r="H117" s="177">
        <f>NOTTINGHAMSHIRE!J11</f>
        <v>84249</v>
      </c>
      <c r="I117" s="177">
        <f>NOTTINGHAMSHIRE!K11</f>
        <v>85792</v>
      </c>
      <c r="J117" s="177">
        <f>NOTTINGHAMSHIRE!L11</f>
        <v>86523</v>
      </c>
      <c r="K117" s="178"/>
      <c r="L117" s="179">
        <f t="shared" si="76"/>
        <v>1.1132460622662381</v>
      </c>
      <c r="M117" s="179">
        <f t="shared" si="77"/>
        <v>1.1143904698529508</v>
      </c>
      <c r="N117" s="179">
        <f t="shared" si="78"/>
        <v>1.1146715792478044</v>
      </c>
      <c r="O117" s="179">
        <f t="shared" si="79"/>
        <v>1.118551113634604</v>
      </c>
      <c r="P117" s="179">
        <f t="shared" si="80"/>
        <v>1.1232400757123966</v>
      </c>
      <c r="Q117" s="179">
        <f t="shared" si="81"/>
        <v>1.1125452002005964</v>
      </c>
      <c r="R117" s="179">
        <f t="shared" si="81"/>
        <v>1.1267905147855395</v>
      </c>
      <c r="S117" s="179">
        <f t="shared" si="81"/>
        <v>1.1212442004835652</v>
      </c>
      <c r="T117" s="179">
        <f t="shared" si="81"/>
        <v>1.1214469949321477</v>
      </c>
    </row>
    <row r="118" spans="1:20">
      <c r="A118" s="175" t="s">
        <v>5579</v>
      </c>
      <c r="B118" s="180">
        <f t="shared" ref="B118:G118" si="82">SUM(B111:B117)</f>
        <v>593204</v>
      </c>
      <c r="C118" s="180">
        <f t="shared" si="82"/>
        <v>595999</v>
      </c>
      <c r="D118" s="180">
        <f t="shared" si="82"/>
        <v>597395</v>
      </c>
      <c r="E118" s="180">
        <f t="shared" si="82"/>
        <v>599890</v>
      </c>
      <c r="F118" s="180">
        <f t="shared" si="82"/>
        <v>584697</v>
      </c>
      <c r="G118" s="180">
        <f t="shared" si="82"/>
        <v>583498</v>
      </c>
      <c r="H118" s="180">
        <f t="shared" ref="H118" si="83">SUM(H111:H117)</f>
        <v>581650</v>
      </c>
      <c r="I118" s="180">
        <f t="shared" ref="I118:J118" si="84">SUM(I111:I117)</f>
        <v>594952</v>
      </c>
      <c r="J118" s="180">
        <f t="shared" si="84"/>
        <v>597320</v>
      </c>
      <c r="K118" s="173"/>
      <c r="L118" s="179">
        <f t="shared" si="76"/>
        <v>7.812305747247537</v>
      </c>
      <c r="M118" s="179">
        <f t="shared" si="77"/>
        <v>7.7765034381075404</v>
      </c>
      <c r="N118" s="179">
        <f t="shared" si="78"/>
        <v>7.7502237905579845</v>
      </c>
      <c r="O118" s="179">
        <f t="shared" si="79"/>
        <v>7.741115441195447</v>
      </c>
      <c r="P118" s="179">
        <f t="shared" si="80"/>
        <v>7.580275883527368</v>
      </c>
      <c r="Q118" s="179">
        <f t="shared" si="81"/>
        <v>7.7005041307044637</v>
      </c>
      <c r="R118" s="179">
        <f t="shared" si="81"/>
        <v>7.7792935574904041</v>
      </c>
      <c r="S118" s="179">
        <f t="shared" si="81"/>
        <v>7.7756256943083057</v>
      </c>
      <c r="T118" s="179">
        <f t="shared" si="81"/>
        <v>7.7420191048954674</v>
      </c>
    </row>
    <row r="119" spans="1:20">
      <c r="A119" s="175" t="s">
        <v>5611</v>
      </c>
      <c r="B119" s="177">
        <f>NOTTINGHAM!D3</f>
        <v>186724</v>
      </c>
      <c r="C119" s="177">
        <f>NOTTINGHAM!E3</f>
        <v>193221</v>
      </c>
      <c r="D119" s="177">
        <f>NOTTINGHAM!F3</f>
        <v>199120</v>
      </c>
      <c r="E119" s="177">
        <f>NOTTINGHAM!G3</f>
        <v>198122</v>
      </c>
      <c r="F119" s="177">
        <f>NOTTINGHAM!H3</f>
        <v>194342</v>
      </c>
      <c r="G119" s="177">
        <f>NOTTINGHAM!I3</f>
        <v>181224</v>
      </c>
      <c r="H119" s="177">
        <f>NOTTINGHAM!J3</f>
        <v>187371</v>
      </c>
      <c r="I119" s="177">
        <f>NOTTINGHAM!K3</f>
        <v>192286</v>
      </c>
      <c r="J119" s="177">
        <f>NOTTINGHAM!L3</f>
        <v>206424</v>
      </c>
      <c r="K119" s="178"/>
      <c r="L119" s="179">
        <f t="shared" si="76"/>
        <v>2.4590949797186958</v>
      </c>
      <c r="M119" s="179">
        <f t="shared" si="77"/>
        <v>2.5211179394840881</v>
      </c>
      <c r="N119" s="179">
        <f t="shared" si="78"/>
        <v>2.5832565742530584</v>
      </c>
      <c r="O119" s="179">
        <f t="shared" si="79"/>
        <v>2.5566108343871785</v>
      </c>
      <c r="P119" s="179">
        <f t="shared" si="80"/>
        <v>2.5195374283714056</v>
      </c>
      <c r="Q119" s="179">
        <f t="shared" si="81"/>
        <v>2.3916382928181172</v>
      </c>
      <c r="R119" s="179">
        <f t="shared" si="81"/>
        <v>2.5059984753039362</v>
      </c>
      <c r="S119" s="179">
        <f t="shared" si="81"/>
        <v>2.5130497288113443</v>
      </c>
      <c r="T119" s="179">
        <f t="shared" si="81"/>
        <v>2.675514886005729</v>
      </c>
    </row>
    <row r="120" spans="1:20">
      <c r="A120" s="181" t="s">
        <v>13787</v>
      </c>
      <c r="B120" s="180">
        <f>B118+B119</f>
        <v>779928</v>
      </c>
      <c r="C120" s="180">
        <f t="shared" ref="C120:G120" si="85">C118+C119</f>
        <v>789220</v>
      </c>
      <c r="D120" s="180">
        <f t="shared" si="85"/>
        <v>796515</v>
      </c>
      <c r="E120" s="180">
        <f t="shared" si="85"/>
        <v>798012</v>
      </c>
      <c r="F120" s="180">
        <f t="shared" si="85"/>
        <v>779039</v>
      </c>
      <c r="G120" s="180">
        <f t="shared" si="85"/>
        <v>764722</v>
      </c>
      <c r="H120" s="180">
        <f t="shared" ref="H120" si="86">H118+H119</f>
        <v>769021</v>
      </c>
      <c r="I120" s="180">
        <f t="shared" ref="I120:J120" si="87">I118+I119</f>
        <v>787238</v>
      </c>
      <c r="J120" s="180">
        <f t="shared" si="87"/>
        <v>803744</v>
      </c>
      <c r="K120" s="173"/>
      <c r="L120" s="179">
        <f t="shared" si="76"/>
        <v>10.271400726966233</v>
      </c>
      <c r="M120" s="179">
        <f t="shared" si="77"/>
        <v>10.297621377591629</v>
      </c>
      <c r="N120" s="179">
        <f t="shared" si="78"/>
        <v>10.333480364811043</v>
      </c>
      <c r="O120" s="179">
        <f t="shared" si="79"/>
        <v>10.297726275582626</v>
      </c>
      <c r="P120" s="179">
        <f t="shared" si="80"/>
        <v>10.099813311898773</v>
      </c>
      <c r="Q120" s="179">
        <f t="shared" si="81"/>
        <v>10.09214242352258</v>
      </c>
      <c r="R120" s="179">
        <f t="shared" si="81"/>
        <v>10.28529203279434</v>
      </c>
      <c r="S120" s="179">
        <f t="shared" si="81"/>
        <v>10.288675423119649</v>
      </c>
      <c r="T120" s="179">
        <f t="shared" si="81"/>
        <v>10.417533990901196</v>
      </c>
    </row>
    <row r="121" spans="1:20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</row>
    <row r="122" spans="1:20">
      <c r="A122" s="185" t="s">
        <v>6943</v>
      </c>
      <c r="B122" s="186">
        <f>B79+B91+B100+B109+B120</f>
        <v>3333600</v>
      </c>
      <c r="C122" s="186">
        <f>C79+C91+C100+C109+C120</f>
        <v>3361089</v>
      </c>
      <c r="D122" s="186">
        <f t="shared" ref="D122:H122" si="88">D79+D91+D100+D109+D120</f>
        <v>3381552</v>
      </c>
      <c r="E122" s="186">
        <f t="shared" si="88"/>
        <v>3391322</v>
      </c>
      <c r="F122" s="186">
        <f t="shared" si="88"/>
        <v>3356154</v>
      </c>
      <c r="G122" s="186">
        <f t="shared" si="88"/>
        <v>3278391</v>
      </c>
      <c r="H122" s="186">
        <f t="shared" si="88"/>
        <v>3275046</v>
      </c>
      <c r="I122" s="186">
        <f t="shared" ref="I122:J122" si="89">I79+I91+I100+I109+I120</f>
        <v>3361645</v>
      </c>
      <c r="J122" s="186">
        <f t="shared" si="89"/>
        <v>3391104</v>
      </c>
      <c r="K122" s="185"/>
      <c r="L122" s="187">
        <f t="shared" ref="L122:T122" si="90">B122/B$470</f>
        <v>43.902439024390247</v>
      </c>
      <c r="M122" s="187">
        <f t="shared" si="90"/>
        <v>43.854973186675537</v>
      </c>
      <c r="N122" s="187">
        <f t="shared" si="90"/>
        <v>43.870110662809253</v>
      </c>
      <c r="O122" s="187">
        <f t="shared" si="90"/>
        <v>43.762381603737062</v>
      </c>
      <c r="P122" s="187">
        <f t="shared" si="90"/>
        <v>43.510695672466099</v>
      </c>
      <c r="Q122" s="187">
        <f t="shared" si="90"/>
        <v>43.265381265341674</v>
      </c>
      <c r="R122" s="187">
        <f t="shared" si="90"/>
        <v>43.802190747502308</v>
      </c>
      <c r="S122" s="187">
        <f t="shared" si="90"/>
        <v>43.934457295955042</v>
      </c>
      <c r="T122" s="187">
        <f t="shared" si="90"/>
        <v>43.952976553082834</v>
      </c>
    </row>
    <row r="123" spans="1:20">
      <c r="A123" s="173"/>
      <c r="B123" s="180"/>
      <c r="C123" s="180"/>
      <c r="D123" s="180"/>
      <c r="E123" s="180"/>
      <c r="F123" s="180"/>
      <c r="G123" s="180"/>
      <c r="H123" s="180"/>
      <c r="I123" s="180"/>
      <c r="J123" s="180"/>
      <c r="K123" s="173"/>
      <c r="L123" s="179"/>
      <c r="M123" s="179"/>
      <c r="N123" s="179"/>
      <c r="O123" s="179"/>
      <c r="P123" s="179"/>
      <c r="Q123" s="179"/>
      <c r="R123" s="179"/>
      <c r="S123" s="179"/>
      <c r="T123" s="179"/>
    </row>
    <row r="124" spans="1:20">
      <c r="A124" s="175" t="s">
        <v>5034</v>
      </c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</row>
    <row r="125" spans="1:20">
      <c r="A125" s="175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</row>
    <row r="126" spans="1:20">
      <c r="A126" s="175" t="s">
        <v>8784</v>
      </c>
      <c r="B126" s="177">
        <f>BARKING!D3</f>
        <v>114061</v>
      </c>
      <c r="C126" s="177">
        <f>BARKING!E3</f>
        <v>115215</v>
      </c>
      <c r="D126" s="177">
        <f>BARKING!F3</f>
        <v>116319</v>
      </c>
      <c r="E126" s="177">
        <f>BARKING!G3</f>
        <v>116582</v>
      </c>
      <c r="F126" s="177">
        <f>BARKING!H3</f>
        <v>116700</v>
      </c>
      <c r="G126" s="177">
        <f>BARKING!I3</f>
        <v>111352</v>
      </c>
      <c r="H126" s="177">
        <f>BARKING!J3</f>
        <v>111486</v>
      </c>
      <c r="I126" s="177">
        <f>BARKING!K3</f>
        <v>114577</v>
      </c>
      <c r="J126" s="177">
        <f>BARKING!L3</f>
        <v>115885</v>
      </c>
      <c r="K126" s="178"/>
      <c r="L126" s="179">
        <f t="shared" ref="L126:L158" si="91">B126/B$470</f>
        <v>1.5021466575356899</v>
      </c>
      <c r="M126" s="179">
        <f t="shared" ref="M126:M158" si="92">C126/C$470</f>
        <v>1.5033076290758209</v>
      </c>
      <c r="N126" s="179">
        <f t="shared" ref="N126:N158" si="93">D126/D$470</f>
        <v>1.5090489225619803</v>
      </c>
      <c r="O126" s="179">
        <f t="shared" ref="O126:O158" si="94">E126/E$470</f>
        <v>1.5044003406715358</v>
      </c>
      <c r="P126" s="179">
        <f t="shared" ref="P126:P158" si="95">F126/F$470</f>
        <v>1.512951487022584</v>
      </c>
      <c r="Q126" s="179">
        <f t="shared" ref="Q126:T158" si="96">G126/G$470</f>
        <v>1.4695278063715786</v>
      </c>
      <c r="R126" s="179">
        <f t="shared" si="96"/>
        <v>1.4910725033101955</v>
      </c>
      <c r="S126" s="179">
        <f t="shared" si="96"/>
        <v>1.4974449454355354</v>
      </c>
      <c r="T126" s="179">
        <f t="shared" si="96"/>
        <v>1.5020154757430042</v>
      </c>
    </row>
    <row r="127" spans="1:20">
      <c r="A127" s="175" t="s">
        <v>8785</v>
      </c>
      <c r="B127" s="177">
        <f>BARNET!D3</f>
        <v>215959</v>
      </c>
      <c r="C127" s="177">
        <f>BARNET!E3</f>
        <v>222379</v>
      </c>
      <c r="D127" s="177">
        <f>BARNET!F3</f>
        <v>222133</v>
      </c>
      <c r="E127" s="177">
        <f>BARNET!G3</f>
        <v>222777</v>
      </c>
      <c r="F127" s="177">
        <f>BARNET!H3</f>
        <v>211579</v>
      </c>
      <c r="G127" s="177">
        <f>BARNET!I3</f>
        <v>215372</v>
      </c>
      <c r="H127" s="177">
        <f>BARNET!J3</f>
        <v>208613</v>
      </c>
      <c r="I127" s="177">
        <f>BARNET!K3</f>
        <v>216673</v>
      </c>
      <c r="J127" s="177">
        <f>BARNET!L3</f>
        <v>231435</v>
      </c>
      <c r="K127" s="178"/>
      <c r="L127" s="179">
        <f t="shared" si="91"/>
        <v>2.8441105199388925</v>
      </c>
      <c r="M127" s="179">
        <f t="shared" si="92"/>
        <v>2.9015670463589984</v>
      </c>
      <c r="N127" s="179">
        <f t="shared" si="93"/>
        <v>2.8818126386528458</v>
      </c>
      <c r="O127" s="179">
        <f t="shared" si="94"/>
        <v>2.8747644978966114</v>
      </c>
      <c r="P127" s="179">
        <f t="shared" si="95"/>
        <v>2.7430056784297459</v>
      </c>
      <c r="Q127" s="179">
        <f t="shared" si="96"/>
        <v>2.8422941906194739</v>
      </c>
      <c r="R127" s="179">
        <f t="shared" si="96"/>
        <v>2.7901001752063022</v>
      </c>
      <c r="S127" s="179">
        <f t="shared" si="96"/>
        <v>2.8317715480624712</v>
      </c>
      <c r="T127" s="179">
        <f t="shared" si="96"/>
        <v>2.9996889297888609</v>
      </c>
    </row>
    <row r="128" spans="1:20">
      <c r="A128" s="175" t="s">
        <v>8786</v>
      </c>
      <c r="B128" s="177">
        <f>BEXLEY!D3</f>
        <v>170905</v>
      </c>
      <c r="C128" s="177">
        <f>BEXLEY!E3</f>
        <v>169394</v>
      </c>
      <c r="D128" s="177">
        <f>BEXLEY!F3</f>
        <v>172498</v>
      </c>
      <c r="E128" s="177">
        <f>BEXLEY!G3</f>
        <v>173162</v>
      </c>
      <c r="F128" s="177">
        <f>BEXLEY!H3</f>
        <v>174087</v>
      </c>
      <c r="G128" s="177">
        <f>BEXLEY!I3</f>
        <v>171079</v>
      </c>
      <c r="H128" s="177">
        <f>BEXLEY!J3</f>
        <v>165238</v>
      </c>
      <c r="I128" s="177">
        <f>BEXLEY!K3</f>
        <v>168638</v>
      </c>
      <c r="J128" s="177">
        <f>BEXLEY!L3</f>
        <v>169261</v>
      </c>
      <c r="K128" s="178"/>
      <c r="L128" s="179">
        <f t="shared" si="91"/>
        <v>2.2507638413317177</v>
      </c>
      <c r="M128" s="179">
        <f t="shared" si="92"/>
        <v>2.2102269020498166</v>
      </c>
      <c r="N128" s="179">
        <f t="shared" si="93"/>
        <v>2.2378796331132187</v>
      </c>
      <c r="O128" s="179">
        <f t="shared" si="94"/>
        <v>2.2345213823005654</v>
      </c>
      <c r="P128" s="179">
        <f t="shared" si="95"/>
        <v>2.256942463764358</v>
      </c>
      <c r="Q128" s="179">
        <f t="shared" si="96"/>
        <v>2.2577533190804235</v>
      </c>
      <c r="R128" s="179">
        <f t="shared" si="96"/>
        <v>2.2099800719549547</v>
      </c>
      <c r="S128" s="179">
        <f t="shared" si="96"/>
        <v>2.203986146507221</v>
      </c>
      <c r="T128" s="179">
        <f t="shared" si="96"/>
        <v>2.1938356253159306</v>
      </c>
    </row>
    <row r="129" spans="1:20">
      <c r="A129" s="175" t="s">
        <v>8787</v>
      </c>
      <c r="B129" s="177">
        <f>BRENT!D3</f>
        <v>180451</v>
      </c>
      <c r="C129" s="177">
        <f>BRENT!E3</f>
        <v>182653</v>
      </c>
      <c r="D129" s="177">
        <f>BRENT!F3</f>
        <v>184863</v>
      </c>
      <c r="E129" s="177">
        <f>BRENT!G3</f>
        <v>187482</v>
      </c>
      <c r="F129" s="177">
        <f>BRENT!H3</f>
        <v>184482</v>
      </c>
      <c r="G129" s="177">
        <f>BRENT!I3</f>
        <v>180491</v>
      </c>
      <c r="H129" s="177">
        <f>BRENT!J3</f>
        <v>182183</v>
      </c>
      <c r="I129" s="177">
        <f>BRENT!K3</f>
        <v>184347</v>
      </c>
      <c r="J129" s="177">
        <f>BRENT!L3</f>
        <v>187052</v>
      </c>
      <c r="K129" s="178"/>
      <c r="L129" s="179">
        <f t="shared" si="91"/>
        <v>2.3764815887899702</v>
      </c>
      <c r="M129" s="179">
        <f t="shared" si="92"/>
        <v>2.3832282981693873</v>
      </c>
      <c r="N129" s="179">
        <f t="shared" si="93"/>
        <v>2.3982952997496141</v>
      </c>
      <c r="O129" s="179">
        <f t="shared" si="94"/>
        <v>2.4193098820553849</v>
      </c>
      <c r="P129" s="179">
        <f t="shared" si="95"/>
        <v>2.3917079368371925</v>
      </c>
      <c r="Q129" s="179">
        <f t="shared" si="96"/>
        <v>2.3819647900335208</v>
      </c>
      <c r="R129" s="179">
        <f t="shared" si="96"/>
        <v>2.4366114298706685</v>
      </c>
      <c r="S129" s="179">
        <f t="shared" si="96"/>
        <v>2.4092922956283083</v>
      </c>
      <c r="T129" s="179">
        <f t="shared" si="96"/>
        <v>2.4244293805814419</v>
      </c>
    </row>
    <row r="130" spans="1:20">
      <c r="A130" s="175" t="s">
        <v>8788</v>
      </c>
      <c r="B130" s="177">
        <f>BROMLEY!D3</f>
        <v>229189</v>
      </c>
      <c r="C130" s="177">
        <f>BROMLEY!E3</f>
        <v>230828</v>
      </c>
      <c r="D130" s="177">
        <f>BROMLEY!F3</f>
        <v>232287</v>
      </c>
      <c r="E130" s="177">
        <f>BROMLEY!G3</f>
        <v>230805</v>
      </c>
      <c r="F130" s="177">
        <f>BROMLEY!H3</f>
        <v>229227</v>
      </c>
      <c r="G130" s="177">
        <f>BROMLEY!I3</f>
        <v>229175</v>
      </c>
      <c r="H130" s="177">
        <f>BROMLEY!J3</f>
        <v>226093</v>
      </c>
      <c r="I130" s="177">
        <f>BROMLEY!K3</f>
        <v>230366</v>
      </c>
      <c r="J130" s="177">
        <f>BROMLEY!L3</f>
        <v>230969</v>
      </c>
      <c r="K130" s="178"/>
      <c r="L130" s="179">
        <f t="shared" si="91"/>
        <v>3.0183453616393616</v>
      </c>
      <c r="M130" s="179">
        <f t="shared" si="92"/>
        <v>3.0118083010399133</v>
      </c>
      <c r="N130" s="179">
        <f t="shared" si="93"/>
        <v>3.0135441937701897</v>
      </c>
      <c r="O130" s="179">
        <f t="shared" si="94"/>
        <v>2.9783596149379306</v>
      </c>
      <c r="P130" s="179">
        <f t="shared" si="95"/>
        <v>2.9718023180439235</v>
      </c>
      <c r="Q130" s="179">
        <f t="shared" si="96"/>
        <v>3.0244542983081266</v>
      </c>
      <c r="R130" s="179">
        <f t="shared" si="96"/>
        <v>3.0238869050007358</v>
      </c>
      <c r="S130" s="179">
        <f t="shared" si="96"/>
        <v>3.0107299222374699</v>
      </c>
      <c r="T130" s="179">
        <f t="shared" si="96"/>
        <v>2.9936489831892472</v>
      </c>
    </row>
    <row r="131" spans="1:20">
      <c r="A131" s="175" t="s">
        <v>8789</v>
      </c>
      <c r="B131" s="177">
        <f>CAMDEN!D3</f>
        <v>135551</v>
      </c>
      <c r="C131" s="177">
        <f>CAMDEN!E3</f>
        <v>137175</v>
      </c>
      <c r="D131" s="177">
        <f>CAMDEN!F3</f>
        <v>135678</v>
      </c>
      <c r="E131" s="177">
        <f>CAMDEN!G3</f>
        <v>136564</v>
      </c>
      <c r="F131" s="177">
        <f>CAMDEN!H3</f>
        <v>135821</v>
      </c>
      <c r="G131" s="177">
        <f>CAMDEN!I3</f>
        <v>128411</v>
      </c>
      <c r="H131" s="177">
        <f>CAMDEN!J3</f>
        <v>129978</v>
      </c>
      <c r="I131" s="177">
        <f>CAMDEN!K3</f>
        <v>138850</v>
      </c>
      <c r="J131" s="177">
        <f>CAMDEN!L3</f>
        <v>137753</v>
      </c>
      <c r="K131" s="178"/>
      <c r="L131" s="179">
        <f t="shared" si="91"/>
        <v>1.7851630406152874</v>
      </c>
      <c r="M131" s="179">
        <f t="shared" si="92"/>
        <v>1.789838337182448</v>
      </c>
      <c r="N131" s="179">
        <f t="shared" si="93"/>
        <v>1.7602003087661031</v>
      </c>
      <c r="O131" s="179">
        <f t="shared" si="94"/>
        <v>1.7622525614886313</v>
      </c>
      <c r="P131" s="179">
        <f t="shared" si="95"/>
        <v>1.7608447636580495</v>
      </c>
      <c r="Q131" s="179">
        <f t="shared" si="96"/>
        <v>1.6946577981893525</v>
      </c>
      <c r="R131" s="179">
        <f t="shared" si="96"/>
        <v>1.738394254303254</v>
      </c>
      <c r="S131" s="179">
        <f t="shared" si="96"/>
        <v>1.8146768607462589</v>
      </c>
      <c r="T131" s="179">
        <f t="shared" si="96"/>
        <v>1.7854522831257371</v>
      </c>
    </row>
    <row r="132" spans="1:20">
      <c r="A132" s="175" t="s">
        <v>8790</v>
      </c>
      <c r="B132" s="177">
        <f>CROYDON!D3</f>
        <v>239547</v>
      </c>
      <c r="C132" s="177">
        <f>CROYDON!E3</f>
        <v>243641</v>
      </c>
      <c r="D132" s="177">
        <f>CROYDON!F3</f>
        <v>246245</v>
      </c>
      <c r="E132" s="177">
        <f>CROYDON!G3</f>
        <v>247402</v>
      </c>
      <c r="F132" s="177">
        <f>CROYDON!H3</f>
        <v>244767</v>
      </c>
      <c r="G132" s="177">
        <f>CROYDON!I3</f>
        <v>239487</v>
      </c>
      <c r="H132" s="177">
        <f>CROYDON!J3</f>
        <v>234188</v>
      </c>
      <c r="I132" s="177">
        <f>CROYDON!K3</f>
        <v>251183</v>
      </c>
      <c r="J132" s="177">
        <f>CROYDON!L3</f>
        <v>246784</v>
      </c>
      <c r="K132" s="178"/>
      <c r="L132" s="179">
        <f t="shared" si="91"/>
        <v>3.1547568877416636</v>
      </c>
      <c r="M132" s="179">
        <f t="shared" si="92"/>
        <v>3.1789903576414713</v>
      </c>
      <c r="N132" s="179">
        <f t="shared" si="93"/>
        <v>3.1946264319352369</v>
      </c>
      <c r="O132" s="179">
        <f t="shared" si="94"/>
        <v>3.1925310346607478</v>
      </c>
      <c r="P132" s="179">
        <f t="shared" si="95"/>
        <v>3.1732698939507871</v>
      </c>
      <c r="Q132" s="179">
        <f t="shared" si="96"/>
        <v>3.1605431942354896</v>
      </c>
      <c r="R132" s="179">
        <f t="shared" si="96"/>
        <v>3.1321537000628603</v>
      </c>
      <c r="S132" s="179">
        <f t="shared" si="96"/>
        <v>3.2827942233548977</v>
      </c>
      <c r="T132" s="179">
        <f t="shared" si="96"/>
        <v>3.1986312910709889</v>
      </c>
    </row>
    <row r="133" spans="1:20">
      <c r="A133" s="175" t="s">
        <v>8791</v>
      </c>
      <c r="B133" s="177">
        <f>EALING!D3</f>
        <v>206278</v>
      </c>
      <c r="C133" s="177">
        <f>EALING!E3</f>
        <v>208701</v>
      </c>
      <c r="D133" s="177">
        <f>EALING!F3</f>
        <v>209830</v>
      </c>
      <c r="E133" s="177">
        <f>EALING!G3</f>
        <v>208413</v>
      </c>
      <c r="F133" s="177">
        <f>EALING!H3</f>
        <v>210210</v>
      </c>
      <c r="G133" s="177">
        <f>EALING!I3</f>
        <v>205177</v>
      </c>
      <c r="H133" s="177">
        <f>EALING!J3</f>
        <v>208976</v>
      </c>
      <c r="I133" s="177">
        <f>EALING!K3</f>
        <v>206836</v>
      </c>
      <c r="J133" s="177">
        <f>EALING!L3</f>
        <v>202130</v>
      </c>
      <c r="K133" s="178"/>
      <c r="L133" s="179">
        <f t="shared" si="91"/>
        <v>2.7166148659326765</v>
      </c>
      <c r="M133" s="179">
        <f t="shared" si="92"/>
        <v>2.7230986025756447</v>
      </c>
      <c r="N133" s="179">
        <f t="shared" si="93"/>
        <v>2.7222013206886264</v>
      </c>
      <c r="O133" s="179">
        <f t="shared" si="94"/>
        <v>2.6894082122486904</v>
      </c>
      <c r="P133" s="179">
        <f t="shared" si="95"/>
        <v>2.72525734436176</v>
      </c>
      <c r="Q133" s="179">
        <f t="shared" si="96"/>
        <v>2.7077493599387652</v>
      </c>
      <c r="R133" s="179">
        <f t="shared" si="96"/>
        <v>2.7949551284623309</v>
      </c>
      <c r="S133" s="179">
        <f t="shared" si="96"/>
        <v>2.7032085212049926</v>
      </c>
      <c r="T133" s="179">
        <f t="shared" si="96"/>
        <v>2.6198592407294599</v>
      </c>
    </row>
    <row r="134" spans="1:20">
      <c r="A134" s="175" t="s">
        <v>8792</v>
      </c>
      <c r="B134" s="177">
        <f>ENFIELD!D3</f>
        <v>193985</v>
      </c>
      <c r="C134" s="177">
        <f>ENFIELD!E3</f>
        <v>196049</v>
      </c>
      <c r="D134" s="177">
        <f>ENFIELD!F3</f>
        <v>198089</v>
      </c>
      <c r="E134" s="177">
        <f>ENFIELD!G3</f>
        <v>200557</v>
      </c>
      <c r="F134" s="177">
        <f>ENFIELD!H3</f>
        <v>194246</v>
      </c>
      <c r="G134" s="177">
        <f>ENFIELD!I3</f>
        <v>196586</v>
      </c>
      <c r="H134" s="177">
        <f>ENFIELD!J3</f>
        <v>192256</v>
      </c>
      <c r="I134" s="177">
        <f>ENFIELD!K3</f>
        <v>195234</v>
      </c>
      <c r="J134" s="177">
        <f>ENFIELD!L3</f>
        <v>196606</v>
      </c>
      <c r="K134" s="178"/>
      <c r="L134" s="179">
        <f t="shared" si="91"/>
        <v>2.5547200126428908</v>
      </c>
      <c r="M134" s="179">
        <f t="shared" si="92"/>
        <v>2.5580172492530107</v>
      </c>
      <c r="N134" s="179">
        <f t="shared" si="93"/>
        <v>2.5698810342367122</v>
      </c>
      <c r="O134" s="179">
        <f t="shared" si="94"/>
        <v>2.5880326218804037</v>
      </c>
      <c r="P134" s="179">
        <f t="shared" si="95"/>
        <v>2.5182928410298961</v>
      </c>
      <c r="Q134" s="179">
        <f t="shared" si="96"/>
        <v>2.5943727399899701</v>
      </c>
      <c r="R134" s="179">
        <f t="shared" si="96"/>
        <v>2.5713330390937421</v>
      </c>
      <c r="S134" s="179">
        <f t="shared" si="96"/>
        <v>2.5515781219368749</v>
      </c>
      <c r="T134" s="179">
        <f t="shared" si="96"/>
        <v>2.5482612471323214</v>
      </c>
    </row>
    <row r="135" spans="1:20">
      <c r="A135" s="175" t="s">
        <v>8793</v>
      </c>
      <c r="B135" s="177">
        <f>GREENWICH!D3</f>
        <v>153230</v>
      </c>
      <c r="C135" s="177">
        <f>GREENWICH!E3</f>
        <v>159670</v>
      </c>
      <c r="D135" s="177">
        <f>GREENWICH!F3</f>
        <v>158771</v>
      </c>
      <c r="E135" s="177">
        <f>GREENWICH!G3</f>
        <v>159869</v>
      </c>
      <c r="F135" s="177">
        <f>GREENWICH!H3</f>
        <v>159889</v>
      </c>
      <c r="G135" s="177">
        <f>GREENWICH!I3</f>
        <v>161168</v>
      </c>
      <c r="H135" s="177">
        <f>GREENWICH!J3</f>
        <v>160503</v>
      </c>
      <c r="I135" s="177">
        <f>GREENWICH!K3</f>
        <v>164342</v>
      </c>
      <c r="J135" s="177">
        <f>GREENWICH!L3</f>
        <v>165690</v>
      </c>
      <c r="K135" s="178"/>
      <c r="L135" s="179">
        <f t="shared" si="91"/>
        <v>2.0179897803297688</v>
      </c>
      <c r="M135" s="179">
        <f t="shared" si="92"/>
        <v>2.0833496431413994</v>
      </c>
      <c r="N135" s="179">
        <f t="shared" si="93"/>
        <v>2.0597942424203111</v>
      </c>
      <c r="O135" s="179">
        <f t="shared" si="94"/>
        <v>2.0629855214597259</v>
      </c>
      <c r="P135" s="179">
        <f t="shared" si="95"/>
        <v>2.0728731817356807</v>
      </c>
      <c r="Q135" s="179">
        <f t="shared" si="96"/>
        <v>2.1269564758360389</v>
      </c>
      <c r="R135" s="179">
        <f t="shared" si="96"/>
        <v>2.1466516871965653</v>
      </c>
      <c r="S135" s="179">
        <f t="shared" si="96"/>
        <v>2.1478402927530551</v>
      </c>
      <c r="T135" s="179">
        <f t="shared" si="96"/>
        <v>2.1475509701502209</v>
      </c>
    </row>
    <row r="136" spans="1:20">
      <c r="A136" s="175" t="s">
        <v>8794</v>
      </c>
      <c r="B136" s="177">
        <f>HACKNEY!D3</f>
        <v>143600</v>
      </c>
      <c r="C136" s="177">
        <f>HACKNEY!E3</f>
        <v>148558</v>
      </c>
      <c r="D136" s="177">
        <f>HACKNEY!F3</f>
        <v>150032</v>
      </c>
      <c r="E136" s="177">
        <f>HACKNEY!G3</f>
        <v>153853</v>
      </c>
      <c r="F136" s="177">
        <f>HACKNEY!H3</f>
        <v>155431</v>
      </c>
      <c r="G136" s="177">
        <f>HACKNEY!I3</f>
        <v>156155</v>
      </c>
      <c r="H136" s="177">
        <f>HACKNEY!J3</f>
        <v>148344</v>
      </c>
      <c r="I136" s="177">
        <f>HACKNEY!K3</f>
        <v>153283</v>
      </c>
      <c r="J136" s="177">
        <f>HACKNEY!L3</f>
        <v>158451</v>
      </c>
      <c r="K136" s="178"/>
      <c r="L136" s="179">
        <f t="shared" si="91"/>
        <v>1.891165779908339</v>
      </c>
      <c r="M136" s="179">
        <f t="shared" si="92"/>
        <v>1.9383619733562976</v>
      </c>
      <c r="N136" s="179">
        <f t="shared" si="93"/>
        <v>1.9464199997405327</v>
      </c>
      <c r="O136" s="179">
        <f t="shared" si="94"/>
        <v>1.9853537048029526</v>
      </c>
      <c r="P136" s="179">
        <f t="shared" si="95"/>
        <v>2.0150776570643294</v>
      </c>
      <c r="Q136" s="179">
        <f t="shared" si="96"/>
        <v>2.0607992187293793</v>
      </c>
      <c r="R136" s="179">
        <f t="shared" si="96"/>
        <v>1.9840308149099226</v>
      </c>
      <c r="S136" s="179">
        <f t="shared" si="96"/>
        <v>2.0033065412010718</v>
      </c>
      <c r="T136" s="179">
        <f t="shared" si="96"/>
        <v>2.0537244177154483</v>
      </c>
    </row>
    <row r="137" spans="1:20">
      <c r="A137" s="175" t="s">
        <v>8795</v>
      </c>
      <c r="B137" s="177">
        <f>HAMMERSMITH!D3</f>
        <v>109316</v>
      </c>
      <c r="C137" s="177">
        <f>HAMMERSMITH!E3</f>
        <v>109338</v>
      </c>
      <c r="D137" s="177">
        <f>HAMMERSMITH!F3</f>
        <v>110271</v>
      </c>
      <c r="E137" s="177">
        <f>HAMMERSMITH!G3</f>
        <v>110308</v>
      </c>
      <c r="F137" s="177">
        <f>HAMMERSMITH!H3</f>
        <v>110756</v>
      </c>
      <c r="G137" s="177">
        <f>HAMMERSMITH!I3</f>
        <v>108186</v>
      </c>
      <c r="H137" s="177">
        <f>HAMMERSMITH!J3</f>
        <v>105431</v>
      </c>
      <c r="I137" s="177">
        <f>HAMMERSMITH!K3</f>
        <v>109806</v>
      </c>
      <c r="J137" s="177">
        <f>HAMMERSMITH!L3</f>
        <v>109945</v>
      </c>
      <c r="K137" s="178"/>
      <c r="L137" s="179">
        <f t="shared" si="91"/>
        <v>1.4396565347942896</v>
      </c>
      <c r="M137" s="179">
        <f t="shared" si="92"/>
        <v>1.4266254354718753</v>
      </c>
      <c r="N137" s="179">
        <f t="shared" si="93"/>
        <v>1.4305860069277774</v>
      </c>
      <c r="O137" s="179">
        <f t="shared" si="94"/>
        <v>1.4234392340052133</v>
      </c>
      <c r="P137" s="179">
        <f t="shared" si="95"/>
        <v>1.4358907874607825</v>
      </c>
      <c r="Q137" s="179">
        <f t="shared" si="96"/>
        <v>1.4277456647398843</v>
      </c>
      <c r="R137" s="179">
        <f t="shared" si="96"/>
        <v>1.4100897430753387</v>
      </c>
      <c r="S137" s="179">
        <f t="shared" si="96"/>
        <v>1.4350911585963537</v>
      </c>
      <c r="T137" s="179">
        <f t="shared" si="96"/>
        <v>1.4250255984861249</v>
      </c>
    </row>
    <row r="138" spans="1:20">
      <c r="A138" s="175" t="s">
        <v>8796</v>
      </c>
      <c r="B138" s="177">
        <f>HARINGEY!D3</f>
        <v>146843</v>
      </c>
      <c r="C138" s="177">
        <f>HARINGEY!E3</f>
        <v>150040</v>
      </c>
      <c r="D138" s="177">
        <f>HARINGEY!F3</f>
        <v>150014</v>
      </c>
      <c r="E138" s="177">
        <f>HARINGEY!G3</f>
        <v>150069</v>
      </c>
      <c r="F138" s="177">
        <f>HARINGEY!H3</f>
        <v>150479</v>
      </c>
      <c r="G138" s="177">
        <f>HARINGEY!I3</f>
        <v>138463</v>
      </c>
      <c r="H138" s="177">
        <f>HARINGEY!J3</f>
        <v>141270</v>
      </c>
      <c r="I138" s="177">
        <f>HARINGEY!K3</f>
        <v>148294</v>
      </c>
      <c r="J138" s="177">
        <f>HARINGEY!L3</f>
        <v>151424</v>
      </c>
      <c r="K138" s="178"/>
      <c r="L138" s="179">
        <f t="shared" si="91"/>
        <v>1.9338750460938734</v>
      </c>
      <c r="M138" s="179">
        <f t="shared" si="92"/>
        <v>1.9576988817995591</v>
      </c>
      <c r="N138" s="179">
        <f t="shared" si="93"/>
        <v>1.9461864791582881</v>
      </c>
      <c r="O138" s="179">
        <f t="shared" si="94"/>
        <v>1.936524117996232</v>
      </c>
      <c r="P138" s="179">
        <f t="shared" si="95"/>
        <v>1.9508776933647938</v>
      </c>
      <c r="Q138" s="179">
        <f t="shared" si="96"/>
        <v>1.8273154380130388</v>
      </c>
      <c r="R138" s="179">
        <f t="shared" si="96"/>
        <v>1.8894194117883081</v>
      </c>
      <c r="S138" s="179">
        <f t="shared" si="96"/>
        <v>1.9381036398091878</v>
      </c>
      <c r="T138" s="179">
        <f t="shared" si="96"/>
        <v>1.9626456521457365</v>
      </c>
    </row>
    <row r="139" spans="1:20">
      <c r="A139" s="175" t="s">
        <v>8797</v>
      </c>
      <c r="B139" s="177">
        <f>HARROW!D3</f>
        <v>163210</v>
      </c>
      <c r="C139" s="177">
        <f>HARROW!E3</f>
        <v>165363</v>
      </c>
      <c r="D139" s="177">
        <f>HARROW!F3</f>
        <v>165795</v>
      </c>
      <c r="E139" s="177">
        <f>HARROW!G3</f>
        <v>164401</v>
      </c>
      <c r="F139" s="177">
        <f>HARROW!H3</f>
        <v>166809</v>
      </c>
      <c r="G139" s="177">
        <f>HARROW!I3</f>
        <v>160550</v>
      </c>
      <c r="H139" s="177">
        <f>HARROW!J3</f>
        <v>161123</v>
      </c>
      <c r="I139" s="177">
        <f>HARROW!K3</f>
        <v>162777</v>
      </c>
      <c r="J139" s="177">
        <f>HARROW!L3</f>
        <v>165010</v>
      </c>
      <c r="K139" s="178"/>
      <c r="L139" s="179">
        <f t="shared" si="91"/>
        <v>2.1494231680977718</v>
      </c>
      <c r="M139" s="179">
        <f t="shared" si="92"/>
        <v>2.1576310329980037</v>
      </c>
      <c r="N139" s="179">
        <f t="shared" si="93"/>
        <v>2.1509191629584463</v>
      </c>
      <c r="O139" s="179">
        <f t="shared" si="94"/>
        <v>2.1214674684491701</v>
      </c>
      <c r="P139" s="179">
        <f t="shared" si="95"/>
        <v>2.1625871859361632</v>
      </c>
      <c r="Q139" s="179">
        <f t="shared" si="96"/>
        <v>2.1188006440203764</v>
      </c>
      <c r="R139" s="179">
        <f t="shared" si="96"/>
        <v>2.1549438938597545</v>
      </c>
      <c r="S139" s="179">
        <f t="shared" si="96"/>
        <v>2.1273867869045286</v>
      </c>
      <c r="T139" s="179">
        <f t="shared" si="96"/>
        <v>2.138737314167952</v>
      </c>
    </row>
    <row r="140" spans="1:20">
      <c r="A140" s="175" t="s">
        <v>8798</v>
      </c>
      <c r="B140" s="177">
        <f>HAVERING!D3</f>
        <v>179060</v>
      </c>
      <c r="C140" s="177">
        <f>HAVERING!E3</f>
        <v>180545</v>
      </c>
      <c r="D140" s="177">
        <f>HAVERING!F3</f>
        <v>182224</v>
      </c>
      <c r="E140" s="177">
        <f>HAVERING!G3</f>
        <v>182776</v>
      </c>
      <c r="F140" s="177">
        <f>HAVERING!H3</f>
        <v>183017</v>
      </c>
      <c r="G140" s="177">
        <f>HAVERING!I3</f>
        <v>179330</v>
      </c>
      <c r="H140" s="177">
        <f>HAVERING!J3</f>
        <v>177400</v>
      </c>
      <c r="I140" s="177">
        <f>HAVERING!K3</f>
        <v>180826</v>
      </c>
      <c r="J140" s="177">
        <f>HAVERING!L3</f>
        <v>183755</v>
      </c>
      <c r="K140" s="178"/>
      <c r="L140" s="179">
        <f t="shared" si="91"/>
        <v>2.3581625665068744</v>
      </c>
      <c r="M140" s="179">
        <f t="shared" si="92"/>
        <v>2.3557234378465832</v>
      </c>
      <c r="N140" s="179">
        <f t="shared" si="93"/>
        <v>2.3640585877194122</v>
      </c>
      <c r="O140" s="179">
        <f t="shared" si="94"/>
        <v>2.3585825999432215</v>
      </c>
      <c r="P140" s="179">
        <f t="shared" si="95"/>
        <v>2.3727150154276972</v>
      </c>
      <c r="Q140" s="179">
        <f t="shared" si="96"/>
        <v>2.3666429118167183</v>
      </c>
      <c r="R140" s="179">
        <f t="shared" si="96"/>
        <v>2.3726410678222258</v>
      </c>
      <c r="S140" s="179">
        <f t="shared" si="96"/>
        <v>2.3632751748023262</v>
      </c>
      <c r="T140" s="179">
        <f t="shared" si="96"/>
        <v>2.3816961103262351</v>
      </c>
    </row>
    <row r="141" spans="1:20">
      <c r="A141" s="175" t="s">
        <v>8799</v>
      </c>
      <c r="B141" s="177">
        <f>HILLINGDON!D3</f>
        <v>188436</v>
      </c>
      <c r="C141" s="177">
        <f>HILLINGDON!E3</f>
        <v>190558</v>
      </c>
      <c r="D141" s="177">
        <f>HILLINGDON!F3</f>
        <v>192960</v>
      </c>
      <c r="E141" s="177">
        <f>HILLINGDON!G3</f>
        <v>194954</v>
      </c>
      <c r="F141" s="177">
        <f>HILLINGDON!H3</f>
        <v>196374</v>
      </c>
      <c r="G141" s="177">
        <f>HILLINGDON!I3</f>
        <v>194733</v>
      </c>
      <c r="H141" s="177">
        <f>HILLINGDON!J3</f>
        <v>183803</v>
      </c>
      <c r="I141" s="177">
        <f>HILLINGDON!K3</f>
        <v>188611</v>
      </c>
      <c r="J141" s="177">
        <f>HILLINGDON!L3</f>
        <v>187706</v>
      </c>
      <c r="K141" s="178"/>
      <c r="L141" s="179">
        <f t="shared" si="91"/>
        <v>2.4816414686825055</v>
      </c>
      <c r="M141" s="179">
        <f t="shared" si="92"/>
        <v>2.4863715243799009</v>
      </c>
      <c r="N141" s="179">
        <f t="shared" si="93"/>
        <v>2.5033406416626667</v>
      </c>
      <c r="O141" s="179">
        <f t="shared" si="94"/>
        <v>2.5157302500838776</v>
      </c>
      <c r="P141" s="179">
        <f t="shared" si="95"/>
        <v>2.5458811937666916</v>
      </c>
      <c r="Q141" s="179">
        <f t="shared" si="96"/>
        <v>2.5699184416818435</v>
      </c>
      <c r="R141" s="179">
        <f t="shared" si="96"/>
        <v>2.4582781634099695</v>
      </c>
      <c r="S141" s="179">
        <f t="shared" si="96"/>
        <v>2.4650199307325362</v>
      </c>
      <c r="T141" s="179">
        <f t="shared" si="96"/>
        <v>2.4329060438349774</v>
      </c>
    </row>
    <row r="142" spans="1:20">
      <c r="A142" s="175" t="s">
        <v>8800</v>
      </c>
      <c r="B142" s="177">
        <f>HOUNSLOW!D3</f>
        <v>163352</v>
      </c>
      <c r="C142" s="177">
        <f>HOUNSLOW!E3</f>
        <v>163769</v>
      </c>
      <c r="D142" s="177">
        <f>HOUNSLOW!F3</f>
        <v>165705</v>
      </c>
      <c r="E142" s="177">
        <f>HOUNSLOW!G3</f>
        <v>166433</v>
      </c>
      <c r="F142" s="177">
        <f>HOUNSLOW!H3</f>
        <v>168650</v>
      </c>
      <c r="G142" s="177">
        <f>HOUNSLOW!I3</f>
        <v>162922</v>
      </c>
      <c r="H142" s="177">
        <f>HOUNSLOW!J3</f>
        <v>159510</v>
      </c>
      <c r="I142" s="177">
        <f>HOUNSLOW!K3</f>
        <v>162860</v>
      </c>
      <c r="J142" s="177">
        <f>HOUNSLOW!L3</f>
        <v>163163</v>
      </c>
      <c r="K142" s="178"/>
      <c r="L142" s="179">
        <f t="shared" si="91"/>
        <v>2.151293262392667</v>
      </c>
      <c r="M142" s="179">
        <f t="shared" si="92"/>
        <v>2.1368327657520125</v>
      </c>
      <c r="N142" s="179">
        <f t="shared" si="93"/>
        <v>2.149751560047223</v>
      </c>
      <c r="O142" s="179">
        <f t="shared" si="94"/>
        <v>2.1476888533305805</v>
      </c>
      <c r="P142" s="179">
        <f t="shared" si="95"/>
        <v>2.186454741099904</v>
      </c>
      <c r="Q142" s="179">
        <f t="shared" si="96"/>
        <v>2.1501042573969964</v>
      </c>
      <c r="R142" s="179">
        <f t="shared" si="96"/>
        <v>2.1333707820085865</v>
      </c>
      <c r="S142" s="179">
        <f t="shared" si="96"/>
        <v>2.128471541527805</v>
      </c>
      <c r="T142" s="179">
        <f t="shared" si="96"/>
        <v>2.1147978691690539</v>
      </c>
    </row>
    <row r="143" spans="1:20">
      <c r="A143" s="175" t="s">
        <v>8801</v>
      </c>
      <c r="B143" s="177">
        <f>ISLINGTON!D3</f>
        <v>132656</v>
      </c>
      <c r="C143" s="177">
        <f>ISLINGTON!E3</f>
        <v>136390</v>
      </c>
      <c r="D143" s="177">
        <f>ISLINGTON!F3</f>
        <v>136813</v>
      </c>
      <c r="E143" s="177">
        <f>ISLINGTON!G3</f>
        <v>137447</v>
      </c>
      <c r="F143" s="177">
        <f>ISLINGTON!H3</f>
        <v>137624</v>
      </c>
      <c r="G143" s="177">
        <f>ISLINGTON!I3</f>
        <v>134007</v>
      </c>
      <c r="H143" s="177">
        <f>ISLINGTON!J3</f>
        <v>134137</v>
      </c>
      <c r="I143" s="177">
        <f>ISLINGTON!K3</f>
        <v>138920</v>
      </c>
      <c r="J143" s="177">
        <f>ISLINGTON!L3</f>
        <v>136903</v>
      </c>
      <c r="K143" s="178"/>
      <c r="L143" s="179">
        <f t="shared" si="91"/>
        <v>1.7470368224200601</v>
      </c>
      <c r="M143" s="179">
        <f t="shared" si="92"/>
        <v>1.7795957777168878</v>
      </c>
      <c r="N143" s="179">
        <f t="shared" si="93"/>
        <v>1.7749250788131965</v>
      </c>
      <c r="O143" s="179">
        <f t="shared" si="94"/>
        <v>1.7736469920251889</v>
      </c>
      <c r="P143" s="179">
        <f t="shared" si="95"/>
        <v>1.7842196696657764</v>
      </c>
      <c r="Q143" s="179">
        <f t="shared" si="96"/>
        <v>1.7685089872515638</v>
      </c>
      <c r="R143" s="179">
        <f t="shared" si="96"/>
        <v>1.7940189115810028</v>
      </c>
      <c r="S143" s="179">
        <f t="shared" si="96"/>
        <v>1.815591714042998</v>
      </c>
      <c r="T143" s="179">
        <f t="shared" si="96"/>
        <v>1.7744352131479009</v>
      </c>
    </row>
    <row r="144" spans="1:20">
      <c r="A144" s="175" t="s">
        <v>8802</v>
      </c>
      <c r="B144" s="177">
        <f>KENSINGTON!D3</f>
        <v>87299</v>
      </c>
      <c r="C144" s="177">
        <f>KENSINGTON!E3</f>
        <v>86412</v>
      </c>
      <c r="D144" s="177">
        <f>KENSINGTON!F3</f>
        <v>85673</v>
      </c>
      <c r="E144" s="177">
        <f>KENSINGTON!G3</f>
        <v>85063</v>
      </c>
      <c r="F144" s="177">
        <f>KENSINGTON!H3</f>
        <v>84674</v>
      </c>
      <c r="G144" s="177">
        <f>KENSINGTON!I3</f>
        <v>80182</v>
      </c>
      <c r="H144" s="177">
        <f>KENSINGTON!J3</f>
        <v>76454</v>
      </c>
      <c r="I144" s="177">
        <f>KENSINGTON!K3</f>
        <v>78829</v>
      </c>
      <c r="J144" s="177">
        <f>KENSINGTON!L3</f>
        <v>83410</v>
      </c>
      <c r="K144" s="178"/>
      <c r="L144" s="179">
        <f t="shared" si="91"/>
        <v>1.1496997313385662</v>
      </c>
      <c r="M144" s="179">
        <f t="shared" si="92"/>
        <v>1.1274905076917054</v>
      </c>
      <c r="N144" s="179">
        <f t="shared" si="93"/>
        <v>1.1114671579247803</v>
      </c>
      <c r="O144" s="179">
        <f t="shared" si="94"/>
        <v>1.0976720778382842</v>
      </c>
      <c r="P144" s="179">
        <f t="shared" si="95"/>
        <v>1.0977519641143982</v>
      </c>
      <c r="Q144" s="179">
        <f t="shared" si="96"/>
        <v>1.0581729880961808</v>
      </c>
      <c r="R144" s="179">
        <f t="shared" si="96"/>
        <v>1.0225360777862482</v>
      </c>
      <c r="S144" s="179">
        <f t="shared" si="96"/>
        <v>1.030242436123636</v>
      </c>
      <c r="T144" s="179">
        <f t="shared" si="96"/>
        <v>1.0810985962956723</v>
      </c>
    </row>
    <row r="145" spans="1:20">
      <c r="A145" s="175" t="s">
        <v>8803</v>
      </c>
      <c r="B145" s="177">
        <f>KINGSTON!D3</f>
        <v>107103</v>
      </c>
      <c r="C145" s="177">
        <f>KINGSTON!E3</f>
        <v>107615</v>
      </c>
      <c r="D145" s="177">
        <f>KINGSTON!F3</f>
        <v>109226</v>
      </c>
      <c r="E145" s="177">
        <f>KINGSTON!G3</f>
        <v>108780</v>
      </c>
      <c r="F145" s="177">
        <f>KINGSTON!H3</f>
        <v>109266</v>
      </c>
      <c r="G145" s="177">
        <f>KINGSTON!I3</f>
        <v>104321</v>
      </c>
      <c r="H145" s="177">
        <f>KINGSTON!J3</f>
        <v>104458</v>
      </c>
      <c r="I145" s="177">
        <f>KINGSTON!K3</f>
        <v>107946</v>
      </c>
      <c r="J145" s="177">
        <f>KINGSTON!L3</f>
        <v>107239</v>
      </c>
      <c r="K145" s="178"/>
      <c r="L145" s="179">
        <f t="shared" si="91"/>
        <v>1.4105120370858135</v>
      </c>
      <c r="M145" s="179">
        <f t="shared" si="92"/>
        <v>1.4041439960334547</v>
      </c>
      <c r="N145" s="179">
        <f t="shared" si="93"/>
        <v>1.4170288397919073</v>
      </c>
      <c r="O145" s="179">
        <f t="shared" si="94"/>
        <v>1.4037215784447827</v>
      </c>
      <c r="P145" s="179">
        <f t="shared" si="95"/>
        <v>1.4165737547644359</v>
      </c>
      <c r="Q145" s="179">
        <f t="shared" si="96"/>
        <v>1.3767387230448438</v>
      </c>
      <c r="R145" s="179">
        <f t="shared" si="96"/>
        <v>1.3970763284248819</v>
      </c>
      <c r="S145" s="179">
        <f t="shared" si="96"/>
        <v>1.410782199568712</v>
      </c>
      <c r="T145" s="179">
        <f t="shared" si="96"/>
        <v>1.3899524321802132</v>
      </c>
    </row>
    <row r="146" spans="1:20">
      <c r="A146" s="175" t="s">
        <v>8804</v>
      </c>
      <c r="B146" s="177">
        <f>LAMBETH!D3</f>
        <v>189729</v>
      </c>
      <c r="C146" s="177">
        <f>LAMBETH!E3</f>
        <v>191664</v>
      </c>
      <c r="D146" s="177">
        <f>LAMBETH!F3</f>
        <v>193037</v>
      </c>
      <c r="E146" s="177">
        <f>LAMBETH!G3</f>
        <v>193547</v>
      </c>
      <c r="F146" s="177">
        <f>LAMBETH!H3</f>
        <v>193774</v>
      </c>
      <c r="G146" s="177">
        <f>LAMBETH!I3</f>
        <v>193576</v>
      </c>
      <c r="H146" s="177">
        <f>LAMBETH!J3</f>
        <v>188189</v>
      </c>
      <c r="I146" s="177">
        <f>LAMBETH!K3</f>
        <v>198161</v>
      </c>
      <c r="J146" s="177">
        <f>LAMBETH!L3</f>
        <v>200854</v>
      </c>
      <c r="K146" s="178"/>
      <c r="L146" s="179">
        <f t="shared" si="91"/>
        <v>2.4986698625085602</v>
      </c>
      <c r="M146" s="179">
        <f t="shared" si="92"/>
        <v>2.5008024425568558</v>
      </c>
      <c r="N146" s="179">
        <f t="shared" si="93"/>
        <v>2.5043395908200465</v>
      </c>
      <c r="O146" s="179">
        <f t="shared" si="94"/>
        <v>2.4975740057294757</v>
      </c>
      <c r="P146" s="179">
        <f t="shared" si="95"/>
        <v>2.5121736199341407</v>
      </c>
      <c r="Q146" s="179">
        <f t="shared" si="96"/>
        <v>2.554649352020482</v>
      </c>
      <c r="R146" s="179">
        <f t="shared" si="96"/>
        <v>2.5169388382885955</v>
      </c>
      <c r="S146" s="179">
        <f t="shared" si="96"/>
        <v>2.5898320590733843</v>
      </c>
      <c r="T146" s="179">
        <f t="shared" si="96"/>
        <v>2.6033206745039079</v>
      </c>
    </row>
    <row r="147" spans="1:20">
      <c r="A147" s="175" t="s">
        <v>8805</v>
      </c>
      <c r="B147" s="177">
        <f>LEWISHAM!D3</f>
        <v>167913</v>
      </c>
      <c r="C147" s="177">
        <f>LEWISHAM!E3</f>
        <v>171868</v>
      </c>
      <c r="D147" s="177">
        <f>LEWISHAM!F3</f>
        <v>173203</v>
      </c>
      <c r="E147" s="177">
        <f>LEWISHAM!G3</f>
        <v>175750</v>
      </c>
      <c r="F147" s="177">
        <f>LEWISHAM!H3</f>
        <v>178734</v>
      </c>
      <c r="G147" s="177">
        <f>LEWISHAM!I3</f>
        <v>173468</v>
      </c>
      <c r="H147" s="177">
        <f>LEWISHAM!J3</f>
        <v>167222</v>
      </c>
      <c r="I147" s="177">
        <f>LEWISHAM!K3</f>
        <v>176913</v>
      </c>
      <c r="J147" s="177">
        <f>LEWISHAM!L3</f>
        <v>180774</v>
      </c>
      <c r="K147" s="178"/>
      <c r="L147" s="179">
        <f t="shared" si="91"/>
        <v>2.2113601643575831</v>
      </c>
      <c r="M147" s="179">
        <f t="shared" si="92"/>
        <v>2.2425072741743977</v>
      </c>
      <c r="N147" s="179">
        <f t="shared" si="93"/>
        <v>2.2470258559178009</v>
      </c>
      <c r="O147" s="179">
        <f t="shared" si="94"/>
        <v>2.2679175161948022</v>
      </c>
      <c r="P147" s="179">
        <f t="shared" si="95"/>
        <v>2.3171882697643063</v>
      </c>
      <c r="Q147" s="179">
        <f t="shared" si="96"/>
        <v>2.2892812838176684</v>
      </c>
      <c r="R147" s="179">
        <f t="shared" si="96"/>
        <v>2.2365151332771602</v>
      </c>
      <c r="S147" s="179">
        <f t="shared" si="96"/>
        <v>2.3121348755146052</v>
      </c>
      <c r="T147" s="179">
        <f t="shared" si="96"/>
        <v>2.3430585978510234</v>
      </c>
    </row>
    <row r="148" spans="1:20">
      <c r="A148" s="175" t="s">
        <v>8806</v>
      </c>
      <c r="B148" s="177">
        <f>MERTON!D3</f>
        <v>130323</v>
      </c>
      <c r="C148" s="177">
        <f>MERTON!E3</f>
        <v>133010</v>
      </c>
      <c r="D148" s="177">
        <f>MERTON!F3</f>
        <v>132637</v>
      </c>
      <c r="E148" s="177">
        <f>MERTON!G3</f>
        <v>133792</v>
      </c>
      <c r="F148" s="177">
        <f>MERTON!H3</f>
        <v>132225</v>
      </c>
      <c r="G148" s="177">
        <f>MERTON!I3</f>
        <v>129817</v>
      </c>
      <c r="H148" s="177">
        <f>MERTON!J3</f>
        <v>129825</v>
      </c>
      <c r="I148" s="177">
        <f>MERTON!K3</f>
        <v>133315</v>
      </c>
      <c r="J148" s="177">
        <f>MERTON!L3</f>
        <v>132604</v>
      </c>
      <c r="K148" s="178"/>
      <c r="L148" s="179">
        <f t="shared" si="91"/>
        <v>1.7163119633356161</v>
      </c>
      <c r="M148" s="179">
        <f t="shared" si="92"/>
        <v>1.7354940567059407</v>
      </c>
      <c r="N148" s="179">
        <f t="shared" si="93"/>
        <v>1.7207483037324374</v>
      </c>
      <c r="O148" s="179">
        <f t="shared" si="94"/>
        <v>1.7264820502232432</v>
      </c>
      <c r="P148" s="179">
        <f t="shared" si="95"/>
        <v>1.7142245961573366</v>
      </c>
      <c r="Q148" s="179">
        <f t="shared" si="96"/>
        <v>1.7132129754269274</v>
      </c>
      <c r="R148" s="179">
        <f t="shared" si="96"/>
        <v>1.7363479516912088</v>
      </c>
      <c r="S148" s="179">
        <f t="shared" si="96"/>
        <v>1.7423381036398091</v>
      </c>
      <c r="T148" s="179">
        <f t="shared" si="96"/>
        <v>1.7187147615776444</v>
      </c>
    </row>
    <row r="149" spans="1:20">
      <c r="A149" s="175" t="s">
        <v>8807</v>
      </c>
      <c r="B149" s="177">
        <f>NEWHAM!D3</f>
        <v>171381</v>
      </c>
      <c r="C149" s="177">
        <f>NEWHAM!E3</f>
        <v>177931</v>
      </c>
      <c r="D149" s="177">
        <f>NEWHAM!F3</f>
        <v>180188</v>
      </c>
      <c r="E149" s="177">
        <f>NEWHAM!G3</f>
        <v>179938</v>
      </c>
      <c r="F149" s="177">
        <f>NEWHAM!H3</f>
        <v>166501</v>
      </c>
      <c r="G149" s="177">
        <f>NEWHAM!I3</f>
        <v>165961</v>
      </c>
      <c r="H149" s="177">
        <f>NEWHAM!J3</f>
        <v>169712</v>
      </c>
      <c r="I149" s="177">
        <f>NEWHAM!K3</f>
        <v>175453</v>
      </c>
      <c r="J149" s="177">
        <f>NEWHAM!L3</f>
        <v>172997</v>
      </c>
      <c r="K149" s="178"/>
      <c r="L149" s="179">
        <f t="shared" si="91"/>
        <v>2.2570326081230574</v>
      </c>
      <c r="M149" s="179">
        <f t="shared" si="92"/>
        <v>2.3216163672185908</v>
      </c>
      <c r="N149" s="179">
        <f t="shared" si="93"/>
        <v>2.3376448151944058</v>
      </c>
      <c r="O149" s="179">
        <f t="shared" si="94"/>
        <v>2.321960409838181</v>
      </c>
      <c r="P149" s="179">
        <f t="shared" si="95"/>
        <v>2.1585941348821533</v>
      </c>
      <c r="Q149" s="179">
        <f t="shared" si="96"/>
        <v>2.190210362393433</v>
      </c>
      <c r="R149" s="179">
        <f t="shared" si="96"/>
        <v>2.2698177051986788</v>
      </c>
      <c r="S149" s="179">
        <f t="shared" si="96"/>
        <v>2.2930536496111875</v>
      </c>
      <c r="T149" s="179">
        <f t="shared" si="96"/>
        <v>2.2422588881832204</v>
      </c>
    </row>
    <row r="150" spans="1:20">
      <c r="A150" s="175" t="s">
        <v>8808</v>
      </c>
      <c r="B150" s="177">
        <f>REDBRIDGE!D3</f>
        <v>190563</v>
      </c>
      <c r="C150" s="177">
        <f>REDBRIDGE!E3</f>
        <v>192926</v>
      </c>
      <c r="D150" s="177">
        <f>REDBRIDGE!F3</f>
        <v>196397</v>
      </c>
      <c r="E150" s="177">
        <f>REDBRIDGE!G3</f>
        <v>195759</v>
      </c>
      <c r="F150" s="177">
        <f>REDBRIDGE!H3</f>
        <v>198615</v>
      </c>
      <c r="G150" s="177">
        <f>REDBRIDGE!I3</f>
        <v>194814</v>
      </c>
      <c r="H150" s="177">
        <f>REDBRIDGE!J3</f>
        <v>178020</v>
      </c>
      <c r="I150" s="177">
        <f>REDBRIDGE!K3</f>
        <v>187423</v>
      </c>
      <c r="J150" s="177">
        <f>REDBRIDGE!L3</f>
        <v>194621</v>
      </c>
      <c r="K150" s="178"/>
      <c r="L150" s="179">
        <f t="shared" si="91"/>
        <v>2.5096533740715379</v>
      </c>
      <c r="M150" s="179">
        <f t="shared" si="92"/>
        <v>2.5172688247804702</v>
      </c>
      <c r="N150" s="179">
        <f t="shared" si="93"/>
        <v>2.5479300995057148</v>
      </c>
      <c r="O150" s="179">
        <f t="shared" si="94"/>
        <v>2.5261181510826645</v>
      </c>
      <c r="P150" s="179">
        <f t="shared" si="95"/>
        <v>2.5749345295200561</v>
      </c>
      <c r="Q150" s="179">
        <f t="shared" si="96"/>
        <v>2.5709874099295273</v>
      </c>
      <c r="R150" s="179">
        <f t="shared" si="96"/>
        <v>2.380933274485415</v>
      </c>
      <c r="S150" s="179">
        <f t="shared" si="96"/>
        <v>2.4494935633535908</v>
      </c>
      <c r="T150" s="179">
        <f t="shared" si="96"/>
        <v>2.5225331484193747</v>
      </c>
    </row>
    <row r="151" spans="1:20">
      <c r="A151" s="175" t="s">
        <v>8809</v>
      </c>
      <c r="B151" s="177">
        <f>RICHMOND!D3</f>
        <v>127288</v>
      </c>
      <c r="C151" s="177">
        <f>RICHMOND!E3</f>
        <v>128846</v>
      </c>
      <c r="D151" s="177">
        <f>RICHMOND!F3</f>
        <v>129227</v>
      </c>
      <c r="E151" s="177">
        <f>RICHMOND!G3</f>
        <v>129425</v>
      </c>
      <c r="F151" s="177">
        <f>RICHMOND!H3</f>
        <v>129237</v>
      </c>
      <c r="G151" s="177">
        <f>RICHMOND!I3</f>
        <v>125317</v>
      </c>
      <c r="H151" s="177">
        <f>RICHMOND!J3</f>
        <v>126524</v>
      </c>
      <c r="I151" s="177">
        <f>RICHMOND!K3</f>
        <v>131056</v>
      </c>
      <c r="J151" s="177">
        <f>RICHMOND!L3</f>
        <v>132173</v>
      </c>
      <c r="K151" s="178"/>
      <c r="L151" s="179">
        <f t="shared" si="91"/>
        <v>1.6763419902017596</v>
      </c>
      <c r="M151" s="179">
        <f t="shared" si="92"/>
        <v>1.6811628240758862</v>
      </c>
      <c r="N151" s="179">
        <f t="shared" si="93"/>
        <v>1.6765091267627561</v>
      </c>
      <c r="O151" s="179">
        <f t="shared" si="94"/>
        <v>1.6701293003329289</v>
      </c>
      <c r="P151" s="179">
        <f t="shared" si="95"/>
        <v>1.6754868151528508</v>
      </c>
      <c r="Q151" s="179">
        <f t="shared" si="96"/>
        <v>1.6538258505555996</v>
      </c>
      <c r="R151" s="179">
        <f t="shared" si="96"/>
        <v>1.692198638473164</v>
      </c>
      <c r="S151" s="179">
        <f t="shared" si="96"/>
        <v>1.7128144808207542</v>
      </c>
      <c r="T151" s="179">
        <f t="shared" si="96"/>
        <v>1.7131284590359415</v>
      </c>
    </row>
    <row r="152" spans="1:20">
      <c r="A152" s="175" t="s">
        <v>8810</v>
      </c>
      <c r="B152" s="177">
        <f>SOUTHWARK!D3</f>
        <v>177545</v>
      </c>
      <c r="C152" s="177">
        <f>SOUTHWARK!E3</f>
        <v>180837</v>
      </c>
      <c r="D152" s="177">
        <f>SOUTHWARK!F3</f>
        <v>182976</v>
      </c>
      <c r="E152" s="177">
        <f>SOUTHWARK!G3</f>
        <v>183568</v>
      </c>
      <c r="F152" s="177">
        <f>SOUTHWARK!H3</f>
        <v>185487</v>
      </c>
      <c r="G152" s="177">
        <f>SOUTHWARK!I3</f>
        <v>181157</v>
      </c>
      <c r="H152" s="177">
        <f>SOUTHWARK!J3</f>
        <v>186580</v>
      </c>
      <c r="I152" s="177">
        <f>SOUTHWARK!K3</f>
        <v>185715</v>
      </c>
      <c r="J152" s="177">
        <f>SOUTHWARK!L3</f>
        <v>192561</v>
      </c>
      <c r="K152" s="178"/>
      <c r="L152" s="179">
        <f t="shared" si="91"/>
        <v>2.338210504135279</v>
      </c>
      <c r="M152" s="179">
        <f t="shared" si="92"/>
        <v>2.3595334090108429</v>
      </c>
      <c r="N152" s="179">
        <f t="shared" si="93"/>
        <v>2.3738145587109662</v>
      </c>
      <c r="O152" s="179">
        <f t="shared" si="94"/>
        <v>2.3688027460190466</v>
      </c>
      <c r="P152" s="179">
        <f t="shared" si="95"/>
        <v>2.4047372105686207</v>
      </c>
      <c r="Q152" s="179">
        <f t="shared" si="96"/>
        <v>2.3907540845144775</v>
      </c>
      <c r="R152" s="179">
        <f t="shared" si="96"/>
        <v>2.4954192245449316</v>
      </c>
      <c r="S152" s="179">
        <f t="shared" si="96"/>
        <v>2.4271711429131542</v>
      </c>
      <c r="T152" s="179">
        <f t="shared" si="96"/>
        <v>2.4958329552966183</v>
      </c>
    </row>
    <row r="153" spans="1:20">
      <c r="A153" s="175" t="s">
        <v>8811</v>
      </c>
      <c r="B153" s="177">
        <f>SUTTON!D3</f>
        <v>132884</v>
      </c>
      <c r="C153" s="177">
        <f>SUTTON!E3</f>
        <v>133615</v>
      </c>
      <c r="D153" s="177">
        <f>SUTTON!F3</f>
        <v>137484</v>
      </c>
      <c r="E153" s="177">
        <f>SUTTON!G3</f>
        <v>139068</v>
      </c>
      <c r="F153" s="177">
        <f>SUTTON!H3</f>
        <v>140022</v>
      </c>
      <c r="G153" s="177">
        <f>SUTTON!I3</f>
        <v>139084</v>
      </c>
      <c r="H153" s="177">
        <f>SUTTON!J3</f>
        <v>136004</v>
      </c>
      <c r="I153" s="177">
        <f>SUTTON!K3</f>
        <v>139836</v>
      </c>
      <c r="J153" s="177">
        <f>SUTTON!L3</f>
        <v>141056</v>
      </c>
      <c r="K153" s="178"/>
      <c r="L153" s="179">
        <f t="shared" si="91"/>
        <v>1.7500395090343992</v>
      </c>
      <c r="M153" s="179">
        <f t="shared" si="92"/>
        <v>1.7433880038099712</v>
      </c>
      <c r="N153" s="179">
        <f t="shared" si="93"/>
        <v>1.7836302071846499</v>
      </c>
      <c r="O153" s="179">
        <f t="shared" si="94"/>
        <v>1.7945647404960383</v>
      </c>
      <c r="P153" s="179">
        <f t="shared" si="95"/>
        <v>1.8153084243005679</v>
      </c>
      <c r="Q153" s="179">
        <f t="shared" si="96"/>
        <v>1.835510861245282</v>
      </c>
      <c r="R153" s="179">
        <f t="shared" si="96"/>
        <v>1.8189891532587035</v>
      </c>
      <c r="S153" s="179">
        <f t="shared" si="96"/>
        <v>1.827563222897471</v>
      </c>
      <c r="T153" s="179">
        <f t="shared" si="96"/>
        <v>1.8282633209337291</v>
      </c>
    </row>
    <row r="154" spans="1:20">
      <c r="A154" s="175" t="s">
        <v>8812</v>
      </c>
      <c r="B154" s="177">
        <f>'TOWER HAMLETS'!D3</f>
        <v>147152</v>
      </c>
      <c r="C154" s="177">
        <f>'TOWER HAMLETS'!E3</f>
        <v>154500</v>
      </c>
      <c r="D154" s="177">
        <f>'TOWER HAMLETS'!F3</f>
        <v>155182</v>
      </c>
      <c r="E154" s="177">
        <f>'TOWER HAMLETS'!G3</f>
        <v>145170</v>
      </c>
      <c r="F154" s="177">
        <f>'TOWER HAMLETS'!H3</f>
        <v>157521</v>
      </c>
      <c r="G154" s="177">
        <f>'TOWER HAMLETS'!I3</f>
        <v>153335</v>
      </c>
      <c r="H154" s="177">
        <f>'TOWER HAMLETS'!J3</f>
        <v>151151</v>
      </c>
      <c r="I154" s="177">
        <f>'TOWER HAMLETS'!K3</f>
        <v>151383</v>
      </c>
      <c r="J154" s="177">
        <f>'TOWER HAMLETS'!L3</f>
        <v>167267</v>
      </c>
      <c r="K154" s="178"/>
      <c r="L154" s="179">
        <f t="shared" si="91"/>
        <v>1.9379444766369911</v>
      </c>
      <c r="M154" s="179">
        <f t="shared" si="92"/>
        <v>2.0158922769796845</v>
      </c>
      <c r="N154" s="179">
        <f t="shared" si="93"/>
        <v>2.0132328329938636</v>
      </c>
      <c r="O154" s="179">
        <f t="shared" si="94"/>
        <v>1.8733063204893281</v>
      </c>
      <c r="P154" s="179">
        <f t="shared" si="95"/>
        <v>2.0421733606451111</v>
      </c>
      <c r="Q154" s="179">
        <f t="shared" si="96"/>
        <v>2.0235832871433472</v>
      </c>
      <c r="R154" s="179">
        <f t="shared" si="96"/>
        <v>2.0215731118511684</v>
      </c>
      <c r="S154" s="179">
        <f t="shared" si="96"/>
        <v>1.9784748088610076</v>
      </c>
      <c r="T154" s="179">
        <f t="shared" si="96"/>
        <v>2.1679908752738064</v>
      </c>
    </row>
    <row r="155" spans="1:20">
      <c r="A155" s="175" t="s">
        <v>8813</v>
      </c>
      <c r="B155" s="177">
        <f>'WALTHAM FOREST'!D3</f>
        <v>157516</v>
      </c>
      <c r="C155" s="177">
        <f>'WALTHAM FOREST'!E3</f>
        <v>158450</v>
      </c>
      <c r="D155" s="177">
        <f>'WALTHAM FOREST'!F3</f>
        <v>159638</v>
      </c>
      <c r="E155" s="177">
        <f>'WALTHAM FOREST'!G3</f>
        <v>159760</v>
      </c>
      <c r="F155" s="177">
        <f>'WALTHAM FOREST'!H3</f>
        <v>160570</v>
      </c>
      <c r="G155" s="177">
        <f>'WALTHAM FOREST'!I3</f>
        <v>156890</v>
      </c>
      <c r="H155" s="177">
        <f>'WALTHAM FOREST'!J3</f>
        <v>155532</v>
      </c>
      <c r="I155" s="177">
        <f>'WALTHAM FOREST'!K3</f>
        <v>158024</v>
      </c>
      <c r="J155" s="177">
        <f>'WALTHAM FOREST'!L3</f>
        <v>160876</v>
      </c>
      <c r="K155" s="178"/>
      <c r="L155" s="179">
        <f t="shared" si="91"/>
        <v>2.0744350208080915</v>
      </c>
      <c r="M155" s="179">
        <f t="shared" si="92"/>
        <v>2.0674312704688091</v>
      </c>
      <c r="N155" s="179">
        <f t="shared" si="93"/>
        <v>2.0710421504650953</v>
      </c>
      <c r="O155" s="179">
        <f t="shared" si="94"/>
        <v>2.0615789609518158</v>
      </c>
      <c r="P155" s="179">
        <f t="shared" si="95"/>
        <v>2.0817019731895146</v>
      </c>
      <c r="Q155" s="179">
        <f t="shared" si="96"/>
        <v>2.0704991157916965</v>
      </c>
      <c r="R155" s="179">
        <f t="shared" si="96"/>
        <v>2.0801669140954138</v>
      </c>
      <c r="S155" s="179">
        <f t="shared" si="96"/>
        <v>2.0652682480559368</v>
      </c>
      <c r="T155" s="179">
        <f t="shared" si="96"/>
        <v>2.0851554702992754</v>
      </c>
    </row>
    <row r="156" spans="1:20">
      <c r="A156" s="175" t="s">
        <v>8814</v>
      </c>
      <c r="B156" s="177">
        <f>WANDSWORTH!D3</f>
        <v>206157</v>
      </c>
      <c r="C156" s="177">
        <f>WANDSWORTH!E3</f>
        <v>207888</v>
      </c>
      <c r="D156" s="177">
        <f>WANDSWORTH!F3</f>
        <v>207153</v>
      </c>
      <c r="E156" s="177">
        <f>WANDSWORTH!G3</f>
        <v>206035</v>
      </c>
      <c r="F156" s="177">
        <f>WANDSWORTH!H3</f>
        <v>206553</v>
      </c>
      <c r="G156" s="177">
        <f>WANDSWORTH!I3</f>
        <v>198785</v>
      </c>
      <c r="H156" s="177">
        <f>WANDSWORTH!J3</f>
        <v>201174</v>
      </c>
      <c r="I156" s="177">
        <f>WANDSWORTH!K3</f>
        <v>203436</v>
      </c>
      <c r="J156" s="177">
        <f>WANDSWORTH!L3</f>
        <v>207739</v>
      </c>
      <c r="K156" s="178"/>
      <c r="L156" s="179">
        <f t="shared" si="91"/>
        <v>2.7150213348785757</v>
      </c>
      <c r="M156" s="179">
        <f t="shared" si="92"/>
        <v>2.7124907034094021</v>
      </c>
      <c r="N156" s="179">
        <f t="shared" si="93"/>
        <v>2.6874716207625746</v>
      </c>
      <c r="O156" s="179">
        <f t="shared" si="94"/>
        <v>2.658721965571528</v>
      </c>
      <c r="P156" s="179">
        <f t="shared" si="95"/>
        <v>2.6778463453211296</v>
      </c>
      <c r="Q156" s="179">
        <f t="shared" si="96"/>
        <v>2.623393248343759</v>
      </c>
      <c r="R156" s="179">
        <f t="shared" si="96"/>
        <v>2.6906070697749067</v>
      </c>
      <c r="S156" s="179">
        <f t="shared" si="96"/>
        <v>2.6587727896490883</v>
      </c>
      <c r="T156" s="179">
        <f t="shared" si="96"/>
        <v>2.6925589413243816</v>
      </c>
    </row>
    <row r="157" spans="1:20">
      <c r="A157" s="175" t="s">
        <v>8815</v>
      </c>
      <c r="B157" s="177">
        <f>WESTMINSTER!D3</f>
        <v>122556</v>
      </c>
      <c r="C157" s="177">
        <f>WESTMINSTER!E3</f>
        <v>125143</v>
      </c>
      <c r="D157" s="177">
        <f>WESTMINSTER!F3</f>
        <v>121693</v>
      </c>
      <c r="E157" s="177">
        <f>WESTMINSTER!G3</f>
        <v>119176</v>
      </c>
      <c r="F157" s="177">
        <f>WESTMINSTER!H3</f>
        <v>115815</v>
      </c>
      <c r="G157" s="177">
        <f>WESTMINSTER!I3</f>
        <v>107953</v>
      </c>
      <c r="H157" s="177">
        <f>WESTMINSTER!J3</f>
        <v>111349</v>
      </c>
      <c r="I157" s="177">
        <f>WESTMINSTER!K3</f>
        <v>118059</v>
      </c>
      <c r="J157" s="177">
        <f>WESTMINSTER!L3</f>
        <v>118134</v>
      </c>
      <c r="K157" s="178"/>
      <c r="L157" s="179">
        <f t="shared" si="91"/>
        <v>1.6140230732760892</v>
      </c>
      <c r="M157" s="179">
        <f t="shared" si="92"/>
        <v>1.6328466486606386</v>
      </c>
      <c r="N157" s="179">
        <f t="shared" si="93"/>
        <v>1.5787677897276891</v>
      </c>
      <c r="O157" s="179">
        <f t="shared" si="94"/>
        <v>1.537873899914832</v>
      </c>
      <c r="P157" s="179">
        <f t="shared" si="95"/>
        <v>1.5014779474680426</v>
      </c>
      <c r="Q157" s="179">
        <f t="shared" si="96"/>
        <v>1.4246707313854357</v>
      </c>
      <c r="R157" s="179">
        <f t="shared" si="96"/>
        <v>1.489240193128168</v>
      </c>
      <c r="S157" s="179">
        <f t="shared" si="96"/>
        <v>1.5429523622819055</v>
      </c>
      <c r="T157" s="179">
        <f t="shared" si="96"/>
        <v>1.5311653467784792</v>
      </c>
    </row>
    <row r="158" spans="1:20">
      <c r="A158" s="175" t="s">
        <v>8816</v>
      </c>
      <c r="B158" s="177">
        <f>'CITY OF LONDON'!D3</f>
        <v>5947</v>
      </c>
      <c r="C158" s="177">
        <f>'CITY OF LONDON'!E3</f>
        <v>5933</v>
      </c>
      <c r="D158" s="177">
        <f>'CITY OF LONDON'!F3</f>
        <v>5992</v>
      </c>
      <c r="E158" s="177">
        <f>'CITY OF LONDON'!G3</f>
        <v>5898</v>
      </c>
      <c r="F158" s="177">
        <f>'CITY OF LONDON'!H3</f>
        <v>5921</v>
      </c>
      <c r="G158" s="177">
        <f>'CITY OF LONDON'!I3</f>
        <v>5853</v>
      </c>
      <c r="H158" s="177">
        <f>'CITY OF LONDON'!J3</f>
        <v>6158</v>
      </c>
      <c r="I158" s="177">
        <f>'CITY OF LONDON'!K3</f>
        <v>6055</v>
      </c>
      <c r="J158" s="177">
        <f>'CITY OF LONDON'!L3</f>
        <v>6034</v>
      </c>
      <c r="K158" s="178"/>
      <c r="L158" s="179">
        <f t="shared" si="91"/>
        <v>7.8320075857346044E-2</v>
      </c>
      <c r="M158" s="179">
        <f t="shared" si="92"/>
        <v>7.7412873005310467E-2</v>
      </c>
      <c r="N158" s="179">
        <f t="shared" si="93"/>
        <v>7.7736407156108508E-2</v>
      </c>
      <c r="O158" s="179">
        <f t="shared" si="94"/>
        <v>7.6109118125274211E-2</v>
      </c>
      <c r="P158" s="179">
        <f t="shared" si="95"/>
        <v>7.6762517177898199E-2</v>
      </c>
      <c r="Q158" s="179">
        <f t="shared" si="96"/>
        <v>7.7242853749307144E-2</v>
      </c>
      <c r="R158" s="179">
        <f t="shared" si="96"/>
        <v>8.236033650309621E-2</v>
      </c>
      <c r="S158" s="179">
        <f t="shared" si="96"/>
        <v>7.9134810167940925E-2</v>
      </c>
      <c r="T158" s="179">
        <f t="shared" si="96"/>
        <v>7.8208235583839908E-2</v>
      </c>
    </row>
    <row r="159" spans="1:20">
      <c r="A159" s="173"/>
      <c r="B159" s="180"/>
      <c r="C159" s="180"/>
      <c r="D159" s="180"/>
      <c r="E159" s="180"/>
      <c r="F159" s="180"/>
      <c r="G159" s="180"/>
      <c r="H159" s="180"/>
      <c r="I159" s="180"/>
      <c r="J159" s="180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</row>
    <row r="160" spans="1:20">
      <c r="A160" s="188" t="s">
        <v>13412</v>
      </c>
      <c r="B160" s="189">
        <f t="shared" ref="B160:H160" si="97">SUM(B126:B158)</f>
        <v>5186985</v>
      </c>
      <c r="C160" s="189">
        <f t="shared" si="97"/>
        <v>5266904</v>
      </c>
      <c r="D160" s="189">
        <f t="shared" si="97"/>
        <v>5300233</v>
      </c>
      <c r="E160" s="189">
        <f t="shared" si="97"/>
        <v>5304583</v>
      </c>
      <c r="F160" s="189">
        <f t="shared" si="97"/>
        <v>5295063</v>
      </c>
      <c r="G160" s="189">
        <f t="shared" si="97"/>
        <v>5183157</v>
      </c>
      <c r="H160" s="189">
        <f t="shared" si="97"/>
        <v>5118884</v>
      </c>
      <c r="I160" s="189">
        <f t="shared" ref="I160:J160" si="98">SUM(I126:I158)</f>
        <v>5268027</v>
      </c>
      <c r="J160" s="189">
        <f t="shared" si="98"/>
        <v>5338261</v>
      </c>
      <c r="K160" s="190"/>
      <c r="L160" s="187">
        <f t="shared" ref="L160:T160" si="99">B160/B$470</f>
        <v>68.310922931043564</v>
      </c>
      <c r="M160" s="187">
        <f t="shared" si="99"/>
        <v>68.721754674390994</v>
      </c>
      <c r="N160" s="187">
        <f t="shared" si="99"/>
        <v>68.761860899573179</v>
      </c>
      <c r="O160" s="187">
        <f t="shared" si="99"/>
        <v>68.451531731488885</v>
      </c>
      <c r="P160" s="187">
        <f t="shared" si="99"/>
        <v>68.64758731558068</v>
      </c>
      <c r="Q160" s="187">
        <f t="shared" si="99"/>
        <v>68.402842663710501</v>
      </c>
      <c r="R160" s="187">
        <f t="shared" si="99"/>
        <v>68.462651633698457</v>
      </c>
      <c r="S160" s="187">
        <f t="shared" si="99"/>
        <v>68.849598118016075</v>
      </c>
      <c r="T160" s="187">
        <f t="shared" si="99"/>
        <v>69.190582349357769</v>
      </c>
    </row>
    <row r="161" spans="1:20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1:20">
      <c r="A162" s="175" t="s">
        <v>8641</v>
      </c>
      <c r="B162" s="177">
        <f>DURHAM!D3</f>
        <v>79460</v>
      </c>
      <c r="C162" s="177">
        <f>DURHAM!E3</f>
        <v>78463</v>
      </c>
      <c r="D162" s="177">
        <f>DURHAM!F3</f>
        <v>79127</v>
      </c>
      <c r="E162" s="177">
        <f>DURHAM!G3</f>
        <v>79236</v>
      </c>
      <c r="F162" s="177">
        <f>DURHAM!H3</f>
        <v>78571</v>
      </c>
      <c r="G162" s="177">
        <f>DURHAM!I3</f>
        <v>76844</v>
      </c>
      <c r="H162" s="177">
        <f>DURHAM!J3</f>
        <v>74929</v>
      </c>
      <c r="I162" s="177">
        <f>DURHAM!K3</f>
        <v>76577</v>
      </c>
      <c r="J162" s="177">
        <f>DURHAM!L3</f>
        <v>77458</v>
      </c>
      <c r="K162" s="178"/>
      <c r="L162" s="179">
        <f t="shared" ref="L162:T164" si="100">B162/B$470</f>
        <v>1.0464626244534583</v>
      </c>
      <c r="M162" s="179">
        <f t="shared" si="100"/>
        <v>1.0237731762372619</v>
      </c>
      <c r="N162" s="179">
        <f t="shared" si="100"/>
        <v>1.0265435061818087</v>
      </c>
      <c r="O162" s="179">
        <f t="shared" si="100"/>
        <v>1.0224791596768783</v>
      </c>
      <c r="P162" s="179">
        <f t="shared" si="100"/>
        <v>1.0186299167682216</v>
      </c>
      <c r="Q162" s="179">
        <f t="shared" si="100"/>
        <v>1.0141209385805157</v>
      </c>
      <c r="R162" s="179">
        <f t="shared" si="100"/>
        <v>1.0021399243001778</v>
      </c>
      <c r="S162" s="179">
        <f t="shared" si="100"/>
        <v>1.0008102986342546</v>
      </c>
      <c r="T162" s="179">
        <f t="shared" si="100"/>
        <v>1.0039531839332236</v>
      </c>
    </row>
    <row r="163" spans="1:20">
      <c r="A163" s="175" t="s">
        <v>2292</v>
      </c>
      <c r="B163" s="180">
        <f>DURHAM!D4</f>
        <v>391444</v>
      </c>
      <c r="C163" s="180">
        <f>DURHAM!E4</f>
        <v>404896</v>
      </c>
      <c r="D163" s="180">
        <f>DURHAM!F4</f>
        <v>406894</v>
      </c>
      <c r="E163" s="180">
        <f>DURHAM!G4</f>
        <v>407465</v>
      </c>
      <c r="F163" s="180">
        <f>DURHAM!H4</f>
        <v>400686</v>
      </c>
      <c r="G163" s="180">
        <f>DURHAM!I4</f>
        <v>374451</v>
      </c>
      <c r="H163" s="180">
        <f>DURHAM!J4</f>
        <v>377715</v>
      </c>
      <c r="I163" s="180">
        <f>DURHAM!K4</f>
        <v>386910</v>
      </c>
      <c r="J163" s="180">
        <f>DURHAM!L4</f>
        <v>392746</v>
      </c>
      <c r="K163" s="173"/>
      <c r="L163" s="179">
        <f t="shared" si="100"/>
        <v>5.1551914871200548</v>
      </c>
      <c r="M163" s="179">
        <f t="shared" si="100"/>
        <v>5.2830208374107857</v>
      </c>
      <c r="N163" s="179">
        <f t="shared" si="100"/>
        <v>5.278784655103073</v>
      </c>
      <c r="O163" s="179">
        <f t="shared" si="100"/>
        <v>5.2580199757400576</v>
      </c>
      <c r="P163" s="179">
        <f t="shared" si="100"/>
        <v>5.1946742033344568</v>
      </c>
      <c r="Q163" s="179">
        <f t="shared" si="100"/>
        <v>4.9416818433763563</v>
      </c>
      <c r="R163" s="179">
        <f t="shared" si="100"/>
        <v>5.0517594190105521</v>
      </c>
      <c r="S163" s="179">
        <f t="shared" si="100"/>
        <v>5.0566555577337775</v>
      </c>
      <c r="T163" s="179">
        <f t="shared" si="100"/>
        <v>5.0904825476650295</v>
      </c>
    </row>
    <row r="164" spans="1:20">
      <c r="A164" s="181" t="s">
        <v>8642</v>
      </c>
      <c r="B164" s="177">
        <f t="shared" ref="B164:G164" si="101">B162+B163</f>
        <v>470904</v>
      </c>
      <c r="C164" s="177">
        <f t="shared" si="101"/>
        <v>483359</v>
      </c>
      <c r="D164" s="177">
        <f t="shared" si="101"/>
        <v>486021</v>
      </c>
      <c r="E164" s="177">
        <f t="shared" si="101"/>
        <v>486701</v>
      </c>
      <c r="F164" s="177">
        <f t="shared" si="101"/>
        <v>479257</v>
      </c>
      <c r="G164" s="177">
        <f t="shared" si="101"/>
        <v>451295</v>
      </c>
      <c r="H164" s="177">
        <f t="shared" ref="H164" si="102">H162+H163</f>
        <v>452644</v>
      </c>
      <c r="I164" s="177">
        <f t="shared" ref="I164:J164" si="103">I162+I163</f>
        <v>463487</v>
      </c>
      <c r="J164" s="177">
        <f t="shared" si="103"/>
        <v>470204</v>
      </c>
      <c r="K164" s="178"/>
      <c r="L164" s="179">
        <f t="shared" si="100"/>
        <v>6.2016541115735135</v>
      </c>
      <c r="M164" s="179">
        <f t="shared" si="100"/>
        <v>6.3067940136480471</v>
      </c>
      <c r="N164" s="179">
        <f t="shared" si="100"/>
        <v>6.3053281612848817</v>
      </c>
      <c r="O164" s="179">
        <f t="shared" si="100"/>
        <v>6.2804991354169353</v>
      </c>
      <c r="P164" s="179">
        <f t="shared" si="100"/>
        <v>6.2133041201026789</v>
      </c>
      <c r="Q164" s="179">
        <f t="shared" si="100"/>
        <v>5.955802781956872</v>
      </c>
      <c r="R164" s="179">
        <f t="shared" si="100"/>
        <v>6.0538993433107304</v>
      </c>
      <c r="S164" s="179">
        <f t="shared" si="100"/>
        <v>6.0574658563680321</v>
      </c>
      <c r="T164" s="179">
        <f t="shared" si="100"/>
        <v>6.0944357315982529</v>
      </c>
    </row>
    <row r="166" spans="1:20">
      <c r="A166" s="175" t="s">
        <v>1644</v>
      </c>
      <c r="B166" s="177">
        <f>HARTLEPOOL!D3</f>
        <v>69284</v>
      </c>
      <c r="C166" s="177">
        <f>HARTLEPOOL!E3</f>
        <v>70010</v>
      </c>
      <c r="D166" s="177">
        <f>HARTLEPOOL!F3</f>
        <v>70203</v>
      </c>
      <c r="E166" s="177">
        <f>HARTLEPOOL!G3</f>
        <v>70426</v>
      </c>
      <c r="F166" s="177">
        <f>HARTLEPOOL!H3</f>
        <v>70463</v>
      </c>
      <c r="G166" s="177">
        <f>HARTLEPOOL!I3</f>
        <v>68796</v>
      </c>
      <c r="H166" s="177">
        <f>HARTLEPOOL!J3</f>
        <v>68201</v>
      </c>
      <c r="I166" s="177">
        <f>HARTLEPOOL!K3</f>
        <v>68801</v>
      </c>
      <c r="J166" s="177">
        <f>HARTLEPOOL!L3</f>
        <v>70032</v>
      </c>
      <c r="K166" s="178"/>
      <c r="L166" s="179">
        <f t="shared" ref="L166:T170" si="104">B166/B$470</f>
        <v>0.91244797977137437</v>
      </c>
      <c r="M166" s="179">
        <f t="shared" si="104"/>
        <v>0.9134797301705353</v>
      </c>
      <c r="N166" s="179">
        <f t="shared" si="104"/>
        <v>0.91076919085118258</v>
      </c>
      <c r="O166" s="179">
        <f t="shared" si="104"/>
        <v>0.90879293880816581</v>
      </c>
      <c r="P166" s="179">
        <f t="shared" si="104"/>
        <v>0.91351414421655819</v>
      </c>
      <c r="Q166" s="179">
        <f t="shared" si="104"/>
        <v>0.90791036503286082</v>
      </c>
      <c r="R166" s="179">
        <f t="shared" si="104"/>
        <v>0.91215610747769793</v>
      </c>
      <c r="S166" s="179">
        <f t="shared" si="104"/>
        <v>0.89918316669933995</v>
      </c>
      <c r="T166" s="179">
        <f t="shared" si="104"/>
        <v>0.90770287610332712</v>
      </c>
    </row>
    <row r="167" spans="1:20">
      <c r="A167" s="175" t="s">
        <v>8509</v>
      </c>
      <c r="B167" s="177">
        <f>'MIDD &amp; R &amp; C'!D3</f>
        <v>100536</v>
      </c>
      <c r="C167" s="177">
        <f>'MIDD &amp; R &amp; C'!E3</f>
        <v>100528</v>
      </c>
      <c r="D167" s="177">
        <f>'MIDD &amp; R &amp; C'!F3</f>
        <v>100367</v>
      </c>
      <c r="E167" s="177">
        <f>'MIDD &amp; R &amp; C'!G3</f>
        <v>100405</v>
      </c>
      <c r="F167" s="177">
        <f>'MIDD &amp; R &amp; C'!H3</f>
        <v>99049</v>
      </c>
      <c r="G167" s="177">
        <f>'MIDD &amp; R &amp; C'!I3</f>
        <v>98731</v>
      </c>
      <c r="H167" s="177">
        <f>'MIDD &amp; R &amp; C'!J3</f>
        <v>90162</v>
      </c>
      <c r="I167" s="177">
        <f>'MIDD &amp; R &amp; C'!K3</f>
        <v>93401</v>
      </c>
      <c r="J167" s="177">
        <f>'MIDD &amp; R &amp; C'!L3</f>
        <v>93454</v>
      </c>
      <c r="K167" s="178"/>
      <c r="L167" s="179">
        <f t="shared" si="104"/>
        <v>1.3240267607859664</v>
      </c>
      <c r="M167" s="179">
        <f t="shared" si="104"/>
        <v>1.3116739082214481</v>
      </c>
      <c r="N167" s="179">
        <f t="shared" si="104"/>
        <v>1.3020977932304978</v>
      </c>
      <c r="O167" s="179">
        <f t="shared" si="104"/>
        <v>1.2956486953828683</v>
      </c>
      <c r="P167" s="179">
        <f t="shared" si="104"/>
        <v>1.2841159540539839</v>
      </c>
      <c r="Q167" s="179">
        <f t="shared" si="104"/>
        <v>1.3029667168157943</v>
      </c>
      <c r="R167" s="179">
        <f t="shared" si="104"/>
        <v>1.2058740922039883</v>
      </c>
      <c r="S167" s="179">
        <f t="shared" si="104"/>
        <v>1.2206887538391165</v>
      </c>
      <c r="T167" s="179">
        <f t="shared" si="104"/>
        <v>1.2112814796573044</v>
      </c>
    </row>
    <row r="168" spans="1:20">
      <c r="A168" s="175" t="s">
        <v>8510</v>
      </c>
      <c r="B168" s="177">
        <f>'MIDD &amp; R &amp; C'!D4</f>
        <v>105718</v>
      </c>
      <c r="C168" s="177">
        <f>'MIDD &amp; R &amp; C'!E4</f>
        <v>105394</v>
      </c>
      <c r="D168" s="177">
        <f>'MIDD &amp; R &amp; C'!F4</f>
        <v>105792</v>
      </c>
      <c r="E168" s="177">
        <f>'MIDD &amp; R &amp; C'!G4</f>
        <v>105819</v>
      </c>
      <c r="F168" s="177">
        <f>'MIDD &amp; R &amp; C'!H4</f>
        <v>104221</v>
      </c>
      <c r="G168" s="177">
        <f>'MIDD &amp; R &amp; C'!I4</f>
        <v>100231</v>
      </c>
      <c r="H168" s="177">
        <f>'MIDD &amp; R &amp; C'!J4</f>
        <v>100365</v>
      </c>
      <c r="I168" s="177">
        <f>'MIDD &amp; R &amp; C'!K4</f>
        <v>102985</v>
      </c>
      <c r="J168" s="177">
        <f>'MIDD &amp; R &amp; C'!L4</f>
        <v>103078</v>
      </c>
      <c r="K168" s="178"/>
      <c r="L168" s="179">
        <f t="shared" si="104"/>
        <v>1.3922720328715166</v>
      </c>
      <c r="M168" s="179">
        <f t="shared" si="104"/>
        <v>1.3751647290614684</v>
      </c>
      <c r="N168" s="179">
        <f t="shared" si="104"/>
        <v>1.3724783020458997</v>
      </c>
      <c r="O168" s="179">
        <f t="shared" si="104"/>
        <v>1.3655121686840272</v>
      </c>
      <c r="P168" s="179">
        <f t="shared" si="104"/>
        <v>1.3511680970778126</v>
      </c>
      <c r="Q168" s="179">
        <f t="shared" si="104"/>
        <v>1.3227624251062369</v>
      </c>
      <c r="R168" s="179">
        <f t="shared" si="104"/>
        <v>1.3423343899209565</v>
      </c>
      <c r="S168" s="179">
        <f t="shared" si="104"/>
        <v>1.3459452394955238</v>
      </c>
      <c r="T168" s="179">
        <f t="shared" si="104"/>
        <v>1.3360206343240055</v>
      </c>
    </row>
    <row r="169" spans="1:20">
      <c r="A169" s="175" t="s">
        <v>3424</v>
      </c>
      <c r="B169" s="21">
        <f>STOCKTON!D3</f>
        <v>140914</v>
      </c>
      <c r="C169" s="21">
        <f>STOCKTON!E3</f>
        <v>141854</v>
      </c>
      <c r="D169" s="21">
        <f>STOCKTON!F3</f>
        <v>142275</v>
      </c>
      <c r="E169" s="21">
        <f>STOCKTON!G3</f>
        <v>143110</v>
      </c>
      <c r="F169" s="21">
        <f>STOCKTON!H3</f>
        <v>143108</v>
      </c>
      <c r="G169" s="21">
        <f>STOCKTON!I3</f>
        <v>138618</v>
      </c>
      <c r="H169" s="21">
        <f>STOCKTON!J3</f>
        <v>137838</v>
      </c>
      <c r="I169" s="21">
        <f>STOCKTON!K3</f>
        <v>139921</v>
      </c>
      <c r="J169" s="21">
        <f>STOCKTON!L3</f>
        <v>139721</v>
      </c>
      <c r="K169" s="178"/>
      <c r="L169" s="179">
        <f t="shared" si="104"/>
        <v>1.8557920244429227</v>
      </c>
      <c r="M169" s="179">
        <f t="shared" si="104"/>
        <v>1.850889210735768</v>
      </c>
      <c r="N169" s="179">
        <f t="shared" si="104"/>
        <v>1.845785602158768</v>
      </c>
      <c r="O169" s="179">
        <f t="shared" si="104"/>
        <v>1.8467236173123081</v>
      </c>
      <c r="P169" s="179">
        <f t="shared" si="104"/>
        <v>1.8553167215495112</v>
      </c>
      <c r="Q169" s="179">
        <f t="shared" si="104"/>
        <v>1.8293609945363845</v>
      </c>
      <c r="R169" s="179">
        <f t="shared" si="104"/>
        <v>1.8435180355494925</v>
      </c>
      <c r="S169" s="179">
        <f t="shared" si="104"/>
        <v>1.8286741161863687</v>
      </c>
      <c r="T169" s="179">
        <f t="shared" si="104"/>
        <v>1.8109600404391275</v>
      </c>
    </row>
    <row r="170" spans="1:20">
      <c r="A170" s="181" t="s">
        <v>13789</v>
      </c>
      <c r="B170" s="177">
        <f>SUM(B166:B169)</f>
        <v>416452</v>
      </c>
      <c r="C170" s="177">
        <f t="shared" ref="C170:G170" si="105">SUM(C166:C169)</f>
        <v>417786</v>
      </c>
      <c r="D170" s="177">
        <f t="shared" si="105"/>
        <v>418637</v>
      </c>
      <c r="E170" s="177">
        <f t="shared" si="105"/>
        <v>419760</v>
      </c>
      <c r="F170" s="177">
        <f t="shared" si="105"/>
        <v>416841</v>
      </c>
      <c r="G170" s="177">
        <f t="shared" si="105"/>
        <v>406376</v>
      </c>
      <c r="H170" s="177">
        <f t="shared" ref="H170" si="106">SUM(H166:H169)</f>
        <v>396566</v>
      </c>
      <c r="I170" s="177">
        <f t="shared" ref="I170:J170" si="107">SUM(I166:I169)</f>
        <v>405108</v>
      </c>
      <c r="J170" s="177">
        <f t="shared" si="107"/>
        <v>406285</v>
      </c>
      <c r="K170" s="178"/>
      <c r="L170" s="179">
        <f t="shared" si="104"/>
        <v>5.4845387978717799</v>
      </c>
      <c r="M170" s="179">
        <f t="shared" si="104"/>
        <v>5.4512075781892202</v>
      </c>
      <c r="N170" s="179">
        <f t="shared" si="104"/>
        <v>5.431130888286348</v>
      </c>
      <c r="O170" s="179">
        <f t="shared" si="104"/>
        <v>5.4166774201873693</v>
      </c>
      <c r="P170" s="179">
        <f t="shared" si="104"/>
        <v>5.4041149168978659</v>
      </c>
      <c r="Q170" s="179">
        <f t="shared" si="104"/>
        <v>5.3630005014912765</v>
      </c>
      <c r="R170" s="179">
        <f t="shared" si="104"/>
        <v>5.3038826251521352</v>
      </c>
      <c r="S170" s="179">
        <f t="shared" si="104"/>
        <v>5.2944912762203487</v>
      </c>
      <c r="T170" s="179">
        <f t="shared" si="104"/>
        <v>5.2659650305237644</v>
      </c>
    </row>
    <row r="171" spans="1:20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</row>
    <row r="172" spans="1:20">
      <c r="A172" s="175" t="s">
        <v>1684</v>
      </c>
      <c r="B172" s="177">
        <f>NORTHUMBERLAND!D3</f>
        <v>245114</v>
      </c>
      <c r="C172" s="177">
        <f>NORTHUMBERLAND!E3</f>
        <v>241852</v>
      </c>
      <c r="D172" s="177">
        <f>NORTHUMBERLAND!F3</f>
        <v>245348</v>
      </c>
      <c r="E172" s="177">
        <f>NORTHUMBERLAND!G3</f>
        <v>248229</v>
      </c>
      <c r="F172" s="177">
        <f>NORTHUMBERLAND!H3</f>
        <v>244701</v>
      </c>
      <c r="G172" s="177">
        <f>NORTHUMBERLAND!I3</f>
        <v>244610</v>
      </c>
      <c r="H172" s="177">
        <f>NORTHUMBERLAND!J3</f>
        <v>232448</v>
      </c>
      <c r="I172" s="177">
        <f>NORTHUMBERLAND!K3</f>
        <v>235363</v>
      </c>
      <c r="J172" s="177">
        <f>NORTHUMBERLAND!L3</f>
        <v>241298</v>
      </c>
      <c r="K172" s="178"/>
      <c r="L172" s="179">
        <f t="shared" ref="L172:T172" si="108">B172/B$470</f>
        <v>3.2280724859084442</v>
      </c>
      <c r="M172" s="179">
        <f t="shared" si="108"/>
        <v>3.1556477603371564</v>
      </c>
      <c r="N172" s="179">
        <f t="shared" si="108"/>
        <v>3.182989322920045</v>
      </c>
      <c r="O172" s="179">
        <f t="shared" si="108"/>
        <v>3.2032028286060856</v>
      </c>
      <c r="P172" s="179">
        <f t="shared" si="108"/>
        <v>3.1724142401534992</v>
      </c>
      <c r="Q172" s="179">
        <f t="shared" si="108"/>
        <v>3.2281521366167816</v>
      </c>
      <c r="R172" s="179">
        <f t="shared" si="108"/>
        <v>3.1088820232984258</v>
      </c>
      <c r="S172" s="179">
        <f t="shared" si="108"/>
        <v>3.0760373782918382</v>
      </c>
      <c r="T172" s="179">
        <f t="shared" si="108"/>
        <v>3.1275258253081537</v>
      </c>
    </row>
    <row r="173" spans="1:20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</row>
    <row r="174" spans="1:20">
      <c r="A174" s="175" t="s">
        <v>6650</v>
      </c>
      <c r="B174" s="21">
        <f>'TYNE &amp; WEAR'!D5</f>
        <v>147060</v>
      </c>
      <c r="C174" s="21">
        <f>'TYNE &amp; WEAR'!E5</f>
        <v>147346</v>
      </c>
      <c r="D174" s="21">
        <f>'TYNE &amp; WEAR'!F5</f>
        <v>146978</v>
      </c>
      <c r="E174" s="21">
        <f>'TYNE &amp; WEAR'!G5</f>
        <v>148302</v>
      </c>
      <c r="F174" s="21">
        <f>'TYNE &amp; WEAR'!H5</f>
        <v>146899</v>
      </c>
      <c r="G174" s="21">
        <f>'TYNE &amp; WEAR'!I5</f>
        <v>140622</v>
      </c>
      <c r="H174" s="21">
        <f>'TYNE &amp; WEAR'!J5</f>
        <v>140942</v>
      </c>
      <c r="I174" s="21">
        <f>'TYNE &amp; WEAR'!K5</f>
        <v>143984</v>
      </c>
      <c r="J174" s="21">
        <f>'TYNE &amp; WEAR'!L5</f>
        <v>144581</v>
      </c>
      <c r="K174" s="178"/>
      <c r="L174" s="179">
        <f t="shared" ref="L174:T179" si="109">B174/B$470</f>
        <v>1.9367328662487489</v>
      </c>
      <c r="M174" s="179">
        <f t="shared" si="109"/>
        <v>1.9225479834553307</v>
      </c>
      <c r="N174" s="179">
        <f t="shared" si="109"/>
        <v>1.9067993409530235</v>
      </c>
      <c r="O174" s="179">
        <f t="shared" si="109"/>
        <v>1.9137223526982734</v>
      </c>
      <c r="P174" s="179">
        <f t="shared" si="109"/>
        <v>1.9044649570876657</v>
      </c>
      <c r="Q174" s="179">
        <f t="shared" si="109"/>
        <v>1.8558080608124159</v>
      </c>
      <c r="R174" s="179">
        <f t="shared" si="109"/>
        <v>1.8850325669729433</v>
      </c>
      <c r="S174" s="179">
        <f t="shared" si="109"/>
        <v>1.8817748153956741</v>
      </c>
      <c r="T174" s="179">
        <f t="shared" si="109"/>
        <v>1.8739517581947558</v>
      </c>
    </row>
    <row r="175" spans="1:20">
      <c r="A175" s="175" t="s">
        <v>6651</v>
      </c>
      <c r="B175" s="21">
        <f>'TYNE &amp; WEAR'!D6</f>
        <v>192497</v>
      </c>
      <c r="C175" s="21">
        <f>'TYNE &amp; WEAR'!E6</f>
        <v>193399</v>
      </c>
      <c r="D175" s="21">
        <f>'TYNE &amp; WEAR'!F6</f>
        <v>198963</v>
      </c>
      <c r="E175" s="21">
        <f>'TYNE &amp; WEAR'!G6</f>
        <v>200692</v>
      </c>
      <c r="F175" s="21">
        <f>'TYNE &amp; WEAR'!H6</f>
        <v>196986</v>
      </c>
      <c r="G175" s="21">
        <f>'TYNE &amp; WEAR'!I6</f>
        <v>180481</v>
      </c>
      <c r="H175" s="21">
        <f>'TYNE &amp; WEAR'!J6</f>
        <v>180183</v>
      </c>
      <c r="I175" s="21">
        <f>'TYNE &amp; WEAR'!K6</f>
        <v>189242</v>
      </c>
      <c r="J175" s="21">
        <f>'TYNE &amp; WEAR'!L6</f>
        <v>178361</v>
      </c>
      <c r="K175" s="178"/>
      <c r="L175" s="179">
        <f t="shared" si="109"/>
        <v>2.5351235315808882</v>
      </c>
      <c r="M175" s="179">
        <f t="shared" si="109"/>
        <v>2.523440456152712</v>
      </c>
      <c r="N175" s="179">
        <f t="shared" si="109"/>
        <v>2.581219755841258</v>
      </c>
      <c r="O175" s="179">
        <f t="shared" si="109"/>
        <v>2.5897746922342373</v>
      </c>
      <c r="P175" s="179">
        <f t="shared" si="109"/>
        <v>2.5538154380688152</v>
      </c>
      <c r="Q175" s="179">
        <f t="shared" si="109"/>
        <v>2.3818328186449178</v>
      </c>
      <c r="R175" s="179">
        <f t="shared" si="109"/>
        <v>2.4098623761184448</v>
      </c>
      <c r="S175" s="179">
        <f t="shared" si="109"/>
        <v>2.4732666797359997</v>
      </c>
      <c r="T175" s="179">
        <f t="shared" si="109"/>
        <v>2.3117830803727659</v>
      </c>
    </row>
    <row r="176" spans="1:20">
      <c r="A176" s="175" t="s">
        <v>8482</v>
      </c>
      <c r="B176" s="21">
        <f>'TYNE &amp; WEAR'!D7</f>
        <v>154834</v>
      </c>
      <c r="C176" s="21">
        <f>'TYNE &amp; WEAR'!E7</f>
        <v>155235</v>
      </c>
      <c r="D176" s="21">
        <f>'TYNE &amp; WEAR'!F7</f>
        <v>156824</v>
      </c>
      <c r="E176" s="21">
        <f>'TYNE &amp; WEAR'!G7</f>
        <v>157479</v>
      </c>
      <c r="F176" s="21">
        <f>'TYNE &amp; WEAR'!H7</f>
        <v>157043</v>
      </c>
      <c r="G176" s="21">
        <f>'TYNE &amp; WEAR'!I7</f>
        <v>154774</v>
      </c>
      <c r="H176" s="21">
        <f>'TYNE &amp; WEAR'!J7</f>
        <v>151045</v>
      </c>
      <c r="I176" s="21">
        <f>'TYNE &amp; WEAR'!K7</f>
        <v>154638</v>
      </c>
      <c r="J176" s="21">
        <f>'TYNE &amp; WEAR'!L7</f>
        <v>153243</v>
      </c>
      <c r="K176" s="178"/>
      <c r="L176" s="179">
        <f t="shared" si="109"/>
        <v>2.0391139440552073</v>
      </c>
      <c r="M176" s="179">
        <f t="shared" si="109"/>
        <v>2.0254824441225976</v>
      </c>
      <c r="N176" s="179">
        <f t="shared" si="109"/>
        <v>2.034535099440848</v>
      </c>
      <c r="O176" s="179">
        <f t="shared" si="109"/>
        <v>2.0321444240844451</v>
      </c>
      <c r="P176" s="179">
        <f t="shared" si="109"/>
        <v>2.0359763528405113</v>
      </c>
      <c r="Q176" s="179">
        <f t="shared" si="109"/>
        <v>2.0425739699633119</v>
      </c>
      <c r="R176" s="179">
        <f t="shared" si="109"/>
        <v>2.0201554120023002</v>
      </c>
      <c r="S176" s="179">
        <f t="shared" si="109"/>
        <v>2.0210154871593806</v>
      </c>
      <c r="T176" s="179">
        <f t="shared" si="109"/>
        <v>1.9862221818983059</v>
      </c>
    </row>
    <row r="177" spans="1:20">
      <c r="A177" s="175" t="s">
        <v>8483</v>
      </c>
      <c r="B177" s="21">
        <f>'TYNE &amp; WEAR'!D8</f>
        <v>115648</v>
      </c>
      <c r="C177" s="21">
        <f>'TYNE &amp; WEAR'!E8</f>
        <v>115688</v>
      </c>
      <c r="D177" s="21">
        <f>'TYNE &amp; WEAR'!F8</f>
        <v>115818</v>
      </c>
      <c r="E177" s="21">
        <f>'TYNE &amp; WEAR'!G8</f>
        <v>116396</v>
      </c>
      <c r="F177" s="21">
        <f>'TYNE &amp; WEAR'!H8</f>
        <v>115153</v>
      </c>
      <c r="G177" s="21">
        <f>'TYNE &amp; WEAR'!I8</f>
        <v>114494</v>
      </c>
      <c r="H177" s="21">
        <f>'TYNE &amp; WEAR'!J8</f>
        <v>115022</v>
      </c>
      <c r="I177" s="21">
        <f>'TYNE &amp; WEAR'!K8</f>
        <v>115223</v>
      </c>
      <c r="J177" s="21">
        <f>'TYNE &amp; WEAR'!L8</f>
        <v>115083</v>
      </c>
      <c r="K177" s="178"/>
      <c r="L177" s="179">
        <f t="shared" si="109"/>
        <v>1.5230469367328663</v>
      </c>
      <c r="M177" s="179">
        <f t="shared" si="109"/>
        <v>1.5094792604480631</v>
      </c>
      <c r="N177" s="179">
        <f t="shared" si="109"/>
        <v>1.5025492663561708</v>
      </c>
      <c r="O177" s="179">
        <f t="shared" si="109"/>
        <v>1.502000154850698</v>
      </c>
      <c r="P177" s="179">
        <f t="shared" si="109"/>
        <v>1.4928954805922161</v>
      </c>
      <c r="Q177" s="179">
        <f t="shared" si="109"/>
        <v>1.5109932166706259</v>
      </c>
      <c r="R177" s="179">
        <f t="shared" si="109"/>
        <v>1.5383648303441266</v>
      </c>
      <c r="S177" s="179">
        <f t="shared" si="109"/>
        <v>1.5058877344311572</v>
      </c>
      <c r="T177" s="179">
        <f t="shared" si="109"/>
        <v>1.4916205461874457</v>
      </c>
    </row>
    <row r="178" spans="1:20">
      <c r="A178" s="175" t="s">
        <v>8484</v>
      </c>
      <c r="B178" s="21">
        <f>'TYNE &amp; WEAR'!D9</f>
        <v>213163</v>
      </c>
      <c r="C178" s="21">
        <f>'TYNE &amp; WEAR'!E9</f>
        <v>216584</v>
      </c>
      <c r="D178" s="21">
        <f>'TYNE &amp; WEAR'!F9</f>
        <v>218220</v>
      </c>
      <c r="E178" s="21">
        <f>'TYNE &amp; WEAR'!G9</f>
        <v>215432</v>
      </c>
      <c r="F178" s="21">
        <f>'TYNE &amp; WEAR'!H9</f>
        <v>213711</v>
      </c>
      <c r="G178" s="21">
        <f>'TYNE &amp; WEAR'!I9</f>
        <v>208509</v>
      </c>
      <c r="H178" s="21">
        <f>'TYNE &amp; WEAR'!J9</f>
        <v>205546</v>
      </c>
      <c r="I178" s="21">
        <f>'TYNE &amp; WEAR'!K9</f>
        <v>202319</v>
      </c>
      <c r="J178" s="21">
        <f>'TYNE &amp; WEAR'!L9</f>
        <v>204776</v>
      </c>
      <c r="K178" s="178"/>
      <c r="L178" s="179">
        <f t="shared" si="109"/>
        <v>2.8072880998788388</v>
      </c>
      <c r="M178" s="179">
        <f t="shared" si="109"/>
        <v>2.8259547761641941</v>
      </c>
      <c r="N178" s="179">
        <f t="shared" si="109"/>
        <v>2.8310478587459946</v>
      </c>
      <c r="O178" s="179">
        <f t="shared" si="109"/>
        <v>2.7799829664232067</v>
      </c>
      <c r="P178" s="179">
        <f t="shared" si="109"/>
        <v>2.7706458889724375</v>
      </c>
      <c r="Q178" s="179">
        <f t="shared" si="109"/>
        <v>2.7517222266212684</v>
      </c>
      <c r="R178" s="179">
        <f t="shared" si="109"/>
        <v>2.7490805012772674</v>
      </c>
      <c r="S178" s="179">
        <f t="shared" si="109"/>
        <v>2.6441743448996928</v>
      </c>
      <c r="T178" s="179">
        <f t="shared" si="109"/>
        <v>2.654154731507524</v>
      </c>
    </row>
    <row r="179" spans="1:20">
      <c r="A179" s="175" t="s">
        <v>5794</v>
      </c>
      <c r="B179" s="177">
        <f t="shared" ref="B179:G179" si="110">SUM(B174:B178)</f>
        <v>823202</v>
      </c>
      <c r="C179" s="177">
        <f t="shared" si="110"/>
        <v>828252</v>
      </c>
      <c r="D179" s="177">
        <f t="shared" si="110"/>
        <v>836803</v>
      </c>
      <c r="E179" s="177">
        <f t="shared" si="110"/>
        <v>838301</v>
      </c>
      <c r="F179" s="177">
        <f t="shared" si="110"/>
        <v>829792</v>
      </c>
      <c r="G179" s="177">
        <f t="shared" si="110"/>
        <v>798880</v>
      </c>
      <c r="H179" s="177">
        <f t="shared" ref="H179" si="111">SUM(H174:H178)</f>
        <v>792738</v>
      </c>
      <c r="I179" s="177">
        <f t="shared" ref="I179:J179" si="112">SUM(I174:I178)</f>
        <v>805406</v>
      </c>
      <c r="J179" s="177">
        <f t="shared" si="112"/>
        <v>796044</v>
      </c>
      <c r="K179" s="178"/>
      <c r="L179" s="179">
        <f t="shared" si="109"/>
        <v>10.84130537849655</v>
      </c>
      <c r="M179" s="179">
        <f t="shared" si="109"/>
        <v>10.806904920342898</v>
      </c>
      <c r="N179" s="179">
        <f t="shared" si="109"/>
        <v>10.856151321337295</v>
      </c>
      <c r="O179" s="179">
        <f t="shared" si="109"/>
        <v>10.817624590290862</v>
      </c>
      <c r="P179" s="179">
        <f t="shared" si="109"/>
        <v>10.757798117561647</v>
      </c>
      <c r="Q179" s="179">
        <f t="shared" si="109"/>
        <v>10.542930292712541</v>
      </c>
      <c r="R179" s="179">
        <f t="shared" si="109"/>
        <v>10.602495686715082</v>
      </c>
      <c r="S179" s="179">
        <f t="shared" si="109"/>
        <v>10.526119061621904</v>
      </c>
      <c r="T179" s="179">
        <f t="shared" si="109"/>
        <v>10.317732298160797</v>
      </c>
    </row>
    <row r="180" spans="1:20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</row>
    <row r="181" spans="1:20">
      <c r="A181" s="185" t="s">
        <v>6944</v>
      </c>
      <c r="B181" s="186">
        <f>B164+B170+B172+B179</f>
        <v>1955672</v>
      </c>
      <c r="C181" s="186">
        <f t="shared" ref="C181:H181" si="113">C164+C170+C172+C179</f>
        <v>1971249</v>
      </c>
      <c r="D181" s="186">
        <f t="shared" si="113"/>
        <v>1986809</v>
      </c>
      <c r="E181" s="186">
        <f t="shared" si="113"/>
        <v>1992991</v>
      </c>
      <c r="F181" s="186">
        <f t="shared" si="113"/>
        <v>1970591</v>
      </c>
      <c r="G181" s="186">
        <f t="shared" si="113"/>
        <v>1901161</v>
      </c>
      <c r="H181" s="186">
        <f t="shared" si="113"/>
        <v>1874396</v>
      </c>
      <c r="I181" s="186">
        <f t="shared" ref="I181:J181" si="114">I164+I170+I172+I179</f>
        <v>1909364</v>
      </c>
      <c r="J181" s="186">
        <f t="shared" si="114"/>
        <v>1913831</v>
      </c>
      <c r="K181" s="185"/>
      <c r="L181" s="187">
        <f t="shared" ref="L181:T181" si="115">B181/B$470</f>
        <v>25.755570773850287</v>
      </c>
      <c r="M181" s="187">
        <f t="shared" si="115"/>
        <v>25.720554272517322</v>
      </c>
      <c r="N181" s="187">
        <f t="shared" si="115"/>
        <v>25.775599693828571</v>
      </c>
      <c r="O181" s="187">
        <f t="shared" si="115"/>
        <v>25.718003974501251</v>
      </c>
      <c r="P181" s="187">
        <f t="shared" si="115"/>
        <v>25.54763139471569</v>
      </c>
      <c r="Q181" s="187">
        <f t="shared" si="115"/>
        <v>25.08988571277747</v>
      </c>
      <c r="R181" s="187">
        <f t="shared" si="115"/>
        <v>25.069159678476375</v>
      </c>
      <c r="S181" s="187">
        <f t="shared" si="115"/>
        <v>24.954113572502123</v>
      </c>
      <c r="T181" s="187">
        <f t="shared" si="115"/>
        <v>24.805658885590969</v>
      </c>
    </row>
    <row r="182" spans="1:20">
      <c r="A182" s="173"/>
      <c r="B182" s="180"/>
      <c r="C182" s="180"/>
      <c r="D182" s="180"/>
      <c r="E182" s="180"/>
      <c r="F182" s="180"/>
      <c r="G182" s="180"/>
      <c r="H182" s="180"/>
      <c r="I182" s="180"/>
      <c r="J182" s="180"/>
      <c r="K182" s="173"/>
      <c r="L182" s="179"/>
      <c r="M182" s="179"/>
      <c r="N182" s="179"/>
      <c r="O182" s="179"/>
      <c r="P182" s="179"/>
      <c r="Q182" s="179"/>
      <c r="R182" s="179"/>
      <c r="S182" s="179"/>
      <c r="T182" s="179"/>
    </row>
    <row r="183" spans="1:20">
      <c r="A183" s="175" t="s">
        <v>5034</v>
      </c>
      <c r="B183" s="177" t="s">
        <v>5035</v>
      </c>
      <c r="C183" s="180"/>
      <c r="D183" s="180"/>
      <c r="E183" s="180"/>
      <c r="F183" s="180"/>
      <c r="G183" s="180"/>
      <c r="H183" s="180"/>
      <c r="I183" s="180"/>
      <c r="J183" s="180"/>
      <c r="K183" s="173"/>
      <c r="L183" s="179"/>
      <c r="M183" s="179"/>
      <c r="N183" s="179"/>
      <c r="O183" s="179"/>
      <c r="P183" s="179"/>
      <c r="Q183" s="179"/>
      <c r="R183" s="179"/>
      <c r="S183" s="179"/>
      <c r="T183" s="179"/>
    </row>
    <row r="184" spans="1:20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</row>
    <row r="185" spans="1:20">
      <c r="A185" s="175" t="s">
        <v>8575</v>
      </c>
      <c r="B185" s="177">
        <f>CHESHIRE!D3</f>
        <v>288796</v>
      </c>
      <c r="C185" s="177">
        <f>CHESHIRE!E3</f>
        <v>286944</v>
      </c>
      <c r="D185" s="177">
        <f>CHESHIRE!F3</f>
        <v>287281</v>
      </c>
      <c r="E185" s="177">
        <f>CHESHIRE!G3</f>
        <v>285686</v>
      </c>
      <c r="F185" s="177">
        <f>CHESHIRE!H3</f>
        <v>285058</v>
      </c>
      <c r="G185" s="177">
        <f>CHESHIRE!I3</f>
        <v>268206</v>
      </c>
      <c r="H185" s="177">
        <f>CHESHIRE!J3</f>
        <v>270905</v>
      </c>
      <c r="I185" s="177">
        <f>CHESHIRE!K3</f>
        <v>292068</v>
      </c>
      <c r="J185" s="177">
        <f>CHESHIRE!L3</f>
        <v>293679</v>
      </c>
      <c r="K185" s="178"/>
      <c r="L185" s="179">
        <f t="shared" ref="L185:T189" si="116">B185/B$470</f>
        <v>3.8033503661170522</v>
      </c>
      <c r="M185" s="179">
        <f t="shared" si="116"/>
        <v>3.7440012525932596</v>
      </c>
      <c r="N185" s="179">
        <f t="shared" si="116"/>
        <v>3.7270014659903219</v>
      </c>
      <c r="O185" s="179">
        <f t="shared" si="116"/>
        <v>3.6865563785583402</v>
      </c>
      <c r="P185" s="179">
        <f t="shared" si="116"/>
        <v>3.6956206082920633</v>
      </c>
      <c r="Q185" s="179">
        <f t="shared" si="116"/>
        <v>3.5395518251643043</v>
      </c>
      <c r="R185" s="179">
        <f t="shared" si="116"/>
        <v>3.6232262033730556</v>
      </c>
      <c r="S185" s="179">
        <f t="shared" si="116"/>
        <v>3.8171338953146443</v>
      </c>
      <c r="T185" s="179">
        <f t="shared" si="116"/>
        <v>3.8064495223776134</v>
      </c>
    </row>
    <row r="186" spans="1:20">
      <c r="A186" s="175" t="s">
        <v>8574</v>
      </c>
      <c r="B186" s="177">
        <f>CHESHIRE!D4</f>
        <v>251933</v>
      </c>
      <c r="C186" s="177">
        <f>CHESHIRE!E4</f>
        <v>249503</v>
      </c>
      <c r="D186" s="177">
        <f>CHESHIRE!F4</f>
        <v>247681</v>
      </c>
      <c r="E186" s="177">
        <f>CHESHIRE!G4</f>
        <v>251088</v>
      </c>
      <c r="F186" s="177">
        <f>CHESHIRE!H4</f>
        <v>254379</v>
      </c>
      <c r="G186" s="177">
        <f>CHESHIRE!I4</f>
        <v>256791</v>
      </c>
      <c r="H186" s="177">
        <f>CHESHIRE!J4</f>
        <v>256498</v>
      </c>
      <c r="I186" s="177">
        <f>CHESHIRE!K4</f>
        <v>261340</v>
      </c>
      <c r="J186" s="177">
        <f>CHESHIRE!L4</f>
        <v>267743</v>
      </c>
      <c r="K186" s="178"/>
      <c r="L186" s="179">
        <f t="shared" si="116"/>
        <v>3.3178765210978245</v>
      </c>
      <c r="M186" s="179">
        <f t="shared" si="116"/>
        <v>3.2554768335486228</v>
      </c>
      <c r="N186" s="179">
        <f t="shared" si="116"/>
        <v>3.2132561850520882</v>
      </c>
      <c r="O186" s="179">
        <f t="shared" si="116"/>
        <v>3.2400960074328333</v>
      </c>
      <c r="P186" s="179">
        <f t="shared" si="116"/>
        <v>3.2978842015194338</v>
      </c>
      <c r="Q186" s="179">
        <f t="shared" si="116"/>
        <v>3.388906485074036</v>
      </c>
      <c r="R186" s="179">
        <f t="shared" si="116"/>
        <v>3.4305393946689136</v>
      </c>
      <c r="S186" s="179">
        <f t="shared" si="116"/>
        <v>3.415539436711756</v>
      </c>
      <c r="T186" s="179">
        <f t="shared" si="116"/>
        <v>3.4702863142068359</v>
      </c>
    </row>
    <row r="187" spans="1:20">
      <c r="A187" s="175" t="s">
        <v>5032</v>
      </c>
      <c r="B187" s="177">
        <f>CHESHIRE!D5</f>
        <v>91631</v>
      </c>
      <c r="C187" s="177">
        <f>CHESHIRE!E5</f>
        <v>92550</v>
      </c>
      <c r="D187" s="177">
        <f>CHESHIRE!F5</f>
        <v>94044</v>
      </c>
      <c r="E187" s="177">
        <f>CHESHIRE!G5</f>
        <v>94403</v>
      </c>
      <c r="F187" s="177">
        <f>CHESHIRE!H5</f>
        <v>94006</v>
      </c>
      <c r="G187" s="177">
        <f>CHESHIRE!I5</f>
        <v>94619</v>
      </c>
      <c r="H187" s="177">
        <f>CHESHIRE!J5</f>
        <v>92958</v>
      </c>
      <c r="I187" s="177">
        <f>CHESHIRE!K5</f>
        <v>93870</v>
      </c>
      <c r="J187" s="177">
        <f>CHESHIRE!L5</f>
        <v>95412</v>
      </c>
      <c r="K187" s="178"/>
      <c r="L187" s="179">
        <f t="shared" si="116"/>
        <v>1.2067507770110097</v>
      </c>
      <c r="M187" s="179">
        <f t="shared" si="116"/>
        <v>1.2075781892198694</v>
      </c>
      <c r="N187" s="179">
        <f t="shared" si="116"/>
        <v>1.2200672020342238</v>
      </c>
      <c r="O187" s="179">
        <f t="shared" si="116"/>
        <v>1.2181975378738998</v>
      </c>
      <c r="P187" s="179">
        <f t="shared" si="116"/>
        <v>1.2187362252703089</v>
      </c>
      <c r="Q187" s="179">
        <f t="shared" si="116"/>
        <v>1.2487000818222609</v>
      </c>
      <c r="R187" s="179">
        <f t="shared" si="116"/>
        <v>1.2432692693495968</v>
      </c>
      <c r="S187" s="179">
        <f t="shared" si="116"/>
        <v>1.2268182709272692</v>
      </c>
      <c r="T187" s="179">
        <f t="shared" si="116"/>
        <v>1.2366596243827201</v>
      </c>
    </row>
    <row r="188" spans="1:20">
      <c r="A188" s="175" t="s">
        <v>6939</v>
      </c>
      <c r="B188" s="177">
        <f>WARRINGTON!D3</f>
        <v>150586</v>
      </c>
      <c r="C188" s="177">
        <f>WARRINGTON!E3</f>
        <v>153048</v>
      </c>
      <c r="D188" s="177">
        <f>WARRINGTON!F3</f>
        <v>154422</v>
      </c>
      <c r="E188" s="177">
        <f>WARRINGTON!G3</f>
        <v>156070</v>
      </c>
      <c r="F188" s="177">
        <f>WARRINGTON!H3</f>
        <v>159271</v>
      </c>
      <c r="G188" s="177">
        <f>WARRINGTON!I3</f>
        <v>156073</v>
      </c>
      <c r="H188" s="177">
        <f>WARRINGTON!J3</f>
        <v>152989</v>
      </c>
      <c r="I188" s="177">
        <f>WARRINGTON!K3</f>
        <v>154119</v>
      </c>
      <c r="J188" s="177">
        <f>WARRINGTON!L3</f>
        <v>154399</v>
      </c>
      <c r="K188" s="178"/>
      <c r="L188" s="179">
        <f t="shared" si="116"/>
        <v>1.9831691513459411</v>
      </c>
      <c r="M188" s="179">
        <f t="shared" si="116"/>
        <v>1.9969468039300113</v>
      </c>
      <c r="N188" s="179">
        <f t="shared" si="116"/>
        <v>2.0033730750768672</v>
      </c>
      <c r="O188" s="179">
        <f t="shared" si="116"/>
        <v>2.0139623712803574</v>
      </c>
      <c r="P188" s="179">
        <f t="shared" si="116"/>
        <v>2.0648611507247128</v>
      </c>
      <c r="Q188" s="179">
        <f t="shared" si="116"/>
        <v>2.0597170533428351</v>
      </c>
      <c r="R188" s="179">
        <f t="shared" si="116"/>
        <v>2.0461554922494618</v>
      </c>
      <c r="S188" s="179">
        <f t="shared" si="116"/>
        <v>2.0142325034307</v>
      </c>
      <c r="T188" s="179">
        <f t="shared" si="116"/>
        <v>2.0012053970681634</v>
      </c>
    </row>
    <row r="189" spans="1:20">
      <c r="A189" s="181" t="s">
        <v>13791</v>
      </c>
      <c r="B189" s="177">
        <f>SUM(B185:B188)</f>
        <v>782946</v>
      </c>
      <c r="C189" s="177">
        <f t="shared" ref="C189:G189" si="117">SUM(C185:C188)</f>
        <v>782045</v>
      </c>
      <c r="D189" s="177">
        <f t="shared" si="117"/>
        <v>783428</v>
      </c>
      <c r="E189" s="177">
        <f t="shared" si="117"/>
        <v>787247</v>
      </c>
      <c r="F189" s="177">
        <f t="shared" si="117"/>
        <v>792714</v>
      </c>
      <c r="G189" s="177">
        <f t="shared" si="117"/>
        <v>775689</v>
      </c>
      <c r="H189" s="177">
        <f t="shared" ref="H189" si="118">SUM(H185:H188)</f>
        <v>773350</v>
      </c>
      <c r="I189" s="177">
        <f t="shared" ref="I189:J189" si="119">SUM(I185:I188)</f>
        <v>801397</v>
      </c>
      <c r="J189" s="177">
        <f t="shared" si="119"/>
        <v>811233</v>
      </c>
      <c r="K189" s="178"/>
      <c r="L189" s="179">
        <f t="shared" si="116"/>
        <v>10.311146815571828</v>
      </c>
      <c r="M189" s="179">
        <f t="shared" si="116"/>
        <v>10.204003079291763</v>
      </c>
      <c r="N189" s="179">
        <f t="shared" si="116"/>
        <v>10.163697928153502</v>
      </c>
      <c r="O189" s="179">
        <f t="shared" si="116"/>
        <v>10.158812295145431</v>
      </c>
      <c r="P189" s="179">
        <f t="shared" si="116"/>
        <v>10.277102185806518</v>
      </c>
      <c r="Q189" s="179">
        <f t="shared" si="116"/>
        <v>10.236875445403436</v>
      </c>
      <c r="R189" s="179">
        <f t="shared" si="116"/>
        <v>10.343190359641028</v>
      </c>
      <c r="S189" s="179">
        <f t="shared" si="116"/>
        <v>10.473724106384369</v>
      </c>
      <c r="T189" s="179">
        <f t="shared" si="116"/>
        <v>10.514600858035333</v>
      </c>
    </row>
    <row r="190" spans="1:20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</row>
    <row r="191" spans="1:20">
      <c r="A191" s="175" t="s">
        <v>5036</v>
      </c>
      <c r="B191" s="177">
        <f>CUMBRIA!D5</f>
        <v>73780</v>
      </c>
      <c r="C191" s="177">
        <f>CUMBRIA!E5</f>
        <v>73411</v>
      </c>
      <c r="D191" s="177">
        <f>CUMBRIA!F5</f>
        <v>74117</v>
      </c>
      <c r="E191" s="177">
        <f>CUMBRIA!G5</f>
        <v>74503</v>
      </c>
      <c r="F191" s="177">
        <f>CUMBRIA!H5</f>
        <v>68633</v>
      </c>
      <c r="G191" s="177">
        <f>CUMBRIA!I5</f>
        <v>70353</v>
      </c>
      <c r="H191" s="177">
        <f>CUMBRIA!J5</f>
        <v>72052</v>
      </c>
      <c r="I191" s="177">
        <f>CUMBRIA!K5</f>
        <v>72480</v>
      </c>
      <c r="J191" s="177">
        <f>CUMBRIA!L5</f>
        <v>73713</v>
      </c>
      <c r="K191" s="178"/>
      <c r="L191" s="179">
        <f t="shared" ref="L191:T197" si="120">B191/B$470</f>
        <v>0.97165885265764107</v>
      </c>
      <c r="M191" s="179">
        <f t="shared" si="120"/>
        <v>0.95785545595699428</v>
      </c>
      <c r="N191" s="179">
        <f t="shared" si="120"/>
        <v>0.961546944123714</v>
      </c>
      <c r="O191" s="179">
        <f t="shared" si="120"/>
        <v>0.9614034634939479</v>
      </c>
      <c r="P191" s="179">
        <f t="shared" si="120"/>
        <v>0.88978919801903178</v>
      </c>
      <c r="Q191" s="179">
        <f t="shared" si="120"/>
        <v>0.92845831023834036</v>
      </c>
      <c r="R191" s="179">
        <f t="shared" si="120"/>
        <v>0.96366141047760434</v>
      </c>
      <c r="S191" s="179">
        <f t="shared" si="120"/>
        <v>0.94726524210939034</v>
      </c>
      <c r="T191" s="179">
        <f t="shared" si="120"/>
        <v>0.95541326973675689</v>
      </c>
    </row>
    <row r="192" spans="1:20">
      <c r="A192" s="175" t="s">
        <v>5037</v>
      </c>
      <c r="B192" s="177">
        <f>CUMBRIA!D6</f>
        <v>53283</v>
      </c>
      <c r="C192" s="177">
        <f>CUMBRIA!E6</f>
        <v>53225</v>
      </c>
      <c r="D192" s="177">
        <f>CUMBRIA!F6</f>
        <v>53014</v>
      </c>
      <c r="E192" s="177">
        <f>CUMBRIA!G6</f>
        <v>53708</v>
      </c>
      <c r="F192" s="177">
        <f>CUMBRIA!H6</f>
        <v>52505</v>
      </c>
      <c r="G192" s="177">
        <f>CUMBRIA!I6</f>
        <v>52222</v>
      </c>
      <c r="H192" s="177">
        <f>CUMBRIA!J6</f>
        <v>52499</v>
      </c>
      <c r="I192" s="177">
        <f>CUMBRIA!K6</f>
        <v>53349</v>
      </c>
      <c r="J192" s="177">
        <f>CUMBRIA!L6</f>
        <v>53078</v>
      </c>
      <c r="K192" s="178"/>
      <c r="L192" s="179">
        <f t="shared" si="120"/>
        <v>0.70171995996417846</v>
      </c>
      <c r="M192" s="179">
        <f t="shared" si="120"/>
        <v>0.69447162745788804</v>
      </c>
      <c r="N192" s="179">
        <f t="shared" si="120"/>
        <v>0.68777000817322043</v>
      </c>
      <c r="O192" s="179">
        <f t="shared" si="120"/>
        <v>0.69306010787931971</v>
      </c>
      <c r="P192" s="179">
        <f t="shared" si="120"/>
        <v>0.68069852464542224</v>
      </c>
      <c r="Q192" s="179">
        <f t="shared" si="120"/>
        <v>0.6891809855623301</v>
      </c>
      <c r="R192" s="179">
        <f t="shared" si="120"/>
        <v>0.70214928646899111</v>
      </c>
      <c r="S192" s="179">
        <f t="shared" si="120"/>
        <v>0.69723583611056661</v>
      </c>
      <c r="T192" s="179">
        <f t="shared" si="120"/>
        <v>0.68795769445128507</v>
      </c>
    </row>
    <row r="193" spans="1:20">
      <c r="A193" s="175" t="s">
        <v>5038</v>
      </c>
      <c r="B193" s="177">
        <f>CUMBRIA!D7</f>
        <v>83014</v>
      </c>
      <c r="C193" s="177">
        <f>CUMBRIA!E7</f>
        <v>83854</v>
      </c>
      <c r="D193" s="177">
        <f>CUMBRIA!F7</f>
        <v>84098</v>
      </c>
      <c r="E193" s="177">
        <f>CUMBRIA!G7</f>
        <v>83932</v>
      </c>
      <c r="F193" s="177">
        <f>CUMBRIA!H7</f>
        <v>83519</v>
      </c>
      <c r="G193" s="177">
        <f>CUMBRIA!I7</f>
        <v>81765</v>
      </c>
      <c r="H193" s="177">
        <f>CUMBRIA!J7</f>
        <v>76825</v>
      </c>
      <c r="I193" s="177">
        <f>CUMBRIA!K7</f>
        <v>76334</v>
      </c>
      <c r="J193" s="177">
        <f>CUMBRIA!L7</f>
        <v>81821</v>
      </c>
      <c r="K193" s="178"/>
      <c r="L193" s="179">
        <f t="shared" si="120"/>
        <v>1.0932676605383764</v>
      </c>
      <c r="M193" s="179">
        <f t="shared" si="120"/>
        <v>1.0941141164650774</v>
      </c>
      <c r="N193" s="179">
        <f t="shared" si="120"/>
        <v>1.0910341069783733</v>
      </c>
      <c r="O193" s="179">
        <f t="shared" si="120"/>
        <v>1.0830773995406096</v>
      </c>
      <c r="P193" s="179">
        <f t="shared" si="120"/>
        <v>1.0827780226618611</v>
      </c>
      <c r="Q193" s="179">
        <f t="shared" si="120"/>
        <v>1.0790640589120279</v>
      </c>
      <c r="R193" s="179">
        <f t="shared" si="120"/>
        <v>1.0274980272572858</v>
      </c>
      <c r="S193" s="179">
        <f t="shared" si="120"/>
        <v>0.99763445076128865</v>
      </c>
      <c r="T193" s="179">
        <f t="shared" si="120"/>
        <v>1.0605031560665172</v>
      </c>
    </row>
    <row r="194" spans="1:20">
      <c r="A194" s="175" t="s">
        <v>5039</v>
      </c>
      <c r="B194" s="177">
        <f>CUMBRIA!D8</f>
        <v>55619</v>
      </c>
      <c r="C194" s="177">
        <f>CUMBRIA!E8</f>
        <v>55710</v>
      </c>
      <c r="D194" s="177">
        <f>CUMBRIA!F8</f>
        <v>55736</v>
      </c>
      <c r="E194" s="177">
        <f>CUMBRIA!G8</f>
        <v>55510</v>
      </c>
      <c r="F194" s="177">
        <f>CUMBRIA!H8</f>
        <v>54095</v>
      </c>
      <c r="G194" s="177">
        <f>CUMBRIA!I8</f>
        <v>53730</v>
      </c>
      <c r="H194" s="177">
        <f>CUMBRIA!J8</f>
        <v>53024</v>
      </c>
      <c r="I194" s="177">
        <f>CUMBRIA!K8</f>
        <v>52665</v>
      </c>
      <c r="J194" s="177">
        <f>CUMBRIA!L8</f>
        <v>53035</v>
      </c>
      <c r="K194" s="178"/>
      <c r="L194" s="179">
        <f t="shared" si="120"/>
        <v>0.73248432808302166</v>
      </c>
      <c r="M194" s="179">
        <f t="shared" si="120"/>
        <v>0.7268955258934513</v>
      </c>
      <c r="N194" s="179">
        <f t="shared" si="120"/>
        <v>0.72308350955488387</v>
      </c>
      <c r="O194" s="179">
        <f t="shared" si="120"/>
        <v>0.71631352104679069</v>
      </c>
      <c r="P194" s="179">
        <f t="shared" si="120"/>
        <v>0.70131200248917469</v>
      </c>
      <c r="Q194" s="179">
        <f t="shared" si="120"/>
        <v>0.70908227096365506</v>
      </c>
      <c r="R194" s="179">
        <f t="shared" si="120"/>
        <v>0.70917091307894986</v>
      </c>
      <c r="S194" s="179">
        <f t="shared" si="120"/>
        <v>0.68829641246814355</v>
      </c>
      <c r="T194" s="179">
        <f t="shared" si="120"/>
        <v>0.68740036032299456</v>
      </c>
    </row>
    <row r="195" spans="1:20">
      <c r="A195" s="175" t="s">
        <v>5040</v>
      </c>
      <c r="B195" s="177">
        <f>CUMBRIA!D9</f>
        <v>41639</v>
      </c>
      <c r="C195" s="177">
        <f>CUMBRIA!E9</f>
        <v>41638</v>
      </c>
      <c r="D195" s="177">
        <f>CUMBRIA!F9</f>
        <v>41610</v>
      </c>
      <c r="E195" s="177">
        <f>CUMBRIA!G9</f>
        <v>41576</v>
      </c>
      <c r="F195" s="177">
        <f>CUMBRIA!H9</f>
        <v>41109</v>
      </c>
      <c r="G195" s="177">
        <f>CUMBRIA!I9</f>
        <v>41083</v>
      </c>
      <c r="H195" s="177">
        <f>CUMBRIA!J9</f>
        <v>40434</v>
      </c>
      <c r="I195" s="177">
        <f>CUMBRIA!K9</f>
        <v>41203</v>
      </c>
      <c r="J195" s="177">
        <f>CUMBRIA!L9</f>
        <v>42005</v>
      </c>
      <c r="K195" s="178"/>
      <c r="L195" s="179">
        <f t="shared" si="120"/>
        <v>0.54837222778275296</v>
      </c>
      <c r="M195" s="179">
        <f t="shared" si="120"/>
        <v>0.54328623060763825</v>
      </c>
      <c r="N195" s="179">
        <f t="shared" si="120"/>
        <v>0.53982174595555321</v>
      </c>
      <c r="O195" s="179">
        <f t="shared" si="120"/>
        <v>0.53650605208145141</v>
      </c>
      <c r="P195" s="179">
        <f t="shared" si="120"/>
        <v>0.53295563564705573</v>
      </c>
      <c r="Q195" s="179">
        <f t="shared" si="120"/>
        <v>0.54217805579750311</v>
      </c>
      <c r="R195" s="179">
        <f t="shared" si="120"/>
        <v>0.54078561970870276</v>
      </c>
      <c r="S195" s="179">
        <f t="shared" si="120"/>
        <v>0.53849571979350452</v>
      </c>
      <c r="T195" s="179">
        <f t="shared" si="120"/>
        <v>0.54443767578707247</v>
      </c>
    </row>
    <row r="196" spans="1:20">
      <c r="A196" s="175" t="s">
        <v>3345</v>
      </c>
      <c r="B196" s="177">
        <f>CUMBRIA!D10</f>
        <v>83025</v>
      </c>
      <c r="C196" s="177">
        <f>CUMBRIA!E10</f>
        <v>82532</v>
      </c>
      <c r="D196" s="177">
        <f>CUMBRIA!F10</f>
        <v>82423</v>
      </c>
      <c r="E196" s="177">
        <f>CUMBRIA!G10</f>
        <v>82783</v>
      </c>
      <c r="F196" s="177">
        <f>CUMBRIA!H10</f>
        <v>79729</v>
      </c>
      <c r="G196" s="177">
        <f>CUMBRIA!I10</f>
        <v>80278</v>
      </c>
      <c r="H196" s="177">
        <f>CUMBRIA!J10</f>
        <v>79163</v>
      </c>
      <c r="I196" s="177">
        <f>CUMBRIA!K10</f>
        <v>80932</v>
      </c>
      <c r="J196" s="177">
        <f>CUMBRIA!L10</f>
        <v>82011</v>
      </c>
      <c r="K196" s="178"/>
      <c r="L196" s="179">
        <f t="shared" si="120"/>
        <v>1.0934125269978401</v>
      </c>
      <c r="M196" s="179">
        <f t="shared" si="120"/>
        <v>1.0768648634542868</v>
      </c>
      <c r="N196" s="179">
        <f t="shared" si="120"/>
        <v>1.0693037194639405</v>
      </c>
      <c r="O196" s="179">
        <f t="shared" si="120"/>
        <v>1.0682504451957571</v>
      </c>
      <c r="P196" s="179">
        <f t="shared" si="120"/>
        <v>1.0336427515751809</v>
      </c>
      <c r="Q196" s="179">
        <f t="shared" si="120"/>
        <v>1.0594399134267691</v>
      </c>
      <c r="R196" s="179">
        <f t="shared" si="120"/>
        <v>1.0587676710936351</v>
      </c>
      <c r="S196" s="179">
        <f t="shared" si="120"/>
        <v>1.0577272430242437</v>
      </c>
      <c r="T196" s="179">
        <f t="shared" si="120"/>
        <v>1.0629657952380336</v>
      </c>
    </row>
    <row r="197" spans="1:20">
      <c r="A197" s="175" t="s">
        <v>3346</v>
      </c>
      <c r="B197" s="177">
        <f t="shared" ref="B197:G197" si="121">SUM(B191:B196)</f>
        <v>390360</v>
      </c>
      <c r="C197" s="177">
        <f t="shared" si="121"/>
        <v>390370</v>
      </c>
      <c r="D197" s="177">
        <f t="shared" si="121"/>
        <v>390998</v>
      </c>
      <c r="E197" s="177">
        <f t="shared" si="121"/>
        <v>392012</v>
      </c>
      <c r="F197" s="177">
        <f t="shared" si="121"/>
        <v>379590</v>
      </c>
      <c r="G197" s="177">
        <f t="shared" si="121"/>
        <v>379431</v>
      </c>
      <c r="H197" s="177">
        <f t="shared" ref="H197" si="122">SUM(H191:H196)</f>
        <v>373997</v>
      </c>
      <c r="I197" s="177">
        <f t="shared" ref="I197:J197" si="123">SUM(I191:I196)</f>
        <v>376963</v>
      </c>
      <c r="J197" s="177">
        <f t="shared" si="123"/>
        <v>385663</v>
      </c>
      <c r="K197" s="178"/>
      <c r="L197" s="179">
        <f t="shared" si="120"/>
        <v>5.1409155560238107</v>
      </c>
      <c r="M197" s="179">
        <f t="shared" si="120"/>
        <v>5.0934878198353362</v>
      </c>
      <c r="N197" s="179">
        <f t="shared" si="120"/>
        <v>5.072560034249685</v>
      </c>
      <c r="O197" s="179">
        <f t="shared" si="120"/>
        <v>5.0586109892378763</v>
      </c>
      <c r="P197" s="179">
        <f t="shared" si="120"/>
        <v>4.9211761350377268</v>
      </c>
      <c r="Q197" s="179">
        <f t="shared" si="120"/>
        <v>5.0074035949006257</v>
      </c>
      <c r="R197" s="179">
        <f t="shared" si="120"/>
        <v>5.0020329280851694</v>
      </c>
      <c r="S197" s="179">
        <f t="shared" si="120"/>
        <v>4.9266549042671368</v>
      </c>
      <c r="T197" s="179">
        <f t="shared" si="120"/>
        <v>4.9986779516026596</v>
      </c>
    </row>
    <row r="198" spans="1:20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</row>
    <row r="199" spans="1:20">
      <c r="A199" s="175" t="s">
        <v>6628</v>
      </c>
      <c r="B199" s="177">
        <f>'GREATER MANCHESTER'!D5</f>
        <v>196202</v>
      </c>
      <c r="C199" s="177">
        <f>'GREATER MANCHESTER'!E5</f>
        <v>196180</v>
      </c>
      <c r="D199" s="177">
        <f>'GREATER MANCHESTER'!F5</f>
        <v>195499</v>
      </c>
      <c r="E199" s="177">
        <f>'GREATER MANCHESTER'!G5</f>
        <v>196620</v>
      </c>
      <c r="F199" s="177">
        <f>'GREATER MANCHESTER'!H5</f>
        <v>196840</v>
      </c>
      <c r="G199" s="177">
        <f>'GREATER MANCHESTER'!I5</f>
        <v>196320</v>
      </c>
      <c r="H199" s="177">
        <f>'GREATER MANCHESTER'!J5</f>
        <v>188874</v>
      </c>
      <c r="I199" s="177">
        <f>'GREATER MANCHESTER'!K5</f>
        <v>193297</v>
      </c>
      <c r="J199" s="177">
        <f>'GREATER MANCHESTER'!L5</f>
        <v>194950</v>
      </c>
      <c r="K199" s="178"/>
      <c r="L199" s="179">
        <f t="shared" ref="L199:L209" si="124">B199/B$470</f>
        <v>2.5839171890638992</v>
      </c>
      <c r="M199" s="179">
        <f t="shared" ref="M199:M209" si="125">C199/C$470</f>
        <v>2.5597265171383463</v>
      </c>
      <c r="N199" s="179">
        <f t="shared" ref="N199:N209" si="126">D199/D$470</f>
        <v>2.5362800171248425</v>
      </c>
      <c r="O199" s="179">
        <f t="shared" ref="O199:O209" si="127">E199/E$470</f>
        <v>2.5372286886726716</v>
      </c>
      <c r="P199" s="179">
        <f t="shared" ref="P199:P209" si="128">F199/F$470</f>
        <v>2.5519226281536027</v>
      </c>
      <c r="Q199" s="179">
        <f t="shared" ref="Q199:T209" si="129">G199/G$470</f>
        <v>2.5908623010531318</v>
      </c>
      <c r="R199" s="179">
        <f t="shared" si="129"/>
        <v>2.5261003891987319</v>
      </c>
      <c r="S199" s="179">
        <f t="shared" si="129"/>
        <v>2.5262628242828202</v>
      </c>
      <c r="T199" s="179">
        <f t="shared" si="129"/>
        <v>2.5267974025637372</v>
      </c>
    </row>
    <row r="200" spans="1:20">
      <c r="A200" s="175" t="s">
        <v>6629</v>
      </c>
      <c r="B200" s="177">
        <f>'GREATER MANCHESTER'!D6</f>
        <v>141734</v>
      </c>
      <c r="C200" s="177">
        <f>'GREATER MANCHESTER'!E6</f>
        <v>143051</v>
      </c>
      <c r="D200" s="177">
        <f>'GREATER MANCHESTER'!F6</f>
        <v>143109</v>
      </c>
      <c r="E200" s="177">
        <f>'GREATER MANCHESTER'!G6</f>
        <v>143450</v>
      </c>
      <c r="F200" s="177">
        <f>'GREATER MANCHESTER'!H6</f>
        <v>143181</v>
      </c>
      <c r="G200" s="177">
        <f>'GREATER MANCHESTER'!I6</f>
        <v>140417</v>
      </c>
      <c r="H200" s="177">
        <f>'GREATER MANCHESTER'!J6</f>
        <v>134649</v>
      </c>
      <c r="I200" s="177">
        <f>'GREATER MANCHESTER'!K6</f>
        <v>138465</v>
      </c>
      <c r="J200" s="177">
        <f>'GREATER MANCHESTER'!L6</f>
        <v>139521</v>
      </c>
      <c r="K200" s="178"/>
      <c r="L200" s="179">
        <f t="shared" si="124"/>
        <v>1.8665911605120371</v>
      </c>
      <c r="M200" s="179">
        <f t="shared" si="125"/>
        <v>1.8665074829399408</v>
      </c>
      <c r="N200" s="179">
        <f t="shared" si="126"/>
        <v>1.8566053891361036</v>
      </c>
      <c r="O200" s="179">
        <f t="shared" si="127"/>
        <v>1.8511110537590008</v>
      </c>
      <c r="P200" s="179">
        <f t="shared" si="128"/>
        <v>1.8562631265071174</v>
      </c>
      <c r="Q200" s="179">
        <f t="shared" si="129"/>
        <v>1.8531026473460555</v>
      </c>
      <c r="R200" s="179">
        <f t="shared" si="129"/>
        <v>1.800866669341572</v>
      </c>
      <c r="S200" s="179">
        <f t="shared" si="129"/>
        <v>1.8096451676141934</v>
      </c>
      <c r="T200" s="179">
        <f t="shared" si="129"/>
        <v>1.8083677886796365</v>
      </c>
    </row>
    <row r="201" spans="1:20">
      <c r="A201" s="175" t="s">
        <v>6630</v>
      </c>
      <c r="B201" s="177">
        <f>'GREATER MANCHESTER'!D7</f>
        <v>336366</v>
      </c>
      <c r="C201" s="177">
        <f>'GREATER MANCHESTER'!E7</f>
        <v>343889</v>
      </c>
      <c r="D201" s="177">
        <f>'GREATER MANCHESTER'!F7</f>
        <v>351324</v>
      </c>
      <c r="E201" s="177">
        <f>'GREATER MANCHESTER'!G7</f>
        <v>353684</v>
      </c>
      <c r="F201" s="177">
        <f>'GREATER MANCHESTER'!H7</f>
        <v>358357</v>
      </c>
      <c r="G201" s="177">
        <f>'GREATER MANCHESTER'!I7</f>
        <v>346080</v>
      </c>
      <c r="H201" s="177">
        <f>'GREATER MANCHESTER'!J7</f>
        <v>345660</v>
      </c>
      <c r="I201" s="177">
        <f>'GREATER MANCHESTER'!K7</f>
        <v>332071</v>
      </c>
      <c r="J201" s="177">
        <f>'GREATER MANCHESTER'!L7</f>
        <v>340724</v>
      </c>
      <c r="K201" s="178"/>
      <c r="L201" s="179">
        <f t="shared" si="124"/>
        <v>4.429831954907022</v>
      </c>
      <c r="M201" s="179">
        <f t="shared" si="125"/>
        <v>4.4870108688560952</v>
      </c>
      <c r="N201" s="179">
        <f t="shared" si="126"/>
        <v>4.5578547242511123</v>
      </c>
      <c r="O201" s="179">
        <f t="shared" si="127"/>
        <v>4.5640178594471834</v>
      </c>
      <c r="P201" s="179">
        <f t="shared" si="128"/>
        <v>4.6459019368890502</v>
      </c>
      <c r="Q201" s="179">
        <f t="shared" si="129"/>
        <v>4.5672658167709237</v>
      </c>
      <c r="R201" s="179">
        <f t="shared" si="129"/>
        <v>4.6230389599967898</v>
      </c>
      <c r="S201" s="179">
        <f t="shared" si="129"/>
        <v>4.3399464157354766</v>
      </c>
      <c r="T201" s="179">
        <f t="shared" si="129"/>
        <v>4.416211942503856</v>
      </c>
    </row>
    <row r="202" spans="1:20">
      <c r="A202" s="175" t="s">
        <v>6631</v>
      </c>
      <c r="B202" s="177">
        <f>'GREATER MANCHESTER'!D8</f>
        <v>160184</v>
      </c>
      <c r="C202" s="177">
        <f>'GREATER MANCHESTER'!E8</f>
        <v>160369</v>
      </c>
      <c r="D202" s="177">
        <f>'GREATER MANCHESTER'!F8</f>
        <v>158724</v>
      </c>
      <c r="E202" s="177">
        <f>'GREATER MANCHESTER'!G8</f>
        <v>160486</v>
      </c>
      <c r="F202" s="177">
        <f>'GREATER MANCHESTER'!H8</f>
        <v>160329</v>
      </c>
      <c r="G202" s="177">
        <f>'GREATER MANCHESTER'!I8</f>
        <v>155990</v>
      </c>
      <c r="H202" s="177">
        <f>'GREATER MANCHESTER'!J8</f>
        <v>153751</v>
      </c>
      <c r="I202" s="177">
        <f>'GREATER MANCHESTER'!K8</f>
        <v>156597</v>
      </c>
      <c r="J202" s="177">
        <f>'GREATER MANCHESTER'!L8</f>
        <v>157063</v>
      </c>
      <c r="K202" s="178"/>
      <c r="L202" s="179">
        <f t="shared" si="124"/>
        <v>2.1095717220671126</v>
      </c>
      <c r="M202" s="179">
        <f t="shared" si="125"/>
        <v>2.0924700878120066</v>
      </c>
      <c r="N202" s="179">
        <f t="shared" si="126"/>
        <v>2.0591844942333388</v>
      </c>
      <c r="O202" s="179">
        <f t="shared" si="127"/>
        <v>2.0709474281879889</v>
      </c>
      <c r="P202" s="179">
        <f t="shared" si="128"/>
        <v>2.0785775403842663</v>
      </c>
      <c r="Q202" s="179">
        <f t="shared" si="129"/>
        <v>2.0586216908174308</v>
      </c>
      <c r="R202" s="179">
        <f t="shared" si="129"/>
        <v>2.0563468817290587</v>
      </c>
      <c r="S202" s="179">
        <f t="shared" si="129"/>
        <v>2.0466183101352677</v>
      </c>
      <c r="T202" s="179">
        <f t="shared" si="129"/>
        <v>2.0357341905045816</v>
      </c>
    </row>
    <row r="203" spans="1:20">
      <c r="A203" s="175" t="s">
        <v>6632</v>
      </c>
      <c r="B203" s="177">
        <f>'GREATER MANCHESTER'!D9</f>
        <v>156502</v>
      </c>
      <c r="C203" s="177">
        <f>'GREATER MANCHESTER'!E9</f>
        <v>157335</v>
      </c>
      <c r="D203" s="177">
        <f>'GREATER MANCHESTER'!F9</f>
        <v>157055</v>
      </c>
      <c r="E203" s="177">
        <f>'GREATER MANCHESTER'!G9</f>
        <v>158823</v>
      </c>
      <c r="F203" s="177">
        <f>'GREATER MANCHESTER'!H9</f>
        <v>157282</v>
      </c>
      <c r="G203" s="177">
        <f>'GREATER MANCHESTER'!I9</f>
        <v>157278</v>
      </c>
      <c r="H203" s="177">
        <f>'GREATER MANCHESTER'!J9</f>
        <v>148410</v>
      </c>
      <c r="I203" s="177">
        <f>'GREATER MANCHESTER'!K9</f>
        <v>155201</v>
      </c>
      <c r="J203" s="177">
        <f>'GREATER MANCHESTER'!L9</f>
        <v>157319</v>
      </c>
      <c r="K203" s="178"/>
      <c r="L203" s="179">
        <f t="shared" si="124"/>
        <v>2.0610809671811623</v>
      </c>
      <c r="M203" s="179">
        <f t="shared" si="125"/>
        <v>2.0528829216737776</v>
      </c>
      <c r="N203" s="179">
        <f t="shared" si="126"/>
        <v>2.0375319469129876</v>
      </c>
      <c r="O203" s="179">
        <f t="shared" si="127"/>
        <v>2.0494877022737246</v>
      </c>
      <c r="P203" s="179">
        <f t="shared" si="128"/>
        <v>2.0390748567428112</v>
      </c>
      <c r="Q203" s="179">
        <f t="shared" si="129"/>
        <v>2.0756196056694907</v>
      </c>
      <c r="R203" s="179">
        <f t="shared" si="129"/>
        <v>1.984913533683746</v>
      </c>
      <c r="S203" s="179">
        <f t="shared" si="129"/>
        <v>2.028373521531726</v>
      </c>
      <c r="T203" s="179">
        <f t="shared" si="129"/>
        <v>2.03905227275673</v>
      </c>
    </row>
    <row r="204" spans="1:20">
      <c r="A204" s="175" t="s">
        <v>6633</v>
      </c>
      <c r="B204" s="177">
        <f>'GREATER MANCHESTER'!D10</f>
        <v>162868</v>
      </c>
      <c r="C204" s="177">
        <f>'GREATER MANCHESTER'!E10</f>
        <v>165689</v>
      </c>
      <c r="D204" s="177">
        <f>'GREATER MANCHESTER'!F10</f>
        <v>167566</v>
      </c>
      <c r="E204" s="177">
        <f>'GREATER MANCHESTER'!G10</f>
        <v>168738</v>
      </c>
      <c r="F204" s="177">
        <f>'GREATER MANCHESTER'!H10</f>
        <v>169093</v>
      </c>
      <c r="G204" s="177">
        <f>'GREATER MANCHESTER'!I10</f>
        <v>159585</v>
      </c>
      <c r="H204" s="177">
        <f>'GREATER MANCHESTER'!J10</f>
        <v>162645</v>
      </c>
      <c r="I204" s="177">
        <f>'GREATER MANCHESTER'!K10</f>
        <v>162307</v>
      </c>
      <c r="J204" s="177">
        <f>'GREATER MANCHESTER'!L10</f>
        <v>165286</v>
      </c>
      <c r="K204" s="178"/>
      <c r="L204" s="179">
        <f t="shared" si="124"/>
        <v>2.1449191381762631</v>
      </c>
      <c r="M204" s="179">
        <f t="shared" si="125"/>
        <v>2.1618846309416631</v>
      </c>
      <c r="N204" s="179">
        <f t="shared" si="126"/>
        <v>2.1738949935781839</v>
      </c>
      <c r="O204" s="179">
        <f t="shared" si="127"/>
        <v>2.177433091594188</v>
      </c>
      <c r="P204" s="179">
        <f t="shared" si="128"/>
        <v>2.1921979931029116</v>
      </c>
      <c r="Q204" s="179">
        <f t="shared" si="129"/>
        <v>2.1060654050201917</v>
      </c>
      <c r="R204" s="179">
        <f t="shared" si="129"/>
        <v>2.1752999237651967</v>
      </c>
      <c r="S204" s="179">
        <f t="shared" si="129"/>
        <v>2.1212442004835652</v>
      </c>
      <c r="T204" s="179">
        <f t="shared" si="129"/>
        <v>2.1423146215960496</v>
      </c>
    </row>
    <row r="205" spans="1:20">
      <c r="A205" s="175" t="s">
        <v>6634</v>
      </c>
      <c r="B205" s="177">
        <f>'GREATER MANCHESTER'!D11</f>
        <v>218383</v>
      </c>
      <c r="C205" s="177">
        <f>'GREATER MANCHESTER'!E11</f>
        <v>217872</v>
      </c>
      <c r="D205" s="177">
        <f>'GREATER MANCHESTER'!F11</f>
        <v>220277</v>
      </c>
      <c r="E205" s="177">
        <f>'GREATER MANCHESTER'!G11</f>
        <v>221580</v>
      </c>
      <c r="F205" s="177">
        <f>'GREATER MANCHESTER'!H11</f>
        <v>219880</v>
      </c>
      <c r="G205" s="177">
        <f>'GREATER MANCHESTER'!I11</f>
        <v>220746</v>
      </c>
      <c r="H205" s="177">
        <f>'GREATER MANCHESTER'!J11</f>
        <v>211848</v>
      </c>
      <c r="I205" s="177">
        <f>'GREATER MANCHESTER'!K11</f>
        <v>216687</v>
      </c>
      <c r="J205" s="177">
        <f>'GREATER MANCHESTER'!L11</f>
        <v>218294</v>
      </c>
      <c r="K205" s="178"/>
      <c r="L205" s="179">
        <f t="shared" si="124"/>
        <v>2.8760338197334456</v>
      </c>
      <c r="M205" s="179">
        <f t="shared" si="125"/>
        <v>2.8427604023955846</v>
      </c>
      <c r="N205" s="179">
        <f t="shared" si="126"/>
        <v>2.8577340719502859</v>
      </c>
      <c r="O205" s="179">
        <f t="shared" si="127"/>
        <v>2.8593181407592847</v>
      </c>
      <c r="P205" s="179">
        <f t="shared" si="128"/>
        <v>2.8506235901159021</v>
      </c>
      <c r="Q205" s="179">
        <f t="shared" si="129"/>
        <v>2.9132156148546997</v>
      </c>
      <c r="R205" s="179">
        <f t="shared" si="129"/>
        <v>2.8333667696505236</v>
      </c>
      <c r="S205" s="179">
        <f t="shared" si="129"/>
        <v>2.8319545187218194</v>
      </c>
      <c r="T205" s="179">
        <f t="shared" si="129"/>
        <v>2.8293650279315128</v>
      </c>
    </row>
    <row r="206" spans="1:20">
      <c r="A206" s="175" t="s">
        <v>6635</v>
      </c>
      <c r="B206" s="177">
        <f>'GREATER MANCHESTER'!D12</f>
        <v>164902</v>
      </c>
      <c r="C206" s="177">
        <f>'GREATER MANCHESTER'!E12</f>
        <v>168321</v>
      </c>
      <c r="D206" s="177">
        <f>'GREATER MANCHESTER'!F12</f>
        <v>166636</v>
      </c>
      <c r="E206" s="177">
        <f>'GREATER MANCHESTER'!G12</f>
        <v>165961</v>
      </c>
      <c r="F206" s="177">
        <f>'GREATER MANCHESTER'!H12</f>
        <v>169561</v>
      </c>
      <c r="G206" s="177">
        <f>'GREATER MANCHESTER'!I12</f>
        <v>166761</v>
      </c>
      <c r="H206" s="177">
        <f>'GREATER MANCHESTER'!J12</f>
        <v>163976</v>
      </c>
      <c r="I206" s="177">
        <f>'GREATER MANCHESTER'!K12</f>
        <v>167545</v>
      </c>
      <c r="J206" s="177">
        <f>'GREATER MANCHESTER'!L12</f>
        <v>168472</v>
      </c>
      <c r="K206" s="178"/>
      <c r="L206" s="179">
        <f t="shared" si="124"/>
        <v>2.1717062634989199</v>
      </c>
      <c r="M206" s="179">
        <f t="shared" si="125"/>
        <v>2.1962265628058089</v>
      </c>
      <c r="N206" s="179">
        <f t="shared" si="126"/>
        <v>2.1618297634955437</v>
      </c>
      <c r="O206" s="179">
        <f t="shared" si="127"/>
        <v>2.1415980592045836</v>
      </c>
      <c r="P206" s="179">
        <f t="shared" si="128"/>
        <v>2.198265356392771</v>
      </c>
      <c r="Q206" s="179">
        <f t="shared" si="129"/>
        <v>2.2007680734816693</v>
      </c>
      <c r="R206" s="179">
        <f t="shared" si="129"/>
        <v>2.1931014190373017</v>
      </c>
      <c r="S206" s="179">
        <f t="shared" si="129"/>
        <v>2.1897013657452788</v>
      </c>
      <c r="T206" s="179">
        <f t="shared" si="129"/>
        <v>2.1836091921247394</v>
      </c>
    </row>
    <row r="207" spans="1:20">
      <c r="A207" s="175" t="s">
        <v>6636</v>
      </c>
      <c r="B207" s="177">
        <f>'GREATER MANCHESTER'!D13</f>
        <v>164342</v>
      </c>
      <c r="C207" s="177">
        <f>'GREATER MANCHESTER'!E13</f>
        <v>165686</v>
      </c>
      <c r="D207" s="177">
        <f>'GREATER MANCHESTER'!F13</f>
        <v>158458</v>
      </c>
      <c r="E207" s="177">
        <f>'GREATER MANCHESTER'!G13</f>
        <v>158924</v>
      </c>
      <c r="F207" s="177">
        <f>'GREATER MANCHESTER'!H13</f>
        <v>160141</v>
      </c>
      <c r="G207" s="177">
        <f>'GREATER MANCHESTER'!I13</f>
        <v>158831</v>
      </c>
      <c r="H207" s="177">
        <f>'GREATER MANCHESTER'!J13</f>
        <v>159419</v>
      </c>
      <c r="I207" s="177">
        <f>'GREATER MANCHESTER'!K13</f>
        <v>162852</v>
      </c>
      <c r="J207" s="177">
        <f>'GREATER MANCHESTER'!L13</f>
        <v>165628</v>
      </c>
      <c r="K207" s="178"/>
      <c r="L207" s="179">
        <f t="shared" si="124"/>
        <v>2.1643312437444027</v>
      </c>
      <c r="M207" s="179">
        <f t="shared" si="125"/>
        <v>2.1618454874023043</v>
      </c>
      <c r="N207" s="179">
        <f t="shared" si="126"/>
        <v>2.0557335789623901</v>
      </c>
      <c r="O207" s="179">
        <f t="shared" si="127"/>
        <v>2.0507910289828888</v>
      </c>
      <c r="P207" s="179">
        <f t="shared" si="128"/>
        <v>2.0761402235071436</v>
      </c>
      <c r="Q207" s="179">
        <f t="shared" si="129"/>
        <v>2.0961147623195293</v>
      </c>
      <c r="R207" s="179">
        <f t="shared" si="129"/>
        <v>2.1321537000628603</v>
      </c>
      <c r="S207" s="179">
        <f t="shared" si="129"/>
        <v>2.1283669868653203</v>
      </c>
      <c r="T207" s="179">
        <f t="shared" si="129"/>
        <v>2.146747372104779</v>
      </c>
    </row>
    <row r="208" spans="1:20">
      <c r="A208" s="175" t="s">
        <v>6637</v>
      </c>
      <c r="B208" s="177">
        <f>'GREATER MANCHESTER'!D14</f>
        <v>234430</v>
      </c>
      <c r="C208" s="177">
        <f>'GREATER MANCHESTER'!E14</f>
        <v>239598</v>
      </c>
      <c r="D208" s="177">
        <f>'GREATER MANCHESTER'!F14</f>
        <v>241713</v>
      </c>
      <c r="E208" s="177">
        <f>'GREATER MANCHESTER'!G14</f>
        <v>243181</v>
      </c>
      <c r="F208" s="177">
        <f>'GREATER MANCHESTER'!H14</f>
        <v>243386</v>
      </c>
      <c r="G208" s="177">
        <f>'GREATER MANCHESTER'!I14</f>
        <v>231622</v>
      </c>
      <c r="H208" s="177">
        <f>'GREATER MANCHESTER'!J14</f>
        <v>227997</v>
      </c>
      <c r="I208" s="177">
        <f>'GREATER MANCHESTER'!K14</f>
        <v>231167</v>
      </c>
      <c r="J208" s="177">
        <f>'GREATER MANCHESTER'!L14</f>
        <v>233131</v>
      </c>
      <c r="K208" s="178"/>
      <c r="L208" s="179">
        <f t="shared" si="124"/>
        <v>3.0873676447347629</v>
      </c>
      <c r="M208" s="179">
        <f t="shared" si="125"/>
        <v>3.126237914432223</v>
      </c>
      <c r="N208" s="179">
        <f t="shared" si="126"/>
        <v>3.1358311386723057</v>
      </c>
      <c r="O208" s="179">
        <f t="shared" si="127"/>
        <v>3.1380623015975431</v>
      </c>
      <c r="P208" s="179">
        <f t="shared" si="128"/>
        <v>3.1553659864651125</v>
      </c>
      <c r="Q208" s="179">
        <f t="shared" si="129"/>
        <v>3.0567476970992691</v>
      </c>
      <c r="R208" s="179">
        <f t="shared" si="129"/>
        <v>3.0493520041728526</v>
      </c>
      <c r="S208" s="179">
        <f t="shared" si="129"/>
        <v>3.0211984578187283</v>
      </c>
      <c r="T208" s="179">
        <f t="shared" si="129"/>
        <v>3.0216712247093436</v>
      </c>
    </row>
    <row r="209" spans="1:20">
      <c r="A209" s="175" t="s">
        <v>6638</v>
      </c>
      <c r="B209" s="177">
        <f t="shared" ref="B209:G209" si="130">SUM(B199:B208)</f>
        <v>1935913</v>
      </c>
      <c r="C209" s="177">
        <f t="shared" si="130"/>
        <v>1957990</v>
      </c>
      <c r="D209" s="177">
        <f t="shared" si="130"/>
        <v>1960361</v>
      </c>
      <c r="E209" s="177">
        <f t="shared" si="130"/>
        <v>1971447</v>
      </c>
      <c r="F209" s="177">
        <f t="shared" si="130"/>
        <v>1978050</v>
      </c>
      <c r="G209" s="177">
        <f t="shared" si="130"/>
        <v>1933630</v>
      </c>
      <c r="H209" s="177">
        <f t="shared" ref="H209" si="131">SUM(H199:H208)</f>
        <v>1897229</v>
      </c>
      <c r="I209" s="177">
        <f t="shared" ref="I209:J209" si="132">SUM(I199:I208)</f>
        <v>1916189</v>
      </c>
      <c r="J209" s="177">
        <f t="shared" si="132"/>
        <v>1940388</v>
      </c>
      <c r="K209" s="178"/>
      <c r="L209" s="179">
        <f t="shared" si="124"/>
        <v>25.495351103619029</v>
      </c>
      <c r="M209" s="179">
        <f t="shared" si="125"/>
        <v>25.547552876397752</v>
      </c>
      <c r="N209" s="179">
        <f t="shared" si="126"/>
        <v>25.432480118317095</v>
      </c>
      <c r="O209" s="179">
        <f t="shared" si="127"/>
        <v>25.439995354479056</v>
      </c>
      <c r="P209" s="179">
        <f t="shared" si="128"/>
        <v>25.644333238260689</v>
      </c>
      <c r="Q209" s="179">
        <f t="shared" si="129"/>
        <v>25.518383614432391</v>
      </c>
      <c r="R209" s="179">
        <f t="shared" si="129"/>
        <v>25.374540250638635</v>
      </c>
      <c r="S209" s="179">
        <f t="shared" si="129"/>
        <v>25.043311768934196</v>
      </c>
      <c r="T209" s="179">
        <f t="shared" si="129"/>
        <v>25.149871035474966</v>
      </c>
    </row>
    <row r="210" spans="1:20">
      <c r="A210" s="173"/>
      <c r="K210" s="173"/>
      <c r="L210" s="179"/>
      <c r="M210" s="179"/>
      <c r="N210" s="179"/>
      <c r="O210" s="179"/>
      <c r="P210" s="179"/>
      <c r="Q210" s="179"/>
      <c r="R210" s="179"/>
      <c r="S210" s="179"/>
      <c r="T210" s="179"/>
    </row>
    <row r="211" spans="1:20">
      <c r="A211" s="175" t="s">
        <v>5075</v>
      </c>
      <c r="B211" s="177">
        <f>LANCASHIRE!D8</f>
        <v>66876</v>
      </c>
      <c r="C211" s="177">
        <f>LANCASHIRE!E8</f>
        <v>67003</v>
      </c>
      <c r="D211" s="177">
        <f>LANCASHIRE!F8</f>
        <v>66950</v>
      </c>
      <c r="E211" s="177">
        <f>LANCASHIRE!G8</f>
        <v>65897</v>
      </c>
      <c r="F211" s="177">
        <f>LANCASHIRE!H8</f>
        <v>66830</v>
      </c>
      <c r="G211" s="177">
        <f>LANCASHIRE!I8</f>
        <v>63833</v>
      </c>
      <c r="H211" s="177">
        <f>LANCASHIRE!J8</f>
        <v>63228</v>
      </c>
      <c r="I211" s="177">
        <f>LANCASHIRE!K8</f>
        <v>64147</v>
      </c>
      <c r="J211" s="177">
        <f>LANCASHIRE!L8</f>
        <v>64338</v>
      </c>
      <c r="K211" s="178"/>
      <c r="L211" s="179">
        <f t="shared" ref="L211:L226" si="133">B211/B$470</f>
        <v>0.8807353948269504</v>
      </c>
      <c r="M211" s="179">
        <f t="shared" ref="M211:M226" si="134">C211/C$470</f>
        <v>0.87424485588653589</v>
      </c>
      <c r="N211" s="179">
        <f t="shared" ref="N211:N226" si="135">D211/D$470</f>
        <v>0.86856683229330189</v>
      </c>
      <c r="O211" s="179">
        <f t="shared" ref="O211:O226" si="136">E211/E$470</f>
        <v>0.85034970449325109</v>
      </c>
      <c r="P211" s="179">
        <f t="shared" ref="P211:P226" si="137">F211/F$470</f>
        <v>0.86641429201130504</v>
      </c>
      <c r="Q211" s="179">
        <f t="shared" ref="Q211:T226" si="138">G211/G$470</f>
        <v>0.84241296486921635</v>
      </c>
      <c r="R211" s="179">
        <f t="shared" si="138"/>
        <v>0.84564458532279418</v>
      </c>
      <c r="S211" s="179">
        <f t="shared" si="138"/>
        <v>0.83835849179899369</v>
      </c>
      <c r="T211" s="179">
        <f t="shared" si="138"/>
        <v>0.83390146851062175</v>
      </c>
    </row>
    <row r="212" spans="1:20">
      <c r="A212" s="175" t="s">
        <v>5076</v>
      </c>
      <c r="B212" s="177">
        <f>LANCASHIRE!D9</f>
        <v>79444</v>
      </c>
      <c r="C212" s="177">
        <f>LANCASHIRE!E9</f>
        <v>79612</v>
      </c>
      <c r="D212" s="177">
        <f>LANCASHIRE!F9</f>
        <v>80727</v>
      </c>
      <c r="E212" s="177">
        <f>LANCASHIRE!G9</f>
        <v>81776</v>
      </c>
      <c r="F212" s="177">
        <f>LANCASHIRE!H9</f>
        <v>82425</v>
      </c>
      <c r="G212" s="177">
        <f>LANCASHIRE!I9</f>
        <v>80674</v>
      </c>
      <c r="H212" s="177">
        <f>LANCASHIRE!J9</f>
        <v>81668</v>
      </c>
      <c r="I212" s="177">
        <f>LANCASHIRE!K9</f>
        <v>83952</v>
      </c>
      <c r="J212" s="177">
        <f>LANCASHIRE!L9</f>
        <v>84565</v>
      </c>
      <c r="K212" s="178"/>
      <c r="L212" s="179">
        <f t="shared" si="133"/>
        <v>1.0462519096033294</v>
      </c>
      <c r="M212" s="179">
        <f t="shared" si="134"/>
        <v>1.0387651518116934</v>
      </c>
      <c r="N212" s="179">
        <f t="shared" si="135"/>
        <v>1.0473008912702222</v>
      </c>
      <c r="O212" s="179">
        <f t="shared" si="136"/>
        <v>1.0552558907786409</v>
      </c>
      <c r="P212" s="179">
        <f t="shared" si="137"/>
        <v>1.0685949127492416</v>
      </c>
      <c r="Q212" s="179">
        <f t="shared" si="138"/>
        <v>1.0646659804154459</v>
      </c>
      <c r="R212" s="179">
        <f t="shared" si="138"/>
        <v>1.092270860918295</v>
      </c>
      <c r="S212" s="179">
        <f t="shared" si="138"/>
        <v>1.0971966281121348</v>
      </c>
      <c r="T212" s="179">
        <f t="shared" si="138"/>
        <v>1.0960688502067322</v>
      </c>
    </row>
    <row r="213" spans="1:20">
      <c r="A213" s="175" t="s">
        <v>5077</v>
      </c>
      <c r="B213" s="177">
        <f>LANCASHIRE!D10</f>
        <v>61208</v>
      </c>
      <c r="C213" s="177">
        <f>LANCASHIRE!E10</f>
        <v>61748</v>
      </c>
      <c r="D213" s="177">
        <f>LANCASHIRE!F10</f>
        <v>60559</v>
      </c>
      <c r="E213" s="177">
        <f>LANCASHIRE!G10</f>
        <v>61240</v>
      </c>
      <c r="F213" s="177">
        <f>LANCASHIRE!H10</f>
        <v>60486</v>
      </c>
      <c r="G213" s="177">
        <f>LANCASHIRE!I10</f>
        <v>59258</v>
      </c>
      <c r="H213" s="177">
        <f>LANCASHIRE!J10</f>
        <v>59381</v>
      </c>
      <c r="I213" s="177">
        <f>LANCASHIRE!K10</f>
        <v>60098</v>
      </c>
      <c r="J213" s="177">
        <f>LANCASHIRE!L10</f>
        <v>60428</v>
      </c>
      <c r="K213" s="178"/>
      <c r="L213" s="179">
        <f t="shared" si="133"/>
        <v>0.80608965916872988</v>
      </c>
      <c r="M213" s="179">
        <f t="shared" si="134"/>
        <v>0.80567842277632074</v>
      </c>
      <c r="N213" s="179">
        <f t="shared" si="135"/>
        <v>0.78565405223077023</v>
      </c>
      <c r="O213" s="179">
        <f t="shared" si="136"/>
        <v>0.79025472939840502</v>
      </c>
      <c r="P213" s="179">
        <f t="shared" si="137"/>
        <v>0.78416781185988016</v>
      </c>
      <c r="Q213" s="179">
        <f t="shared" si="138"/>
        <v>0.78203605458336634</v>
      </c>
      <c r="R213" s="179">
        <f t="shared" si="138"/>
        <v>0.79419278043039232</v>
      </c>
      <c r="S213" s="179">
        <f t="shared" si="138"/>
        <v>0.78544076324903611</v>
      </c>
      <c r="T213" s="179">
        <f t="shared" si="138"/>
        <v>0.78322294661257497</v>
      </c>
    </row>
    <row r="214" spans="1:20">
      <c r="A214" s="175" t="s">
        <v>5078</v>
      </c>
      <c r="B214" s="177">
        <f>LANCASHIRE!D11</f>
        <v>57978</v>
      </c>
      <c r="C214" s="177">
        <f>LANCASHIRE!E11</f>
        <v>60671</v>
      </c>
      <c r="D214" s="177">
        <f>LANCASHIRE!F11</f>
        <v>60554</v>
      </c>
      <c r="E214" s="177">
        <f>LANCASHIRE!G11</f>
        <v>60099</v>
      </c>
      <c r="F214" s="177">
        <f>LANCASHIRE!H11</f>
        <v>60381</v>
      </c>
      <c r="G214" s="177">
        <f>LANCASHIRE!I11</f>
        <v>58870</v>
      </c>
      <c r="H214" s="177">
        <f>LANCASHIRE!J11</f>
        <v>59715</v>
      </c>
      <c r="I214" s="177">
        <f>LANCASHIRE!K11</f>
        <v>63001</v>
      </c>
      <c r="J214" s="177">
        <f>LANCASHIRE!L11</f>
        <v>59021</v>
      </c>
      <c r="K214" s="178"/>
      <c r="L214" s="179">
        <f t="shared" si="133"/>
        <v>0.76355159879892531</v>
      </c>
      <c r="M214" s="179">
        <f t="shared" si="134"/>
        <v>0.79162589214650125</v>
      </c>
      <c r="N214" s="179">
        <f t="shared" si="135"/>
        <v>0.78558918540236888</v>
      </c>
      <c r="O214" s="179">
        <f t="shared" si="136"/>
        <v>0.7755310088522982</v>
      </c>
      <c r="P214" s="179">
        <f t="shared" si="137"/>
        <v>0.78280654445510411</v>
      </c>
      <c r="Q214" s="179">
        <f t="shared" si="138"/>
        <v>0.77691556470557188</v>
      </c>
      <c r="R214" s="179">
        <f t="shared" si="138"/>
        <v>0.79865987240701364</v>
      </c>
      <c r="S214" s="179">
        <f t="shared" si="138"/>
        <v>0.8233810363980919</v>
      </c>
      <c r="T214" s="179">
        <f t="shared" si="138"/>
        <v>0.76498645548455668</v>
      </c>
    </row>
    <row r="215" spans="1:20">
      <c r="A215" s="175" t="s">
        <v>5079</v>
      </c>
      <c r="B215" s="177">
        <f>LANCASHIRE!D12</f>
        <v>107588</v>
      </c>
      <c r="C215" s="177">
        <f>LANCASHIRE!E12</f>
        <v>109144</v>
      </c>
      <c r="D215" s="177">
        <f>LANCASHIRE!F12</f>
        <v>106678</v>
      </c>
      <c r="E215" s="177">
        <f>LANCASHIRE!G12</f>
        <v>105377</v>
      </c>
      <c r="F215" s="177">
        <f>LANCASHIRE!H12</f>
        <v>99352</v>
      </c>
      <c r="G215" s="177">
        <f>LANCASHIRE!I12</f>
        <v>98929</v>
      </c>
      <c r="H215" s="177">
        <f>LANCASHIRE!J12</f>
        <v>96357</v>
      </c>
      <c r="I215" s="177">
        <f>LANCASHIRE!K12</f>
        <v>102565</v>
      </c>
      <c r="J215" s="177">
        <f>LANCASHIRE!L12</f>
        <v>109336</v>
      </c>
      <c r="K215" s="178"/>
      <c r="L215" s="179">
        <f t="shared" si="133"/>
        <v>1.4168993309803508</v>
      </c>
      <c r="M215" s="179">
        <f t="shared" si="134"/>
        <v>1.4240941532600044</v>
      </c>
      <c r="N215" s="179">
        <f t="shared" si="135"/>
        <v>1.3839727040386087</v>
      </c>
      <c r="O215" s="179">
        <f t="shared" si="136"/>
        <v>1.3598085013033268</v>
      </c>
      <c r="P215" s="179">
        <f t="shared" si="137"/>
        <v>1.2880441828506235</v>
      </c>
      <c r="Q215" s="179">
        <f t="shared" si="138"/>
        <v>1.3055797503101327</v>
      </c>
      <c r="R215" s="179">
        <f t="shared" si="138"/>
        <v>1.2887292862015005</v>
      </c>
      <c r="S215" s="179">
        <f t="shared" si="138"/>
        <v>1.3404561197150886</v>
      </c>
      <c r="T215" s="179">
        <f t="shared" si="138"/>
        <v>1.4171321918784752</v>
      </c>
    </row>
    <row r="216" spans="1:20">
      <c r="A216" s="175" t="s">
        <v>5080</v>
      </c>
      <c r="B216" s="177">
        <f>LANCASHIRE!D13</f>
        <v>66461</v>
      </c>
      <c r="C216" s="177">
        <f>LANCASHIRE!E13</f>
        <v>66735</v>
      </c>
      <c r="D216" s="177">
        <f>LANCASHIRE!F13</f>
        <v>66918</v>
      </c>
      <c r="E216" s="177">
        <f>LANCASHIRE!G13</f>
        <v>66780</v>
      </c>
      <c r="F216" s="177">
        <f>LANCASHIRE!H13</f>
        <v>66688</v>
      </c>
      <c r="G216" s="177">
        <f>LANCASHIRE!I13</f>
        <v>64241</v>
      </c>
      <c r="H216" s="177">
        <f>LANCASHIRE!J13</f>
        <v>62891</v>
      </c>
      <c r="I216" s="177">
        <f>LANCASHIRE!K13</f>
        <v>63972</v>
      </c>
      <c r="J216" s="177">
        <f>LANCASHIRE!L13</f>
        <v>64257</v>
      </c>
      <c r="K216" s="178"/>
      <c r="L216" s="179">
        <f t="shared" si="133"/>
        <v>0.87526997840172782</v>
      </c>
      <c r="M216" s="179">
        <f t="shared" si="134"/>
        <v>0.87074803303714721</v>
      </c>
      <c r="N216" s="179">
        <f t="shared" si="135"/>
        <v>0.86815168459153358</v>
      </c>
      <c r="O216" s="179">
        <f t="shared" si="136"/>
        <v>0.86174413502980873</v>
      </c>
      <c r="P216" s="179">
        <f t="shared" si="137"/>
        <v>0.8645733399019887</v>
      </c>
      <c r="Q216" s="179">
        <f t="shared" si="138"/>
        <v>0.84779739752421679</v>
      </c>
      <c r="R216" s="179">
        <f t="shared" si="138"/>
        <v>0.84113736976554454</v>
      </c>
      <c r="S216" s="179">
        <f t="shared" si="138"/>
        <v>0.83607135855714565</v>
      </c>
      <c r="T216" s="179">
        <f t="shared" si="138"/>
        <v>0.83285160654802792</v>
      </c>
    </row>
    <row r="217" spans="1:20">
      <c r="A217" s="175" t="s">
        <v>5081</v>
      </c>
      <c r="B217" s="177">
        <f>LANCASHIRE!D14</f>
        <v>96714</v>
      </c>
      <c r="C217" s="177">
        <f>LANCASHIRE!E14</f>
        <v>97094</v>
      </c>
      <c r="D217" s="177">
        <f>LANCASHIRE!F14</f>
        <v>97619</v>
      </c>
      <c r="E217" s="177">
        <f>LANCASHIRE!G14</f>
        <v>98089</v>
      </c>
      <c r="F217" s="177">
        <f>LANCASHIRE!H14</f>
        <v>96919</v>
      </c>
      <c r="G217" s="177">
        <f>LANCASHIRE!I14</f>
        <v>92823</v>
      </c>
      <c r="H217" s="177">
        <f>LANCASHIRE!J14</f>
        <v>90766</v>
      </c>
      <c r="I217" s="177">
        <f>LANCASHIRE!K14</f>
        <v>92063</v>
      </c>
      <c r="J217" s="177">
        <f>LANCASHIRE!L14</f>
        <v>92030</v>
      </c>
      <c r="K217" s="178"/>
      <c r="L217" s="179">
        <f t="shared" si="133"/>
        <v>1.2736922509613866</v>
      </c>
      <c r="M217" s="179">
        <f t="shared" si="134"/>
        <v>1.2668676035020421</v>
      </c>
      <c r="N217" s="179">
        <f t="shared" si="135"/>
        <v>1.2664469843411477</v>
      </c>
      <c r="O217" s="179">
        <f t="shared" si="136"/>
        <v>1.2657625106459856</v>
      </c>
      <c r="P217" s="179">
        <f t="shared" si="137"/>
        <v>1.2565016724142402</v>
      </c>
      <c r="Q217" s="179">
        <f t="shared" si="138"/>
        <v>1.2249980204291711</v>
      </c>
      <c r="R217" s="179">
        <f t="shared" si="138"/>
        <v>1.2139523064371598</v>
      </c>
      <c r="S217" s="179">
        <f t="shared" si="138"/>
        <v>1.2032019865385872</v>
      </c>
      <c r="T217" s="179">
        <f t="shared" si="138"/>
        <v>1.1928246471297292</v>
      </c>
    </row>
    <row r="218" spans="1:20">
      <c r="A218" s="175" t="s">
        <v>5082</v>
      </c>
      <c r="B218" s="177">
        <f>LANCASHIRE!D15</f>
        <v>45891</v>
      </c>
      <c r="C218" s="177">
        <f>LANCASHIRE!E15</f>
        <v>46058</v>
      </c>
      <c r="D218" s="177">
        <f>LANCASHIRE!F15</f>
        <v>45845</v>
      </c>
      <c r="E218" s="177">
        <f>LANCASHIRE!G15</f>
        <v>45909</v>
      </c>
      <c r="F218" s="177">
        <f>LANCASHIRE!H15</f>
        <v>46181</v>
      </c>
      <c r="G218" s="177">
        <f>LANCASHIRE!I15</f>
        <v>46114</v>
      </c>
      <c r="H218" s="177">
        <f>LANCASHIRE!J15</f>
        <v>45804</v>
      </c>
      <c r="I218" s="177">
        <f>LANCASHIRE!K15</f>
        <v>45181</v>
      </c>
      <c r="J218" s="177">
        <f>LANCASHIRE!L15</f>
        <v>46375</v>
      </c>
      <c r="K218" s="178"/>
      <c r="L218" s="179">
        <f t="shared" si="133"/>
        <v>0.60436969920455141</v>
      </c>
      <c r="M218" s="179">
        <f t="shared" si="134"/>
        <v>0.60095771192964598</v>
      </c>
      <c r="N218" s="179">
        <f t="shared" si="135"/>
        <v>0.59476394961144774</v>
      </c>
      <c r="O218" s="179">
        <f t="shared" si="136"/>
        <v>0.59242005832709632</v>
      </c>
      <c r="P218" s="179">
        <f t="shared" si="137"/>
        <v>0.59871133352347861</v>
      </c>
      <c r="Q218" s="179">
        <f t="shared" si="138"/>
        <v>0.60857286140364764</v>
      </c>
      <c r="R218" s="179">
        <f t="shared" si="138"/>
        <v>0.61260682903342289</v>
      </c>
      <c r="S218" s="179">
        <f t="shared" si="138"/>
        <v>0.59048552571391233</v>
      </c>
      <c r="T218" s="179">
        <f t="shared" si="138"/>
        <v>0.60107837673194819</v>
      </c>
    </row>
    <row r="219" spans="1:20">
      <c r="A219" s="175" t="s">
        <v>5083</v>
      </c>
      <c r="B219" s="177">
        <f>LANCASHIRE!D16</f>
        <v>52506</v>
      </c>
      <c r="C219" s="177">
        <f>LANCASHIRE!E16</f>
        <v>52692</v>
      </c>
      <c r="D219" s="177">
        <f>LANCASHIRE!F16</f>
        <v>52934</v>
      </c>
      <c r="E219" s="177">
        <f>LANCASHIRE!G16</f>
        <v>53014</v>
      </c>
      <c r="F219" s="177">
        <f>LANCASHIRE!H16</f>
        <v>53123</v>
      </c>
      <c r="G219" s="177">
        <f>LANCASHIRE!I16</f>
        <v>52269</v>
      </c>
      <c r="H219" s="177">
        <f>LANCASHIRE!J16</f>
        <v>51076</v>
      </c>
      <c r="I219" s="177">
        <f>LANCASHIRE!K16</f>
        <v>52211</v>
      </c>
      <c r="J219" s="177">
        <f>LANCASHIRE!L16</f>
        <v>51427</v>
      </c>
      <c r="K219" s="178"/>
      <c r="L219" s="179">
        <f t="shared" si="133"/>
        <v>0.69148712005478585</v>
      </c>
      <c r="M219" s="179">
        <f t="shared" si="134"/>
        <v>0.68751712529846953</v>
      </c>
      <c r="N219" s="179">
        <f t="shared" si="135"/>
        <v>0.68673213891879969</v>
      </c>
      <c r="O219" s="179">
        <f t="shared" si="136"/>
        <v>0.68410457583812945</v>
      </c>
      <c r="P219" s="179">
        <f t="shared" si="137"/>
        <v>0.68871055565639017</v>
      </c>
      <c r="Q219" s="179">
        <f t="shared" si="138"/>
        <v>0.689801251088764</v>
      </c>
      <c r="R219" s="179">
        <f t="shared" si="138"/>
        <v>0.68311733472428415</v>
      </c>
      <c r="S219" s="179">
        <f t="shared" si="138"/>
        <v>0.6823629353721492</v>
      </c>
      <c r="T219" s="179">
        <f t="shared" si="138"/>
        <v>0.66655865617668786</v>
      </c>
    </row>
    <row r="220" spans="1:20">
      <c r="A220" s="175" t="s">
        <v>5084</v>
      </c>
      <c r="B220" s="177">
        <f>LANCASHIRE!D17</f>
        <v>85769</v>
      </c>
      <c r="C220" s="177">
        <f>LANCASHIRE!E17</f>
        <v>85661</v>
      </c>
      <c r="D220" s="177">
        <f>LANCASHIRE!F17</f>
        <v>85680</v>
      </c>
      <c r="E220" s="177">
        <f>LANCASHIRE!G17</f>
        <v>85731</v>
      </c>
      <c r="F220" s="177">
        <f>LANCASHIRE!H17</f>
        <v>85801</v>
      </c>
      <c r="G220" s="177">
        <f>LANCASHIRE!I17</f>
        <v>83999</v>
      </c>
      <c r="H220" s="177">
        <f>LANCASHIRE!J17</f>
        <v>81624</v>
      </c>
      <c r="I220" s="177">
        <f>LANCASHIRE!K17</f>
        <v>83283</v>
      </c>
      <c r="J220" s="177">
        <f>LANCASHIRE!L17</f>
        <v>83964</v>
      </c>
      <c r="K220" s="178"/>
      <c r="L220" s="179">
        <f t="shared" si="133"/>
        <v>1.1295501237949745</v>
      </c>
      <c r="M220" s="179">
        <f t="shared" si="134"/>
        <v>1.1176915750055454</v>
      </c>
      <c r="N220" s="179">
        <f t="shared" si="135"/>
        <v>1.1115579714845423</v>
      </c>
      <c r="O220" s="179">
        <f t="shared" si="136"/>
        <v>1.1062921000335511</v>
      </c>
      <c r="P220" s="179">
        <f t="shared" si="137"/>
        <v>1.1123629009256619</v>
      </c>
      <c r="Q220" s="179">
        <f t="shared" si="138"/>
        <v>1.1085464671259271</v>
      </c>
      <c r="R220" s="179">
        <f t="shared" si="138"/>
        <v>1.0916823817357462</v>
      </c>
      <c r="S220" s="179">
        <f t="shared" si="138"/>
        <v>1.0884532444618702</v>
      </c>
      <c r="T220" s="179">
        <f t="shared" si="138"/>
        <v>1.0882791336694619</v>
      </c>
    </row>
    <row r="221" spans="1:20">
      <c r="A221" s="175" t="s">
        <v>5085</v>
      </c>
      <c r="B221" s="177">
        <f>LANCASHIRE!D18</f>
        <v>84768</v>
      </c>
      <c r="C221" s="177">
        <f>LANCASHIRE!E18</f>
        <v>85583</v>
      </c>
      <c r="D221" s="177">
        <f>LANCASHIRE!F18</f>
        <v>86433</v>
      </c>
      <c r="E221" s="177">
        <f>LANCASHIRE!G18</f>
        <v>84744</v>
      </c>
      <c r="F221" s="177">
        <f>LANCASHIRE!H18</f>
        <v>86819</v>
      </c>
      <c r="G221" s="177">
        <f>LANCASHIRE!I18</f>
        <v>81784</v>
      </c>
      <c r="H221" s="177">
        <f>LANCASHIRE!J18</f>
        <v>82644</v>
      </c>
      <c r="I221" s="177">
        <f>LANCASHIRE!K18</f>
        <v>83690</v>
      </c>
      <c r="J221" s="177">
        <f>LANCASHIRE!L18</f>
        <v>84994</v>
      </c>
      <c r="K221" s="178"/>
      <c r="L221" s="179">
        <f t="shared" si="133"/>
        <v>1.1163672759837751</v>
      </c>
      <c r="M221" s="179">
        <f t="shared" si="134"/>
        <v>1.1166738429822158</v>
      </c>
      <c r="N221" s="179">
        <f t="shared" si="135"/>
        <v>1.1213269158417769</v>
      </c>
      <c r="O221" s="179">
        <f t="shared" si="136"/>
        <v>1.0935556301132991</v>
      </c>
      <c r="P221" s="179">
        <f t="shared" si="137"/>
        <v>1.125560712526253</v>
      </c>
      <c r="Q221" s="179">
        <f t="shared" si="138"/>
        <v>1.0793148045503735</v>
      </c>
      <c r="R221" s="179">
        <f t="shared" si="138"/>
        <v>1.1053243991493802</v>
      </c>
      <c r="S221" s="179">
        <f t="shared" si="138"/>
        <v>1.0937724629157681</v>
      </c>
      <c r="T221" s="179">
        <f t="shared" si="138"/>
        <v>1.1016292302308399</v>
      </c>
    </row>
    <row r="222" spans="1:20">
      <c r="A222" s="175" t="s">
        <v>5086</v>
      </c>
      <c r="B222" s="177">
        <f>LANCASHIRE!D19</f>
        <v>85516</v>
      </c>
      <c r="C222" s="177">
        <f>LANCASHIRE!E19</f>
        <v>85714</v>
      </c>
      <c r="D222" s="177">
        <f>LANCASHIRE!F19</f>
        <v>85489</v>
      </c>
      <c r="E222" s="177">
        <f>LANCASHIRE!G19</f>
        <v>86091</v>
      </c>
      <c r="F222" s="177">
        <f>LANCASHIRE!H19</f>
        <v>85470</v>
      </c>
      <c r="G222" s="177">
        <f>LANCASHIRE!I19</f>
        <v>81944</v>
      </c>
      <c r="H222" s="177">
        <f>LANCASHIRE!J19</f>
        <v>82005</v>
      </c>
      <c r="I222" s="177">
        <f>LANCASHIRE!K19</f>
        <v>85932</v>
      </c>
      <c r="J222" s="177">
        <f>LANCASHIRE!L19</f>
        <v>86831</v>
      </c>
      <c r="K222" s="178"/>
      <c r="L222" s="179">
        <f t="shared" si="133"/>
        <v>1.1262181952273087</v>
      </c>
      <c r="M222" s="179">
        <f t="shared" si="134"/>
        <v>1.1183831108675513</v>
      </c>
      <c r="N222" s="179">
        <f t="shared" si="135"/>
        <v>1.1090800586396128</v>
      </c>
      <c r="O222" s="179">
        <f t="shared" si="136"/>
        <v>1.1109376209771078</v>
      </c>
      <c r="P222" s="179">
        <f t="shared" si="137"/>
        <v>1.1080716674877487</v>
      </c>
      <c r="Q222" s="179">
        <f t="shared" si="138"/>
        <v>1.0814263467680207</v>
      </c>
      <c r="R222" s="179">
        <f t="shared" si="138"/>
        <v>1.0967780764755446</v>
      </c>
      <c r="S222" s="179">
        <f t="shared" si="138"/>
        <v>1.1230739070770437</v>
      </c>
      <c r="T222" s="179">
        <f t="shared" si="138"/>
        <v>1.1254390626417639</v>
      </c>
    </row>
    <row r="223" spans="1:20">
      <c r="A223" s="175" t="s">
        <v>5087</v>
      </c>
      <c r="B223" s="180">
        <f t="shared" ref="B223:G223" si="139">SUM(B211:B222)</f>
        <v>890719</v>
      </c>
      <c r="C223" s="180">
        <f t="shared" si="139"/>
        <v>897715</v>
      </c>
      <c r="D223" s="180">
        <f t="shared" si="139"/>
        <v>896386</v>
      </c>
      <c r="E223" s="180">
        <f t="shared" si="139"/>
        <v>894747</v>
      </c>
      <c r="F223" s="180">
        <f t="shared" si="139"/>
        <v>890475</v>
      </c>
      <c r="G223" s="180">
        <f t="shared" si="139"/>
        <v>864738</v>
      </c>
      <c r="H223" s="180">
        <f t="shared" ref="H223" si="140">SUM(H211:H222)</f>
        <v>857159</v>
      </c>
      <c r="I223" s="180">
        <f t="shared" ref="I223:J223" si="141">SUM(I211:I222)</f>
        <v>880095</v>
      </c>
      <c r="J223" s="180">
        <f t="shared" si="141"/>
        <v>887566</v>
      </c>
      <c r="K223" s="173"/>
      <c r="L223" s="179">
        <f t="shared" si="133"/>
        <v>11.730482537006795</v>
      </c>
      <c r="M223" s="179">
        <f t="shared" si="134"/>
        <v>11.713247478503673</v>
      </c>
      <c r="N223" s="179">
        <f t="shared" si="135"/>
        <v>11.629143368664133</v>
      </c>
      <c r="O223" s="179">
        <f t="shared" si="136"/>
        <v>11.546016465790901</v>
      </c>
      <c r="P223" s="179">
        <f t="shared" si="137"/>
        <v>11.544519926361916</v>
      </c>
      <c r="Q223" s="179">
        <f t="shared" si="138"/>
        <v>11.412067463773854</v>
      </c>
      <c r="R223" s="179">
        <f t="shared" si="138"/>
        <v>11.464096082601078</v>
      </c>
      <c r="S223" s="179">
        <f t="shared" si="138"/>
        <v>11.502254459909821</v>
      </c>
      <c r="T223" s="179">
        <f t="shared" si="138"/>
        <v>11.503972625821421</v>
      </c>
    </row>
    <row r="224" spans="1:20">
      <c r="A224" s="175" t="s">
        <v>5088</v>
      </c>
      <c r="B224" s="177">
        <f>LANCASHIRE!D4</f>
        <v>101354</v>
      </c>
      <c r="C224" s="177">
        <f>LANCASHIRE!E4</f>
        <v>101809</v>
      </c>
      <c r="D224" s="177">
        <f>LANCASHIRE!F4</f>
        <v>103306</v>
      </c>
      <c r="E224" s="177">
        <f>LANCASHIRE!G4</f>
        <v>104152</v>
      </c>
      <c r="F224" s="177">
        <f>LANCASHIRE!H4</f>
        <v>103291</v>
      </c>
      <c r="G224" s="177">
        <f>LANCASHIRE!I4</f>
        <v>102110</v>
      </c>
      <c r="H224" s="177">
        <f>LANCASHIRE!J4</f>
        <v>96731</v>
      </c>
      <c r="I224" s="177">
        <f>LANCASHIRE!K4</f>
        <v>98883</v>
      </c>
      <c r="J224" s="177">
        <f>LANCASHIRE!L4</f>
        <v>98540</v>
      </c>
      <c r="K224" s="178"/>
      <c r="L224" s="179">
        <f t="shared" si="133"/>
        <v>1.3347995574988147</v>
      </c>
      <c r="M224" s="179">
        <f t="shared" si="134"/>
        <v>1.3283881995276681</v>
      </c>
      <c r="N224" s="179">
        <f t="shared" si="135"/>
        <v>1.3402265149647774</v>
      </c>
      <c r="O224" s="179">
        <f t="shared" si="136"/>
        <v>1.3440008258703899</v>
      </c>
      <c r="P224" s="179">
        <f t="shared" si="137"/>
        <v>1.3391111572069385</v>
      </c>
      <c r="Q224" s="179">
        <f t="shared" si="138"/>
        <v>1.3475598490247314</v>
      </c>
      <c r="R224" s="179">
        <f t="shared" si="138"/>
        <v>1.2937313592531665</v>
      </c>
      <c r="S224" s="179">
        <f t="shared" si="138"/>
        <v>1.2923348363066065</v>
      </c>
      <c r="T224" s="179">
        <f t="shared" si="138"/>
        <v>1.2772024419011574</v>
      </c>
    </row>
    <row r="225" spans="1:20">
      <c r="A225" s="175" t="s">
        <v>5089</v>
      </c>
      <c r="B225" s="177">
        <f>LANCASHIRE!D5</f>
        <v>111499</v>
      </c>
      <c r="C225" s="177">
        <f>LANCASHIRE!E5</f>
        <v>112268</v>
      </c>
      <c r="D225" s="177">
        <f>LANCASHIRE!F5</f>
        <v>112618</v>
      </c>
      <c r="E225" s="177">
        <f>LANCASHIRE!G5</f>
        <v>110956</v>
      </c>
      <c r="F225" s="177">
        <f>LANCASHIRE!H5</f>
        <v>109362</v>
      </c>
      <c r="G225" s="177">
        <f>LANCASHIRE!I5</f>
        <v>100358</v>
      </c>
      <c r="H225" s="177">
        <f>LANCASHIRE!J5</f>
        <v>97419</v>
      </c>
      <c r="I225" s="177">
        <f>LANCASHIRE!K5</f>
        <v>99724</v>
      </c>
      <c r="J225" s="177">
        <f>LANCASHIRE!L5</f>
        <v>101148</v>
      </c>
      <c r="K225" s="178"/>
      <c r="L225" s="179">
        <f t="shared" si="133"/>
        <v>1.4684059421587736</v>
      </c>
      <c r="M225" s="179">
        <f t="shared" si="134"/>
        <v>1.4648556255789982</v>
      </c>
      <c r="N225" s="179">
        <f t="shared" si="135"/>
        <v>1.4610344961793438</v>
      </c>
      <c r="O225" s="179">
        <f t="shared" si="136"/>
        <v>1.4318011717036159</v>
      </c>
      <c r="P225" s="179">
        <f t="shared" si="137"/>
        <v>1.4178183421059456</v>
      </c>
      <c r="Q225" s="179">
        <f t="shared" si="138"/>
        <v>1.3244384617414944</v>
      </c>
      <c r="R225" s="179">
        <f t="shared" si="138"/>
        <v>1.3029330337439313</v>
      </c>
      <c r="S225" s="179">
        <f t="shared" si="138"/>
        <v>1.3033261452002876</v>
      </c>
      <c r="T225" s="179">
        <f t="shared" si="138"/>
        <v>1.3110054048449185</v>
      </c>
    </row>
    <row r="226" spans="1:20">
      <c r="A226" s="181" t="s">
        <v>7639</v>
      </c>
      <c r="B226" s="177">
        <f t="shared" ref="B226:G226" si="142">SUM(B223:B225)</f>
        <v>1103572</v>
      </c>
      <c r="C226" s="177">
        <f t="shared" si="142"/>
        <v>1111792</v>
      </c>
      <c r="D226" s="177">
        <f t="shared" si="142"/>
        <v>1112310</v>
      </c>
      <c r="E226" s="177">
        <f t="shared" si="142"/>
        <v>1109855</v>
      </c>
      <c r="F226" s="177">
        <f t="shared" si="142"/>
        <v>1103128</v>
      </c>
      <c r="G226" s="177">
        <f t="shared" si="142"/>
        <v>1067206</v>
      </c>
      <c r="H226" s="177">
        <f t="shared" ref="H226" si="143">SUM(H223:H225)</f>
        <v>1051309</v>
      </c>
      <c r="I226" s="177">
        <f t="shared" ref="I226:J226" si="144">SUM(I223:I225)</f>
        <v>1078702</v>
      </c>
      <c r="J226" s="177">
        <f t="shared" si="144"/>
        <v>1087254</v>
      </c>
      <c r="K226" s="178"/>
      <c r="L226" s="179">
        <f t="shared" si="133"/>
        <v>14.533688036664383</v>
      </c>
      <c r="M226" s="179">
        <f t="shared" si="134"/>
        <v>14.506491303610339</v>
      </c>
      <c r="N226" s="179">
        <f t="shared" si="135"/>
        <v>14.430404379808254</v>
      </c>
      <c r="O226" s="179">
        <f t="shared" si="136"/>
        <v>14.321818463364906</v>
      </c>
      <c r="P226" s="179">
        <f t="shared" si="137"/>
        <v>14.3014494256748</v>
      </c>
      <c r="Q226" s="179">
        <f t="shared" si="138"/>
        <v>14.084065774540079</v>
      </c>
      <c r="R226" s="179">
        <f t="shared" si="138"/>
        <v>14.060760475598176</v>
      </c>
      <c r="S226" s="179">
        <f t="shared" si="138"/>
        <v>14.097915441416715</v>
      </c>
      <c r="T226" s="179">
        <f t="shared" si="138"/>
        <v>14.092180472567495</v>
      </c>
    </row>
    <row r="227" spans="1:20">
      <c r="A227" s="173"/>
      <c r="K227" s="173"/>
      <c r="L227" s="179"/>
      <c r="M227" s="179"/>
      <c r="N227" s="179"/>
      <c r="O227" s="179"/>
      <c r="P227" s="179"/>
      <c r="Q227" s="179"/>
      <c r="R227" s="179"/>
      <c r="S227" s="179"/>
      <c r="T227" s="179"/>
    </row>
    <row r="228" spans="1:20">
      <c r="A228" s="175" t="s">
        <v>6639</v>
      </c>
      <c r="B228" s="21">
        <f>MERSEYSIDE!D5</f>
        <v>111228</v>
      </c>
      <c r="C228" s="21">
        <f>MERSEYSIDE!E5</f>
        <v>111388</v>
      </c>
      <c r="D228" s="21">
        <f>MERSEYSIDE!F5</f>
        <v>111832</v>
      </c>
      <c r="E228" s="21">
        <f>MERSEYSIDE!G5</f>
        <v>112616</v>
      </c>
      <c r="F228" s="21">
        <f>MERSEYSIDE!H5</f>
        <v>112265</v>
      </c>
      <c r="G228" s="21">
        <f>MERSEYSIDE!I5</f>
        <v>110513</v>
      </c>
      <c r="H228" s="21">
        <f>MERSEYSIDE!J5</f>
        <v>109974</v>
      </c>
      <c r="I228" s="21">
        <f>MERSEYSIDE!K5</f>
        <v>114004</v>
      </c>
      <c r="J228" s="21">
        <f>MERSEYSIDE!L5</f>
        <v>115305</v>
      </c>
      <c r="K228" s="178"/>
      <c r="L228" s="179">
        <f t="shared" ref="L228:T233" si="145">B228/B$470</f>
        <v>1.4648369593847126</v>
      </c>
      <c r="M228" s="179">
        <f t="shared" si="145"/>
        <v>1.4533735207004084</v>
      </c>
      <c r="N228" s="179">
        <f t="shared" si="145"/>
        <v>1.4508374307546608</v>
      </c>
      <c r="O228" s="179">
        <f t="shared" si="145"/>
        <v>1.4532221849433504</v>
      </c>
      <c r="P228" s="179">
        <f t="shared" si="145"/>
        <v>1.4554541447351363</v>
      </c>
      <c r="Q228" s="179">
        <f t="shared" si="145"/>
        <v>1.4584554068677911</v>
      </c>
      <c r="R228" s="179">
        <f t="shared" si="145"/>
        <v>1.4708502186735144</v>
      </c>
      <c r="S228" s="179">
        <f t="shared" si="145"/>
        <v>1.4899562177350847</v>
      </c>
      <c r="T228" s="179">
        <f t="shared" si="145"/>
        <v>1.4944979456404806</v>
      </c>
    </row>
    <row r="229" spans="1:20">
      <c r="A229" s="175" t="s">
        <v>6640</v>
      </c>
      <c r="B229" s="21">
        <f>MERSEYSIDE!D6</f>
        <v>317103</v>
      </c>
      <c r="C229" s="21">
        <f>MERSEYSIDE!E6</f>
        <v>315865</v>
      </c>
      <c r="D229" s="21">
        <f>MERSEYSIDE!F6</f>
        <v>316483</v>
      </c>
      <c r="E229" s="21">
        <f>MERSEYSIDE!G6</f>
        <v>317585</v>
      </c>
      <c r="F229" s="21">
        <f>MERSEYSIDE!H6</f>
        <v>319104</v>
      </c>
      <c r="G229" s="21">
        <f>MERSEYSIDE!I6</f>
        <v>299961</v>
      </c>
      <c r="H229" s="21">
        <f>MERSEYSIDE!J6</f>
        <v>303978</v>
      </c>
      <c r="I229" s="21">
        <f>MERSEYSIDE!K6</f>
        <v>312360</v>
      </c>
      <c r="J229" s="21">
        <f>MERSEYSIDE!L6</f>
        <v>313534</v>
      </c>
      <c r="K229" s="178"/>
      <c r="L229" s="179">
        <f t="shared" si="145"/>
        <v>4.1761444450297631</v>
      </c>
      <c r="M229" s="179">
        <f t="shared" si="145"/>
        <v>4.121358019858822</v>
      </c>
      <c r="N229" s="179">
        <f t="shared" si="145"/>
        <v>4.1058496905852282</v>
      </c>
      <c r="O229" s="179">
        <f t="shared" si="145"/>
        <v>4.098188246832013</v>
      </c>
      <c r="P229" s="179">
        <f t="shared" si="145"/>
        <v>4.1370083231778461</v>
      </c>
      <c r="Q229" s="179">
        <f t="shared" si="145"/>
        <v>3.958626969672975</v>
      </c>
      <c r="R229" s="179">
        <f t="shared" si="145"/>
        <v>4.0655619307466999</v>
      </c>
      <c r="S229" s="179">
        <f t="shared" si="145"/>
        <v>4.082336796706528</v>
      </c>
      <c r="T229" s="179">
        <f t="shared" si="145"/>
        <v>4.0637953158010705</v>
      </c>
    </row>
    <row r="230" spans="1:20">
      <c r="A230" s="175" t="s">
        <v>6641</v>
      </c>
      <c r="B230" s="21">
        <f>MERSEYSIDE!D7</f>
        <v>138155</v>
      </c>
      <c r="C230" s="21">
        <f>MERSEYSIDE!E7</f>
        <v>137767</v>
      </c>
      <c r="D230" s="21">
        <f>MERSEYSIDE!F7</f>
        <v>137983</v>
      </c>
      <c r="E230" s="21">
        <f>MERSEYSIDE!G7</f>
        <v>138632</v>
      </c>
      <c r="F230" s="21">
        <f>MERSEYSIDE!H7</f>
        <v>135297</v>
      </c>
      <c r="G230" s="21">
        <f>MERSEYSIDE!I7</f>
        <v>134182</v>
      </c>
      <c r="H230" s="21">
        <f>MERSEYSIDE!J7</f>
        <v>130576</v>
      </c>
      <c r="I230" s="21">
        <f>MERSEYSIDE!K7</f>
        <v>133835</v>
      </c>
      <c r="J230" s="21">
        <f>MERSEYSIDE!L7</f>
        <v>136412</v>
      </c>
      <c r="K230" s="178"/>
      <c r="L230" s="179">
        <f t="shared" si="145"/>
        <v>1.8194568824737924</v>
      </c>
      <c r="M230" s="179">
        <f t="shared" si="145"/>
        <v>1.7975626622825902</v>
      </c>
      <c r="N230" s="179">
        <f t="shared" si="145"/>
        <v>1.7901039166590988</v>
      </c>
      <c r="O230" s="179">
        <f t="shared" si="145"/>
        <v>1.7889384984643972</v>
      </c>
      <c r="P230" s="179">
        <f t="shared" si="145"/>
        <v>1.7540513910856432</v>
      </c>
      <c r="Q230" s="179">
        <f t="shared" si="145"/>
        <v>1.7708184865521155</v>
      </c>
      <c r="R230" s="179">
        <f t="shared" si="145"/>
        <v>1.7463922213751688</v>
      </c>
      <c r="S230" s="179">
        <f t="shared" si="145"/>
        <v>1.7491341567013003</v>
      </c>
      <c r="T230" s="179">
        <f t="shared" si="145"/>
        <v>1.7680712350783507</v>
      </c>
    </row>
    <row r="231" spans="1:20">
      <c r="A231" s="175" t="s">
        <v>6642</v>
      </c>
      <c r="B231" s="21">
        <f>MERSEYSIDE!D8</f>
        <v>207522</v>
      </c>
      <c r="C231" s="21">
        <f>MERSEYSIDE!E8</f>
        <v>206323</v>
      </c>
      <c r="D231" s="21">
        <f>MERSEYSIDE!F8</f>
        <v>204776</v>
      </c>
      <c r="E231" s="21">
        <f>MERSEYSIDE!G8</f>
        <v>200718</v>
      </c>
      <c r="F231" s="21">
        <f>MERSEYSIDE!H8</f>
        <v>203483</v>
      </c>
      <c r="G231" s="21">
        <f>MERSEYSIDE!I8</f>
        <v>199765</v>
      </c>
      <c r="H231" s="21">
        <f>MERSEYSIDE!J8</f>
        <v>198900</v>
      </c>
      <c r="I231" s="21">
        <f>MERSEYSIDE!K8</f>
        <v>206451</v>
      </c>
      <c r="J231" s="21">
        <f>MERSEYSIDE!L8</f>
        <v>212684</v>
      </c>
      <c r="K231" s="178"/>
      <c r="L231" s="179">
        <f t="shared" si="145"/>
        <v>2.7329979455302111</v>
      </c>
      <c r="M231" s="179">
        <f t="shared" si="145"/>
        <v>2.6920708237105466</v>
      </c>
      <c r="N231" s="179">
        <f t="shared" si="145"/>
        <v>2.6566339305405999</v>
      </c>
      <c r="O231" s="179">
        <f t="shared" si="145"/>
        <v>2.5901102020801612</v>
      </c>
      <c r="P231" s="179">
        <f t="shared" si="145"/>
        <v>2.638045479295771</v>
      </c>
      <c r="Q231" s="179">
        <f t="shared" si="145"/>
        <v>2.6363264444268482</v>
      </c>
      <c r="R231" s="179">
        <f t="shared" si="145"/>
        <v>2.6601933956586286</v>
      </c>
      <c r="S231" s="179">
        <f t="shared" si="145"/>
        <v>2.6981768280729268</v>
      </c>
      <c r="T231" s="179">
        <f t="shared" si="145"/>
        <v>2.7566523660777933</v>
      </c>
    </row>
    <row r="232" spans="1:20">
      <c r="A232" s="175" t="s">
        <v>6643</v>
      </c>
      <c r="B232" s="21">
        <f>MERSEYSIDE!D9</f>
        <v>240390</v>
      </c>
      <c r="C232" s="21">
        <f>MERSEYSIDE!E9</f>
        <v>239479</v>
      </c>
      <c r="D232" s="21">
        <f>MERSEYSIDE!F9</f>
        <v>237847</v>
      </c>
      <c r="E232" s="21">
        <f>MERSEYSIDE!G9</f>
        <v>239388</v>
      </c>
      <c r="F232" s="21">
        <f>MERSEYSIDE!H9</f>
        <v>238979</v>
      </c>
      <c r="G232" s="21">
        <f>MERSEYSIDE!I9</f>
        <v>233652</v>
      </c>
      <c r="H232" s="21">
        <f>MERSEYSIDE!J9</f>
        <v>234989</v>
      </c>
      <c r="I232" s="21">
        <f>MERSEYSIDE!K9</f>
        <v>239650</v>
      </c>
      <c r="J232" s="21">
        <f>MERSEYSIDE!L9</f>
        <v>240922</v>
      </c>
      <c r="K232" s="178"/>
      <c r="L232" s="179">
        <f t="shared" si="145"/>
        <v>3.1658589264078385</v>
      </c>
      <c r="M232" s="179">
        <f t="shared" si="145"/>
        <v>3.1246852207043228</v>
      </c>
      <c r="N232" s="179">
        <f t="shared" si="145"/>
        <v>3.0856761069524268</v>
      </c>
      <c r="O232" s="179">
        <f t="shared" si="145"/>
        <v>3.0891165767672337</v>
      </c>
      <c r="P232" s="179">
        <f t="shared" si="145"/>
        <v>3.0982316488189383</v>
      </c>
      <c r="Q232" s="179">
        <f t="shared" si="145"/>
        <v>3.0835378889856679</v>
      </c>
      <c r="R232" s="179">
        <f t="shared" si="145"/>
        <v>3.1428666960906257</v>
      </c>
      <c r="S232" s="179">
        <f t="shared" si="145"/>
        <v>3.1320656080507092</v>
      </c>
      <c r="T232" s="179">
        <f t="shared" si="145"/>
        <v>3.1226523920003109</v>
      </c>
    </row>
    <row r="233" spans="1:20">
      <c r="A233" s="175" t="s">
        <v>6644</v>
      </c>
      <c r="B233" s="177">
        <f t="shared" ref="B233:G233" si="146">SUM(B228:B232)</f>
        <v>1014398</v>
      </c>
      <c r="C233" s="177">
        <f t="shared" si="146"/>
        <v>1010822</v>
      </c>
      <c r="D233" s="177">
        <f t="shared" si="146"/>
        <v>1008921</v>
      </c>
      <c r="E233" s="177">
        <f t="shared" si="146"/>
        <v>1008939</v>
      </c>
      <c r="F233" s="177">
        <f t="shared" si="146"/>
        <v>1009128</v>
      </c>
      <c r="G233" s="177">
        <f t="shared" si="146"/>
        <v>978073</v>
      </c>
      <c r="H233" s="177">
        <f t="shared" ref="H233" si="147">SUM(H228:H232)</f>
        <v>978417</v>
      </c>
      <c r="I233" s="177">
        <f t="shared" ref="I233:J233" si="148">SUM(I228:I232)</f>
        <v>1006300</v>
      </c>
      <c r="J233" s="177">
        <f t="shared" si="148"/>
        <v>1018857</v>
      </c>
      <c r="K233" s="178"/>
      <c r="L233" s="179">
        <f t="shared" si="145"/>
        <v>13.359295158826319</v>
      </c>
      <c r="M233" s="179">
        <f t="shared" si="145"/>
        <v>13.18905024725669</v>
      </c>
      <c r="N233" s="179">
        <f t="shared" si="145"/>
        <v>13.089101075492016</v>
      </c>
      <c r="O233" s="179">
        <f t="shared" si="145"/>
        <v>13.019575709087155</v>
      </c>
      <c r="P233" s="179">
        <f t="shared" si="145"/>
        <v>13.082790987113336</v>
      </c>
      <c r="Q233" s="179">
        <f t="shared" si="145"/>
        <v>12.907765196505398</v>
      </c>
      <c r="R233" s="179">
        <f t="shared" si="145"/>
        <v>13.085864462544638</v>
      </c>
      <c r="S233" s="179">
        <f t="shared" si="145"/>
        <v>13.151669607266548</v>
      </c>
      <c r="T233" s="179">
        <f t="shared" si="145"/>
        <v>13.205669254598007</v>
      </c>
    </row>
    <row r="234" spans="1:20">
      <c r="A234" s="175"/>
      <c r="B234" s="177"/>
      <c r="C234" s="177"/>
      <c r="D234" s="177"/>
      <c r="E234" s="177"/>
      <c r="F234" s="177"/>
      <c r="G234" s="177"/>
      <c r="H234" s="177"/>
      <c r="I234" s="177"/>
      <c r="J234" s="177"/>
      <c r="K234" s="178"/>
      <c r="L234" s="179"/>
      <c r="M234" s="179"/>
      <c r="N234" s="179"/>
      <c r="O234" s="179"/>
      <c r="P234" s="179"/>
      <c r="Q234" s="179"/>
      <c r="R234" s="179"/>
      <c r="S234" s="179"/>
      <c r="T234" s="179"/>
    </row>
    <row r="235" spans="1:20">
      <c r="A235" s="188" t="s">
        <v>6945</v>
      </c>
      <c r="B235" s="189">
        <f>B189+B197+B209+B226+B233</f>
        <v>5227189</v>
      </c>
      <c r="C235" s="189">
        <f>C189+C197+C209+C226+C233</f>
        <v>5253019</v>
      </c>
      <c r="D235" s="189">
        <f t="shared" ref="D235:H235" si="149">D189+D197+D209+D226+D233</f>
        <v>5256018</v>
      </c>
      <c r="E235" s="189">
        <f t="shared" si="149"/>
        <v>5269500</v>
      </c>
      <c r="F235" s="189">
        <f t="shared" si="149"/>
        <v>5262610</v>
      </c>
      <c r="G235" s="189">
        <f t="shared" si="149"/>
        <v>5134029</v>
      </c>
      <c r="H235" s="189">
        <f t="shared" si="149"/>
        <v>5074302</v>
      </c>
      <c r="I235" s="189">
        <f t="shared" ref="I235:J235" si="150">I189+I197+I209+I226+I233</f>
        <v>5179551</v>
      </c>
      <c r="J235" s="189">
        <f t="shared" si="150"/>
        <v>5243395</v>
      </c>
      <c r="K235" s="189"/>
      <c r="L235" s="187">
        <f t="shared" ref="L235:T235" si="151">B235/B$470</f>
        <v>68.840396670705374</v>
      </c>
      <c r="M235" s="187">
        <f t="shared" si="151"/>
        <v>68.540585326391877</v>
      </c>
      <c r="N235" s="187">
        <f t="shared" si="151"/>
        <v>68.188243536020551</v>
      </c>
      <c r="O235" s="187">
        <f t="shared" si="151"/>
        <v>67.998812811314423</v>
      </c>
      <c r="P235" s="187">
        <f t="shared" si="151"/>
        <v>68.226851971893069</v>
      </c>
      <c r="Q235" s="187">
        <f t="shared" si="151"/>
        <v>67.754493625781933</v>
      </c>
      <c r="R235" s="187">
        <f t="shared" si="151"/>
        <v>67.866388476507638</v>
      </c>
      <c r="S235" s="187">
        <f t="shared" si="151"/>
        <v>67.693275828268966</v>
      </c>
      <c r="T235" s="187">
        <f t="shared" si="151"/>
        <v>67.960999572278453</v>
      </c>
    </row>
    <row r="236" spans="1:20">
      <c r="A236" s="175"/>
      <c r="B236" s="177"/>
      <c r="C236" s="177"/>
      <c r="D236" s="177"/>
      <c r="E236" s="177"/>
      <c r="F236" s="177"/>
      <c r="G236" s="177"/>
      <c r="H236" s="177"/>
      <c r="I236" s="177"/>
      <c r="J236" s="177"/>
      <c r="K236" s="178"/>
      <c r="L236" s="179"/>
      <c r="M236" s="179"/>
      <c r="N236" s="179"/>
      <c r="O236" s="179"/>
      <c r="P236" s="179"/>
      <c r="Q236" s="179"/>
      <c r="R236" s="179"/>
      <c r="S236" s="179"/>
      <c r="T236" s="179"/>
    </row>
    <row r="237" spans="1:20">
      <c r="A237" s="175" t="s">
        <v>5034</v>
      </c>
      <c r="B237" s="177"/>
      <c r="C237" s="177"/>
      <c r="D237" s="177"/>
      <c r="E237" s="177"/>
      <c r="F237" s="177"/>
      <c r="G237" s="177"/>
      <c r="H237" s="177"/>
      <c r="I237" s="177"/>
      <c r="J237" s="177"/>
      <c r="K237" s="178"/>
      <c r="L237" s="179"/>
      <c r="M237" s="179"/>
      <c r="N237" s="179"/>
      <c r="O237" s="179"/>
      <c r="P237" s="179"/>
      <c r="Q237" s="179"/>
      <c r="R237" s="179"/>
      <c r="S237" s="179"/>
      <c r="T237" s="179"/>
    </row>
    <row r="238" spans="1:20">
      <c r="A238" s="175"/>
      <c r="B238" s="177"/>
      <c r="C238" s="177"/>
      <c r="D238" s="177"/>
      <c r="E238" s="177"/>
      <c r="F238" s="177"/>
      <c r="G238" s="177"/>
      <c r="H238" s="177"/>
      <c r="I238" s="177"/>
      <c r="J238" s="177"/>
      <c r="K238" s="178"/>
      <c r="L238" s="179"/>
      <c r="M238" s="179"/>
      <c r="N238" s="179"/>
      <c r="O238" s="179"/>
      <c r="P238" s="179"/>
      <c r="Q238" s="179"/>
      <c r="R238" s="179"/>
      <c r="S238" s="179"/>
      <c r="T238" s="179"/>
    </row>
    <row r="239" spans="1:20">
      <c r="A239" s="175" t="s">
        <v>15858</v>
      </c>
      <c r="B239" s="177">
        <f>BERKSHIRE!D3</f>
        <v>81831</v>
      </c>
      <c r="C239" s="177">
        <f>BERKSHIRE!E3</f>
        <v>82764</v>
      </c>
      <c r="D239" s="177">
        <f>BERKSHIRE!F3</f>
        <v>82926</v>
      </c>
      <c r="E239" s="177">
        <f>BERKSHIRE!G3</f>
        <v>83644</v>
      </c>
      <c r="F239" s="177">
        <f>BERKSHIRE!H3</f>
        <v>84240</v>
      </c>
      <c r="G239" s="177">
        <f>BERKSHIRE!I3</f>
        <v>81494</v>
      </c>
      <c r="H239" s="177">
        <f>BERKSHIRE!J3</f>
        <v>82150</v>
      </c>
      <c r="I239" s="177">
        <f>BERKSHIRE!K3</f>
        <v>84176</v>
      </c>
      <c r="J239" s="177">
        <f>BERKSHIRE!L3</f>
        <v>85182</v>
      </c>
      <c r="K239" s="178"/>
      <c r="L239" s="179">
        <f t="shared" ref="L239:T245" si="152">B239/B$470</f>
        <v>1.0776879313069589</v>
      </c>
      <c r="M239" s="179">
        <f t="shared" si="152"/>
        <v>1.0798919638313695</v>
      </c>
      <c r="N239" s="179">
        <f t="shared" si="152"/>
        <v>1.0758293224011106</v>
      </c>
      <c r="O239" s="179">
        <f t="shared" si="152"/>
        <v>1.079360982785764</v>
      </c>
      <c r="P239" s="179">
        <f t="shared" si="152"/>
        <v>1.092125392174657</v>
      </c>
      <c r="Q239" s="179">
        <f t="shared" si="152"/>
        <v>1.0754876342808879</v>
      </c>
      <c r="R239" s="179">
        <f t="shared" si="152"/>
        <v>1.0987173828725809</v>
      </c>
      <c r="S239" s="179">
        <f t="shared" si="152"/>
        <v>1.1001241586617003</v>
      </c>
      <c r="T239" s="179">
        <f t="shared" si="152"/>
        <v>1.1040659468847613</v>
      </c>
    </row>
    <row r="240" spans="1:20">
      <c r="A240" s="175" t="s">
        <v>15859</v>
      </c>
      <c r="B240" s="177">
        <f>BERKSHIRE!D4</f>
        <v>104169</v>
      </c>
      <c r="C240" s="177">
        <f>BERKSHIRE!E4</f>
        <v>109451</v>
      </c>
      <c r="D240" s="177">
        <f>BERKSHIRE!F4</f>
        <v>111680</v>
      </c>
      <c r="E240" s="177">
        <f>BERKSHIRE!G4</f>
        <v>109811</v>
      </c>
      <c r="F240" s="177">
        <f>BERKSHIRE!H4</f>
        <v>110047</v>
      </c>
      <c r="G240" s="177">
        <f>BERKSHIRE!I4</f>
        <v>99868</v>
      </c>
      <c r="H240" s="177">
        <f>BERKSHIRE!J4</f>
        <v>95878</v>
      </c>
      <c r="I240" s="177">
        <f>BERKSHIRE!K4</f>
        <v>101011</v>
      </c>
      <c r="J240" s="177">
        <f>BERKSHIRE!L4</f>
        <v>102641</v>
      </c>
      <c r="K240" s="178"/>
      <c r="L240" s="179">
        <f t="shared" si="152"/>
        <v>1.3718722014433968</v>
      </c>
      <c r="M240" s="179">
        <f t="shared" si="152"/>
        <v>1.428099842121058</v>
      </c>
      <c r="N240" s="179">
        <f t="shared" si="152"/>
        <v>1.4488654791712614</v>
      </c>
      <c r="O240" s="179">
        <f t="shared" si="152"/>
        <v>1.4170258342581361</v>
      </c>
      <c r="P240" s="179">
        <f t="shared" si="152"/>
        <v>1.4266989913656754</v>
      </c>
      <c r="Q240" s="179">
        <f t="shared" si="152"/>
        <v>1.3179718636999498</v>
      </c>
      <c r="R240" s="179">
        <f t="shared" si="152"/>
        <v>1.282322887827843</v>
      </c>
      <c r="S240" s="179">
        <f t="shared" si="152"/>
        <v>1.3201463765274783</v>
      </c>
      <c r="T240" s="179">
        <f t="shared" si="152"/>
        <v>1.3303565642295179</v>
      </c>
    </row>
    <row r="241" spans="1:20">
      <c r="A241" s="175" t="s">
        <v>15860</v>
      </c>
      <c r="B241" s="177">
        <f>BERKSHIRE!D5</f>
        <v>82005</v>
      </c>
      <c r="C241" s="177">
        <f>BERKSHIRE!E5</f>
        <v>84908</v>
      </c>
      <c r="D241" s="177">
        <f>BERKSHIRE!F5</f>
        <v>85694</v>
      </c>
      <c r="E241" s="177">
        <f>BERKSHIRE!G5</f>
        <v>87024</v>
      </c>
      <c r="F241" s="177">
        <f>BERKSHIRE!H5</f>
        <v>88433</v>
      </c>
      <c r="G241" s="177">
        <f>BERKSHIRE!I5</f>
        <v>87772</v>
      </c>
      <c r="H241" s="177">
        <f>BERKSHIRE!J5</f>
        <v>80072</v>
      </c>
      <c r="I241" s="177">
        <f>BERKSHIRE!K5</f>
        <v>84478</v>
      </c>
      <c r="J241" s="177">
        <f>BERKSHIRE!L5</f>
        <v>84311</v>
      </c>
      <c r="K241" s="178"/>
      <c r="L241" s="179">
        <f t="shared" si="152"/>
        <v>1.0799794553021125</v>
      </c>
      <c r="M241" s="179">
        <f t="shared" si="152"/>
        <v>1.1078665466264792</v>
      </c>
      <c r="N241" s="179">
        <f t="shared" si="152"/>
        <v>1.1117395986040659</v>
      </c>
      <c r="O241" s="179">
        <f t="shared" si="152"/>
        <v>1.1229772627558263</v>
      </c>
      <c r="P241" s="179">
        <f t="shared" si="152"/>
        <v>1.1464853372053829</v>
      </c>
      <c r="Q241" s="179">
        <f t="shared" si="152"/>
        <v>1.1583392720458205</v>
      </c>
      <c r="R241" s="179">
        <f t="shared" si="152"/>
        <v>1.0709251160240207</v>
      </c>
      <c r="S241" s="179">
        <f t="shared" si="152"/>
        <v>1.1040710971704895</v>
      </c>
      <c r="T241" s="179">
        <f t="shared" si="152"/>
        <v>1.0927766904721787</v>
      </c>
    </row>
    <row r="242" spans="1:20">
      <c r="A242" s="175" t="s">
        <v>15861</v>
      </c>
      <c r="B242" s="177">
        <f>BERKSHIRE!D6</f>
        <v>113835</v>
      </c>
      <c r="C242" s="177">
        <f>BERKSHIRE!E6</f>
        <v>113065</v>
      </c>
      <c r="D242" s="177">
        <f>BERKSHIRE!F6</f>
        <v>111375</v>
      </c>
      <c r="E242" s="177">
        <f>BERKSHIRE!G6</f>
        <v>114661</v>
      </c>
      <c r="F242" s="177">
        <f>BERKSHIRE!H6</f>
        <v>113985</v>
      </c>
      <c r="G242" s="177">
        <f>BERKSHIRE!I6</f>
        <v>112436</v>
      </c>
      <c r="H242" s="177">
        <f>BERKSHIRE!J6</f>
        <v>114469</v>
      </c>
      <c r="I242" s="177">
        <f>BERKSHIRE!K6</f>
        <v>118152</v>
      </c>
      <c r="J242" s="177">
        <f>BERKSHIRE!L6</f>
        <v>118317</v>
      </c>
      <c r="K242" s="178"/>
      <c r="L242" s="179">
        <f t="shared" si="152"/>
        <v>1.4991703102776168</v>
      </c>
      <c r="M242" s="179">
        <f t="shared" si="152"/>
        <v>1.4752547592019938</v>
      </c>
      <c r="N242" s="179">
        <f t="shared" si="152"/>
        <v>1.4449086026387825</v>
      </c>
      <c r="O242" s="179">
        <f t="shared" si="152"/>
        <v>1.4796113247477225</v>
      </c>
      <c r="P242" s="179">
        <f t="shared" si="152"/>
        <v>1.4777530012705162</v>
      </c>
      <c r="Q242" s="179">
        <f t="shared" si="152"/>
        <v>1.4838335048961384</v>
      </c>
      <c r="R242" s="179">
        <f t="shared" si="152"/>
        <v>1.5309687169816368</v>
      </c>
      <c r="S242" s="179">
        <f t="shared" si="152"/>
        <v>1.5441678102332876</v>
      </c>
      <c r="T242" s="179">
        <f t="shared" si="152"/>
        <v>1.5335372571384134</v>
      </c>
    </row>
    <row r="243" spans="1:20">
      <c r="A243" s="175" t="s">
        <v>15862</v>
      </c>
      <c r="B243" s="177">
        <f>BERKSHIRE!D7</f>
        <v>97888</v>
      </c>
      <c r="C243" s="177">
        <f>BERKSHIRE!E7</f>
        <v>100820</v>
      </c>
      <c r="D243" s="177">
        <f>BERKSHIRE!F7</f>
        <v>102251</v>
      </c>
      <c r="E243" s="177">
        <f>BERKSHIRE!G7</f>
        <v>102413</v>
      </c>
      <c r="F243" s="177">
        <f>BERKSHIRE!H7</f>
        <v>101745</v>
      </c>
      <c r="G243" s="177">
        <f>BERKSHIRE!I7</f>
        <v>99418</v>
      </c>
      <c r="H243" s="177">
        <f>BERKSHIRE!J7</f>
        <v>97048</v>
      </c>
      <c r="I243" s="177">
        <f>BERKSHIRE!K7</f>
        <v>102100</v>
      </c>
      <c r="J243" s="177">
        <f>BERKSHIRE!L7</f>
        <v>103106</v>
      </c>
      <c r="K243" s="178"/>
      <c r="L243" s="179">
        <f t="shared" si="152"/>
        <v>1.2891534530896065</v>
      </c>
      <c r="M243" s="179">
        <f t="shared" si="152"/>
        <v>1.3154838793857073</v>
      </c>
      <c r="N243" s="179">
        <f t="shared" si="152"/>
        <v>1.3265396141721046</v>
      </c>
      <c r="O243" s="179">
        <f t="shared" si="152"/>
        <v>1.3215603788680415</v>
      </c>
      <c r="P243" s="179">
        <f t="shared" si="152"/>
        <v>1.3190681152280448</v>
      </c>
      <c r="Q243" s="179">
        <f t="shared" si="152"/>
        <v>1.3120331512128172</v>
      </c>
      <c r="R243" s="179">
        <f t="shared" si="152"/>
        <v>1.2979710842728938</v>
      </c>
      <c r="S243" s="179">
        <f t="shared" si="152"/>
        <v>1.3343788799581782</v>
      </c>
      <c r="T243" s="179">
        <f t="shared" si="152"/>
        <v>1.3363835495703342</v>
      </c>
    </row>
    <row r="244" spans="1:20">
      <c r="A244" s="175" t="s">
        <v>15863</v>
      </c>
      <c r="B244" s="177">
        <f>BERKSHIRE!D8</f>
        <v>118450</v>
      </c>
      <c r="C244" s="177">
        <f>BERKSHIRE!E8</f>
        <v>117640</v>
      </c>
      <c r="D244" s="177">
        <f>BERKSHIRE!F8</f>
        <v>118427</v>
      </c>
      <c r="E244" s="177">
        <f>BERKSHIRE!G8</f>
        <v>118694</v>
      </c>
      <c r="F244" s="177">
        <f>BERKSHIRE!H8</f>
        <v>119191</v>
      </c>
      <c r="G244" s="177">
        <f>BERKSHIRE!I8</f>
        <v>117037</v>
      </c>
      <c r="H244" s="177">
        <f>BERKSHIRE!J8</f>
        <v>118059</v>
      </c>
      <c r="I244" s="177">
        <f>BERKSHIRE!K8</f>
        <v>121681</v>
      </c>
      <c r="J244" s="177">
        <f>BERKSHIRE!L8</f>
        <v>120451</v>
      </c>
      <c r="K244" s="178"/>
      <c r="L244" s="179">
        <f t="shared" si="152"/>
        <v>1.5599483748617184</v>
      </c>
      <c r="M244" s="179">
        <f t="shared" si="152"/>
        <v>1.5349486567242077</v>
      </c>
      <c r="N244" s="179">
        <f t="shared" si="152"/>
        <v>1.536396777415965</v>
      </c>
      <c r="O244" s="179">
        <f t="shared" si="152"/>
        <v>1.5316540635404032</v>
      </c>
      <c r="P244" s="179">
        <f t="shared" si="152"/>
        <v>1.5452459356444628</v>
      </c>
      <c r="Q244" s="179">
        <f t="shared" si="152"/>
        <v>1.5445535407923563</v>
      </c>
      <c r="R244" s="179">
        <f t="shared" si="152"/>
        <v>1.5789832684668781</v>
      </c>
      <c r="S244" s="179">
        <f t="shared" si="152"/>
        <v>1.590289485721754</v>
      </c>
      <c r="T244" s="179">
        <f t="shared" si="152"/>
        <v>1.561196583412181</v>
      </c>
    </row>
    <row r="245" spans="1:20">
      <c r="A245" s="181" t="s">
        <v>14501</v>
      </c>
      <c r="B245" s="177">
        <f t="shared" ref="B245:G245" si="153">SUM(B239:B244)</f>
        <v>598178</v>
      </c>
      <c r="C245" s="177">
        <f t="shared" si="153"/>
        <v>608648</v>
      </c>
      <c r="D245" s="177">
        <f t="shared" si="153"/>
        <v>612353</v>
      </c>
      <c r="E245" s="177">
        <f t="shared" si="153"/>
        <v>616247</v>
      </c>
      <c r="F245" s="177">
        <f t="shared" si="153"/>
        <v>617641</v>
      </c>
      <c r="G245" s="177">
        <f t="shared" si="153"/>
        <v>598025</v>
      </c>
      <c r="H245" s="177">
        <f t="shared" ref="H245" si="154">SUM(H239:H244)</f>
        <v>587676</v>
      </c>
      <c r="I245" s="177">
        <f t="shared" ref="I245:J245" si="155">SUM(I239:I244)</f>
        <v>611598</v>
      </c>
      <c r="J245" s="177">
        <f t="shared" si="155"/>
        <v>614008</v>
      </c>
      <c r="K245" s="178"/>
      <c r="L245" s="179">
        <f t="shared" si="152"/>
        <v>7.8778117262814096</v>
      </c>
      <c r="M245" s="179">
        <f t="shared" si="152"/>
        <v>7.9415456478908153</v>
      </c>
      <c r="N245" s="179">
        <f t="shared" si="152"/>
        <v>7.9442793944032903</v>
      </c>
      <c r="O245" s="179">
        <f t="shared" si="152"/>
        <v>7.9521898469558936</v>
      </c>
      <c r="P245" s="179">
        <f t="shared" si="152"/>
        <v>8.0073767728887386</v>
      </c>
      <c r="Q245" s="179">
        <f t="shared" si="152"/>
        <v>7.8922189669279703</v>
      </c>
      <c r="R245" s="179">
        <f t="shared" si="152"/>
        <v>7.8598884564458533</v>
      </c>
      <c r="S245" s="179">
        <f t="shared" si="152"/>
        <v>7.9931778082728879</v>
      </c>
      <c r="T245" s="179">
        <f t="shared" si="152"/>
        <v>7.958316591707387</v>
      </c>
    </row>
    <row r="246" spans="1:20">
      <c r="A246" s="175"/>
      <c r="B246" s="177"/>
      <c r="C246" s="177"/>
      <c r="D246" s="177"/>
      <c r="E246" s="177"/>
      <c r="F246" s="177"/>
      <c r="G246" s="177"/>
      <c r="H246" s="177"/>
      <c r="I246" s="177"/>
      <c r="J246" s="177"/>
      <c r="K246" s="178"/>
      <c r="L246" s="179"/>
      <c r="M246" s="179"/>
      <c r="N246" s="179"/>
      <c r="O246" s="179"/>
      <c r="P246" s="179"/>
      <c r="Q246" s="179"/>
      <c r="R246" s="179"/>
      <c r="S246" s="179"/>
      <c r="T246" s="179"/>
    </row>
    <row r="247" spans="1:20">
      <c r="A247" s="175" t="s">
        <v>1608</v>
      </c>
      <c r="B247" s="177">
        <f>BUCKINGHAMSHIRE!D5</f>
        <v>129328</v>
      </c>
      <c r="C247" s="177">
        <f>BUCKINGHAMSHIRE!E5</f>
        <v>130566</v>
      </c>
      <c r="D247" s="177">
        <f>BUCKINGHAMSHIRE!F5</f>
        <v>131781</v>
      </c>
      <c r="E247" s="177">
        <f>BUCKINGHAMSHIRE!G5</f>
        <v>133964</v>
      </c>
      <c r="F247" s="177">
        <f>BUCKINGHAMSHIRE!H5</f>
        <v>135862</v>
      </c>
      <c r="G247" s="177">
        <f>BUCKINGHAMSHIRE!I5</f>
        <v>132570</v>
      </c>
      <c r="H247" s="177">
        <f>BUCKINGHAMSHIRE!J5</f>
        <v>128777</v>
      </c>
      <c r="I247" s="177">
        <f>BUCKINGHAMSHIRE!K5</f>
        <v>134947</v>
      </c>
      <c r="J247" s="177">
        <f>BUCKINGHAMSHIRE!L5</f>
        <v>137545</v>
      </c>
      <c r="K247" s="178"/>
      <c r="L247" s="179">
        <f t="shared" ref="L247:T253" si="156">B247/B$470</f>
        <v>1.703208133593215</v>
      </c>
      <c r="M247" s="179">
        <f t="shared" si="156"/>
        <v>1.7036051199749482</v>
      </c>
      <c r="N247" s="179">
        <f t="shared" si="156"/>
        <v>1.7096431027101362</v>
      </c>
      <c r="O247" s="179">
        <f t="shared" si="156"/>
        <v>1.7287015768962759</v>
      </c>
      <c r="P247" s="179">
        <f t="shared" si="156"/>
        <v>1.761376306168486</v>
      </c>
      <c r="Q247" s="179">
        <f t="shared" si="156"/>
        <v>1.7495446987093197</v>
      </c>
      <c r="R247" s="179">
        <f t="shared" si="156"/>
        <v>1.7223314475250437</v>
      </c>
      <c r="S247" s="179">
        <f t="shared" si="156"/>
        <v>1.7636672547866432</v>
      </c>
      <c r="T247" s="179">
        <f t="shared" si="156"/>
        <v>1.7827563412958667</v>
      </c>
    </row>
    <row r="248" spans="1:20">
      <c r="A248" s="175" t="s">
        <v>1609</v>
      </c>
      <c r="B248" s="177">
        <f>BUCKINGHAMSHIRE!D6</f>
        <v>70021</v>
      </c>
      <c r="C248" s="177">
        <f>BUCKINGHAMSHIRE!E6</f>
        <v>70723</v>
      </c>
      <c r="D248" s="177">
        <f>BUCKINGHAMSHIRE!F6</f>
        <v>71302</v>
      </c>
      <c r="E248" s="177">
        <f>BUCKINGHAMSHIRE!G6</f>
        <v>71912</v>
      </c>
      <c r="F248" s="177">
        <f>BUCKINGHAMSHIRE!H6</f>
        <v>72319</v>
      </c>
      <c r="G248" s="177">
        <f>BUCKINGHAMSHIRE!I6</f>
        <v>72231</v>
      </c>
      <c r="H248" s="177">
        <f>BUCKINGHAMSHIRE!J6</f>
        <v>68560</v>
      </c>
      <c r="I248" s="177">
        <f>BUCKINGHAMSHIRE!K6</f>
        <v>70675</v>
      </c>
      <c r="J248" s="177">
        <f>BUCKINGHAMSHIRE!L6</f>
        <v>71259</v>
      </c>
      <c r="K248" s="178"/>
      <c r="L248" s="179">
        <f t="shared" si="156"/>
        <v>0.92215403255544437</v>
      </c>
      <c r="M248" s="179">
        <f t="shared" si="156"/>
        <v>0.92278284469148364</v>
      </c>
      <c r="N248" s="179">
        <f t="shared" si="156"/>
        <v>0.92502691973378659</v>
      </c>
      <c r="O248" s="179">
        <f t="shared" si="156"/>
        <v>0.92796861692518129</v>
      </c>
      <c r="P248" s="179">
        <f t="shared" si="156"/>
        <v>0.93757616615241013</v>
      </c>
      <c r="Q248" s="179">
        <f t="shared" si="156"/>
        <v>0.95324253701797446</v>
      </c>
      <c r="R248" s="179">
        <f t="shared" si="156"/>
        <v>0.91695756262622208</v>
      </c>
      <c r="S248" s="179">
        <f t="shared" si="156"/>
        <v>0.9236750963863295</v>
      </c>
      <c r="T248" s="179">
        <f t="shared" si="156"/>
        <v>0.92360634064780367</v>
      </c>
    </row>
    <row r="249" spans="1:20">
      <c r="A249" s="175" t="s">
        <v>1610</v>
      </c>
      <c r="B249" s="177">
        <f>BUCKINGHAMSHIRE!D7</f>
        <v>49691</v>
      </c>
      <c r="C249" s="177">
        <f>BUCKINGHAMSHIRE!E7</f>
        <v>50557</v>
      </c>
      <c r="D249" s="177">
        <f>BUCKINGHAMSHIRE!F7</f>
        <v>51242</v>
      </c>
      <c r="E249" s="177">
        <f>BUCKINGHAMSHIRE!G7</f>
        <v>51578</v>
      </c>
      <c r="F249" s="177">
        <f>BUCKINGHAMSHIRE!H7</f>
        <v>51855</v>
      </c>
      <c r="G249" s="177">
        <f>BUCKINGHAMSHIRE!I7</f>
        <v>51622</v>
      </c>
      <c r="H249" s="177">
        <f>BUCKINGHAMSHIRE!J7</f>
        <v>50332</v>
      </c>
      <c r="I249" s="177">
        <f>BUCKINGHAMSHIRE!K7</f>
        <v>51876</v>
      </c>
      <c r="J249" s="177">
        <f>BUCKINGHAMSHIRE!L7</f>
        <v>51857</v>
      </c>
      <c r="K249" s="178"/>
      <c r="L249" s="179">
        <f t="shared" si="156"/>
        <v>0.65441447611020387</v>
      </c>
      <c r="M249" s="179">
        <f t="shared" si="156"/>
        <v>0.65965997312143632</v>
      </c>
      <c r="N249" s="179">
        <f t="shared" si="156"/>
        <v>0.6647812041878024</v>
      </c>
      <c r="O249" s="179">
        <f t="shared" si="156"/>
        <v>0.66557410896327462</v>
      </c>
      <c r="P249" s="179">
        <f t="shared" si="156"/>
        <v>0.6722716311872845</v>
      </c>
      <c r="Q249" s="179">
        <f t="shared" si="156"/>
        <v>0.68126270224615304</v>
      </c>
      <c r="R249" s="179">
        <f t="shared" si="156"/>
        <v>0.67316668672845703</v>
      </c>
      <c r="S249" s="179">
        <f t="shared" si="156"/>
        <v>0.67798470888061169</v>
      </c>
      <c r="T249" s="179">
        <f t="shared" si="156"/>
        <v>0.67213199745959329</v>
      </c>
    </row>
    <row r="250" spans="1:20">
      <c r="A250" s="175" t="s">
        <v>1611</v>
      </c>
      <c r="B250" s="177">
        <f>BUCKINGHAMSHIRE!D8</f>
        <v>121664</v>
      </c>
      <c r="C250" s="177">
        <f>BUCKINGHAMSHIRE!E8</f>
        <v>122534</v>
      </c>
      <c r="D250" s="177">
        <f>BUCKINGHAMSHIRE!F8</f>
        <v>122020</v>
      </c>
      <c r="E250" s="177">
        <f>BUCKINGHAMSHIRE!G8</f>
        <v>120294</v>
      </c>
      <c r="F250" s="177">
        <f>BUCKINGHAMSHIRE!H8</f>
        <v>125901</v>
      </c>
      <c r="G250" s="177">
        <f>BUCKINGHAMSHIRE!I8</f>
        <v>122633</v>
      </c>
      <c r="H250" s="177">
        <f>BUCKINGHAMSHIRE!J8</f>
        <v>118932</v>
      </c>
      <c r="I250" s="177">
        <f>BUCKINGHAMSHIRE!K8</f>
        <v>124723</v>
      </c>
      <c r="J250" s="177">
        <f>BUCKINGHAMSHIRE!L8</f>
        <v>125189</v>
      </c>
      <c r="K250" s="178"/>
      <c r="L250" s="179">
        <f t="shared" si="156"/>
        <v>1.602275720381394</v>
      </c>
      <c r="M250" s="179">
        <f t="shared" si="156"/>
        <v>1.5988048172649105</v>
      </c>
      <c r="N250" s="179">
        <f t="shared" si="156"/>
        <v>1.5830100803051335</v>
      </c>
      <c r="O250" s="179">
        <f t="shared" si="156"/>
        <v>1.552300823289545</v>
      </c>
      <c r="P250" s="179">
        <f t="shared" si="156"/>
        <v>1.6322374050353929</v>
      </c>
      <c r="Q250" s="179">
        <f t="shared" si="156"/>
        <v>1.6184047298545676</v>
      </c>
      <c r="R250" s="179">
        <f t="shared" si="156"/>
        <v>1.5906592304297236</v>
      </c>
      <c r="S250" s="179">
        <f t="shared" si="156"/>
        <v>1.6300463961314775</v>
      </c>
      <c r="T250" s="179">
        <f t="shared" si="156"/>
        <v>1.6226070275945199</v>
      </c>
    </row>
    <row r="251" spans="1:20">
      <c r="A251" s="173" t="s">
        <v>3297</v>
      </c>
      <c r="B251" s="180">
        <f t="shared" ref="B251:G251" si="157">SUM(B247:B250)</f>
        <v>370704</v>
      </c>
      <c r="C251" s="180">
        <f t="shared" si="157"/>
        <v>374380</v>
      </c>
      <c r="D251" s="180">
        <f t="shared" si="157"/>
        <v>376345</v>
      </c>
      <c r="E251" s="180">
        <f t="shared" si="157"/>
        <v>377748</v>
      </c>
      <c r="F251" s="180">
        <f t="shared" si="157"/>
        <v>385937</v>
      </c>
      <c r="G251" s="180">
        <f t="shared" si="157"/>
        <v>379056</v>
      </c>
      <c r="H251" s="180">
        <f t="shared" ref="H251" si="158">SUM(H247:H250)</f>
        <v>366601</v>
      </c>
      <c r="I251" s="180">
        <f t="shared" ref="I251:J251" si="159">SUM(I247:I250)</f>
        <v>382221</v>
      </c>
      <c r="J251" s="180">
        <f t="shared" si="159"/>
        <v>385850</v>
      </c>
      <c r="K251" s="173"/>
      <c r="L251" s="179">
        <f t="shared" si="156"/>
        <v>4.8820523626402572</v>
      </c>
      <c r="M251" s="179">
        <f t="shared" si="156"/>
        <v>4.8848527550527789</v>
      </c>
      <c r="N251" s="179">
        <f t="shared" si="156"/>
        <v>4.8824613069368583</v>
      </c>
      <c r="O251" s="179">
        <f t="shared" si="156"/>
        <v>4.8745451260742767</v>
      </c>
      <c r="P251" s="179">
        <f t="shared" si="156"/>
        <v>5.0034615085435732</v>
      </c>
      <c r="Q251" s="179">
        <f t="shared" si="156"/>
        <v>5.0024546678280153</v>
      </c>
      <c r="R251" s="179">
        <f t="shared" si="156"/>
        <v>4.9031149273094465</v>
      </c>
      <c r="S251" s="179">
        <f t="shared" si="156"/>
        <v>4.995373456185062</v>
      </c>
      <c r="T251" s="179">
        <f t="shared" si="156"/>
        <v>5.0011017069977832</v>
      </c>
    </row>
    <row r="252" spans="1:20">
      <c r="A252" s="175" t="s">
        <v>8511</v>
      </c>
      <c r="B252" s="177">
        <f>'MILTON KEYNES'!D3</f>
        <v>168892</v>
      </c>
      <c r="C252" s="177">
        <f>'MILTON KEYNES'!E3</f>
        <v>166778</v>
      </c>
      <c r="D252" s="177">
        <f>'MILTON KEYNES'!F3</f>
        <v>171221</v>
      </c>
      <c r="E252" s="177">
        <f>'MILTON KEYNES'!G3</f>
        <v>174497</v>
      </c>
      <c r="F252" s="177">
        <f>'MILTON KEYNES'!H3</f>
        <v>177085</v>
      </c>
      <c r="G252" s="177">
        <f>'MILTON KEYNES'!I3</f>
        <v>172712</v>
      </c>
      <c r="H252" s="177">
        <f>'MILTON KEYNES'!J3</f>
        <v>169933</v>
      </c>
      <c r="I252" s="177">
        <f>'MILTON KEYNES'!K3</f>
        <v>178749</v>
      </c>
      <c r="J252" s="177">
        <f>'MILTON KEYNES'!L3</f>
        <v>180641</v>
      </c>
      <c r="K252" s="178"/>
      <c r="L252" s="179">
        <f t="shared" si="156"/>
        <v>2.2242532792498553</v>
      </c>
      <c r="M252" s="179">
        <f t="shared" si="156"/>
        <v>2.1760937357289181</v>
      </c>
      <c r="N252" s="179">
        <f t="shared" si="156"/>
        <v>2.2213126451395286</v>
      </c>
      <c r="O252" s="179">
        <f t="shared" si="156"/>
        <v>2.2517485224662552</v>
      </c>
      <c r="P252" s="179">
        <f t="shared" si="156"/>
        <v>2.2958098892835843</v>
      </c>
      <c r="Q252" s="179">
        <f t="shared" si="156"/>
        <v>2.2793042468392852</v>
      </c>
      <c r="R252" s="179">
        <f t="shared" si="156"/>
        <v>2.2727734756382993</v>
      </c>
      <c r="S252" s="179">
        <f t="shared" si="156"/>
        <v>2.3361301705547932</v>
      </c>
      <c r="T252" s="179">
        <f t="shared" si="156"/>
        <v>2.3413347504309621</v>
      </c>
    </row>
    <row r="253" spans="1:20">
      <c r="A253" s="901" t="s">
        <v>13793</v>
      </c>
      <c r="B253" s="180">
        <f>B251+B252</f>
        <v>539596</v>
      </c>
      <c r="C253" s="180">
        <f t="shared" ref="C253:G253" si="160">C251+C252</f>
        <v>541158</v>
      </c>
      <c r="D253" s="180">
        <f t="shared" si="160"/>
        <v>547566</v>
      </c>
      <c r="E253" s="180">
        <f t="shared" si="160"/>
        <v>552245</v>
      </c>
      <c r="F253" s="180">
        <f t="shared" si="160"/>
        <v>563022</v>
      </c>
      <c r="G253" s="180">
        <f t="shared" si="160"/>
        <v>551768</v>
      </c>
      <c r="H253" s="180">
        <f t="shared" ref="H253" si="161">H251+H252</f>
        <v>536534</v>
      </c>
      <c r="I253" s="180">
        <f t="shared" ref="I253:J253" si="162">I251+I252</f>
        <v>560970</v>
      </c>
      <c r="J253" s="180">
        <f t="shared" si="162"/>
        <v>566491</v>
      </c>
      <c r="K253" s="173"/>
      <c r="L253" s="179">
        <f t="shared" si="156"/>
        <v>7.1063056418901125</v>
      </c>
      <c r="M253" s="179">
        <f t="shared" si="156"/>
        <v>7.0609464907816966</v>
      </c>
      <c r="N253" s="179">
        <f t="shared" si="156"/>
        <v>7.103773952076387</v>
      </c>
      <c r="O253" s="179">
        <f t="shared" si="156"/>
        <v>7.1262936485405319</v>
      </c>
      <c r="P253" s="179">
        <f t="shared" si="156"/>
        <v>7.2992713978271579</v>
      </c>
      <c r="Q253" s="179">
        <f t="shared" si="156"/>
        <v>7.2817589146673001</v>
      </c>
      <c r="R253" s="179">
        <f t="shared" si="156"/>
        <v>7.1758884029477459</v>
      </c>
      <c r="S253" s="179">
        <f t="shared" si="156"/>
        <v>7.3315036267398552</v>
      </c>
      <c r="T253" s="179">
        <f t="shared" si="156"/>
        <v>7.3424364574287457</v>
      </c>
    </row>
    <row r="254" spans="1:20">
      <c r="A254" s="175"/>
      <c r="B254" s="177"/>
      <c r="C254" s="177"/>
      <c r="D254" s="177"/>
      <c r="E254" s="177"/>
      <c r="F254" s="177"/>
      <c r="G254" s="177"/>
      <c r="H254" s="177"/>
      <c r="I254" s="177"/>
      <c r="J254" s="177"/>
      <c r="K254" s="178"/>
      <c r="L254" s="179"/>
      <c r="M254" s="179"/>
      <c r="N254" s="179"/>
      <c r="O254" s="179"/>
      <c r="P254" s="179"/>
      <c r="Q254" s="179"/>
      <c r="R254" s="179"/>
      <c r="S254" s="179"/>
      <c r="T254" s="179"/>
    </row>
    <row r="255" spans="1:20">
      <c r="A255" s="175" t="s">
        <v>8643</v>
      </c>
      <c r="B255" s="177">
        <f>'EAST SUSSEX'!D7</f>
        <v>71118</v>
      </c>
      <c r="C255" s="177">
        <f>'EAST SUSSEX'!E7</f>
        <v>70810</v>
      </c>
      <c r="D255" s="177">
        <f>'EAST SUSSEX'!F7</f>
        <v>71059</v>
      </c>
      <c r="E255" s="177">
        <f>'EAST SUSSEX'!G7</f>
        <v>71915</v>
      </c>
      <c r="F255" s="177">
        <f>'EAST SUSSEX'!H7</f>
        <v>70183</v>
      </c>
      <c r="G255" s="177">
        <f>'EAST SUSSEX'!I7</f>
        <v>70003</v>
      </c>
      <c r="H255" s="177">
        <f>'EAST SUSSEX'!J7</f>
        <v>68506</v>
      </c>
      <c r="I255" s="177">
        <f>'EAST SUSSEX'!K7</f>
        <v>70141</v>
      </c>
      <c r="J255" s="177">
        <f>'EAST SUSSEX'!L7</f>
        <v>70114</v>
      </c>
      <c r="K255" s="178"/>
      <c r="L255" s="179">
        <f t="shared" ref="L255:T262" si="163">B255/B$470</f>
        <v>0.93660116946741823</v>
      </c>
      <c r="M255" s="179">
        <f t="shared" si="163"/>
        <v>0.92391800733288976</v>
      </c>
      <c r="N255" s="179">
        <f t="shared" si="163"/>
        <v>0.92187439187348375</v>
      </c>
      <c r="O255" s="179">
        <f t="shared" si="163"/>
        <v>0.928007329599711</v>
      </c>
      <c r="P255" s="179">
        <f t="shared" si="163"/>
        <v>0.90988409780382196</v>
      </c>
      <c r="Q255" s="179">
        <f t="shared" si="163"/>
        <v>0.92383931163723709</v>
      </c>
      <c r="R255" s="179">
        <f t="shared" si="163"/>
        <v>0.9162353381749121</v>
      </c>
      <c r="S255" s="179">
        <f t="shared" si="163"/>
        <v>0.91669607266549047</v>
      </c>
      <c r="T255" s="179">
        <f t="shared" si="163"/>
        <v>0.9087656993247184</v>
      </c>
    </row>
    <row r="256" spans="1:20">
      <c r="A256" s="175" t="s">
        <v>8644</v>
      </c>
      <c r="B256" s="177">
        <f>'EAST SUSSEX'!D8</f>
        <v>62606</v>
      </c>
      <c r="C256" s="177">
        <f>'EAST SUSSEX'!E8</f>
        <v>61916</v>
      </c>
      <c r="D256" s="177">
        <f>'EAST SUSSEX'!F8</f>
        <v>62977</v>
      </c>
      <c r="E256" s="177">
        <f>'EAST SUSSEX'!G8</f>
        <v>63672</v>
      </c>
      <c r="F256" s="177">
        <f>'EAST SUSSEX'!H8</f>
        <v>59871</v>
      </c>
      <c r="G256" s="177">
        <f>'EAST SUSSEX'!I8</f>
        <v>58372</v>
      </c>
      <c r="H256" s="177">
        <f>'EAST SUSSEX'!J8</f>
        <v>57390</v>
      </c>
      <c r="I256" s="177">
        <f>'EAST SUSSEX'!K8</f>
        <v>60293</v>
      </c>
      <c r="J256" s="177">
        <f>'EAST SUSSEX'!L8</f>
        <v>61756</v>
      </c>
      <c r="K256" s="178"/>
      <c r="L256" s="179">
        <f t="shared" si="163"/>
        <v>0.82450086919875676</v>
      </c>
      <c r="M256" s="179">
        <f t="shared" si="163"/>
        <v>0.80787046098041515</v>
      </c>
      <c r="N256" s="179">
        <f t="shared" si="163"/>
        <v>0.81702365044563507</v>
      </c>
      <c r="O256" s="179">
        <f t="shared" si="163"/>
        <v>0.82163780421710064</v>
      </c>
      <c r="P256" s="179">
        <f t="shared" si="163"/>
        <v>0.77619467420333443</v>
      </c>
      <c r="Q256" s="179">
        <f t="shared" si="163"/>
        <v>0.77034338955314485</v>
      </c>
      <c r="R256" s="179">
        <f t="shared" si="163"/>
        <v>0.76756409742005371</v>
      </c>
      <c r="S256" s="179">
        <f t="shared" si="163"/>
        <v>0.78798928314709538</v>
      </c>
      <c r="T256" s="179">
        <f t="shared" si="163"/>
        <v>0.80043549829559446</v>
      </c>
    </row>
    <row r="257" spans="1:20">
      <c r="A257" s="175" t="s">
        <v>5007</v>
      </c>
      <c r="B257" s="177">
        <f>'EAST SUSSEX'!D9</f>
        <v>74039</v>
      </c>
      <c r="C257" s="177">
        <f>'EAST SUSSEX'!E9</f>
        <v>74491</v>
      </c>
      <c r="D257" s="177">
        <f>'EAST SUSSEX'!F9</f>
        <v>73777</v>
      </c>
      <c r="E257" s="177">
        <f>'EAST SUSSEX'!G9</f>
        <v>74836</v>
      </c>
      <c r="F257" s="177">
        <f>'EAST SUSSEX'!H9</f>
        <v>74614</v>
      </c>
      <c r="G257" s="177">
        <f>'EAST SUSSEX'!I9</f>
        <v>72629</v>
      </c>
      <c r="H257" s="177">
        <f>'EAST SUSSEX'!J9</f>
        <v>70806</v>
      </c>
      <c r="I257" s="177">
        <f>'EAST SUSSEX'!K9</f>
        <v>72595</v>
      </c>
      <c r="J257" s="177">
        <f>'EAST SUSSEX'!L9</f>
        <v>74010</v>
      </c>
      <c r="K257" s="178"/>
      <c r="L257" s="179">
        <f t="shared" si="163"/>
        <v>0.9750697992941052</v>
      </c>
      <c r="M257" s="179">
        <f t="shared" si="163"/>
        <v>0.97194713012617262</v>
      </c>
      <c r="N257" s="179">
        <f t="shared" si="163"/>
        <v>0.95713599979242614</v>
      </c>
      <c r="O257" s="179">
        <f t="shared" si="163"/>
        <v>0.96570057036673806</v>
      </c>
      <c r="P257" s="179">
        <f t="shared" si="163"/>
        <v>0.96732958228537347</v>
      </c>
      <c r="Q257" s="179">
        <f t="shared" si="163"/>
        <v>0.9584949982843719</v>
      </c>
      <c r="R257" s="179">
        <f t="shared" si="163"/>
        <v>0.94699674998996908</v>
      </c>
      <c r="S257" s="179">
        <f t="shared" si="163"/>
        <v>0.9487682153826047</v>
      </c>
      <c r="T257" s="179">
        <f t="shared" si="163"/>
        <v>0.95926276359960083</v>
      </c>
    </row>
    <row r="258" spans="1:20">
      <c r="A258" s="175" t="s">
        <v>5008</v>
      </c>
      <c r="B258" s="177">
        <f>'EAST SUSSEX'!D10</f>
        <v>71008</v>
      </c>
      <c r="C258" s="177">
        <f>'EAST SUSSEX'!E10</f>
        <v>71289</v>
      </c>
      <c r="D258" s="177">
        <f>'EAST SUSSEX'!F10</f>
        <v>71636</v>
      </c>
      <c r="E258" s="177">
        <f>'EAST SUSSEX'!G10</f>
        <v>72208</v>
      </c>
      <c r="F258" s="177">
        <f>'EAST SUSSEX'!H10</f>
        <v>69469</v>
      </c>
      <c r="G258" s="177">
        <f>'EAST SUSSEX'!I10</f>
        <v>70279</v>
      </c>
      <c r="H258" s="177">
        <f>'EAST SUSSEX'!J10</f>
        <v>69941</v>
      </c>
      <c r="I258" s="177">
        <f>'EAST SUSSEX'!K10</f>
        <v>72114</v>
      </c>
      <c r="J258" s="177">
        <f>'EAST SUSSEX'!L10</f>
        <v>72743</v>
      </c>
      <c r="K258" s="178"/>
      <c r="L258" s="179">
        <f t="shared" si="163"/>
        <v>0.9351525048727809</v>
      </c>
      <c r="M258" s="179">
        <f t="shared" si="163"/>
        <v>0.93016792578384933</v>
      </c>
      <c r="N258" s="179">
        <f t="shared" si="163"/>
        <v>0.92936002387099281</v>
      </c>
      <c r="O258" s="179">
        <f t="shared" si="163"/>
        <v>0.93178826747877253</v>
      </c>
      <c r="P258" s="179">
        <f t="shared" si="163"/>
        <v>0.90062747945134436</v>
      </c>
      <c r="Q258" s="179">
        <f t="shared" si="163"/>
        <v>0.92748172196267853</v>
      </c>
      <c r="R258" s="179">
        <f t="shared" si="163"/>
        <v>0.93542778424213247</v>
      </c>
      <c r="S258" s="179">
        <f t="shared" si="163"/>
        <v>0.94248186630072539</v>
      </c>
      <c r="T258" s="179">
        <f t="shared" si="163"/>
        <v>0.94284084870322604</v>
      </c>
    </row>
    <row r="259" spans="1:20">
      <c r="A259" s="175" t="s">
        <v>5009</v>
      </c>
      <c r="B259" s="177">
        <f>'EAST SUSSEX'!D11</f>
        <v>114461</v>
      </c>
      <c r="C259" s="177">
        <f>'EAST SUSSEX'!E11</f>
        <v>115677</v>
      </c>
      <c r="D259" s="177">
        <f>'EAST SUSSEX'!F11</f>
        <v>116669</v>
      </c>
      <c r="E259" s="177">
        <f>'EAST SUSSEX'!G11</f>
        <v>118080</v>
      </c>
      <c r="F259" s="177">
        <f>'EAST SUSSEX'!H11</f>
        <v>116760</v>
      </c>
      <c r="G259" s="177">
        <f>'EAST SUSSEX'!I11</f>
        <v>117402</v>
      </c>
      <c r="H259" s="177">
        <f>'EAST SUSSEX'!J11</f>
        <v>116583</v>
      </c>
      <c r="I259" s="177">
        <f>'EAST SUSSEX'!K11</f>
        <v>120716</v>
      </c>
      <c r="J259" s="177">
        <f>'EAST SUSSEX'!L11</f>
        <v>121625</v>
      </c>
      <c r="K259" s="178"/>
      <c r="L259" s="179">
        <f t="shared" si="163"/>
        <v>1.5074145287889165</v>
      </c>
      <c r="M259" s="179">
        <f t="shared" si="163"/>
        <v>1.5093357341370808</v>
      </c>
      <c r="N259" s="179">
        <f t="shared" si="163"/>
        <v>1.5135896005500706</v>
      </c>
      <c r="O259" s="179">
        <f t="shared" si="163"/>
        <v>1.52373086948667</v>
      </c>
      <c r="P259" s="179">
        <f t="shared" si="163"/>
        <v>1.5137293541110275</v>
      </c>
      <c r="Q259" s="179">
        <f t="shared" si="163"/>
        <v>1.5493704964763639</v>
      </c>
      <c r="R259" s="179">
        <f t="shared" si="163"/>
        <v>1.5592424667977369</v>
      </c>
      <c r="S259" s="179">
        <f t="shared" si="163"/>
        <v>1.5776775795595634</v>
      </c>
      <c r="T259" s="179">
        <f t="shared" si="163"/>
        <v>1.5764131012403924</v>
      </c>
    </row>
    <row r="260" spans="1:20">
      <c r="A260" s="175" t="s">
        <v>5010</v>
      </c>
      <c r="B260" s="180">
        <f t="shared" ref="B260:G260" si="164">SUM(B255:B259)</f>
        <v>393232</v>
      </c>
      <c r="C260" s="180">
        <f t="shared" si="164"/>
        <v>394183</v>
      </c>
      <c r="D260" s="180">
        <f t="shared" si="164"/>
        <v>396118</v>
      </c>
      <c r="E260" s="180">
        <f t="shared" si="164"/>
        <v>400711</v>
      </c>
      <c r="F260" s="180">
        <f t="shared" si="164"/>
        <v>390897</v>
      </c>
      <c r="G260" s="180">
        <f t="shared" si="164"/>
        <v>388685</v>
      </c>
      <c r="H260" s="180">
        <f t="shared" ref="H260" si="165">SUM(H255:H259)</f>
        <v>383226</v>
      </c>
      <c r="I260" s="180">
        <f t="shared" ref="I260:J260" si="166">SUM(I255:I259)</f>
        <v>395859</v>
      </c>
      <c r="J260" s="180">
        <f t="shared" si="166"/>
        <v>400248</v>
      </c>
      <c r="K260" s="173"/>
      <c r="L260" s="179">
        <f t="shared" si="163"/>
        <v>5.1787388716219773</v>
      </c>
      <c r="M260" s="179">
        <f t="shared" si="163"/>
        <v>5.1432392583604072</v>
      </c>
      <c r="N260" s="179">
        <f t="shared" si="163"/>
        <v>5.1389836665326083</v>
      </c>
      <c r="O260" s="179">
        <f t="shared" si="163"/>
        <v>5.1708648411489921</v>
      </c>
      <c r="P260" s="179">
        <f t="shared" si="163"/>
        <v>5.0677651878549019</v>
      </c>
      <c r="Q260" s="179">
        <f t="shared" si="163"/>
        <v>5.1295299179137963</v>
      </c>
      <c r="R260" s="179">
        <f t="shared" si="163"/>
        <v>5.1254664366248042</v>
      </c>
      <c r="S260" s="179">
        <f t="shared" si="163"/>
        <v>5.1736130170554793</v>
      </c>
      <c r="T260" s="179">
        <f t="shared" si="163"/>
        <v>5.1877179111635323</v>
      </c>
    </row>
    <row r="261" spans="1:20">
      <c r="A261" s="175" t="s">
        <v>5011</v>
      </c>
      <c r="B261" s="177">
        <f>'EAST SUSSEX'!D4</f>
        <v>191969</v>
      </c>
      <c r="C261" s="177">
        <f>'EAST SUSSEX'!E4</f>
        <v>195038</v>
      </c>
      <c r="D261" s="177">
        <f>'EAST SUSSEX'!F4</f>
        <v>195786</v>
      </c>
      <c r="E261" s="177">
        <f>'EAST SUSSEX'!G4</f>
        <v>200206</v>
      </c>
      <c r="F261" s="177">
        <f>'EAST SUSSEX'!H4</f>
        <v>196195</v>
      </c>
      <c r="G261" s="177">
        <f>'EAST SUSSEX'!I4</f>
        <v>182570</v>
      </c>
      <c r="H261" s="177">
        <f>'EAST SUSSEX'!J4</f>
        <v>183038</v>
      </c>
      <c r="I261" s="177">
        <f>'EAST SUSSEX'!K4</f>
        <v>186362</v>
      </c>
      <c r="J261" s="177">
        <f>'EAST SUSSEX'!L4</f>
        <v>190074</v>
      </c>
      <c r="K261" s="178"/>
      <c r="L261" s="179">
        <f t="shared" si="163"/>
        <v>2.5281699415266292</v>
      </c>
      <c r="M261" s="179">
        <f t="shared" si="163"/>
        <v>2.5448258764890856</v>
      </c>
      <c r="N261" s="179">
        <f t="shared" si="163"/>
        <v>2.5400033730750771</v>
      </c>
      <c r="O261" s="179">
        <f t="shared" si="163"/>
        <v>2.5835032389604358</v>
      </c>
      <c r="P261" s="179">
        <f t="shared" si="163"/>
        <v>2.5435605569528352</v>
      </c>
      <c r="Q261" s="179">
        <f t="shared" si="163"/>
        <v>2.4094016417240742</v>
      </c>
      <c r="R261" s="179">
        <f t="shared" si="163"/>
        <v>2.448046650349744</v>
      </c>
      <c r="S261" s="179">
        <f t="shared" si="163"/>
        <v>2.4356270012415866</v>
      </c>
      <c r="T261" s="179">
        <f t="shared" si="163"/>
        <v>2.4635983046673493</v>
      </c>
    </row>
    <row r="262" spans="1:20">
      <c r="A262" s="181" t="s">
        <v>6763</v>
      </c>
      <c r="B262" s="177">
        <f t="shared" ref="B262:G262" si="167">B260+B261</f>
        <v>585201</v>
      </c>
      <c r="C262" s="177">
        <f t="shared" si="167"/>
        <v>589221</v>
      </c>
      <c r="D262" s="177">
        <f t="shared" si="167"/>
        <v>591904</v>
      </c>
      <c r="E262" s="177">
        <f t="shared" si="167"/>
        <v>600917</v>
      </c>
      <c r="F262" s="177">
        <f t="shared" si="167"/>
        <v>587092</v>
      </c>
      <c r="G262" s="177">
        <f t="shared" si="167"/>
        <v>571255</v>
      </c>
      <c r="H262" s="177">
        <f t="shared" ref="H262" si="168">H260+H261</f>
        <v>566264</v>
      </c>
      <c r="I262" s="177">
        <f t="shared" ref="I262:J262" si="169">I260+I261</f>
        <v>582221</v>
      </c>
      <c r="J262" s="177">
        <f t="shared" si="169"/>
        <v>590322</v>
      </c>
      <c r="K262" s="178"/>
      <c r="L262" s="179">
        <f t="shared" si="163"/>
        <v>7.7069088131486065</v>
      </c>
      <c r="M262" s="179">
        <f t="shared" si="163"/>
        <v>7.6880651348494933</v>
      </c>
      <c r="N262" s="179">
        <f t="shared" si="163"/>
        <v>7.6789870396076854</v>
      </c>
      <c r="O262" s="179">
        <f t="shared" si="163"/>
        <v>7.7543680801094279</v>
      </c>
      <c r="P262" s="179">
        <f t="shared" si="163"/>
        <v>7.6113257448077372</v>
      </c>
      <c r="Q262" s="179">
        <f t="shared" si="163"/>
        <v>7.5389315596378701</v>
      </c>
      <c r="R262" s="179">
        <f t="shared" si="163"/>
        <v>7.5735130869745486</v>
      </c>
      <c r="S262" s="179">
        <f t="shared" si="163"/>
        <v>7.6092400182970659</v>
      </c>
      <c r="T262" s="179">
        <f t="shared" si="163"/>
        <v>7.6513162158308816</v>
      </c>
    </row>
    <row r="263" spans="1:20">
      <c r="A263" s="175"/>
      <c r="B263" s="177"/>
      <c r="C263" s="177"/>
      <c r="D263" s="177"/>
      <c r="E263" s="177"/>
      <c r="F263" s="177"/>
      <c r="G263" s="177"/>
      <c r="H263" s="177"/>
      <c r="I263" s="177"/>
      <c r="J263" s="177"/>
      <c r="K263" s="178"/>
      <c r="L263" s="179"/>
      <c r="M263" s="179"/>
      <c r="N263" s="179"/>
      <c r="O263" s="179"/>
      <c r="P263" s="179"/>
      <c r="Q263" s="179"/>
      <c r="R263" s="179"/>
      <c r="S263" s="179"/>
      <c r="T263" s="179"/>
    </row>
    <row r="264" spans="1:20">
      <c r="A264" s="175" t="s">
        <v>5048</v>
      </c>
      <c r="B264" s="177">
        <f>HAMPSHIRE!D7</f>
        <v>121140</v>
      </c>
      <c r="C264" s="177">
        <f>HAMPSHIRE!E7</f>
        <v>122037</v>
      </c>
      <c r="D264" s="177">
        <f>HAMPSHIRE!F7</f>
        <v>122819</v>
      </c>
      <c r="E264" s="177">
        <f>HAMPSHIRE!G7</f>
        <v>125592</v>
      </c>
      <c r="F264" s="177">
        <f>HAMPSHIRE!H7</f>
        <v>129203</v>
      </c>
      <c r="G264" s="177">
        <f>HAMPSHIRE!I7</f>
        <v>127353</v>
      </c>
      <c r="H264" s="177">
        <f>HAMPSHIRE!J7</f>
        <v>124473</v>
      </c>
      <c r="I264" s="177">
        <f>HAMPSHIRE!K7</f>
        <v>128131</v>
      </c>
      <c r="J264" s="177">
        <f>HAMPSHIRE!L7</f>
        <v>129390</v>
      </c>
      <c r="K264" s="178"/>
      <c r="L264" s="179">
        <f t="shared" ref="L264:L278" si="170">B264/B$470</f>
        <v>1.5953748090396671</v>
      </c>
      <c r="M264" s="179">
        <f t="shared" ref="M264:M278" si="171">C264/C$470</f>
        <v>1.5923200375777977</v>
      </c>
      <c r="N264" s="179">
        <f t="shared" ref="N264:N278" si="172">D264/D$470</f>
        <v>1.5933757994836601</v>
      </c>
      <c r="O264" s="179">
        <f t="shared" ref="O264:O278" si="173">E264/E$470</f>
        <v>1.6206674065088911</v>
      </c>
      <c r="P264" s="179">
        <f t="shared" ref="P264:P278" si="174">F264/F$470</f>
        <v>1.6750460238027329</v>
      </c>
      <c r="Q264" s="179">
        <f t="shared" ref="Q264:T278" si="175">G264/G$470</f>
        <v>1.6806952252751604</v>
      </c>
      <c r="R264" s="179">
        <f t="shared" si="175"/>
        <v>1.6647674838502589</v>
      </c>
      <c r="S264" s="179">
        <f t="shared" si="175"/>
        <v>1.6745866823498661</v>
      </c>
      <c r="T264" s="179">
        <f t="shared" si="175"/>
        <v>1.6770572758026259</v>
      </c>
    </row>
    <row r="265" spans="1:20">
      <c r="A265" s="175" t="s">
        <v>5049</v>
      </c>
      <c r="B265" s="177">
        <f>HAMPSHIRE!D8</f>
        <v>88153</v>
      </c>
      <c r="C265" s="177">
        <f>HAMPSHIRE!E8</f>
        <v>89153</v>
      </c>
      <c r="D265" s="177">
        <f>HAMPSHIRE!F8</f>
        <v>89448</v>
      </c>
      <c r="E265" s="177">
        <f>HAMPSHIRE!G8</f>
        <v>89482</v>
      </c>
      <c r="F265" s="177">
        <f>HAMPSHIRE!H8</f>
        <v>87332</v>
      </c>
      <c r="G265" s="177">
        <f>HAMPSHIRE!I8</f>
        <v>87590</v>
      </c>
      <c r="H265" s="177">
        <f>HAMPSHIRE!J8</f>
        <v>86488</v>
      </c>
      <c r="I265" s="177">
        <f>HAMPSHIRE!K8</f>
        <v>89919</v>
      </c>
      <c r="J265" s="177">
        <f>HAMPSHIRE!L8</f>
        <v>90765</v>
      </c>
      <c r="K265" s="178"/>
      <c r="L265" s="179">
        <f t="shared" si="170"/>
        <v>1.1609466364642047</v>
      </c>
      <c r="M265" s="179">
        <f t="shared" si="171"/>
        <v>1.1632546548192222</v>
      </c>
      <c r="N265" s="179">
        <f t="shared" si="172"/>
        <v>1.160441613367756</v>
      </c>
      <c r="O265" s="179">
        <f t="shared" si="173"/>
        <v>1.1546958474204454</v>
      </c>
      <c r="P265" s="179">
        <f t="shared" si="174"/>
        <v>1.1322114761324449</v>
      </c>
      <c r="Q265" s="179">
        <f t="shared" si="175"/>
        <v>1.1559373927732468</v>
      </c>
      <c r="R265" s="179">
        <f t="shared" si="175"/>
        <v>1.1567360804611537</v>
      </c>
      <c r="S265" s="179">
        <f t="shared" si="175"/>
        <v>1.1751813369927466</v>
      </c>
      <c r="T265" s="179">
        <f t="shared" si="175"/>
        <v>1.1764286547509495</v>
      </c>
    </row>
    <row r="266" spans="1:20">
      <c r="A266" s="175" t="s">
        <v>5050</v>
      </c>
      <c r="B266" s="177">
        <f>HAMPSHIRE!D9</f>
        <v>93921</v>
      </c>
      <c r="C266" s="177">
        <f>HAMPSHIRE!E9</f>
        <v>94971</v>
      </c>
      <c r="D266" s="177">
        <f>HAMPSHIRE!F9</f>
        <v>96084</v>
      </c>
      <c r="E266" s="177">
        <f>HAMPSHIRE!G9</f>
        <v>96605</v>
      </c>
      <c r="F266" s="177">
        <f>HAMPSHIRE!H9</f>
        <v>97603</v>
      </c>
      <c r="G266" s="177">
        <f>HAMPSHIRE!I9</f>
        <v>95729</v>
      </c>
      <c r="H266" s="177">
        <f>HAMPSHIRE!J9</f>
        <v>94165</v>
      </c>
      <c r="I266" s="177">
        <f>HAMPSHIRE!K9</f>
        <v>95523</v>
      </c>
      <c r="J266" s="177">
        <f>HAMPSHIRE!L9</f>
        <v>97119</v>
      </c>
      <c r="K266" s="178"/>
      <c r="L266" s="179">
        <f t="shared" si="170"/>
        <v>1.236909339935732</v>
      </c>
      <c r="M266" s="179">
        <f t="shared" si="171"/>
        <v>1.2391670254824441</v>
      </c>
      <c r="N266" s="179">
        <f t="shared" si="172"/>
        <v>1.246532868021951</v>
      </c>
      <c r="O266" s="179">
        <f t="shared" si="173"/>
        <v>1.2466126409786564</v>
      </c>
      <c r="P266" s="179">
        <f t="shared" si="174"/>
        <v>1.265369357222496</v>
      </c>
      <c r="Q266" s="179">
        <f t="shared" si="175"/>
        <v>1.2633489059571885</v>
      </c>
      <c r="R266" s="179">
        <f t="shared" si="175"/>
        <v>1.2594123232890637</v>
      </c>
      <c r="S266" s="179">
        <f t="shared" si="175"/>
        <v>1.2484218780631249</v>
      </c>
      <c r="T266" s="179">
        <f t="shared" si="175"/>
        <v>1.2587844931499748</v>
      </c>
    </row>
    <row r="267" spans="1:20">
      <c r="A267" s="175" t="s">
        <v>5051</v>
      </c>
      <c r="B267" s="177">
        <f>HAMPSHIRE!D10</f>
        <v>87507</v>
      </c>
      <c r="C267" s="177">
        <f>HAMPSHIRE!E10</f>
        <v>88149</v>
      </c>
      <c r="D267" s="177">
        <f>HAMPSHIRE!F10</f>
        <v>88814</v>
      </c>
      <c r="E267" s="177">
        <f>HAMPSHIRE!G10</f>
        <v>89310</v>
      </c>
      <c r="F267" s="177">
        <f>HAMPSHIRE!H10</f>
        <v>89834</v>
      </c>
      <c r="G267" s="177">
        <f>HAMPSHIRE!I10</f>
        <v>88502</v>
      </c>
      <c r="H267" s="177">
        <f>HAMPSHIRE!J10</f>
        <v>87138</v>
      </c>
      <c r="I267" s="177">
        <f>HAMPSHIRE!K10</f>
        <v>88532</v>
      </c>
      <c r="J267" s="177">
        <f>HAMPSHIRE!L10</f>
        <v>89417</v>
      </c>
      <c r="K267" s="178"/>
      <c r="L267" s="179">
        <f t="shared" si="170"/>
        <v>1.1524390243902438</v>
      </c>
      <c r="M267" s="179">
        <f t="shared" si="171"/>
        <v>1.1501546169804673</v>
      </c>
      <c r="N267" s="179">
        <f t="shared" si="172"/>
        <v>1.1522164995264721</v>
      </c>
      <c r="O267" s="179">
        <f t="shared" si="173"/>
        <v>1.1524763207474127</v>
      </c>
      <c r="P267" s="179">
        <f t="shared" si="174"/>
        <v>1.1646485337205383</v>
      </c>
      <c r="Q267" s="179">
        <f t="shared" si="175"/>
        <v>1.1679731834138358</v>
      </c>
      <c r="R267" s="179">
        <f t="shared" si="175"/>
        <v>1.1654295229306264</v>
      </c>
      <c r="S267" s="179">
        <f t="shared" si="175"/>
        <v>1.1570541723844998</v>
      </c>
      <c r="T267" s="179">
        <f t="shared" si="175"/>
        <v>1.1589568778919808</v>
      </c>
    </row>
    <row r="268" spans="1:20">
      <c r="A268" s="175" t="s">
        <v>5052</v>
      </c>
      <c r="B268" s="177">
        <f>HAMPSHIRE!D11</f>
        <v>61202</v>
      </c>
      <c r="C268" s="177">
        <f>HAMPSHIRE!E11</f>
        <v>61153</v>
      </c>
      <c r="D268" s="177">
        <f>HAMPSHIRE!F11</f>
        <v>61856</v>
      </c>
      <c r="E268" s="177">
        <f>HAMPSHIRE!G11</f>
        <v>62526</v>
      </c>
      <c r="F268" s="177">
        <f>HAMPSHIRE!H11</f>
        <v>62965</v>
      </c>
      <c r="G268" s="177">
        <f>HAMPSHIRE!I11</f>
        <v>61777</v>
      </c>
      <c r="H268" s="177">
        <f>HAMPSHIRE!J11</f>
        <v>60943</v>
      </c>
      <c r="I268" s="177">
        <f>HAMPSHIRE!K11</f>
        <v>62217</v>
      </c>
      <c r="J268" s="177">
        <f>HAMPSHIRE!L11</f>
        <v>62155</v>
      </c>
      <c r="K268" s="178"/>
      <c r="L268" s="179">
        <f t="shared" si="170"/>
        <v>0.80601064109993148</v>
      </c>
      <c r="M268" s="179">
        <f t="shared" si="171"/>
        <v>0.79791495413681968</v>
      </c>
      <c r="N268" s="179">
        <f t="shared" si="172"/>
        <v>0.80248050751806543</v>
      </c>
      <c r="O268" s="179">
        <f t="shared" si="173"/>
        <v>0.80684956254677787</v>
      </c>
      <c r="P268" s="179">
        <f t="shared" si="174"/>
        <v>0.81630668706407028</v>
      </c>
      <c r="Q268" s="179">
        <f t="shared" si="175"/>
        <v>0.81527964737244962</v>
      </c>
      <c r="R268" s="179">
        <f t="shared" si="175"/>
        <v>0.81508379141087883</v>
      </c>
      <c r="S268" s="179">
        <f t="shared" si="175"/>
        <v>0.81313467947461282</v>
      </c>
      <c r="T268" s="179">
        <f t="shared" si="175"/>
        <v>0.80560704055577881</v>
      </c>
    </row>
    <row r="269" spans="1:20">
      <c r="A269" s="175" t="s">
        <v>5053</v>
      </c>
      <c r="B269" s="177">
        <f>HAMPSHIRE!D12</f>
        <v>67750</v>
      </c>
      <c r="C269" s="177">
        <f>HAMPSHIRE!E12</f>
        <v>68308</v>
      </c>
      <c r="D269" s="177">
        <f>HAMPSHIRE!F12</f>
        <v>69160</v>
      </c>
      <c r="E269" s="177">
        <f>HAMPSHIRE!G12</f>
        <v>69781</v>
      </c>
      <c r="F269" s="177">
        <f>HAMPSHIRE!H12</f>
        <v>69049</v>
      </c>
      <c r="G269" s="177">
        <f>HAMPSHIRE!I12</f>
        <v>69113</v>
      </c>
      <c r="H269" s="177">
        <f>HAMPSHIRE!J12</f>
        <v>67763</v>
      </c>
      <c r="I269" s="177">
        <f>HAMPSHIRE!K12</f>
        <v>69456</v>
      </c>
      <c r="J269" s="177">
        <f>HAMPSHIRE!L12</f>
        <v>70392</v>
      </c>
      <c r="K269" s="178"/>
      <c r="L269" s="179">
        <f t="shared" si="170"/>
        <v>0.89224569351525052</v>
      </c>
      <c r="M269" s="179">
        <f t="shared" si="171"/>
        <v>0.89127229550762643</v>
      </c>
      <c r="N269" s="179">
        <f t="shared" si="172"/>
        <v>0.89723797044667297</v>
      </c>
      <c r="O269" s="179">
        <f t="shared" si="173"/>
        <v>0.90046971378429297</v>
      </c>
      <c r="P269" s="179">
        <f t="shared" si="174"/>
        <v>0.89518240983223996</v>
      </c>
      <c r="Q269" s="179">
        <f t="shared" si="175"/>
        <v>0.91209385805157439</v>
      </c>
      <c r="R269" s="179">
        <f t="shared" si="175"/>
        <v>0.90629806470596108</v>
      </c>
      <c r="S269" s="179">
        <f t="shared" si="175"/>
        <v>0.90774357969025676</v>
      </c>
      <c r="T269" s="179">
        <f t="shared" si="175"/>
        <v>0.91236892927041069</v>
      </c>
    </row>
    <row r="270" spans="1:20">
      <c r="A270" s="175" t="s">
        <v>5054</v>
      </c>
      <c r="B270" s="177">
        <f>HAMPSHIRE!D13</f>
        <v>92494</v>
      </c>
      <c r="C270" s="177">
        <f>HAMPSHIRE!E13</f>
        <v>93260</v>
      </c>
      <c r="D270" s="177">
        <f>HAMPSHIRE!F13</f>
        <v>93423</v>
      </c>
      <c r="E270" s="177">
        <f>HAMPSHIRE!G13</f>
        <v>94029</v>
      </c>
      <c r="F270" s="177">
        <f>HAMPSHIRE!H13</f>
        <v>94362</v>
      </c>
      <c r="G270" s="177">
        <f>HAMPSHIRE!I13</f>
        <v>93180</v>
      </c>
      <c r="H270" s="177">
        <f>HAMPSHIRE!J13</f>
        <v>92313</v>
      </c>
      <c r="I270" s="177">
        <f>HAMPSHIRE!K13</f>
        <v>94390</v>
      </c>
      <c r="J270" s="177">
        <f>HAMPSHIRE!L13</f>
        <v>95026</v>
      </c>
      <c r="K270" s="178"/>
      <c r="L270" s="179">
        <f t="shared" si="170"/>
        <v>1.2181162092398461</v>
      </c>
      <c r="M270" s="179">
        <f t="shared" si="171"/>
        <v>1.2168421602014587</v>
      </c>
      <c r="N270" s="179">
        <f t="shared" si="172"/>
        <v>1.2120107419467832</v>
      </c>
      <c r="O270" s="179">
        <f t="shared" si="173"/>
        <v>1.213371357782538</v>
      </c>
      <c r="P270" s="179">
        <f t="shared" si="174"/>
        <v>1.2233515699950734</v>
      </c>
      <c r="Q270" s="179">
        <f t="shared" si="175"/>
        <v>1.2297093990022963</v>
      </c>
      <c r="R270" s="179">
        <f t="shared" si="175"/>
        <v>1.2346426995145048</v>
      </c>
      <c r="S270" s="179">
        <f t="shared" si="175"/>
        <v>1.2336143239887605</v>
      </c>
      <c r="T270" s="179">
        <f t="shared" si="175"/>
        <v>1.2316565784869027</v>
      </c>
    </row>
    <row r="271" spans="1:20">
      <c r="A271" s="175" t="s">
        <v>3374</v>
      </c>
      <c r="B271" s="177">
        <f>HAMPSHIRE!D14</f>
        <v>141194</v>
      </c>
      <c r="C271" s="177">
        <f>HAMPSHIRE!E14</f>
        <v>142529</v>
      </c>
      <c r="D271" s="177">
        <f>HAMPSHIRE!F14</f>
        <v>142229</v>
      </c>
      <c r="E271" s="177">
        <f>HAMPSHIRE!G14</f>
        <v>142509</v>
      </c>
      <c r="F271" s="177">
        <f>HAMPSHIRE!H14</f>
        <v>142854</v>
      </c>
      <c r="G271" s="177">
        <f>HAMPSHIRE!I14</f>
        <v>140768</v>
      </c>
      <c r="H271" s="177">
        <f>HAMPSHIRE!J14</f>
        <v>137973</v>
      </c>
      <c r="I271" s="177">
        <f>HAMPSHIRE!K14</f>
        <v>140440</v>
      </c>
      <c r="J271" s="177">
        <f>HAMPSHIRE!L14</f>
        <v>140815</v>
      </c>
      <c r="K271" s="178"/>
      <c r="L271" s="179">
        <f t="shared" si="170"/>
        <v>1.8594795343201813</v>
      </c>
      <c r="M271" s="179">
        <f t="shared" si="171"/>
        <v>1.8596965070915046</v>
      </c>
      <c r="N271" s="179">
        <f t="shared" si="172"/>
        <v>1.8451888273374761</v>
      </c>
      <c r="O271" s="179">
        <f t="shared" si="173"/>
        <v>1.8389681781815366</v>
      </c>
      <c r="P271" s="179">
        <f t="shared" si="174"/>
        <v>1.8520237508751005</v>
      </c>
      <c r="Q271" s="179">
        <f t="shared" si="175"/>
        <v>1.857734843086019</v>
      </c>
      <c r="R271" s="179">
        <f t="shared" si="175"/>
        <v>1.8453235966777675</v>
      </c>
      <c r="S271" s="179">
        <f t="shared" si="175"/>
        <v>1.8354570999150492</v>
      </c>
      <c r="T271" s="179">
        <f t="shared" si="175"/>
        <v>1.8251396575635426</v>
      </c>
    </row>
    <row r="272" spans="1:20">
      <c r="A272" s="175" t="s">
        <v>3375</v>
      </c>
      <c r="B272" s="177">
        <f>HAMPSHIRE!D15</f>
        <v>63054</v>
      </c>
      <c r="C272" s="177">
        <f>HAMPSHIRE!E15</f>
        <v>64410</v>
      </c>
      <c r="D272" s="177">
        <f>HAMPSHIRE!F15</f>
        <v>64751</v>
      </c>
      <c r="E272" s="177">
        <f>HAMPSHIRE!G15</f>
        <v>64847</v>
      </c>
      <c r="F272" s="177">
        <f>HAMPSHIRE!H15</f>
        <v>65082</v>
      </c>
      <c r="G272" s="177">
        <f>HAMPSHIRE!I15</f>
        <v>63659</v>
      </c>
      <c r="H272" s="177">
        <f>HAMPSHIRE!J15</f>
        <v>62487</v>
      </c>
      <c r="I272" s="177">
        <f>HAMPSHIRE!K15</f>
        <v>65196</v>
      </c>
      <c r="J272" s="177">
        <f>HAMPSHIRE!L15</f>
        <v>64491</v>
      </c>
      <c r="K272" s="178"/>
      <c r="L272" s="179">
        <f t="shared" si="170"/>
        <v>0.83040088500237053</v>
      </c>
      <c r="M272" s="179">
        <f t="shared" si="171"/>
        <v>0.84041179003405486</v>
      </c>
      <c r="N272" s="179">
        <f t="shared" si="172"/>
        <v>0.84003840116241357</v>
      </c>
      <c r="O272" s="179">
        <f t="shared" si="173"/>
        <v>0.83680026840787669</v>
      </c>
      <c r="P272" s="179">
        <f t="shared" si="174"/>
        <v>0.84375243083465135</v>
      </c>
      <c r="Q272" s="179">
        <f t="shared" si="175"/>
        <v>0.84011666270752505</v>
      </c>
      <c r="R272" s="179">
        <f t="shared" si="175"/>
        <v>0.83573406090759539</v>
      </c>
      <c r="S272" s="179">
        <f t="shared" si="175"/>
        <v>0.85206822191727116</v>
      </c>
      <c r="T272" s="179">
        <f t="shared" si="175"/>
        <v>0.83588454110663224</v>
      </c>
    </row>
    <row r="273" spans="1:20">
      <c r="A273" s="175" t="s">
        <v>3376</v>
      </c>
      <c r="B273" s="177">
        <f>HAMPSHIRE!D16</f>
        <v>89524</v>
      </c>
      <c r="C273" s="177">
        <f>HAMPSHIRE!E16</f>
        <v>89938</v>
      </c>
      <c r="D273" s="177">
        <f>HAMPSHIRE!F16</f>
        <v>90838</v>
      </c>
      <c r="E273" s="177">
        <f>HAMPSHIRE!G16</f>
        <v>91291</v>
      </c>
      <c r="F273" s="177">
        <f>HAMPSHIRE!H16</f>
        <v>92465</v>
      </c>
      <c r="G273" s="177">
        <f>HAMPSHIRE!I16</f>
        <v>91017</v>
      </c>
      <c r="H273" s="177">
        <f>HAMPSHIRE!J16</f>
        <v>90897</v>
      </c>
      <c r="I273" s="177">
        <f>HAMPSHIRE!K16</f>
        <v>93863</v>
      </c>
      <c r="J273" s="177">
        <f>HAMPSHIRE!L16</f>
        <v>93794</v>
      </c>
      <c r="K273" s="178"/>
      <c r="L273" s="179">
        <f t="shared" si="170"/>
        <v>1.1790022651846388</v>
      </c>
      <c r="M273" s="179">
        <f t="shared" si="171"/>
        <v>1.1734972142847824</v>
      </c>
      <c r="N273" s="179">
        <f t="shared" si="172"/>
        <v>1.1784745916633153</v>
      </c>
      <c r="O273" s="179">
        <f t="shared" si="173"/>
        <v>1.178039590161819</v>
      </c>
      <c r="P273" s="179">
        <f t="shared" si="174"/>
        <v>1.1987580055487852</v>
      </c>
      <c r="Q273" s="179">
        <f t="shared" si="175"/>
        <v>1.201163987647478</v>
      </c>
      <c r="R273" s="179">
        <f t="shared" si="175"/>
        <v>1.2157043694579304</v>
      </c>
      <c r="S273" s="179">
        <f t="shared" si="175"/>
        <v>1.2267267855975952</v>
      </c>
      <c r="T273" s="179">
        <f t="shared" si="175"/>
        <v>1.2156883076484388</v>
      </c>
    </row>
    <row r="274" spans="1:20">
      <c r="A274" s="175" t="s">
        <v>3377</v>
      </c>
      <c r="B274" s="177">
        <f>HAMPSHIRE!D17</f>
        <v>88180</v>
      </c>
      <c r="C274" s="177">
        <f>HAMPSHIRE!E17</f>
        <v>89574</v>
      </c>
      <c r="D274" s="177">
        <f>HAMPSHIRE!F17</f>
        <v>90456</v>
      </c>
      <c r="E274" s="177">
        <f>HAMPSHIRE!G17</f>
        <v>91112</v>
      </c>
      <c r="F274" s="177">
        <f>HAMPSHIRE!H17</f>
        <v>91952</v>
      </c>
      <c r="G274" s="177">
        <f>HAMPSHIRE!I17</f>
        <v>89503</v>
      </c>
      <c r="H274" s="177">
        <f>HAMPSHIRE!J17</f>
        <v>85795</v>
      </c>
      <c r="I274" s="177">
        <f>HAMPSHIRE!K17</f>
        <v>87529</v>
      </c>
      <c r="J274" s="177">
        <f>HAMPSHIRE!L17</f>
        <v>87879</v>
      </c>
      <c r="K274" s="178"/>
      <c r="L274" s="179">
        <f t="shared" si="170"/>
        <v>1.1613022177737977</v>
      </c>
      <c r="M274" s="179">
        <f t="shared" si="171"/>
        <v>1.1687477981759111</v>
      </c>
      <c r="N274" s="179">
        <f t="shared" si="172"/>
        <v>1.1735187659734565</v>
      </c>
      <c r="O274" s="179">
        <f t="shared" si="173"/>
        <v>1.1757297339148838</v>
      </c>
      <c r="P274" s="179">
        <f t="shared" si="174"/>
        <v>1.1921072419425933</v>
      </c>
      <c r="Q274" s="179">
        <f t="shared" si="175"/>
        <v>1.1811835194129912</v>
      </c>
      <c r="R274" s="179">
        <f t="shared" si="175"/>
        <v>1.1474675333360083</v>
      </c>
      <c r="S274" s="179">
        <f t="shared" si="175"/>
        <v>1.1439456315755081</v>
      </c>
      <c r="T274" s="179">
        <f t="shared" si="175"/>
        <v>1.1390224618614959</v>
      </c>
    </row>
    <row r="275" spans="1:20">
      <c r="A275" s="175" t="s">
        <v>3378</v>
      </c>
      <c r="B275" s="180">
        <f t="shared" ref="B275:G275" si="176">SUM(B264:B274)</f>
        <v>994119</v>
      </c>
      <c r="C275" s="180">
        <f t="shared" si="176"/>
        <v>1003482</v>
      </c>
      <c r="D275" s="180">
        <f t="shared" si="176"/>
        <v>1009878</v>
      </c>
      <c r="E275" s="180">
        <f t="shared" si="176"/>
        <v>1017084</v>
      </c>
      <c r="F275" s="180">
        <f t="shared" si="176"/>
        <v>1022701</v>
      </c>
      <c r="G275" s="180">
        <f t="shared" si="176"/>
        <v>1008191</v>
      </c>
      <c r="H275" s="180">
        <f t="shared" ref="H275" si="177">SUM(H264:H274)</f>
        <v>990435</v>
      </c>
      <c r="I275" s="180">
        <f t="shared" ref="I275:J275" si="178">SUM(I264:I274)</f>
        <v>1015196</v>
      </c>
      <c r="J275" s="180">
        <f t="shared" si="178"/>
        <v>1021243</v>
      </c>
      <c r="K275" s="173"/>
      <c r="L275" s="179">
        <f t="shared" si="170"/>
        <v>13.092227255965865</v>
      </c>
      <c r="M275" s="179">
        <f t="shared" si="171"/>
        <v>13.09327905429209</v>
      </c>
      <c r="N275" s="179">
        <f t="shared" si="172"/>
        <v>13.101516586448023</v>
      </c>
      <c r="O275" s="179">
        <f t="shared" si="173"/>
        <v>13.124680620435131</v>
      </c>
      <c r="P275" s="179">
        <f t="shared" si="174"/>
        <v>13.258757486970726</v>
      </c>
      <c r="Q275" s="179">
        <f t="shared" si="175"/>
        <v>13.305236624699765</v>
      </c>
      <c r="R275" s="179">
        <f t="shared" si="175"/>
        <v>13.246599526541749</v>
      </c>
      <c r="S275" s="179">
        <f t="shared" si="175"/>
        <v>13.267934391949291</v>
      </c>
      <c r="T275" s="179">
        <f t="shared" si="175"/>
        <v>13.236594818088733</v>
      </c>
    </row>
    <row r="276" spans="1:20">
      <c r="A276" s="175" t="s">
        <v>6862</v>
      </c>
      <c r="B276" s="177">
        <f>PORTSMOUTH!D3</f>
        <v>139920</v>
      </c>
      <c r="C276" s="177">
        <f>PORTSMOUTH!E3</f>
        <v>143745</v>
      </c>
      <c r="D276" s="177">
        <f>PORTSMOUTH!F3</f>
        <v>144921</v>
      </c>
      <c r="E276" s="177">
        <f>PORTSMOUTH!G3</f>
        <v>143647</v>
      </c>
      <c r="F276" s="177">
        <f>PORTSMOUTH!H3</f>
        <v>142892</v>
      </c>
      <c r="G276" s="177">
        <f>PORTSMOUTH!I3</f>
        <v>141701</v>
      </c>
      <c r="H276" s="177">
        <f>PORTSMOUTH!J3</f>
        <v>134892</v>
      </c>
      <c r="I276" s="177">
        <f>PORTSMOUTH!K3</f>
        <v>139620</v>
      </c>
      <c r="J276" s="177">
        <f>PORTSMOUTH!L3</f>
        <v>142014</v>
      </c>
      <c r="K276" s="178"/>
      <c r="L276" s="179">
        <f t="shared" si="170"/>
        <v>1.8427013643786545</v>
      </c>
      <c r="M276" s="179">
        <f t="shared" si="171"/>
        <v>1.8755626883782832</v>
      </c>
      <c r="N276" s="179">
        <f t="shared" si="172"/>
        <v>1.880113127748732</v>
      </c>
      <c r="O276" s="179">
        <f t="shared" si="173"/>
        <v>1.8536531860531138</v>
      </c>
      <c r="P276" s="179">
        <f t="shared" si="174"/>
        <v>1.8525164000311147</v>
      </c>
      <c r="Q276" s="179">
        <f t="shared" si="175"/>
        <v>1.8700477736426742</v>
      </c>
      <c r="R276" s="179">
        <f t="shared" si="175"/>
        <v>1.8041166793724672</v>
      </c>
      <c r="S276" s="179">
        <f t="shared" si="175"/>
        <v>1.8247402470103902</v>
      </c>
      <c r="T276" s="179">
        <f t="shared" si="175"/>
        <v>1.8406802068616903</v>
      </c>
    </row>
    <row r="277" spans="1:20">
      <c r="A277" s="175" t="s">
        <v>3379</v>
      </c>
      <c r="B277" s="177">
        <f>HAMPSHIRE!D4</f>
        <v>166253</v>
      </c>
      <c r="C277" s="177">
        <f>HAMPSHIRE!E4</f>
        <v>165725</v>
      </c>
      <c r="D277" s="177">
        <f>HAMPSHIRE!F4</f>
        <v>164387</v>
      </c>
      <c r="E277" s="177">
        <f>HAMPSHIRE!G4</f>
        <v>162415</v>
      </c>
      <c r="F277" s="177">
        <f>HAMPSHIRE!H4</f>
        <v>164847</v>
      </c>
      <c r="G277" s="177">
        <f>HAMPSHIRE!I4</f>
        <v>153712</v>
      </c>
      <c r="H277" s="177">
        <f>HAMPSHIRE!J4</f>
        <v>148179</v>
      </c>
      <c r="I277" s="177">
        <f>HAMPSHIRE!K4</f>
        <v>150842</v>
      </c>
      <c r="J277" s="177">
        <f>HAMPSHIRE!L4</f>
        <v>152503</v>
      </c>
      <c r="K277" s="178"/>
      <c r="L277" s="179">
        <f t="shared" si="170"/>
        <v>2.1894984986566928</v>
      </c>
      <c r="M277" s="179">
        <f t="shared" si="171"/>
        <v>2.1623543534139689</v>
      </c>
      <c r="N277" s="179">
        <f t="shared" si="172"/>
        <v>2.1326526640806422</v>
      </c>
      <c r="O277" s="179">
        <f t="shared" si="173"/>
        <v>2.0958396779105479</v>
      </c>
      <c r="P277" s="179">
        <f t="shared" si="174"/>
        <v>2.1371509321440612</v>
      </c>
      <c r="Q277" s="179">
        <f t="shared" si="175"/>
        <v>2.0285586084936784</v>
      </c>
      <c r="R277" s="179">
        <f t="shared" si="175"/>
        <v>1.9818240179753641</v>
      </c>
      <c r="S277" s="179">
        <f t="shared" si="175"/>
        <v>1.9714042998104946</v>
      </c>
      <c r="T277" s="179">
        <f t="shared" si="175"/>
        <v>1.9766308503881898</v>
      </c>
    </row>
    <row r="278" spans="1:20">
      <c r="A278" s="181" t="s">
        <v>13792</v>
      </c>
      <c r="B278" s="177">
        <f>SUM(B275:B277)</f>
        <v>1300292</v>
      </c>
      <c r="C278" s="177">
        <f t="shared" ref="C278:G278" si="179">SUM(C275:C277)</f>
        <v>1312952</v>
      </c>
      <c r="D278" s="177">
        <f t="shared" si="179"/>
        <v>1319186</v>
      </c>
      <c r="E278" s="177">
        <f t="shared" si="179"/>
        <v>1323146</v>
      </c>
      <c r="F278" s="177">
        <f t="shared" si="179"/>
        <v>1330440</v>
      </c>
      <c r="G278" s="177">
        <f t="shared" si="179"/>
        <v>1303604</v>
      </c>
      <c r="H278" s="177">
        <f t="shared" ref="H278" si="180">SUM(H275:H277)</f>
        <v>1273506</v>
      </c>
      <c r="I278" s="177">
        <f t="shared" ref="I278:J278" si="181">SUM(I275:I277)</f>
        <v>1305658</v>
      </c>
      <c r="J278" s="177">
        <f t="shared" si="181"/>
        <v>1315760</v>
      </c>
      <c r="K278" s="178"/>
      <c r="L278" s="179">
        <f t="shared" si="170"/>
        <v>17.124427119001211</v>
      </c>
      <c r="M278" s="179">
        <f t="shared" si="171"/>
        <v>17.131196096084341</v>
      </c>
      <c r="N278" s="179">
        <f t="shared" si="172"/>
        <v>17.114282378277398</v>
      </c>
      <c r="O278" s="179">
        <f t="shared" si="173"/>
        <v>17.074173484398791</v>
      </c>
      <c r="P278" s="179">
        <f t="shared" si="174"/>
        <v>17.248424819145903</v>
      </c>
      <c r="Q278" s="179">
        <f t="shared" si="175"/>
        <v>17.203843006836117</v>
      </c>
      <c r="R278" s="179">
        <f t="shared" si="175"/>
        <v>17.03254022388958</v>
      </c>
      <c r="S278" s="179">
        <f t="shared" si="175"/>
        <v>17.064078938770177</v>
      </c>
      <c r="T278" s="179">
        <f t="shared" si="175"/>
        <v>17.053905875338614</v>
      </c>
    </row>
    <row r="279" spans="1:20">
      <c r="A279" s="175"/>
      <c r="B279" s="177"/>
      <c r="C279" s="177"/>
      <c r="D279" s="177"/>
      <c r="E279" s="177"/>
      <c r="F279" s="177"/>
      <c r="G279" s="177"/>
      <c r="H279" s="177"/>
      <c r="I279" s="177"/>
      <c r="J279" s="177"/>
      <c r="K279" s="178"/>
      <c r="L279" s="179"/>
      <c r="M279" s="179"/>
      <c r="N279" s="179"/>
      <c r="O279" s="179"/>
      <c r="P279" s="179"/>
      <c r="Q279" s="179"/>
      <c r="R279" s="179"/>
      <c r="S279" s="179"/>
      <c r="T279" s="179"/>
    </row>
    <row r="280" spans="1:20">
      <c r="A280" s="175" t="s">
        <v>5059</v>
      </c>
      <c r="B280" s="177">
        <f>'ISLE OF WIGHT'!D3</f>
        <v>110228</v>
      </c>
      <c r="C280" s="177">
        <f>'ISLE OF WIGHT'!E3</f>
        <v>110924</v>
      </c>
      <c r="D280" s="177">
        <f>'ISLE OF WIGHT'!F3</f>
        <v>110900</v>
      </c>
      <c r="E280" s="177">
        <f>'ISLE OF WIGHT'!G3</f>
        <v>111109</v>
      </c>
      <c r="F280" s="177">
        <f>'ISLE OF WIGHT'!H3</f>
        <v>111800</v>
      </c>
      <c r="G280" s="177">
        <f>'ISLE OF WIGHT'!I3</f>
        <v>107572</v>
      </c>
      <c r="H280" s="177">
        <f>'ISLE OF WIGHT'!J3</f>
        <v>105448</v>
      </c>
      <c r="I280" s="177">
        <f>'ISLE OF WIGHT'!K3</f>
        <v>108591</v>
      </c>
      <c r="J280" s="177">
        <f>'ISLE OF WIGHT'!L3</f>
        <v>109938</v>
      </c>
      <c r="K280" s="178"/>
      <c r="L280" s="179">
        <f t="shared" ref="L280:T280" si="182">B280/B$470</f>
        <v>1.4516672812516462</v>
      </c>
      <c r="M280" s="179">
        <f t="shared" si="182"/>
        <v>1.4473193199462429</v>
      </c>
      <c r="N280" s="179">
        <f t="shared" si="182"/>
        <v>1.4387462539406599</v>
      </c>
      <c r="O280" s="179">
        <f t="shared" si="182"/>
        <v>1.4337755181046274</v>
      </c>
      <c r="P280" s="179">
        <f t="shared" si="182"/>
        <v>1.4494256747996992</v>
      </c>
      <c r="Q280" s="179">
        <f t="shared" si="182"/>
        <v>1.4196426214796631</v>
      </c>
      <c r="R280" s="179">
        <f t="shared" si="182"/>
        <v>1.4103171100322327</v>
      </c>
      <c r="S280" s="179">
        <f t="shared" si="182"/>
        <v>1.4192119192315231</v>
      </c>
      <c r="T280" s="179">
        <f t="shared" si="182"/>
        <v>1.4249348696745427</v>
      </c>
    </row>
    <row r="281" spans="1:20">
      <c r="A281" s="175"/>
      <c r="B281" s="177"/>
      <c r="C281" s="177"/>
      <c r="D281" s="177"/>
      <c r="E281" s="177"/>
      <c r="F281" s="177"/>
      <c r="G281" s="177"/>
      <c r="H281" s="177"/>
      <c r="I281" s="177"/>
      <c r="J281" s="177"/>
      <c r="K281" s="178"/>
      <c r="L281" s="179"/>
      <c r="M281" s="179"/>
      <c r="N281" s="179"/>
      <c r="O281" s="179"/>
      <c r="P281" s="179"/>
      <c r="Q281" s="179"/>
      <c r="R281" s="179"/>
      <c r="S281" s="179"/>
      <c r="T281" s="179"/>
    </row>
    <row r="282" spans="1:20">
      <c r="A282" s="175" t="s">
        <v>5060</v>
      </c>
      <c r="B282" s="177">
        <f>KENT!D7</f>
        <v>85182</v>
      </c>
      <c r="C282" s="177">
        <f>KENT!E7</f>
        <v>86043</v>
      </c>
      <c r="D282" s="177">
        <f>KENT!F7</f>
        <v>87420</v>
      </c>
      <c r="E282" s="177">
        <f>KENT!G7</f>
        <v>88804</v>
      </c>
      <c r="F282" s="177">
        <f>KENT!H7</f>
        <v>89111</v>
      </c>
      <c r="G282" s="177">
        <f>KENT!I7</f>
        <v>88043</v>
      </c>
      <c r="H282" s="177">
        <f>KENT!J7</f>
        <v>86610</v>
      </c>
      <c r="I282" s="177">
        <f>KENT!K7</f>
        <v>89236</v>
      </c>
      <c r="J282" s="177">
        <f>KENT!L7</f>
        <v>90894</v>
      </c>
      <c r="K282" s="178"/>
      <c r="L282" s="179">
        <f t="shared" ref="L282:L296" si="183">B282/B$470</f>
        <v>1.1218195227308645</v>
      </c>
      <c r="M282" s="179">
        <f t="shared" ref="M282:M296" si="184">C282/C$470</f>
        <v>1.1226758523505695</v>
      </c>
      <c r="N282" s="179">
        <f t="shared" ref="N282:N296" si="185">D282/D$470</f>
        <v>1.1341316277681919</v>
      </c>
      <c r="O282" s="179">
        <f t="shared" ref="O282:O296" si="186">E282/E$470</f>
        <v>1.1459467829767467</v>
      </c>
      <c r="P282" s="179">
        <f t="shared" ref="P282:P296" si="187">F282/F$470</f>
        <v>1.1552752353047941</v>
      </c>
      <c r="Q282" s="179">
        <f t="shared" ref="Q282:T296" si="188">G282/G$470</f>
        <v>1.1619156966769604</v>
      </c>
      <c r="R282" s="179">
        <f t="shared" si="188"/>
        <v>1.1583677727400392</v>
      </c>
      <c r="S282" s="179">
        <f t="shared" si="188"/>
        <v>1.1662549826831341</v>
      </c>
      <c r="T282" s="179">
        <f t="shared" si="188"/>
        <v>1.178100657135821</v>
      </c>
    </row>
    <row r="283" spans="1:20">
      <c r="A283" s="175" t="s">
        <v>5061</v>
      </c>
      <c r="B283" s="177">
        <f>KENT!D8</f>
        <v>104420</v>
      </c>
      <c r="C283" s="177">
        <f>KENT!E8</f>
        <v>104803</v>
      </c>
      <c r="D283" s="177">
        <f>KENT!F8</f>
        <v>107231</v>
      </c>
      <c r="E283" s="177">
        <f>KENT!G8</f>
        <v>110594</v>
      </c>
      <c r="F283" s="177">
        <f>KENT!H8</f>
        <v>110929</v>
      </c>
      <c r="G283" s="177">
        <f>KENT!I8</f>
        <v>111301</v>
      </c>
      <c r="H283" s="177">
        <f>KENT!J8</f>
        <v>100437</v>
      </c>
      <c r="I283" s="177">
        <f>KENT!K8</f>
        <v>103642</v>
      </c>
      <c r="J283" s="177">
        <f>KENT!L8</f>
        <v>105777</v>
      </c>
      <c r="K283" s="178"/>
      <c r="L283" s="179">
        <f t="shared" si="183"/>
        <v>1.3751777906547964</v>
      </c>
      <c r="M283" s="179">
        <f t="shared" si="184"/>
        <v>1.3674534518077792</v>
      </c>
      <c r="N283" s="179">
        <f t="shared" si="185"/>
        <v>1.3911469752597916</v>
      </c>
      <c r="O283" s="179">
        <f t="shared" si="186"/>
        <v>1.4271298423103724</v>
      </c>
      <c r="P283" s="179">
        <f t="shared" si="187"/>
        <v>1.4381336375657945</v>
      </c>
      <c r="Q283" s="179">
        <f t="shared" si="188"/>
        <v>1.4688547522897035</v>
      </c>
      <c r="R283" s="179">
        <f t="shared" si="188"/>
        <v>1.3432973558560366</v>
      </c>
      <c r="S283" s="179">
        <f t="shared" si="188"/>
        <v>1.3545317911520618</v>
      </c>
      <c r="T283" s="179">
        <f t="shared" si="188"/>
        <v>1.371003071818335</v>
      </c>
    </row>
    <row r="284" spans="1:20">
      <c r="A284" s="175" t="s">
        <v>5062</v>
      </c>
      <c r="B284" s="177">
        <f>KENT!D9</f>
        <v>70176</v>
      </c>
      <c r="C284" s="177">
        <f>KENT!E9</f>
        <v>69972</v>
      </c>
      <c r="D284" s="177">
        <f>KENT!F9</f>
        <v>70539</v>
      </c>
      <c r="E284" s="177">
        <f>KENT!G9</f>
        <v>70841</v>
      </c>
      <c r="F284" s="177">
        <f>KENT!H9</f>
        <v>71396</v>
      </c>
      <c r="G284" s="177">
        <f>KENT!I9</f>
        <v>70507</v>
      </c>
      <c r="H284" s="177">
        <f>KENT!J9</f>
        <v>72180</v>
      </c>
      <c r="I284" s="177">
        <f>KENT!K9</f>
        <v>73292</v>
      </c>
      <c r="J284" s="177">
        <f>KENT!L9</f>
        <v>74276</v>
      </c>
      <c r="K284" s="178"/>
      <c r="L284" s="179">
        <f t="shared" si="183"/>
        <v>0.92419533266606968</v>
      </c>
      <c r="M284" s="179">
        <f t="shared" si="184"/>
        <v>0.91298391200532347</v>
      </c>
      <c r="N284" s="179">
        <f t="shared" si="185"/>
        <v>0.91512824171974938</v>
      </c>
      <c r="O284" s="179">
        <f t="shared" si="186"/>
        <v>0.9141481921180995</v>
      </c>
      <c r="P284" s="179">
        <f t="shared" si="187"/>
        <v>0.92560997744185447</v>
      </c>
      <c r="Q284" s="179">
        <f t="shared" si="188"/>
        <v>0.93049066962282578</v>
      </c>
      <c r="R284" s="179">
        <f t="shared" si="188"/>
        <v>0.9653733499177467</v>
      </c>
      <c r="S284" s="179">
        <f t="shared" si="188"/>
        <v>0.95787754035156503</v>
      </c>
      <c r="T284" s="179">
        <f t="shared" si="188"/>
        <v>0.96271045843972369</v>
      </c>
    </row>
    <row r="285" spans="1:20">
      <c r="A285" s="175" t="s">
        <v>5063</v>
      </c>
      <c r="B285" s="177">
        <f>KENT!D10</f>
        <v>82433</v>
      </c>
      <c r="C285" s="177">
        <f>KENT!E10</f>
        <v>82962</v>
      </c>
      <c r="D285" s="177">
        <f>KENT!F10</f>
        <v>83385</v>
      </c>
      <c r="E285" s="177">
        <f>KENT!G10</f>
        <v>83800</v>
      </c>
      <c r="F285" s="177">
        <f>KENT!H10</f>
        <v>84296</v>
      </c>
      <c r="G285" s="177">
        <f>KENT!I10</f>
        <v>83480</v>
      </c>
      <c r="H285" s="177">
        <f>KENT!J10</f>
        <v>84023</v>
      </c>
      <c r="I285" s="177">
        <f>KENT!K10</f>
        <v>85899</v>
      </c>
      <c r="J285" s="177">
        <f>KENT!L10</f>
        <v>85530</v>
      </c>
      <c r="K285" s="178"/>
      <c r="L285" s="179">
        <f t="shared" si="183"/>
        <v>1.0856160775430648</v>
      </c>
      <c r="M285" s="179">
        <f t="shared" si="184"/>
        <v>1.0824754374290524</v>
      </c>
      <c r="N285" s="179">
        <f t="shared" si="185"/>
        <v>1.0817840972483492</v>
      </c>
      <c r="O285" s="179">
        <f t="shared" si="186"/>
        <v>1.0813740418613054</v>
      </c>
      <c r="P285" s="179">
        <f t="shared" si="187"/>
        <v>1.0928514014572044</v>
      </c>
      <c r="Q285" s="179">
        <f t="shared" si="188"/>
        <v>1.1016971520574339</v>
      </c>
      <c r="R285" s="179">
        <f t="shared" si="188"/>
        <v>1.1237678717115382</v>
      </c>
      <c r="S285" s="179">
        <f t="shared" si="188"/>
        <v>1.1226426190942953</v>
      </c>
      <c r="T285" s="179">
        <f t="shared" si="188"/>
        <v>1.1085764649462755</v>
      </c>
    </row>
    <row r="286" spans="1:20">
      <c r="A286" s="175" t="s">
        <v>5064</v>
      </c>
      <c r="B286" s="177">
        <f>KENT!D11</f>
        <v>69898</v>
      </c>
      <c r="C286" s="177">
        <f>KENT!E11</f>
        <v>70412</v>
      </c>
      <c r="D286" s="177">
        <f>KENT!F11</f>
        <v>71521</v>
      </c>
      <c r="E286" s="177">
        <f>KENT!G11</f>
        <v>72182</v>
      </c>
      <c r="F286" s="177">
        <f>KENT!H11</f>
        <v>72466</v>
      </c>
      <c r="G286" s="177">
        <f>KENT!I11</f>
        <v>70140</v>
      </c>
      <c r="H286" s="177">
        <f>KENT!J11</f>
        <v>70477</v>
      </c>
      <c r="I286" s="177">
        <f>KENT!K11</f>
        <v>73088</v>
      </c>
      <c r="J286" s="177">
        <f>KENT!L11</f>
        <v>71601</v>
      </c>
      <c r="K286" s="178"/>
      <c r="L286" s="179">
        <f t="shared" si="183"/>
        <v>0.92053416214507722</v>
      </c>
      <c r="M286" s="179">
        <f t="shared" si="184"/>
        <v>0.91872496444461837</v>
      </c>
      <c r="N286" s="179">
        <f t="shared" si="185"/>
        <v>0.92786808681776312</v>
      </c>
      <c r="O286" s="179">
        <f t="shared" si="186"/>
        <v>0.93145275763284896</v>
      </c>
      <c r="P286" s="179">
        <f t="shared" si="187"/>
        <v>0.93948194051909661</v>
      </c>
      <c r="Q286" s="179">
        <f t="shared" si="188"/>
        <v>0.92564731966109748</v>
      </c>
      <c r="R286" s="179">
        <f t="shared" si="188"/>
        <v>0.9425965306477283</v>
      </c>
      <c r="S286" s="179">
        <f t="shared" si="188"/>
        <v>0.95521139645821085</v>
      </c>
      <c r="T286" s="179">
        <f t="shared" si="188"/>
        <v>0.92803909115653316</v>
      </c>
    </row>
    <row r="287" spans="1:20">
      <c r="A287" s="175" t="s">
        <v>5065</v>
      </c>
      <c r="B287" s="177">
        <f>KENT!D12</f>
        <v>113017</v>
      </c>
      <c r="C287" s="177">
        <f>KENT!E12</f>
        <v>111822</v>
      </c>
      <c r="D287" s="177">
        <f>KENT!F12</f>
        <v>115949</v>
      </c>
      <c r="E287" s="177">
        <f>KENT!G12</f>
        <v>117140</v>
      </c>
      <c r="F287" s="177">
        <f>KENT!H12</f>
        <v>108059</v>
      </c>
      <c r="G287" s="177">
        <f>KENT!I12</f>
        <v>109871</v>
      </c>
      <c r="H287" s="177">
        <f>KENT!J12</f>
        <v>108432</v>
      </c>
      <c r="I287" s="177">
        <f>KENT!K12</f>
        <v>115012</v>
      </c>
      <c r="J287" s="177">
        <f>KENT!L12</f>
        <v>113830</v>
      </c>
      <c r="K287" s="178"/>
      <c r="L287" s="179">
        <f t="shared" si="183"/>
        <v>1.4883975135647685</v>
      </c>
      <c r="M287" s="179">
        <f t="shared" si="184"/>
        <v>1.4590362860609856</v>
      </c>
      <c r="N287" s="179">
        <f t="shared" si="185"/>
        <v>1.5042487772602846</v>
      </c>
      <c r="O287" s="179">
        <f t="shared" si="186"/>
        <v>1.5116008981340492</v>
      </c>
      <c r="P287" s="179">
        <f t="shared" si="187"/>
        <v>1.4009256618352477</v>
      </c>
      <c r="Q287" s="179">
        <f t="shared" si="188"/>
        <v>1.4499828437194817</v>
      </c>
      <c r="R287" s="179">
        <f t="shared" si="188"/>
        <v>1.4502266982305501</v>
      </c>
      <c r="S287" s="179">
        <f t="shared" si="188"/>
        <v>1.5031301052081292</v>
      </c>
      <c r="T287" s="179">
        <f t="shared" si="188"/>
        <v>1.4753800889142354</v>
      </c>
    </row>
    <row r="288" spans="1:20">
      <c r="A288" s="175" t="s">
        <v>5066</v>
      </c>
      <c r="B288" s="177">
        <f>KENT!D13</f>
        <v>86849</v>
      </c>
      <c r="C288" s="177">
        <f>KENT!E13</f>
        <v>86547</v>
      </c>
      <c r="D288" s="177">
        <f>KENT!F13</f>
        <v>87289</v>
      </c>
      <c r="E288" s="177">
        <f>KENT!G13</f>
        <v>87556</v>
      </c>
      <c r="F288" s="177">
        <f>KENT!H13</f>
        <v>85648</v>
      </c>
      <c r="G288" s="177">
        <f>KENT!I13</f>
        <v>85835</v>
      </c>
      <c r="H288" s="177">
        <f>KENT!J13</f>
        <v>85867</v>
      </c>
      <c r="I288" s="177">
        <f>KENT!K13</f>
        <v>87056</v>
      </c>
      <c r="J288" s="177">
        <f>KENT!L13</f>
        <v>87537</v>
      </c>
      <c r="K288" s="178"/>
      <c r="L288" s="179">
        <f t="shared" si="183"/>
        <v>1.1437733761786861</v>
      </c>
      <c r="M288" s="179">
        <f t="shared" si="184"/>
        <v>1.1292519669628527</v>
      </c>
      <c r="N288" s="179">
        <f t="shared" si="185"/>
        <v>1.1324321168640781</v>
      </c>
      <c r="O288" s="179">
        <f t="shared" si="186"/>
        <v>1.129842310372416</v>
      </c>
      <c r="P288" s="179">
        <f t="shared" si="187"/>
        <v>1.1103793398501309</v>
      </c>
      <c r="Q288" s="179">
        <f t="shared" si="188"/>
        <v>1.1327764140734289</v>
      </c>
      <c r="R288" s="179">
        <f t="shared" si="188"/>
        <v>1.1484304992710883</v>
      </c>
      <c r="S288" s="179">
        <f t="shared" si="188"/>
        <v>1.1377638371561132</v>
      </c>
      <c r="T288" s="179">
        <f t="shared" si="188"/>
        <v>1.1345897113527665</v>
      </c>
    </row>
    <row r="289" spans="1:20">
      <c r="A289" s="175" t="s">
        <v>5067</v>
      </c>
      <c r="B289" s="177">
        <f>KENT!D14</f>
        <v>73479</v>
      </c>
      <c r="C289" s="177">
        <f>KENT!E14</f>
        <v>80060</v>
      </c>
      <c r="D289" s="177">
        <f>KENT!F14</f>
        <v>80849</v>
      </c>
      <c r="E289" s="177">
        <f>KENT!G14</f>
        <v>81387</v>
      </c>
      <c r="F289" s="177">
        <f>KENT!H14</f>
        <v>80513</v>
      </c>
      <c r="G289" s="177">
        <f>KENT!I14</f>
        <v>77897</v>
      </c>
      <c r="H289" s="177">
        <f>KENT!J14</f>
        <v>77333</v>
      </c>
      <c r="I289" s="177">
        <f>KENT!K14</f>
        <v>79886</v>
      </c>
      <c r="J289" s="177">
        <f>KENT!L14</f>
        <v>81245</v>
      </c>
      <c r="K289" s="178"/>
      <c r="L289" s="179">
        <f t="shared" si="183"/>
        <v>0.96769477953958805</v>
      </c>
      <c r="M289" s="179">
        <f t="shared" si="184"/>
        <v>1.0446105870226119</v>
      </c>
      <c r="N289" s="179">
        <f t="shared" si="185"/>
        <v>1.0488836418832137</v>
      </c>
      <c r="O289" s="179">
        <f t="shared" si="186"/>
        <v>1.0502361473146309</v>
      </c>
      <c r="P289" s="179">
        <f t="shared" si="187"/>
        <v>1.0438068815308423</v>
      </c>
      <c r="Q289" s="179">
        <f t="shared" si="188"/>
        <v>1.0280175258004065</v>
      </c>
      <c r="R289" s="179">
        <f t="shared" si="188"/>
        <v>1.0342922869103506</v>
      </c>
      <c r="S289" s="179">
        <f t="shared" si="188"/>
        <v>1.0440567209043978</v>
      </c>
      <c r="T289" s="179">
        <f t="shared" si="188"/>
        <v>1.0530374709991834</v>
      </c>
    </row>
    <row r="290" spans="1:20">
      <c r="A290" s="175" t="s">
        <v>5068</v>
      </c>
      <c r="B290" s="177">
        <f>KENT!D15</f>
        <v>95947</v>
      </c>
      <c r="C290" s="177">
        <f>KENT!E15</f>
        <v>95264</v>
      </c>
      <c r="D290" s="177">
        <f>KENT!F15</f>
        <v>96360</v>
      </c>
      <c r="E290" s="177">
        <f>KENT!G15</f>
        <v>96760</v>
      </c>
      <c r="F290" s="177">
        <f>KENT!H15</f>
        <v>97494</v>
      </c>
      <c r="G290" s="177">
        <f>KENT!I15</f>
        <v>92331</v>
      </c>
      <c r="H290" s="177">
        <f>KENT!J15</f>
        <v>96025</v>
      </c>
      <c r="I290" s="177">
        <f>KENT!K15</f>
        <v>101034</v>
      </c>
      <c r="J290" s="177">
        <f>KENT!L15</f>
        <v>102276</v>
      </c>
      <c r="K290" s="178"/>
      <c r="L290" s="179">
        <f t="shared" si="183"/>
        <v>1.2635911078333246</v>
      </c>
      <c r="M290" s="179">
        <f t="shared" si="184"/>
        <v>1.2429900444931563</v>
      </c>
      <c r="N290" s="179">
        <f t="shared" si="185"/>
        <v>1.2501135169497022</v>
      </c>
      <c r="O290" s="179">
        <f t="shared" si="186"/>
        <v>1.2486127958293545</v>
      </c>
      <c r="P290" s="179">
        <f t="shared" si="187"/>
        <v>1.2639562320118236</v>
      </c>
      <c r="Q290" s="179">
        <f t="shared" si="188"/>
        <v>1.2185050281099057</v>
      </c>
      <c r="R290" s="179">
        <f t="shared" si="188"/>
        <v>1.2842889432786315</v>
      </c>
      <c r="S290" s="179">
        <f t="shared" si="188"/>
        <v>1.3204469711821212</v>
      </c>
      <c r="T290" s="179">
        <f t="shared" si="188"/>
        <v>1.3256257047684472</v>
      </c>
    </row>
    <row r="291" spans="1:20">
      <c r="A291" s="175" t="s">
        <v>5069</v>
      </c>
      <c r="B291" s="177">
        <f>KENT!D16</f>
        <v>97254</v>
      </c>
      <c r="C291" s="177">
        <f>KENT!E16</f>
        <v>93087</v>
      </c>
      <c r="D291" s="177">
        <f>KENT!F16</f>
        <v>93568</v>
      </c>
      <c r="E291" s="177">
        <f>KENT!G16</f>
        <v>96861</v>
      </c>
      <c r="F291" s="177">
        <f>KENT!H16</f>
        <v>99158</v>
      </c>
      <c r="G291" s="177">
        <f>KENT!I16</f>
        <v>95394</v>
      </c>
      <c r="H291" s="177">
        <f>KENT!J16</f>
        <v>96967</v>
      </c>
      <c r="I291" s="177">
        <f>KENT!K16</f>
        <v>97551</v>
      </c>
      <c r="J291" s="177">
        <f>KENT!L16</f>
        <v>98389</v>
      </c>
      <c r="K291" s="178"/>
      <c r="L291" s="179">
        <f t="shared" si="183"/>
        <v>1.2808038771532424</v>
      </c>
      <c r="M291" s="179">
        <f t="shared" si="184"/>
        <v>1.2145848827650996</v>
      </c>
      <c r="N291" s="179">
        <f t="shared" si="185"/>
        <v>1.2138918799704208</v>
      </c>
      <c r="O291" s="179">
        <f t="shared" si="186"/>
        <v>1.2499161225385191</v>
      </c>
      <c r="P291" s="179">
        <f t="shared" si="187"/>
        <v>1.2855290792646563</v>
      </c>
      <c r="Q291" s="179">
        <f t="shared" si="188"/>
        <v>1.2589278644389896</v>
      </c>
      <c r="R291" s="179">
        <f t="shared" si="188"/>
        <v>1.2968877475959288</v>
      </c>
      <c r="S291" s="179">
        <f t="shared" si="188"/>
        <v>1.2749264850029407</v>
      </c>
      <c r="T291" s="179">
        <f t="shared" si="188"/>
        <v>1.2752452918227419</v>
      </c>
    </row>
    <row r="292" spans="1:20">
      <c r="A292" s="175" t="s">
        <v>5070</v>
      </c>
      <c r="B292" s="177">
        <f>KENT!D17</f>
        <v>86711</v>
      </c>
      <c r="C292" s="177">
        <f>KENT!E17</f>
        <v>88265</v>
      </c>
      <c r="D292" s="177">
        <f>KENT!F17</f>
        <v>89315</v>
      </c>
      <c r="E292" s="177">
        <f>KENT!G17</f>
        <v>90368</v>
      </c>
      <c r="F292" s="177">
        <f>KENT!H17</f>
        <v>84991</v>
      </c>
      <c r="G292" s="177">
        <f>KENT!I17</f>
        <v>88590</v>
      </c>
      <c r="H292" s="177">
        <f>KENT!J17</f>
        <v>90032</v>
      </c>
      <c r="I292" s="177">
        <f>KENT!K17</f>
        <v>94397</v>
      </c>
      <c r="J292" s="177">
        <f>KENT!L17</f>
        <v>95384</v>
      </c>
      <c r="K292" s="178"/>
      <c r="L292" s="179">
        <f t="shared" si="183"/>
        <v>1.141955960596323</v>
      </c>
      <c r="M292" s="179">
        <f t="shared" si="184"/>
        <v>1.1516681671690088</v>
      </c>
      <c r="N292" s="179">
        <f t="shared" si="185"/>
        <v>1.1587161557322816</v>
      </c>
      <c r="O292" s="179">
        <f t="shared" si="186"/>
        <v>1.1661289906315329</v>
      </c>
      <c r="P292" s="179">
        <f t="shared" si="187"/>
        <v>1.1018616952316747</v>
      </c>
      <c r="Q292" s="179">
        <f t="shared" si="188"/>
        <v>1.1691345316335418</v>
      </c>
      <c r="R292" s="179">
        <f t="shared" si="188"/>
        <v>1.2041354037100938</v>
      </c>
      <c r="S292" s="179">
        <f t="shared" si="188"/>
        <v>1.2337058093184343</v>
      </c>
      <c r="T292" s="179">
        <f t="shared" si="188"/>
        <v>1.2362967091363912</v>
      </c>
    </row>
    <row r="293" spans="1:20">
      <c r="A293" s="175" t="s">
        <v>5071</v>
      </c>
      <c r="B293" s="177">
        <f>KENT!D18</f>
        <v>79183</v>
      </c>
      <c r="C293" s="177">
        <f>KENT!E18</f>
        <v>79835</v>
      </c>
      <c r="D293" s="177">
        <f>KENT!F18</f>
        <v>79735</v>
      </c>
      <c r="E293" s="177">
        <f>KENT!G18</f>
        <v>80407</v>
      </c>
      <c r="F293" s="177">
        <f>KENT!H18</f>
        <v>80158</v>
      </c>
      <c r="G293" s="177">
        <f>KENT!I18</f>
        <v>78093</v>
      </c>
      <c r="H293" s="177">
        <f>KENT!J18</f>
        <v>76380</v>
      </c>
      <c r="I293" s="177">
        <f>KENT!K18</f>
        <v>80523</v>
      </c>
      <c r="J293" s="177">
        <f>KENT!L18</f>
        <v>79622</v>
      </c>
      <c r="K293" s="178"/>
      <c r="L293" s="179">
        <f t="shared" si="183"/>
        <v>1.0428146236105991</v>
      </c>
      <c r="M293" s="179">
        <f t="shared" si="184"/>
        <v>1.0416748215706997</v>
      </c>
      <c r="N293" s="179">
        <f t="shared" si="185"/>
        <v>1.0344313125154059</v>
      </c>
      <c r="O293" s="179">
        <f t="shared" si="186"/>
        <v>1.0375900069682815</v>
      </c>
      <c r="P293" s="179">
        <f t="shared" si="187"/>
        <v>1.0392045012575517</v>
      </c>
      <c r="Q293" s="179">
        <f t="shared" si="188"/>
        <v>1.0306041650170243</v>
      </c>
      <c r="R293" s="179">
        <f t="shared" si="188"/>
        <v>1.021546362797416</v>
      </c>
      <c r="S293" s="179">
        <f t="shared" si="188"/>
        <v>1.0523818859047245</v>
      </c>
      <c r="T293" s="179">
        <f t="shared" si="188"/>
        <v>1.0320013479709149</v>
      </c>
    </row>
    <row r="294" spans="1:20">
      <c r="A294" s="175" t="s">
        <v>5072</v>
      </c>
      <c r="B294" s="180">
        <f t="shared" ref="B294:G294" si="189">SUM(B282:B293)</f>
        <v>1044549</v>
      </c>
      <c r="C294" s="180">
        <f t="shared" si="189"/>
        <v>1049072</v>
      </c>
      <c r="D294" s="180">
        <f t="shared" si="189"/>
        <v>1063161</v>
      </c>
      <c r="E294" s="180">
        <f t="shared" si="189"/>
        <v>1076700</v>
      </c>
      <c r="F294" s="180">
        <f t="shared" si="189"/>
        <v>1064219</v>
      </c>
      <c r="G294" s="180">
        <f t="shared" si="189"/>
        <v>1051482</v>
      </c>
      <c r="H294" s="180">
        <f t="shared" ref="H294" si="190">SUM(H282:H293)</f>
        <v>1044763</v>
      </c>
      <c r="I294" s="180">
        <f t="shared" ref="I294:J294" si="191">SUM(I282:I293)</f>
        <v>1080616</v>
      </c>
      <c r="J294" s="180">
        <f t="shared" si="191"/>
        <v>1086361</v>
      </c>
      <c r="K294" s="173"/>
      <c r="L294" s="179">
        <f t="shared" si="183"/>
        <v>13.756374124216403</v>
      </c>
      <c r="M294" s="179">
        <f t="shared" si="184"/>
        <v>13.688130374081759</v>
      </c>
      <c r="N294" s="179">
        <f t="shared" si="185"/>
        <v>13.792776429989232</v>
      </c>
      <c r="O294" s="179">
        <f t="shared" si="186"/>
        <v>13.893978888688157</v>
      </c>
      <c r="P294" s="179">
        <f t="shared" si="187"/>
        <v>13.797015583270673</v>
      </c>
      <c r="Q294" s="179">
        <f t="shared" si="188"/>
        <v>13.8765539631008</v>
      </c>
      <c r="R294" s="179">
        <f t="shared" si="188"/>
        <v>13.973210822667149</v>
      </c>
      <c r="S294" s="179">
        <f t="shared" si="188"/>
        <v>14.122930144416127</v>
      </c>
      <c r="T294" s="179">
        <f t="shared" si="188"/>
        <v>14.080606068461369</v>
      </c>
    </row>
    <row r="295" spans="1:20">
      <c r="A295" s="175" t="s">
        <v>5073</v>
      </c>
      <c r="B295" s="177">
        <f>KENT!D4</f>
        <v>185837</v>
      </c>
      <c r="C295" s="177">
        <f>KENT!E4</f>
        <v>186433</v>
      </c>
      <c r="D295" s="177">
        <f>KENT!F4</f>
        <v>189356</v>
      </c>
      <c r="E295" s="177">
        <f>KENT!G4</f>
        <v>189930</v>
      </c>
      <c r="F295" s="177">
        <f>KENT!H4</f>
        <v>193662</v>
      </c>
      <c r="G295" s="177">
        <f>KENT!I4</f>
        <v>186805</v>
      </c>
      <c r="H295" s="177">
        <f>KENT!J4</f>
        <v>182325</v>
      </c>
      <c r="I295" s="177">
        <f>KENT!K4</f>
        <v>190863</v>
      </c>
      <c r="J295" s="177">
        <f>KENT!L4</f>
        <v>191406</v>
      </c>
      <c r="K295" s="178"/>
      <c r="L295" s="179">
        <f t="shared" si="183"/>
        <v>2.4474134752146659</v>
      </c>
      <c r="M295" s="179">
        <f t="shared" si="184"/>
        <v>2.4325491577615113</v>
      </c>
      <c r="N295" s="179">
        <f t="shared" si="185"/>
        <v>2.4565846317510154</v>
      </c>
      <c r="O295" s="179">
        <f t="shared" si="186"/>
        <v>2.4508994244715718</v>
      </c>
      <c r="P295" s="179">
        <f t="shared" si="187"/>
        <v>2.5107216013690459</v>
      </c>
      <c r="Q295" s="179">
        <f t="shared" si="188"/>
        <v>2.4652915247974239</v>
      </c>
      <c r="R295" s="179">
        <f t="shared" si="188"/>
        <v>2.4385106126870761</v>
      </c>
      <c r="S295" s="179">
        <f t="shared" si="188"/>
        <v>2.4944520682219173</v>
      </c>
      <c r="T295" s="179">
        <f t="shared" si="188"/>
        <v>2.4808627013855586</v>
      </c>
    </row>
    <row r="296" spans="1:20">
      <c r="A296" s="181" t="s">
        <v>5074</v>
      </c>
      <c r="B296" s="177">
        <f t="shared" ref="B296:G296" si="192">B294+B295</f>
        <v>1230386</v>
      </c>
      <c r="C296" s="177">
        <f t="shared" si="192"/>
        <v>1235505</v>
      </c>
      <c r="D296" s="177">
        <f t="shared" si="192"/>
        <v>1252517</v>
      </c>
      <c r="E296" s="177">
        <f t="shared" si="192"/>
        <v>1266630</v>
      </c>
      <c r="F296" s="177">
        <f t="shared" si="192"/>
        <v>1257881</v>
      </c>
      <c r="G296" s="177">
        <f t="shared" si="192"/>
        <v>1238287</v>
      </c>
      <c r="H296" s="177">
        <f t="shared" ref="H296" si="193">H294+H295</f>
        <v>1227088</v>
      </c>
      <c r="I296" s="177">
        <f t="shared" ref="I296:J296" si="194">I294+I295</f>
        <v>1271479</v>
      </c>
      <c r="J296" s="177">
        <f t="shared" si="194"/>
        <v>1277767</v>
      </c>
      <c r="K296" s="178"/>
      <c r="L296" s="179">
        <f t="shared" si="183"/>
        <v>16.20378759943107</v>
      </c>
      <c r="M296" s="179">
        <f t="shared" si="184"/>
        <v>16.120679531843269</v>
      </c>
      <c r="N296" s="179">
        <f t="shared" si="185"/>
        <v>16.249361061740249</v>
      </c>
      <c r="O296" s="179">
        <f t="shared" si="186"/>
        <v>16.344878313159729</v>
      </c>
      <c r="P296" s="179">
        <f t="shared" si="187"/>
        <v>16.307737184639716</v>
      </c>
      <c r="Q296" s="179">
        <f t="shared" si="188"/>
        <v>16.341845487898222</v>
      </c>
      <c r="R296" s="179">
        <f t="shared" si="188"/>
        <v>16.411721435354224</v>
      </c>
      <c r="S296" s="179">
        <f t="shared" si="188"/>
        <v>16.617382212638045</v>
      </c>
      <c r="T296" s="179">
        <f t="shared" si="188"/>
        <v>16.561468769846929</v>
      </c>
    </row>
    <row r="297" spans="1:20">
      <c r="A297" s="175"/>
      <c r="B297" s="177"/>
      <c r="C297" s="177"/>
      <c r="D297" s="177"/>
      <c r="E297" s="177"/>
      <c r="F297" s="177"/>
      <c r="G297" s="177"/>
      <c r="H297" s="177"/>
      <c r="I297" s="177"/>
      <c r="J297" s="177"/>
      <c r="K297" s="178"/>
      <c r="L297" s="179"/>
      <c r="M297" s="179"/>
      <c r="N297" s="179"/>
      <c r="O297" s="179"/>
      <c r="P297" s="179"/>
      <c r="Q297" s="179"/>
      <c r="R297" s="179"/>
      <c r="S297" s="179"/>
      <c r="T297" s="179"/>
    </row>
    <row r="298" spans="1:20">
      <c r="A298" s="175" t="s">
        <v>5109</v>
      </c>
      <c r="B298" s="177">
        <f>OXFORDSHIRE!D5</f>
        <v>102067</v>
      </c>
      <c r="C298" s="177">
        <f>OXFORDSHIRE!E5</f>
        <v>101966</v>
      </c>
      <c r="D298" s="177">
        <f>OXFORDSHIRE!F5</f>
        <v>103835</v>
      </c>
      <c r="E298" s="177">
        <f>OXFORDSHIRE!G5</f>
        <v>105087</v>
      </c>
      <c r="F298" s="177">
        <f>OXFORDSHIRE!H5</f>
        <v>104811</v>
      </c>
      <c r="G298" s="177">
        <f>OXFORDSHIRE!I5</f>
        <v>102971</v>
      </c>
      <c r="H298" s="177">
        <f>OXFORDSHIRE!J5</f>
        <v>103843</v>
      </c>
      <c r="I298" s="177">
        <f>OXFORDSHIRE!K5</f>
        <v>108410</v>
      </c>
      <c r="J298" s="177">
        <f>OXFORDSHIRE!L5</f>
        <v>103953</v>
      </c>
      <c r="K298" s="178"/>
      <c r="L298" s="179">
        <f t="shared" ref="L298:T303" si="195">B298/B$470</f>
        <v>1.3441895380076911</v>
      </c>
      <c r="M298" s="179">
        <f t="shared" si="195"/>
        <v>1.33043671142078</v>
      </c>
      <c r="N298" s="179">
        <f t="shared" si="195"/>
        <v>1.3470894254096339</v>
      </c>
      <c r="O298" s="179">
        <f t="shared" si="195"/>
        <v>1.3560662760987947</v>
      </c>
      <c r="P298" s="179">
        <f t="shared" si="195"/>
        <v>1.358817123447507</v>
      </c>
      <c r="Q298" s="179">
        <f t="shared" si="195"/>
        <v>1.3589225855834455</v>
      </c>
      <c r="R298" s="179">
        <f t="shared" si="195"/>
        <v>1.3888509943960732</v>
      </c>
      <c r="S298" s="179">
        <f t="shared" si="195"/>
        <v>1.4168463699928118</v>
      </c>
      <c r="T298" s="179">
        <f t="shared" si="195"/>
        <v>1.3473617357717782</v>
      </c>
    </row>
    <row r="299" spans="1:20">
      <c r="A299" s="175" t="s">
        <v>5110</v>
      </c>
      <c r="B299" s="177">
        <f>OXFORDSHIRE!D6</f>
        <v>101565</v>
      </c>
      <c r="C299" s="177">
        <f>OXFORDSHIRE!E6</f>
        <v>103108</v>
      </c>
      <c r="D299" s="177">
        <f>OXFORDSHIRE!F6</f>
        <v>103309</v>
      </c>
      <c r="E299" s="177">
        <f>OXFORDSHIRE!G6</f>
        <v>102153</v>
      </c>
      <c r="F299" s="177">
        <f>OXFORDSHIRE!H6</f>
        <v>101952</v>
      </c>
      <c r="G299" s="177">
        <f>OXFORDSHIRE!I6</f>
        <v>91551</v>
      </c>
      <c r="H299" s="177">
        <f>OXFORDSHIRE!J6</f>
        <v>88712</v>
      </c>
      <c r="I299" s="177">
        <f>OXFORDSHIRE!K6</f>
        <v>92121</v>
      </c>
      <c r="J299" s="177">
        <f>OXFORDSHIRE!L6</f>
        <v>91367</v>
      </c>
      <c r="K299" s="178"/>
      <c r="L299" s="179">
        <f t="shared" si="195"/>
        <v>1.3375783595848918</v>
      </c>
      <c r="M299" s="179">
        <f t="shared" si="195"/>
        <v>1.3453373520700409</v>
      </c>
      <c r="N299" s="179">
        <f t="shared" si="195"/>
        <v>1.3402654350618182</v>
      </c>
      <c r="O299" s="179">
        <f t="shared" si="195"/>
        <v>1.3182052804088058</v>
      </c>
      <c r="P299" s="179">
        <f t="shared" si="195"/>
        <v>1.3217517566831747</v>
      </c>
      <c r="Q299" s="179">
        <f t="shared" si="195"/>
        <v>1.2082112597988757</v>
      </c>
      <c r="R299" s="179">
        <f t="shared" si="195"/>
        <v>1.1864810282336262</v>
      </c>
      <c r="S299" s="179">
        <f t="shared" si="195"/>
        <v>1.2039600078415997</v>
      </c>
      <c r="T299" s="179">
        <f t="shared" si="195"/>
        <v>1.1842313325470171</v>
      </c>
    </row>
    <row r="300" spans="1:20">
      <c r="A300" s="175" t="s">
        <v>5111</v>
      </c>
      <c r="B300" s="177">
        <f>OXFORDSHIRE!D7</f>
        <v>99930</v>
      </c>
      <c r="C300" s="177">
        <f>OXFORDSHIRE!E7</f>
        <v>100482</v>
      </c>
      <c r="D300" s="177">
        <f>OXFORDSHIRE!F7</f>
        <v>100930</v>
      </c>
      <c r="E300" s="177">
        <f>OXFORDSHIRE!G7</f>
        <v>101709</v>
      </c>
      <c r="F300" s="177">
        <f>OXFORDSHIRE!H7</f>
        <v>102398</v>
      </c>
      <c r="G300" s="177">
        <f>OXFORDSHIRE!I7</f>
        <v>104680</v>
      </c>
      <c r="H300" s="177">
        <f>OXFORDSHIRE!J7</f>
        <v>99880</v>
      </c>
      <c r="I300" s="177">
        <f>OXFORDSHIRE!K7</f>
        <v>102113</v>
      </c>
      <c r="J300" s="177">
        <f>OXFORDSHIRE!L7</f>
        <v>101906</v>
      </c>
      <c r="K300" s="178"/>
      <c r="L300" s="179">
        <f t="shared" si="195"/>
        <v>1.3160459358373282</v>
      </c>
      <c r="M300" s="179">
        <f t="shared" si="195"/>
        <v>1.3110737072846126</v>
      </c>
      <c r="N300" s="179">
        <f t="shared" si="195"/>
        <v>1.3094017981084833</v>
      </c>
      <c r="O300" s="179">
        <f t="shared" si="195"/>
        <v>1.3124758045784191</v>
      </c>
      <c r="P300" s="179">
        <f t="shared" si="195"/>
        <v>1.3275339020406047</v>
      </c>
      <c r="Q300" s="179">
        <f t="shared" si="195"/>
        <v>1.3814764958956898</v>
      </c>
      <c r="R300" s="179">
        <f t="shared" si="195"/>
        <v>1.3358477443860424</v>
      </c>
      <c r="S300" s="179">
        <f t="shared" si="195"/>
        <v>1.3345487812847154</v>
      </c>
      <c r="T300" s="179">
        <f t="shared" si="195"/>
        <v>1.3208300390133889</v>
      </c>
    </row>
    <row r="301" spans="1:20">
      <c r="A301" s="175" t="s">
        <v>5112</v>
      </c>
      <c r="B301" s="177">
        <f>OXFORDSHIRE!D8</f>
        <v>90625</v>
      </c>
      <c r="C301" s="177">
        <f>OXFORDSHIRE!E8</f>
        <v>91588</v>
      </c>
      <c r="D301" s="177">
        <f>OXFORDSHIRE!F8</f>
        <v>92688</v>
      </c>
      <c r="E301" s="177">
        <f>OXFORDSHIRE!G8</f>
        <v>92457</v>
      </c>
      <c r="F301" s="177">
        <f>OXFORDSHIRE!H8</f>
        <v>93022</v>
      </c>
      <c r="G301" s="177">
        <f>OXFORDSHIRE!I8</f>
        <v>95117</v>
      </c>
      <c r="H301" s="177">
        <f>OXFORDSHIRE!J8</f>
        <v>90444</v>
      </c>
      <c r="I301" s="177">
        <f>OXFORDSHIRE!K8</f>
        <v>92706</v>
      </c>
      <c r="J301" s="177">
        <f>OXFORDSHIRE!L8</f>
        <v>93405</v>
      </c>
      <c r="K301" s="178"/>
      <c r="L301" s="179">
        <f t="shared" si="195"/>
        <v>1.193502080809145</v>
      </c>
      <c r="M301" s="179">
        <f t="shared" si="195"/>
        <v>1.1950261609321382</v>
      </c>
      <c r="N301" s="179">
        <f t="shared" si="195"/>
        <v>1.2024753181717933</v>
      </c>
      <c r="O301" s="179">
        <f t="shared" si="195"/>
        <v>1.1930859163290062</v>
      </c>
      <c r="P301" s="179">
        <f t="shared" si="195"/>
        <v>1.2059792050198357</v>
      </c>
      <c r="Q301" s="179">
        <f t="shared" si="195"/>
        <v>1.2552722569746879</v>
      </c>
      <c r="R301" s="179">
        <f t="shared" si="195"/>
        <v>1.2096457087830519</v>
      </c>
      <c r="S301" s="179">
        <f t="shared" si="195"/>
        <v>1.2116055675357773</v>
      </c>
      <c r="T301" s="179">
        <f t="shared" si="195"/>
        <v>1.2106463779762291</v>
      </c>
    </row>
    <row r="302" spans="1:20">
      <c r="A302" s="175" t="s">
        <v>5113</v>
      </c>
      <c r="B302" s="177">
        <f>OXFORDSHIRE!D9</f>
        <v>78141</v>
      </c>
      <c r="C302" s="177">
        <f>OXFORDSHIRE!E9</f>
        <v>78220</v>
      </c>
      <c r="D302" s="177">
        <f>OXFORDSHIRE!F9</f>
        <v>79321</v>
      </c>
      <c r="E302" s="177">
        <f>OXFORDSHIRE!G9</f>
        <v>79653</v>
      </c>
      <c r="F302" s="177">
        <f>OXFORDSHIRE!H9</f>
        <v>79067</v>
      </c>
      <c r="G302" s="177">
        <f>OXFORDSHIRE!I9</f>
        <v>77097</v>
      </c>
      <c r="H302" s="177">
        <f>OXFORDSHIRE!J9</f>
        <v>78455</v>
      </c>
      <c r="I302" s="177">
        <f>OXFORDSHIRE!K9</f>
        <v>80868</v>
      </c>
      <c r="J302" s="177">
        <f>OXFORDSHIRE!L9</f>
        <v>80906</v>
      </c>
      <c r="K302" s="178"/>
      <c r="L302" s="179">
        <f t="shared" si="195"/>
        <v>1.0290918189959437</v>
      </c>
      <c r="M302" s="179">
        <f t="shared" si="195"/>
        <v>1.0206025495491968</v>
      </c>
      <c r="N302" s="179">
        <f t="shared" si="195"/>
        <v>1.0290603391237789</v>
      </c>
      <c r="O302" s="179">
        <f t="shared" si="195"/>
        <v>1.0278602214364982</v>
      </c>
      <c r="P302" s="179">
        <f t="shared" si="195"/>
        <v>1.0250602846993544</v>
      </c>
      <c r="Q302" s="179">
        <f t="shared" si="195"/>
        <v>1.0174598147121705</v>
      </c>
      <c r="R302" s="179">
        <f t="shared" si="195"/>
        <v>1.0492985060653479</v>
      </c>
      <c r="S302" s="179">
        <f t="shared" si="195"/>
        <v>1.0568908057243678</v>
      </c>
      <c r="T302" s="179">
        <f t="shared" si="195"/>
        <v>1.0486436042668463</v>
      </c>
    </row>
    <row r="303" spans="1:20">
      <c r="A303" s="175" t="s">
        <v>6861</v>
      </c>
      <c r="B303" s="177">
        <f t="shared" ref="B303:G303" si="196">SUM(B298:B302)</f>
        <v>472328</v>
      </c>
      <c r="C303" s="177">
        <f t="shared" si="196"/>
        <v>475364</v>
      </c>
      <c r="D303" s="177">
        <f t="shared" si="196"/>
        <v>480083</v>
      </c>
      <c r="E303" s="177">
        <f t="shared" si="196"/>
        <v>481059</v>
      </c>
      <c r="F303" s="177">
        <f t="shared" si="196"/>
        <v>481250</v>
      </c>
      <c r="G303" s="177">
        <f t="shared" si="196"/>
        <v>471416</v>
      </c>
      <c r="H303" s="177">
        <f t="shared" ref="H303" si="197">SUM(H298:H302)</f>
        <v>461334</v>
      </c>
      <c r="I303" s="177">
        <f t="shared" ref="I303:J303" si="198">SUM(I298:I302)</f>
        <v>476218</v>
      </c>
      <c r="J303" s="177">
        <f t="shared" si="198"/>
        <v>471537</v>
      </c>
      <c r="K303" s="178"/>
      <c r="L303" s="179">
        <f t="shared" si="195"/>
        <v>6.2204077332349996</v>
      </c>
      <c r="M303" s="179">
        <f t="shared" si="195"/>
        <v>6.2024764812567685</v>
      </c>
      <c r="N303" s="179">
        <f t="shared" si="195"/>
        <v>6.2282923158755077</v>
      </c>
      <c r="O303" s="179">
        <f t="shared" si="195"/>
        <v>6.2076934988515236</v>
      </c>
      <c r="P303" s="179">
        <f t="shared" si="195"/>
        <v>6.2391422718904765</v>
      </c>
      <c r="Q303" s="179">
        <f t="shared" si="195"/>
        <v>6.2213424129648693</v>
      </c>
      <c r="R303" s="179">
        <f t="shared" si="195"/>
        <v>6.1701239818641413</v>
      </c>
      <c r="S303" s="179">
        <f t="shared" si="195"/>
        <v>6.223851532379272</v>
      </c>
      <c r="T303" s="179">
        <f t="shared" si="195"/>
        <v>6.1117130895752592</v>
      </c>
    </row>
    <row r="304" spans="1:20">
      <c r="A304" s="175"/>
      <c r="B304" s="177"/>
      <c r="C304" s="177"/>
      <c r="D304" s="177"/>
      <c r="E304" s="177"/>
      <c r="F304" s="177"/>
      <c r="G304" s="177"/>
      <c r="H304" s="177"/>
      <c r="I304" s="177"/>
      <c r="J304" s="177"/>
      <c r="K304" s="178"/>
      <c r="L304" s="179"/>
      <c r="M304" s="179"/>
      <c r="N304" s="179"/>
      <c r="O304" s="179"/>
      <c r="P304" s="179"/>
      <c r="Q304" s="179"/>
      <c r="R304" s="179"/>
      <c r="S304" s="179"/>
      <c r="T304" s="179"/>
    </row>
    <row r="305" spans="1:20">
      <c r="A305" s="175" t="s">
        <v>3433</v>
      </c>
      <c r="B305" s="177">
        <f>SURREY!D5</f>
        <v>90315</v>
      </c>
      <c r="C305" s="177">
        <f>SURREY!E5</f>
        <v>92023</v>
      </c>
      <c r="D305" s="177">
        <f>SURREY!F5</f>
        <v>92628</v>
      </c>
      <c r="E305" s="177">
        <f>SURREY!G5</f>
        <v>92704</v>
      </c>
      <c r="F305" s="177">
        <f>SURREY!H5</f>
        <v>93112</v>
      </c>
      <c r="G305" s="177">
        <f>SURREY!I5</f>
        <v>93133</v>
      </c>
      <c r="H305" s="177">
        <f>SURREY!J5</f>
        <v>93712</v>
      </c>
      <c r="I305" s="177">
        <f>SURREY!K5</f>
        <v>93430</v>
      </c>
      <c r="J305" s="177">
        <f>SURREY!L5</f>
        <v>94347</v>
      </c>
      <c r="K305" s="178"/>
      <c r="L305" s="179">
        <f t="shared" ref="L305:L316" si="199">B305/B$470</f>
        <v>1.1894194805878944</v>
      </c>
      <c r="M305" s="179">
        <f t="shared" ref="M305:M316" si="200">C305/C$470</f>
        <v>1.2007019741391682</v>
      </c>
      <c r="N305" s="179">
        <f t="shared" ref="N305:N316" si="201">D305/D$470</f>
        <v>1.2016969162309779</v>
      </c>
      <c r="O305" s="179">
        <f t="shared" ref="O305:O316" si="202">E305/E$470</f>
        <v>1.1962732598652799</v>
      </c>
      <c r="P305" s="179">
        <f t="shared" ref="P305:P316" si="203">F305/F$470</f>
        <v>1.2071460056525007</v>
      </c>
      <c r="Q305" s="179">
        <f t="shared" ref="Q305:T316" si="204">G305/G$470</f>
        <v>1.2290891334758625</v>
      </c>
      <c r="R305" s="179">
        <f t="shared" si="204"/>
        <v>1.253353662614185</v>
      </c>
      <c r="S305" s="179">
        <f t="shared" si="204"/>
        <v>1.2210677644906227</v>
      </c>
      <c r="T305" s="179">
        <f t="shared" si="204"/>
        <v>1.2228558837634311</v>
      </c>
    </row>
    <row r="306" spans="1:20">
      <c r="A306" s="175" t="s">
        <v>3434</v>
      </c>
      <c r="B306" s="177">
        <f>SURREY!D6</f>
        <v>53928</v>
      </c>
      <c r="C306" s="177">
        <f>SURREY!E6</f>
        <v>54598</v>
      </c>
      <c r="D306" s="177">
        <f>SURREY!F6</f>
        <v>54941</v>
      </c>
      <c r="E306" s="177">
        <f>SURREY!G6</f>
        <v>55132</v>
      </c>
      <c r="F306" s="177">
        <f>SURREY!H6</f>
        <v>55744</v>
      </c>
      <c r="G306" s="177">
        <f>SURREY!I6</f>
        <v>54392</v>
      </c>
      <c r="H306" s="177">
        <f>SURREY!J6</f>
        <v>54801</v>
      </c>
      <c r="I306" s="177">
        <f>SURREY!K6</f>
        <v>55898</v>
      </c>
      <c r="J306" s="177">
        <f>SURREY!L6</f>
        <v>56141</v>
      </c>
      <c r="K306" s="178"/>
      <c r="L306" s="179">
        <f t="shared" si="199"/>
        <v>0.71021440236000632</v>
      </c>
      <c r="M306" s="179">
        <f t="shared" si="200"/>
        <v>0.71238632063777874</v>
      </c>
      <c r="N306" s="179">
        <f t="shared" si="201"/>
        <v>0.71276968383907835</v>
      </c>
      <c r="O306" s="179">
        <f t="shared" si="202"/>
        <v>0.71143572405605593</v>
      </c>
      <c r="P306" s="179">
        <f t="shared" si="203"/>
        <v>0.72269038296989652</v>
      </c>
      <c r="Q306" s="179">
        <f t="shared" si="204"/>
        <v>0.7178187768891704</v>
      </c>
      <c r="R306" s="179">
        <f t="shared" si="204"/>
        <v>0.73293744733780042</v>
      </c>
      <c r="S306" s="179">
        <f t="shared" si="204"/>
        <v>0.73054956544468408</v>
      </c>
      <c r="T306" s="179">
        <f t="shared" si="204"/>
        <v>0.72765803014788799</v>
      </c>
    </row>
    <row r="307" spans="1:20">
      <c r="A307" s="175" t="s">
        <v>3435</v>
      </c>
      <c r="B307" s="177">
        <f>SURREY!D7</f>
        <v>99998</v>
      </c>
      <c r="C307" s="177">
        <f>SURREY!E7</f>
        <v>101014</v>
      </c>
      <c r="D307" s="177">
        <f>SURREY!F7</f>
        <v>101584</v>
      </c>
      <c r="E307" s="177">
        <f>SURREY!G7</f>
        <v>101190</v>
      </c>
      <c r="F307" s="177">
        <f>SURREY!H7</f>
        <v>101541</v>
      </c>
      <c r="G307" s="177">
        <f>SURREY!I7</f>
        <v>96215</v>
      </c>
      <c r="H307" s="177">
        <f>SURREY!J7</f>
        <v>98505</v>
      </c>
      <c r="I307" s="177">
        <f>SURREY!K7</f>
        <v>99304</v>
      </c>
      <c r="J307" s="177">
        <f>SURREY!L7</f>
        <v>96712</v>
      </c>
      <c r="K307" s="178"/>
      <c r="L307" s="179">
        <f t="shared" si="199"/>
        <v>1.3169414739503766</v>
      </c>
      <c r="M307" s="179">
        <f t="shared" si="200"/>
        <v>1.3180151615975784</v>
      </c>
      <c r="N307" s="179">
        <f t="shared" si="201"/>
        <v>1.3178863792633724</v>
      </c>
      <c r="O307" s="179">
        <f t="shared" si="202"/>
        <v>1.3057785118847911</v>
      </c>
      <c r="P307" s="179">
        <f t="shared" si="203"/>
        <v>1.3164233671273369</v>
      </c>
      <c r="Q307" s="179">
        <f t="shared" si="204"/>
        <v>1.269762715443292</v>
      </c>
      <c r="R307" s="179">
        <f t="shared" si="204"/>
        <v>1.3174577699313887</v>
      </c>
      <c r="S307" s="179">
        <f t="shared" si="204"/>
        <v>1.2978370254198524</v>
      </c>
      <c r="T307" s="179">
        <f t="shared" si="204"/>
        <v>1.2535092608194107</v>
      </c>
    </row>
    <row r="308" spans="1:20">
      <c r="A308" s="175" t="s">
        <v>3436</v>
      </c>
      <c r="B308" s="177">
        <f>SURREY!D8</f>
        <v>65013</v>
      </c>
      <c r="C308" s="177">
        <f>SURREY!E8</f>
        <v>65486</v>
      </c>
      <c r="D308" s="177">
        <f>SURREY!F8</f>
        <v>66175</v>
      </c>
      <c r="E308" s="177">
        <f>SURREY!G8</f>
        <v>66206</v>
      </c>
      <c r="F308" s="177">
        <f>SURREY!H8</f>
        <v>66931</v>
      </c>
      <c r="G308" s="177">
        <f>SURREY!I8</f>
        <v>65841</v>
      </c>
      <c r="H308" s="177">
        <f>SURREY!J8</f>
        <v>64797</v>
      </c>
      <c r="I308" s="177">
        <f>SURREY!K8</f>
        <v>66601</v>
      </c>
      <c r="J308" s="177">
        <f>SURREY!L8</f>
        <v>66457</v>
      </c>
      <c r="K308" s="178"/>
      <c r="L308" s="179">
        <f t="shared" si="199"/>
        <v>0.8562002844650477</v>
      </c>
      <c r="M308" s="179">
        <f t="shared" si="200"/>
        <v>0.8544512728174215</v>
      </c>
      <c r="N308" s="179">
        <f t="shared" si="201"/>
        <v>0.85851247389110152</v>
      </c>
      <c r="O308" s="179">
        <f t="shared" si="202"/>
        <v>0.85433710996980416</v>
      </c>
      <c r="P308" s="179">
        <f t="shared" si="203"/>
        <v>0.86772370161018486</v>
      </c>
      <c r="Q308" s="179">
        <f t="shared" si="204"/>
        <v>0.8689128197006889</v>
      </c>
      <c r="R308" s="179">
        <f t="shared" si="204"/>
        <v>0.86662921799141357</v>
      </c>
      <c r="S308" s="179">
        <f t="shared" si="204"/>
        <v>0.87043063451610792</v>
      </c>
      <c r="T308" s="179">
        <f t="shared" si="204"/>
        <v>0.86136637590242759</v>
      </c>
    </row>
    <row r="309" spans="1:20">
      <c r="A309" s="175" t="s">
        <v>3437</v>
      </c>
      <c r="B309" s="177">
        <f>SURREY!D9</f>
        <v>98331</v>
      </c>
      <c r="C309" s="177">
        <f>SURREY!E9</f>
        <v>99470</v>
      </c>
      <c r="D309" s="177">
        <f>SURREY!F9</f>
        <v>100036</v>
      </c>
      <c r="E309" s="177">
        <f>SURREY!G9</f>
        <v>100486</v>
      </c>
      <c r="F309" s="177">
        <f>SURREY!H9</f>
        <v>99449</v>
      </c>
      <c r="G309" s="177">
        <f>SURREY!I9</f>
        <v>101001</v>
      </c>
      <c r="H309" s="177">
        <f>SURREY!J9</f>
        <v>99976</v>
      </c>
      <c r="I309" s="177">
        <f>SURREY!K9</f>
        <v>101796</v>
      </c>
      <c r="J309" s="177">
        <f>SURREY!L9</f>
        <v>101943</v>
      </c>
      <c r="K309" s="178"/>
      <c r="L309" s="179">
        <f t="shared" si="199"/>
        <v>1.294987620502555</v>
      </c>
      <c r="M309" s="179">
        <f t="shared" si="200"/>
        <v>1.2978692866742345</v>
      </c>
      <c r="N309" s="179">
        <f t="shared" si="201"/>
        <v>1.2978036091903322</v>
      </c>
      <c r="O309" s="179">
        <f t="shared" si="202"/>
        <v>1.2966939375951687</v>
      </c>
      <c r="P309" s="179">
        <f t="shared" si="203"/>
        <v>1.2893017346436073</v>
      </c>
      <c r="Q309" s="179">
        <f t="shared" si="204"/>
        <v>1.3329242220286641</v>
      </c>
      <c r="R309" s="179">
        <f t="shared" si="204"/>
        <v>1.337131698966149</v>
      </c>
      <c r="S309" s="179">
        <f t="shared" si="204"/>
        <v>1.330405802783768</v>
      </c>
      <c r="T309" s="179">
        <f t="shared" si="204"/>
        <v>1.3213096055888949</v>
      </c>
    </row>
    <row r="310" spans="1:20">
      <c r="A310" s="175" t="s">
        <v>3438</v>
      </c>
      <c r="B310" s="177">
        <f>SURREY!D10</f>
        <v>57856</v>
      </c>
      <c r="C310" s="177">
        <f>SURREY!E10</f>
        <v>58619</v>
      </c>
      <c r="D310" s="177">
        <f>SURREY!F10</f>
        <v>58962</v>
      </c>
      <c r="E310" s="177">
        <f>SURREY!G10</f>
        <v>59436</v>
      </c>
      <c r="F310" s="177">
        <f>SURREY!H10</f>
        <v>60363</v>
      </c>
      <c r="G310" s="177">
        <f>SURREY!I10</f>
        <v>56471</v>
      </c>
      <c r="H310" s="177">
        <f>SURREY!J10</f>
        <v>55472</v>
      </c>
      <c r="I310" s="177">
        <f>SURREY!K10</f>
        <v>57951</v>
      </c>
      <c r="J310" s="177">
        <f>SURREY!L10</f>
        <v>56357</v>
      </c>
      <c r="K310" s="178"/>
      <c r="L310" s="179">
        <f t="shared" si="199"/>
        <v>0.7619448980666913</v>
      </c>
      <c r="M310" s="179">
        <f t="shared" si="200"/>
        <v>0.76485171122506235</v>
      </c>
      <c r="N310" s="179">
        <f t="shared" si="201"/>
        <v>0.76493558723939747</v>
      </c>
      <c r="O310" s="179">
        <f t="shared" si="202"/>
        <v>0.76697550778124757</v>
      </c>
      <c r="P310" s="179">
        <f t="shared" si="203"/>
        <v>0.78257318432857104</v>
      </c>
      <c r="Q310" s="179">
        <f t="shared" si="204"/>
        <v>0.74525562857972394</v>
      </c>
      <c r="R310" s="179">
        <f t="shared" si="204"/>
        <v>0.74191175487167138</v>
      </c>
      <c r="S310" s="179">
        <f t="shared" si="204"/>
        <v>0.7573809057047638</v>
      </c>
      <c r="T310" s="179">
        <f t="shared" si="204"/>
        <v>0.73045766204813811</v>
      </c>
    </row>
    <row r="311" spans="1:20">
      <c r="A311" s="175" t="s">
        <v>6932</v>
      </c>
      <c r="B311" s="177">
        <f>SURREY!D11</f>
        <v>70962</v>
      </c>
      <c r="C311" s="177">
        <f>SURREY!E11</f>
        <v>71211</v>
      </c>
      <c r="D311" s="177">
        <f>SURREY!F11</f>
        <v>72000</v>
      </c>
      <c r="E311" s="177">
        <f>SURREY!G11</f>
        <v>72547</v>
      </c>
      <c r="F311" s="177">
        <f>SURREY!H11</f>
        <v>72660</v>
      </c>
      <c r="G311" s="177">
        <f>SURREY!I11</f>
        <v>70607</v>
      </c>
      <c r="H311" s="177">
        <f>SURREY!J11</f>
        <v>70299</v>
      </c>
      <c r="I311" s="177">
        <f>SURREY!K11</f>
        <v>71962</v>
      </c>
      <c r="J311" s="177">
        <f>SURREY!L11</f>
        <v>72030</v>
      </c>
      <c r="K311" s="178"/>
      <c r="L311" s="179">
        <f t="shared" si="199"/>
        <v>0.93454669967865989</v>
      </c>
      <c r="M311" s="179">
        <f t="shared" si="200"/>
        <v>0.92915019376051977</v>
      </c>
      <c r="N311" s="179">
        <f t="shared" si="201"/>
        <v>0.93408232897860688</v>
      </c>
      <c r="O311" s="179">
        <f t="shared" si="202"/>
        <v>0.93616279970062199</v>
      </c>
      <c r="P311" s="179">
        <f t="shared" si="203"/>
        <v>0.94199704410506391</v>
      </c>
      <c r="Q311" s="179">
        <f t="shared" si="204"/>
        <v>0.93181038350885526</v>
      </c>
      <c r="R311" s="179">
        <f t="shared" si="204"/>
        <v>0.94021586486378039</v>
      </c>
      <c r="S311" s="179">
        <f t="shared" si="204"/>
        <v>0.94049532771352018</v>
      </c>
      <c r="T311" s="179">
        <f t="shared" si="204"/>
        <v>0.93359947118064102</v>
      </c>
    </row>
    <row r="312" spans="1:20">
      <c r="A312" s="175" t="s">
        <v>6933</v>
      </c>
      <c r="B312" s="177">
        <f>SURREY!D12</f>
        <v>62445</v>
      </c>
      <c r="C312" s="177">
        <f>SURREY!E12</f>
        <v>63565</v>
      </c>
      <c r="D312" s="177">
        <f>SURREY!F12</f>
        <v>64145</v>
      </c>
      <c r="E312" s="177">
        <f>SURREY!G12</f>
        <v>64550</v>
      </c>
      <c r="F312" s="177">
        <f>SURREY!H12</f>
        <v>64430</v>
      </c>
      <c r="G312" s="177">
        <f>SURREY!I12</f>
        <v>63007</v>
      </c>
      <c r="H312" s="177">
        <f>SURREY!J12</f>
        <v>62634</v>
      </c>
      <c r="I312" s="177">
        <f>SURREY!K12</f>
        <v>64729</v>
      </c>
      <c r="J312" s="177">
        <f>SURREY!L12</f>
        <v>64728</v>
      </c>
      <c r="K312" s="178"/>
      <c r="L312" s="179">
        <f t="shared" si="199"/>
        <v>0.82238055101933305</v>
      </c>
      <c r="M312" s="179">
        <f t="shared" si="200"/>
        <v>0.82938635978131814</v>
      </c>
      <c r="N312" s="179">
        <f t="shared" si="201"/>
        <v>0.83217654156017695</v>
      </c>
      <c r="O312" s="179">
        <f t="shared" si="202"/>
        <v>0.83296771362944233</v>
      </c>
      <c r="P312" s="179">
        <f t="shared" si="203"/>
        <v>0.83529960847356544</v>
      </c>
      <c r="Q312" s="179">
        <f t="shared" si="204"/>
        <v>0.8315121281706126</v>
      </c>
      <c r="R312" s="179">
        <f t="shared" si="204"/>
        <v>0.83770011635838382</v>
      </c>
      <c r="S312" s="179">
        <f t="shared" si="204"/>
        <v>0.84596484349473955</v>
      </c>
      <c r="T312" s="179">
        <f t="shared" si="204"/>
        <v>0.83895635944162894</v>
      </c>
    </row>
    <row r="313" spans="1:20">
      <c r="A313" s="175" t="s">
        <v>6934</v>
      </c>
      <c r="B313" s="177">
        <f>SURREY!D13</f>
        <v>61007</v>
      </c>
      <c r="C313" s="177">
        <f>SURREY!E13</f>
        <v>61056</v>
      </c>
      <c r="D313" s="177">
        <f>SURREY!F13</f>
        <v>61146</v>
      </c>
      <c r="E313" s="177">
        <f>SURREY!G13</f>
        <v>61590</v>
      </c>
      <c r="F313" s="177">
        <f>SURREY!H13</f>
        <v>59190</v>
      </c>
      <c r="G313" s="177">
        <f>SURREY!I13</f>
        <v>60213</v>
      </c>
      <c r="H313" s="177">
        <f>SURREY!J13</f>
        <v>60505</v>
      </c>
      <c r="I313" s="177">
        <f>SURREY!K13</f>
        <v>63409</v>
      </c>
      <c r="J313" s="177">
        <f>SURREY!L13</f>
        <v>63562</v>
      </c>
      <c r="K313" s="178"/>
      <c r="L313" s="179">
        <f t="shared" si="199"/>
        <v>0.80344255386398356</v>
      </c>
      <c r="M313" s="179">
        <f t="shared" si="200"/>
        <v>0.79664931303088427</v>
      </c>
      <c r="N313" s="179">
        <f t="shared" si="201"/>
        <v>0.79326941788508187</v>
      </c>
      <c r="O313" s="179">
        <f t="shared" si="202"/>
        <v>0.79477120809352986</v>
      </c>
      <c r="P313" s="179">
        <f t="shared" si="203"/>
        <v>0.7673658827495009</v>
      </c>
      <c r="Q313" s="179">
        <f t="shared" si="204"/>
        <v>0.79463932219494815</v>
      </c>
      <c r="R313" s="179">
        <f t="shared" si="204"/>
        <v>0.80922574863914187</v>
      </c>
      <c r="S313" s="179">
        <f t="shared" si="204"/>
        <v>0.82871332418480037</v>
      </c>
      <c r="T313" s="179">
        <f t="shared" si="204"/>
        <v>0.82384353168379709</v>
      </c>
    </row>
    <row r="314" spans="1:20">
      <c r="A314" s="175" t="s">
        <v>6935</v>
      </c>
      <c r="B314" s="177">
        <f>SURREY!D14</f>
        <v>90872</v>
      </c>
      <c r="C314" s="177">
        <f>SURREY!E14</f>
        <v>90491</v>
      </c>
      <c r="D314" s="177">
        <f>SURREY!F14</f>
        <v>91140</v>
      </c>
      <c r="E314" s="177">
        <f>SURREY!G14</f>
        <v>91916</v>
      </c>
      <c r="F314" s="177">
        <f>SURREY!H14</f>
        <v>92504</v>
      </c>
      <c r="G314" s="177">
        <f>SURREY!I14</f>
        <v>90183</v>
      </c>
      <c r="H314" s="177">
        <f>SURREY!J14</f>
        <v>88240</v>
      </c>
      <c r="I314" s="177">
        <f>SURREY!K14</f>
        <v>91510</v>
      </c>
      <c r="J314" s="177">
        <f>SURREY!L14</f>
        <v>91395</v>
      </c>
      <c r="K314" s="178"/>
      <c r="L314" s="179">
        <f t="shared" si="199"/>
        <v>1.1967549913080124</v>
      </c>
      <c r="M314" s="179">
        <f t="shared" si="200"/>
        <v>1.1807126733732598</v>
      </c>
      <c r="N314" s="179">
        <f t="shared" si="201"/>
        <v>1.1823925480987532</v>
      </c>
      <c r="O314" s="179">
        <f t="shared" si="202"/>
        <v>1.1861047306888275</v>
      </c>
      <c r="P314" s="179">
        <f t="shared" si="203"/>
        <v>1.1992636191562736</v>
      </c>
      <c r="Q314" s="179">
        <f t="shared" si="204"/>
        <v>1.1901575738379919</v>
      </c>
      <c r="R314" s="179">
        <f t="shared" si="204"/>
        <v>1.1801682515481016</v>
      </c>
      <c r="S314" s="179">
        <f t="shared" si="204"/>
        <v>1.1959746454943476</v>
      </c>
      <c r="T314" s="179">
        <f t="shared" si="204"/>
        <v>1.1845942477933458</v>
      </c>
    </row>
    <row r="315" spans="1:20">
      <c r="A315" s="175" t="s">
        <v>6936</v>
      </c>
      <c r="B315" s="177">
        <f>SURREY!D15</f>
        <v>68609</v>
      </c>
      <c r="C315" s="177">
        <f>SURREY!E15</f>
        <v>69785</v>
      </c>
      <c r="D315" s="177">
        <f>SURREY!F15</f>
        <v>69476</v>
      </c>
      <c r="E315" s="177">
        <f>SURREY!G15</f>
        <v>70504</v>
      </c>
      <c r="F315" s="177">
        <f>SURREY!H15</f>
        <v>69796</v>
      </c>
      <c r="G315" s="177">
        <f>SURREY!I15</f>
        <v>68474</v>
      </c>
      <c r="H315" s="177">
        <f>SURREY!J15</f>
        <v>67583</v>
      </c>
      <c r="I315" s="177">
        <f>SURREY!K15</f>
        <v>69635</v>
      </c>
      <c r="J315" s="177">
        <f>SURREY!L15</f>
        <v>69763</v>
      </c>
      <c r="K315" s="178"/>
      <c r="L315" s="179">
        <f t="shared" si="199"/>
        <v>0.90355844703155452</v>
      </c>
      <c r="M315" s="179">
        <f t="shared" si="200"/>
        <v>0.9105439647186232</v>
      </c>
      <c r="N315" s="179">
        <f t="shared" si="201"/>
        <v>0.90133755400163462</v>
      </c>
      <c r="O315" s="179">
        <f t="shared" si="202"/>
        <v>0.9097994683459365</v>
      </c>
      <c r="P315" s="179">
        <f t="shared" si="203"/>
        <v>0.9048668550833614</v>
      </c>
      <c r="Q315" s="179">
        <f t="shared" si="204"/>
        <v>0.90366088631984587</v>
      </c>
      <c r="R315" s="179">
        <f t="shared" si="204"/>
        <v>0.90389064986826095</v>
      </c>
      <c r="S315" s="179">
        <f t="shared" si="204"/>
        <v>0.91008299026334705</v>
      </c>
      <c r="T315" s="179">
        <f t="shared" si="204"/>
        <v>0.90421629748681187</v>
      </c>
    </row>
    <row r="316" spans="1:20">
      <c r="A316" s="175" t="s">
        <v>6937</v>
      </c>
      <c r="B316" s="177">
        <f t="shared" ref="B316:G316" si="205">SUM(B305:B315)</f>
        <v>819336</v>
      </c>
      <c r="C316" s="177">
        <f t="shared" si="205"/>
        <v>827318</v>
      </c>
      <c r="D316" s="177">
        <f t="shared" si="205"/>
        <v>832233</v>
      </c>
      <c r="E316" s="177">
        <f t="shared" si="205"/>
        <v>836261</v>
      </c>
      <c r="F316" s="177">
        <f t="shared" si="205"/>
        <v>835720</v>
      </c>
      <c r="G316" s="177">
        <f t="shared" si="205"/>
        <v>819537</v>
      </c>
      <c r="H316" s="177">
        <f t="shared" ref="H316" si="206">SUM(H305:H315)</f>
        <v>816524</v>
      </c>
      <c r="I316" s="177">
        <f t="shared" ref="I316:J316" si="207">SUM(I305:I315)</f>
        <v>836225</v>
      </c>
      <c r="J316" s="177">
        <f t="shared" si="207"/>
        <v>833435</v>
      </c>
      <c r="K316" s="178"/>
      <c r="L316" s="179">
        <f t="shared" si="199"/>
        <v>10.790391402834114</v>
      </c>
      <c r="M316" s="179">
        <f t="shared" si="200"/>
        <v>10.794718231755848</v>
      </c>
      <c r="N316" s="179">
        <f t="shared" si="201"/>
        <v>10.796863040178513</v>
      </c>
      <c r="O316" s="179">
        <f t="shared" si="202"/>
        <v>10.791299971610705</v>
      </c>
      <c r="P316" s="179">
        <f t="shared" si="203"/>
        <v>10.834651385899862</v>
      </c>
      <c r="Q316" s="179">
        <f t="shared" si="204"/>
        <v>10.815543590149655</v>
      </c>
      <c r="R316" s="179">
        <f t="shared" si="204"/>
        <v>10.920622182990277</v>
      </c>
      <c r="S316" s="179">
        <f t="shared" si="204"/>
        <v>10.928902829510553</v>
      </c>
      <c r="T316" s="179">
        <f t="shared" si="204"/>
        <v>10.802366725856416</v>
      </c>
    </row>
    <row r="317" spans="1:20">
      <c r="A317" s="175"/>
      <c r="B317" s="177"/>
      <c r="C317" s="177"/>
      <c r="D317" s="177"/>
      <c r="E317" s="177"/>
      <c r="F317" s="177"/>
      <c r="G317" s="177"/>
      <c r="H317" s="177"/>
      <c r="I317" s="177"/>
      <c r="J317" s="177"/>
      <c r="K317" s="178"/>
      <c r="L317" s="179"/>
      <c r="M317" s="179"/>
      <c r="N317" s="179"/>
      <c r="O317" s="179"/>
      <c r="P317" s="179"/>
      <c r="Q317" s="179"/>
      <c r="R317" s="179"/>
      <c r="S317" s="179"/>
      <c r="T317" s="179"/>
    </row>
    <row r="318" spans="1:20">
      <c r="A318" s="175" t="s">
        <v>8758</v>
      </c>
      <c r="B318" s="177">
        <f>'WEST SUSSEX'!D5</f>
        <v>47382</v>
      </c>
      <c r="C318" s="177">
        <f>'WEST SUSSEX'!E5</f>
        <v>47396</v>
      </c>
      <c r="D318" s="177">
        <f>'WEST SUSSEX'!F5</f>
        <v>47913</v>
      </c>
      <c r="E318" s="177">
        <f>'WEST SUSSEX'!G5</f>
        <v>48236</v>
      </c>
      <c r="F318" s="177">
        <f>'WEST SUSSEX'!H5</f>
        <v>48113</v>
      </c>
      <c r="G318" s="177">
        <f>'WEST SUSSEX'!I5</f>
        <v>46710</v>
      </c>
      <c r="H318" s="177">
        <f>'WEST SUSSEX'!J5</f>
        <v>46643</v>
      </c>
      <c r="I318" s="177">
        <f>'WEST SUSSEX'!K5</f>
        <v>48207</v>
      </c>
      <c r="J318" s="177">
        <f>'WEST SUSSEX'!L5</f>
        <v>48471</v>
      </c>
      <c r="K318" s="178"/>
      <c r="L318" s="179">
        <f t="shared" ref="L318:T325" si="208">B318/B$470</f>
        <v>0.62400568930095346</v>
      </c>
      <c r="M318" s="179">
        <f t="shared" si="208"/>
        <v>0.6184157304836837</v>
      </c>
      <c r="N318" s="179">
        <f t="shared" si="208"/>
        <v>0.62159286983822215</v>
      </c>
      <c r="O318" s="179">
        <f t="shared" si="208"/>
        <v>0.62244818953725445</v>
      </c>
      <c r="P318" s="179">
        <f t="shared" si="208"/>
        <v>0.62375865377135897</v>
      </c>
      <c r="Q318" s="179">
        <f t="shared" si="208"/>
        <v>0.61643835616438358</v>
      </c>
      <c r="R318" s="179">
        <f t="shared" si="208"/>
        <v>0.62382805708248068</v>
      </c>
      <c r="S318" s="179">
        <f t="shared" si="208"/>
        <v>0.63003332679866697</v>
      </c>
      <c r="T318" s="179">
        <f t="shared" si="208"/>
        <v>0.62824517517141265</v>
      </c>
    </row>
    <row r="319" spans="1:20">
      <c r="A319" s="175" t="s">
        <v>8759</v>
      </c>
      <c r="B319" s="177">
        <f>'WEST SUSSEX'!D6</f>
        <v>112814</v>
      </c>
      <c r="C319" s="177">
        <f>'WEST SUSSEX'!E6</f>
        <v>112169</v>
      </c>
      <c r="D319" s="177">
        <f>'WEST SUSSEX'!F6</f>
        <v>112052</v>
      </c>
      <c r="E319" s="177">
        <f>'WEST SUSSEX'!G6</f>
        <v>111331</v>
      </c>
      <c r="F319" s="177">
        <f>'WEST SUSSEX'!H6</f>
        <v>109063</v>
      </c>
      <c r="G319" s="177">
        <f>'WEST SUSSEX'!I6</f>
        <v>111759</v>
      </c>
      <c r="H319" s="177">
        <f>'WEST SUSSEX'!J6</f>
        <v>113193</v>
      </c>
      <c r="I319" s="177">
        <f>'WEST SUSSEX'!K6</f>
        <v>116521</v>
      </c>
      <c r="J319" s="177">
        <f>'WEST SUSSEX'!L6</f>
        <v>120238</v>
      </c>
      <c r="K319" s="178"/>
      <c r="L319" s="179">
        <f t="shared" si="208"/>
        <v>1.4857240689037561</v>
      </c>
      <c r="M319" s="179">
        <f t="shared" si="208"/>
        <v>1.4635638887801568</v>
      </c>
      <c r="N319" s="179">
        <f t="shared" si="208"/>
        <v>1.4536915712043175</v>
      </c>
      <c r="O319" s="179">
        <f t="shared" si="208"/>
        <v>1.4366402560198208</v>
      </c>
      <c r="P319" s="179">
        <f t="shared" si="208"/>
        <v>1.4139419711152021</v>
      </c>
      <c r="Q319" s="179">
        <f t="shared" si="208"/>
        <v>1.4748990418877188</v>
      </c>
      <c r="R319" s="179">
        <f t="shared" si="208"/>
        <v>1.5139028206877181</v>
      </c>
      <c r="S319" s="179">
        <f t="shared" si="208"/>
        <v>1.5228517284192642</v>
      </c>
      <c r="T319" s="179">
        <f t="shared" si="208"/>
        <v>1.5584358352883232</v>
      </c>
    </row>
    <row r="320" spans="1:20">
      <c r="A320" s="175" t="s">
        <v>8760</v>
      </c>
      <c r="B320" s="177">
        <f>'WEST SUSSEX'!D7</f>
        <v>88831</v>
      </c>
      <c r="C320" s="177">
        <f>'WEST SUSSEX'!E7</f>
        <v>89483</v>
      </c>
      <c r="D320" s="177">
        <f>'WEST SUSSEX'!F7</f>
        <v>89912</v>
      </c>
      <c r="E320" s="177">
        <f>'WEST SUSSEX'!G7</f>
        <v>91428</v>
      </c>
      <c r="F320" s="177">
        <f>'WEST SUSSEX'!H7</f>
        <v>89884</v>
      </c>
      <c r="G320" s="177">
        <f>'WEST SUSSEX'!I7</f>
        <v>88324</v>
      </c>
      <c r="H320" s="177">
        <f>'WEST SUSSEX'!J7</f>
        <v>85960</v>
      </c>
      <c r="I320" s="177">
        <f>'WEST SUSSEX'!K7</f>
        <v>90709</v>
      </c>
      <c r="J320" s="177">
        <f>'WEST SUSSEX'!L7</f>
        <v>90973</v>
      </c>
      <c r="K320" s="178"/>
      <c r="L320" s="179">
        <f t="shared" si="208"/>
        <v>1.1698756782384239</v>
      </c>
      <c r="M320" s="179">
        <f t="shared" si="208"/>
        <v>1.1675604441486933</v>
      </c>
      <c r="N320" s="179">
        <f t="shared" si="208"/>
        <v>1.1664612550433959</v>
      </c>
      <c r="O320" s="179">
        <f t="shared" si="208"/>
        <v>1.1798074689653393</v>
      </c>
      <c r="P320" s="179">
        <f t="shared" si="208"/>
        <v>1.1652967562942411</v>
      </c>
      <c r="Q320" s="179">
        <f t="shared" si="208"/>
        <v>1.1656240926967034</v>
      </c>
      <c r="R320" s="179">
        <f t="shared" si="208"/>
        <v>1.1496743302705668</v>
      </c>
      <c r="S320" s="179">
        <f t="shared" si="208"/>
        <v>1.185506109913089</v>
      </c>
      <c r="T320" s="179">
        <f t="shared" si="208"/>
        <v>1.1791245965808199</v>
      </c>
    </row>
    <row r="321" spans="1:20">
      <c r="A321" s="175" t="s">
        <v>8761</v>
      </c>
      <c r="B321" s="177">
        <f>'WEST SUSSEX'!D8</f>
        <v>72024</v>
      </c>
      <c r="C321" s="177">
        <f>'WEST SUSSEX'!E8</f>
        <v>71793</v>
      </c>
      <c r="D321" s="177">
        <f>'WEST SUSSEX'!F8</f>
        <v>73935</v>
      </c>
      <c r="E321" s="177">
        <f>'WEST SUSSEX'!G8</f>
        <v>74610</v>
      </c>
      <c r="F321" s="177">
        <f>'WEST SUSSEX'!H8</f>
        <v>74369</v>
      </c>
      <c r="G321" s="177">
        <f>'WEST SUSSEX'!I8</f>
        <v>72424</v>
      </c>
      <c r="H321" s="177">
        <f>'WEST SUSSEX'!J8</f>
        <v>70578</v>
      </c>
      <c r="I321" s="177">
        <f>'WEST SUSSEX'!K8</f>
        <v>71455</v>
      </c>
      <c r="J321" s="177">
        <f>'WEST SUSSEX'!L8</f>
        <v>72499</v>
      </c>
      <c r="K321" s="178"/>
      <c r="L321" s="179">
        <f t="shared" si="208"/>
        <v>0.94853289785597639</v>
      </c>
      <c r="M321" s="179">
        <f t="shared" si="208"/>
        <v>0.93674404039613257</v>
      </c>
      <c r="N321" s="179">
        <f t="shared" si="208"/>
        <v>0.95918579156990702</v>
      </c>
      <c r="O321" s="179">
        <f t="shared" si="208"/>
        <v>0.96278421555217175</v>
      </c>
      <c r="P321" s="179">
        <f t="shared" si="208"/>
        <v>0.96415329167422925</v>
      </c>
      <c r="Q321" s="179">
        <f t="shared" si="208"/>
        <v>0.95578958481801146</v>
      </c>
      <c r="R321" s="179">
        <f t="shared" si="208"/>
        <v>0.94394735786221562</v>
      </c>
      <c r="S321" s="179">
        <f t="shared" si="208"/>
        <v>0.93386917597856633</v>
      </c>
      <c r="T321" s="179">
        <f t="shared" si="208"/>
        <v>0.93967830155664722</v>
      </c>
    </row>
    <row r="322" spans="1:20">
      <c r="A322" s="175" t="s">
        <v>8762</v>
      </c>
      <c r="B322" s="177">
        <f>'WEST SUSSEX'!D9</f>
        <v>99682</v>
      </c>
      <c r="C322" s="177">
        <f>'WEST SUSSEX'!E9</f>
        <v>100713</v>
      </c>
      <c r="D322" s="177">
        <f>'WEST SUSSEX'!F9</f>
        <v>101117</v>
      </c>
      <c r="E322" s="177">
        <f>'WEST SUSSEX'!G9</f>
        <v>101732</v>
      </c>
      <c r="F322" s="177">
        <f>'WEST SUSSEX'!H9</f>
        <v>99258</v>
      </c>
      <c r="G322" s="177">
        <f>'WEST SUSSEX'!I9</f>
        <v>99936</v>
      </c>
      <c r="H322" s="177">
        <f>'WEST SUSSEX'!J9</f>
        <v>100288</v>
      </c>
      <c r="I322" s="177">
        <f>'WEST SUSSEX'!K9</f>
        <v>103959</v>
      </c>
      <c r="J322" s="177">
        <f>'WEST SUSSEX'!L9</f>
        <v>105544</v>
      </c>
      <c r="K322" s="178"/>
      <c r="L322" s="179">
        <f t="shared" si="208"/>
        <v>1.3127798556603276</v>
      </c>
      <c r="M322" s="179">
        <f t="shared" si="208"/>
        <v>1.3140877598152425</v>
      </c>
      <c r="N322" s="179">
        <f t="shared" si="208"/>
        <v>1.3118278174906917</v>
      </c>
      <c r="O322" s="179">
        <f t="shared" si="208"/>
        <v>1.3127726017498129</v>
      </c>
      <c r="P322" s="179">
        <f t="shared" si="208"/>
        <v>1.2868255244120621</v>
      </c>
      <c r="Q322" s="179">
        <f t="shared" si="208"/>
        <v>1.31886926914245</v>
      </c>
      <c r="R322" s="179">
        <f t="shared" si="208"/>
        <v>1.3413045513514958</v>
      </c>
      <c r="S322" s="179">
        <f t="shared" si="208"/>
        <v>1.3586747696530093</v>
      </c>
      <c r="T322" s="179">
        <f t="shared" si="208"/>
        <v>1.3679830985185282</v>
      </c>
    </row>
    <row r="323" spans="1:20">
      <c r="A323" s="175" t="s">
        <v>8763</v>
      </c>
      <c r="B323" s="177">
        <f>'WEST SUSSEX'!D10</f>
        <v>100172</v>
      </c>
      <c r="C323" s="177">
        <f>'WEST SUSSEX'!E10</f>
        <v>101739</v>
      </c>
      <c r="D323" s="177">
        <f>'WEST SUSSEX'!F10</f>
        <v>102770</v>
      </c>
      <c r="E323" s="177">
        <f>'WEST SUSSEX'!G10</f>
        <v>103635</v>
      </c>
      <c r="F323" s="177">
        <f>'WEST SUSSEX'!H10</f>
        <v>106256</v>
      </c>
      <c r="G323" s="177">
        <f>'WEST SUSSEX'!I10</f>
        <v>104742</v>
      </c>
      <c r="H323" s="177">
        <f>'WEST SUSSEX'!J10</f>
        <v>104358</v>
      </c>
      <c r="I323" s="177">
        <f>'WEST SUSSEX'!K10</f>
        <v>110296</v>
      </c>
      <c r="J323" s="177">
        <f>'WEST SUSSEX'!L10</f>
        <v>110194</v>
      </c>
      <c r="K323" s="178"/>
      <c r="L323" s="179">
        <f t="shared" si="208"/>
        <v>1.3192329979455302</v>
      </c>
      <c r="M323" s="179">
        <f t="shared" si="208"/>
        <v>1.3274748502759619</v>
      </c>
      <c r="N323" s="179">
        <f t="shared" si="208"/>
        <v>1.3332727909601587</v>
      </c>
      <c r="O323" s="179">
        <f t="shared" si="208"/>
        <v>1.3373293416264485</v>
      </c>
      <c r="P323" s="179">
        <f t="shared" si="208"/>
        <v>1.3775507558275208</v>
      </c>
      <c r="Q323" s="179">
        <f t="shared" si="208"/>
        <v>1.3822947185050281</v>
      </c>
      <c r="R323" s="179">
        <f t="shared" si="208"/>
        <v>1.3957388757372708</v>
      </c>
      <c r="S323" s="179">
        <f t="shared" si="208"/>
        <v>1.4414951316735281</v>
      </c>
      <c r="T323" s="179">
        <f t="shared" si="208"/>
        <v>1.4282529519266911</v>
      </c>
    </row>
    <row r="324" spans="1:20">
      <c r="A324" s="175" t="s">
        <v>8764</v>
      </c>
      <c r="B324" s="177">
        <f>'WEST SUSSEX'!D11</f>
        <v>77838</v>
      </c>
      <c r="C324" s="177">
        <f>'WEST SUSSEX'!E11</f>
        <v>79045</v>
      </c>
      <c r="D324" s="177">
        <f>'WEST SUSSEX'!F11</f>
        <v>79664</v>
      </c>
      <c r="E324" s="177">
        <f>'WEST SUSSEX'!G11</f>
        <v>80189</v>
      </c>
      <c r="F324" s="177">
        <f>'WEST SUSSEX'!H11</f>
        <v>78120</v>
      </c>
      <c r="G324" s="177">
        <f>'WEST SUSSEX'!I11</f>
        <v>76952</v>
      </c>
      <c r="H324" s="177">
        <f>'WEST SUSSEX'!J11</f>
        <v>77529</v>
      </c>
      <c r="I324" s="177">
        <f>'WEST SUSSEX'!K11</f>
        <v>81598</v>
      </c>
      <c r="J324" s="177">
        <f>'WEST SUSSEX'!L11</f>
        <v>81621</v>
      </c>
      <c r="K324" s="178"/>
      <c r="L324" s="179">
        <f t="shared" si="208"/>
        <v>1.0251014065216246</v>
      </c>
      <c r="M324" s="179">
        <f t="shared" si="208"/>
        <v>1.0313670228728749</v>
      </c>
      <c r="N324" s="179">
        <f t="shared" si="208"/>
        <v>1.0335102035521075</v>
      </c>
      <c r="O324" s="179">
        <f t="shared" si="208"/>
        <v>1.0347768859524609</v>
      </c>
      <c r="P324" s="179">
        <f t="shared" si="208"/>
        <v>1.0127829491534213</v>
      </c>
      <c r="Q324" s="179">
        <f t="shared" si="208"/>
        <v>1.0155462295774276</v>
      </c>
      <c r="R324" s="179">
        <f t="shared" si="208"/>
        <v>1.0369136941780686</v>
      </c>
      <c r="S324" s="179">
        <f t="shared" si="208"/>
        <v>1.0664314186760766</v>
      </c>
      <c r="T324" s="179">
        <f t="shared" si="208"/>
        <v>1.0579109043070263</v>
      </c>
    </row>
    <row r="325" spans="1:20">
      <c r="A325" s="175" t="s">
        <v>8765</v>
      </c>
      <c r="B325" s="177">
        <f t="shared" ref="B325:H325" si="209">SUM(B318:B324)</f>
        <v>598743</v>
      </c>
      <c r="C325" s="177">
        <f t="shared" si="209"/>
        <v>602338</v>
      </c>
      <c r="D325" s="177">
        <f t="shared" si="209"/>
        <v>607363</v>
      </c>
      <c r="E325" s="177">
        <f t="shared" si="209"/>
        <v>611161</v>
      </c>
      <c r="F325" s="177">
        <f t="shared" si="209"/>
        <v>605063</v>
      </c>
      <c r="G325" s="177">
        <f t="shared" si="209"/>
        <v>600847</v>
      </c>
      <c r="H325" s="177">
        <f t="shared" si="209"/>
        <v>598549</v>
      </c>
      <c r="I325" s="177">
        <f t="shared" ref="I325:J325" si="210">SUM(I318:I324)</f>
        <v>622745</v>
      </c>
      <c r="J325" s="177">
        <f t="shared" si="210"/>
        <v>629540</v>
      </c>
      <c r="K325" s="178"/>
      <c r="L325" s="179">
        <f t="shared" si="208"/>
        <v>7.8852525944265919</v>
      </c>
      <c r="M325" s="179">
        <f t="shared" si="208"/>
        <v>7.8592137367727455</v>
      </c>
      <c r="N325" s="179">
        <f t="shared" si="208"/>
        <v>7.8795422996588007</v>
      </c>
      <c r="O325" s="179">
        <f t="shared" si="208"/>
        <v>7.8865589594033088</v>
      </c>
      <c r="P325" s="179">
        <f t="shared" si="208"/>
        <v>7.8443099022480363</v>
      </c>
      <c r="Q325" s="179">
        <f t="shared" si="208"/>
        <v>7.9294612927917232</v>
      </c>
      <c r="R325" s="179">
        <f t="shared" si="208"/>
        <v>8.0053096871698166</v>
      </c>
      <c r="S325" s="179">
        <f t="shared" si="208"/>
        <v>8.1388616611122</v>
      </c>
      <c r="T325" s="179">
        <f t="shared" si="208"/>
        <v>8.1596308633494488</v>
      </c>
    </row>
    <row r="326" spans="1:20">
      <c r="A326" s="175"/>
      <c r="B326" s="177"/>
      <c r="C326" s="177"/>
      <c r="D326" s="177"/>
      <c r="E326" s="177"/>
      <c r="F326" s="177"/>
      <c r="G326" s="177"/>
      <c r="H326" s="177"/>
      <c r="I326" s="177"/>
      <c r="J326" s="177"/>
      <c r="K326" s="178"/>
      <c r="L326" s="179"/>
      <c r="M326" s="179"/>
      <c r="N326" s="179"/>
      <c r="O326" s="179"/>
      <c r="P326" s="179"/>
      <c r="Q326" s="179"/>
      <c r="R326" s="179"/>
      <c r="S326" s="179"/>
      <c r="T326" s="179"/>
    </row>
    <row r="327" spans="1:20">
      <c r="A327" s="188" t="s">
        <v>6946</v>
      </c>
      <c r="B327" s="189">
        <f>B245+B253+B262+B278+B280+B296+B303+B316+B325</f>
        <v>6254288</v>
      </c>
      <c r="C327" s="189">
        <f>C245+C253+C262+C278+C280+C296+C303+C316+C325</f>
        <v>6303428</v>
      </c>
      <c r="D327" s="189">
        <f t="shared" ref="D327:H327" si="211">D245+D253+D262+D278+D280+D296+D303+D316+D325</f>
        <v>6354105</v>
      </c>
      <c r="E327" s="189">
        <f t="shared" si="211"/>
        <v>6398775</v>
      </c>
      <c r="F327" s="189">
        <f t="shared" si="211"/>
        <v>6389909</v>
      </c>
      <c r="G327" s="189">
        <f t="shared" si="211"/>
        <v>6262311</v>
      </c>
      <c r="H327" s="189">
        <f t="shared" si="211"/>
        <v>6172923</v>
      </c>
      <c r="I327" s="189">
        <f t="shared" ref="I327:J327" si="212">I245+I253+I262+I278+I280+I296+I303+I316+I325</f>
        <v>6375705</v>
      </c>
      <c r="J327" s="189">
        <f t="shared" si="212"/>
        <v>6408798</v>
      </c>
      <c r="K327" s="190"/>
      <c r="L327" s="187">
        <f t="shared" ref="L327:T327" si="213">B327/B$470</f>
        <v>82.366959911499762</v>
      </c>
      <c r="M327" s="187">
        <f t="shared" si="213"/>
        <v>82.246160671181215</v>
      </c>
      <c r="N327" s="187">
        <f t="shared" si="213"/>
        <v>82.434127735758494</v>
      </c>
      <c r="O327" s="187">
        <f t="shared" si="213"/>
        <v>82.571231321134533</v>
      </c>
      <c r="P327" s="187">
        <f t="shared" si="213"/>
        <v>82.841665154147321</v>
      </c>
      <c r="Q327" s="187">
        <f t="shared" si="213"/>
        <v>82.6445878533534</v>
      </c>
      <c r="R327" s="187">
        <f t="shared" si="213"/>
        <v>82.559924567668418</v>
      </c>
      <c r="S327" s="187">
        <f t="shared" si="213"/>
        <v>83.326210546951572</v>
      </c>
      <c r="T327" s="187">
        <f t="shared" si="213"/>
        <v>83.066089458608218</v>
      </c>
    </row>
    <row r="328" spans="1:20">
      <c r="A328" s="175"/>
      <c r="B328" s="177"/>
      <c r="C328" s="177"/>
      <c r="D328" s="177"/>
      <c r="E328" s="177"/>
      <c r="F328" s="177"/>
      <c r="G328" s="177"/>
      <c r="H328" s="177"/>
      <c r="I328" s="177"/>
      <c r="J328" s="177"/>
      <c r="K328" s="178"/>
      <c r="L328" s="179"/>
      <c r="M328" s="179"/>
      <c r="N328" s="179"/>
      <c r="O328" s="179"/>
      <c r="P328" s="179"/>
      <c r="Q328" s="179"/>
      <c r="R328" s="179"/>
      <c r="S328" s="179"/>
      <c r="T328" s="179"/>
    </row>
    <row r="329" spans="1:20">
      <c r="A329" s="175" t="s">
        <v>5034</v>
      </c>
      <c r="B329" s="177" t="s">
        <v>5035</v>
      </c>
      <c r="C329" s="179"/>
      <c r="D329" s="179"/>
      <c r="L329" s="179"/>
      <c r="M329" s="179"/>
      <c r="N329" s="179"/>
      <c r="O329" s="179"/>
      <c r="P329" s="179"/>
      <c r="Q329" s="179"/>
      <c r="R329" s="179"/>
      <c r="S329" s="179"/>
      <c r="T329" s="179"/>
    </row>
    <row r="330" spans="1:20">
      <c r="A330" s="175"/>
      <c r="B330" s="177"/>
      <c r="C330" s="177"/>
      <c r="D330" s="177"/>
      <c r="E330" s="177"/>
      <c r="F330" s="177"/>
      <c r="G330" s="177"/>
      <c r="H330" s="177"/>
      <c r="I330" s="177"/>
      <c r="J330" s="177"/>
      <c r="K330" s="178"/>
      <c r="L330" s="179"/>
      <c r="M330" s="179"/>
      <c r="N330" s="179"/>
      <c r="O330" s="179"/>
      <c r="P330" s="179"/>
      <c r="Q330" s="179"/>
      <c r="R330" s="179"/>
      <c r="S330" s="179"/>
      <c r="T330" s="179"/>
    </row>
    <row r="331" spans="1:20">
      <c r="A331" s="175" t="s">
        <v>8524</v>
      </c>
      <c r="B331" s="177">
        <f>'BATH &amp; NE SOMERSET'!D3</f>
        <v>134016</v>
      </c>
      <c r="C331" s="177">
        <f>'BATH &amp; NE SOMERSET'!E3</f>
        <v>135236</v>
      </c>
      <c r="D331" s="177">
        <f>'BATH &amp; NE SOMERSET'!F3</f>
        <v>132710</v>
      </c>
      <c r="E331" s="177">
        <f>'BATH &amp; NE SOMERSET'!G3</f>
        <v>134824</v>
      </c>
      <c r="F331" s="177">
        <f>'BATH &amp; NE SOMERSET'!H3</f>
        <v>130613</v>
      </c>
      <c r="G331" s="177">
        <f>'BATH &amp; NE SOMERSET'!I3</f>
        <v>125207</v>
      </c>
      <c r="H331" s="177">
        <f>'BATH &amp; NE SOMERSET'!J3</f>
        <v>129407</v>
      </c>
      <c r="I331" s="177">
        <f>'BATH &amp; NE SOMERSET'!K3</f>
        <v>131217</v>
      </c>
      <c r="J331" s="177">
        <f>'BATH &amp; NE SOMERSET'!L3</f>
        <v>129957</v>
      </c>
      <c r="K331" s="178"/>
      <c r="L331" s="179">
        <f t="shared" ref="L331:T335" si="214">B331/B$470</f>
        <v>1.7649475846810303</v>
      </c>
      <c r="M331" s="179">
        <f t="shared" si="214"/>
        <v>1.7645385629101917</v>
      </c>
      <c r="N331" s="179">
        <f t="shared" si="214"/>
        <v>1.7216953594270961</v>
      </c>
      <c r="O331" s="179">
        <f t="shared" si="214"/>
        <v>1.7397992102614397</v>
      </c>
      <c r="P331" s="179">
        <f t="shared" si="214"/>
        <v>1.6933259003811549</v>
      </c>
      <c r="Q331" s="179">
        <f t="shared" si="214"/>
        <v>1.6523741652809671</v>
      </c>
      <c r="R331" s="179">
        <f t="shared" si="214"/>
        <v>1.7307573994569942</v>
      </c>
      <c r="S331" s="179">
        <f t="shared" si="214"/>
        <v>1.7149186434032542</v>
      </c>
      <c r="T331" s="179">
        <f t="shared" si="214"/>
        <v>1.6844063095407826</v>
      </c>
    </row>
    <row r="332" spans="1:20">
      <c r="A332" s="175" t="s">
        <v>1607</v>
      </c>
      <c r="B332" s="177">
        <f>BRISTOL!D3</f>
        <v>299884</v>
      </c>
      <c r="C332" s="177">
        <f>BRISTOL!E3</f>
        <v>304473</v>
      </c>
      <c r="D332" s="177">
        <f>BRISTOL!F3</f>
        <v>309495</v>
      </c>
      <c r="E332" s="177">
        <f>BRISTOL!G3</f>
        <v>309644</v>
      </c>
      <c r="F332" s="177">
        <f>BRISTOL!H3</f>
        <v>308742</v>
      </c>
      <c r="G332" s="177">
        <f>BRISTOL!I3</f>
        <v>303609</v>
      </c>
      <c r="H332" s="177">
        <f>BRISTOL!J3</f>
        <v>300195</v>
      </c>
      <c r="I332" s="177">
        <f>BRISTOL!K3</f>
        <v>306555</v>
      </c>
      <c r="J332" s="177">
        <f>BRISTOL!L3</f>
        <v>308147</v>
      </c>
      <c r="K332" s="178"/>
      <c r="L332" s="179">
        <f t="shared" si="214"/>
        <v>3.9493757572564925</v>
      </c>
      <c r="M332" s="179">
        <f t="shared" si="214"/>
        <v>3.9727169530668962</v>
      </c>
      <c r="N332" s="179">
        <f t="shared" si="214"/>
        <v>4.015191811211583</v>
      </c>
      <c r="O332" s="179">
        <f t="shared" si="214"/>
        <v>3.995715797352053</v>
      </c>
      <c r="P332" s="179">
        <f t="shared" si="214"/>
        <v>4.002670677003656</v>
      </c>
      <c r="Q332" s="179">
        <f t="shared" si="214"/>
        <v>4.0067701322353315</v>
      </c>
      <c r="R332" s="179">
        <f t="shared" si="214"/>
        <v>4.0149660955743691</v>
      </c>
      <c r="S332" s="179">
        <f t="shared" si="214"/>
        <v>4.0064693197412273</v>
      </c>
      <c r="T332" s="179">
        <f t="shared" si="214"/>
        <v>3.9939730146591836</v>
      </c>
    </row>
    <row r="333" spans="1:20">
      <c r="A333" s="175" t="s">
        <v>5602</v>
      </c>
      <c r="B333" s="177">
        <f>'NORTH SOMERSET'!D3</f>
        <v>155666</v>
      </c>
      <c r="C333" s="177">
        <f>'NORTH SOMERSET'!E3</f>
        <v>157001</v>
      </c>
      <c r="D333" s="177">
        <f>'NORTH SOMERSET'!F3</f>
        <v>157809</v>
      </c>
      <c r="E333" s="177">
        <f>'NORTH SOMERSET'!G3</f>
        <v>159585</v>
      </c>
      <c r="F333" s="177">
        <f>'NORTH SOMERSET'!H3</f>
        <v>157776</v>
      </c>
      <c r="G333" s="177">
        <f>'NORTH SOMERSET'!I3</f>
        <v>156981</v>
      </c>
      <c r="H333" s="177">
        <f>'NORTH SOMERSET'!J3</f>
        <v>151312</v>
      </c>
      <c r="I333" s="177">
        <f>'NORTH SOMERSET'!K3</f>
        <v>159208</v>
      </c>
      <c r="J333" s="177">
        <f>'NORTH SOMERSET'!L3</f>
        <v>158288</v>
      </c>
      <c r="K333" s="178"/>
      <c r="L333" s="179">
        <f t="shared" si="214"/>
        <v>2.0500711162619187</v>
      </c>
      <c r="M333" s="179">
        <f t="shared" si="214"/>
        <v>2.0485249409584947</v>
      </c>
      <c r="N333" s="179">
        <f t="shared" si="214"/>
        <v>2.0473138646359024</v>
      </c>
      <c r="O333" s="179">
        <f t="shared" si="214"/>
        <v>2.0593207216042533</v>
      </c>
      <c r="P333" s="179">
        <f t="shared" si="214"/>
        <v>2.045479295770996</v>
      </c>
      <c r="Q333" s="179">
        <f t="shared" si="214"/>
        <v>2.0717000554279834</v>
      </c>
      <c r="R333" s="179">
        <f t="shared" si="214"/>
        <v>2.0237264106782225</v>
      </c>
      <c r="S333" s="179">
        <f t="shared" si="214"/>
        <v>2.0807423381036396</v>
      </c>
      <c r="T333" s="179">
        <f t="shared" si="214"/>
        <v>2.0516117325314633</v>
      </c>
    </row>
    <row r="334" spans="1:20">
      <c r="A334" s="175" t="s">
        <v>6871</v>
      </c>
      <c r="B334" s="177">
        <f>'SOUTH GLOUCESTERSHIRE'!D3</f>
        <v>199268</v>
      </c>
      <c r="C334" s="177">
        <f>'SOUTH GLOUCESTERSHIRE'!E3</f>
        <v>201667</v>
      </c>
      <c r="D334" s="177">
        <f>'SOUTH GLOUCESTERSHIRE'!F3</f>
        <v>203568</v>
      </c>
      <c r="E334" s="177">
        <f>'SOUTH GLOUCESTERSHIRE'!G3</f>
        <v>204678</v>
      </c>
      <c r="F334" s="177">
        <f>'SOUTH GLOUCESTERSHIRE'!H3</f>
        <v>205320</v>
      </c>
      <c r="G334" s="177">
        <f>'SOUTH GLOUCESTERSHIRE'!I3</f>
        <v>202239</v>
      </c>
      <c r="H334" s="177">
        <f>'SOUTH GLOUCESTERSHIRE'!J3</f>
        <v>202593</v>
      </c>
      <c r="I334" s="177">
        <f>'SOUTH GLOUCESTERSHIRE'!K3</f>
        <v>206186</v>
      </c>
      <c r="J334" s="177">
        <f>'SOUTH GLOUCESTERSHIRE'!L3</f>
        <v>196491</v>
      </c>
      <c r="K334" s="178"/>
      <c r="L334" s="179">
        <f t="shared" si="214"/>
        <v>2.6242954222198809</v>
      </c>
      <c r="M334" s="179">
        <f t="shared" si="214"/>
        <v>2.6313200506256442</v>
      </c>
      <c r="N334" s="179">
        <f t="shared" si="214"/>
        <v>2.6409621047988479</v>
      </c>
      <c r="O334" s="179">
        <f t="shared" si="214"/>
        <v>2.6412109324592872</v>
      </c>
      <c r="P334" s="179">
        <f t="shared" si="214"/>
        <v>2.6618611766536158</v>
      </c>
      <c r="Q334" s="179">
        <f t="shared" si="214"/>
        <v>2.6689761659672184</v>
      </c>
      <c r="R334" s="179">
        <f t="shared" si="214"/>
        <v>2.7095855234121093</v>
      </c>
      <c r="S334" s="179">
        <f t="shared" si="214"/>
        <v>2.6947134548781286</v>
      </c>
      <c r="T334" s="179">
        <f t="shared" si="214"/>
        <v>2.5467707023706141</v>
      </c>
    </row>
    <row r="335" spans="1:20">
      <c r="A335" s="181" t="s">
        <v>13794</v>
      </c>
      <c r="B335" s="177">
        <f>SUM(B331:B334)</f>
        <v>788834</v>
      </c>
      <c r="C335" s="177">
        <f t="shared" ref="C335:G335" si="215">SUM(C331:C334)</f>
        <v>798377</v>
      </c>
      <c r="D335" s="177">
        <f t="shared" si="215"/>
        <v>803582</v>
      </c>
      <c r="E335" s="177">
        <f t="shared" si="215"/>
        <v>808731</v>
      </c>
      <c r="F335" s="177">
        <f t="shared" si="215"/>
        <v>802451</v>
      </c>
      <c r="G335" s="177">
        <f t="shared" si="215"/>
        <v>788036</v>
      </c>
      <c r="H335" s="177">
        <f t="shared" ref="H335" si="216">SUM(H331:H334)</f>
        <v>783507</v>
      </c>
      <c r="I335" s="177">
        <f t="shared" ref="I335:J335" si="217">SUM(I331:I334)</f>
        <v>803166</v>
      </c>
      <c r="J335" s="177">
        <f t="shared" si="217"/>
        <v>792883</v>
      </c>
      <c r="K335" s="178"/>
      <c r="L335" s="179">
        <f t="shared" si="214"/>
        <v>10.388689880419323</v>
      </c>
      <c r="M335" s="179">
        <f t="shared" si="214"/>
        <v>10.417100507561226</v>
      </c>
      <c r="N335" s="179">
        <f t="shared" si="214"/>
        <v>10.42516314007343</v>
      </c>
      <c r="O335" s="179">
        <f t="shared" si="214"/>
        <v>10.436046661677032</v>
      </c>
      <c r="P335" s="179">
        <f t="shared" si="214"/>
        <v>10.403337049809423</v>
      </c>
      <c r="Q335" s="179">
        <f t="shared" si="214"/>
        <v>10.3998205189115</v>
      </c>
      <c r="R335" s="179">
        <f t="shared" si="214"/>
        <v>10.479035429121694</v>
      </c>
      <c r="S335" s="179">
        <f t="shared" si="214"/>
        <v>10.49684375612625</v>
      </c>
      <c r="T335" s="179">
        <f t="shared" si="214"/>
        <v>10.276761759102044</v>
      </c>
    </row>
    <row r="336" spans="1:20">
      <c r="A336" s="173"/>
      <c r="K336" s="173"/>
      <c r="L336" s="179"/>
      <c r="M336" s="179"/>
      <c r="N336" s="179"/>
      <c r="O336" s="179"/>
      <c r="P336" s="179"/>
      <c r="Q336" s="179"/>
      <c r="R336" s="179"/>
      <c r="S336" s="179"/>
      <c r="T336" s="179"/>
    </row>
    <row r="337" spans="1:20">
      <c r="A337" s="175" t="s">
        <v>8576</v>
      </c>
      <c r="B337" s="177">
        <f>CORNWALL!D3</f>
        <v>414414</v>
      </c>
      <c r="C337" s="177">
        <f>CORNWALL!E3</f>
        <v>417102</v>
      </c>
      <c r="D337" s="177">
        <f>CORNWALL!F3</f>
        <v>415406</v>
      </c>
      <c r="E337" s="177">
        <f>CORNWALL!G3</f>
        <v>418506</v>
      </c>
      <c r="F337" s="177">
        <f>CORNWALL!H3</f>
        <v>405256</v>
      </c>
      <c r="G337" s="177">
        <f>CORNWALL!I3</f>
        <v>411674</v>
      </c>
      <c r="H337" s="177">
        <f>CORNWALL!J3</f>
        <v>392223</v>
      </c>
      <c r="I337" s="177">
        <f>CORNWALL!K3</f>
        <v>406123</v>
      </c>
      <c r="J337" s="177">
        <f>CORNWALL!L3</f>
        <v>418223</v>
      </c>
      <c r="K337" s="178"/>
      <c r="L337" s="179">
        <f t="shared" ref="L337:T339" si="218">B337/B$470</f>
        <v>5.4576989938365905</v>
      </c>
      <c r="M337" s="179">
        <f t="shared" si="218"/>
        <v>5.4422828512154071</v>
      </c>
      <c r="N337" s="179">
        <f t="shared" si="218"/>
        <v>5.3892139437734334</v>
      </c>
      <c r="O337" s="179">
        <f t="shared" si="218"/>
        <v>5.400495522233979</v>
      </c>
      <c r="P337" s="179">
        <f t="shared" si="218"/>
        <v>5.2539217465709029</v>
      </c>
      <c r="Q337" s="179">
        <f t="shared" si="218"/>
        <v>5.43291894317312</v>
      </c>
      <c r="R337" s="179">
        <f t="shared" si="218"/>
        <v>5.2457970549291817</v>
      </c>
      <c r="S337" s="179">
        <f t="shared" si="218"/>
        <v>5.3077566490230677</v>
      </c>
      <c r="T337" s="179">
        <f t="shared" si="218"/>
        <v>5.4206965380477756</v>
      </c>
    </row>
    <row r="338" spans="1:20">
      <c r="A338" s="175" t="s">
        <v>5033</v>
      </c>
      <c r="B338" s="177">
        <f>CORNWALL!D4</f>
        <v>1752</v>
      </c>
      <c r="C338" s="177">
        <f>CORNWALL!E4</f>
        <v>1763</v>
      </c>
      <c r="D338" s="177">
        <f>CORNWALL!F4</f>
        <v>1721</v>
      </c>
      <c r="E338" s="177">
        <f>CORNWALL!G4</f>
        <v>1750</v>
      </c>
      <c r="F338" s="177">
        <f>CORNWALL!H4</f>
        <v>1631</v>
      </c>
      <c r="G338" s="177">
        <f>CORNWALL!I4</f>
        <v>1637</v>
      </c>
      <c r="H338" s="177">
        <f>CORNWALL!J4</f>
        <v>1651</v>
      </c>
      <c r="I338" s="177">
        <f>CORNWALL!K4</f>
        <v>1742</v>
      </c>
      <c r="J338" s="177">
        <f>CORNWALL!L4</f>
        <v>1696</v>
      </c>
      <c r="K338" s="178"/>
      <c r="L338" s="179">
        <f t="shared" si="218"/>
        <v>2.3073276089132382E-2</v>
      </c>
      <c r="M338" s="179">
        <f t="shared" si="218"/>
        <v>2.3003353296538406E-2</v>
      </c>
      <c r="N338" s="179">
        <f t="shared" si="218"/>
        <v>2.2327162335724758E-2</v>
      </c>
      <c r="O338" s="179">
        <f t="shared" si="218"/>
        <v>2.2582393475623918E-2</v>
      </c>
      <c r="P338" s="179">
        <f t="shared" si="218"/>
        <v>2.1145020354188814E-2</v>
      </c>
      <c r="Q338" s="179">
        <f t="shared" si="218"/>
        <v>2.1603716314303058E-2</v>
      </c>
      <c r="R338" s="179">
        <f t="shared" si="218"/>
        <v>2.2081343872460513E-2</v>
      </c>
      <c r="S338" s="179">
        <f t="shared" si="218"/>
        <v>2.2766777755995556E-2</v>
      </c>
      <c r="T338" s="179">
        <f t="shared" si="218"/>
        <v>2.1982294920482676E-2</v>
      </c>
    </row>
    <row r="339" spans="1:20">
      <c r="A339" s="181" t="s">
        <v>6734</v>
      </c>
      <c r="B339" s="177">
        <f t="shared" ref="B339:G339" si="219">SUM(B337:B338)</f>
        <v>416166</v>
      </c>
      <c r="C339" s="177">
        <f t="shared" si="219"/>
        <v>418865</v>
      </c>
      <c r="D339" s="177">
        <f t="shared" si="219"/>
        <v>417127</v>
      </c>
      <c r="E339" s="177">
        <f t="shared" si="219"/>
        <v>420256</v>
      </c>
      <c r="F339" s="177">
        <f t="shared" si="219"/>
        <v>406887</v>
      </c>
      <c r="G339" s="177">
        <f t="shared" si="219"/>
        <v>413311</v>
      </c>
      <c r="H339" s="177">
        <f t="shared" ref="H339" si="220">SUM(H337:H338)</f>
        <v>393874</v>
      </c>
      <c r="I339" s="177">
        <f t="shared" ref="I339:J339" si="221">SUM(I337:I338)</f>
        <v>407865</v>
      </c>
      <c r="J339" s="177">
        <f t="shared" si="221"/>
        <v>419919</v>
      </c>
      <c r="K339" s="178"/>
      <c r="L339" s="179">
        <f t="shared" si="218"/>
        <v>5.4807722699257226</v>
      </c>
      <c r="M339" s="179">
        <f t="shared" si="218"/>
        <v>5.465286204511945</v>
      </c>
      <c r="N339" s="179">
        <f t="shared" si="218"/>
        <v>5.4115411061091576</v>
      </c>
      <c r="O339" s="179">
        <f t="shared" si="218"/>
        <v>5.4230779157096034</v>
      </c>
      <c r="P339" s="179">
        <f t="shared" si="218"/>
        <v>5.2750667669250912</v>
      </c>
      <c r="Q339" s="179">
        <f t="shared" si="218"/>
        <v>5.4545226594874228</v>
      </c>
      <c r="R339" s="179">
        <f t="shared" si="218"/>
        <v>5.267878398801642</v>
      </c>
      <c r="S339" s="179">
        <f t="shared" si="218"/>
        <v>5.3305234267790631</v>
      </c>
      <c r="T339" s="179">
        <f t="shared" si="218"/>
        <v>5.4426788329682578</v>
      </c>
    </row>
    <row r="340" spans="1:20">
      <c r="A340" s="175"/>
      <c r="B340" s="177"/>
      <c r="C340" s="177"/>
      <c r="D340" s="177"/>
      <c r="E340" s="177"/>
      <c r="F340" s="177"/>
      <c r="G340" s="177"/>
      <c r="H340" s="177"/>
      <c r="I340" s="177"/>
      <c r="J340" s="177"/>
      <c r="K340" s="178"/>
      <c r="L340" s="179"/>
      <c r="M340" s="179"/>
      <c r="N340" s="179"/>
      <c r="O340" s="179"/>
      <c r="P340" s="179"/>
      <c r="Q340" s="179"/>
      <c r="R340" s="179"/>
      <c r="S340" s="179"/>
      <c r="T340" s="179"/>
    </row>
    <row r="341" spans="1:20">
      <c r="A341" s="175" t="s">
        <v>3358</v>
      </c>
      <c r="B341" s="177">
        <f>DEVON!D8</f>
        <v>104424</v>
      </c>
      <c r="C341" s="177">
        <f>DEVON!E8</f>
        <v>103381</v>
      </c>
      <c r="D341" s="177">
        <f>DEVON!F8</f>
        <v>103382</v>
      </c>
      <c r="E341" s="177">
        <f>DEVON!G8</f>
        <v>103526</v>
      </c>
      <c r="F341" s="177">
        <f>DEVON!H8</f>
        <v>96974</v>
      </c>
      <c r="G341" s="177">
        <f>DEVON!I8</f>
        <v>102056</v>
      </c>
      <c r="H341" s="177">
        <f>DEVON!J8</f>
        <v>107456</v>
      </c>
      <c r="I341" s="177">
        <f>DEVON!K8</f>
        <v>112596</v>
      </c>
      <c r="J341" s="177">
        <f>DEVON!L8</f>
        <v>114428</v>
      </c>
      <c r="K341" s="178"/>
      <c r="L341" s="179">
        <f t="shared" ref="L341:L352" si="222">B341/B$470</f>
        <v>1.3752304693673287</v>
      </c>
      <c r="M341" s="179">
        <f t="shared" ref="M341:M352" si="223">C341/C$470</f>
        <v>1.3488994141516943</v>
      </c>
      <c r="N341" s="179">
        <f t="shared" ref="N341:N352" si="224">D341/D$470</f>
        <v>1.3412124907564769</v>
      </c>
      <c r="O341" s="179">
        <f t="shared" ref="O341:O352" si="225">E341/E$470</f>
        <v>1.3359227811185381</v>
      </c>
      <c r="P341" s="179">
        <f t="shared" ref="P341:P352" si="226">F341/F$470</f>
        <v>1.2572147172453134</v>
      </c>
      <c r="Q341" s="179">
        <f t="shared" ref="Q341:T352" si="227">G341/G$470</f>
        <v>1.3468472035262755</v>
      </c>
      <c r="R341" s="179">
        <f t="shared" si="227"/>
        <v>1.437173159999465</v>
      </c>
      <c r="S341" s="179">
        <f t="shared" si="227"/>
        <v>1.4715545971378161</v>
      </c>
      <c r="T341" s="179">
        <f t="shared" si="227"/>
        <v>1.4831309216751132</v>
      </c>
    </row>
    <row r="342" spans="1:20">
      <c r="A342" s="175" t="s">
        <v>3359</v>
      </c>
      <c r="B342" s="177">
        <f>DEVON!D9</f>
        <v>84910</v>
      </c>
      <c r="C342" s="177">
        <f>DEVON!E9</f>
        <v>85924</v>
      </c>
      <c r="D342" s="177">
        <f>DEVON!F9</f>
        <v>87388</v>
      </c>
      <c r="E342" s="177">
        <f>DEVON!G9</f>
        <v>87289</v>
      </c>
      <c r="F342" s="177">
        <f>DEVON!H9</f>
        <v>88519</v>
      </c>
      <c r="G342" s="177">
        <f>DEVON!I9</f>
        <v>83742</v>
      </c>
      <c r="H342" s="177">
        <f>DEVON!J9</f>
        <v>81231</v>
      </c>
      <c r="I342" s="177">
        <f>DEVON!K9</f>
        <v>83654</v>
      </c>
      <c r="J342" s="177">
        <f>DEVON!L9</f>
        <v>85456</v>
      </c>
      <c r="K342" s="178"/>
      <c r="L342" s="179">
        <f t="shared" si="222"/>
        <v>1.1182373702786703</v>
      </c>
      <c r="M342" s="179">
        <f t="shared" si="223"/>
        <v>1.1211231586226693</v>
      </c>
      <c r="N342" s="179">
        <f t="shared" si="224"/>
        <v>1.1337164800664237</v>
      </c>
      <c r="O342" s="179">
        <f t="shared" si="225"/>
        <v>1.1263968823392778</v>
      </c>
      <c r="P342" s="179">
        <f t="shared" si="226"/>
        <v>1.1476002800321519</v>
      </c>
      <c r="Q342" s="179">
        <f t="shared" si="227"/>
        <v>1.1051548024388314</v>
      </c>
      <c r="R342" s="179">
        <f t="shared" si="227"/>
        <v>1.0864261926734342</v>
      </c>
      <c r="S342" s="179">
        <f t="shared" si="227"/>
        <v>1.093301966934588</v>
      </c>
      <c r="T342" s="179">
        <f t="shared" si="227"/>
        <v>1.107617331795264</v>
      </c>
    </row>
    <row r="343" spans="1:20">
      <c r="A343" s="175" t="s">
        <v>3360</v>
      </c>
      <c r="B343" s="177">
        <f>DEVON!D10</f>
        <v>59582</v>
      </c>
      <c r="C343" s="177">
        <f>DEVON!E10</f>
        <v>59274</v>
      </c>
      <c r="D343" s="177">
        <f>DEVON!F10</f>
        <v>59841</v>
      </c>
      <c r="E343" s="177">
        <f>DEVON!G10</f>
        <v>59912</v>
      </c>
      <c r="F343" s="177">
        <f>DEVON!H10</f>
        <v>59488</v>
      </c>
      <c r="G343" s="177">
        <f>DEVON!I10</f>
        <v>59038</v>
      </c>
      <c r="H343" s="177">
        <f>DEVON!J10</f>
        <v>57917</v>
      </c>
      <c r="I343" s="177">
        <f>DEVON!K10</f>
        <v>59306</v>
      </c>
      <c r="J343" s="177">
        <f>DEVON!L10</f>
        <v>62441</v>
      </c>
      <c r="K343" s="178"/>
      <c r="L343" s="179">
        <f t="shared" si="222"/>
        <v>0.78467576252436388</v>
      </c>
      <c r="M343" s="179">
        <f t="shared" si="223"/>
        <v>0.77339805065173994</v>
      </c>
      <c r="N343" s="179">
        <f t="shared" si="224"/>
        <v>0.77633917567234467</v>
      </c>
      <c r="O343" s="179">
        <f t="shared" si="225"/>
        <v>0.77311791880661729</v>
      </c>
      <c r="P343" s="179">
        <f t="shared" si="226"/>
        <v>0.77122928928877021</v>
      </c>
      <c r="Q343" s="179">
        <f t="shared" si="227"/>
        <v>0.77913268403410141</v>
      </c>
      <c r="R343" s="179">
        <f t="shared" si="227"/>
        <v>0.77461247308376469</v>
      </c>
      <c r="S343" s="179">
        <f t="shared" si="227"/>
        <v>0.77508985166307265</v>
      </c>
      <c r="T343" s="179">
        <f t="shared" si="227"/>
        <v>0.80931396057185079</v>
      </c>
    </row>
    <row r="344" spans="1:20">
      <c r="A344" s="175" t="s">
        <v>3361</v>
      </c>
      <c r="B344" s="177">
        <f>DEVON!D11</f>
        <v>74408</v>
      </c>
      <c r="C344" s="177">
        <f>DEVON!E11</f>
        <v>75098</v>
      </c>
      <c r="D344" s="177">
        <f>DEVON!F11</f>
        <v>75353</v>
      </c>
      <c r="E344" s="177">
        <f>DEVON!G11</f>
        <v>75744</v>
      </c>
      <c r="F344" s="177">
        <f>DEVON!H11</f>
        <v>74228</v>
      </c>
      <c r="G344" s="177">
        <f>DEVON!I11</f>
        <v>73358</v>
      </c>
      <c r="H344" s="177">
        <f>DEVON!J11</f>
        <v>73240</v>
      </c>
      <c r="I344" s="177">
        <f>DEVON!K11</f>
        <v>75489</v>
      </c>
      <c r="J344" s="177">
        <f>DEVON!L11</f>
        <v>74101</v>
      </c>
      <c r="K344" s="178"/>
      <c r="L344" s="179">
        <f t="shared" si="222"/>
        <v>0.97992941052520677</v>
      </c>
      <c r="M344" s="179">
        <f t="shared" si="223"/>
        <v>0.97986717292310899</v>
      </c>
      <c r="N344" s="179">
        <f t="shared" si="224"/>
        <v>0.97758202410451345</v>
      </c>
      <c r="O344" s="179">
        <f t="shared" si="225"/>
        <v>0.97741760652437604</v>
      </c>
      <c r="P344" s="179">
        <f t="shared" si="226"/>
        <v>0.96232530401638705</v>
      </c>
      <c r="Q344" s="179">
        <f t="shared" si="227"/>
        <v>0.96811571251352702</v>
      </c>
      <c r="R344" s="179">
        <f t="shared" si="227"/>
        <v>0.97955034840642508</v>
      </c>
      <c r="S344" s="179">
        <f t="shared" si="227"/>
        <v>0.98659086453636546</v>
      </c>
      <c r="T344" s="179">
        <f t="shared" si="227"/>
        <v>0.96044223815016916</v>
      </c>
    </row>
    <row r="345" spans="1:20">
      <c r="A345" s="175" t="s">
        <v>3362</v>
      </c>
      <c r="B345" s="177">
        <f>DEVON!D12</f>
        <v>68490</v>
      </c>
      <c r="C345" s="177">
        <f>DEVON!E12</f>
        <v>68283</v>
      </c>
      <c r="D345" s="177">
        <f>DEVON!F12</f>
        <v>68020</v>
      </c>
      <c r="E345" s="177">
        <f>DEVON!G12</f>
        <v>68347</v>
      </c>
      <c r="F345" s="177">
        <f>DEVON!H12</f>
        <v>68002</v>
      </c>
      <c r="G345" s="177">
        <f>DEVON!I12</f>
        <v>67311</v>
      </c>
      <c r="H345" s="177">
        <f>DEVON!J12</f>
        <v>65782</v>
      </c>
      <c r="I345" s="177">
        <f>DEVON!K12</f>
        <v>67245</v>
      </c>
      <c r="J345" s="177">
        <f>DEVON!L12</f>
        <v>67313</v>
      </c>
      <c r="K345" s="178"/>
      <c r="L345" s="179">
        <f t="shared" si="222"/>
        <v>0.9019912553337196</v>
      </c>
      <c r="M345" s="179">
        <f t="shared" si="223"/>
        <v>0.89094609934630287</v>
      </c>
      <c r="N345" s="179">
        <f t="shared" si="224"/>
        <v>0.88244833357117836</v>
      </c>
      <c r="O345" s="179">
        <f t="shared" si="225"/>
        <v>0.88196505535912462</v>
      </c>
      <c r="P345" s="179">
        <f t="shared" si="226"/>
        <v>0.88160862913890115</v>
      </c>
      <c r="Q345" s="179">
        <f t="shared" si="227"/>
        <v>0.88831261382532267</v>
      </c>
      <c r="R345" s="179">
        <f t="shared" si="227"/>
        <v>0.87980312696438367</v>
      </c>
      <c r="S345" s="179">
        <f t="shared" si="227"/>
        <v>0.87884728484610863</v>
      </c>
      <c r="T345" s="179">
        <f t="shared" si="227"/>
        <v>0.87246121343304861</v>
      </c>
    </row>
    <row r="346" spans="1:20">
      <c r="A346" s="175" t="s">
        <v>3363</v>
      </c>
      <c r="B346" s="177">
        <f>DEVON!D13</f>
        <v>101385</v>
      </c>
      <c r="C346" s="177">
        <f>DEVON!E13</f>
        <v>101677</v>
      </c>
      <c r="D346" s="177">
        <f>DEVON!F13</f>
        <v>102062</v>
      </c>
      <c r="E346" s="177">
        <f>DEVON!G13</f>
        <v>102475</v>
      </c>
      <c r="F346" s="177">
        <f>DEVON!H13</f>
        <v>103042</v>
      </c>
      <c r="G346" s="177">
        <f>DEVON!I13</f>
        <v>101328</v>
      </c>
      <c r="H346" s="177">
        <f>DEVON!J13</f>
        <v>99599</v>
      </c>
      <c r="I346" s="177">
        <f>DEVON!K13</f>
        <v>102036</v>
      </c>
      <c r="J346" s="177">
        <f>DEVON!L13</f>
        <v>103295</v>
      </c>
      <c r="K346" s="178"/>
      <c r="L346" s="179">
        <f t="shared" si="222"/>
        <v>1.3352078175209399</v>
      </c>
      <c r="M346" s="179">
        <f t="shared" si="223"/>
        <v>1.3266658837958796</v>
      </c>
      <c r="N346" s="179">
        <f t="shared" si="224"/>
        <v>1.3240876480585357</v>
      </c>
      <c r="O346" s="179">
        <f t="shared" si="225"/>
        <v>1.3223604408083207</v>
      </c>
      <c r="P346" s="179">
        <f t="shared" si="226"/>
        <v>1.3358830087898981</v>
      </c>
      <c r="Q346" s="179">
        <f t="shared" si="227"/>
        <v>1.3372396864359808</v>
      </c>
      <c r="R346" s="179">
        <f t="shared" si="227"/>
        <v>1.332089502333855</v>
      </c>
      <c r="S346" s="179">
        <f t="shared" si="227"/>
        <v>1.3335424426583022</v>
      </c>
      <c r="T346" s="179">
        <f t="shared" si="227"/>
        <v>1.3388332274830532</v>
      </c>
    </row>
    <row r="347" spans="1:20">
      <c r="A347" s="175" t="s">
        <v>3364</v>
      </c>
      <c r="B347" s="177">
        <f>DEVON!D14</f>
        <v>50482</v>
      </c>
      <c r="C347" s="177">
        <f>DEVON!E14</f>
        <v>50920</v>
      </c>
      <c r="D347" s="177">
        <f>DEVON!F14</f>
        <v>51235</v>
      </c>
      <c r="E347" s="177">
        <f>DEVON!G14</f>
        <v>51915</v>
      </c>
      <c r="F347" s="177">
        <f>DEVON!H14</f>
        <v>51695</v>
      </c>
      <c r="G347" s="177">
        <f>DEVON!I14</f>
        <v>51119</v>
      </c>
      <c r="H347" s="177">
        <f>DEVON!J14</f>
        <v>51061</v>
      </c>
      <c r="I347" s="177">
        <f>DEVON!K14</f>
        <v>52193</v>
      </c>
      <c r="J347" s="177">
        <f>DEVON!L14</f>
        <v>52558</v>
      </c>
      <c r="K347" s="178"/>
      <c r="L347" s="179">
        <f t="shared" si="222"/>
        <v>0.66483169151345944</v>
      </c>
      <c r="M347" s="179">
        <f t="shared" si="223"/>
        <v>0.66439634138385462</v>
      </c>
      <c r="N347" s="179">
        <f t="shared" si="224"/>
        <v>0.66469039062804058</v>
      </c>
      <c r="O347" s="179">
        <f t="shared" si="225"/>
        <v>0.66992283273543762</v>
      </c>
      <c r="P347" s="179">
        <f t="shared" si="226"/>
        <v>0.67019731895143519</v>
      </c>
      <c r="Q347" s="179">
        <f t="shared" si="227"/>
        <v>0.67462454139942463</v>
      </c>
      <c r="R347" s="179">
        <f t="shared" si="227"/>
        <v>0.68291671682114241</v>
      </c>
      <c r="S347" s="179">
        <f t="shared" si="227"/>
        <v>0.68212768738155916</v>
      </c>
      <c r="T347" s="179">
        <f t="shared" si="227"/>
        <v>0.68121783987660878</v>
      </c>
    </row>
    <row r="348" spans="1:20">
      <c r="A348" s="175" t="s">
        <v>3365</v>
      </c>
      <c r="B348" s="177">
        <f>DEVON!D15</f>
        <v>41693</v>
      </c>
      <c r="C348" s="177">
        <f>DEVON!E15</f>
        <v>42445</v>
      </c>
      <c r="D348" s="177">
        <f>DEVON!F15</f>
        <v>43199</v>
      </c>
      <c r="E348" s="177">
        <f>DEVON!G15</f>
        <v>43393</v>
      </c>
      <c r="F348" s="177">
        <f>DEVON!H15</f>
        <v>42875</v>
      </c>
      <c r="G348" s="177">
        <f>DEVON!I15</f>
        <v>42533</v>
      </c>
      <c r="H348" s="177">
        <f>DEVON!J15</f>
        <v>41773</v>
      </c>
      <c r="I348" s="177">
        <f>DEVON!K15</f>
        <v>43140</v>
      </c>
      <c r="J348" s="177">
        <f>DEVON!L15</f>
        <v>43278</v>
      </c>
      <c r="K348" s="178"/>
      <c r="L348" s="179">
        <f t="shared" si="222"/>
        <v>0.54908339040193854</v>
      </c>
      <c r="M348" s="179">
        <f t="shared" si="223"/>
        <v>0.55381584269516315</v>
      </c>
      <c r="N348" s="179">
        <f t="shared" si="224"/>
        <v>0.56043642402148386</v>
      </c>
      <c r="O348" s="179">
        <f t="shared" si="225"/>
        <v>0.5599530286215707</v>
      </c>
      <c r="P348" s="179">
        <f t="shared" si="226"/>
        <v>0.55585085695024239</v>
      </c>
      <c r="Q348" s="179">
        <f t="shared" si="227"/>
        <v>0.56131390714493101</v>
      </c>
      <c r="R348" s="179">
        <f t="shared" si="227"/>
        <v>0.55869411119581647</v>
      </c>
      <c r="S348" s="179">
        <f t="shared" si="227"/>
        <v>0.56381101744755935</v>
      </c>
      <c r="T348" s="179">
        <f t="shared" si="227"/>
        <v>0.56093735823623192</v>
      </c>
    </row>
    <row r="349" spans="1:20">
      <c r="A349" s="175" t="s">
        <v>3290</v>
      </c>
      <c r="B349" s="180">
        <f t="shared" ref="B349:G349" si="228">SUM(B341:B348)</f>
        <v>585374</v>
      </c>
      <c r="C349" s="180">
        <f t="shared" si="228"/>
        <v>587002</v>
      </c>
      <c r="D349" s="180">
        <f t="shared" si="228"/>
        <v>590480</v>
      </c>
      <c r="E349" s="180">
        <f t="shared" si="228"/>
        <v>592601</v>
      </c>
      <c r="F349" s="180">
        <f t="shared" si="228"/>
        <v>584823</v>
      </c>
      <c r="G349" s="180">
        <f t="shared" si="228"/>
        <v>580485</v>
      </c>
      <c r="H349" s="180">
        <f t="shared" ref="H349" si="229">SUM(H341:H348)</f>
        <v>578059</v>
      </c>
      <c r="I349" s="180">
        <f t="shared" ref="I349:J349" si="230">SUM(I341:I348)</f>
        <v>595659</v>
      </c>
      <c r="J349" s="180">
        <f t="shared" si="230"/>
        <v>602870</v>
      </c>
      <c r="K349" s="173"/>
      <c r="L349" s="179">
        <f t="shared" si="222"/>
        <v>7.7091871674656272</v>
      </c>
      <c r="M349" s="179">
        <f t="shared" si="223"/>
        <v>7.659111963570413</v>
      </c>
      <c r="N349" s="179">
        <f t="shared" si="224"/>
        <v>7.6605129668789971</v>
      </c>
      <c r="O349" s="179">
        <f t="shared" si="225"/>
        <v>7.6470565463132631</v>
      </c>
      <c r="P349" s="179">
        <f t="shared" si="226"/>
        <v>7.581909404413099</v>
      </c>
      <c r="Q349" s="179">
        <f t="shared" si="227"/>
        <v>7.6607411513183941</v>
      </c>
      <c r="R349" s="179">
        <f t="shared" si="227"/>
        <v>7.7312656314782862</v>
      </c>
      <c r="S349" s="179">
        <f t="shared" si="227"/>
        <v>7.7848657126053711</v>
      </c>
      <c r="T349" s="179">
        <f t="shared" si="227"/>
        <v>7.8139540912213397</v>
      </c>
    </row>
    <row r="350" spans="1:20">
      <c r="A350" s="175" t="s">
        <v>3291</v>
      </c>
      <c r="B350" s="177">
        <f>DEVON!D4</f>
        <v>179541</v>
      </c>
      <c r="C350" s="177">
        <f>DEVON!E4</f>
        <v>182688</v>
      </c>
      <c r="D350" s="177">
        <f>DEVON!F4</f>
        <v>178511</v>
      </c>
      <c r="E350" s="177">
        <f>DEVON!G4</f>
        <v>180278</v>
      </c>
      <c r="F350" s="177">
        <f>DEVON!H4</f>
        <v>178524</v>
      </c>
      <c r="G350" s="177">
        <f>DEVON!I4</f>
        <v>174034</v>
      </c>
      <c r="H350" s="177">
        <f>DEVON!J4</f>
        <v>176755</v>
      </c>
      <c r="I350" s="177">
        <f>DEVON!K4</f>
        <v>180356</v>
      </c>
      <c r="J350" s="177">
        <f>DEVON!L4</f>
        <v>183050</v>
      </c>
      <c r="K350" s="178"/>
      <c r="L350" s="179">
        <f t="shared" si="222"/>
        <v>2.3644971816888796</v>
      </c>
      <c r="M350" s="179">
        <f t="shared" si="223"/>
        <v>2.3836849727952401</v>
      </c>
      <c r="N350" s="179">
        <f t="shared" si="224"/>
        <v>2.3158884809486127</v>
      </c>
      <c r="O350" s="179">
        <f t="shared" si="225"/>
        <v>2.3263478462848735</v>
      </c>
      <c r="P350" s="179">
        <f t="shared" si="226"/>
        <v>2.3144657349547542</v>
      </c>
      <c r="Q350" s="179">
        <f t="shared" si="227"/>
        <v>2.2967508644125951</v>
      </c>
      <c r="R350" s="179">
        <f t="shared" si="227"/>
        <v>2.3640144979871338</v>
      </c>
      <c r="S350" s="179">
        <f t="shared" si="227"/>
        <v>2.3571325883813632</v>
      </c>
      <c r="T350" s="179">
        <f t="shared" si="227"/>
        <v>2.3725584228740297</v>
      </c>
    </row>
    <row r="351" spans="1:20">
      <c r="A351" s="175" t="s">
        <v>5001</v>
      </c>
      <c r="B351" s="177">
        <f>DEVON!D5</f>
        <v>103442</v>
      </c>
      <c r="C351" s="177">
        <f>DEVON!E5</f>
        <v>103358</v>
      </c>
      <c r="D351" s="177">
        <f>DEVON!F5</f>
        <v>103991</v>
      </c>
      <c r="E351" s="177">
        <f>DEVON!G5</f>
        <v>105363</v>
      </c>
      <c r="F351" s="177">
        <f>DEVON!H5</f>
        <v>106330</v>
      </c>
      <c r="G351" s="177">
        <f>DEVON!I5</f>
        <v>103113</v>
      </c>
      <c r="H351" s="177">
        <f>DEVON!J5</f>
        <v>97951</v>
      </c>
      <c r="I351" s="177">
        <f>DEVON!K5</f>
        <v>100267</v>
      </c>
      <c r="J351" s="177">
        <f>DEVON!L5</f>
        <v>101796</v>
      </c>
      <c r="K351" s="178"/>
      <c r="L351" s="179">
        <f t="shared" si="222"/>
        <v>1.3622978454406574</v>
      </c>
      <c r="M351" s="179">
        <f t="shared" si="223"/>
        <v>1.3485993136832766</v>
      </c>
      <c r="N351" s="179">
        <f t="shared" si="224"/>
        <v>1.3491132704557542</v>
      </c>
      <c r="O351" s="179">
        <f t="shared" si="225"/>
        <v>1.3596278421555217</v>
      </c>
      <c r="P351" s="179">
        <f t="shared" si="226"/>
        <v>1.3785101252366012</v>
      </c>
      <c r="Q351" s="179">
        <f t="shared" si="227"/>
        <v>1.3607965793016075</v>
      </c>
      <c r="R351" s="179">
        <f t="shared" si="227"/>
        <v>1.3100482820420227</v>
      </c>
      <c r="S351" s="179">
        <f t="shared" si="227"/>
        <v>1.3104227929164216</v>
      </c>
      <c r="T351" s="179">
        <f t="shared" si="227"/>
        <v>1.319404300545669</v>
      </c>
    </row>
    <row r="352" spans="1:20">
      <c r="A352" s="181" t="s">
        <v>5002</v>
      </c>
      <c r="B352" s="177">
        <f t="shared" ref="B352:G352" si="231">SUM(B349:B351)</f>
        <v>868357</v>
      </c>
      <c r="C352" s="177">
        <f t="shared" si="231"/>
        <v>873048</v>
      </c>
      <c r="D352" s="177">
        <f t="shared" si="231"/>
        <v>872982</v>
      </c>
      <c r="E352" s="177">
        <f t="shared" si="231"/>
        <v>878242</v>
      </c>
      <c r="F352" s="177">
        <f t="shared" si="231"/>
        <v>869677</v>
      </c>
      <c r="G352" s="177">
        <f t="shared" si="231"/>
        <v>857632</v>
      </c>
      <c r="H352" s="177">
        <f t="shared" ref="H352" si="232">SUM(H349:H351)</f>
        <v>852765</v>
      </c>
      <c r="I352" s="177">
        <f t="shared" ref="I352:J352" si="233">SUM(I349:I351)</f>
        <v>876282</v>
      </c>
      <c r="J352" s="177">
        <f t="shared" si="233"/>
        <v>887716</v>
      </c>
      <c r="K352" s="178"/>
      <c r="L352" s="179">
        <f t="shared" si="222"/>
        <v>11.435982194595164</v>
      </c>
      <c r="M352" s="179">
        <f t="shared" si="223"/>
        <v>11.391396250048929</v>
      </c>
      <c r="N352" s="179">
        <f t="shared" si="224"/>
        <v>11.325514718283364</v>
      </c>
      <c r="O352" s="179">
        <f t="shared" si="225"/>
        <v>11.333032234753658</v>
      </c>
      <c r="P352" s="179">
        <f t="shared" si="226"/>
        <v>11.274885264604455</v>
      </c>
      <c r="Q352" s="179">
        <f t="shared" si="227"/>
        <v>11.318288595032596</v>
      </c>
      <c r="R352" s="179">
        <f t="shared" si="227"/>
        <v>11.405328411507442</v>
      </c>
      <c r="S352" s="179">
        <f t="shared" si="227"/>
        <v>11.452421093903157</v>
      </c>
      <c r="T352" s="179">
        <f t="shared" si="227"/>
        <v>11.505916814641038</v>
      </c>
    </row>
    <row r="353" spans="1:20">
      <c r="A353" s="175"/>
      <c r="B353" s="177"/>
      <c r="C353" s="177"/>
      <c r="D353" s="177"/>
      <c r="E353" s="177"/>
      <c r="F353" s="177"/>
      <c r="G353" s="177"/>
      <c r="H353" s="177"/>
      <c r="I353" s="177"/>
      <c r="J353" s="177"/>
      <c r="K353" s="178"/>
      <c r="L353" s="179"/>
      <c r="M353" s="179"/>
      <c r="N353" s="179"/>
      <c r="O353" s="179"/>
      <c r="P353" s="179"/>
      <c r="Q353" s="179"/>
      <c r="R353" s="179"/>
      <c r="S353" s="179"/>
      <c r="T353" s="179"/>
    </row>
    <row r="354" spans="1:20">
      <c r="A354" s="175" t="s">
        <v>5003</v>
      </c>
      <c r="B354" s="177">
        <f>DORSET!D8</f>
        <v>38491</v>
      </c>
      <c r="C354" s="177">
        <f>DORSET!E8</f>
        <v>38984</v>
      </c>
      <c r="D354" s="177">
        <f>DORSET!F8</f>
        <v>39050</v>
      </c>
      <c r="E354" s="177">
        <f>DORSET!G8</f>
        <v>39384</v>
      </c>
      <c r="F354" s="177">
        <f>DORSET!H8</f>
        <v>39867</v>
      </c>
      <c r="G354" s="177">
        <f>DORSET!I8</f>
        <v>38260</v>
      </c>
      <c r="H354" s="177">
        <f>DORSET!J8</f>
        <v>37903</v>
      </c>
      <c r="I354" s="177">
        <f>DORSET!K8</f>
        <v>38870</v>
      </c>
      <c r="J354" s="177">
        <f>DORSET!L8</f>
        <v>39091</v>
      </c>
      <c r="K354" s="178"/>
      <c r="L354" s="179">
        <f t="shared" ref="L354:L363" si="234">B354/B$470</f>
        <v>0.50691408101985991</v>
      </c>
      <c r="M354" s="179">
        <f t="shared" ref="M354:M363" si="235">C354/C$470</f>
        <v>0.50865724612152763</v>
      </c>
      <c r="N354" s="179">
        <f t="shared" ref="N354:N363" si="236">D354/D$470</f>
        <v>0.5066099298140917</v>
      </c>
      <c r="O354" s="179">
        <f t="shared" ref="O354:O363" si="237">E354/E$470</f>
        <v>0.50821999122512707</v>
      </c>
      <c r="P354" s="179">
        <f t="shared" ref="P354:P363" si="238">F354/F$470</f>
        <v>0.51685378691627559</v>
      </c>
      <c r="Q354" s="179">
        <f t="shared" ref="Q354:T363" si="239">G354/G$470</f>
        <v>0.50492253279489008</v>
      </c>
      <c r="R354" s="179">
        <f t="shared" si="239"/>
        <v>0.50693469218526399</v>
      </c>
      <c r="S354" s="179">
        <f t="shared" si="239"/>
        <v>0.50800496634646797</v>
      </c>
      <c r="T354" s="179">
        <f t="shared" si="239"/>
        <v>0.50666856765129031</v>
      </c>
    </row>
    <row r="355" spans="1:20">
      <c r="A355" s="175" t="s">
        <v>8630</v>
      </c>
      <c r="B355" s="177">
        <f>DORSET!D9</f>
        <v>71197</v>
      </c>
      <c r="C355" s="177">
        <f>DORSET!E9</f>
        <v>70915</v>
      </c>
      <c r="D355" s="177">
        <f>DORSET!F9</f>
        <v>71494</v>
      </c>
      <c r="E355" s="177">
        <f>DORSET!G9</f>
        <v>72261</v>
      </c>
      <c r="F355" s="177">
        <f>DORSET!H9</f>
        <v>72499</v>
      </c>
      <c r="G355" s="177">
        <f>DORSET!I9</f>
        <v>70083</v>
      </c>
      <c r="H355" s="177">
        <f>DORSET!J9</f>
        <v>69860</v>
      </c>
      <c r="I355" s="177">
        <f>DORSET!K9</f>
        <v>71406</v>
      </c>
      <c r="J355" s="177">
        <f>DORSET!L9</f>
        <v>71315</v>
      </c>
      <c r="K355" s="178"/>
      <c r="L355" s="179">
        <f t="shared" si="234"/>
        <v>0.93764157403993043</v>
      </c>
      <c r="M355" s="179">
        <f t="shared" si="235"/>
        <v>0.92528803121044867</v>
      </c>
      <c r="N355" s="179">
        <f t="shared" si="236"/>
        <v>0.92751780594439615</v>
      </c>
      <c r="O355" s="179">
        <f t="shared" si="237"/>
        <v>0.93247219139546289</v>
      </c>
      <c r="P355" s="179">
        <f t="shared" si="238"/>
        <v>0.93990976741774057</v>
      </c>
      <c r="Q355" s="179">
        <f t="shared" si="239"/>
        <v>0.92489508274606069</v>
      </c>
      <c r="R355" s="179">
        <f t="shared" si="239"/>
        <v>0.93434444756516744</v>
      </c>
      <c r="S355" s="179">
        <f t="shared" si="239"/>
        <v>0.93322877867084886</v>
      </c>
      <c r="T355" s="179">
        <f t="shared" si="239"/>
        <v>0.92433217114046118</v>
      </c>
    </row>
    <row r="356" spans="1:20">
      <c r="A356" s="175" t="s">
        <v>8631</v>
      </c>
      <c r="B356" s="177">
        <f>DORSET!D10</f>
        <v>52528</v>
      </c>
      <c r="C356" s="177">
        <f>DORSET!E10</f>
        <v>51504</v>
      </c>
      <c r="D356" s="177">
        <f>DORSET!F10</f>
        <v>52221</v>
      </c>
      <c r="E356" s="177">
        <f>DORSET!G10</f>
        <v>52945</v>
      </c>
      <c r="F356" s="177">
        <f>DORSET!H10</f>
        <v>52511</v>
      </c>
      <c r="G356" s="177">
        <f>DORSET!I10</f>
        <v>51427</v>
      </c>
      <c r="H356" s="177">
        <f>DORSET!J10</f>
        <v>49331</v>
      </c>
      <c r="I356" s="177">
        <f>DORSET!K10</f>
        <v>52779</v>
      </c>
      <c r="J356" s="177">
        <f>DORSET!L10</f>
        <v>53230</v>
      </c>
      <c r="K356" s="178"/>
      <c r="L356" s="179">
        <f t="shared" si="234"/>
        <v>0.69177685297371327</v>
      </c>
      <c r="M356" s="179">
        <f t="shared" si="235"/>
        <v>0.67201628371237332</v>
      </c>
      <c r="N356" s="179">
        <f t="shared" si="236"/>
        <v>0.67748212918877548</v>
      </c>
      <c r="O356" s="179">
        <f t="shared" si="237"/>
        <v>0.68321418432394765</v>
      </c>
      <c r="P356" s="179">
        <f t="shared" si="238"/>
        <v>0.68077631135426664</v>
      </c>
      <c r="Q356" s="179">
        <f t="shared" si="239"/>
        <v>0.67868926016839548</v>
      </c>
      <c r="R356" s="179">
        <f t="shared" si="239"/>
        <v>0.65977878532546907</v>
      </c>
      <c r="S356" s="179">
        <f t="shared" si="239"/>
        <v>0.68978631640854737</v>
      </c>
      <c r="T356" s="179">
        <f t="shared" si="239"/>
        <v>0.68992780578849822</v>
      </c>
    </row>
    <row r="357" spans="1:20">
      <c r="A357" s="175" t="s">
        <v>8632</v>
      </c>
      <c r="B357" s="177">
        <f>DORSET!D11</f>
        <v>36739</v>
      </c>
      <c r="C357" s="177">
        <f>DORSET!E11</f>
        <v>36785</v>
      </c>
      <c r="D357" s="177">
        <f>DORSET!F11</f>
        <v>36403</v>
      </c>
      <c r="E357" s="177">
        <f>DORSET!G11</f>
        <v>36456</v>
      </c>
      <c r="F357" s="177">
        <f>DORSET!H11</f>
        <v>36006</v>
      </c>
      <c r="G357" s="177">
        <f>DORSET!I11</f>
        <v>35413</v>
      </c>
      <c r="H357" s="177">
        <f>DORSET!J11</f>
        <v>34691</v>
      </c>
      <c r="I357" s="177">
        <f>DORSET!K11</f>
        <v>36436</v>
      </c>
      <c r="J357" s="177">
        <f>DORSET!L11</f>
        <v>35835</v>
      </c>
      <c r="K357" s="178"/>
      <c r="L357" s="179">
        <f t="shared" si="234"/>
        <v>0.48384080493072751</v>
      </c>
      <c r="M357" s="179">
        <f t="shared" si="235"/>
        <v>0.47996503177150612</v>
      </c>
      <c r="N357" s="179">
        <f t="shared" si="236"/>
        <v>0.47226943085844758</v>
      </c>
      <c r="O357" s="179">
        <f t="shared" si="237"/>
        <v>0.47043642088419746</v>
      </c>
      <c r="P357" s="179">
        <f t="shared" si="238"/>
        <v>0.46679803977493711</v>
      </c>
      <c r="Q357" s="179">
        <f t="shared" si="239"/>
        <v>0.46735027845962995</v>
      </c>
      <c r="R357" s="179">
        <f t="shared" si="239"/>
        <v>0.46397571185919301</v>
      </c>
      <c r="S357" s="179">
        <f t="shared" si="239"/>
        <v>0.47619421028556491</v>
      </c>
      <c r="T357" s="179">
        <f t="shared" si="239"/>
        <v>0.46446670900677872</v>
      </c>
    </row>
    <row r="358" spans="1:20">
      <c r="A358" s="175" t="s">
        <v>8633</v>
      </c>
      <c r="B358" s="177">
        <f>DORSET!D12</f>
        <v>79929</v>
      </c>
      <c r="C358" s="177">
        <f>DORSET!E12</f>
        <v>79855</v>
      </c>
      <c r="D358" s="177">
        <f>DORSET!F12</f>
        <v>80478</v>
      </c>
      <c r="E358" s="177">
        <f>DORSET!G12</f>
        <v>80683</v>
      </c>
      <c r="F358" s="177">
        <f>DORSET!H12</f>
        <v>80743</v>
      </c>
      <c r="G358" s="177">
        <f>DORSET!I12</f>
        <v>80763</v>
      </c>
      <c r="H358" s="177">
        <f>DORSET!J12</f>
        <v>77712</v>
      </c>
      <c r="I358" s="177">
        <f>DORSET!K12</f>
        <v>80649</v>
      </c>
      <c r="J358" s="177">
        <f>DORSET!L12</f>
        <v>81406</v>
      </c>
      <c r="K358" s="178"/>
      <c r="L358" s="179">
        <f t="shared" si="234"/>
        <v>1.0526392034978664</v>
      </c>
      <c r="M358" s="179">
        <f t="shared" si="235"/>
        <v>1.0419357784997587</v>
      </c>
      <c r="N358" s="179">
        <f t="shared" si="236"/>
        <v>1.0440705232158378</v>
      </c>
      <c r="O358" s="179">
        <f t="shared" si="237"/>
        <v>1.0411515730250085</v>
      </c>
      <c r="P358" s="179">
        <f t="shared" si="238"/>
        <v>1.0467887053698759</v>
      </c>
      <c r="Q358" s="179">
        <f t="shared" si="239"/>
        <v>1.0658405257740122</v>
      </c>
      <c r="R358" s="179">
        <f t="shared" si="239"/>
        <v>1.039361232596397</v>
      </c>
      <c r="S358" s="179">
        <f t="shared" si="239"/>
        <v>1.054028621838855</v>
      </c>
      <c r="T358" s="179">
        <f t="shared" si="239"/>
        <v>1.0551242336655735</v>
      </c>
    </row>
    <row r="359" spans="1:20">
      <c r="A359" s="175" t="s">
        <v>8634</v>
      </c>
      <c r="B359" s="177">
        <f>DORSET!D13</f>
        <v>51094</v>
      </c>
      <c r="C359" s="177">
        <f>DORSET!E13</f>
        <v>51401</v>
      </c>
      <c r="D359" s="177">
        <f>DORSET!F13</f>
        <v>51289</v>
      </c>
      <c r="E359" s="177">
        <f>DORSET!G13</f>
        <v>51035</v>
      </c>
      <c r="F359" s="177">
        <f>DORSET!H13</f>
        <v>49652</v>
      </c>
      <c r="G359" s="177">
        <f>DORSET!I13</f>
        <v>49445</v>
      </c>
      <c r="H359" s="177">
        <f>DORSET!J13</f>
        <v>47525</v>
      </c>
      <c r="I359" s="177">
        <f>DORSET!K13</f>
        <v>49487</v>
      </c>
      <c r="J359" s="177">
        <f>DORSET!L13</f>
        <v>49863</v>
      </c>
      <c r="K359" s="178"/>
      <c r="L359" s="179">
        <f t="shared" si="234"/>
        <v>0.67289153453089612</v>
      </c>
      <c r="M359" s="179">
        <f t="shared" si="235"/>
        <v>0.6706723555277202</v>
      </c>
      <c r="N359" s="179">
        <f t="shared" si="236"/>
        <v>0.66539095237477464</v>
      </c>
      <c r="O359" s="179">
        <f t="shared" si="237"/>
        <v>0.65856711487340958</v>
      </c>
      <c r="P359" s="179">
        <f t="shared" si="238"/>
        <v>0.64371094458993439</v>
      </c>
      <c r="Q359" s="179">
        <f t="shared" si="239"/>
        <v>0.65253253094729058</v>
      </c>
      <c r="R359" s="179">
        <f t="shared" si="239"/>
        <v>0.63562438978721125</v>
      </c>
      <c r="S359" s="179">
        <f t="shared" si="239"/>
        <v>0.64676207279618381</v>
      </c>
      <c r="T359" s="179">
        <f t="shared" si="239"/>
        <v>0.64628724741746923</v>
      </c>
    </row>
    <row r="360" spans="1:20">
      <c r="A360" s="175" t="s">
        <v>8635</v>
      </c>
      <c r="B360" s="180">
        <f t="shared" ref="B360:G360" si="240">SUM(B354:B359)</f>
        <v>329978</v>
      </c>
      <c r="C360" s="180">
        <f t="shared" si="240"/>
        <v>329444</v>
      </c>
      <c r="D360" s="180">
        <f t="shared" si="240"/>
        <v>330935</v>
      </c>
      <c r="E360" s="180">
        <f t="shared" si="240"/>
        <v>332764</v>
      </c>
      <c r="F360" s="180">
        <f t="shared" si="240"/>
        <v>331278</v>
      </c>
      <c r="G360" s="180">
        <f t="shared" si="240"/>
        <v>325391</v>
      </c>
      <c r="H360" s="180">
        <f t="shared" ref="H360" si="241">SUM(H354:H359)</f>
        <v>317022</v>
      </c>
      <c r="I360" s="180">
        <f t="shared" ref="I360:J360" si="242">SUM(I354:I359)</f>
        <v>329627</v>
      </c>
      <c r="J360" s="180">
        <f t="shared" si="242"/>
        <v>330740</v>
      </c>
      <c r="K360" s="173"/>
      <c r="L360" s="179">
        <f t="shared" si="234"/>
        <v>4.3457040509929934</v>
      </c>
      <c r="M360" s="179">
        <f t="shared" si="235"/>
        <v>4.2985347268433349</v>
      </c>
      <c r="N360" s="179">
        <f t="shared" si="236"/>
        <v>4.2933407713963234</v>
      </c>
      <c r="O360" s="179">
        <f t="shared" si="237"/>
        <v>4.2940614757271529</v>
      </c>
      <c r="P360" s="179">
        <f t="shared" si="238"/>
        <v>4.2948375554230305</v>
      </c>
      <c r="Q360" s="179">
        <f t="shared" si="239"/>
        <v>4.2942302108902792</v>
      </c>
      <c r="R360" s="179">
        <f t="shared" si="239"/>
        <v>4.2400192593187018</v>
      </c>
      <c r="S360" s="179">
        <f t="shared" si="239"/>
        <v>4.3080049663464681</v>
      </c>
      <c r="T360" s="179">
        <f t="shared" si="239"/>
        <v>4.2868067346700709</v>
      </c>
    </row>
    <row r="361" spans="1:20">
      <c r="A361" s="175" t="s">
        <v>8636</v>
      </c>
      <c r="B361" s="177">
        <f>DORSET!D4</f>
        <v>129851</v>
      </c>
      <c r="C361" s="177">
        <f>DORSET!E4</f>
        <v>132811</v>
      </c>
      <c r="D361" s="177">
        <f>DORSET!F4</f>
        <v>133400</v>
      </c>
      <c r="E361" s="177">
        <f>DORSET!G4</f>
        <v>134338</v>
      </c>
      <c r="F361" s="177">
        <f>DORSET!H4</f>
        <v>131378</v>
      </c>
      <c r="G361" s="177">
        <f>DORSET!I4</f>
        <v>127870</v>
      </c>
      <c r="H361" s="177">
        <f>DORSET!J4</f>
        <v>130405</v>
      </c>
      <c r="I361" s="177">
        <f>DORSET!K4</f>
        <v>133080</v>
      </c>
      <c r="J361" s="177">
        <f>DORSET!L4</f>
        <v>133306</v>
      </c>
      <c r="K361" s="178"/>
      <c r="L361" s="179">
        <f t="shared" si="234"/>
        <v>1.7100958752568087</v>
      </c>
      <c r="M361" s="179">
        <f t="shared" si="235"/>
        <v>1.732897535261805</v>
      </c>
      <c r="N361" s="179">
        <f t="shared" si="236"/>
        <v>1.7306469817464745</v>
      </c>
      <c r="O361" s="179">
        <f t="shared" si="237"/>
        <v>1.7335277569876377</v>
      </c>
      <c r="P361" s="179">
        <f t="shared" si="238"/>
        <v>1.7032437057588092</v>
      </c>
      <c r="Q361" s="179">
        <f t="shared" si="239"/>
        <v>1.687518146065933</v>
      </c>
      <c r="R361" s="179">
        <f t="shared" si="239"/>
        <v>1.7441051772793537</v>
      </c>
      <c r="S361" s="179">
        <f t="shared" si="239"/>
        <v>1.7392668104293276</v>
      </c>
      <c r="T361" s="179">
        <f t="shared" si="239"/>
        <v>1.7278135652534574</v>
      </c>
    </row>
    <row r="362" spans="1:20">
      <c r="A362" s="175" t="s">
        <v>8637</v>
      </c>
      <c r="B362" s="177">
        <f>DORSET!D5</f>
        <v>112819</v>
      </c>
      <c r="C362" s="177">
        <f>DORSET!E5</f>
        <v>113194</v>
      </c>
      <c r="D362" s="177">
        <f>DORSET!F5</f>
        <v>113654</v>
      </c>
      <c r="E362" s="177">
        <f>DORSET!G5</f>
        <v>113447</v>
      </c>
      <c r="F362" s="177">
        <f>DORSET!H5</f>
        <v>113788</v>
      </c>
      <c r="G362" s="177">
        <f>DORSET!I5</f>
        <v>111312</v>
      </c>
      <c r="H362" s="177">
        <f>DORSET!J5</f>
        <v>108333</v>
      </c>
      <c r="I362" s="177">
        <f>DORSET!K5</f>
        <v>111596</v>
      </c>
      <c r="J362" s="177">
        <f>DORSET!L5</f>
        <v>112305</v>
      </c>
      <c r="K362" s="178"/>
      <c r="L362" s="179">
        <f t="shared" si="234"/>
        <v>1.4857899172944213</v>
      </c>
      <c r="M362" s="179">
        <f t="shared" si="235"/>
        <v>1.4769379313944233</v>
      </c>
      <c r="N362" s="179">
        <f t="shared" si="236"/>
        <v>1.4744749030240916</v>
      </c>
      <c r="O362" s="179">
        <f t="shared" si="237"/>
        <v>1.4639455957880609</v>
      </c>
      <c r="P362" s="179">
        <f t="shared" si="238"/>
        <v>1.4751990043301269</v>
      </c>
      <c r="Q362" s="179">
        <f t="shared" si="239"/>
        <v>1.4689999208171669</v>
      </c>
      <c r="R362" s="179">
        <f t="shared" si="239"/>
        <v>1.448902620069815</v>
      </c>
      <c r="S362" s="179">
        <f t="shared" si="239"/>
        <v>1.4584852643272561</v>
      </c>
      <c r="T362" s="179">
        <f t="shared" si="239"/>
        <v>1.4556141692481175</v>
      </c>
    </row>
    <row r="363" spans="1:20">
      <c r="A363" s="181" t="s">
        <v>8638</v>
      </c>
      <c r="B363" s="177">
        <f t="shared" ref="B363:G363" si="243">SUM(B360:B362)</f>
        <v>572648</v>
      </c>
      <c r="C363" s="177">
        <f t="shared" si="243"/>
        <v>575449</v>
      </c>
      <c r="D363" s="177">
        <f t="shared" si="243"/>
        <v>577989</v>
      </c>
      <c r="E363" s="177">
        <f t="shared" si="243"/>
        <v>580549</v>
      </c>
      <c r="F363" s="177">
        <f t="shared" si="243"/>
        <v>576444</v>
      </c>
      <c r="G363" s="177">
        <f t="shared" si="243"/>
        <v>564573</v>
      </c>
      <c r="H363" s="177">
        <f t="shared" ref="H363" si="244">SUM(H360:H362)</f>
        <v>555760</v>
      </c>
      <c r="I363" s="177">
        <f t="shared" ref="I363:J363" si="245">SUM(I360:I362)</f>
        <v>574303</v>
      </c>
      <c r="J363" s="177">
        <f t="shared" si="245"/>
        <v>576351</v>
      </c>
      <c r="K363" s="178"/>
      <c r="L363" s="179">
        <f t="shared" si="234"/>
        <v>7.5415898435442239</v>
      </c>
      <c r="M363" s="179">
        <f t="shared" si="235"/>
        <v>7.5083701934995632</v>
      </c>
      <c r="N363" s="179">
        <f t="shared" si="236"/>
        <v>7.4984626561668897</v>
      </c>
      <c r="O363" s="179">
        <f t="shared" si="237"/>
        <v>7.4915348285028518</v>
      </c>
      <c r="P363" s="179">
        <f t="shared" si="238"/>
        <v>7.4732802655119661</v>
      </c>
      <c r="Q363" s="179">
        <f t="shared" si="239"/>
        <v>7.4507482777733784</v>
      </c>
      <c r="R363" s="179">
        <f t="shared" si="239"/>
        <v>7.4330270566678704</v>
      </c>
      <c r="S363" s="179">
        <f t="shared" si="239"/>
        <v>7.5057570411030516</v>
      </c>
      <c r="T363" s="179">
        <f t="shared" si="239"/>
        <v>7.470234469171646</v>
      </c>
    </row>
    <row r="364" spans="1:20">
      <c r="A364" s="181"/>
      <c r="B364" s="177"/>
      <c r="C364" s="177"/>
      <c r="D364" s="177"/>
      <c r="E364" s="177"/>
      <c r="F364" s="177"/>
      <c r="G364" s="177"/>
      <c r="H364" s="177"/>
      <c r="I364" s="177"/>
      <c r="J364" s="177"/>
      <c r="K364" s="178"/>
      <c r="L364" s="179"/>
      <c r="M364" s="179"/>
      <c r="N364" s="179"/>
      <c r="O364" s="179"/>
      <c r="P364" s="179"/>
      <c r="Q364" s="179"/>
      <c r="R364" s="179"/>
      <c r="S364" s="179"/>
      <c r="T364" s="179"/>
    </row>
    <row r="365" spans="1:20">
      <c r="A365" s="175" t="s">
        <v>8648</v>
      </c>
      <c r="B365" s="177">
        <f>GLOUCESTERSHIRE!D5</f>
        <v>87489</v>
      </c>
      <c r="C365" s="177">
        <f>GLOUCESTERSHIRE!E5</f>
        <v>86856</v>
      </c>
      <c r="D365" s="177">
        <f>GLOUCESTERSHIRE!F5</f>
        <v>86841</v>
      </c>
      <c r="E365" s="177">
        <f>GLOUCESTERSHIRE!G5</f>
        <v>86854</v>
      </c>
      <c r="F365" s="177">
        <f>GLOUCESTERSHIRE!H5</f>
        <v>86332</v>
      </c>
      <c r="G365" s="177">
        <f>GLOUCESTERSHIRE!I5</f>
        <v>83347</v>
      </c>
      <c r="H365" s="177">
        <f>GLOUCESTERSHIRE!J5</f>
        <v>85812</v>
      </c>
      <c r="I365" s="177">
        <f>GLOUCESTERSHIRE!K5</f>
        <v>83888</v>
      </c>
      <c r="J365" s="177">
        <f>GLOUCESTERSHIRE!L5</f>
        <v>85321</v>
      </c>
      <c r="K365" s="178"/>
      <c r="L365" s="179">
        <f t="shared" ref="L365:T371" si="246">B365/B$470</f>
        <v>1.1522019701838486</v>
      </c>
      <c r="M365" s="179">
        <f t="shared" si="246"/>
        <v>1.1332837515168122</v>
      </c>
      <c r="N365" s="179">
        <f t="shared" si="246"/>
        <v>1.1266200490393223</v>
      </c>
      <c r="O365" s="179">
        <f t="shared" si="246"/>
        <v>1.1207835445324799</v>
      </c>
      <c r="P365" s="179">
        <f t="shared" si="246"/>
        <v>1.1192470246583868</v>
      </c>
      <c r="Q365" s="179">
        <f t="shared" si="246"/>
        <v>1.0999419325890147</v>
      </c>
      <c r="R365" s="179">
        <f t="shared" si="246"/>
        <v>1.1476949002929022</v>
      </c>
      <c r="S365" s="179">
        <f t="shared" si="246"/>
        <v>1.0963601908122591</v>
      </c>
      <c r="T365" s="179">
        <f t="shared" si="246"/>
        <v>1.1058675618576077</v>
      </c>
    </row>
    <row r="366" spans="1:20">
      <c r="A366" s="175" t="s">
        <v>8649</v>
      </c>
      <c r="B366" s="177">
        <f>GLOUCESTERSHIRE!D6</f>
        <v>66804</v>
      </c>
      <c r="C366" s="177">
        <f>GLOUCESTERSHIRE!E6</f>
        <v>68087</v>
      </c>
      <c r="D366" s="177">
        <f>GLOUCESTERSHIRE!F6</f>
        <v>68019</v>
      </c>
      <c r="E366" s="177">
        <f>GLOUCESTERSHIRE!G6</f>
        <v>67966</v>
      </c>
      <c r="F366" s="177">
        <f>GLOUCESTERSHIRE!H6</f>
        <v>67770</v>
      </c>
      <c r="G366" s="177">
        <f>GLOUCESTERSHIRE!I6</f>
        <v>66739</v>
      </c>
      <c r="H366" s="177">
        <f>GLOUCESTERSHIRE!J6</f>
        <v>65825</v>
      </c>
      <c r="I366" s="177">
        <f>GLOUCESTERSHIRE!K6</f>
        <v>67478</v>
      </c>
      <c r="J366" s="177">
        <f>GLOUCESTERSHIRE!L6</f>
        <v>68969</v>
      </c>
      <c r="K366" s="178"/>
      <c r="L366" s="179">
        <f t="shared" si="246"/>
        <v>0.87978717800136963</v>
      </c>
      <c r="M366" s="179">
        <f t="shared" si="246"/>
        <v>0.88838872144152603</v>
      </c>
      <c r="N366" s="179">
        <f t="shared" si="246"/>
        <v>0.88243536020549806</v>
      </c>
      <c r="O366" s="179">
        <f t="shared" si="246"/>
        <v>0.87704854569386015</v>
      </c>
      <c r="P366" s="179">
        <f t="shared" si="246"/>
        <v>0.87860087639691964</v>
      </c>
      <c r="Q366" s="179">
        <f t="shared" si="246"/>
        <v>0.88076385039723393</v>
      </c>
      <c r="R366" s="179">
        <f t="shared" si="246"/>
        <v>0.88037823162005646</v>
      </c>
      <c r="S366" s="179">
        <f t="shared" si="246"/>
        <v>0.88189243939096906</v>
      </c>
      <c r="T366" s="179">
        <f t="shared" si="246"/>
        <v>0.89392505800163313</v>
      </c>
    </row>
    <row r="367" spans="1:20">
      <c r="A367" s="175" t="s">
        <v>8650</v>
      </c>
      <c r="B367" s="177">
        <f>GLOUCESTERSHIRE!D7</f>
        <v>65296</v>
      </c>
      <c r="C367" s="177">
        <f>GLOUCESTERSHIRE!E7</f>
        <v>65153</v>
      </c>
      <c r="D367" s="177">
        <f>GLOUCESTERSHIRE!F7</f>
        <v>65892</v>
      </c>
      <c r="E367" s="177">
        <f>GLOUCESTERSHIRE!G7</f>
        <v>66361</v>
      </c>
      <c r="F367" s="177">
        <f>GLOUCESTERSHIRE!H7</f>
        <v>66310</v>
      </c>
      <c r="G367" s="177">
        <f>GLOUCESTERSHIRE!I7</f>
        <v>65422</v>
      </c>
      <c r="H367" s="177">
        <f>GLOUCESTERSHIRE!J7</f>
        <v>65175</v>
      </c>
      <c r="I367" s="177">
        <f>GLOUCESTERSHIRE!K7</f>
        <v>68319</v>
      </c>
      <c r="J367" s="177">
        <f>GLOUCESTERSHIRE!L7</f>
        <v>67061</v>
      </c>
      <c r="K367" s="178"/>
      <c r="L367" s="179">
        <f t="shared" si="246"/>
        <v>0.85992730337670542</v>
      </c>
      <c r="M367" s="179">
        <f t="shared" si="246"/>
        <v>0.85010633994859153</v>
      </c>
      <c r="N367" s="179">
        <f t="shared" si="246"/>
        <v>0.85484101140358848</v>
      </c>
      <c r="O367" s="179">
        <f t="shared" si="246"/>
        <v>0.85633726482050221</v>
      </c>
      <c r="P367" s="179">
        <f t="shared" si="246"/>
        <v>0.85967277724479474</v>
      </c>
      <c r="Q367" s="179">
        <f t="shared" si="246"/>
        <v>0.8633832185182253</v>
      </c>
      <c r="R367" s="179">
        <f t="shared" si="246"/>
        <v>0.87168478915058378</v>
      </c>
      <c r="S367" s="179">
        <f t="shared" si="246"/>
        <v>0.89288374828465011</v>
      </c>
      <c r="T367" s="179">
        <f t="shared" si="246"/>
        <v>0.8691949762160901</v>
      </c>
    </row>
    <row r="368" spans="1:20">
      <c r="A368" s="175" t="s">
        <v>5044</v>
      </c>
      <c r="B368" s="177">
        <f>GLOUCESTERSHIRE!D8</f>
        <v>87510</v>
      </c>
      <c r="C368" s="177">
        <f>GLOUCESTERSHIRE!E8</f>
        <v>88291</v>
      </c>
      <c r="D368" s="177">
        <f>GLOUCESTERSHIRE!F8</f>
        <v>89781</v>
      </c>
      <c r="E368" s="177">
        <f>GLOUCESTERSHIRE!G8</f>
        <v>90793</v>
      </c>
      <c r="F368" s="177">
        <f>GLOUCESTERSHIRE!H8</f>
        <v>90196</v>
      </c>
      <c r="G368" s="177">
        <f>GLOUCESTERSHIRE!I8</f>
        <v>89522</v>
      </c>
      <c r="H368" s="177">
        <f>GLOUCESTERSHIRE!J8</f>
        <v>86427</v>
      </c>
      <c r="I368" s="177">
        <f>GLOUCESTERSHIRE!K8</f>
        <v>87756</v>
      </c>
      <c r="J368" s="177">
        <f>GLOUCESTERSHIRE!L8</f>
        <v>92251</v>
      </c>
      <c r="K368" s="178"/>
      <c r="L368" s="179">
        <f t="shared" si="246"/>
        <v>1.152478533424643</v>
      </c>
      <c r="M368" s="179">
        <f t="shared" si="246"/>
        <v>1.1520074111767853</v>
      </c>
      <c r="N368" s="179">
        <f t="shared" si="246"/>
        <v>1.1647617441392821</v>
      </c>
      <c r="O368" s="179">
        <f t="shared" si="246"/>
        <v>1.1716132861898985</v>
      </c>
      <c r="P368" s="179">
        <f t="shared" si="246"/>
        <v>1.1693416651541473</v>
      </c>
      <c r="Q368" s="179">
        <f t="shared" si="246"/>
        <v>1.181434265051337</v>
      </c>
      <c r="R368" s="179">
        <f t="shared" si="246"/>
        <v>1.1559202343217108</v>
      </c>
      <c r="S368" s="179">
        <f t="shared" si="246"/>
        <v>1.1469123701235051</v>
      </c>
      <c r="T368" s="179">
        <f t="shared" si="246"/>
        <v>1.1956890853239666</v>
      </c>
    </row>
    <row r="369" spans="1:20">
      <c r="A369" s="175" t="s">
        <v>5045</v>
      </c>
      <c r="B369" s="177">
        <f>GLOUCESTERSHIRE!D9</f>
        <v>88595</v>
      </c>
      <c r="C369" s="177">
        <f>GLOUCESTERSHIRE!E9</f>
        <v>89487</v>
      </c>
      <c r="D369" s="177">
        <f>GLOUCESTERSHIRE!F9</f>
        <v>90510</v>
      </c>
      <c r="E369" s="177">
        <f>GLOUCESTERSHIRE!G9</f>
        <v>90368</v>
      </c>
      <c r="F369" s="177">
        <f>GLOUCESTERSHIRE!H9</f>
        <v>89416</v>
      </c>
      <c r="G369" s="177">
        <f>GLOUCESTERSHIRE!I9</f>
        <v>88663</v>
      </c>
      <c r="H369" s="177">
        <f>GLOUCESTERSHIRE!J9</f>
        <v>91294</v>
      </c>
      <c r="I369" s="177">
        <f>GLOUCESTERSHIRE!K9</f>
        <v>92461</v>
      </c>
      <c r="J369" s="177">
        <f>GLOUCESTERSHIRE!L9</f>
        <v>93264</v>
      </c>
      <c r="K369" s="178"/>
      <c r="L369" s="179">
        <f t="shared" si="246"/>
        <v>1.1667676341990201</v>
      </c>
      <c r="M369" s="179">
        <f t="shared" si="246"/>
        <v>1.1676126355345051</v>
      </c>
      <c r="N369" s="179">
        <f t="shared" si="246"/>
        <v>1.1742193277201904</v>
      </c>
      <c r="O369" s="179">
        <f t="shared" si="246"/>
        <v>1.1661289906315329</v>
      </c>
      <c r="P369" s="179">
        <f t="shared" si="246"/>
        <v>1.159229393004382</v>
      </c>
      <c r="Q369" s="179">
        <f t="shared" si="246"/>
        <v>1.1700979227703434</v>
      </c>
      <c r="R369" s="179">
        <f t="shared" si="246"/>
        <v>1.2210140566277468</v>
      </c>
      <c r="S369" s="179">
        <f t="shared" si="246"/>
        <v>1.20840358099719</v>
      </c>
      <c r="T369" s="179">
        <f t="shared" si="246"/>
        <v>1.208818840485788</v>
      </c>
    </row>
    <row r="370" spans="1:20">
      <c r="A370" s="175" t="s">
        <v>5046</v>
      </c>
      <c r="B370" s="177">
        <f>GLOUCESTERSHIRE!D10</f>
        <v>63391</v>
      </c>
      <c r="C370" s="177">
        <f>GLOUCESTERSHIRE!E10</f>
        <v>64334</v>
      </c>
      <c r="D370" s="177">
        <f>GLOUCESTERSHIRE!F10</f>
        <v>64993</v>
      </c>
      <c r="E370" s="177">
        <f>GLOUCESTERSHIRE!G10</f>
        <v>65547</v>
      </c>
      <c r="F370" s="177">
        <f>GLOUCESTERSHIRE!H10</f>
        <v>65597</v>
      </c>
      <c r="G370" s="177">
        <f>GLOUCESTERSHIRE!I10</f>
        <v>65129</v>
      </c>
      <c r="H370" s="177">
        <f>GLOUCESTERSHIRE!J10</f>
        <v>65989</v>
      </c>
      <c r="I370" s="177">
        <f>GLOUCESTERSHIRE!K10</f>
        <v>68049</v>
      </c>
      <c r="J370" s="177">
        <f>GLOUCESTERSHIRE!L10</f>
        <v>69723</v>
      </c>
      <c r="K370" s="178"/>
      <c r="L370" s="179">
        <f t="shared" si="246"/>
        <v>0.83483906653321394</v>
      </c>
      <c r="M370" s="179">
        <f t="shared" si="246"/>
        <v>0.83942015370363121</v>
      </c>
      <c r="N370" s="179">
        <f t="shared" si="246"/>
        <v>0.84317795565703613</v>
      </c>
      <c r="O370" s="179">
        <f t="shared" si="246"/>
        <v>0.84583322579812625</v>
      </c>
      <c r="P370" s="179">
        <f t="shared" si="246"/>
        <v>0.85042912334379128</v>
      </c>
      <c r="Q370" s="179">
        <f t="shared" si="246"/>
        <v>0.85951645683215883</v>
      </c>
      <c r="R370" s="179">
        <f t="shared" si="246"/>
        <v>0.88257165402773874</v>
      </c>
      <c r="S370" s="179">
        <f t="shared" si="246"/>
        <v>0.88935502842579883</v>
      </c>
      <c r="T370" s="179">
        <f t="shared" si="246"/>
        <v>0.90369784713491375</v>
      </c>
    </row>
    <row r="371" spans="1:20">
      <c r="A371" s="175" t="s">
        <v>5047</v>
      </c>
      <c r="B371" s="177">
        <f t="shared" ref="B371:G371" si="247">SUM(B365:B370)</f>
        <v>459085</v>
      </c>
      <c r="C371" s="177">
        <f t="shared" si="247"/>
        <v>462208</v>
      </c>
      <c r="D371" s="177">
        <f t="shared" si="247"/>
        <v>466036</v>
      </c>
      <c r="E371" s="177">
        <f t="shared" si="247"/>
        <v>467889</v>
      </c>
      <c r="F371" s="177">
        <f t="shared" si="247"/>
        <v>465621</v>
      </c>
      <c r="G371" s="177">
        <f t="shared" si="247"/>
        <v>458822</v>
      </c>
      <c r="H371" s="177">
        <f t="shared" ref="H371" si="248">SUM(H365:H370)</f>
        <v>460522</v>
      </c>
      <c r="I371" s="177">
        <f t="shared" ref="I371:J371" si="249">SUM(I365:I370)</f>
        <v>467951</v>
      </c>
      <c r="J371" s="177">
        <f t="shared" si="249"/>
        <v>476589</v>
      </c>
      <c r="K371" s="178"/>
      <c r="L371" s="179">
        <f t="shared" si="246"/>
        <v>6.0460016857188013</v>
      </c>
      <c r="M371" s="179">
        <f t="shared" si="246"/>
        <v>6.0308190133218513</v>
      </c>
      <c r="N371" s="179">
        <f t="shared" si="246"/>
        <v>6.0460554481649176</v>
      </c>
      <c r="O371" s="179">
        <f t="shared" si="246"/>
        <v>6.0377448576664001</v>
      </c>
      <c r="P371" s="179">
        <f t="shared" si="246"/>
        <v>6.0365208598024216</v>
      </c>
      <c r="Q371" s="179">
        <f t="shared" si="246"/>
        <v>6.0551376461583128</v>
      </c>
      <c r="R371" s="179">
        <f t="shared" si="246"/>
        <v>6.1592638660407388</v>
      </c>
      <c r="S371" s="179">
        <f t="shared" si="246"/>
        <v>6.1158073580343721</v>
      </c>
      <c r="T371" s="179">
        <f t="shared" si="246"/>
        <v>6.1771933690199994</v>
      </c>
    </row>
    <row r="372" spans="1:20">
      <c r="A372" s="175"/>
      <c r="B372" s="177"/>
      <c r="C372" s="177"/>
      <c r="D372" s="177"/>
      <c r="E372" s="177"/>
      <c r="F372" s="177"/>
      <c r="G372" s="177"/>
      <c r="H372" s="177"/>
      <c r="I372" s="177"/>
      <c r="J372" s="177"/>
      <c r="K372" s="178"/>
      <c r="L372" s="179"/>
      <c r="M372" s="179"/>
      <c r="N372" s="179"/>
      <c r="O372" s="179"/>
      <c r="P372" s="179"/>
      <c r="Q372" s="179"/>
      <c r="R372" s="179"/>
      <c r="S372" s="179"/>
      <c r="T372" s="179"/>
    </row>
    <row r="373" spans="1:20">
      <c r="A373" s="175" t="s">
        <v>6865</v>
      </c>
      <c r="B373" s="177">
        <f>SOMERSET!D5</f>
        <v>83602</v>
      </c>
      <c r="C373" s="177">
        <f>SOMERSET!E5</f>
        <v>84371</v>
      </c>
      <c r="D373" s="177">
        <f>SOMERSET!F5</f>
        <v>84879</v>
      </c>
      <c r="E373" s="177">
        <f>SOMERSET!G5</f>
        <v>85433</v>
      </c>
      <c r="F373" s="177">
        <f>SOMERSET!H5</f>
        <v>83777</v>
      </c>
      <c r="G373" s="177">
        <f>SOMERSET!I5</f>
        <v>84330</v>
      </c>
      <c r="H373" s="177">
        <f>SOMERSET!J5</f>
        <v>79769</v>
      </c>
      <c r="I373" s="177">
        <f>SOMERSET!K5</f>
        <v>84210</v>
      </c>
      <c r="J373" s="177">
        <f>SOMERSET!L5</f>
        <v>85392</v>
      </c>
      <c r="K373" s="178"/>
      <c r="L373" s="179">
        <f t="shared" ref="L373:T378" si="250">B373/B$470</f>
        <v>1.1010114312806194</v>
      </c>
      <c r="M373" s="179">
        <f t="shared" si="250"/>
        <v>1.100859853081249</v>
      </c>
      <c r="N373" s="179">
        <f t="shared" si="250"/>
        <v>1.1011663055746552</v>
      </c>
      <c r="O373" s="179">
        <f t="shared" si="250"/>
        <v>1.1024466410302733</v>
      </c>
      <c r="P373" s="179">
        <f t="shared" si="250"/>
        <v>1.0861228511421681</v>
      </c>
      <c r="Q373" s="179">
        <f t="shared" si="250"/>
        <v>1.1129147200886849</v>
      </c>
      <c r="R373" s="179">
        <f t="shared" si="250"/>
        <v>1.0668726343805588</v>
      </c>
      <c r="S373" s="179">
        <f t="shared" si="250"/>
        <v>1.1005685159772594</v>
      </c>
      <c r="T373" s="179">
        <f t="shared" si="250"/>
        <v>1.1067878112322269</v>
      </c>
    </row>
    <row r="374" spans="1:20">
      <c r="A374" s="175" t="s">
        <v>6866</v>
      </c>
      <c r="B374" s="177">
        <f>SOMERSET!D6</f>
        <v>87546</v>
      </c>
      <c r="C374" s="177">
        <f>SOMERSET!E6</f>
        <v>88464</v>
      </c>
      <c r="D374" s="177">
        <f>SOMERSET!F6</f>
        <v>88999</v>
      </c>
      <c r="E374" s="177">
        <f>SOMERSET!G6</f>
        <v>88734</v>
      </c>
      <c r="F374" s="177">
        <f>SOMERSET!H6</f>
        <v>87440</v>
      </c>
      <c r="G374" s="177">
        <f>SOMERSET!I6</f>
        <v>86792</v>
      </c>
      <c r="H374" s="177">
        <f>SOMERSET!J6</f>
        <v>86874</v>
      </c>
      <c r="I374" s="177">
        <f>SOMERSET!K6</f>
        <v>89769</v>
      </c>
      <c r="J374" s="177">
        <f>SOMERSET!L6</f>
        <v>90122</v>
      </c>
      <c r="K374" s="178"/>
      <c r="L374" s="179">
        <f t="shared" si="250"/>
        <v>1.1529526418374334</v>
      </c>
      <c r="M374" s="179">
        <f t="shared" si="250"/>
        <v>1.1542646886131445</v>
      </c>
      <c r="N374" s="179">
        <f t="shared" si="250"/>
        <v>1.1546165721773201</v>
      </c>
      <c r="O374" s="179">
        <f t="shared" si="250"/>
        <v>1.1450434872377215</v>
      </c>
      <c r="P374" s="179">
        <f t="shared" si="250"/>
        <v>1.1336116368916431</v>
      </c>
      <c r="Q374" s="179">
        <f t="shared" si="250"/>
        <v>1.1454060759627314</v>
      </c>
      <c r="R374" s="179">
        <f t="shared" si="250"/>
        <v>1.1618986478353328</v>
      </c>
      <c r="S374" s="179">
        <f t="shared" si="250"/>
        <v>1.1732209370711626</v>
      </c>
      <c r="T374" s="179">
        <f t="shared" si="250"/>
        <v>1.1680945653441863</v>
      </c>
    </row>
    <row r="375" spans="1:20">
      <c r="A375" s="175" t="s">
        <v>6867</v>
      </c>
      <c r="B375" s="177">
        <f>SOMERSET!D7</f>
        <v>126230</v>
      </c>
      <c r="C375" s="177">
        <f>SOMERSET!E7</f>
        <v>126587</v>
      </c>
      <c r="D375" s="177">
        <f>SOMERSET!F7</f>
        <v>126706</v>
      </c>
      <c r="E375" s="177">
        <f>SOMERSET!G7</f>
        <v>128329</v>
      </c>
      <c r="F375" s="177">
        <f>SOMERSET!H7</f>
        <v>127883</v>
      </c>
      <c r="G375" s="177">
        <f>SOMERSET!I7</f>
        <v>125951</v>
      </c>
      <c r="H375" s="177">
        <f>SOMERSET!J7</f>
        <v>117938</v>
      </c>
      <c r="I375" s="177">
        <f>SOMERSET!K7</f>
        <v>124816</v>
      </c>
      <c r="J375" s="177">
        <f>SOMERSET!L7</f>
        <v>125114</v>
      </c>
      <c r="K375" s="178"/>
      <c r="L375" s="179">
        <f t="shared" si="250"/>
        <v>1.6624084707369753</v>
      </c>
      <c r="M375" s="179">
        <f t="shared" si="250"/>
        <v>1.6516877389386881</v>
      </c>
      <c r="N375" s="179">
        <f t="shared" si="250"/>
        <v>1.6438032718828246</v>
      </c>
      <c r="O375" s="179">
        <f t="shared" si="250"/>
        <v>1.6559862699047667</v>
      </c>
      <c r="P375" s="179">
        <f t="shared" si="250"/>
        <v>1.6579329478569762</v>
      </c>
      <c r="Q375" s="179">
        <f t="shared" si="250"/>
        <v>1.6621928365930265</v>
      </c>
      <c r="R375" s="179">
        <f t="shared" si="250"/>
        <v>1.5773649507148684</v>
      </c>
      <c r="S375" s="179">
        <f t="shared" si="250"/>
        <v>1.6312618440828597</v>
      </c>
      <c r="T375" s="179">
        <f t="shared" si="250"/>
        <v>1.6216349331847109</v>
      </c>
    </row>
    <row r="376" spans="1:20">
      <c r="A376" s="175" t="s">
        <v>6868</v>
      </c>
      <c r="B376" s="177">
        <f>SOMERSET!D8</f>
        <v>82281</v>
      </c>
      <c r="C376" s="177">
        <f>SOMERSET!E8</f>
        <v>82882</v>
      </c>
      <c r="D376" s="177">
        <f>SOMERSET!F8</f>
        <v>83723</v>
      </c>
      <c r="E376" s="177">
        <f>SOMERSET!G8</f>
        <v>84162</v>
      </c>
      <c r="F376" s="177">
        <f>SOMERSET!H8</f>
        <v>76989</v>
      </c>
      <c r="G376" s="177">
        <f>SOMERSET!I8</f>
        <v>78505</v>
      </c>
      <c r="H376" s="177">
        <f>SOMERSET!J8</f>
        <v>78187</v>
      </c>
      <c r="I376" s="177">
        <f>SOMERSET!K8</f>
        <v>83150</v>
      </c>
      <c r="J376" s="177">
        <f>SOMERSET!L8</f>
        <v>84295</v>
      </c>
      <c r="K376" s="178"/>
      <c r="L376" s="179">
        <f t="shared" si="250"/>
        <v>1.0836142864668388</v>
      </c>
      <c r="M376" s="179">
        <f t="shared" si="250"/>
        <v>1.0814316097128169</v>
      </c>
      <c r="N376" s="179">
        <f t="shared" si="250"/>
        <v>1.0861690948482765</v>
      </c>
      <c r="O376" s="179">
        <f t="shared" si="250"/>
        <v>1.0860453712545488</v>
      </c>
      <c r="P376" s="179">
        <f t="shared" si="250"/>
        <v>0.99812015453626157</v>
      </c>
      <c r="Q376" s="179">
        <f t="shared" si="250"/>
        <v>1.0360413862274658</v>
      </c>
      <c r="R376" s="179">
        <f t="shared" si="250"/>
        <v>1.0457141328625499</v>
      </c>
      <c r="S376" s="179">
        <f t="shared" si="250"/>
        <v>1.0867150231980658</v>
      </c>
      <c r="T376" s="179">
        <f t="shared" si="250"/>
        <v>1.0925693103314194</v>
      </c>
    </row>
    <row r="377" spans="1:20">
      <c r="A377" s="175" t="s">
        <v>6869</v>
      </c>
      <c r="B377" s="177">
        <f>SOMERSET!D9</f>
        <v>27945</v>
      </c>
      <c r="C377" s="177">
        <f>SOMERSET!E9</f>
        <v>28424</v>
      </c>
      <c r="D377" s="177">
        <f>SOMERSET!F9</f>
        <v>27849</v>
      </c>
      <c r="E377" s="177">
        <f>SOMERSET!G9</f>
        <v>27870</v>
      </c>
      <c r="F377" s="177">
        <f>SOMERSET!H9</f>
        <v>27885</v>
      </c>
      <c r="G377" s="177">
        <f>SOMERSET!I9</f>
        <v>27213</v>
      </c>
      <c r="H377" s="177">
        <f>SOMERSET!J9</f>
        <v>26264</v>
      </c>
      <c r="I377" s="177">
        <f>SOMERSET!K9</f>
        <v>27176</v>
      </c>
      <c r="J377" s="177">
        <f>SOMERSET!L9</f>
        <v>27601</v>
      </c>
      <c r="K377" s="178"/>
      <c r="L377" s="179">
        <f t="shared" si="250"/>
        <v>0.36802665542854135</v>
      </c>
      <c r="M377" s="179">
        <f t="shared" si="250"/>
        <v>0.37087198757845019</v>
      </c>
      <c r="N377" s="179">
        <f t="shared" si="250"/>
        <v>0.36129526082951702</v>
      </c>
      <c r="O377" s="179">
        <f t="shared" si="250"/>
        <v>0.35964074638036492</v>
      </c>
      <c r="P377" s="179">
        <f t="shared" si="250"/>
        <v>0.36151372935411102</v>
      </c>
      <c r="Q377" s="179">
        <f t="shared" si="250"/>
        <v>0.35913373980521024</v>
      </c>
      <c r="R377" s="179">
        <f t="shared" si="250"/>
        <v>0.35126857387419919</v>
      </c>
      <c r="S377" s="179">
        <f t="shared" si="250"/>
        <v>0.3551721884597791</v>
      </c>
      <c r="T377" s="179">
        <f t="shared" si="250"/>
        <v>0.35774370406853911</v>
      </c>
    </row>
    <row r="378" spans="1:20">
      <c r="A378" s="175" t="s">
        <v>6870</v>
      </c>
      <c r="B378" s="177">
        <f t="shared" ref="B378:G378" si="251">SUM(B373:B377)</f>
        <v>407604</v>
      </c>
      <c r="C378" s="177">
        <f t="shared" si="251"/>
        <v>410728</v>
      </c>
      <c r="D378" s="177">
        <f t="shared" si="251"/>
        <v>412156</v>
      </c>
      <c r="E378" s="177">
        <f t="shared" si="251"/>
        <v>414528</v>
      </c>
      <c r="F378" s="177">
        <f t="shared" si="251"/>
        <v>403974</v>
      </c>
      <c r="G378" s="177">
        <f t="shared" si="251"/>
        <v>402791</v>
      </c>
      <c r="H378" s="177">
        <f t="shared" ref="H378" si="252">SUM(H373:H377)</f>
        <v>389032</v>
      </c>
      <c r="I378" s="177">
        <f t="shared" ref="I378:J378" si="253">SUM(I373:I377)</f>
        <v>409121</v>
      </c>
      <c r="J378" s="177">
        <f t="shared" si="253"/>
        <v>412524</v>
      </c>
      <c r="K378" s="178"/>
      <c r="L378" s="179">
        <f t="shared" si="250"/>
        <v>5.3680134857504083</v>
      </c>
      <c r="M378" s="179">
        <f t="shared" si="250"/>
        <v>5.3591158779243484</v>
      </c>
      <c r="N378" s="179">
        <f t="shared" si="250"/>
        <v>5.347050505312593</v>
      </c>
      <c r="O378" s="179">
        <f t="shared" si="250"/>
        <v>5.3491625158076754</v>
      </c>
      <c r="P378" s="179">
        <f t="shared" si="250"/>
        <v>5.2373013197811602</v>
      </c>
      <c r="Q378" s="179">
        <f t="shared" si="250"/>
        <v>5.3156887586771191</v>
      </c>
      <c r="R378" s="179">
        <f t="shared" si="250"/>
        <v>5.203118939667509</v>
      </c>
      <c r="S378" s="179">
        <f t="shared" si="250"/>
        <v>5.3469385087891261</v>
      </c>
      <c r="T378" s="179">
        <f t="shared" si="250"/>
        <v>5.3468303241610826</v>
      </c>
    </row>
    <row r="379" spans="1:20">
      <c r="A379" s="175"/>
      <c r="B379" s="177"/>
      <c r="C379" s="177"/>
      <c r="D379" s="177"/>
      <c r="E379" s="177"/>
      <c r="F379" s="177"/>
      <c r="G379" s="177"/>
      <c r="H379" s="177"/>
      <c r="I379" s="177"/>
      <c r="J379" s="177"/>
      <c r="K379" s="178"/>
      <c r="L379" s="179"/>
      <c r="M379" s="179"/>
      <c r="N379" s="179"/>
      <c r="O379" s="179"/>
      <c r="P379" s="179"/>
      <c r="Q379" s="179"/>
      <c r="R379" s="179"/>
      <c r="S379" s="179"/>
      <c r="T379" s="179"/>
    </row>
    <row r="380" spans="1:20">
      <c r="A380" s="175" t="s">
        <v>6938</v>
      </c>
      <c r="B380" s="177">
        <f>SWINDON!D3</f>
        <v>151386</v>
      </c>
      <c r="C380" s="177">
        <f>SWINDON!E3</f>
        <v>152937</v>
      </c>
      <c r="D380" s="177">
        <f>SWINDON!F3</f>
        <v>154468</v>
      </c>
      <c r="E380" s="177">
        <f>SWINDON!G3</f>
        <v>156044</v>
      </c>
      <c r="F380" s="177">
        <f>SWINDON!H3</f>
        <v>154606</v>
      </c>
      <c r="G380" s="177">
        <f>SWINDON!I3</f>
        <v>153139</v>
      </c>
      <c r="H380" s="177">
        <f>SWINDON!J3</f>
        <v>148586</v>
      </c>
      <c r="I380" s="177">
        <f>SWINDON!K3</f>
        <v>149999</v>
      </c>
      <c r="J380" s="177">
        <f>SWINDON!L3</f>
        <v>152843</v>
      </c>
      <c r="K380" s="178"/>
      <c r="L380" s="179">
        <f t="shared" ref="L380:T382" si="254">B380/B$470</f>
        <v>1.9937048938523942</v>
      </c>
      <c r="M380" s="179">
        <f t="shared" si="254"/>
        <v>1.9954984929737347</v>
      </c>
      <c r="N380" s="179">
        <f t="shared" si="254"/>
        <v>2.0039698498981591</v>
      </c>
      <c r="O380" s="179">
        <f t="shared" si="254"/>
        <v>2.0136268614344335</v>
      </c>
      <c r="P380" s="179">
        <f t="shared" si="254"/>
        <v>2.0043819845982318</v>
      </c>
      <c r="Q380" s="179">
        <f t="shared" si="254"/>
        <v>2.0209966479267294</v>
      </c>
      <c r="R380" s="179">
        <f t="shared" si="254"/>
        <v>1.9872674504139416</v>
      </c>
      <c r="S380" s="179">
        <f t="shared" si="254"/>
        <v>1.9603868522511925</v>
      </c>
      <c r="T380" s="179">
        <f t="shared" si="254"/>
        <v>1.9810376783793242</v>
      </c>
    </row>
    <row r="381" spans="1:20">
      <c r="A381" s="175" t="s">
        <v>6440</v>
      </c>
      <c r="B381" s="180">
        <f>WILTSHIRE!D3</f>
        <v>343136</v>
      </c>
      <c r="C381" s="180">
        <f>WILTSHIRE!E3</f>
        <v>350863</v>
      </c>
      <c r="D381" s="180">
        <f>WILTSHIRE!F3</f>
        <v>350619</v>
      </c>
      <c r="E381" s="180">
        <f>WILTSHIRE!G3</f>
        <v>351990</v>
      </c>
      <c r="F381" s="180">
        <f>WILTSHIRE!H3</f>
        <v>352165</v>
      </c>
      <c r="G381" s="180">
        <f>WILTSHIRE!I3</f>
        <v>342196</v>
      </c>
      <c r="H381" s="180">
        <f>WILTSHIRE!J3</f>
        <v>346724</v>
      </c>
      <c r="I381" s="180">
        <f>WILTSHIRE!K3</f>
        <v>358156</v>
      </c>
      <c r="J381" s="180">
        <f>WILTSHIRE!L3</f>
        <v>363093</v>
      </c>
      <c r="K381" s="173"/>
      <c r="L381" s="179">
        <f t="shared" si="254"/>
        <v>4.5189906758678822</v>
      </c>
      <c r="M381" s="179">
        <f t="shared" si="254"/>
        <v>4.5780065500189195</v>
      </c>
      <c r="N381" s="179">
        <f t="shared" si="254"/>
        <v>4.5487085014465301</v>
      </c>
      <c r="O381" s="179">
        <f t="shared" si="254"/>
        <v>4.5421581025627793</v>
      </c>
      <c r="P381" s="179">
        <f t="shared" si="254"/>
        <v>4.5656260533616821</v>
      </c>
      <c r="Q381" s="179">
        <f t="shared" si="254"/>
        <v>4.5160081294375383</v>
      </c>
      <c r="R381" s="179">
        <f t="shared" si="254"/>
        <v>4.6372694565929731</v>
      </c>
      <c r="S381" s="179">
        <f t="shared" si="254"/>
        <v>4.6808599620989346</v>
      </c>
      <c r="T381" s="179">
        <f t="shared" si="254"/>
        <v>4.7061423405441136</v>
      </c>
    </row>
    <row r="382" spans="1:20">
      <c r="A382" s="181" t="s">
        <v>13795</v>
      </c>
      <c r="B382" s="180">
        <f>B380+B381</f>
        <v>494522</v>
      </c>
      <c r="C382" s="180">
        <f t="shared" ref="C382:H382" si="255">C380+C381</f>
        <v>503800</v>
      </c>
      <c r="D382" s="180">
        <f t="shared" si="255"/>
        <v>505087</v>
      </c>
      <c r="E382" s="180">
        <f t="shared" si="255"/>
        <v>508034</v>
      </c>
      <c r="F382" s="180">
        <f t="shared" si="255"/>
        <v>506771</v>
      </c>
      <c r="G382" s="180">
        <f t="shared" si="255"/>
        <v>495335</v>
      </c>
      <c r="H382" s="180">
        <f t="shared" si="255"/>
        <v>495310</v>
      </c>
      <c r="I382" s="180">
        <f t="shared" ref="I382:J382" si="256">I380+I381</f>
        <v>508155</v>
      </c>
      <c r="J382" s="180">
        <f t="shared" si="256"/>
        <v>515936</v>
      </c>
      <c r="K382" s="173"/>
      <c r="L382" s="179">
        <f t="shared" si="254"/>
        <v>6.5126955697202762</v>
      </c>
      <c r="M382" s="179">
        <f t="shared" si="254"/>
        <v>6.5735050429926538</v>
      </c>
      <c r="N382" s="179">
        <f t="shared" si="254"/>
        <v>6.5526783513446896</v>
      </c>
      <c r="O382" s="179">
        <f t="shared" si="254"/>
        <v>6.5557849639972128</v>
      </c>
      <c r="P382" s="179">
        <f t="shared" si="254"/>
        <v>6.5700080379599139</v>
      </c>
      <c r="Q382" s="179">
        <f t="shared" si="254"/>
        <v>6.5370047773642677</v>
      </c>
      <c r="R382" s="179">
        <f t="shared" si="254"/>
        <v>6.6245369070069149</v>
      </c>
      <c r="S382" s="179">
        <f t="shared" si="254"/>
        <v>6.6412468143501275</v>
      </c>
      <c r="T382" s="179">
        <f t="shared" si="254"/>
        <v>6.6871800189234376</v>
      </c>
    </row>
    <row r="383" spans="1:20">
      <c r="A383" s="175"/>
      <c r="B383" s="177"/>
      <c r="C383" s="177"/>
      <c r="D383" s="177"/>
      <c r="E383" s="177"/>
      <c r="F383" s="177"/>
      <c r="G383" s="177"/>
      <c r="H383" s="177"/>
      <c r="I383" s="177"/>
      <c r="J383" s="177"/>
      <c r="K383" s="178"/>
      <c r="L383" s="179"/>
      <c r="M383" s="179"/>
      <c r="N383" s="179"/>
      <c r="O383" s="179"/>
      <c r="P383" s="179"/>
      <c r="Q383" s="179"/>
      <c r="R383" s="179"/>
      <c r="S383" s="179"/>
      <c r="T383" s="179"/>
    </row>
    <row r="384" spans="1:20">
      <c r="A384" s="188" t="s">
        <v>6947</v>
      </c>
      <c r="B384" s="189">
        <f>B335+B339+B352+B363+B371+B378+B382</f>
        <v>4007216</v>
      </c>
      <c r="C384" s="189">
        <f t="shared" ref="C384:H384" si="257">C335+C339+C352+C363+C371+C378+C382</f>
        <v>4042475</v>
      </c>
      <c r="D384" s="189">
        <f t="shared" si="257"/>
        <v>4054959</v>
      </c>
      <c r="E384" s="189">
        <f t="shared" si="257"/>
        <v>4078229</v>
      </c>
      <c r="F384" s="189">
        <f t="shared" si="257"/>
        <v>4031825</v>
      </c>
      <c r="G384" s="189">
        <f t="shared" si="257"/>
        <v>3980500</v>
      </c>
      <c r="H384" s="189">
        <f t="shared" si="257"/>
        <v>3930770</v>
      </c>
      <c r="I384" s="189">
        <f t="shared" ref="I384:J384" si="258">I335+I339+I352+I363+I371+I378+I382</f>
        <v>4046843</v>
      </c>
      <c r="J384" s="189">
        <f t="shared" si="258"/>
        <v>4081918</v>
      </c>
      <c r="K384" s="178"/>
      <c r="L384" s="187">
        <f t="shared" ref="L384:T384" si="259">B384/B$470</f>
        <v>52.773744929673917</v>
      </c>
      <c r="M384" s="187">
        <f t="shared" si="259"/>
        <v>52.74559308986052</v>
      </c>
      <c r="N384" s="187">
        <f t="shared" si="259"/>
        <v>52.606465925455041</v>
      </c>
      <c r="O384" s="187">
        <f t="shared" si="259"/>
        <v>52.626383978114433</v>
      </c>
      <c r="P384" s="187">
        <f t="shared" si="259"/>
        <v>52.270399564394431</v>
      </c>
      <c r="Q384" s="187">
        <f t="shared" si="259"/>
        <v>52.531211233404598</v>
      </c>
      <c r="R384" s="187">
        <f t="shared" si="259"/>
        <v>52.572189008813815</v>
      </c>
      <c r="S384" s="187">
        <f t="shared" si="259"/>
        <v>52.88953799908515</v>
      </c>
      <c r="T384" s="187">
        <f t="shared" si="259"/>
        <v>52.906795587987503</v>
      </c>
    </row>
    <row r="385" spans="1:20">
      <c r="A385" s="175"/>
      <c r="B385" s="177"/>
      <c r="C385" s="177"/>
      <c r="D385" s="177"/>
      <c r="E385" s="177"/>
      <c r="F385" s="177"/>
      <c r="G385" s="177"/>
      <c r="H385" s="177"/>
      <c r="I385" s="177"/>
      <c r="J385" s="177"/>
      <c r="K385" s="178"/>
      <c r="L385" s="179"/>
      <c r="M385" s="179"/>
      <c r="N385" s="179"/>
      <c r="O385" s="179"/>
      <c r="P385" s="179"/>
      <c r="Q385" s="179"/>
      <c r="R385" s="179"/>
      <c r="S385" s="179"/>
      <c r="T385" s="179"/>
    </row>
    <row r="386" spans="1:20">
      <c r="A386" s="175" t="s">
        <v>5034</v>
      </c>
      <c r="B386" s="177" t="s">
        <v>5035</v>
      </c>
      <c r="C386" s="177"/>
      <c r="D386" s="177"/>
      <c r="E386" s="177"/>
      <c r="F386" s="177"/>
      <c r="G386" s="177"/>
      <c r="H386" s="177"/>
      <c r="I386" s="177"/>
      <c r="J386" s="177"/>
      <c r="K386" s="178"/>
      <c r="L386" s="179"/>
      <c r="M386" s="179"/>
      <c r="N386" s="179"/>
      <c r="O386" s="179"/>
      <c r="P386" s="179"/>
      <c r="Q386" s="179"/>
      <c r="R386" s="179"/>
      <c r="S386" s="179"/>
      <c r="T386" s="179"/>
    </row>
    <row r="387" spans="1:20">
      <c r="A387" s="175"/>
      <c r="B387" s="177"/>
      <c r="C387" s="177"/>
      <c r="D387" s="177"/>
      <c r="E387" s="177"/>
      <c r="F387" s="177"/>
      <c r="G387" s="177"/>
      <c r="H387" s="177"/>
      <c r="I387" s="177"/>
      <c r="J387" s="177"/>
      <c r="K387" s="178"/>
      <c r="L387" s="179"/>
      <c r="M387" s="179"/>
      <c r="N387" s="179"/>
      <c r="O387" s="179"/>
      <c r="P387" s="179"/>
      <c r="Q387" s="179"/>
      <c r="R387" s="179"/>
      <c r="S387" s="179"/>
      <c r="T387" s="179"/>
    </row>
    <row r="388" spans="1:20">
      <c r="A388" s="175" t="s">
        <v>1645</v>
      </c>
      <c r="B388" s="177">
        <f>HEREFORDSHIRE!D3</f>
        <v>139525</v>
      </c>
      <c r="C388" s="177">
        <f>HEREFORDSHIRE!E3</f>
        <v>138063</v>
      </c>
      <c r="D388" s="177">
        <f>HEREFORDSHIRE!F3</f>
        <v>138060</v>
      </c>
      <c r="E388" s="177">
        <f>HEREFORDSHIRE!G3</f>
        <v>139246</v>
      </c>
      <c r="F388" s="177">
        <f>HEREFORDSHIRE!H3</f>
        <v>133648</v>
      </c>
      <c r="G388" s="177">
        <f>HEREFORDSHIRE!I3</f>
        <v>134133</v>
      </c>
      <c r="H388" s="177">
        <f>HEREFORDSHIRE!J3</f>
        <v>133026</v>
      </c>
      <c r="I388" s="177">
        <f>HEREFORDSHIRE!K3</f>
        <v>135315</v>
      </c>
      <c r="J388" s="177">
        <f>HEREFORDSHIRE!L3</f>
        <v>137085</v>
      </c>
      <c r="K388" s="178"/>
      <c r="L388" s="179">
        <f t="shared" ref="L388:T388" si="260">B388/B$470</f>
        <v>1.8374993415160934</v>
      </c>
      <c r="M388" s="179">
        <f t="shared" si="260"/>
        <v>1.8014248248326614</v>
      </c>
      <c r="N388" s="179">
        <f t="shared" si="260"/>
        <v>1.7911028658164787</v>
      </c>
      <c r="O388" s="179">
        <f t="shared" si="260"/>
        <v>1.7968616925181304</v>
      </c>
      <c r="P388" s="179">
        <f t="shared" si="260"/>
        <v>1.7326730106049213</v>
      </c>
      <c r="Q388" s="179">
        <f t="shared" si="260"/>
        <v>1.7701718267479611</v>
      </c>
      <c r="R388" s="179">
        <f t="shared" si="260"/>
        <v>1.7791598122216428</v>
      </c>
      <c r="S388" s="179">
        <f t="shared" si="260"/>
        <v>1.7684767692609293</v>
      </c>
      <c r="T388" s="179">
        <f t="shared" si="260"/>
        <v>1.7767941622490375</v>
      </c>
    </row>
    <row r="389" spans="1:20">
      <c r="A389" s="175"/>
      <c r="B389" s="177"/>
      <c r="C389" s="177"/>
      <c r="D389" s="177"/>
      <c r="E389" s="177"/>
      <c r="F389" s="177"/>
      <c r="G389" s="177"/>
      <c r="H389" s="177"/>
      <c r="I389" s="177"/>
      <c r="J389" s="177"/>
      <c r="K389" s="178"/>
      <c r="L389" s="179"/>
      <c r="M389" s="179"/>
      <c r="N389" s="179"/>
      <c r="O389" s="179"/>
      <c r="P389" s="179"/>
      <c r="Q389" s="179"/>
      <c r="R389" s="179"/>
      <c r="S389" s="179"/>
      <c r="T389" s="179"/>
    </row>
    <row r="390" spans="1:20">
      <c r="A390" s="175" t="s">
        <v>2971</v>
      </c>
      <c r="B390" s="177">
        <f>'SHROPSHIRE &amp; TELFORD &amp; WREKIN '!D3</f>
        <v>230844</v>
      </c>
      <c r="C390" s="177">
        <f>'SHROPSHIRE &amp; TELFORD &amp; WREKIN '!E3</f>
        <v>228607</v>
      </c>
      <c r="D390" s="177">
        <f>'SHROPSHIRE &amp; TELFORD &amp; WREKIN '!F3</f>
        <v>227169</v>
      </c>
      <c r="E390" s="177">
        <f>'SHROPSHIRE &amp; TELFORD &amp; WREKIN '!G3</f>
        <v>234601</v>
      </c>
      <c r="F390" s="177">
        <f>'SHROPSHIRE &amp; TELFORD &amp; WREKIN '!H3</f>
        <v>223081</v>
      </c>
      <c r="G390" s="177">
        <f>'SHROPSHIRE &amp; TELFORD &amp; WREKIN '!I3</f>
        <v>228191</v>
      </c>
      <c r="H390" s="177">
        <f>'SHROPSHIRE &amp; TELFORD &amp; WREKIN '!J3</f>
        <v>229810</v>
      </c>
      <c r="I390" s="177">
        <f>'SHROPSHIRE &amp; TELFORD &amp; WREKIN '!K3</f>
        <v>238443</v>
      </c>
      <c r="J390" s="177">
        <f>'SHROPSHIRE &amp; TELFORD &amp; WREKIN '!L3</f>
        <v>237626</v>
      </c>
      <c r="K390" s="178"/>
      <c r="L390" s="179">
        <f t="shared" ref="L390:T392" si="261">B390/B$470</f>
        <v>3.0401411789495865</v>
      </c>
      <c r="M390" s="179">
        <f t="shared" si="261"/>
        <v>2.9828290340679269</v>
      </c>
      <c r="N390" s="179">
        <f t="shared" si="261"/>
        <v>2.9471465082186272</v>
      </c>
      <c r="O390" s="179">
        <f t="shared" si="261"/>
        <v>3.0273440524427699</v>
      </c>
      <c r="P390" s="179">
        <f t="shared" si="261"/>
        <v>2.8921227992843623</v>
      </c>
      <c r="Q390" s="179">
        <f t="shared" si="261"/>
        <v>3.0114683136695963</v>
      </c>
      <c r="R390" s="179">
        <f t="shared" si="261"/>
        <v>3.0736000213992432</v>
      </c>
      <c r="S390" s="179">
        <f t="shared" si="261"/>
        <v>3.1162909233483629</v>
      </c>
      <c r="T390" s="179">
        <f t="shared" si="261"/>
        <v>3.0799320830039014</v>
      </c>
    </row>
    <row r="391" spans="1:20">
      <c r="A391" s="175" t="s">
        <v>6863</v>
      </c>
      <c r="B391" s="177">
        <f>'SHROPSHIRE &amp; TELFORD &amp; WREKIN '!D4</f>
        <v>119968</v>
      </c>
      <c r="C391" s="177">
        <f>'SHROPSHIRE &amp; TELFORD &amp; WREKIN '!E4</f>
        <v>121292</v>
      </c>
      <c r="D391" s="177">
        <f>'SHROPSHIRE &amp; TELFORD &amp; WREKIN '!F4</f>
        <v>122136</v>
      </c>
      <c r="E391" s="177">
        <f>'SHROPSHIRE &amp; TELFORD &amp; WREKIN '!G4</f>
        <v>123225</v>
      </c>
      <c r="F391" s="177">
        <f>'SHROPSHIRE &amp; TELFORD &amp; WREKIN '!H4</f>
        <v>122619</v>
      </c>
      <c r="G391" s="177">
        <f>'SHROPSHIRE &amp; TELFORD &amp; WREKIN '!I4</f>
        <v>119972</v>
      </c>
      <c r="H391" s="177">
        <f>'SHROPSHIRE &amp; TELFORD &amp; WREKIN '!J4</f>
        <v>119097</v>
      </c>
      <c r="I391" s="177">
        <f>'SHROPSHIRE &amp; TELFORD &amp; WREKIN '!K4</f>
        <v>121615</v>
      </c>
      <c r="J391" s="177">
        <f>'SHROPSHIRE &amp; TELFORD &amp; WREKIN '!L4</f>
        <v>122961</v>
      </c>
      <c r="K391" s="178"/>
      <c r="L391" s="179">
        <f t="shared" si="261"/>
        <v>1.5799399462677133</v>
      </c>
      <c r="M391" s="179">
        <f t="shared" si="261"/>
        <v>1.5825993919703554</v>
      </c>
      <c r="N391" s="179">
        <f t="shared" si="261"/>
        <v>1.5845149907240434</v>
      </c>
      <c r="O391" s="179">
        <f t="shared" si="261"/>
        <v>1.5901231063050043</v>
      </c>
      <c r="P391" s="179">
        <f t="shared" si="261"/>
        <v>1.5896880752975342</v>
      </c>
      <c r="Q391" s="179">
        <f t="shared" si="261"/>
        <v>1.5832871433473223</v>
      </c>
      <c r="R391" s="179">
        <f t="shared" si="261"/>
        <v>1.5928660273642821</v>
      </c>
      <c r="S391" s="179">
        <f t="shared" si="261"/>
        <v>1.589426909756257</v>
      </c>
      <c r="T391" s="179">
        <f t="shared" si="261"/>
        <v>1.5937293429937915</v>
      </c>
    </row>
    <row r="392" spans="1:20">
      <c r="A392" s="181" t="s">
        <v>6864</v>
      </c>
      <c r="B392" s="177">
        <f t="shared" ref="B392:H392" si="262">B390+B391</f>
        <v>350812</v>
      </c>
      <c r="C392" s="177">
        <f t="shared" si="262"/>
        <v>349899</v>
      </c>
      <c r="D392" s="177">
        <f t="shared" si="262"/>
        <v>349305</v>
      </c>
      <c r="E392" s="177">
        <f t="shared" si="262"/>
        <v>357826</v>
      </c>
      <c r="F392" s="177">
        <f t="shared" si="262"/>
        <v>345700</v>
      </c>
      <c r="G392" s="177">
        <f t="shared" si="262"/>
        <v>348163</v>
      </c>
      <c r="H392" s="177">
        <f t="shared" si="262"/>
        <v>348907</v>
      </c>
      <c r="I392" s="177">
        <f t="shared" ref="I392:J392" si="263">I390+I391</f>
        <v>360058</v>
      </c>
      <c r="J392" s="177">
        <f t="shared" si="263"/>
        <v>360587</v>
      </c>
      <c r="K392" s="178"/>
      <c r="L392" s="179">
        <f t="shared" si="261"/>
        <v>4.6200811252172995</v>
      </c>
      <c r="M392" s="179">
        <f t="shared" si="261"/>
        <v>4.5654284260382827</v>
      </c>
      <c r="N392" s="179">
        <f t="shared" si="261"/>
        <v>4.5316614989426709</v>
      </c>
      <c r="O392" s="179">
        <f t="shared" si="261"/>
        <v>4.6174671587477736</v>
      </c>
      <c r="P392" s="179">
        <f t="shared" si="261"/>
        <v>4.4818108745818961</v>
      </c>
      <c r="Q392" s="179">
        <f t="shared" si="261"/>
        <v>4.5947554570169187</v>
      </c>
      <c r="R392" s="179">
        <f t="shared" si="261"/>
        <v>4.6664660487635246</v>
      </c>
      <c r="S392" s="179">
        <f t="shared" si="261"/>
        <v>4.7057178331046199</v>
      </c>
      <c r="T392" s="179">
        <f t="shared" si="261"/>
        <v>4.6736614259976932</v>
      </c>
    </row>
    <row r="393" spans="1:20">
      <c r="A393" s="175"/>
      <c r="B393" s="177"/>
      <c r="C393" s="177"/>
      <c r="D393" s="177"/>
      <c r="E393" s="177"/>
      <c r="F393" s="177"/>
      <c r="G393" s="177"/>
      <c r="H393" s="177"/>
      <c r="I393" s="177"/>
      <c r="J393" s="177"/>
      <c r="K393" s="178"/>
      <c r="L393" s="179"/>
      <c r="M393" s="179"/>
      <c r="N393" s="179"/>
      <c r="O393" s="179"/>
      <c r="P393" s="179"/>
      <c r="Q393" s="179"/>
      <c r="R393" s="179"/>
      <c r="S393" s="179"/>
      <c r="T393" s="179"/>
    </row>
    <row r="394" spans="1:20">
      <c r="A394" s="175" t="s">
        <v>6872</v>
      </c>
      <c r="B394" s="177">
        <f>STAFFORDSHIRE!D7</f>
        <v>74828</v>
      </c>
      <c r="C394" s="177">
        <f>STAFFORDSHIRE!E7</f>
        <v>75680</v>
      </c>
      <c r="D394" s="177">
        <f>STAFFORDSHIRE!F7</f>
        <v>75494</v>
      </c>
      <c r="E394" s="177">
        <f>STAFFORDSHIRE!G7</f>
        <v>75539</v>
      </c>
      <c r="F394" s="177">
        <f>STAFFORDSHIRE!H7</f>
        <v>75380</v>
      </c>
      <c r="G394" s="177">
        <f>STAFFORDSHIRE!I7</f>
        <v>74146</v>
      </c>
      <c r="H394" s="177">
        <f>STAFFORDSHIRE!J7</f>
        <v>73470</v>
      </c>
      <c r="I394" s="177">
        <f>STAFFORDSHIRE!K7</f>
        <v>73801</v>
      </c>
      <c r="J394" s="177">
        <f>STAFFORDSHIRE!L7</f>
        <v>73834</v>
      </c>
      <c r="K394" s="178"/>
      <c r="L394" s="179">
        <f t="shared" ref="L394:L404" si="264">B394/B$470</f>
        <v>0.98546067534109472</v>
      </c>
      <c r="M394" s="179">
        <f t="shared" ref="M394:M404" si="265">C394/C$470</f>
        <v>0.98746101955872179</v>
      </c>
      <c r="N394" s="179">
        <f t="shared" ref="N394:N404" si="266">D394/D$470</f>
        <v>0.97941126866542982</v>
      </c>
      <c r="O394" s="179">
        <f t="shared" ref="O394:O404" si="267">E394/E$470</f>
        <v>0.97477224043151733</v>
      </c>
      <c r="P394" s="179">
        <f t="shared" ref="P394:P404" si="268">F394/F$470</f>
        <v>0.97726035211450202</v>
      </c>
      <c r="Q394" s="179">
        <f t="shared" ref="Q394:T404" si="269">G394/G$470</f>
        <v>0.97851505793543958</v>
      </c>
      <c r="R394" s="179">
        <f t="shared" si="269"/>
        <v>0.98262648958793086</v>
      </c>
      <c r="S394" s="179">
        <f t="shared" si="269"/>
        <v>0.96452983075214005</v>
      </c>
      <c r="T394" s="179">
        <f t="shared" si="269"/>
        <v>0.95698158205124884</v>
      </c>
    </row>
    <row r="395" spans="1:20">
      <c r="A395" s="175" t="s">
        <v>6873</v>
      </c>
      <c r="B395" s="177">
        <f>STAFFORDSHIRE!D8</f>
        <v>83873</v>
      </c>
      <c r="C395" s="177">
        <f>STAFFORDSHIRE!E8</f>
        <v>84149</v>
      </c>
      <c r="D395" s="177">
        <f>STAFFORDSHIRE!F8</f>
        <v>84554</v>
      </c>
      <c r="E395" s="177">
        <f>STAFFORDSHIRE!G8</f>
        <v>85098</v>
      </c>
      <c r="F395" s="177">
        <f>STAFFORDSHIRE!H8</f>
        <v>84955</v>
      </c>
      <c r="G395" s="177">
        <f>STAFFORDSHIRE!I8</f>
        <v>83823</v>
      </c>
      <c r="H395" s="177">
        <f>STAFFORDSHIRE!J8</f>
        <v>81297</v>
      </c>
      <c r="I395" s="177">
        <f>STAFFORDSHIRE!K8</f>
        <v>81468</v>
      </c>
      <c r="J395" s="177">
        <f>STAFFORDSHIRE!L8</f>
        <v>82781</v>
      </c>
      <c r="K395" s="178"/>
      <c r="L395" s="179">
        <f t="shared" si="264"/>
        <v>1.1045804140546804</v>
      </c>
      <c r="M395" s="179">
        <f t="shared" si="265"/>
        <v>1.0979632311686955</v>
      </c>
      <c r="N395" s="179">
        <f t="shared" si="266"/>
        <v>1.0969499617285712</v>
      </c>
      <c r="O395" s="179">
        <f t="shared" si="267"/>
        <v>1.0981237257077967</v>
      </c>
      <c r="P395" s="179">
        <f t="shared" si="268"/>
        <v>1.1013949749786087</v>
      </c>
      <c r="Q395" s="179">
        <f t="shared" si="269"/>
        <v>1.1062237706865152</v>
      </c>
      <c r="R395" s="179">
        <f t="shared" si="269"/>
        <v>1.0873089114472576</v>
      </c>
      <c r="S395" s="179">
        <f t="shared" si="269"/>
        <v>1.0647324054107037</v>
      </c>
      <c r="T395" s="179">
        <f t="shared" si="269"/>
        <v>1.0729459645120734</v>
      </c>
    </row>
    <row r="396" spans="1:20">
      <c r="A396" s="175" t="s">
        <v>6874</v>
      </c>
      <c r="B396" s="177">
        <f>STAFFORDSHIRE!D9</f>
        <v>77981</v>
      </c>
      <c r="C396" s="177">
        <f>STAFFORDSHIRE!E9</f>
        <v>78644</v>
      </c>
      <c r="D396" s="177">
        <f>STAFFORDSHIRE!F9</f>
        <v>79134</v>
      </c>
      <c r="E396" s="177">
        <f>STAFFORDSHIRE!G9</f>
        <v>79959</v>
      </c>
      <c r="F396" s="177">
        <f>STAFFORDSHIRE!H9</f>
        <v>80257</v>
      </c>
      <c r="G396" s="177">
        <f>STAFFORDSHIRE!I9</f>
        <v>79688</v>
      </c>
      <c r="H396" s="177">
        <f>STAFFORDSHIRE!J9</f>
        <v>77591</v>
      </c>
      <c r="I396" s="177">
        <f>STAFFORDSHIRE!K9</f>
        <v>79473</v>
      </c>
      <c r="J396" s="177">
        <f>STAFFORDSHIRE!L9</f>
        <v>78897</v>
      </c>
      <c r="K396" s="178"/>
      <c r="L396" s="179">
        <f t="shared" si="264"/>
        <v>1.026984670494653</v>
      </c>
      <c r="M396" s="179">
        <f t="shared" si="265"/>
        <v>1.0261348364452447</v>
      </c>
      <c r="N396" s="179">
        <f t="shared" si="266"/>
        <v>1.0266343197415706</v>
      </c>
      <c r="O396" s="179">
        <f t="shared" si="267"/>
        <v>1.0318089142385216</v>
      </c>
      <c r="P396" s="179">
        <f t="shared" si="268"/>
        <v>1.0404879819534836</v>
      </c>
      <c r="Q396" s="179">
        <f t="shared" si="269"/>
        <v>1.0516536014991951</v>
      </c>
      <c r="R396" s="179">
        <f t="shared" si="269"/>
        <v>1.0377429148443873</v>
      </c>
      <c r="S396" s="179">
        <f t="shared" si="269"/>
        <v>1.0386590864536365</v>
      </c>
      <c r="T396" s="179">
        <f t="shared" si="269"/>
        <v>1.0226044353427606</v>
      </c>
    </row>
    <row r="397" spans="1:20">
      <c r="A397" s="175" t="s">
        <v>6875</v>
      </c>
      <c r="B397" s="177">
        <f>STAFFORDSHIRE!D10</f>
        <v>97040</v>
      </c>
      <c r="C397" s="177">
        <f>STAFFORDSHIRE!E10</f>
        <v>96728</v>
      </c>
      <c r="D397" s="177">
        <f>STAFFORDSHIRE!F10</f>
        <v>97206</v>
      </c>
      <c r="E397" s="177">
        <f>STAFFORDSHIRE!G10</f>
        <v>96829</v>
      </c>
      <c r="F397" s="177">
        <f>STAFFORDSHIRE!H10</f>
        <v>96580</v>
      </c>
      <c r="G397" s="177">
        <f>STAFFORDSHIRE!I10</f>
        <v>93590</v>
      </c>
      <c r="H397" s="177">
        <f>STAFFORDSHIRE!J10</f>
        <v>89247</v>
      </c>
      <c r="I397" s="177">
        <f>STAFFORDSHIRE!K10</f>
        <v>89525</v>
      </c>
      <c r="J397" s="177">
        <f>STAFFORDSHIRE!L10</f>
        <v>92521</v>
      </c>
      <c r="K397" s="178"/>
      <c r="L397" s="179">
        <f t="shared" si="264"/>
        <v>1.2779855660327661</v>
      </c>
      <c r="M397" s="179">
        <f t="shared" si="265"/>
        <v>1.2620920917002649</v>
      </c>
      <c r="N397" s="179">
        <f t="shared" si="266"/>
        <v>1.2610889843152009</v>
      </c>
      <c r="O397" s="179">
        <f t="shared" si="267"/>
        <v>1.2495031873435363</v>
      </c>
      <c r="P397" s="179">
        <f t="shared" si="268"/>
        <v>1.2521067233645344</v>
      </c>
      <c r="Q397" s="179">
        <f t="shared" si="269"/>
        <v>1.2351202259350174</v>
      </c>
      <c r="R397" s="179">
        <f t="shared" si="269"/>
        <v>1.1936364001123461</v>
      </c>
      <c r="S397" s="179">
        <f t="shared" si="269"/>
        <v>1.170032019865386</v>
      </c>
      <c r="T397" s="179">
        <f t="shared" si="269"/>
        <v>1.1991886251992794</v>
      </c>
    </row>
    <row r="398" spans="1:20">
      <c r="A398" s="175" t="s">
        <v>6876</v>
      </c>
      <c r="B398" s="177">
        <f>STAFFORDSHIRE!D11</f>
        <v>85281</v>
      </c>
      <c r="C398" s="177">
        <f>STAFFORDSHIRE!E11</f>
        <v>85860</v>
      </c>
      <c r="D398" s="177">
        <f>STAFFORDSHIRE!F11</f>
        <v>86305</v>
      </c>
      <c r="E398" s="177">
        <f>STAFFORDSHIRE!G11</f>
        <v>86657</v>
      </c>
      <c r="F398" s="177">
        <f>STAFFORDSHIRE!H11</f>
        <v>86323</v>
      </c>
      <c r="G398" s="177">
        <f>STAFFORDSHIRE!I11</f>
        <v>83366</v>
      </c>
      <c r="H398" s="177">
        <f>STAFFORDSHIRE!J11</f>
        <v>83407</v>
      </c>
      <c r="I398" s="177">
        <f>STAFFORDSHIRE!K11</f>
        <v>85099</v>
      </c>
      <c r="J398" s="177">
        <f>STAFFORDSHIRE!L11</f>
        <v>85014</v>
      </c>
      <c r="K398" s="178"/>
      <c r="L398" s="179">
        <f t="shared" si="264"/>
        <v>1.1231233208660381</v>
      </c>
      <c r="M398" s="179">
        <f t="shared" si="265"/>
        <v>1.1202880964496811</v>
      </c>
      <c r="N398" s="179">
        <f t="shared" si="266"/>
        <v>1.1196663250347036</v>
      </c>
      <c r="O398" s="179">
        <f t="shared" si="267"/>
        <v>1.1182414122383668</v>
      </c>
      <c r="P398" s="179">
        <f t="shared" si="268"/>
        <v>1.1191303445951202</v>
      </c>
      <c r="Q398" s="179">
        <f t="shared" si="269"/>
        <v>1.1001926782273603</v>
      </c>
      <c r="R398" s="179">
        <f t="shared" si="269"/>
        <v>1.1155291631558533</v>
      </c>
      <c r="S398" s="179">
        <f t="shared" si="269"/>
        <v>1.1121871528458471</v>
      </c>
      <c r="T398" s="179">
        <f t="shared" si="269"/>
        <v>1.1018884554067891</v>
      </c>
    </row>
    <row r="399" spans="1:20">
      <c r="A399" s="175" t="s">
        <v>6877</v>
      </c>
      <c r="B399" s="177">
        <f>STAFFORDSHIRE!D12</f>
        <v>98303</v>
      </c>
      <c r="C399" s="177">
        <f>STAFFORDSHIRE!E12</f>
        <v>97459</v>
      </c>
      <c r="D399" s="177">
        <f>STAFFORDSHIRE!F12</f>
        <v>97541</v>
      </c>
      <c r="E399" s="177">
        <f>STAFFORDSHIRE!G12</f>
        <v>97914</v>
      </c>
      <c r="F399" s="177">
        <f>STAFFORDSHIRE!H12</f>
        <v>95842</v>
      </c>
      <c r="G399" s="177">
        <f>STAFFORDSHIRE!I12</f>
        <v>94986</v>
      </c>
      <c r="H399" s="177">
        <f>STAFFORDSHIRE!J12</f>
        <v>95558</v>
      </c>
      <c r="I399" s="177">
        <f>STAFFORDSHIRE!K12</f>
        <v>98652</v>
      </c>
      <c r="J399" s="177">
        <f>STAFFORDSHIRE!L12</f>
        <v>99622</v>
      </c>
      <c r="K399" s="178"/>
      <c r="L399" s="179">
        <f t="shared" si="264"/>
        <v>1.2946188695148291</v>
      </c>
      <c r="M399" s="179">
        <f t="shared" si="265"/>
        <v>1.2716300674573662</v>
      </c>
      <c r="N399" s="179">
        <f t="shared" si="266"/>
        <v>1.2654350618180874</v>
      </c>
      <c r="O399" s="179">
        <f t="shared" si="267"/>
        <v>1.263504271298423</v>
      </c>
      <c r="P399" s="179">
        <f t="shared" si="268"/>
        <v>1.2425389581766795</v>
      </c>
      <c r="Q399" s="179">
        <f t="shared" si="269"/>
        <v>1.2535434317839893</v>
      </c>
      <c r="R399" s="179">
        <f t="shared" si="269"/>
        <v>1.2780430392274873</v>
      </c>
      <c r="S399" s="179">
        <f t="shared" si="269"/>
        <v>1.2893158204273671</v>
      </c>
      <c r="T399" s="179">
        <f t="shared" si="269"/>
        <v>1.2912265239200031</v>
      </c>
    </row>
    <row r="400" spans="1:20">
      <c r="A400" s="175" t="s">
        <v>6878</v>
      </c>
      <c r="B400" s="177">
        <f>STAFFORDSHIRE!D13</f>
        <v>77952</v>
      </c>
      <c r="C400" s="177">
        <f>STAFFORDSHIRE!E13</f>
        <v>78034</v>
      </c>
      <c r="D400" s="177">
        <f>STAFFORDSHIRE!F13</f>
        <v>78178</v>
      </c>
      <c r="E400" s="177">
        <f>STAFFORDSHIRE!G13</f>
        <v>78413</v>
      </c>
      <c r="F400" s="177">
        <f>STAFFORDSHIRE!H13</f>
        <v>78268</v>
      </c>
      <c r="G400" s="177">
        <f>STAFFORDSHIRE!I13</f>
        <v>78277</v>
      </c>
      <c r="H400" s="177">
        <f>STAFFORDSHIRE!J13</f>
        <v>78211</v>
      </c>
      <c r="I400" s="177">
        <f>STAFFORDSHIRE!K13</f>
        <v>78206</v>
      </c>
      <c r="J400" s="177">
        <f>STAFFORDSHIRE!L13</f>
        <v>78002</v>
      </c>
      <c r="K400" s="178"/>
      <c r="L400" s="179">
        <f t="shared" si="264"/>
        <v>1.0266027498287942</v>
      </c>
      <c r="M400" s="179">
        <f t="shared" si="265"/>
        <v>1.0181756501089496</v>
      </c>
      <c r="N400" s="179">
        <f t="shared" si="266"/>
        <v>1.0142317821512434</v>
      </c>
      <c r="O400" s="179">
        <f t="shared" si="267"/>
        <v>1.0118589826309135</v>
      </c>
      <c r="P400" s="179">
        <f t="shared" si="268"/>
        <v>1.014701687971582</v>
      </c>
      <c r="Q400" s="179">
        <f t="shared" si="269"/>
        <v>1.0330324385673186</v>
      </c>
      <c r="R400" s="179">
        <f t="shared" si="269"/>
        <v>1.0460351215075767</v>
      </c>
      <c r="S400" s="179">
        <f t="shared" si="269"/>
        <v>1.022100241782657</v>
      </c>
      <c r="T400" s="179">
        <f t="shared" si="269"/>
        <v>1.0110041087190389</v>
      </c>
    </row>
    <row r="401" spans="1:20">
      <c r="A401" s="175" t="s">
        <v>5105</v>
      </c>
      <c r="B401" s="177">
        <f>STAFFORDSHIRE!D14</f>
        <v>57698</v>
      </c>
      <c r="C401" s="177">
        <f>STAFFORDSHIRE!E14</f>
        <v>58138</v>
      </c>
      <c r="D401" s="177">
        <f>STAFFORDSHIRE!F14</f>
        <v>57750</v>
      </c>
      <c r="E401" s="177">
        <f>STAFFORDSHIRE!G14</f>
        <v>58132</v>
      </c>
      <c r="F401" s="177">
        <f>STAFFORDSHIRE!H14</f>
        <v>57352</v>
      </c>
      <c r="G401" s="177">
        <f>STAFFORDSHIRE!I14</f>
        <v>56462</v>
      </c>
      <c r="H401" s="177">
        <f>STAFFORDSHIRE!J14</f>
        <v>56689</v>
      </c>
      <c r="I401" s="177">
        <f>STAFFORDSHIRE!K14</f>
        <v>57019</v>
      </c>
      <c r="J401" s="177">
        <f>STAFFORDSHIRE!L14</f>
        <v>57315</v>
      </c>
      <c r="K401" s="178"/>
      <c r="L401" s="179">
        <f t="shared" si="264"/>
        <v>0.75986408892166679</v>
      </c>
      <c r="M401" s="179">
        <f t="shared" si="265"/>
        <v>0.75857569708119676</v>
      </c>
      <c r="N401" s="179">
        <f t="shared" si="266"/>
        <v>0.74921186803492434</v>
      </c>
      <c r="O401" s="179">
        <f t="shared" si="267"/>
        <v>0.75014839858569693</v>
      </c>
      <c r="P401" s="179">
        <f t="shared" si="268"/>
        <v>0.74353722094018204</v>
      </c>
      <c r="Q401" s="179">
        <f t="shared" si="269"/>
        <v>0.74513685432998122</v>
      </c>
      <c r="R401" s="179">
        <f t="shared" si="269"/>
        <v>0.75818855407989938</v>
      </c>
      <c r="S401" s="179">
        <f t="shared" si="269"/>
        <v>0.74520028752532186</v>
      </c>
      <c r="T401" s="179">
        <f t="shared" si="269"/>
        <v>0.74287454797609942</v>
      </c>
    </row>
    <row r="402" spans="1:20">
      <c r="A402" s="175" t="s">
        <v>3412</v>
      </c>
      <c r="B402" s="180">
        <f t="shared" ref="B402:G402" si="270">SUM(B394:B401)</f>
        <v>652956</v>
      </c>
      <c r="C402" s="180">
        <f t="shared" si="270"/>
        <v>654692</v>
      </c>
      <c r="D402" s="180">
        <f t="shared" si="270"/>
        <v>656162</v>
      </c>
      <c r="E402" s="180">
        <f t="shared" si="270"/>
        <v>658541</v>
      </c>
      <c r="F402" s="180">
        <f t="shared" si="270"/>
        <v>654957</v>
      </c>
      <c r="G402" s="180">
        <f t="shared" si="270"/>
        <v>644338</v>
      </c>
      <c r="H402" s="180">
        <f t="shared" ref="H402" si="271">SUM(H394:H401)</f>
        <v>635470</v>
      </c>
      <c r="I402" s="180">
        <f t="shared" ref="I402:J402" si="272">SUM(I394:I401)</f>
        <v>643243</v>
      </c>
      <c r="J402" s="180">
        <f t="shared" si="272"/>
        <v>647986</v>
      </c>
      <c r="K402" s="173"/>
      <c r="L402" s="179">
        <f t="shared" si="264"/>
        <v>8.5992203550545216</v>
      </c>
      <c r="M402" s="179">
        <f t="shared" si="265"/>
        <v>8.5423206899701203</v>
      </c>
      <c r="N402" s="179">
        <f t="shared" si="266"/>
        <v>8.5126295714897324</v>
      </c>
      <c r="O402" s="179">
        <f t="shared" si="267"/>
        <v>8.4979611324747726</v>
      </c>
      <c r="P402" s="179">
        <f t="shared" si="268"/>
        <v>8.4911582440946916</v>
      </c>
      <c r="Q402" s="179">
        <f t="shared" si="269"/>
        <v>8.503418058964817</v>
      </c>
      <c r="R402" s="179">
        <f t="shared" si="269"/>
        <v>8.4991105939627385</v>
      </c>
      <c r="S402" s="179">
        <f t="shared" si="269"/>
        <v>8.4067568450630592</v>
      </c>
      <c r="T402" s="179">
        <f t="shared" si="269"/>
        <v>8.3987142431272925</v>
      </c>
    </row>
    <row r="403" spans="1:20">
      <c r="A403" s="175" t="s">
        <v>3413</v>
      </c>
      <c r="B403" s="177">
        <f>STAFFORDSHIRE!D4</f>
        <v>185256</v>
      </c>
      <c r="C403" s="177">
        <f>STAFFORDSHIRE!E4</f>
        <v>186441</v>
      </c>
      <c r="D403" s="177">
        <f>STAFFORDSHIRE!F4</f>
        <v>187432</v>
      </c>
      <c r="E403" s="177">
        <f>STAFFORDSHIRE!G4</f>
        <v>187103</v>
      </c>
      <c r="F403" s="177">
        <f>STAFFORDSHIRE!H4</f>
        <v>186514</v>
      </c>
      <c r="G403" s="177">
        <f>STAFFORDSHIRE!I4</f>
        <v>182238</v>
      </c>
      <c r="H403" s="177">
        <f>STAFFORDSHIRE!J4</f>
        <v>179857</v>
      </c>
      <c r="I403" s="177">
        <f>STAFFORDSHIRE!K4</f>
        <v>176234</v>
      </c>
      <c r="J403" s="177">
        <f>STAFFORDSHIRE!L4</f>
        <v>180154</v>
      </c>
      <c r="K403" s="178"/>
      <c r="L403" s="179">
        <f t="shared" si="264"/>
        <v>2.4397618922193542</v>
      </c>
      <c r="M403" s="179">
        <f t="shared" si="265"/>
        <v>2.4326535405331349</v>
      </c>
      <c r="N403" s="179">
        <f t="shared" si="266"/>
        <v>2.431623876182198</v>
      </c>
      <c r="O403" s="179">
        <f t="shared" si="267"/>
        <v>2.4144191808398068</v>
      </c>
      <c r="P403" s="179">
        <f t="shared" si="268"/>
        <v>2.4180517022324786</v>
      </c>
      <c r="Q403" s="179">
        <f t="shared" si="269"/>
        <v>2.4050201916224561</v>
      </c>
      <c r="R403" s="179">
        <f t="shared" si="269"/>
        <v>2.4055022803568322</v>
      </c>
      <c r="S403" s="179">
        <f t="shared" si="269"/>
        <v>2.3032607985362348</v>
      </c>
      <c r="T403" s="179">
        <f t="shared" si="269"/>
        <v>2.3350226173966018</v>
      </c>
    </row>
    <row r="404" spans="1:20">
      <c r="A404" s="181" t="s">
        <v>3423</v>
      </c>
      <c r="B404" s="177">
        <f t="shared" ref="B404:G404" si="273">B402+B403</f>
        <v>838212</v>
      </c>
      <c r="C404" s="177">
        <f t="shared" si="273"/>
        <v>841133</v>
      </c>
      <c r="D404" s="177">
        <f t="shared" si="273"/>
        <v>843594</v>
      </c>
      <c r="E404" s="177">
        <f t="shared" si="273"/>
        <v>845644</v>
      </c>
      <c r="F404" s="177">
        <f t="shared" si="273"/>
        <v>841471</v>
      </c>
      <c r="G404" s="177">
        <f t="shared" si="273"/>
        <v>826576</v>
      </c>
      <c r="H404" s="177">
        <f t="shared" ref="H404" si="274">H402+H403</f>
        <v>815327</v>
      </c>
      <c r="I404" s="177">
        <f t="shared" ref="I404:J404" si="275">I402+I403</f>
        <v>819477</v>
      </c>
      <c r="J404" s="177">
        <f t="shared" si="275"/>
        <v>828140</v>
      </c>
      <c r="K404" s="178"/>
      <c r="L404" s="179">
        <f t="shared" si="264"/>
        <v>11.038982247273877</v>
      </c>
      <c r="M404" s="179">
        <f t="shared" si="265"/>
        <v>10.974974230503255</v>
      </c>
      <c r="N404" s="179">
        <f t="shared" si="266"/>
        <v>10.94425344767193</v>
      </c>
      <c r="O404" s="179">
        <f t="shared" si="267"/>
        <v>10.912380313314578</v>
      </c>
      <c r="P404" s="179">
        <f t="shared" si="268"/>
        <v>10.90920994632717</v>
      </c>
      <c r="Q404" s="179">
        <f t="shared" si="269"/>
        <v>10.908438250587272</v>
      </c>
      <c r="R404" s="179">
        <f t="shared" si="269"/>
        <v>10.904612874319572</v>
      </c>
      <c r="S404" s="179">
        <f t="shared" si="269"/>
        <v>10.710017643599294</v>
      </c>
      <c r="T404" s="179">
        <f t="shared" si="269"/>
        <v>10.733736860523894</v>
      </c>
    </row>
    <row r="405" spans="1:20">
      <c r="A405" s="175"/>
      <c r="B405" s="177"/>
      <c r="C405" s="177"/>
      <c r="D405" s="177"/>
      <c r="E405" s="177"/>
      <c r="F405" s="177"/>
      <c r="G405" s="177"/>
      <c r="H405" s="177"/>
      <c r="I405" s="177"/>
      <c r="J405" s="177"/>
      <c r="K405" s="178"/>
      <c r="L405" s="179"/>
      <c r="M405" s="179"/>
      <c r="N405" s="179"/>
      <c r="O405" s="179"/>
      <c r="P405" s="179"/>
      <c r="Q405" s="179"/>
      <c r="R405" s="179"/>
      <c r="S405" s="179"/>
      <c r="T405" s="179"/>
    </row>
    <row r="406" spans="1:20">
      <c r="A406" s="175" t="s">
        <v>6940</v>
      </c>
      <c r="B406" s="177">
        <f>WARWICKSHIRE!D5</f>
        <v>49662</v>
      </c>
      <c r="C406" s="177">
        <f>WARWICKSHIRE!E5</f>
        <v>49627</v>
      </c>
      <c r="D406" s="177">
        <f>WARWICKSHIRE!F5</f>
        <v>49788</v>
      </c>
      <c r="E406" s="177">
        <f>WARWICKSHIRE!G5</f>
        <v>49987</v>
      </c>
      <c r="F406" s="177">
        <f>WARWICKSHIRE!H5</f>
        <v>49456</v>
      </c>
      <c r="G406" s="177">
        <f>WARWICKSHIRE!I5</f>
        <v>48520</v>
      </c>
      <c r="H406" s="177">
        <f>WARWICKSHIRE!J5</f>
        <v>47339</v>
      </c>
      <c r="I406" s="177">
        <f>WARWICKSHIRE!K5</f>
        <v>48761</v>
      </c>
      <c r="J406" s="177">
        <f>WARWICKSHIRE!L5</f>
        <v>48994</v>
      </c>
      <c r="K406" s="178"/>
      <c r="L406" s="179">
        <f t="shared" ref="L406:T411" si="276">B406/B$470</f>
        <v>0.65403255544434491</v>
      </c>
      <c r="M406" s="179">
        <f t="shared" si="276"/>
        <v>0.64752547592019938</v>
      </c>
      <c r="N406" s="179">
        <f t="shared" si="276"/>
        <v>0.64591793048870672</v>
      </c>
      <c r="O406" s="179">
        <f t="shared" si="276"/>
        <v>0.64504348723772165</v>
      </c>
      <c r="P406" s="179">
        <f t="shared" si="276"/>
        <v>0.64116991210101903</v>
      </c>
      <c r="Q406" s="179">
        <f t="shared" si="276"/>
        <v>0.64032517750151763</v>
      </c>
      <c r="R406" s="179">
        <f t="shared" si="276"/>
        <v>0.63313672778825447</v>
      </c>
      <c r="S406" s="179">
        <f t="shared" si="276"/>
        <v>0.63727373717571723</v>
      </c>
      <c r="T406" s="179">
        <f t="shared" si="276"/>
        <v>0.63502391352248133</v>
      </c>
    </row>
    <row r="407" spans="1:20">
      <c r="A407" s="175" t="s">
        <v>8754</v>
      </c>
      <c r="B407" s="177">
        <f>WARWICKSHIRE!D6</f>
        <v>94012</v>
      </c>
      <c r="C407" s="177">
        <f>WARWICKSHIRE!E6</f>
        <v>94340</v>
      </c>
      <c r="D407" s="177">
        <f>WARWICKSHIRE!F6</f>
        <v>94713</v>
      </c>
      <c r="E407" s="177">
        <f>WARWICKSHIRE!G6</f>
        <v>95735</v>
      </c>
      <c r="F407" s="177">
        <f>WARWICKSHIRE!H6</f>
        <v>94069</v>
      </c>
      <c r="G407" s="177">
        <f>WARWICKSHIRE!I6</f>
        <v>92436</v>
      </c>
      <c r="H407" s="177">
        <f>WARWICKSHIRE!J6</f>
        <v>90571</v>
      </c>
      <c r="I407" s="177">
        <f>WARWICKSHIRE!K6</f>
        <v>93023</v>
      </c>
      <c r="J407" s="177">
        <f>WARWICKSHIRE!L6</f>
        <v>94409</v>
      </c>
      <c r="K407" s="178"/>
      <c r="L407" s="179">
        <f t="shared" si="276"/>
        <v>1.2381077806458409</v>
      </c>
      <c r="M407" s="179">
        <f t="shared" si="276"/>
        <v>1.2309338343706371</v>
      </c>
      <c r="N407" s="179">
        <f t="shared" si="276"/>
        <v>1.2287463836743167</v>
      </c>
      <c r="O407" s="179">
        <f t="shared" si="276"/>
        <v>1.2353859653650605</v>
      </c>
      <c r="P407" s="179">
        <f t="shared" si="276"/>
        <v>1.2195529857131744</v>
      </c>
      <c r="Q407" s="179">
        <f t="shared" si="276"/>
        <v>1.2198907276902367</v>
      </c>
      <c r="R407" s="179">
        <f t="shared" si="276"/>
        <v>1.211344273696318</v>
      </c>
      <c r="S407" s="179">
        <f t="shared" si="276"/>
        <v>1.2157485460367248</v>
      </c>
      <c r="T407" s="179">
        <f t="shared" si="276"/>
        <v>1.2236594818088733</v>
      </c>
    </row>
    <row r="408" spans="1:20">
      <c r="A408" s="175" t="s">
        <v>8755</v>
      </c>
      <c r="B408" s="177">
        <f>WARWICKSHIRE!D7</f>
        <v>71178</v>
      </c>
      <c r="C408" s="177">
        <f>WARWICKSHIRE!E7</f>
        <v>72604</v>
      </c>
      <c r="D408" s="177">
        <f>WARWICKSHIRE!F7</f>
        <v>72426</v>
      </c>
      <c r="E408" s="177">
        <f>WARWICKSHIRE!G7</f>
        <v>73069</v>
      </c>
      <c r="F408" s="177">
        <f>WARWICKSHIRE!H7</f>
        <v>73362</v>
      </c>
      <c r="G408" s="177">
        <f>WARWICKSHIRE!I7</f>
        <v>73393</v>
      </c>
      <c r="H408" s="177">
        <f>WARWICKSHIRE!J7</f>
        <v>71187</v>
      </c>
      <c r="I408" s="177">
        <f>WARWICKSHIRE!K7</f>
        <v>73539</v>
      </c>
      <c r="J408" s="177">
        <f>WARWICKSHIRE!L7</f>
        <v>74005</v>
      </c>
      <c r="K408" s="178"/>
      <c r="L408" s="179">
        <f t="shared" si="276"/>
        <v>0.9373913501554022</v>
      </c>
      <c r="M408" s="179">
        <f t="shared" si="276"/>
        <v>0.94732584386946939</v>
      </c>
      <c r="N408" s="179">
        <f t="shared" si="276"/>
        <v>0.93960898275839699</v>
      </c>
      <c r="O408" s="179">
        <f t="shared" si="276"/>
        <v>0.94289880506877954</v>
      </c>
      <c r="P408" s="179">
        <f t="shared" si="276"/>
        <v>0.95109808903985271</v>
      </c>
      <c r="Q408" s="179">
        <f t="shared" si="276"/>
        <v>0.96857761237363738</v>
      </c>
      <c r="R408" s="179">
        <f t="shared" si="276"/>
        <v>0.95209244472976773</v>
      </c>
      <c r="S408" s="179">
        <f t="shared" si="276"/>
        <v>0.96110566555577337</v>
      </c>
      <c r="T408" s="179">
        <f t="shared" si="276"/>
        <v>0.95919795730561352</v>
      </c>
    </row>
    <row r="409" spans="1:20">
      <c r="A409" s="175" t="s">
        <v>16280</v>
      </c>
      <c r="B409" s="177">
        <f>WARWICKSHIRE!D8</f>
        <v>94499</v>
      </c>
      <c r="C409" s="177">
        <f>WARWICKSHIRE!E8</f>
        <v>93887</v>
      </c>
      <c r="D409" s="177">
        <f>WARWICKSHIRE!F8</f>
        <v>95227</v>
      </c>
      <c r="E409" s="177">
        <f>WARWICKSHIRE!G8</f>
        <v>96193</v>
      </c>
      <c r="F409" s="177">
        <f>WARWICKSHIRE!H8</f>
        <v>96494</v>
      </c>
      <c r="G409" s="177">
        <f>WARWICKSHIRE!I8</f>
        <v>95396</v>
      </c>
      <c r="H409" s="177">
        <f>WARWICKSHIRE!J8</f>
        <v>94292</v>
      </c>
      <c r="I409" s="177">
        <f>WARWICKSHIRE!K8</f>
        <v>97284</v>
      </c>
      <c r="J409" s="177">
        <f>WARWICKSHIRE!L8</f>
        <v>97272</v>
      </c>
      <c r="K409" s="178"/>
      <c r="L409" s="179">
        <f t="shared" si="276"/>
        <v>1.2445214138966443</v>
      </c>
      <c r="M409" s="179">
        <f t="shared" si="276"/>
        <v>1.2250231599274539</v>
      </c>
      <c r="N409" s="179">
        <f t="shared" si="276"/>
        <v>1.2354146936339694</v>
      </c>
      <c r="O409" s="179">
        <f t="shared" si="276"/>
        <v>1.2412961003432523</v>
      </c>
      <c r="P409" s="179">
        <f t="shared" si="276"/>
        <v>1.2509917805377655</v>
      </c>
      <c r="Q409" s="179">
        <f t="shared" si="276"/>
        <v>1.2589542587167102</v>
      </c>
      <c r="R409" s="179">
        <f t="shared" si="276"/>
        <v>1.2611108882023299</v>
      </c>
      <c r="S409" s="179">
        <f t="shared" si="276"/>
        <v>1.271436973142521</v>
      </c>
      <c r="T409" s="179">
        <f t="shared" si="276"/>
        <v>1.2607675657459851</v>
      </c>
    </row>
    <row r="410" spans="1:20">
      <c r="A410" s="175" t="s">
        <v>8756</v>
      </c>
      <c r="B410" s="177">
        <f>WARWICKSHIRE!D9</f>
        <v>98267</v>
      </c>
      <c r="C410" s="177">
        <f>WARWICKSHIRE!E9</f>
        <v>97464</v>
      </c>
      <c r="D410" s="177">
        <f>WARWICKSHIRE!F9</f>
        <v>98266</v>
      </c>
      <c r="E410" s="177">
        <f>WARWICKSHIRE!G9</f>
        <v>100220</v>
      </c>
      <c r="F410" s="177">
        <f>WARWICKSHIRE!H9</f>
        <v>98077</v>
      </c>
      <c r="G410" s="177">
        <f>WARWICKSHIRE!I9</f>
        <v>98136</v>
      </c>
      <c r="H410" s="177">
        <f>WARWICKSHIRE!J9</f>
        <v>97927</v>
      </c>
      <c r="I410" s="177">
        <f>WARWICKSHIRE!K9</f>
        <v>101033</v>
      </c>
      <c r="J410" s="177">
        <f>WARWICKSHIRE!L9</f>
        <v>104667</v>
      </c>
      <c r="K410" s="178"/>
      <c r="L410" s="179">
        <f t="shared" si="276"/>
        <v>1.2941447611020387</v>
      </c>
      <c r="M410" s="179">
        <f t="shared" si="276"/>
        <v>1.2716953066896308</v>
      </c>
      <c r="N410" s="179">
        <f t="shared" si="276"/>
        <v>1.2748407519362748</v>
      </c>
      <c r="O410" s="179">
        <f t="shared" si="276"/>
        <v>1.2932614137868739</v>
      </c>
      <c r="P410" s="179">
        <f t="shared" si="276"/>
        <v>1.2715145072211995</v>
      </c>
      <c r="Q410" s="179">
        <f t="shared" si="276"/>
        <v>1.2951144191939188</v>
      </c>
      <c r="R410" s="179">
        <f t="shared" si="276"/>
        <v>1.3097272933969961</v>
      </c>
      <c r="S410" s="179">
        <f t="shared" si="276"/>
        <v>1.3204339018493105</v>
      </c>
      <c r="T410" s="179">
        <f t="shared" si="276"/>
        <v>1.3566160745531606</v>
      </c>
    </row>
    <row r="411" spans="1:20">
      <c r="A411" s="175" t="s">
        <v>8757</v>
      </c>
      <c r="B411" s="177">
        <f t="shared" ref="B411:G411" si="277">SUM(B406:B410)</f>
        <v>407618</v>
      </c>
      <c r="C411" s="177">
        <f t="shared" si="277"/>
        <v>407922</v>
      </c>
      <c r="D411" s="177">
        <f t="shared" si="277"/>
        <v>410420</v>
      </c>
      <c r="E411" s="177">
        <f t="shared" si="277"/>
        <v>415204</v>
      </c>
      <c r="F411" s="177">
        <f t="shared" si="277"/>
        <v>411458</v>
      </c>
      <c r="G411" s="177">
        <f t="shared" si="277"/>
        <v>407881</v>
      </c>
      <c r="H411" s="177">
        <f t="shared" ref="H411" si="278">SUM(H406:H410)</f>
        <v>401316</v>
      </c>
      <c r="I411" s="177">
        <f t="shared" ref="I411:J411" si="279">SUM(I406:I410)</f>
        <v>413640</v>
      </c>
      <c r="J411" s="177">
        <f t="shared" si="279"/>
        <v>419347</v>
      </c>
      <c r="K411" s="178"/>
      <c r="L411" s="179">
        <f t="shared" si="276"/>
        <v>5.3681978612442709</v>
      </c>
      <c r="M411" s="179">
        <f t="shared" si="276"/>
        <v>5.3225036207773906</v>
      </c>
      <c r="N411" s="179">
        <f t="shared" si="276"/>
        <v>5.3245287424916645</v>
      </c>
      <c r="O411" s="179">
        <f t="shared" si="276"/>
        <v>5.3578857718016879</v>
      </c>
      <c r="P411" s="179">
        <f t="shared" si="276"/>
        <v>5.3343272746130115</v>
      </c>
      <c r="Q411" s="179">
        <f t="shared" si="276"/>
        <v>5.3828621954760205</v>
      </c>
      <c r="R411" s="179">
        <f t="shared" si="276"/>
        <v>5.3674116278136657</v>
      </c>
      <c r="S411" s="179">
        <f t="shared" si="276"/>
        <v>5.4059988237600471</v>
      </c>
      <c r="T411" s="179">
        <f t="shared" si="276"/>
        <v>5.4352649929361139</v>
      </c>
    </row>
    <row r="412" spans="1:20">
      <c r="A412" s="175"/>
      <c r="B412" s="177"/>
      <c r="C412" s="177"/>
      <c r="D412" s="177"/>
      <c r="E412" s="177"/>
      <c r="F412" s="177"/>
      <c r="G412" s="177"/>
      <c r="H412" s="177"/>
      <c r="I412" s="177"/>
      <c r="J412" s="177"/>
      <c r="K412" s="178"/>
      <c r="L412" s="179"/>
      <c r="M412" s="179"/>
      <c r="N412" s="179"/>
      <c r="O412" s="179"/>
      <c r="P412" s="179"/>
      <c r="Q412" s="179"/>
      <c r="R412" s="179"/>
      <c r="S412" s="179"/>
      <c r="T412" s="179"/>
    </row>
    <row r="413" spans="1:20">
      <c r="A413" s="175" t="s">
        <v>5795</v>
      </c>
      <c r="B413" s="21">
        <f>'WEST MIDLANDS'!D5</f>
        <v>726290</v>
      </c>
      <c r="C413" s="21">
        <f>'WEST MIDLANDS'!E5</f>
        <v>731731</v>
      </c>
      <c r="D413" s="21">
        <f>'WEST MIDLANDS'!F5</f>
        <v>743467</v>
      </c>
      <c r="E413" s="21">
        <f>'WEST MIDLANDS'!G5</f>
        <v>736042</v>
      </c>
      <c r="F413" s="21">
        <f>'WEST MIDLANDS'!H5</f>
        <v>715434</v>
      </c>
      <c r="G413" s="21">
        <f>'WEST MIDLANDS'!I5</f>
        <v>707888</v>
      </c>
      <c r="H413" s="21">
        <f>'WEST MIDLANDS'!J5</f>
        <v>686804</v>
      </c>
      <c r="I413" s="21">
        <f>'WEST MIDLANDS'!K5</f>
        <v>688561</v>
      </c>
      <c r="J413" s="21">
        <f>'WEST MIDLANDS'!L5</f>
        <v>695370</v>
      </c>
      <c r="K413" s="178"/>
      <c r="L413" s="179">
        <f t="shared" ref="L413:T420" si="280">B413/B$470</f>
        <v>9.5650055312648163</v>
      </c>
      <c r="M413" s="179">
        <f t="shared" si="280"/>
        <v>9.5475137328583912</v>
      </c>
      <c r="N413" s="179">
        <f t="shared" si="280"/>
        <v>9.6452692622046943</v>
      </c>
      <c r="O413" s="179">
        <f t="shared" si="280"/>
        <v>9.4980514620486751</v>
      </c>
      <c r="P413" s="179">
        <f t="shared" si="280"/>
        <v>9.2752093758913059</v>
      </c>
      <c r="Q413" s="179">
        <f t="shared" si="280"/>
        <v>9.3420962335365694</v>
      </c>
      <c r="R413" s="179">
        <f t="shared" si="280"/>
        <v>9.1856785566210597</v>
      </c>
      <c r="S413" s="179">
        <f t="shared" si="280"/>
        <v>8.9990328693720194</v>
      </c>
      <c r="T413" s="179">
        <f t="shared" si="280"/>
        <v>9.0128705299858716</v>
      </c>
    </row>
    <row r="414" spans="1:20">
      <c r="A414" s="175" t="s">
        <v>6738</v>
      </c>
      <c r="B414" s="21">
        <f>'WEST MIDLANDS'!D6</f>
        <v>218866</v>
      </c>
      <c r="C414" s="21">
        <f>'WEST MIDLANDS'!E6</f>
        <v>224755</v>
      </c>
      <c r="D414" s="21">
        <f>'WEST MIDLANDS'!F6</f>
        <v>227296</v>
      </c>
      <c r="E414" s="21">
        <f>'WEST MIDLANDS'!G6</f>
        <v>226540</v>
      </c>
      <c r="F414" s="21">
        <f>'WEST MIDLANDS'!H6</f>
        <v>221669</v>
      </c>
      <c r="G414" s="21">
        <f>'WEST MIDLANDS'!I6</f>
        <v>214724</v>
      </c>
      <c r="H414" s="21">
        <f>'WEST MIDLANDS'!J6</f>
        <v>210031</v>
      </c>
      <c r="I414" s="21">
        <f>'WEST MIDLANDS'!K6</f>
        <v>215348</v>
      </c>
      <c r="J414" s="21">
        <f>'WEST MIDLANDS'!L6</f>
        <v>214219</v>
      </c>
      <c r="K414" s="178"/>
      <c r="L414" s="179">
        <f t="shared" si="280"/>
        <v>2.8823947742717166</v>
      </c>
      <c r="M414" s="179">
        <f t="shared" si="280"/>
        <v>2.9325687295311909</v>
      </c>
      <c r="N414" s="179">
        <f t="shared" si="280"/>
        <v>2.9487941256600201</v>
      </c>
      <c r="O414" s="179">
        <f t="shared" si="280"/>
        <v>2.9233230959816243</v>
      </c>
      <c r="P414" s="179">
        <f t="shared" si="280"/>
        <v>2.873816993802992</v>
      </c>
      <c r="Q414" s="179">
        <f t="shared" si="280"/>
        <v>2.8337424446380024</v>
      </c>
      <c r="R414" s="179">
        <f t="shared" si="280"/>
        <v>2.8090652543166286</v>
      </c>
      <c r="S414" s="179">
        <f t="shared" si="280"/>
        <v>2.8144546820884795</v>
      </c>
      <c r="T414" s="179">
        <f t="shared" si="280"/>
        <v>2.7765478983318861</v>
      </c>
    </row>
    <row r="415" spans="1:20">
      <c r="A415" s="175" t="s">
        <v>6739</v>
      </c>
      <c r="B415" s="21">
        <f>'WEST MIDLANDS'!D7</f>
        <v>240213</v>
      </c>
      <c r="C415" s="21">
        <f>'WEST MIDLANDS'!E7</f>
        <v>242131</v>
      </c>
      <c r="D415" s="21">
        <f>'WEST MIDLANDS'!F7</f>
        <v>242929</v>
      </c>
      <c r="E415" s="21">
        <f>'WEST MIDLANDS'!G7</f>
        <v>243645</v>
      </c>
      <c r="F415" s="21">
        <f>'WEST MIDLANDS'!H7</f>
        <v>237787</v>
      </c>
      <c r="G415" s="21">
        <f>'WEST MIDLANDS'!I7</f>
        <v>237550</v>
      </c>
      <c r="H415" s="21">
        <f>'WEST MIDLANDS'!J7</f>
        <v>239405</v>
      </c>
      <c r="I415" s="21">
        <f>'WEST MIDLANDS'!K7</f>
        <v>241620</v>
      </c>
      <c r="J415" s="21">
        <f>'WEST MIDLANDS'!L7</f>
        <v>240020</v>
      </c>
      <c r="K415" s="178"/>
      <c r="L415" s="179">
        <f t="shared" si="280"/>
        <v>3.1635278933782858</v>
      </c>
      <c r="M415" s="179">
        <f t="shared" si="280"/>
        <v>3.1592881094975276</v>
      </c>
      <c r="N415" s="179">
        <f t="shared" si="280"/>
        <v>3.1516067513395001</v>
      </c>
      <c r="O415" s="179">
        <f t="shared" si="280"/>
        <v>3.1440498619247941</v>
      </c>
      <c r="P415" s="179">
        <f t="shared" si="280"/>
        <v>3.0827780226618611</v>
      </c>
      <c r="Q415" s="179">
        <f t="shared" si="280"/>
        <v>3.1349803362630984</v>
      </c>
      <c r="R415" s="179">
        <f t="shared" si="280"/>
        <v>3.2019286067755353</v>
      </c>
      <c r="S415" s="179">
        <f t="shared" si="280"/>
        <v>3.1578121936875121</v>
      </c>
      <c r="T415" s="179">
        <f t="shared" si="280"/>
        <v>3.1109613365650071</v>
      </c>
    </row>
    <row r="416" spans="1:20">
      <c r="A416" s="175" t="s">
        <v>6740</v>
      </c>
      <c r="B416" s="21">
        <f>'WEST MIDLANDS'!D8</f>
        <v>220403</v>
      </c>
      <c r="C416" s="21">
        <f>'WEST MIDLANDS'!E8</f>
        <v>219710</v>
      </c>
      <c r="D416" s="21">
        <f>'WEST MIDLANDS'!F8</f>
        <v>222014</v>
      </c>
      <c r="E416" s="21">
        <f>'WEST MIDLANDS'!G8</f>
        <v>224705</v>
      </c>
      <c r="F416" s="21">
        <f>'WEST MIDLANDS'!H8</f>
        <v>221702</v>
      </c>
      <c r="G416" s="21">
        <f>'WEST MIDLANDS'!I8</f>
        <v>221691</v>
      </c>
      <c r="H416" s="21">
        <f>'WEST MIDLANDS'!J8</f>
        <v>215484</v>
      </c>
      <c r="I416" s="21">
        <f>'WEST MIDLANDS'!K8</f>
        <v>219141</v>
      </c>
      <c r="J416" s="21">
        <f>'WEST MIDLANDS'!L8</f>
        <v>222016</v>
      </c>
      <c r="K416" s="178"/>
      <c r="L416" s="179">
        <f t="shared" si="280"/>
        <v>2.9026365695622398</v>
      </c>
      <c r="M416" s="179">
        <f t="shared" si="280"/>
        <v>2.8667423441760937</v>
      </c>
      <c r="N416" s="179">
        <f t="shared" si="280"/>
        <v>2.8802688081368948</v>
      </c>
      <c r="O416" s="179">
        <f t="shared" si="280"/>
        <v>2.8996438433943275</v>
      </c>
      <c r="P416" s="179">
        <f t="shared" si="280"/>
        <v>2.874244820701636</v>
      </c>
      <c r="Q416" s="179">
        <f t="shared" si="280"/>
        <v>2.9256869110776784</v>
      </c>
      <c r="R416" s="179">
        <f t="shared" si="280"/>
        <v>2.8819965493720661</v>
      </c>
      <c r="S416" s="179">
        <f t="shared" si="280"/>
        <v>2.8640266614389334</v>
      </c>
      <c r="T416" s="179">
        <f t="shared" si="280"/>
        <v>2.8776068331756379</v>
      </c>
    </row>
    <row r="417" spans="1:20">
      <c r="A417" s="175" t="s">
        <v>6741</v>
      </c>
      <c r="B417" s="21">
        <f>'WEST MIDLANDS'!D9</f>
        <v>159038</v>
      </c>
      <c r="C417" s="21">
        <f>'WEST MIDLANDS'!E9</f>
        <v>160782</v>
      </c>
      <c r="D417" s="21">
        <f>'WEST MIDLANDS'!F9</f>
        <v>157202</v>
      </c>
      <c r="E417" s="21">
        <f>'WEST MIDLANDS'!G9</f>
        <v>159215</v>
      </c>
      <c r="F417" s="21">
        <f>'WEST MIDLANDS'!H9</f>
        <v>160752</v>
      </c>
      <c r="G417" s="21">
        <f>'WEST MIDLANDS'!I9</f>
        <v>156714</v>
      </c>
      <c r="H417" s="21">
        <f>'WEST MIDLANDS'!J9</f>
        <v>153873</v>
      </c>
      <c r="I417" s="21">
        <f>'WEST MIDLANDS'!K9</f>
        <v>160380</v>
      </c>
      <c r="J417" s="21">
        <f>'WEST MIDLANDS'!L9</f>
        <v>158603</v>
      </c>
      <c r="K417" s="178"/>
      <c r="L417" s="179">
        <f t="shared" si="280"/>
        <v>2.0944792709266187</v>
      </c>
      <c r="M417" s="179">
        <f t="shared" si="280"/>
        <v>2.0978588483970722</v>
      </c>
      <c r="N417" s="179">
        <f t="shared" si="280"/>
        <v>2.0394390316679858</v>
      </c>
      <c r="O417" s="179">
        <f t="shared" si="280"/>
        <v>2.054546158412264</v>
      </c>
      <c r="P417" s="179">
        <f t="shared" si="280"/>
        <v>2.0840615033577929</v>
      </c>
      <c r="Q417" s="179">
        <f t="shared" si="280"/>
        <v>2.0681764193522842</v>
      </c>
      <c r="R417" s="179">
        <f t="shared" si="280"/>
        <v>2.0579785740079446</v>
      </c>
      <c r="S417" s="179">
        <f t="shared" si="280"/>
        <v>2.0960595961576161</v>
      </c>
      <c r="T417" s="179">
        <f t="shared" si="280"/>
        <v>2.0556945290526616</v>
      </c>
    </row>
    <row r="418" spans="1:20">
      <c r="A418" s="175" t="s">
        <v>8583</v>
      </c>
      <c r="B418" s="21">
        <f>'WEST MIDLANDS'!D10</f>
        <v>188908</v>
      </c>
      <c r="C418" s="21">
        <f>'WEST MIDLANDS'!E10</f>
        <v>191056</v>
      </c>
      <c r="D418" s="21">
        <f>'WEST MIDLANDS'!F10</f>
        <v>195268</v>
      </c>
      <c r="E418" s="21">
        <f>'WEST MIDLANDS'!G10</f>
        <v>196935</v>
      </c>
      <c r="F418" s="21">
        <f>'WEST MIDLANDS'!H10</f>
        <v>194347</v>
      </c>
      <c r="G418" s="21">
        <f>'WEST MIDLANDS'!I10</f>
        <v>193557</v>
      </c>
      <c r="H418" s="21">
        <f>'WEST MIDLANDS'!J10</f>
        <v>186960</v>
      </c>
      <c r="I418" s="21">
        <f>'WEST MIDLANDS'!K10</f>
        <v>191066</v>
      </c>
      <c r="J418" s="21">
        <f>'WEST MIDLANDS'!L10</f>
        <v>192252</v>
      </c>
      <c r="K418" s="178"/>
      <c r="L418" s="179">
        <f t="shared" si="280"/>
        <v>2.4878575567613126</v>
      </c>
      <c r="M418" s="179">
        <f t="shared" si="280"/>
        <v>2.4928693519134666</v>
      </c>
      <c r="N418" s="179">
        <f t="shared" si="280"/>
        <v>2.5332831696527029</v>
      </c>
      <c r="O418" s="179">
        <f t="shared" si="280"/>
        <v>2.5412935194982835</v>
      </c>
      <c r="P418" s="179">
        <f t="shared" si="280"/>
        <v>2.5196022506287759</v>
      </c>
      <c r="Q418" s="179">
        <f t="shared" si="280"/>
        <v>2.5543986063821364</v>
      </c>
      <c r="R418" s="179">
        <f t="shared" si="280"/>
        <v>2.5005015447578542</v>
      </c>
      <c r="S418" s="179">
        <f t="shared" si="280"/>
        <v>2.4971051427824609</v>
      </c>
      <c r="T418" s="179">
        <f t="shared" si="280"/>
        <v>2.491827926328205</v>
      </c>
    </row>
    <row r="419" spans="1:20">
      <c r="A419" s="175" t="s">
        <v>7659</v>
      </c>
      <c r="B419" s="21">
        <f>'WEST MIDLANDS'!D11</f>
        <v>168234</v>
      </c>
      <c r="C419" s="21">
        <f>'WEST MIDLANDS'!E11</f>
        <v>172294</v>
      </c>
      <c r="D419" s="21">
        <f>'WEST MIDLANDS'!F11</f>
        <v>174945</v>
      </c>
      <c r="E419" s="21">
        <f>'WEST MIDLANDS'!G11</f>
        <v>174015</v>
      </c>
      <c r="F419" s="21">
        <f>'WEST MIDLANDS'!H11</f>
        <v>173250</v>
      </c>
      <c r="G419" s="21">
        <f>'WEST MIDLANDS'!I11</f>
        <v>173351</v>
      </c>
      <c r="H419" s="21">
        <f>'WEST MIDLANDS'!J11</f>
        <v>170212</v>
      </c>
      <c r="I419" s="21">
        <f>'WEST MIDLANDS'!K11</f>
        <v>171733</v>
      </c>
      <c r="J419" s="21">
        <f>'WEST MIDLANDS'!L11</f>
        <v>171916</v>
      </c>
      <c r="K419" s="178"/>
      <c r="L419" s="179">
        <f t="shared" si="280"/>
        <v>2.2155876310382974</v>
      </c>
      <c r="M419" s="179">
        <f t="shared" si="280"/>
        <v>2.2480656567633512</v>
      </c>
      <c r="N419" s="179">
        <f t="shared" si="280"/>
        <v>2.2696254589328109</v>
      </c>
      <c r="O419" s="179">
        <f t="shared" si="280"/>
        <v>2.2455286860918267</v>
      </c>
      <c r="P419" s="179">
        <f t="shared" si="280"/>
        <v>2.2460912178805716</v>
      </c>
      <c r="Q419" s="179">
        <f t="shared" si="280"/>
        <v>2.2877372185710136</v>
      </c>
      <c r="R419" s="179">
        <f t="shared" si="280"/>
        <v>2.2765049686367345</v>
      </c>
      <c r="S419" s="179">
        <f t="shared" si="280"/>
        <v>2.244435731555904</v>
      </c>
      <c r="T419" s="179">
        <f t="shared" si="280"/>
        <v>2.2282477674231722</v>
      </c>
    </row>
    <row r="420" spans="1:20">
      <c r="A420" s="175" t="s">
        <v>7660</v>
      </c>
      <c r="B420" s="177">
        <f t="shared" ref="B420:G420" si="281">SUM(B413:B419)</f>
        <v>1921952</v>
      </c>
      <c r="C420" s="177">
        <f t="shared" si="281"/>
        <v>1942459</v>
      </c>
      <c r="D420" s="177">
        <f t="shared" si="281"/>
        <v>1963121</v>
      </c>
      <c r="E420" s="177">
        <f t="shared" si="281"/>
        <v>1961097</v>
      </c>
      <c r="F420" s="177">
        <f t="shared" si="281"/>
        <v>1924941</v>
      </c>
      <c r="G420" s="177">
        <f t="shared" si="281"/>
        <v>1905475</v>
      </c>
      <c r="H420" s="177">
        <f t="shared" ref="H420" si="282">SUM(H413:H419)</f>
        <v>1862769</v>
      </c>
      <c r="I420" s="177">
        <f t="shared" ref="I420:J420" si="283">SUM(I413:I419)</f>
        <v>1887849</v>
      </c>
      <c r="J420" s="177">
        <f t="shared" si="283"/>
        <v>1894396</v>
      </c>
      <c r="K420" s="178"/>
      <c r="L420" s="179">
        <f t="shared" si="280"/>
        <v>25.311489227203285</v>
      </c>
      <c r="M420" s="179">
        <f t="shared" si="280"/>
        <v>25.344906773137094</v>
      </c>
      <c r="N420" s="179">
        <f t="shared" si="280"/>
        <v>25.468286607594607</v>
      </c>
      <c r="O420" s="179">
        <f t="shared" si="280"/>
        <v>25.306436627351793</v>
      </c>
      <c r="P420" s="179">
        <f t="shared" si="280"/>
        <v>24.955804184924936</v>
      </c>
      <c r="Q420" s="179">
        <f t="shared" si="280"/>
        <v>25.146818169820783</v>
      </c>
      <c r="R420" s="179">
        <f t="shared" si="280"/>
        <v>24.913654054487822</v>
      </c>
      <c r="S420" s="179">
        <f t="shared" si="280"/>
        <v>24.672926877082926</v>
      </c>
      <c r="T420" s="179">
        <f t="shared" si="280"/>
        <v>24.553756820862443</v>
      </c>
    </row>
    <row r="421" spans="1:20">
      <c r="A421" s="175"/>
      <c r="B421" s="177"/>
      <c r="C421" s="177"/>
      <c r="D421" s="177"/>
      <c r="E421" s="177"/>
      <c r="F421" s="177"/>
      <c r="G421" s="177"/>
      <c r="H421" s="177"/>
      <c r="I421" s="177"/>
      <c r="J421" s="177"/>
      <c r="K421" s="178"/>
      <c r="L421" s="179"/>
      <c r="M421" s="179"/>
      <c r="N421" s="179"/>
      <c r="O421" s="179"/>
      <c r="P421" s="179"/>
      <c r="Q421" s="179"/>
      <c r="R421" s="179"/>
      <c r="S421" s="179"/>
      <c r="T421" s="179"/>
    </row>
    <row r="422" spans="1:20">
      <c r="A422" s="175" t="s">
        <v>8766</v>
      </c>
      <c r="B422" s="177">
        <f>WORCESTERSHIRE!D5</f>
        <v>73430</v>
      </c>
      <c r="C422" s="177">
        <f>WORCESTERSHIRE!E5</f>
        <v>73279</v>
      </c>
      <c r="D422" s="177">
        <f>WORCESTERSHIRE!F5</f>
        <v>73099</v>
      </c>
      <c r="E422" s="177">
        <f>WORCESTERSHIRE!G5</f>
        <v>73892</v>
      </c>
      <c r="F422" s="177">
        <f>WORCESTERSHIRE!H5</f>
        <v>71548</v>
      </c>
      <c r="G422" s="177">
        <f>WORCESTERSHIRE!I5</f>
        <v>72319</v>
      </c>
      <c r="H422" s="177">
        <f>WORCESTERSHIRE!J5</f>
        <v>72042</v>
      </c>
      <c r="I422" s="177">
        <f>WORCESTERSHIRE!K5</f>
        <v>72948</v>
      </c>
      <c r="J422" s="177">
        <f>WORCESTERSHIRE!L5</f>
        <v>72206</v>
      </c>
      <c r="K422" s="178"/>
      <c r="L422" s="179">
        <f t="shared" ref="L422:T428" si="284">B422/B$470</f>
        <v>0.96704946531106784</v>
      </c>
      <c r="M422" s="179">
        <f t="shared" si="284"/>
        <v>0.95613314022520579</v>
      </c>
      <c r="N422" s="179">
        <f t="shared" si="284"/>
        <v>0.94834005786121089</v>
      </c>
      <c r="O422" s="179">
        <f t="shared" si="284"/>
        <v>0.9535189821147444</v>
      </c>
      <c r="P422" s="179">
        <f t="shared" si="284"/>
        <v>0.92758057406591132</v>
      </c>
      <c r="Q422" s="179">
        <f t="shared" si="284"/>
        <v>0.95440388523768049</v>
      </c>
      <c r="R422" s="179">
        <f t="shared" si="284"/>
        <v>0.96352766520884325</v>
      </c>
      <c r="S422" s="179">
        <f t="shared" si="284"/>
        <v>0.95338168986473237</v>
      </c>
      <c r="T422" s="179">
        <f t="shared" si="284"/>
        <v>0.93588065272899301</v>
      </c>
    </row>
    <row r="423" spans="1:20">
      <c r="A423" s="175" t="s">
        <v>8767</v>
      </c>
      <c r="B423" s="177">
        <f>WORCESTERSHIRE!D6</f>
        <v>58849</v>
      </c>
      <c r="C423" s="177">
        <f>WORCESTERSHIRE!E6</f>
        <v>59220</v>
      </c>
      <c r="D423" s="177">
        <f>WORCESTERSHIRE!F6</f>
        <v>59261</v>
      </c>
      <c r="E423" s="177">
        <f>WORCESTERSHIRE!G6</f>
        <v>59839</v>
      </c>
      <c r="F423" s="177">
        <f>WORCESTERSHIRE!H6</f>
        <v>59462</v>
      </c>
      <c r="G423" s="177">
        <f>WORCESTERSHIRE!I6</f>
        <v>58717</v>
      </c>
      <c r="H423" s="177">
        <f>WORCESTERSHIRE!J6</f>
        <v>58606</v>
      </c>
      <c r="I423" s="177">
        <f>WORCESTERSHIRE!K6</f>
        <v>59796</v>
      </c>
      <c r="J423" s="177">
        <f>WORCESTERSHIRE!L6</f>
        <v>59644</v>
      </c>
      <c r="K423" s="178"/>
      <c r="L423" s="179">
        <f t="shared" si="284"/>
        <v>0.77502238845282623</v>
      </c>
      <c r="M423" s="179">
        <f t="shared" si="284"/>
        <v>0.772693466943281</v>
      </c>
      <c r="N423" s="179">
        <f t="shared" si="284"/>
        <v>0.76881462357779484</v>
      </c>
      <c r="O423" s="179">
        <f t="shared" si="284"/>
        <v>0.77217591039306266</v>
      </c>
      <c r="P423" s="179">
        <f t="shared" si="284"/>
        <v>0.77089221355044468</v>
      </c>
      <c r="Q423" s="179">
        <f t="shared" si="284"/>
        <v>0.77489640245994673</v>
      </c>
      <c r="R423" s="179">
        <f t="shared" si="284"/>
        <v>0.78382752210140572</v>
      </c>
      <c r="S423" s="179">
        <f t="shared" si="284"/>
        <v>0.78149382474024698</v>
      </c>
      <c r="T423" s="179">
        <f t="shared" si="284"/>
        <v>0.77306131971537073</v>
      </c>
    </row>
    <row r="424" spans="1:20">
      <c r="A424" s="175" t="s">
        <v>8768</v>
      </c>
      <c r="B424" s="177">
        <f>WORCESTERSHIRE!D7</f>
        <v>62522</v>
      </c>
      <c r="C424" s="177">
        <f>WORCESTERSHIRE!E7</f>
        <v>61937</v>
      </c>
      <c r="D424" s="177">
        <f>WORCESTERSHIRE!F7</f>
        <v>61986</v>
      </c>
      <c r="E424" s="177">
        <f>WORCESTERSHIRE!G7</f>
        <v>62189</v>
      </c>
      <c r="F424" s="177">
        <f>WORCESTERSHIRE!H7</f>
        <v>60349</v>
      </c>
      <c r="G424" s="177">
        <f>WORCESTERSHIRE!I7</f>
        <v>60417</v>
      </c>
      <c r="H424" s="177">
        <f>WORCESTERSHIRE!J7</f>
        <v>59495</v>
      </c>
      <c r="I424" s="177">
        <f>WORCESTERSHIRE!K7</f>
        <v>59938</v>
      </c>
      <c r="J424" s="177">
        <f>WORCESTERSHIRE!L7</f>
        <v>58564</v>
      </c>
      <c r="K424" s="178"/>
      <c r="L424" s="179">
        <f t="shared" si="284"/>
        <v>0.82339461623557919</v>
      </c>
      <c r="M424" s="179">
        <f t="shared" si="284"/>
        <v>0.80814446575592702</v>
      </c>
      <c r="N424" s="179">
        <f t="shared" si="284"/>
        <v>0.80416704505649905</v>
      </c>
      <c r="O424" s="179">
        <f t="shared" si="284"/>
        <v>0.80250083877461476</v>
      </c>
      <c r="P424" s="179">
        <f t="shared" si="284"/>
        <v>0.7823916820079343</v>
      </c>
      <c r="Q424" s="179">
        <f t="shared" si="284"/>
        <v>0.79733153852244831</v>
      </c>
      <c r="R424" s="179">
        <f t="shared" si="284"/>
        <v>0.79571747649426905</v>
      </c>
      <c r="S424" s="179">
        <f t="shared" si="284"/>
        <v>0.78334966999934652</v>
      </c>
      <c r="T424" s="179">
        <f t="shared" si="284"/>
        <v>0.75906316021412001</v>
      </c>
    </row>
    <row r="425" spans="1:20">
      <c r="A425" s="175" t="s">
        <v>8769</v>
      </c>
      <c r="B425" s="177">
        <f>WORCESTERSHIRE!D8</f>
        <v>72965</v>
      </c>
      <c r="C425" s="177">
        <f>WORCESTERSHIRE!E8</f>
        <v>73960</v>
      </c>
      <c r="D425" s="177">
        <f>WORCESTERSHIRE!F8</f>
        <v>74513</v>
      </c>
      <c r="E425" s="177">
        <f>WORCESTERSHIRE!G8</f>
        <v>73837</v>
      </c>
      <c r="F425" s="177">
        <f>WORCESTERSHIRE!H8</f>
        <v>72165</v>
      </c>
      <c r="G425" s="177">
        <f>WORCESTERSHIRE!I8</f>
        <v>71580</v>
      </c>
      <c r="H425" s="177">
        <f>WORCESTERSHIRE!J8</f>
        <v>70542</v>
      </c>
      <c r="I425" s="177">
        <f>WORCESTERSHIRE!K8</f>
        <v>72543</v>
      </c>
      <c r="J425" s="177">
        <f>WORCESTERSHIRE!L8</f>
        <v>72702</v>
      </c>
      <c r="K425" s="178"/>
      <c r="L425" s="179">
        <f t="shared" si="284"/>
        <v>0.9609255649791919</v>
      </c>
      <c r="M425" s="179">
        <f t="shared" si="284"/>
        <v>0.96501872365966002</v>
      </c>
      <c r="N425" s="179">
        <f t="shared" si="284"/>
        <v>0.96668439693309638</v>
      </c>
      <c r="O425" s="179">
        <f t="shared" si="284"/>
        <v>0.95280924974836767</v>
      </c>
      <c r="P425" s="179">
        <f t="shared" si="284"/>
        <v>0.93557964062540511</v>
      </c>
      <c r="Q425" s="179">
        <f t="shared" si="284"/>
        <v>0.94465119961992239</v>
      </c>
      <c r="R425" s="179">
        <f t="shared" si="284"/>
        <v>0.94346587489467559</v>
      </c>
      <c r="S425" s="179">
        <f t="shared" si="284"/>
        <v>0.94808861007645562</v>
      </c>
      <c r="T425" s="179">
        <f t="shared" si="284"/>
        <v>0.94230943709253046</v>
      </c>
    </row>
    <row r="426" spans="1:20">
      <c r="A426" s="175" t="s">
        <v>8770</v>
      </c>
      <c r="B426" s="177">
        <f>WORCESTERSHIRE!D9</f>
        <v>90152</v>
      </c>
      <c r="C426" s="177">
        <f>WORCESTERSHIRE!E9</f>
        <v>89996</v>
      </c>
      <c r="D426" s="177">
        <f>WORCESTERSHIRE!F9</f>
        <v>91095</v>
      </c>
      <c r="E426" s="177">
        <f>WORCESTERSHIRE!G9</f>
        <v>91938</v>
      </c>
      <c r="F426" s="177">
        <f>WORCESTERSHIRE!H9</f>
        <v>91382</v>
      </c>
      <c r="G426" s="177">
        <f>WORCESTERSHIRE!I9</f>
        <v>89821</v>
      </c>
      <c r="H426" s="177">
        <f>WORCESTERSHIRE!J9</f>
        <v>92064</v>
      </c>
      <c r="I426" s="177">
        <f>WORCESTERSHIRE!K9</f>
        <v>94479</v>
      </c>
      <c r="J426" s="177">
        <f>WORCESTERSHIRE!L9</f>
        <v>95023</v>
      </c>
      <c r="K426" s="178"/>
      <c r="L426" s="179">
        <f t="shared" si="284"/>
        <v>1.1872728230522045</v>
      </c>
      <c r="M426" s="179">
        <f t="shared" si="284"/>
        <v>1.1742539893790529</v>
      </c>
      <c r="N426" s="179">
        <f t="shared" si="284"/>
        <v>1.1818087466431417</v>
      </c>
      <c r="O426" s="179">
        <f t="shared" si="284"/>
        <v>1.1863886236353782</v>
      </c>
      <c r="P426" s="179">
        <f t="shared" si="284"/>
        <v>1.1847175046023803</v>
      </c>
      <c r="Q426" s="179">
        <f t="shared" si="284"/>
        <v>1.185380209570565</v>
      </c>
      <c r="R426" s="179">
        <f t="shared" si="284"/>
        <v>1.2313124423223529</v>
      </c>
      <c r="S426" s="179">
        <f t="shared" si="284"/>
        <v>1.2347774946089003</v>
      </c>
      <c r="T426" s="179">
        <f t="shared" si="284"/>
        <v>1.2316176947105102</v>
      </c>
    </row>
    <row r="427" spans="1:20">
      <c r="A427" s="175" t="s">
        <v>8781</v>
      </c>
      <c r="B427" s="177">
        <f>WORCESTERSHIRE!D10</f>
        <v>76774</v>
      </c>
      <c r="C427" s="177">
        <f>WORCESTERSHIRE!E10</f>
        <v>77800</v>
      </c>
      <c r="D427" s="177">
        <f>WORCESTERSHIRE!F10</f>
        <v>77635</v>
      </c>
      <c r="E427" s="177">
        <f>WORCESTERSHIRE!G10</f>
        <v>77314</v>
      </c>
      <c r="F427" s="177">
        <f>WORCESTERSHIRE!H10</f>
        <v>76831</v>
      </c>
      <c r="G427" s="177">
        <f>WORCESTERSHIRE!I10</f>
        <v>77206</v>
      </c>
      <c r="H427" s="177">
        <f>WORCESTERSHIRE!J10</f>
        <v>75226</v>
      </c>
      <c r="I427" s="177">
        <f>WORCESTERSHIRE!K10</f>
        <v>77342</v>
      </c>
      <c r="J427" s="177">
        <f>WORCESTERSHIRE!L10</f>
        <v>77231</v>
      </c>
      <c r="K427" s="178"/>
      <c r="L427" s="179">
        <f t="shared" si="284"/>
        <v>1.011088868988042</v>
      </c>
      <c r="M427" s="179">
        <f t="shared" si="284"/>
        <v>1.015122454038961</v>
      </c>
      <c r="N427" s="179">
        <f t="shared" si="284"/>
        <v>1.0071872445868633</v>
      </c>
      <c r="O427" s="179">
        <f t="shared" si="284"/>
        <v>0.99767723952822152</v>
      </c>
      <c r="P427" s="179">
        <f t="shared" si="284"/>
        <v>0.99607177120336043</v>
      </c>
      <c r="Q427" s="179">
        <f t="shared" si="284"/>
        <v>1.0188983028479426</v>
      </c>
      <c r="R427" s="179">
        <f t="shared" si="284"/>
        <v>1.0061121587823831</v>
      </c>
      <c r="S427" s="179">
        <f t="shared" si="284"/>
        <v>1.0108083382343331</v>
      </c>
      <c r="T427" s="179">
        <f t="shared" si="284"/>
        <v>1.0010109781862015</v>
      </c>
    </row>
    <row r="428" spans="1:20">
      <c r="A428" s="175" t="s">
        <v>8782</v>
      </c>
      <c r="B428" s="177">
        <f t="shared" ref="B428:H428" si="285">SUM(B422:B427)</f>
        <v>434692</v>
      </c>
      <c r="C428" s="177">
        <f t="shared" si="285"/>
        <v>436192</v>
      </c>
      <c r="D428" s="177">
        <f t="shared" si="285"/>
        <v>437589</v>
      </c>
      <c r="E428" s="177">
        <f t="shared" si="285"/>
        <v>439009</v>
      </c>
      <c r="F428" s="177">
        <f t="shared" si="285"/>
        <v>431737</v>
      </c>
      <c r="G428" s="177">
        <f t="shared" si="285"/>
        <v>430060</v>
      </c>
      <c r="H428" s="177">
        <f t="shared" si="285"/>
        <v>427975</v>
      </c>
      <c r="I428" s="177">
        <f t="shared" ref="I428:J428" si="286">SUM(I422:I427)</f>
        <v>437046</v>
      </c>
      <c r="J428" s="177">
        <f t="shared" si="286"/>
        <v>435370</v>
      </c>
      <c r="K428" s="178"/>
      <c r="L428" s="179">
        <f t="shared" si="284"/>
        <v>5.7247537270189115</v>
      </c>
      <c r="M428" s="179">
        <f t="shared" si="284"/>
        <v>5.6913662400020879</v>
      </c>
      <c r="N428" s="179">
        <f t="shared" si="284"/>
        <v>5.677002114658606</v>
      </c>
      <c r="O428" s="179">
        <f t="shared" si="284"/>
        <v>5.6650708441943891</v>
      </c>
      <c r="P428" s="179">
        <f t="shared" si="284"/>
        <v>5.5972333860554357</v>
      </c>
      <c r="Q428" s="179">
        <f t="shared" si="284"/>
        <v>5.6755615382585054</v>
      </c>
      <c r="R428" s="179">
        <f t="shared" si="284"/>
        <v>5.7239631398039297</v>
      </c>
      <c r="S428" s="179">
        <f t="shared" si="284"/>
        <v>5.7118996275240148</v>
      </c>
      <c r="T428" s="179">
        <f t="shared" si="284"/>
        <v>5.6429432426477257</v>
      </c>
    </row>
    <row r="429" spans="1:20">
      <c r="A429" s="175"/>
      <c r="B429" s="177"/>
      <c r="C429" s="177"/>
      <c r="D429" s="177"/>
      <c r="E429" s="177"/>
      <c r="F429" s="177"/>
      <c r="G429" s="177"/>
      <c r="H429" s="177"/>
      <c r="I429" s="177"/>
      <c r="J429" s="177"/>
      <c r="K429" s="178"/>
      <c r="L429" s="179"/>
      <c r="M429" s="179"/>
      <c r="N429" s="179"/>
      <c r="O429" s="179"/>
      <c r="P429" s="179"/>
      <c r="Q429" s="179"/>
      <c r="R429" s="179"/>
      <c r="S429" s="179"/>
      <c r="T429" s="179"/>
    </row>
    <row r="430" spans="1:20">
      <c r="A430" s="188" t="s">
        <v>6948</v>
      </c>
      <c r="B430" s="189">
        <f t="shared" ref="B430:H430" si="287">B388+B392+B404+B411+B420+B428</f>
        <v>4092811</v>
      </c>
      <c r="C430" s="189">
        <f>C388+C392+C404+C411+C420+C428</f>
        <v>4115668</v>
      </c>
      <c r="D430" s="189">
        <f t="shared" si="287"/>
        <v>4142089</v>
      </c>
      <c r="E430" s="189">
        <f t="shared" si="287"/>
        <v>4158026</v>
      </c>
      <c r="F430" s="189">
        <f t="shared" si="287"/>
        <v>4088955</v>
      </c>
      <c r="G430" s="189">
        <f t="shared" si="287"/>
        <v>4052288</v>
      </c>
      <c r="H430" s="189">
        <f t="shared" si="287"/>
        <v>3989320</v>
      </c>
      <c r="I430" s="189">
        <f t="shared" ref="I430:J430" si="288">I388+I392+I404+I411+I420+I428</f>
        <v>4053385</v>
      </c>
      <c r="J430" s="189">
        <f t="shared" si="288"/>
        <v>4074925</v>
      </c>
      <c r="K430" s="178"/>
      <c r="L430" s="187">
        <f t="shared" ref="L430:T430" si="289">B430/B$470</f>
        <v>53.901003529473741</v>
      </c>
      <c r="M430" s="187">
        <f t="shared" si="289"/>
        <v>53.700604115290773</v>
      </c>
      <c r="N430" s="187">
        <f t="shared" si="289"/>
        <v>53.736835277175956</v>
      </c>
      <c r="O430" s="187">
        <f t="shared" si="289"/>
        <v>53.656102407928358</v>
      </c>
      <c r="P430" s="187">
        <f t="shared" si="289"/>
        <v>53.011058677107371</v>
      </c>
      <c r="Q430" s="187">
        <f t="shared" si="289"/>
        <v>53.478607437907463</v>
      </c>
      <c r="R430" s="187">
        <f t="shared" si="289"/>
        <v>53.355267557410158</v>
      </c>
      <c r="S430" s="187">
        <f t="shared" si="289"/>
        <v>52.975037574331829</v>
      </c>
      <c r="T430" s="187">
        <f t="shared" si="289"/>
        <v>52.816157505216907</v>
      </c>
    </row>
    <row r="431" spans="1:20">
      <c r="A431" s="175"/>
      <c r="B431" s="177"/>
      <c r="C431" s="177"/>
      <c r="D431" s="177"/>
      <c r="E431" s="177"/>
      <c r="F431" s="177"/>
      <c r="G431" s="177"/>
      <c r="H431" s="177"/>
      <c r="I431" s="177"/>
      <c r="J431" s="177"/>
      <c r="K431" s="178"/>
      <c r="L431" s="179"/>
      <c r="M431" s="179"/>
      <c r="N431" s="179"/>
      <c r="O431" s="179"/>
      <c r="P431" s="179"/>
      <c r="Q431" s="179"/>
      <c r="R431" s="179"/>
      <c r="S431" s="179"/>
      <c r="T431" s="179"/>
    </row>
    <row r="432" spans="1:20">
      <c r="A432" s="175" t="s">
        <v>5034</v>
      </c>
      <c r="B432" s="177"/>
      <c r="C432" s="177"/>
      <c r="D432" s="177"/>
      <c r="E432" s="177"/>
      <c r="F432" s="177"/>
      <c r="G432" s="177"/>
      <c r="H432" s="177"/>
      <c r="I432" s="177"/>
      <c r="J432" s="177"/>
      <c r="K432" s="178"/>
      <c r="L432" s="179"/>
      <c r="M432" s="179"/>
      <c r="N432" s="179"/>
      <c r="O432" s="179"/>
      <c r="P432" s="179"/>
      <c r="Q432" s="179"/>
      <c r="R432" s="179"/>
      <c r="S432" s="179"/>
      <c r="T432" s="179"/>
    </row>
    <row r="433" spans="1:20">
      <c r="A433" s="175"/>
      <c r="B433" s="177"/>
      <c r="C433" s="177"/>
      <c r="D433" s="177"/>
      <c r="E433" s="177"/>
      <c r="F433" s="177"/>
      <c r="G433" s="177"/>
      <c r="H433" s="177"/>
      <c r="I433" s="177"/>
      <c r="J433" s="177"/>
      <c r="K433" s="178"/>
      <c r="L433" s="179"/>
      <c r="M433" s="179"/>
      <c r="N433" s="179"/>
      <c r="O433" s="179"/>
      <c r="P433" s="179"/>
      <c r="Q433" s="179"/>
      <c r="R433" s="179"/>
      <c r="S433" s="179"/>
      <c r="T433" s="179"/>
    </row>
    <row r="434" spans="1:20">
      <c r="A434" s="175" t="s">
        <v>1589</v>
      </c>
      <c r="B434" s="177">
        <f>'"HUMBERSIDE"'!D3</f>
        <v>265296</v>
      </c>
      <c r="C434" s="177">
        <f>'"HUMBERSIDE"'!E3</f>
        <v>265356</v>
      </c>
      <c r="D434" s="177">
        <f>'"HUMBERSIDE"'!F3</f>
        <v>265031</v>
      </c>
      <c r="E434" s="177">
        <f>'"HUMBERSIDE"'!G3</f>
        <v>267415</v>
      </c>
      <c r="F434" s="177">
        <f>'"HUMBERSIDE"'!H3</f>
        <v>266457</v>
      </c>
      <c r="G434" s="177">
        <f>'"HUMBERSIDE"'!I3</f>
        <v>261259</v>
      </c>
      <c r="H434" s="177">
        <f>'"HUMBERSIDE"'!J3</f>
        <v>254116</v>
      </c>
      <c r="I434" s="177">
        <f>'"HUMBERSIDE"'!K3</f>
        <v>258789</v>
      </c>
      <c r="J434" s="177">
        <f>'"HUMBERSIDE"'!L3</f>
        <v>261070</v>
      </c>
      <c r="K434" s="178"/>
      <c r="L434" s="179">
        <f t="shared" ref="L434:T438" si="290">B434/B$470</f>
        <v>3.4938629299899913</v>
      </c>
      <c r="M434" s="179">
        <f t="shared" si="290"/>
        <v>3.4623243433671274</v>
      </c>
      <c r="N434" s="179">
        <f t="shared" si="290"/>
        <v>3.4383440796045717</v>
      </c>
      <c r="O434" s="179">
        <f t="shared" si="290"/>
        <v>3.450783286447983</v>
      </c>
      <c r="P434" s="179">
        <f t="shared" si="290"/>
        <v>3.4544688464231079</v>
      </c>
      <c r="Q434" s="179">
        <f t="shared" si="290"/>
        <v>3.4478713015018343</v>
      </c>
      <c r="R434" s="179">
        <f t="shared" si="290"/>
        <v>3.3986812716500152</v>
      </c>
      <c r="S434" s="179">
        <f t="shared" si="290"/>
        <v>3.3821995687120174</v>
      </c>
      <c r="T434" s="179">
        <f t="shared" si="290"/>
        <v>3.3837958342514227</v>
      </c>
    </row>
    <row r="435" spans="1:20">
      <c r="A435" s="175" t="s">
        <v>2458</v>
      </c>
      <c r="B435" s="177">
        <f>'"HUMBERSIDE"'!D4</f>
        <v>180755</v>
      </c>
      <c r="C435" s="177">
        <f>'"HUMBERSIDE"'!E4</f>
        <v>182950</v>
      </c>
      <c r="D435" s="177">
        <f>'"HUMBERSIDE"'!F4</f>
        <v>183658</v>
      </c>
      <c r="E435" s="177">
        <f>'"HUMBERSIDE"'!G4</f>
        <v>183976</v>
      </c>
      <c r="F435" s="177">
        <f>'"HUMBERSIDE"'!H4</f>
        <v>184098</v>
      </c>
      <c r="G435" s="177">
        <f>'"HUMBERSIDE"'!I4</f>
        <v>174136</v>
      </c>
      <c r="H435" s="177">
        <f>'"HUMBERSIDE"'!J4</f>
        <v>175422</v>
      </c>
      <c r="I435" s="177">
        <f>'"HUMBERSIDE"'!K4</f>
        <v>178544</v>
      </c>
      <c r="J435" s="177">
        <f>'"HUMBERSIDE"'!L4</f>
        <v>175412</v>
      </c>
      <c r="K435" s="178"/>
      <c r="L435" s="179">
        <f t="shared" si="290"/>
        <v>2.3804851709424222</v>
      </c>
      <c r="M435" s="179">
        <f t="shared" si="290"/>
        <v>2.3871035085659114</v>
      </c>
      <c r="N435" s="179">
        <f t="shared" si="290"/>
        <v>2.3826623941049028</v>
      </c>
      <c r="O435" s="179">
        <f t="shared" si="290"/>
        <v>2.3740676697550778</v>
      </c>
      <c r="P435" s="179">
        <f t="shared" si="290"/>
        <v>2.3867295874711543</v>
      </c>
      <c r="Q435" s="179">
        <f t="shared" si="290"/>
        <v>2.2980969725763454</v>
      </c>
      <c r="R435" s="179">
        <f t="shared" si="290"/>
        <v>2.3461862536612768</v>
      </c>
      <c r="S435" s="179">
        <f t="shared" si="290"/>
        <v>2.3334509573286284</v>
      </c>
      <c r="T435" s="179">
        <f t="shared" si="290"/>
        <v>2.2735603281790726</v>
      </c>
    </row>
    <row r="436" spans="1:20">
      <c r="A436" s="175" t="s">
        <v>3417</v>
      </c>
      <c r="B436" s="177">
        <f>'"HUMBERSIDE"'!D5</f>
        <v>115415</v>
      </c>
      <c r="C436" s="177">
        <f>'"HUMBERSIDE"'!E5</f>
        <v>115806</v>
      </c>
      <c r="D436" s="177">
        <f>'"HUMBERSIDE"'!F5</f>
        <v>116307</v>
      </c>
      <c r="E436" s="177">
        <f>'"HUMBERSIDE"'!G5</f>
        <v>115755</v>
      </c>
      <c r="F436" s="177">
        <f>'"HUMBERSIDE"'!H5</f>
        <v>114083</v>
      </c>
      <c r="G436" s="177">
        <f>'"HUMBERSIDE"'!I5</f>
        <v>109553</v>
      </c>
      <c r="H436" s="177">
        <f>'"HUMBERSIDE"'!J5</f>
        <v>112541</v>
      </c>
      <c r="I436" s="177">
        <f>'"HUMBERSIDE"'!K5</f>
        <v>117081</v>
      </c>
      <c r="J436" s="177">
        <f>'"HUMBERSIDE"'!L5</f>
        <v>115876</v>
      </c>
      <c r="K436" s="178"/>
      <c r="L436" s="179">
        <f t="shared" si="290"/>
        <v>1.5199784017278617</v>
      </c>
      <c r="M436" s="179">
        <f t="shared" si="290"/>
        <v>1.5110189063295103</v>
      </c>
      <c r="N436" s="179">
        <f t="shared" si="290"/>
        <v>1.5088932421738173</v>
      </c>
      <c r="O436" s="179">
        <f t="shared" si="290"/>
        <v>1.4937285467261983</v>
      </c>
      <c r="P436" s="179">
        <f t="shared" si="290"/>
        <v>1.479023517514974</v>
      </c>
      <c r="Q436" s="179">
        <f t="shared" si="290"/>
        <v>1.4457861535619079</v>
      </c>
      <c r="R436" s="179">
        <f t="shared" si="290"/>
        <v>1.5051826291644934</v>
      </c>
      <c r="S436" s="179">
        <f t="shared" si="290"/>
        <v>1.5301705547931779</v>
      </c>
      <c r="T436" s="179">
        <f t="shared" si="290"/>
        <v>1.5018988244138272</v>
      </c>
    </row>
    <row r="437" spans="1:20">
      <c r="A437" s="175" t="s">
        <v>3418</v>
      </c>
      <c r="B437" s="177">
        <f>'"HUMBERSIDE"'!D6</f>
        <v>124476</v>
      </c>
      <c r="C437" s="177">
        <f>'"HUMBERSIDE"'!E6</f>
        <v>124610</v>
      </c>
      <c r="D437" s="177">
        <f>'"HUMBERSIDE"'!F6</f>
        <v>124626</v>
      </c>
      <c r="E437" s="177">
        <f>'"HUMBERSIDE"'!G6</f>
        <v>125173</v>
      </c>
      <c r="F437" s="177">
        <f>'"HUMBERSIDE"'!H6</f>
        <v>124636</v>
      </c>
      <c r="G437" s="177">
        <f>'"HUMBERSIDE"'!I6</f>
        <v>121292</v>
      </c>
      <c r="H437" s="177">
        <f>'"HUMBERSIDE"'!J6</f>
        <v>119916</v>
      </c>
      <c r="I437" s="177">
        <f>'"HUMBERSIDE"'!K6</f>
        <v>122395</v>
      </c>
      <c r="J437" s="177">
        <f>'"HUMBERSIDE"'!L6</f>
        <v>122502</v>
      </c>
      <c r="K437" s="178"/>
      <c r="L437" s="179">
        <f t="shared" si="290"/>
        <v>1.6393088552915767</v>
      </c>
      <c r="M437" s="179">
        <f t="shared" si="290"/>
        <v>1.6258921465012199</v>
      </c>
      <c r="N437" s="179">
        <f t="shared" si="290"/>
        <v>1.6168186712678869</v>
      </c>
      <c r="O437" s="179">
        <f t="shared" si="290"/>
        <v>1.6152605362995844</v>
      </c>
      <c r="P437" s="179">
        <f t="shared" si="290"/>
        <v>1.6158373739207095</v>
      </c>
      <c r="Q437" s="179">
        <f t="shared" si="290"/>
        <v>1.6007073666429119</v>
      </c>
      <c r="R437" s="179">
        <f t="shared" si="290"/>
        <v>1.6038197648758175</v>
      </c>
      <c r="S437" s="179">
        <f t="shared" si="290"/>
        <v>1.5996209893484938</v>
      </c>
      <c r="T437" s="179">
        <f t="shared" si="290"/>
        <v>1.58778012520576</v>
      </c>
    </row>
    <row r="438" spans="1:20">
      <c r="A438" s="181" t="s">
        <v>14499</v>
      </c>
      <c r="B438" s="177">
        <f t="shared" ref="B438:G438" si="291">SUM(B434:B437)</f>
        <v>685942</v>
      </c>
      <c r="C438" s="177">
        <f t="shared" si="291"/>
        <v>688722</v>
      </c>
      <c r="D438" s="177">
        <f t="shared" si="291"/>
        <v>689622</v>
      </c>
      <c r="E438" s="177">
        <f t="shared" si="291"/>
        <v>692319</v>
      </c>
      <c r="F438" s="177">
        <f t="shared" si="291"/>
        <v>689274</v>
      </c>
      <c r="G438" s="177">
        <f t="shared" si="291"/>
        <v>666240</v>
      </c>
      <c r="H438" s="177">
        <f t="shared" ref="H438" si="292">SUM(H434:H437)</f>
        <v>661995</v>
      </c>
      <c r="I438" s="177">
        <f t="shared" ref="I438:J438" si="293">SUM(I434:I437)</f>
        <v>676809</v>
      </c>
      <c r="J438" s="177">
        <f t="shared" si="293"/>
        <v>674860</v>
      </c>
      <c r="K438" s="178"/>
      <c r="L438" s="179">
        <f t="shared" si="290"/>
        <v>9.0336353579518516</v>
      </c>
      <c r="M438" s="179">
        <f t="shared" si="290"/>
        <v>8.9863389047637696</v>
      </c>
      <c r="N438" s="179">
        <f t="shared" si="290"/>
        <v>8.9467183871511793</v>
      </c>
      <c r="O438" s="179">
        <f t="shared" si="290"/>
        <v>8.9338400392288442</v>
      </c>
      <c r="P438" s="179">
        <f t="shared" si="290"/>
        <v>8.9360593253299445</v>
      </c>
      <c r="Q438" s="179">
        <f t="shared" si="290"/>
        <v>8.7924617942829997</v>
      </c>
      <c r="R438" s="179">
        <f t="shared" si="290"/>
        <v>8.8538699193516024</v>
      </c>
      <c r="S438" s="179">
        <f t="shared" si="290"/>
        <v>8.8454420701823171</v>
      </c>
      <c r="T438" s="179">
        <f t="shared" si="290"/>
        <v>8.7470351120500816</v>
      </c>
    </row>
    <row r="439" spans="1:20">
      <c r="A439" s="175"/>
      <c r="B439" s="177"/>
      <c r="C439" s="177"/>
      <c r="D439" s="177"/>
      <c r="E439" s="177"/>
      <c r="F439" s="177"/>
      <c r="G439" s="177"/>
      <c r="H439" s="177"/>
      <c r="I439" s="177"/>
      <c r="J439" s="177"/>
      <c r="K439" s="178"/>
      <c r="L439" s="179"/>
      <c r="M439" s="179"/>
      <c r="N439" s="179"/>
      <c r="O439" s="179"/>
      <c r="P439" s="179"/>
      <c r="Q439" s="179"/>
      <c r="R439" s="179"/>
      <c r="S439" s="179"/>
      <c r="T439" s="179"/>
    </row>
    <row r="440" spans="1:20">
      <c r="A440" s="175" t="s">
        <v>5603</v>
      </c>
      <c r="B440" s="177">
        <f>'NORTH YORKSHIRE'!D5</f>
        <v>44376</v>
      </c>
      <c r="C440" s="177">
        <f>'NORTH YORKSHIRE'!E5</f>
        <v>44552</v>
      </c>
      <c r="D440" s="177">
        <f>'NORTH YORKSHIRE'!F5</f>
        <v>44576</v>
      </c>
      <c r="E440" s="177">
        <f>'NORTH YORKSHIRE'!G5</f>
        <v>44903</v>
      </c>
      <c r="F440" s="177">
        <f>'NORTH YORKSHIRE'!H5</f>
        <v>44423</v>
      </c>
      <c r="G440" s="177">
        <f>'NORTH YORKSHIRE'!I5</f>
        <v>43302</v>
      </c>
      <c r="H440" s="177">
        <f>'NORTH YORKSHIRE'!J5</f>
        <v>42127</v>
      </c>
      <c r="I440" s="177">
        <f>'NORTH YORKSHIRE'!K5</f>
        <v>43918</v>
      </c>
      <c r="J440" s="177">
        <f>'NORTH YORKSHIRE'!L5</f>
        <v>44156</v>
      </c>
      <c r="K440" s="178"/>
      <c r="L440" s="179">
        <f t="shared" ref="L440:L449" si="294">B440/B$470</f>
        <v>0.58441763683295578</v>
      </c>
      <c r="M440" s="179">
        <f t="shared" ref="M440:M449" si="295">C440/C$470</f>
        <v>0.58130765517151395</v>
      </c>
      <c r="N440" s="179">
        <f t="shared" ref="N440:N449" si="296">D440/D$470</f>
        <v>0.5783007485631998</v>
      </c>
      <c r="O440" s="179">
        <f t="shared" ref="O440:O449" si="297">E440/E$470</f>
        <v>0.57943840813482339</v>
      </c>
      <c r="P440" s="179">
        <f t="shared" ref="P440:P449" si="298">F440/F$470</f>
        <v>0.5759198278320844</v>
      </c>
      <c r="Q440" s="179">
        <f t="shared" ref="Q440:T449" si="299">G440/G$470</f>
        <v>0.57146250692849787</v>
      </c>
      <c r="R440" s="179">
        <f t="shared" si="299"/>
        <v>0.56342869370995996</v>
      </c>
      <c r="S440" s="179">
        <f t="shared" si="299"/>
        <v>0.57397895837417501</v>
      </c>
      <c r="T440" s="179">
        <f t="shared" si="299"/>
        <v>0.57231734346039687</v>
      </c>
    </row>
    <row r="441" spans="1:20">
      <c r="A441" s="175" t="s">
        <v>5604</v>
      </c>
      <c r="B441" s="177">
        <f>'NORTH YORKSHIRE'!D6</f>
        <v>70278</v>
      </c>
      <c r="C441" s="177">
        <f>'NORTH YORKSHIRE'!E6</f>
        <v>70709</v>
      </c>
      <c r="D441" s="177">
        <f>'NORTH YORKSHIRE'!F6</f>
        <v>70453</v>
      </c>
      <c r="E441" s="177">
        <f>'NORTH YORKSHIRE'!G6</f>
        <v>69992</v>
      </c>
      <c r="F441" s="177">
        <f>'NORTH YORKSHIRE'!H6</f>
        <v>70752</v>
      </c>
      <c r="G441" s="177">
        <f>'NORTH YORKSHIRE'!I6</f>
        <v>68768</v>
      </c>
      <c r="H441" s="177">
        <f>'NORTH YORKSHIRE'!J6</f>
        <v>67293</v>
      </c>
      <c r="I441" s="177">
        <f>'NORTH YORKSHIRE'!K6</f>
        <v>71238</v>
      </c>
      <c r="J441" s="177">
        <f>'NORTH YORKSHIRE'!L6</f>
        <v>70970</v>
      </c>
      <c r="K441" s="178"/>
      <c r="L441" s="179">
        <f t="shared" si="294"/>
        <v>0.92553863983564244</v>
      </c>
      <c r="M441" s="179">
        <f t="shared" si="295"/>
        <v>0.92260017484114243</v>
      </c>
      <c r="N441" s="179">
        <f t="shared" si="296"/>
        <v>0.91401253227124712</v>
      </c>
      <c r="O441" s="179">
        <f t="shared" si="297"/>
        <v>0.90319250522621108</v>
      </c>
      <c r="P441" s="179">
        <f t="shared" si="298"/>
        <v>0.91726087069256101</v>
      </c>
      <c r="Q441" s="179">
        <f t="shared" si="299"/>
        <v>0.90754084514477262</v>
      </c>
      <c r="R441" s="179">
        <f t="shared" si="299"/>
        <v>0.90001203707418853</v>
      </c>
      <c r="S441" s="179">
        <f t="shared" si="299"/>
        <v>0.93103313075867478</v>
      </c>
      <c r="T441" s="179">
        <f t="shared" si="299"/>
        <v>0.91986053685533942</v>
      </c>
    </row>
    <row r="442" spans="1:20">
      <c r="A442" s="175" t="s">
        <v>5605</v>
      </c>
      <c r="B442" s="177">
        <f>'NORTH YORKSHIRE'!D7</f>
        <v>116382</v>
      </c>
      <c r="C442" s="177">
        <f>'NORTH YORKSHIRE'!E7</f>
        <v>117243</v>
      </c>
      <c r="D442" s="177">
        <f>'NORTH YORKSHIRE'!F7</f>
        <v>117436</v>
      </c>
      <c r="E442" s="177">
        <f>'NORTH YORKSHIRE'!G7</f>
        <v>118889</v>
      </c>
      <c r="F442" s="177">
        <f>'NORTH YORKSHIRE'!H7</f>
        <v>118076</v>
      </c>
      <c r="G442" s="177">
        <f>'NORTH YORKSHIRE'!I7</f>
        <v>117983</v>
      </c>
      <c r="H442" s="177">
        <f>'NORTH YORKSHIRE'!J7</f>
        <v>115996</v>
      </c>
      <c r="I442" s="177">
        <f>'NORTH YORKSHIRE'!K7</f>
        <v>119093</v>
      </c>
      <c r="J442" s="177">
        <f>'NORTH YORKSHIRE'!L7</f>
        <v>118845</v>
      </c>
      <c r="K442" s="178"/>
      <c r="L442" s="179">
        <f t="shared" si="294"/>
        <v>1.5327134804825371</v>
      </c>
      <c r="M442" s="179">
        <f t="shared" si="295"/>
        <v>1.5297686616823893</v>
      </c>
      <c r="N442" s="179">
        <f t="shared" si="296"/>
        <v>1.5235401720268289</v>
      </c>
      <c r="O442" s="179">
        <f t="shared" si="297"/>
        <v>1.5341703873848298</v>
      </c>
      <c r="P442" s="179">
        <f t="shared" si="298"/>
        <v>1.5307905722508881</v>
      </c>
      <c r="Q442" s="179">
        <f t="shared" si="299"/>
        <v>1.5570380341541954</v>
      </c>
      <c r="R442" s="179">
        <f t="shared" si="299"/>
        <v>1.5513916195214594</v>
      </c>
      <c r="S442" s="179">
        <f t="shared" si="299"/>
        <v>1.5564660524080245</v>
      </c>
      <c r="T442" s="179">
        <f t="shared" si="299"/>
        <v>1.5403808017834693</v>
      </c>
    </row>
    <row r="443" spans="1:20">
      <c r="A443" s="175" t="s">
        <v>5606</v>
      </c>
      <c r="B443" s="177">
        <f>'NORTH YORKSHIRE'!D8</f>
        <v>37245</v>
      </c>
      <c r="C443" s="177">
        <f>'NORTH YORKSHIRE'!E8</f>
        <v>34633</v>
      </c>
      <c r="D443" s="177">
        <f>'NORTH YORKSHIRE'!F8</f>
        <v>34841</v>
      </c>
      <c r="E443" s="177">
        <f>'NORTH YORKSHIRE'!G8</f>
        <v>35623</v>
      </c>
      <c r="F443" s="177">
        <f>'NORTH YORKSHIRE'!H8</f>
        <v>35658</v>
      </c>
      <c r="G443" s="177">
        <f>'NORTH YORKSHIRE'!I8</f>
        <v>34720</v>
      </c>
      <c r="H443" s="177">
        <f>'NORTH YORKSHIRE'!J8</f>
        <v>34366</v>
      </c>
      <c r="I443" s="177">
        <f>'NORTH YORKSHIRE'!K8</f>
        <v>35855</v>
      </c>
      <c r="J443" s="177">
        <f>'NORTH YORKSHIRE'!L8</f>
        <v>36330</v>
      </c>
      <c r="K443" s="178"/>
      <c r="L443" s="179">
        <f t="shared" si="294"/>
        <v>0.49050466206605908</v>
      </c>
      <c r="M443" s="179">
        <f t="shared" si="295"/>
        <v>0.4518860662047729</v>
      </c>
      <c r="N443" s="179">
        <f t="shared" si="296"/>
        <v>0.45200503366588396</v>
      </c>
      <c r="O443" s="179">
        <f t="shared" si="297"/>
        <v>0.45968720158980048</v>
      </c>
      <c r="P443" s="179">
        <f t="shared" si="298"/>
        <v>0.46228641066196491</v>
      </c>
      <c r="Q443" s="179">
        <f t="shared" si="299"/>
        <v>0.45820466122944548</v>
      </c>
      <c r="R443" s="179">
        <f t="shared" si="299"/>
        <v>0.45962899062445667</v>
      </c>
      <c r="S443" s="179">
        <f t="shared" si="299"/>
        <v>0.46860092792262953</v>
      </c>
      <c r="T443" s="179">
        <f t="shared" si="299"/>
        <v>0.47088253211151865</v>
      </c>
    </row>
    <row r="444" spans="1:20">
      <c r="A444" s="175" t="s">
        <v>5607</v>
      </c>
      <c r="B444" s="177">
        <f>'NORTH YORKSHIRE'!D9</f>
        <v>41032</v>
      </c>
      <c r="C444" s="177">
        <f>'NORTH YORKSHIRE'!E9</f>
        <v>41234</v>
      </c>
      <c r="D444" s="177">
        <f>'NORTH YORKSHIRE'!F9</f>
        <v>41480</v>
      </c>
      <c r="E444" s="177">
        <f>'NORTH YORKSHIRE'!G9</f>
        <v>42074</v>
      </c>
      <c r="F444" s="177">
        <f>'NORTH YORKSHIRE'!H9</f>
        <v>40530</v>
      </c>
      <c r="G444" s="177">
        <f>'NORTH YORKSHIRE'!I9</f>
        <v>40590</v>
      </c>
      <c r="H444" s="177">
        <f>'NORTH YORKSHIRE'!J9</f>
        <v>39668</v>
      </c>
      <c r="I444" s="177">
        <f>'NORTH YORKSHIRE'!K9</f>
        <v>41406</v>
      </c>
      <c r="J444" s="177">
        <f>'NORTH YORKSHIRE'!L9</f>
        <v>41576</v>
      </c>
      <c r="K444" s="178"/>
      <c r="L444" s="179">
        <f t="shared" si="294"/>
        <v>0.54037823315598166</v>
      </c>
      <c r="M444" s="179">
        <f t="shared" si="295"/>
        <v>0.53801490064064927</v>
      </c>
      <c r="N444" s="179">
        <f t="shared" si="296"/>
        <v>0.5381352084171197</v>
      </c>
      <c r="O444" s="179">
        <f t="shared" si="297"/>
        <v>0.54293235605337187</v>
      </c>
      <c r="P444" s="179">
        <f t="shared" si="298"/>
        <v>0.52544921824357615</v>
      </c>
      <c r="Q444" s="179">
        <f t="shared" si="299"/>
        <v>0.53567186633937758</v>
      </c>
      <c r="R444" s="179">
        <f t="shared" si="299"/>
        <v>0.53054073212160124</v>
      </c>
      <c r="S444" s="179">
        <f t="shared" si="299"/>
        <v>0.54114879435404828</v>
      </c>
      <c r="T444" s="179">
        <f t="shared" si="299"/>
        <v>0.5388772957629645</v>
      </c>
    </row>
    <row r="445" spans="1:20">
      <c r="A445" s="175" t="s">
        <v>5608</v>
      </c>
      <c r="B445" s="177">
        <f>'NORTH YORKSHIRE'!D10</f>
        <v>85624</v>
      </c>
      <c r="C445" s="177">
        <f>'NORTH YORKSHIRE'!E10</f>
        <v>85634</v>
      </c>
      <c r="D445" s="177">
        <f>'NORTH YORKSHIRE'!F10</f>
        <v>85187</v>
      </c>
      <c r="E445" s="177">
        <f>'NORTH YORKSHIRE'!G10</f>
        <v>85066</v>
      </c>
      <c r="F445" s="177">
        <f>'NORTH YORKSHIRE'!H10</f>
        <v>84602</v>
      </c>
      <c r="G445" s="177">
        <f>'NORTH YORKSHIRE'!I10</f>
        <v>82120</v>
      </c>
      <c r="H445" s="177">
        <f>'NORTH YORKSHIRE'!J10</f>
        <v>79890</v>
      </c>
      <c r="I445" s="177">
        <f>'NORTH YORKSHIRE'!K10</f>
        <v>81261</v>
      </c>
      <c r="J445" s="177">
        <f>'NORTH YORKSHIRE'!L10</f>
        <v>81797</v>
      </c>
      <c r="K445" s="178"/>
      <c r="L445" s="179">
        <f t="shared" si="294"/>
        <v>1.1276405204656799</v>
      </c>
      <c r="M445" s="179">
        <f t="shared" si="295"/>
        <v>1.1173392831513158</v>
      </c>
      <c r="N445" s="179">
        <f t="shared" si="296"/>
        <v>1.1051621022041749</v>
      </c>
      <c r="O445" s="179">
        <f t="shared" si="297"/>
        <v>1.0977107905128138</v>
      </c>
      <c r="P445" s="179">
        <f t="shared" si="298"/>
        <v>1.0968185236082661</v>
      </c>
      <c r="Q445" s="179">
        <f t="shared" si="299"/>
        <v>1.0837490432074326</v>
      </c>
      <c r="R445" s="179">
        <f t="shared" si="299"/>
        <v>1.0684909521325683</v>
      </c>
      <c r="S445" s="179">
        <f t="shared" si="299"/>
        <v>1.0620270535189178</v>
      </c>
      <c r="T445" s="179">
        <f t="shared" si="299"/>
        <v>1.0601920858553782</v>
      </c>
    </row>
    <row r="446" spans="1:20">
      <c r="A446" s="175" t="s">
        <v>5609</v>
      </c>
      <c r="B446" s="177">
        <f>'NORTH YORKSHIRE'!D11</f>
        <v>62988</v>
      </c>
      <c r="C446" s="177">
        <f>'NORTH YORKSHIRE'!E11</f>
        <v>63927</v>
      </c>
      <c r="D446" s="177">
        <f>'NORTH YORKSHIRE'!F11</f>
        <v>63823</v>
      </c>
      <c r="E446" s="177">
        <f>'NORTH YORKSHIRE'!G11</f>
        <v>65622</v>
      </c>
      <c r="F446" s="177">
        <f>'NORTH YORKSHIRE'!H11</f>
        <v>66002</v>
      </c>
      <c r="G446" s="177">
        <f>'NORTH YORKSHIRE'!I11</f>
        <v>65775</v>
      </c>
      <c r="H446" s="177">
        <f>'NORTH YORKSHIRE'!J11</f>
        <v>63151</v>
      </c>
      <c r="I446" s="177">
        <f>'NORTH YORKSHIRE'!K11</f>
        <v>65119</v>
      </c>
      <c r="J446" s="177">
        <f>'NORTH YORKSHIRE'!L11</f>
        <v>65643</v>
      </c>
      <c r="K446" s="178"/>
      <c r="L446" s="179">
        <f t="shared" si="294"/>
        <v>0.82953168624558815</v>
      </c>
      <c r="M446" s="179">
        <f t="shared" si="295"/>
        <v>0.83410968019728349</v>
      </c>
      <c r="N446" s="179">
        <f t="shared" si="296"/>
        <v>0.82799911781113378</v>
      </c>
      <c r="O446" s="179">
        <f t="shared" si="297"/>
        <v>0.84680104266136735</v>
      </c>
      <c r="P446" s="179">
        <f t="shared" si="298"/>
        <v>0.85567972619078492</v>
      </c>
      <c r="Q446" s="179">
        <f t="shared" si="299"/>
        <v>0.8680418085359094</v>
      </c>
      <c r="R446" s="179">
        <f t="shared" si="299"/>
        <v>0.84461474675333359</v>
      </c>
      <c r="S446" s="179">
        <f t="shared" si="299"/>
        <v>0.85106188329085797</v>
      </c>
      <c r="T446" s="179">
        <f t="shared" si="299"/>
        <v>0.85081591124129974</v>
      </c>
    </row>
    <row r="447" spans="1:20">
      <c r="A447" s="175" t="s">
        <v>5610</v>
      </c>
      <c r="B447" s="177">
        <f t="shared" ref="B447:G447" si="300">SUM(B440:B446)</f>
        <v>457925</v>
      </c>
      <c r="C447" s="177">
        <f t="shared" si="300"/>
        <v>457932</v>
      </c>
      <c r="D447" s="177">
        <f t="shared" si="300"/>
        <v>457796</v>
      </c>
      <c r="E447" s="177">
        <f t="shared" si="300"/>
        <v>462169</v>
      </c>
      <c r="F447" s="177">
        <f t="shared" si="300"/>
        <v>460043</v>
      </c>
      <c r="G447" s="177">
        <f t="shared" si="300"/>
        <v>453258</v>
      </c>
      <c r="H447" s="177">
        <f t="shared" ref="H447:I447" si="301">SUM(H440:H446)</f>
        <v>442491</v>
      </c>
      <c r="I447" s="177">
        <f t="shared" si="301"/>
        <v>457890</v>
      </c>
      <c r="J447" s="177">
        <f t="shared" ref="J447" si="302">SUM(J440:J446)</f>
        <v>459317</v>
      </c>
      <c r="K447" s="178"/>
      <c r="L447" s="179">
        <f t="shared" si="294"/>
        <v>6.0307248590844438</v>
      </c>
      <c r="M447" s="179">
        <f t="shared" si="295"/>
        <v>5.9750264218890674</v>
      </c>
      <c r="N447" s="179">
        <f t="shared" si="296"/>
        <v>5.9391549149595884</v>
      </c>
      <c r="O447" s="179">
        <f t="shared" si="297"/>
        <v>5.963932691563218</v>
      </c>
      <c r="P447" s="179">
        <f t="shared" si="298"/>
        <v>5.9642051494801258</v>
      </c>
      <c r="Q447" s="179">
        <f t="shared" si="299"/>
        <v>5.981708765539631</v>
      </c>
      <c r="R447" s="179">
        <f t="shared" si="299"/>
        <v>5.9181077719375681</v>
      </c>
      <c r="S447" s="179">
        <f t="shared" si="299"/>
        <v>5.9843168006273277</v>
      </c>
      <c r="T447" s="179">
        <f t="shared" si="299"/>
        <v>5.9533265070703667</v>
      </c>
    </row>
    <row r="448" spans="1:20">
      <c r="A448" s="175" t="s">
        <v>8783</v>
      </c>
      <c r="B448" s="177">
        <f>YORK!D3</f>
        <v>148810</v>
      </c>
      <c r="C448" s="177">
        <f>YORK!E3</f>
        <v>150781</v>
      </c>
      <c r="D448" s="177">
        <f>YORK!F3</f>
        <v>152510</v>
      </c>
      <c r="E448" s="177">
        <f>YORK!G3</f>
        <v>152053</v>
      </c>
      <c r="F448" s="177">
        <f>YORK!H3</f>
        <v>153430</v>
      </c>
      <c r="G448" s="177">
        <f>YORK!I3</f>
        <v>143140</v>
      </c>
      <c r="H448" s="177">
        <f>YORK!J3</f>
        <v>147364</v>
      </c>
      <c r="I448" s="177">
        <f>YORK!K3</f>
        <v>145153</v>
      </c>
      <c r="J448" s="177">
        <f>YORK!L3</f>
        <v>149670</v>
      </c>
      <c r="K448" s="178"/>
      <c r="L448" s="179">
        <f t="shared" si="294"/>
        <v>1.9597798029816151</v>
      </c>
      <c r="M448" s="179">
        <f t="shared" si="295"/>
        <v>1.9673673360211896</v>
      </c>
      <c r="N448" s="179">
        <f t="shared" si="296"/>
        <v>1.9785679998962131</v>
      </c>
      <c r="O448" s="179">
        <f t="shared" si="297"/>
        <v>1.962126100085168</v>
      </c>
      <c r="P448" s="179">
        <f t="shared" si="298"/>
        <v>1.9891357896647393</v>
      </c>
      <c r="Q448" s="179">
        <f t="shared" si="299"/>
        <v>1.8890384564626388</v>
      </c>
      <c r="R448" s="179">
        <f t="shared" si="299"/>
        <v>1.9709237785713329</v>
      </c>
      <c r="S448" s="179">
        <f t="shared" si="299"/>
        <v>1.8970528654512187</v>
      </c>
      <c r="T448" s="179">
        <f t="shared" si="299"/>
        <v>1.9399116042150013</v>
      </c>
    </row>
    <row r="449" spans="1:20">
      <c r="A449" s="181" t="s">
        <v>14500</v>
      </c>
      <c r="B449" s="177">
        <f>B447+B448</f>
        <v>606735</v>
      </c>
      <c r="C449" s="177">
        <f t="shared" ref="C449:G449" si="303">C447+C448</f>
        <v>608713</v>
      </c>
      <c r="D449" s="177">
        <f t="shared" si="303"/>
        <v>610306</v>
      </c>
      <c r="E449" s="177">
        <f t="shared" si="303"/>
        <v>614222</v>
      </c>
      <c r="F449" s="177">
        <f t="shared" si="303"/>
        <v>613473</v>
      </c>
      <c r="G449" s="177">
        <f t="shared" si="303"/>
        <v>596398</v>
      </c>
      <c r="H449" s="177">
        <f t="shared" ref="H449" si="304">H447+H448</f>
        <v>589855</v>
      </c>
      <c r="I449" s="177">
        <f t="shared" ref="I449:J449" si="305">I447+I448</f>
        <v>603043</v>
      </c>
      <c r="J449" s="177">
        <f t="shared" si="305"/>
        <v>608987</v>
      </c>
      <c r="K449" s="178"/>
      <c r="L449" s="179">
        <f t="shared" si="294"/>
        <v>7.9905046620660594</v>
      </c>
      <c r="M449" s="179">
        <f t="shared" si="295"/>
        <v>7.9423937579102573</v>
      </c>
      <c r="N449" s="179">
        <f t="shared" si="296"/>
        <v>7.9177229148558013</v>
      </c>
      <c r="O449" s="179">
        <f t="shared" si="297"/>
        <v>7.9260587916483853</v>
      </c>
      <c r="P449" s="179">
        <f t="shared" si="298"/>
        <v>7.9533409391448648</v>
      </c>
      <c r="Q449" s="179">
        <f t="shared" si="299"/>
        <v>7.8707472220022696</v>
      </c>
      <c r="R449" s="179">
        <f t="shared" si="299"/>
        <v>7.8890315505089008</v>
      </c>
      <c r="S449" s="179">
        <f t="shared" si="299"/>
        <v>7.8813696660785464</v>
      </c>
      <c r="T449" s="179">
        <f t="shared" si="299"/>
        <v>7.8932381112853678</v>
      </c>
    </row>
    <row r="450" spans="1:20">
      <c r="A450" s="175"/>
      <c r="B450" s="177"/>
      <c r="C450" s="177"/>
      <c r="D450" s="177"/>
      <c r="E450" s="177"/>
      <c r="F450" s="177"/>
      <c r="G450" s="177"/>
      <c r="H450" s="177"/>
      <c r="I450" s="177"/>
      <c r="J450" s="177"/>
      <c r="K450" s="178"/>
      <c r="L450" s="179"/>
      <c r="M450" s="179"/>
      <c r="N450" s="179"/>
      <c r="O450" s="179"/>
      <c r="P450" s="179"/>
      <c r="Q450" s="179"/>
      <c r="R450" s="179"/>
      <c r="S450" s="179"/>
      <c r="T450" s="179"/>
    </row>
    <row r="451" spans="1:20">
      <c r="A451" s="175" t="s">
        <v>6645</v>
      </c>
      <c r="B451" s="21">
        <f>'SOUTH YORKSHIRE'!D5</f>
        <v>175811</v>
      </c>
      <c r="C451" s="21">
        <f>'SOUTH YORKSHIRE'!E5</f>
        <v>176015</v>
      </c>
      <c r="D451" s="21">
        <f>'SOUTH YORKSHIRE'!F5</f>
        <v>178262</v>
      </c>
      <c r="E451" s="21">
        <f>'SOUTH YORKSHIRE'!G5</f>
        <v>179470</v>
      </c>
      <c r="F451" s="21">
        <f>'SOUTH YORKSHIRE'!H5</f>
        <v>180213</v>
      </c>
      <c r="G451" s="21">
        <f>'SOUTH YORKSHIRE'!I5</f>
        <v>176280</v>
      </c>
      <c r="H451" s="21">
        <f>'SOUTH YORKSHIRE'!J5</f>
        <v>167715</v>
      </c>
      <c r="I451" s="21">
        <f>'SOUTH YORKSHIRE'!K5</f>
        <v>173280</v>
      </c>
      <c r="J451" s="21">
        <f>'SOUTH YORKSHIRE'!L5</f>
        <v>175948</v>
      </c>
      <c r="K451" s="178"/>
      <c r="L451" s="179">
        <f t="shared" ref="L451:T455" si="306">B451/B$470</f>
        <v>2.3153742822525416</v>
      </c>
      <c r="M451" s="179">
        <f t="shared" si="306"/>
        <v>2.2966166934147521</v>
      </c>
      <c r="N451" s="179">
        <f t="shared" si="306"/>
        <v>2.3126581128942281</v>
      </c>
      <c r="O451" s="179">
        <f t="shared" si="306"/>
        <v>2.315921232611557</v>
      </c>
      <c r="P451" s="179">
        <f t="shared" si="306"/>
        <v>2.3363626934944381</v>
      </c>
      <c r="Q451" s="179">
        <f t="shared" si="306"/>
        <v>2.3263916382928183</v>
      </c>
      <c r="R451" s="179">
        <f t="shared" si="306"/>
        <v>2.2431087750270833</v>
      </c>
      <c r="S451" s="179">
        <f t="shared" si="306"/>
        <v>2.2646539894138402</v>
      </c>
      <c r="T451" s="179">
        <f t="shared" si="306"/>
        <v>2.2805075628945084</v>
      </c>
    </row>
    <row r="452" spans="1:20">
      <c r="A452" s="175" t="s">
        <v>6646</v>
      </c>
      <c r="B452" s="21">
        <f>'SOUTH YORKSHIRE'!D6</f>
        <v>218109</v>
      </c>
      <c r="C452" s="21">
        <f>'SOUTH YORKSHIRE'!E6</f>
        <v>220403</v>
      </c>
      <c r="D452" s="21">
        <f>'SOUTH YORKSHIRE'!F6</f>
        <v>220639</v>
      </c>
      <c r="E452" s="21">
        <f>'SOUTH YORKSHIRE'!G6</f>
        <v>221968</v>
      </c>
      <c r="F452" s="21">
        <f>'SOUTH YORKSHIRE'!H6</f>
        <v>217226</v>
      </c>
      <c r="G452" s="21">
        <f>'SOUTH YORKSHIRE'!I6</f>
        <v>206309</v>
      </c>
      <c r="H452" s="21">
        <f>'SOUTH YORKSHIRE'!J6</f>
        <v>211267</v>
      </c>
      <c r="I452" s="21">
        <f>'SOUTH YORKSHIRE'!K6</f>
        <v>215105</v>
      </c>
      <c r="J452" s="21">
        <f>'SOUTH YORKSHIRE'!L6</f>
        <v>219058</v>
      </c>
      <c r="K452" s="178"/>
      <c r="L452" s="179">
        <f t="shared" si="306"/>
        <v>2.8724253279249856</v>
      </c>
      <c r="M452" s="179">
        <f t="shared" si="306"/>
        <v>2.8757845017679831</v>
      </c>
      <c r="N452" s="179">
        <f t="shared" si="306"/>
        <v>2.8624304303265395</v>
      </c>
      <c r="O452" s="179">
        <f t="shared" si="306"/>
        <v>2.8643249799984516</v>
      </c>
      <c r="P452" s="179">
        <f t="shared" si="306"/>
        <v>2.816215935903752</v>
      </c>
      <c r="Q452" s="179">
        <f t="shared" si="306"/>
        <v>2.7226885211286191</v>
      </c>
      <c r="R452" s="179">
        <f t="shared" si="306"/>
        <v>2.8255961695355025</v>
      </c>
      <c r="S452" s="179">
        <f t="shared" si="306"/>
        <v>2.8112788342155133</v>
      </c>
      <c r="T452" s="179">
        <f t="shared" si="306"/>
        <v>2.839267429652768</v>
      </c>
    </row>
    <row r="453" spans="1:20">
      <c r="A453" s="175" t="s">
        <v>6647</v>
      </c>
      <c r="B453" s="21">
        <f>'SOUTH YORKSHIRE'!D7</f>
        <v>190076</v>
      </c>
      <c r="C453" s="21">
        <f>'SOUTH YORKSHIRE'!E7</f>
        <v>191489</v>
      </c>
      <c r="D453" s="21">
        <f>'SOUTH YORKSHIRE'!F7</f>
        <v>192390</v>
      </c>
      <c r="E453" s="21">
        <f>'SOUTH YORKSHIRE'!G7</f>
        <v>194397</v>
      </c>
      <c r="F453" s="21">
        <f>'SOUTH YORKSHIRE'!H7</f>
        <v>196100</v>
      </c>
      <c r="G453" s="21">
        <f>'SOUTH YORKSHIRE'!I7</f>
        <v>195614</v>
      </c>
      <c r="H453" s="21">
        <f>'SOUTH YORKSHIRE'!J7</f>
        <v>192118</v>
      </c>
      <c r="I453" s="21">
        <f>'SOUTH YORKSHIRE'!K7</f>
        <v>194419</v>
      </c>
      <c r="J453" s="21">
        <f>'SOUTH YORKSHIRE'!L7</f>
        <v>194140</v>
      </c>
      <c r="K453" s="178"/>
      <c r="L453" s="179">
        <f t="shared" si="306"/>
        <v>2.5032397408207343</v>
      </c>
      <c r="M453" s="179">
        <f t="shared" si="306"/>
        <v>2.4985190694275912</v>
      </c>
      <c r="N453" s="179">
        <f t="shared" si="306"/>
        <v>2.4959458232249192</v>
      </c>
      <c r="O453" s="179">
        <f t="shared" si="306"/>
        <v>2.5085425968462074</v>
      </c>
      <c r="P453" s="179">
        <f t="shared" si="306"/>
        <v>2.5423289340627999</v>
      </c>
      <c r="Q453" s="179">
        <f t="shared" si="306"/>
        <v>2.5815451210177636</v>
      </c>
      <c r="R453" s="179">
        <f t="shared" si="306"/>
        <v>2.5694873543848384</v>
      </c>
      <c r="S453" s="179">
        <f t="shared" si="306"/>
        <v>2.5409266156962689</v>
      </c>
      <c r="T453" s="179">
        <f t="shared" si="306"/>
        <v>2.516298782937799</v>
      </c>
    </row>
    <row r="454" spans="1:20">
      <c r="A454" s="175" t="s">
        <v>6648</v>
      </c>
      <c r="B454" s="21">
        <f>'SOUTH YORKSHIRE'!D8</f>
        <v>378810</v>
      </c>
      <c r="C454" s="21">
        <f>'SOUTH YORKSHIRE'!E8</f>
        <v>386512</v>
      </c>
      <c r="D454" s="21">
        <f>'SOUTH YORKSHIRE'!F8</f>
        <v>389856</v>
      </c>
      <c r="E454" s="21">
        <f>'SOUTH YORKSHIRE'!G8</f>
        <v>396026</v>
      </c>
      <c r="F454" s="21">
        <f>'SOUTH YORKSHIRE'!H8</f>
        <v>391377</v>
      </c>
      <c r="G454" s="21">
        <f>'SOUTH YORKSHIRE'!I8</f>
        <v>385100</v>
      </c>
      <c r="H454" s="21">
        <f>'SOUTH YORKSHIRE'!J8</f>
        <v>381430</v>
      </c>
      <c r="I454" s="21">
        <f>'SOUTH YORKSHIRE'!K8</f>
        <v>396454</v>
      </c>
      <c r="J454" s="21">
        <f>'SOUTH YORKSHIRE'!L8</f>
        <v>406654</v>
      </c>
      <c r="K454" s="178"/>
      <c r="L454" s="179">
        <f t="shared" si="306"/>
        <v>4.9888057735868934</v>
      </c>
      <c r="M454" s="179">
        <f t="shared" si="306"/>
        <v>5.0431492282198827</v>
      </c>
      <c r="N454" s="179">
        <f t="shared" si="306"/>
        <v>5.0577444506428302</v>
      </c>
      <c r="O454" s="179">
        <f t="shared" si="306"/>
        <v>5.1104085477585359</v>
      </c>
      <c r="P454" s="179">
        <f t="shared" si="306"/>
        <v>5.0739881245624501</v>
      </c>
      <c r="Q454" s="179">
        <f t="shared" si="306"/>
        <v>5.082218175099638</v>
      </c>
      <c r="R454" s="179">
        <f t="shared" si="306"/>
        <v>5.101445786355308</v>
      </c>
      <c r="S454" s="179">
        <f t="shared" si="306"/>
        <v>5.1813892700777622</v>
      </c>
      <c r="T454" s="179">
        <f t="shared" si="306"/>
        <v>5.2707477350200254</v>
      </c>
    </row>
    <row r="455" spans="1:20">
      <c r="A455" s="175" t="s">
        <v>6649</v>
      </c>
      <c r="B455" s="177">
        <f t="shared" ref="B455:G455" si="307">SUM(B451:B454)</f>
        <v>962806</v>
      </c>
      <c r="C455" s="177">
        <f t="shared" si="307"/>
        <v>974419</v>
      </c>
      <c r="D455" s="177">
        <f t="shared" si="307"/>
        <v>981147</v>
      </c>
      <c r="E455" s="177">
        <f t="shared" si="307"/>
        <v>991861</v>
      </c>
      <c r="F455" s="177">
        <f t="shared" si="307"/>
        <v>984916</v>
      </c>
      <c r="G455" s="177">
        <f t="shared" si="307"/>
        <v>963303</v>
      </c>
      <c r="H455" s="177">
        <f t="shared" ref="H455" si="308">SUM(H451:H454)</f>
        <v>952530</v>
      </c>
      <c r="I455" s="177">
        <f t="shared" ref="I455:J455" si="309">SUM(I451:I454)</f>
        <v>979258</v>
      </c>
      <c r="J455" s="177">
        <f t="shared" si="309"/>
        <v>995800</v>
      </c>
      <c r="K455" s="178"/>
      <c r="L455" s="179">
        <f t="shared" si="306"/>
        <v>12.679845124585155</v>
      </c>
      <c r="M455" s="179">
        <f t="shared" si="306"/>
        <v>12.714069492830209</v>
      </c>
      <c r="N455" s="179">
        <f t="shared" si="306"/>
        <v>12.728778817088518</v>
      </c>
      <c r="O455" s="179">
        <f t="shared" si="306"/>
        <v>12.799197357214751</v>
      </c>
      <c r="P455" s="179">
        <f t="shared" si="306"/>
        <v>12.76889568802344</v>
      </c>
      <c r="Q455" s="179">
        <f t="shared" si="306"/>
        <v>12.71284345553884</v>
      </c>
      <c r="R455" s="179">
        <f t="shared" si="306"/>
        <v>12.739638085302733</v>
      </c>
      <c r="S455" s="179">
        <f t="shared" si="306"/>
        <v>12.798248709403385</v>
      </c>
      <c r="T455" s="179">
        <f t="shared" si="306"/>
        <v>12.9068215105051</v>
      </c>
    </row>
    <row r="456" spans="1:20">
      <c r="A456" s="173"/>
      <c r="K456" s="173"/>
      <c r="L456" s="179"/>
      <c r="M456" s="179"/>
      <c r="N456" s="179"/>
      <c r="O456" s="179"/>
      <c r="P456" s="179"/>
      <c r="Q456" s="179"/>
      <c r="R456" s="179"/>
      <c r="S456" s="179"/>
      <c r="T456" s="179"/>
    </row>
    <row r="457" spans="1:20">
      <c r="A457" s="175" t="s">
        <v>7661</v>
      </c>
      <c r="B457" s="21">
        <f>'WEST YORKSHIRE'!D5</f>
        <v>321338</v>
      </c>
      <c r="C457" s="21">
        <f>'WEST YORKSHIRE'!E5</f>
        <v>329954</v>
      </c>
      <c r="D457" s="21">
        <f>'WEST YORKSHIRE'!F5</f>
        <v>333826</v>
      </c>
      <c r="E457" s="21">
        <f>'WEST YORKSHIRE'!G5</f>
        <v>340795</v>
      </c>
      <c r="F457" s="21">
        <f>'WEST YORKSHIRE'!H5</f>
        <v>342079</v>
      </c>
      <c r="G457" s="21">
        <f>'WEST YORKSHIRE'!I5</f>
        <v>325735</v>
      </c>
      <c r="H457" s="21">
        <f>'WEST YORKSHIRE'!J5</f>
        <v>326783</v>
      </c>
      <c r="I457" s="21">
        <f>'WEST YORKSHIRE'!K5</f>
        <v>342413</v>
      </c>
      <c r="J457" s="21">
        <f>'WEST YORKSHIRE'!L5</f>
        <v>348281</v>
      </c>
      <c r="K457" s="178"/>
      <c r="L457" s="179">
        <f t="shared" ref="L457:T462" si="310">B457/B$470</f>
        <v>4.2319180319232998</v>
      </c>
      <c r="M457" s="179">
        <f t="shared" si="310"/>
        <v>4.3051891285343356</v>
      </c>
      <c r="N457" s="179">
        <f t="shared" si="310"/>
        <v>4.3308467715779502</v>
      </c>
      <c r="O457" s="179">
        <f t="shared" si="310"/>
        <v>4.3976953054430021</v>
      </c>
      <c r="P457" s="179">
        <f t="shared" si="310"/>
        <v>4.4348665957943316</v>
      </c>
      <c r="Q457" s="179">
        <f t="shared" si="310"/>
        <v>4.2987700266582207</v>
      </c>
      <c r="R457" s="179">
        <f t="shared" si="310"/>
        <v>4.3705680161564286</v>
      </c>
      <c r="S457" s="179">
        <f t="shared" si="310"/>
        <v>4.4751094556622881</v>
      </c>
      <c r="T457" s="179">
        <f t="shared" si="310"/>
        <v>4.5141601752362188</v>
      </c>
    </row>
    <row r="458" spans="1:20">
      <c r="A458" s="175" t="s">
        <v>7662</v>
      </c>
      <c r="B458" s="21">
        <f>'WEST YORKSHIRE'!D6</f>
        <v>147691</v>
      </c>
      <c r="C458" s="21">
        <f>'WEST YORKSHIRE'!E6</f>
        <v>145167</v>
      </c>
      <c r="D458" s="21">
        <f>'WEST YORKSHIRE'!F6</f>
        <v>147214</v>
      </c>
      <c r="E458" s="21">
        <f>'WEST YORKSHIRE'!G6</f>
        <v>147153</v>
      </c>
      <c r="F458" s="21">
        <f>'WEST YORKSHIRE'!H6</f>
        <v>145702</v>
      </c>
      <c r="G458" s="21">
        <f>'WEST YORKSHIRE'!I6</f>
        <v>142972</v>
      </c>
      <c r="H458" s="21">
        <f>'WEST YORKSHIRE'!J6</f>
        <v>142864</v>
      </c>
      <c r="I458" s="21">
        <f>'WEST YORKSHIRE'!K6</f>
        <v>146496</v>
      </c>
      <c r="J458" s="21">
        <f>'WEST YORKSHIRE'!L6</f>
        <v>147634</v>
      </c>
      <c r="K458" s="178"/>
      <c r="L458" s="179">
        <f t="shared" si="310"/>
        <v>1.9450429331507137</v>
      </c>
      <c r="M458" s="179">
        <f t="shared" si="310"/>
        <v>1.8941167260343681</v>
      </c>
      <c r="N458" s="179">
        <f t="shared" si="310"/>
        <v>1.9098610552535644</v>
      </c>
      <c r="O458" s="179">
        <f t="shared" si="310"/>
        <v>1.8988953983534209</v>
      </c>
      <c r="P458" s="179">
        <f t="shared" si="310"/>
        <v>1.888946508673218</v>
      </c>
      <c r="Q458" s="179">
        <f t="shared" si="310"/>
        <v>1.8868213371341094</v>
      </c>
      <c r="R458" s="179">
        <f t="shared" si="310"/>
        <v>1.9107384076288301</v>
      </c>
      <c r="S458" s="179">
        <f t="shared" si="310"/>
        <v>1.9146049794158009</v>
      </c>
      <c r="T458" s="179">
        <f t="shared" si="310"/>
        <v>1.9135224813033842</v>
      </c>
    </row>
    <row r="459" spans="1:20">
      <c r="A459" s="175" t="s">
        <v>7663</v>
      </c>
      <c r="B459" s="21">
        <f>'WEST YORKSHIRE'!D7</f>
        <v>301360</v>
      </c>
      <c r="C459" s="21">
        <f>'WEST YORKSHIRE'!E7</f>
        <v>304578</v>
      </c>
      <c r="D459" s="21">
        <f>'WEST YORKSHIRE'!F7</f>
        <v>307626</v>
      </c>
      <c r="E459" s="21">
        <f>'WEST YORKSHIRE'!G7</f>
        <v>308896</v>
      </c>
      <c r="F459" s="21">
        <f>'WEST YORKSHIRE'!H7</f>
        <v>308557</v>
      </c>
      <c r="G459" s="21">
        <f>'WEST YORKSHIRE'!I7</f>
        <v>296481</v>
      </c>
      <c r="H459" s="21">
        <f>'WEST YORKSHIRE'!J7</f>
        <v>295405</v>
      </c>
      <c r="I459" s="21">
        <f>'WEST YORKSHIRE'!K7</f>
        <v>306707</v>
      </c>
      <c r="J459" s="21">
        <f>'WEST YORKSHIRE'!L7</f>
        <v>302980</v>
      </c>
      <c r="K459" s="178"/>
      <c r="L459" s="179">
        <f t="shared" si="310"/>
        <v>3.9688142021808988</v>
      </c>
      <c r="M459" s="179">
        <f t="shared" si="310"/>
        <v>3.9740869769444553</v>
      </c>
      <c r="N459" s="179">
        <f t="shared" si="310"/>
        <v>3.9909445907551797</v>
      </c>
      <c r="O459" s="179">
        <f t="shared" si="310"/>
        <v>3.9860634371693293</v>
      </c>
      <c r="P459" s="179">
        <f t="shared" si="310"/>
        <v>4.0002722534809552</v>
      </c>
      <c r="Q459" s="179">
        <f t="shared" si="310"/>
        <v>3.9127009264391481</v>
      </c>
      <c r="R459" s="179">
        <f t="shared" si="310"/>
        <v>3.9509021118377938</v>
      </c>
      <c r="S459" s="179">
        <f t="shared" si="310"/>
        <v>4.008455858328432</v>
      </c>
      <c r="T459" s="179">
        <f t="shared" si="310"/>
        <v>3.9270021904527366</v>
      </c>
    </row>
    <row r="460" spans="1:20">
      <c r="A460" s="175" t="s">
        <v>7664</v>
      </c>
      <c r="B460" s="21">
        <f>'WEST YORKSHIRE'!D8</f>
        <v>541763</v>
      </c>
      <c r="C460" s="21">
        <f>'WEST YORKSHIRE'!E8</f>
        <v>545338</v>
      </c>
      <c r="D460" s="21">
        <f>'WEST YORKSHIRE'!F8</f>
        <v>541754</v>
      </c>
      <c r="E460" s="21">
        <f>'WEST YORKSHIRE'!G8</f>
        <v>548575</v>
      </c>
      <c r="F460" s="21">
        <f>'WEST YORKSHIRE'!H8</f>
        <v>523862</v>
      </c>
      <c r="G460" s="21">
        <f>'WEST YORKSHIRE'!I8</f>
        <v>519957</v>
      </c>
      <c r="H460" s="21">
        <f>'WEST YORKSHIRE'!J8</f>
        <v>515304</v>
      </c>
      <c r="I460" s="21">
        <f>'WEST YORKSHIRE'!K8</f>
        <v>535725</v>
      </c>
      <c r="J460" s="21">
        <f>'WEST YORKSHIRE'!L8</f>
        <v>541976</v>
      </c>
      <c r="K460" s="178"/>
      <c r="L460" s="179">
        <f t="shared" si="310"/>
        <v>7.134844334404467</v>
      </c>
      <c r="M460" s="179">
        <f t="shared" si="310"/>
        <v>7.115486488954998</v>
      </c>
      <c r="N460" s="179">
        <f t="shared" si="310"/>
        <v>7.0283727507427249</v>
      </c>
      <c r="O460" s="179">
        <f t="shared" si="310"/>
        <v>7.0789351433659382</v>
      </c>
      <c r="P460" s="179">
        <f t="shared" si="310"/>
        <v>6.7915834781030417</v>
      </c>
      <c r="Q460" s="179">
        <f t="shared" si="310"/>
        <v>6.8619447303824535</v>
      </c>
      <c r="R460" s="179">
        <f t="shared" si="310"/>
        <v>6.8919471973678927</v>
      </c>
      <c r="S460" s="179">
        <f t="shared" si="310"/>
        <v>7.0015683199372676</v>
      </c>
      <c r="T460" s="179">
        <f t="shared" si="310"/>
        <v>7.0246911980091502</v>
      </c>
    </row>
    <row r="461" spans="1:20">
      <c r="A461" s="175" t="s">
        <v>7665</v>
      </c>
      <c r="B461" s="21">
        <f>'WEST YORKSHIRE'!D9</f>
        <v>250658</v>
      </c>
      <c r="C461" s="21">
        <f>'WEST YORKSHIRE'!E9</f>
        <v>252051</v>
      </c>
      <c r="D461" s="21">
        <f>'WEST YORKSHIRE'!F9</f>
        <v>251403</v>
      </c>
      <c r="E461" s="21">
        <f>'WEST YORKSHIRE'!G9</f>
        <v>250596</v>
      </c>
      <c r="F461" s="21">
        <f>'WEST YORKSHIRE'!H9</f>
        <v>246378</v>
      </c>
      <c r="G461" s="21">
        <f>'WEST YORKSHIRE'!I9</f>
        <v>247935</v>
      </c>
      <c r="H461" s="21">
        <f>'WEST YORKSHIRE'!J9</f>
        <v>237299</v>
      </c>
      <c r="I461" s="21">
        <f>'WEST YORKSHIRE'!K9</f>
        <v>241370</v>
      </c>
      <c r="J461" s="21">
        <f>'WEST YORKSHIRE'!L9</f>
        <v>246957</v>
      </c>
      <c r="K461" s="178"/>
      <c r="L461" s="179">
        <f t="shared" si="310"/>
        <v>3.3010851814781645</v>
      </c>
      <c r="M461" s="179">
        <f t="shared" si="310"/>
        <v>3.2887227463107216</v>
      </c>
      <c r="N461" s="179">
        <f t="shared" si="310"/>
        <v>3.2615430521140101</v>
      </c>
      <c r="O461" s="179">
        <f t="shared" si="310"/>
        <v>3.2337471288099722</v>
      </c>
      <c r="P461" s="179">
        <f t="shared" si="310"/>
        <v>3.1941556252754948</v>
      </c>
      <c r="Q461" s="179">
        <f t="shared" si="310"/>
        <v>3.2720326233272625</v>
      </c>
      <c r="R461" s="179">
        <f t="shared" si="310"/>
        <v>3.1737618531744438</v>
      </c>
      <c r="S461" s="179">
        <f t="shared" si="310"/>
        <v>3.1545448604848723</v>
      </c>
      <c r="T461" s="179">
        <f t="shared" si="310"/>
        <v>3.2008735888429483</v>
      </c>
    </row>
    <row r="462" spans="1:20">
      <c r="A462" s="175" t="s">
        <v>7666</v>
      </c>
      <c r="B462" s="177">
        <f t="shared" ref="B462:H462" si="311">SUM(B457:B461)</f>
        <v>1562810</v>
      </c>
      <c r="C462" s="177">
        <f t="shared" si="311"/>
        <v>1577088</v>
      </c>
      <c r="D462" s="177">
        <f t="shared" si="311"/>
        <v>1581823</v>
      </c>
      <c r="E462" s="177">
        <f t="shared" si="311"/>
        <v>1596015</v>
      </c>
      <c r="F462" s="177">
        <f t="shared" si="311"/>
        <v>1566578</v>
      </c>
      <c r="G462" s="177">
        <f t="shared" si="311"/>
        <v>1533080</v>
      </c>
      <c r="H462" s="177">
        <f t="shared" si="311"/>
        <v>1517655</v>
      </c>
      <c r="I462" s="177">
        <f t="shared" ref="I462:J462" si="312">SUM(I457:I461)</f>
        <v>1572711</v>
      </c>
      <c r="J462" s="177">
        <f t="shared" si="312"/>
        <v>1587828</v>
      </c>
      <c r="K462" s="178"/>
      <c r="L462" s="179">
        <f t="shared" si="310"/>
        <v>20.581704683137545</v>
      </c>
      <c r="M462" s="179">
        <f t="shared" si="310"/>
        <v>20.577602066778876</v>
      </c>
      <c r="N462" s="179">
        <f t="shared" si="310"/>
        <v>20.521568220443431</v>
      </c>
      <c r="O462" s="179">
        <f t="shared" si="310"/>
        <v>20.595336413141663</v>
      </c>
      <c r="P462" s="179">
        <f t="shared" si="310"/>
        <v>20.30982446132704</v>
      </c>
      <c r="Q462" s="179">
        <f t="shared" si="310"/>
        <v>20.232269643941194</v>
      </c>
      <c r="R462" s="179">
        <f t="shared" si="310"/>
        <v>20.29791758616539</v>
      </c>
      <c r="S462" s="179">
        <f t="shared" si="310"/>
        <v>20.554283473828661</v>
      </c>
      <c r="T462" s="179">
        <f t="shared" si="310"/>
        <v>20.580249633844439</v>
      </c>
    </row>
    <row r="463" spans="1:20">
      <c r="A463" s="175"/>
      <c r="B463" s="177"/>
      <c r="C463" s="177"/>
      <c r="D463" s="177"/>
      <c r="E463" s="177"/>
      <c r="F463" s="177"/>
      <c r="G463" s="177"/>
      <c r="H463" s="177"/>
      <c r="I463" s="177"/>
      <c r="J463" s="177"/>
      <c r="K463" s="178"/>
      <c r="L463" s="179"/>
      <c r="M463" s="179"/>
      <c r="N463" s="179"/>
      <c r="O463" s="179"/>
    </row>
    <row r="464" spans="1:20">
      <c r="A464" s="188" t="s">
        <v>5174</v>
      </c>
      <c r="B464" s="189">
        <f>B438+B449+B455+B462</f>
        <v>3818293</v>
      </c>
      <c r="C464" s="189">
        <f t="shared" ref="C464:G464" si="313">C438+C449+C455+C462</f>
        <v>3848942</v>
      </c>
      <c r="D464" s="189">
        <f t="shared" si="313"/>
        <v>3862898</v>
      </c>
      <c r="E464" s="189">
        <f t="shared" si="313"/>
        <v>3894417</v>
      </c>
      <c r="F464" s="189">
        <f t="shared" si="313"/>
        <v>3854241</v>
      </c>
      <c r="G464" s="189">
        <f t="shared" si="313"/>
        <v>3759021</v>
      </c>
      <c r="H464" s="189">
        <f t="shared" ref="H464:J464" si="314">H438+H449+H455+H462</f>
        <v>3722035</v>
      </c>
      <c r="I464" s="189">
        <f t="shared" si="314"/>
        <v>3831821</v>
      </c>
      <c r="J464" s="189">
        <f t="shared" si="314"/>
        <v>3867475</v>
      </c>
      <c r="K464" s="178"/>
      <c r="L464" s="187">
        <f t="shared" ref="L464:T464" si="315">B464/B$470</f>
        <v>50.285689827740612</v>
      </c>
      <c r="M464" s="187">
        <f t="shared" si="315"/>
        <v>50.220404222283115</v>
      </c>
      <c r="N464" s="187">
        <f t="shared" si="315"/>
        <v>50.114788339538926</v>
      </c>
      <c r="O464" s="187">
        <f t="shared" si="315"/>
        <v>50.254432601233646</v>
      </c>
      <c r="P464" s="187">
        <f t="shared" si="315"/>
        <v>49.968120413825289</v>
      </c>
      <c r="Q464" s="187">
        <f t="shared" si="315"/>
        <v>49.608322115765304</v>
      </c>
      <c r="R464" s="187">
        <f t="shared" si="315"/>
        <v>49.780457141328625</v>
      </c>
      <c r="S464" s="187">
        <f t="shared" si="315"/>
        <v>50.079343919492906</v>
      </c>
      <c r="T464" s="187">
        <f t="shared" si="315"/>
        <v>50.127344367684991</v>
      </c>
    </row>
    <row r="465" spans="1:12">
      <c r="A465" s="175"/>
      <c r="B465" s="177"/>
      <c r="C465" s="177"/>
      <c r="D465" s="177"/>
      <c r="E465" s="177"/>
      <c r="F465" s="177"/>
      <c r="G465" s="177"/>
      <c r="H465" s="177"/>
      <c r="I465" s="177"/>
      <c r="J465" s="177"/>
      <c r="K465" s="178"/>
      <c r="L465" s="179"/>
    </row>
    <row r="466" spans="1:12">
      <c r="A466" s="175" t="s">
        <v>5034</v>
      </c>
      <c r="B466" s="177" t="s">
        <v>5035</v>
      </c>
      <c r="C466" s="177"/>
      <c r="D466" s="177"/>
      <c r="E466" s="177"/>
      <c r="F466" s="177"/>
      <c r="G466" s="177"/>
      <c r="H466" s="177"/>
      <c r="I466" s="177"/>
      <c r="J466" s="177"/>
      <c r="K466" s="178"/>
      <c r="L466" s="179"/>
    </row>
    <row r="467" spans="1:12">
      <c r="A467" s="175"/>
      <c r="B467" s="177"/>
      <c r="C467" s="177"/>
      <c r="D467" s="177"/>
      <c r="E467" s="177"/>
      <c r="F467" s="177"/>
      <c r="G467" s="177"/>
      <c r="H467" s="177"/>
      <c r="I467" s="177"/>
      <c r="J467" s="177"/>
      <c r="K467" s="178"/>
      <c r="L467" s="179"/>
    </row>
    <row r="468" spans="1:12">
      <c r="A468" s="188" t="s">
        <v>8773</v>
      </c>
      <c r="B468" s="189">
        <f t="shared" ref="B468:G468" si="316">B65+B122+B160+B181+B235+B327+B384+B430+B464</f>
        <v>38129082</v>
      </c>
      <c r="C468" s="189">
        <f t="shared" si="316"/>
        <v>38443481</v>
      </c>
      <c r="D468" s="189">
        <f t="shared" si="316"/>
        <v>38654054</v>
      </c>
      <c r="E468" s="189">
        <f t="shared" si="316"/>
        <v>38837344</v>
      </c>
      <c r="F468" s="189">
        <f t="shared" si="316"/>
        <v>38597137</v>
      </c>
      <c r="G468" s="189">
        <f t="shared" si="316"/>
        <v>37831553</v>
      </c>
      <c r="H468" s="189">
        <f t="shared" ref="H468:I468" si="317">H65+H122+H160+H181+H235+H327+H384+H430+H464</f>
        <v>37399942</v>
      </c>
      <c r="I468" s="189">
        <f t="shared" si="317"/>
        <v>38386864</v>
      </c>
      <c r="J468" s="189">
        <f t="shared" ref="J468" si="318">J65+J122+J160+J181+J235+J327+J384+J430+J464</f>
        <v>38693859</v>
      </c>
      <c r="K468" s="190"/>
    </row>
    <row r="469" spans="1:12">
      <c r="A469" s="173"/>
      <c r="B469" s="180"/>
      <c r="C469" s="180"/>
      <c r="D469" s="180"/>
      <c r="E469" s="180"/>
      <c r="F469" s="180"/>
      <c r="G469" s="180"/>
      <c r="H469" s="180"/>
      <c r="I469" s="180"/>
      <c r="J469" s="180"/>
      <c r="K469" s="173"/>
    </row>
    <row r="470" spans="1:12">
      <c r="A470" s="188" t="s">
        <v>13239</v>
      </c>
      <c r="B470" s="189">
        <v>75932</v>
      </c>
      <c r="C470" s="189">
        <v>76641</v>
      </c>
      <c r="D470" s="189">
        <v>77081</v>
      </c>
      <c r="E470" s="189">
        <v>77494</v>
      </c>
      <c r="F470" s="189">
        <v>77134</v>
      </c>
      <c r="G470" s="189">
        <v>75774</v>
      </c>
      <c r="H470" s="189">
        <v>74769</v>
      </c>
      <c r="I470" s="189">
        <v>76515</v>
      </c>
      <c r="J470" s="189">
        <v>77153</v>
      </c>
      <c r="K470" s="182"/>
    </row>
    <row r="471" spans="1:12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</row>
    <row r="472" spans="1:12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</row>
    <row r="473" spans="1:12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</row>
    <row r="474" spans="1:12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</row>
  </sheetData>
  <phoneticPr fontId="7" type="noConversion"/>
  <printOptions gridLinesSet="0"/>
  <pageMargins left="0.62992125984251968" right="0" top="0.78740157480314965" bottom="0.39370078740157483" header="0.51181102362204722" footer="0.51181102362204722"/>
  <pageSetup paperSize="8" scale="75" orientation="landscape" verticalDpi="4" r:id="rId1"/>
  <headerFooter alignWithMargins="0">
    <oddFooter>&amp;C&amp;8&amp;P of &amp;N</oddFooter>
  </headerFooter>
  <rowBreaks count="8" manualBreakCount="8">
    <brk id="67" max="9" man="1"/>
    <brk id="124" max="9" man="1"/>
    <brk id="160" max="9" man="1"/>
    <brk id="183" max="9" man="1"/>
    <brk id="237" max="9" man="1"/>
    <brk id="329" max="9" man="1"/>
    <brk id="386" max="9" man="1"/>
    <brk id="432" max="9" man="1"/>
  </rowBreaks>
  <ignoredErrors>
    <ignoredError sqref="B465 B190:D209 B385:C385 B349:C349 C468:C469 D126:D160 D233 D211:D226 D254:D262 B298:D303 D331 D354:D371 D406:D430 D162:D166 D4:D63 D304:D326 D390:D404 B350:D352 C341:D348 B373:D378 D92:D117 B467:B469 B330:B331 B388:D388 K330:K331 K470:O470 E330:E331 L469:O469 M468:O468 E121:F121 K121:P168 E4:F80 D69:D80 B4:C64 K4:P88 B81:F89 B121:C121 D90:F91 B90:C118 E92:F118 K90:P118 B123:C166 E123:F166 B119:F119 K170:P187 E171:F180 B167:F168 D171:D179 B171:C180 B182:C182 E190:F234 B184:C184 C183 E182:F187 B185:D187 B210:C234 K189:K234 E254:F275 K254:P275 D264:D275 B254:C275 L276:P331 B276:F297 B236:C251 K236:K251 E236:F251 D239:D251 K277:K328 E298:F326 B252:F252 C304:C331 E328 F328:F331 B304:B328 D336:D339 B336:B348 K336:K371 L333:P371 C336:C340 E336:F378 K332:P332 B332:F335 B353:C372 K372:P381 B383:F384 B379:F381 B387:C387 C386 D327:F327 B235:F235 B66:C80 B65 B170:F170 B188:F189 B448:G464 L89:P89 L119:P120 L169:P169 L188:P253 L382:P382 Q4:Q447 G4:G447 E385:F447 B389:C447 K383:P447 D434:D447 K450:K469 L450:O467 P450:Q464 K448:Q448 L449:Q449 D465:E469 F465:G468 H468:I468 H462:H464 H455 H440:H449 H434:H438 H420:H430 H388:H411 H354:H384 H331:H352 H239:H327 H233:H235 H126:H157 H162:H179 H69:H120 H4:H63 H158:H160 H185:H226 R4:R464 I4:I464 S4:S464 J4:J468 T4:T46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68"/>
  <sheetViews>
    <sheetView showGridLines="0" zoomScaleNormal="100" workbookViewId="0"/>
  </sheetViews>
  <sheetFormatPr defaultColWidth="14.5703125" defaultRowHeight="15"/>
  <cols>
    <col min="1" max="1" width="4.85546875" style="627" customWidth="1"/>
    <col min="2" max="2" width="32.140625" style="627" customWidth="1"/>
    <col min="3" max="3" width="11.7109375" style="627" customWidth="1"/>
    <col min="4" max="12" width="10" style="627" customWidth="1"/>
    <col min="13" max="13" width="2.28515625" style="627" customWidth="1"/>
    <col min="14" max="14" width="33.140625" style="627" customWidth="1"/>
    <col min="15" max="16384" width="14.5703125" style="627"/>
  </cols>
  <sheetData>
    <row r="1" spans="1:14">
      <c r="A1" s="626" t="s">
        <v>8847</v>
      </c>
      <c r="D1" s="322">
        <v>2010</v>
      </c>
      <c r="E1" s="322">
        <v>2011</v>
      </c>
      <c r="F1" s="322">
        <v>2012</v>
      </c>
      <c r="G1" s="322">
        <v>2013</v>
      </c>
      <c r="H1" s="322">
        <v>2014</v>
      </c>
      <c r="I1" s="322">
        <v>2015</v>
      </c>
      <c r="J1" s="322">
        <v>2016</v>
      </c>
      <c r="K1" s="322">
        <v>2017</v>
      </c>
      <c r="L1" s="322">
        <v>2018</v>
      </c>
    </row>
    <row r="3" spans="1:14">
      <c r="A3" s="626" t="s">
        <v>6283</v>
      </c>
      <c r="D3" s="628">
        <f>SUM(D21:D25)+SUM(D27:D30)+SUM(D32:D37)+SUM(D39:D49)+SUM(D51:D60)+SUM(D62:D64)</f>
        <v>299884</v>
      </c>
      <c r="E3" s="628">
        <f t="shared" ref="E3:K3" si="0">SUM(E21:E25)+SUM(E27:E30)+SUM(E32:E37)+SUM(E39:E49)+SUM(E51:E60)+SUM(E62:E64)</f>
        <v>304473</v>
      </c>
      <c r="F3" s="628">
        <f t="shared" si="0"/>
        <v>309495</v>
      </c>
      <c r="G3" s="628">
        <f t="shared" si="0"/>
        <v>309644</v>
      </c>
      <c r="H3" s="628">
        <f t="shared" si="0"/>
        <v>308742</v>
      </c>
      <c r="I3" s="628">
        <f t="shared" si="0"/>
        <v>303609</v>
      </c>
      <c r="J3" s="628">
        <f t="shared" si="0"/>
        <v>300195</v>
      </c>
      <c r="K3" s="628">
        <f t="shared" si="0"/>
        <v>306555</v>
      </c>
      <c r="L3" s="628">
        <f t="shared" ref="L3" si="1">SUM(L21:L25)+SUM(L27:L30)+SUM(L32:L37)+SUM(L39:L49)+SUM(L51:L60)+SUM(L62:L64)</f>
        <v>308147</v>
      </c>
    </row>
    <row r="4" spans="1:14">
      <c r="D4" s="629"/>
      <c r="E4" s="629"/>
      <c r="F4" s="629"/>
      <c r="G4" s="629"/>
      <c r="H4" s="629"/>
      <c r="I4" s="629"/>
      <c r="J4" s="629"/>
      <c r="K4" s="629"/>
      <c r="L4" s="629"/>
      <c r="N4" s="630"/>
    </row>
    <row r="5" spans="1:14">
      <c r="A5" s="626" t="s">
        <v>6284</v>
      </c>
      <c r="D5" s="628">
        <f t="shared" ref="D5:I5" si="2">D3/4</f>
        <v>74971</v>
      </c>
      <c r="E5" s="628">
        <f t="shared" si="2"/>
        <v>76118.25</v>
      </c>
      <c r="F5" s="628">
        <f t="shared" si="2"/>
        <v>77373.75</v>
      </c>
      <c r="G5" s="628">
        <f t="shared" si="2"/>
        <v>77411</v>
      </c>
      <c r="H5" s="628">
        <f t="shared" si="2"/>
        <v>77185.5</v>
      </c>
      <c r="I5" s="628">
        <f t="shared" si="2"/>
        <v>75902.25</v>
      </c>
      <c r="J5" s="628">
        <f t="shared" ref="J5:K5" si="3">J3/4</f>
        <v>75048.75</v>
      </c>
      <c r="K5" s="628">
        <f t="shared" si="3"/>
        <v>76638.75</v>
      </c>
      <c r="L5" s="628">
        <f t="shared" ref="L5" si="4">L3/4</f>
        <v>77036.75</v>
      </c>
    </row>
    <row r="6" spans="1:14">
      <c r="D6" s="631"/>
      <c r="E6" s="631"/>
      <c r="F6" s="631"/>
      <c r="G6" s="631"/>
      <c r="H6" s="631"/>
      <c r="I6" s="631"/>
      <c r="J6" s="631"/>
      <c r="K6" s="631"/>
      <c r="L6" s="631"/>
    </row>
    <row r="7" spans="1:14">
      <c r="A7" s="626" t="s">
        <v>6285</v>
      </c>
      <c r="D7" s="628">
        <f>D28+D29+D36+D39+D41+D46+D48+SUM(D54:D56)+D59</f>
        <v>68999</v>
      </c>
      <c r="E7" s="628">
        <f t="shared" ref="E7:J7" si="5">E28+E29+E36+E39+E41+E46+E48+SUM(E54:E56)+E59</f>
        <v>69347</v>
      </c>
      <c r="F7" s="628">
        <f t="shared" si="5"/>
        <v>70455</v>
      </c>
      <c r="G7" s="628">
        <f t="shared" si="5"/>
        <v>69989</v>
      </c>
      <c r="H7" s="628">
        <f t="shared" si="5"/>
        <v>70605</v>
      </c>
      <c r="I7" s="628">
        <f t="shared" si="5"/>
        <v>69738</v>
      </c>
      <c r="J7" s="628">
        <f t="shared" si="5"/>
        <v>68199</v>
      </c>
      <c r="K7" s="628">
        <f>K28+K29+K36+K39+K41+K45+K48+SUM(K54:K56)+K59</f>
        <v>70066</v>
      </c>
      <c r="L7" s="628">
        <f>L28+L29+L36+L39+L41+L45+L48+SUM(L54:L56)+L59</f>
        <v>70366</v>
      </c>
      <c r="N7" s="626" t="s">
        <v>6286</v>
      </c>
    </row>
    <row r="8" spans="1:14">
      <c r="D8" s="631"/>
      <c r="E8" s="631"/>
      <c r="F8" s="631"/>
      <c r="G8" s="631"/>
      <c r="H8" s="631"/>
      <c r="I8" s="631"/>
      <c r="J8" s="631"/>
      <c r="K8" s="631"/>
      <c r="L8" s="631"/>
    </row>
    <row r="9" spans="1:14">
      <c r="A9" s="626" t="s">
        <v>6279</v>
      </c>
      <c r="D9" s="628">
        <f>D22+D24+D43+D46+D52+D57+D62+D63</f>
        <v>73104</v>
      </c>
      <c r="E9" s="628">
        <f t="shared" ref="E9:J9" si="6">E22+E24+E43+E46+E52+E57+E62+E63</f>
        <v>73920</v>
      </c>
      <c r="F9" s="628">
        <f t="shared" si="6"/>
        <v>74595</v>
      </c>
      <c r="G9" s="628">
        <f t="shared" si="6"/>
        <v>74969</v>
      </c>
      <c r="H9" s="628">
        <f t="shared" si="6"/>
        <v>74540</v>
      </c>
      <c r="I9" s="628">
        <f t="shared" si="6"/>
        <v>73793</v>
      </c>
      <c r="J9" s="628">
        <f t="shared" si="6"/>
        <v>71869</v>
      </c>
      <c r="K9" s="628">
        <f>K22+K24+K43+K46+K52+K57+K62+K63</f>
        <v>72784</v>
      </c>
      <c r="L9" s="628">
        <f>L22+L24+L43+L46+L52+L57+L62+L63</f>
        <v>72211</v>
      </c>
      <c r="N9" s="626" t="s">
        <v>6286</v>
      </c>
    </row>
    <row r="10" spans="1:14">
      <c r="D10" s="631"/>
      <c r="E10" s="631"/>
      <c r="F10" s="631"/>
      <c r="G10" s="631"/>
      <c r="H10" s="631"/>
      <c r="I10" s="631"/>
      <c r="J10" s="631"/>
      <c r="K10" s="631"/>
      <c r="L10" s="631"/>
    </row>
    <row r="11" spans="1:14">
      <c r="A11" s="626" t="s">
        <v>4511</v>
      </c>
      <c r="D11" s="628">
        <f>D23+D27+D30+D40+D42+D44+D49+D58+D60+D64</f>
        <v>78148</v>
      </c>
      <c r="E11" s="628">
        <f t="shared" ref="E11:J11" si="7">E23+E27+E30+E40+E42+E44+E49+E58+E60+E64</f>
        <v>78703</v>
      </c>
      <c r="F11" s="628">
        <f t="shared" si="7"/>
        <v>79858</v>
      </c>
      <c r="G11" s="628">
        <f t="shared" si="7"/>
        <v>80224</v>
      </c>
      <c r="H11" s="628">
        <f t="shared" si="7"/>
        <v>80481</v>
      </c>
      <c r="I11" s="628">
        <f t="shared" si="7"/>
        <v>79512</v>
      </c>
      <c r="J11" s="628">
        <f t="shared" si="7"/>
        <v>78060</v>
      </c>
      <c r="K11" s="628">
        <f>K23+K27+K30+K40+K42+K44+K49+K58+K60+K64</f>
        <v>80750</v>
      </c>
      <c r="L11" s="628">
        <f>L23+L27+L30+L40+L42+L44+L49+L58+L60+L64</f>
        <v>80999</v>
      </c>
      <c r="N11" s="626" t="s">
        <v>6286</v>
      </c>
    </row>
    <row r="12" spans="1:14">
      <c r="D12" s="631"/>
      <c r="E12" s="631"/>
      <c r="F12" s="631"/>
      <c r="G12" s="631"/>
      <c r="H12" s="631"/>
      <c r="I12" s="631"/>
      <c r="J12" s="631"/>
      <c r="K12" s="631"/>
      <c r="L12" s="631"/>
    </row>
    <row r="13" spans="1:14">
      <c r="A13" s="626" t="s">
        <v>4512</v>
      </c>
      <c r="D13" s="628">
        <f>D21+D25+SUM(D32:D35)+D37+D47+D51+D53</f>
        <v>79633</v>
      </c>
      <c r="E13" s="628">
        <f t="shared" ref="E13:K13" si="8">E21+E25+SUM(E32:E35)+E37+E47+E51+E53</f>
        <v>82503</v>
      </c>
      <c r="F13" s="628">
        <f t="shared" si="8"/>
        <v>84587</v>
      </c>
      <c r="G13" s="628">
        <f t="shared" si="8"/>
        <v>84462</v>
      </c>
      <c r="H13" s="628">
        <f t="shared" si="8"/>
        <v>83116</v>
      </c>
      <c r="I13" s="628">
        <f t="shared" si="8"/>
        <v>80566</v>
      </c>
      <c r="J13" s="628">
        <f t="shared" si="8"/>
        <v>82067</v>
      </c>
      <c r="K13" s="628">
        <f t="shared" si="8"/>
        <v>82955</v>
      </c>
      <c r="L13" s="628">
        <f t="shared" ref="L13" si="9">L21+L25+SUM(L32:L35)+L37+L47+L51+L53</f>
        <v>84571</v>
      </c>
      <c r="N13" s="626" t="s">
        <v>6286</v>
      </c>
    </row>
    <row r="14" spans="1:14">
      <c r="D14" s="631"/>
      <c r="E14" s="631"/>
      <c r="F14" s="631"/>
      <c r="G14" s="631"/>
      <c r="H14" s="631"/>
      <c r="I14" s="631"/>
      <c r="J14" s="631"/>
      <c r="K14" s="631"/>
      <c r="L14" s="631"/>
    </row>
    <row r="15" spans="1:14">
      <c r="A15" s="626" t="s">
        <v>8697</v>
      </c>
      <c r="D15" s="628">
        <f t="shared" ref="D15:I15" si="10">D7+D9+D11+D13</f>
        <v>299884</v>
      </c>
      <c r="E15" s="628">
        <f t="shared" si="10"/>
        <v>304473</v>
      </c>
      <c r="F15" s="628">
        <f t="shared" si="10"/>
        <v>309495</v>
      </c>
      <c r="G15" s="628">
        <f t="shared" si="10"/>
        <v>309644</v>
      </c>
      <c r="H15" s="628">
        <f t="shared" si="10"/>
        <v>308742</v>
      </c>
      <c r="I15" s="628">
        <f t="shared" si="10"/>
        <v>303609</v>
      </c>
      <c r="J15" s="628">
        <f t="shared" ref="J15:K15" si="11">J7+J9+J11+J13</f>
        <v>300195</v>
      </c>
      <c r="K15" s="628">
        <f t="shared" si="11"/>
        <v>306555</v>
      </c>
      <c r="L15" s="628">
        <f t="shared" ref="L15" si="12">L7+L9+L11+L13</f>
        <v>308147</v>
      </c>
    </row>
    <row r="16" spans="1:14">
      <c r="D16" s="631"/>
      <c r="E16" s="631"/>
      <c r="F16" s="631"/>
      <c r="G16" s="631"/>
      <c r="H16" s="631"/>
      <c r="I16" s="631"/>
      <c r="J16" s="631"/>
      <c r="K16" s="631"/>
      <c r="L16" s="631"/>
    </row>
    <row r="17" spans="1:17">
      <c r="A17" s="626" t="s">
        <v>8698</v>
      </c>
      <c r="D17" s="628">
        <f t="shared" ref="D17:I17" si="13">MAX(D7,D9,D11,D13)-MIN(D7,D9,D11,D13)</f>
        <v>10634</v>
      </c>
      <c r="E17" s="628">
        <f t="shared" si="13"/>
        <v>13156</v>
      </c>
      <c r="F17" s="628">
        <f t="shared" si="13"/>
        <v>14132</v>
      </c>
      <c r="G17" s="628">
        <f t="shared" si="13"/>
        <v>14473</v>
      </c>
      <c r="H17" s="628">
        <f t="shared" si="13"/>
        <v>12511</v>
      </c>
      <c r="I17" s="628">
        <f t="shared" si="13"/>
        <v>10828</v>
      </c>
      <c r="J17" s="628">
        <f t="shared" ref="J17:K17" si="14">MAX(J7,J9,J11,J13)-MIN(J7,J9,J11,J13)</f>
        <v>13868</v>
      </c>
      <c r="K17" s="628">
        <f t="shared" si="14"/>
        <v>12889</v>
      </c>
      <c r="L17" s="628">
        <f t="shared" ref="L17" si="15">MAX(L7,L9,L11,L13)-MIN(L7,L9,L11,L13)</f>
        <v>14205</v>
      </c>
    </row>
    <row r="18" spans="1:17">
      <c r="D18" s="631"/>
      <c r="E18" s="631"/>
      <c r="F18" s="631"/>
      <c r="G18" s="631"/>
      <c r="H18" s="631"/>
      <c r="I18" s="631"/>
      <c r="J18" s="631"/>
      <c r="K18" s="631"/>
      <c r="L18" s="631"/>
    </row>
    <row r="19" spans="1:17">
      <c r="A19" s="626" t="s">
        <v>8701</v>
      </c>
      <c r="D19" s="628">
        <f t="shared" ref="D19:I19" si="16">STDEVP(D7,D9,D11,D13)</f>
        <v>4212.4234711149356</v>
      </c>
      <c r="E19" s="628">
        <f t="shared" si="16"/>
        <v>4952.981292867963</v>
      </c>
      <c r="F19" s="628">
        <f t="shared" si="16"/>
        <v>5333.6907191456085</v>
      </c>
      <c r="G19" s="628">
        <f t="shared" si="16"/>
        <v>5446.9949972438935</v>
      </c>
      <c r="H19" s="628">
        <f t="shared" si="16"/>
        <v>4907.4637288522063</v>
      </c>
      <c r="I19" s="628">
        <f t="shared" si="16"/>
        <v>4393.9666802901456</v>
      </c>
      <c r="J19" s="628">
        <f t="shared" ref="J19:K19" si="17">STDEVP(J7,J9,J11,J13)</f>
        <v>5370.1337215659723</v>
      </c>
      <c r="K19" s="628">
        <f t="shared" si="17"/>
        <v>5358.5802865591177</v>
      </c>
      <c r="L19" s="628">
        <f t="shared" ref="L19" si="18">STDEVP(L7,L9,L11,L13)</f>
        <v>5921.3832157275547</v>
      </c>
    </row>
    <row r="21" spans="1:17">
      <c r="A21" s="512">
        <v>1</v>
      </c>
      <c r="B21" s="626" t="s">
        <v>7094</v>
      </c>
      <c r="C21" s="4" t="s">
        <v>15991</v>
      </c>
      <c r="D21" s="628">
        <v>79633</v>
      </c>
      <c r="E21" s="628">
        <v>82503</v>
      </c>
      <c r="F21" s="628">
        <v>84587</v>
      </c>
      <c r="G21" s="628">
        <v>84462</v>
      </c>
      <c r="H21" s="48">
        <v>83116</v>
      </c>
      <c r="I21" s="31">
        <v>80566</v>
      </c>
      <c r="J21" s="31">
        <v>82067</v>
      </c>
      <c r="K21" s="31">
        <v>12372</v>
      </c>
      <c r="L21" s="31">
        <v>12927</v>
      </c>
      <c r="N21" s="626" t="s">
        <v>4512</v>
      </c>
      <c r="O21" s="4"/>
      <c r="Q21" s="4"/>
    </row>
    <row r="22" spans="1:17">
      <c r="A22" s="512">
        <v>2</v>
      </c>
      <c r="B22" s="626" t="s">
        <v>16026</v>
      </c>
      <c r="C22" s="4" t="s">
        <v>15992</v>
      </c>
      <c r="D22" s="628">
        <v>73104</v>
      </c>
      <c r="E22" s="628">
        <v>73920</v>
      </c>
      <c r="F22" s="628">
        <v>74595</v>
      </c>
      <c r="G22" s="628">
        <v>74969</v>
      </c>
      <c r="H22" s="48">
        <v>74540</v>
      </c>
      <c r="I22" s="30">
        <v>73793</v>
      </c>
      <c r="J22" s="30">
        <v>71869</v>
      </c>
      <c r="K22" s="30">
        <v>14505</v>
      </c>
      <c r="L22" s="30">
        <v>14472</v>
      </c>
      <c r="N22" s="626" t="s">
        <v>6279</v>
      </c>
      <c r="O22" s="4"/>
      <c r="Q22" s="4"/>
    </row>
    <row r="23" spans="1:17">
      <c r="A23" s="512">
        <v>3</v>
      </c>
      <c r="B23" s="626" t="s">
        <v>7931</v>
      </c>
      <c r="C23" s="4" t="s">
        <v>15993</v>
      </c>
      <c r="D23" s="628">
        <v>78148</v>
      </c>
      <c r="E23" s="628">
        <v>78703</v>
      </c>
      <c r="F23" s="628">
        <v>79858</v>
      </c>
      <c r="G23" s="628">
        <v>80224</v>
      </c>
      <c r="H23" s="48">
        <v>80481</v>
      </c>
      <c r="I23" s="31">
        <v>79512</v>
      </c>
      <c r="J23" s="31">
        <v>78060</v>
      </c>
      <c r="K23" s="31">
        <v>9233</v>
      </c>
      <c r="L23" s="31">
        <v>9187</v>
      </c>
      <c r="N23" s="626" t="s">
        <v>4511</v>
      </c>
      <c r="O23" s="4"/>
      <c r="Q23" s="4"/>
    </row>
    <row r="24" spans="1:17">
      <c r="A24" s="512">
        <v>4</v>
      </c>
      <c r="B24" s="626" t="s">
        <v>16027</v>
      </c>
      <c r="C24" s="4" t="s">
        <v>15994</v>
      </c>
      <c r="D24" s="628">
        <v>0</v>
      </c>
      <c r="E24" s="628">
        <v>0</v>
      </c>
      <c r="F24" s="628">
        <v>0</v>
      </c>
      <c r="G24" s="628">
        <v>0</v>
      </c>
      <c r="H24" s="48">
        <v>0</v>
      </c>
      <c r="I24" s="31">
        <v>0</v>
      </c>
      <c r="J24" s="31">
        <v>0</v>
      </c>
      <c r="K24" s="30">
        <v>684</v>
      </c>
      <c r="L24" s="30">
        <v>680</v>
      </c>
      <c r="N24" s="626" t="s">
        <v>6279</v>
      </c>
      <c r="O24" s="4"/>
      <c r="Q24" s="4"/>
    </row>
    <row r="25" spans="1:17" ht="15.75" thickBot="1">
      <c r="A25" s="512"/>
      <c r="B25" s="626"/>
      <c r="C25" s="4" t="s">
        <v>15994</v>
      </c>
      <c r="D25" s="925">
        <v>0</v>
      </c>
      <c r="E25" s="925">
        <v>0</v>
      </c>
      <c r="F25" s="925">
        <v>0</v>
      </c>
      <c r="G25" s="925">
        <v>0</v>
      </c>
      <c r="H25" s="159">
        <v>0</v>
      </c>
      <c r="I25" s="905">
        <v>0</v>
      </c>
      <c r="J25" s="905">
        <v>0</v>
      </c>
      <c r="K25" s="31">
        <v>8014</v>
      </c>
      <c r="L25" s="31">
        <v>8046</v>
      </c>
      <c r="N25" s="626" t="s">
        <v>4512</v>
      </c>
      <c r="O25" s="4"/>
      <c r="Q25" s="4"/>
    </row>
    <row r="26" spans="1:17" ht="15.75" thickBot="1">
      <c r="A26" s="512"/>
      <c r="B26" s="626"/>
      <c r="C26" s="4" t="s">
        <v>15994</v>
      </c>
      <c r="D26" s="926">
        <f>D24+D25</f>
        <v>0</v>
      </c>
      <c r="E26" s="926">
        <f t="shared" ref="E26:L26" si="19">E24+E25</f>
        <v>0</v>
      </c>
      <c r="F26" s="926">
        <f t="shared" si="19"/>
        <v>0</v>
      </c>
      <c r="G26" s="926">
        <f t="shared" si="19"/>
        <v>0</v>
      </c>
      <c r="H26" s="926">
        <f t="shared" si="19"/>
        <v>0</v>
      </c>
      <c r="I26" s="926">
        <f t="shared" si="19"/>
        <v>0</v>
      </c>
      <c r="J26" s="926">
        <f t="shared" si="19"/>
        <v>0</v>
      </c>
      <c r="K26" s="926">
        <f t="shared" si="19"/>
        <v>8698</v>
      </c>
      <c r="L26" s="926">
        <f t="shared" si="19"/>
        <v>8726</v>
      </c>
      <c r="N26" s="626"/>
      <c r="O26" s="4"/>
      <c r="Q26" s="4"/>
    </row>
    <row r="27" spans="1:17">
      <c r="A27" s="512">
        <v>5</v>
      </c>
      <c r="B27" s="626" t="s">
        <v>7932</v>
      </c>
      <c r="C27" s="4" t="s">
        <v>15995</v>
      </c>
      <c r="D27" s="628">
        <v>0</v>
      </c>
      <c r="E27" s="628">
        <v>0</v>
      </c>
      <c r="F27" s="628">
        <v>0</v>
      </c>
      <c r="G27" s="628">
        <v>0</v>
      </c>
      <c r="H27" s="48">
        <v>0</v>
      </c>
      <c r="I27" s="31">
        <v>0</v>
      </c>
      <c r="J27" s="31">
        <v>0</v>
      </c>
      <c r="K27" s="31">
        <v>8887</v>
      </c>
      <c r="L27" s="31">
        <v>8821</v>
      </c>
      <c r="N27" s="626" t="s">
        <v>4511</v>
      </c>
      <c r="O27" s="4"/>
      <c r="Q27" s="4"/>
    </row>
    <row r="28" spans="1:17">
      <c r="A28" s="512">
        <v>6</v>
      </c>
      <c r="B28" s="626" t="s">
        <v>7933</v>
      </c>
      <c r="C28" s="4" t="s">
        <v>15996</v>
      </c>
      <c r="D28" s="628">
        <v>68999</v>
      </c>
      <c r="E28" s="628">
        <v>69347</v>
      </c>
      <c r="F28" s="628">
        <v>70455</v>
      </c>
      <c r="G28" s="628">
        <v>69989</v>
      </c>
      <c r="H28" s="48">
        <v>70605</v>
      </c>
      <c r="I28" s="30">
        <v>69738</v>
      </c>
      <c r="J28" s="30">
        <v>68199</v>
      </c>
      <c r="K28" s="30">
        <v>8544</v>
      </c>
      <c r="L28" s="30">
        <v>8495</v>
      </c>
      <c r="N28" s="626" t="s">
        <v>6285</v>
      </c>
      <c r="O28" s="4"/>
      <c r="Q28" s="4"/>
    </row>
    <row r="29" spans="1:17">
      <c r="A29" s="512">
        <v>7</v>
      </c>
      <c r="B29" s="626" t="s">
        <v>7934</v>
      </c>
      <c r="C29" s="4" t="s">
        <v>15997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8166</v>
      </c>
      <c r="L29" s="30">
        <v>8387</v>
      </c>
      <c r="N29" s="626" t="s">
        <v>6285</v>
      </c>
      <c r="O29" s="4"/>
      <c r="Q29" s="4"/>
    </row>
    <row r="30" spans="1:17" ht="15.75" thickBot="1">
      <c r="A30" s="512"/>
      <c r="B30" s="626"/>
      <c r="C30" s="4" t="s">
        <v>15997</v>
      </c>
      <c r="D30" s="925">
        <v>0</v>
      </c>
      <c r="E30" s="925">
        <v>0</v>
      </c>
      <c r="F30" s="925">
        <v>0</v>
      </c>
      <c r="G30" s="925">
        <v>0</v>
      </c>
      <c r="H30" s="159">
        <v>0</v>
      </c>
      <c r="I30" s="905">
        <v>0</v>
      </c>
      <c r="J30" s="905">
        <v>0</v>
      </c>
      <c r="K30" s="31">
        <v>5</v>
      </c>
      <c r="L30" s="31">
        <v>6</v>
      </c>
      <c r="N30" s="626" t="s">
        <v>4511</v>
      </c>
      <c r="O30" s="4"/>
      <c r="Q30" s="4"/>
    </row>
    <row r="31" spans="1:17" ht="15.75" thickBot="1">
      <c r="A31" s="512"/>
      <c r="B31" s="626"/>
      <c r="C31" s="4" t="s">
        <v>15997</v>
      </c>
      <c r="D31" s="926">
        <f>D29+D30</f>
        <v>0</v>
      </c>
      <c r="E31" s="926">
        <f t="shared" ref="E31" si="20">E29+E30</f>
        <v>0</v>
      </c>
      <c r="F31" s="926">
        <f t="shared" ref="F31" si="21">F29+F30</f>
        <v>0</v>
      </c>
      <c r="G31" s="926">
        <f t="shared" ref="G31" si="22">G29+G30</f>
        <v>0</v>
      </c>
      <c r="H31" s="926">
        <f t="shared" ref="H31" si="23">H29+H30</f>
        <v>0</v>
      </c>
      <c r="I31" s="926">
        <f t="shared" ref="I31" si="24">I29+I30</f>
        <v>0</v>
      </c>
      <c r="J31" s="926">
        <f t="shared" ref="J31" si="25">J29+J30</f>
        <v>0</v>
      </c>
      <c r="K31" s="926">
        <f t="shared" ref="K31:L31" si="26">K29+K30</f>
        <v>8171</v>
      </c>
      <c r="L31" s="926">
        <f t="shared" si="26"/>
        <v>8393</v>
      </c>
      <c r="N31" s="626"/>
      <c r="O31" s="4"/>
      <c r="Q31" s="4"/>
    </row>
    <row r="32" spans="1:17">
      <c r="A32" s="512">
        <v>8</v>
      </c>
      <c r="B32" s="626" t="s">
        <v>7725</v>
      </c>
      <c r="C32" s="4" t="s">
        <v>15998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1">
        <v>7153</v>
      </c>
      <c r="L32" s="31">
        <v>7520</v>
      </c>
      <c r="N32" s="626" t="s">
        <v>4512</v>
      </c>
      <c r="O32" s="4"/>
      <c r="Q32" s="4"/>
    </row>
    <row r="33" spans="1:17">
      <c r="A33" s="512">
        <v>9</v>
      </c>
      <c r="B33" s="626" t="s">
        <v>7935</v>
      </c>
      <c r="C33" s="4" t="s">
        <v>15999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1">
        <v>9030</v>
      </c>
      <c r="L33" s="31">
        <v>8932</v>
      </c>
      <c r="N33" s="626" t="s">
        <v>4512</v>
      </c>
      <c r="O33" s="4"/>
      <c r="Q33" s="4"/>
    </row>
    <row r="34" spans="1:17">
      <c r="A34" s="512">
        <v>10</v>
      </c>
      <c r="B34" s="626" t="s">
        <v>16028</v>
      </c>
      <c r="C34" s="4" t="s">
        <v>16000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1">
        <v>7826</v>
      </c>
      <c r="L34" s="31">
        <v>7833</v>
      </c>
      <c r="N34" s="626" t="s">
        <v>4512</v>
      </c>
      <c r="O34" s="4"/>
      <c r="Q34" s="4"/>
    </row>
    <row r="35" spans="1:17">
      <c r="A35" s="512">
        <v>11</v>
      </c>
      <c r="B35" s="626" t="s">
        <v>7936</v>
      </c>
      <c r="C35" s="4" t="s">
        <v>16001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1">
        <v>7343</v>
      </c>
      <c r="L35" s="31">
        <v>7476</v>
      </c>
      <c r="N35" s="626" t="s">
        <v>4512</v>
      </c>
      <c r="O35" s="4"/>
      <c r="Q35" s="4"/>
    </row>
    <row r="36" spans="1:17">
      <c r="A36" s="512">
        <v>12</v>
      </c>
      <c r="B36" s="626" t="s">
        <v>7937</v>
      </c>
      <c r="C36" s="4" t="s">
        <v>16002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1">
        <v>0</v>
      </c>
      <c r="L36" s="31">
        <v>0</v>
      </c>
      <c r="N36" s="626" t="s">
        <v>6285</v>
      </c>
      <c r="O36" s="4"/>
      <c r="Q36" s="4"/>
    </row>
    <row r="37" spans="1:17" ht="15.75" thickBot="1">
      <c r="A37" s="512"/>
      <c r="B37" s="626"/>
      <c r="C37" s="4" t="s">
        <v>16002</v>
      </c>
      <c r="D37" s="925">
        <v>0</v>
      </c>
      <c r="E37" s="925">
        <v>0</v>
      </c>
      <c r="F37" s="925">
        <v>0</v>
      </c>
      <c r="G37" s="925">
        <v>0</v>
      </c>
      <c r="H37" s="159">
        <v>0</v>
      </c>
      <c r="I37" s="905">
        <v>0</v>
      </c>
      <c r="J37" s="905">
        <v>0</v>
      </c>
      <c r="K37" s="31">
        <v>8872</v>
      </c>
      <c r="L37" s="31">
        <v>9091</v>
      </c>
      <c r="N37" s="626" t="s">
        <v>4512</v>
      </c>
      <c r="O37" s="4"/>
      <c r="Q37" s="4"/>
    </row>
    <row r="38" spans="1:17" ht="15.75" thickBot="1">
      <c r="A38" s="512"/>
      <c r="B38" s="626"/>
      <c r="C38" s="4" t="s">
        <v>16002</v>
      </c>
      <c r="D38" s="926">
        <f>D36+D37</f>
        <v>0</v>
      </c>
      <c r="E38" s="926">
        <f t="shared" ref="E38" si="27">E36+E37</f>
        <v>0</v>
      </c>
      <c r="F38" s="926">
        <f t="shared" ref="F38" si="28">F36+F37</f>
        <v>0</v>
      </c>
      <c r="G38" s="926">
        <f t="shared" ref="G38" si="29">G36+G37</f>
        <v>0</v>
      </c>
      <c r="H38" s="926">
        <f t="shared" ref="H38" si="30">H36+H37</f>
        <v>0</v>
      </c>
      <c r="I38" s="926">
        <f t="shared" ref="I38" si="31">I36+I37</f>
        <v>0</v>
      </c>
      <c r="J38" s="926">
        <f t="shared" ref="J38" si="32">J36+J37</f>
        <v>0</v>
      </c>
      <c r="K38" s="926">
        <f t="shared" ref="K38:L38" si="33">K36+K37</f>
        <v>8872</v>
      </c>
      <c r="L38" s="926">
        <f t="shared" si="33"/>
        <v>9091</v>
      </c>
      <c r="N38" s="626"/>
      <c r="O38" s="4"/>
      <c r="Q38" s="4"/>
    </row>
    <row r="39" spans="1:17">
      <c r="A39" s="512">
        <v>13</v>
      </c>
      <c r="B39" s="626" t="s">
        <v>7938</v>
      </c>
      <c r="C39" s="4" t="s">
        <v>16003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9131</v>
      </c>
      <c r="L39" s="30">
        <v>9331</v>
      </c>
      <c r="N39" s="626" t="s">
        <v>6285</v>
      </c>
      <c r="O39" s="4"/>
      <c r="Q39" s="4"/>
    </row>
    <row r="40" spans="1:17">
      <c r="A40" s="512">
        <v>14</v>
      </c>
      <c r="B40" s="626" t="s">
        <v>7939</v>
      </c>
      <c r="C40" s="4" t="s">
        <v>16004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1">
        <v>8845</v>
      </c>
      <c r="L40" s="31">
        <v>8947</v>
      </c>
      <c r="N40" s="626" t="s">
        <v>4511</v>
      </c>
      <c r="O40" s="4"/>
      <c r="Q40" s="4"/>
    </row>
    <row r="41" spans="1:17">
      <c r="A41" s="512">
        <v>15</v>
      </c>
      <c r="B41" s="626" t="s">
        <v>7940</v>
      </c>
      <c r="C41" s="4" t="s">
        <v>16005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8846</v>
      </c>
      <c r="L41" s="30">
        <v>8771</v>
      </c>
      <c r="N41" s="626" t="s">
        <v>6285</v>
      </c>
      <c r="O41" s="4"/>
      <c r="Q41" s="4"/>
    </row>
    <row r="42" spans="1:17">
      <c r="A42" s="512">
        <v>16</v>
      </c>
      <c r="B42" s="626" t="s">
        <v>16029</v>
      </c>
      <c r="C42" s="4" t="s">
        <v>16006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1">
        <v>12573</v>
      </c>
      <c r="L42" s="31">
        <v>12614</v>
      </c>
      <c r="N42" s="626" t="s">
        <v>4511</v>
      </c>
      <c r="O42" s="4"/>
      <c r="Q42" s="4"/>
    </row>
    <row r="43" spans="1:17">
      <c r="A43" s="512">
        <v>17</v>
      </c>
      <c r="B43" s="626" t="s">
        <v>16030</v>
      </c>
      <c r="C43" s="4" t="s">
        <v>16007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8740</v>
      </c>
      <c r="L43" s="30">
        <v>8739</v>
      </c>
      <c r="N43" s="626" t="s">
        <v>6279</v>
      </c>
      <c r="O43" s="4"/>
      <c r="Q43" s="4"/>
    </row>
    <row r="44" spans="1:17">
      <c r="A44" s="512">
        <v>18</v>
      </c>
      <c r="B44" s="626" t="s">
        <v>16031</v>
      </c>
      <c r="C44" s="4" t="s">
        <v>16008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1">
        <v>13574</v>
      </c>
      <c r="L44" s="31">
        <v>13488</v>
      </c>
      <c r="N44" s="626" t="s">
        <v>4511</v>
      </c>
      <c r="O44" s="4"/>
      <c r="Q44" s="4"/>
    </row>
    <row r="45" spans="1:17">
      <c r="A45" s="512">
        <v>19</v>
      </c>
      <c r="B45" s="626" t="s">
        <v>7941</v>
      </c>
      <c r="C45" s="4" t="s">
        <v>16009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8416</v>
      </c>
      <c r="L45" s="30">
        <v>8488</v>
      </c>
      <c r="N45" s="626" t="s">
        <v>6285</v>
      </c>
      <c r="O45" s="4"/>
      <c r="Q45" s="4"/>
    </row>
    <row r="46" spans="1:17">
      <c r="A46" s="512">
        <v>20</v>
      </c>
      <c r="B46" s="626" t="s">
        <v>7942</v>
      </c>
      <c r="C46" s="4" t="s">
        <v>16010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8628</v>
      </c>
      <c r="L46" s="30">
        <v>8667</v>
      </c>
      <c r="N46" s="626" t="s">
        <v>6279</v>
      </c>
      <c r="O46" s="4"/>
      <c r="Q46" s="4"/>
    </row>
    <row r="47" spans="1:17">
      <c r="A47" s="512">
        <v>21</v>
      </c>
      <c r="B47" s="626" t="s">
        <v>16032</v>
      </c>
      <c r="C47" s="4" t="s">
        <v>16011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1">
        <v>3699</v>
      </c>
      <c r="L47" s="31">
        <v>3607</v>
      </c>
      <c r="N47" s="626" t="s">
        <v>4512</v>
      </c>
      <c r="O47" s="4"/>
      <c r="Q47" s="4"/>
    </row>
    <row r="48" spans="1:17">
      <c r="A48" s="512">
        <v>22</v>
      </c>
      <c r="B48" s="626" t="s">
        <v>7943</v>
      </c>
      <c r="C48" s="4" t="s">
        <v>16012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1">
        <v>0</v>
      </c>
      <c r="L48" s="31">
        <v>0</v>
      </c>
      <c r="N48" s="626" t="s">
        <v>6285</v>
      </c>
      <c r="O48" s="4"/>
      <c r="Q48" s="4"/>
    </row>
    <row r="49" spans="1:17" ht="15.75" thickBot="1">
      <c r="A49" s="512"/>
      <c r="B49" s="626"/>
      <c r="C49" s="4" t="s">
        <v>16012</v>
      </c>
      <c r="D49" s="925">
        <v>0</v>
      </c>
      <c r="E49" s="925">
        <v>0</v>
      </c>
      <c r="F49" s="925">
        <v>0</v>
      </c>
      <c r="G49" s="925">
        <v>0</v>
      </c>
      <c r="H49" s="159">
        <v>0</v>
      </c>
      <c r="I49" s="905">
        <v>0</v>
      </c>
      <c r="J49" s="905">
        <v>0</v>
      </c>
      <c r="K49" s="31">
        <v>9468</v>
      </c>
      <c r="L49" s="31">
        <v>9510</v>
      </c>
      <c r="N49" s="626" t="s">
        <v>4511</v>
      </c>
      <c r="O49" s="4"/>
      <c r="Q49" s="4"/>
    </row>
    <row r="50" spans="1:17" ht="15.75" thickBot="1">
      <c r="A50" s="512"/>
      <c r="B50" s="626"/>
      <c r="C50" s="4" t="s">
        <v>16012</v>
      </c>
      <c r="D50" s="926">
        <f>D48+D49</f>
        <v>0</v>
      </c>
      <c r="E50" s="926">
        <f t="shared" ref="E50" si="34">E48+E49</f>
        <v>0</v>
      </c>
      <c r="F50" s="926">
        <f t="shared" ref="F50" si="35">F48+F49</f>
        <v>0</v>
      </c>
      <c r="G50" s="926">
        <f t="shared" ref="G50" si="36">G48+G49</f>
        <v>0</v>
      </c>
      <c r="H50" s="926">
        <f t="shared" ref="H50" si="37">H48+H49</f>
        <v>0</v>
      </c>
      <c r="I50" s="926">
        <f t="shared" ref="I50" si="38">I48+I49</f>
        <v>0</v>
      </c>
      <c r="J50" s="926">
        <f t="shared" ref="J50" si="39">J48+J49</f>
        <v>0</v>
      </c>
      <c r="K50" s="926">
        <f t="shared" ref="K50:L50" si="40">K48+K49</f>
        <v>9468</v>
      </c>
      <c r="L50" s="926">
        <f t="shared" si="40"/>
        <v>9510</v>
      </c>
      <c r="N50" s="626"/>
      <c r="O50" s="4"/>
      <c r="Q50" s="4"/>
    </row>
    <row r="51" spans="1:17">
      <c r="A51" s="512">
        <v>23</v>
      </c>
      <c r="B51" s="626" t="s">
        <v>7944</v>
      </c>
      <c r="C51" s="4" t="s">
        <v>16013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1">
        <v>8774</v>
      </c>
      <c r="L51" s="31">
        <v>9249</v>
      </c>
      <c r="N51" s="626" t="s">
        <v>4512</v>
      </c>
      <c r="O51" s="4"/>
      <c r="Q51" s="4"/>
    </row>
    <row r="52" spans="1:17">
      <c r="A52" s="512">
        <v>24</v>
      </c>
      <c r="B52" s="626" t="s">
        <v>7945</v>
      </c>
      <c r="C52" s="4" t="s">
        <v>16014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8258</v>
      </c>
      <c r="L52" s="30">
        <v>8376</v>
      </c>
      <c r="N52" s="626" t="s">
        <v>6279</v>
      </c>
      <c r="O52" s="4"/>
      <c r="Q52" s="4"/>
    </row>
    <row r="53" spans="1:17">
      <c r="A53" s="512">
        <v>25</v>
      </c>
      <c r="B53" s="626" t="s">
        <v>7946</v>
      </c>
      <c r="C53" s="4" t="s">
        <v>16015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1">
        <v>9872</v>
      </c>
      <c r="L53" s="31">
        <v>9890</v>
      </c>
      <c r="N53" s="626" t="s">
        <v>4512</v>
      </c>
      <c r="O53" s="4"/>
      <c r="Q53" s="4"/>
    </row>
    <row r="54" spans="1:17">
      <c r="A54" s="512">
        <v>26</v>
      </c>
      <c r="B54" s="626" t="s">
        <v>16033</v>
      </c>
      <c r="C54" s="4" t="s">
        <v>16016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9010</v>
      </c>
      <c r="L54" s="30">
        <v>8956</v>
      </c>
      <c r="N54" s="626" t="s">
        <v>6285</v>
      </c>
      <c r="Q54" s="4"/>
    </row>
    <row r="55" spans="1:17">
      <c r="A55" s="512">
        <v>27</v>
      </c>
      <c r="B55" s="626" t="s">
        <v>16034</v>
      </c>
      <c r="C55" s="4" t="s">
        <v>16017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4490</v>
      </c>
      <c r="L55" s="30">
        <v>4519</v>
      </c>
      <c r="N55" s="626" t="s">
        <v>6285</v>
      </c>
      <c r="Q55" s="4"/>
    </row>
    <row r="56" spans="1:17">
      <c r="A56" s="512">
        <v>28</v>
      </c>
      <c r="B56" s="626" t="s">
        <v>7947</v>
      </c>
      <c r="C56" s="4" t="s">
        <v>16018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4422</v>
      </c>
      <c r="L56" s="30">
        <v>4500</v>
      </c>
      <c r="N56" s="626" t="s">
        <v>6285</v>
      </c>
      <c r="Q56" s="4"/>
    </row>
    <row r="57" spans="1:17">
      <c r="A57" s="512">
        <v>29</v>
      </c>
      <c r="B57" s="626" t="s">
        <v>7948</v>
      </c>
      <c r="C57" s="4" t="s">
        <v>16019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8363</v>
      </c>
      <c r="L57" s="30">
        <v>8326</v>
      </c>
      <c r="N57" s="626" t="s">
        <v>6279</v>
      </c>
      <c r="Q57" s="4"/>
    </row>
    <row r="58" spans="1:17">
      <c r="A58" s="512">
        <v>30</v>
      </c>
      <c r="B58" s="626" t="s">
        <v>7949</v>
      </c>
      <c r="C58" s="4" t="s">
        <v>16020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1">
        <v>8619</v>
      </c>
      <c r="L58" s="30">
        <v>8804</v>
      </c>
      <c r="N58" s="626" t="s">
        <v>4511</v>
      </c>
      <c r="Q58" s="4"/>
    </row>
    <row r="59" spans="1:17">
      <c r="A59" s="512">
        <v>31</v>
      </c>
      <c r="B59" s="626" t="s">
        <v>7950</v>
      </c>
      <c r="C59" s="4" t="s">
        <v>16021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9041</v>
      </c>
      <c r="L59" s="30">
        <v>8919</v>
      </c>
      <c r="N59" s="626" t="s">
        <v>6285</v>
      </c>
      <c r="O59" s="4"/>
      <c r="Q59" s="4"/>
    </row>
    <row r="60" spans="1:17" ht="15.75" thickBot="1">
      <c r="A60" s="512"/>
      <c r="B60" s="626"/>
      <c r="C60" s="4" t="s">
        <v>16021</v>
      </c>
      <c r="D60" s="925">
        <v>0</v>
      </c>
      <c r="E60" s="925">
        <v>0</v>
      </c>
      <c r="F60" s="925">
        <v>0</v>
      </c>
      <c r="G60" s="925">
        <v>0</v>
      </c>
      <c r="H60" s="159">
        <v>0</v>
      </c>
      <c r="I60" s="905">
        <v>0</v>
      </c>
      <c r="J60" s="905">
        <v>0</v>
      </c>
      <c r="K60" s="31">
        <v>65</v>
      </c>
      <c r="L60" s="31">
        <v>62</v>
      </c>
      <c r="N60" s="626" t="s">
        <v>4511</v>
      </c>
      <c r="O60" s="4"/>
      <c r="Q60" s="4"/>
    </row>
    <row r="61" spans="1:17" ht="15.75" thickBot="1">
      <c r="A61" s="512"/>
      <c r="B61" s="626"/>
      <c r="C61" s="4" t="s">
        <v>16021</v>
      </c>
      <c r="D61" s="926">
        <f>D59+D60</f>
        <v>0</v>
      </c>
      <c r="E61" s="926">
        <f t="shared" ref="E61" si="41">E59+E60</f>
        <v>0</v>
      </c>
      <c r="F61" s="926">
        <f t="shared" ref="F61" si="42">F59+F60</f>
        <v>0</v>
      </c>
      <c r="G61" s="926">
        <f t="shared" ref="G61" si="43">G59+G60</f>
        <v>0</v>
      </c>
      <c r="H61" s="926">
        <f t="shared" ref="H61" si="44">H59+H60</f>
        <v>0</v>
      </c>
      <c r="I61" s="926">
        <f t="shared" ref="I61" si="45">I59+I60</f>
        <v>0</v>
      </c>
      <c r="J61" s="926">
        <f t="shared" ref="J61" si="46">J59+J60</f>
        <v>0</v>
      </c>
      <c r="K61" s="926">
        <f t="shared" ref="K61:L61" si="47">K59+K60</f>
        <v>9106</v>
      </c>
      <c r="L61" s="926">
        <f t="shared" si="47"/>
        <v>8981</v>
      </c>
      <c r="N61" s="626"/>
      <c r="O61" s="4"/>
      <c r="Q61" s="4"/>
    </row>
    <row r="62" spans="1:17">
      <c r="A62" s="512">
        <v>32</v>
      </c>
      <c r="B62" s="626" t="s">
        <v>7951</v>
      </c>
      <c r="C62" s="4" t="s">
        <v>16022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1">
        <v>8649</v>
      </c>
      <c r="L62" s="31">
        <v>8043</v>
      </c>
      <c r="N62" s="626" t="s">
        <v>6279</v>
      </c>
      <c r="O62" s="4"/>
      <c r="Q62" s="4"/>
    </row>
    <row r="63" spans="1:17">
      <c r="A63" s="512">
        <v>33</v>
      </c>
      <c r="B63" s="626" t="s">
        <v>16035</v>
      </c>
      <c r="C63" s="4" t="s">
        <v>16023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1">
        <v>14957</v>
      </c>
      <c r="L63" s="31">
        <v>14908</v>
      </c>
      <c r="N63" s="626" t="s">
        <v>6279</v>
      </c>
      <c r="O63" s="4"/>
      <c r="Q63" s="4"/>
    </row>
    <row r="64" spans="1:17">
      <c r="A64" s="512">
        <v>34</v>
      </c>
      <c r="B64" s="626" t="s">
        <v>7952</v>
      </c>
      <c r="C64" s="4" t="s">
        <v>16024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1">
        <v>9481</v>
      </c>
      <c r="L64" s="31">
        <v>9560</v>
      </c>
      <c r="N64" s="626" t="s">
        <v>4511</v>
      </c>
      <c r="O64" s="4"/>
      <c r="Q64" s="4"/>
    </row>
    <row r="65" spans="1:12">
      <c r="D65" s="631"/>
      <c r="E65" s="631"/>
      <c r="F65" s="631"/>
      <c r="G65" s="631"/>
      <c r="H65" s="631"/>
      <c r="I65" s="631"/>
      <c r="J65" s="631"/>
      <c r="K65" s="631"/>
      <c r="L65" s="631"/>
    </row>
    <row r="66" spans="1:12">
      <c r="A66" s="627" t="s">
        <v>16025</v>
      </c>
      <c r="D66" s="863"/>
      <c r="E66" s="863"/>
      <c r="F66" s="863"/>
      <c r="G66" s="863"/>
      <c r="H66" s="863"/>
      <c r="I66" s="863"/>
      <c r="J66" s="863"/>
      <c r="K66" s="863"/>
      <c r="L66" s="863"/>
    </row>
    <row r="67" spans="1:12">
      <c r="A67" s="626"/>
      <c r="B67" s="626"/>
      <c r="D67" s="863"/>
      <c r="E67" s="863"/>
      <c r="F67" s="863"/>
      <c r="G67" s="863"/>
      <c r="H67" s="863"/>
      <c r="I67" s="863"/>
      <c r="J67" s="863"/>
      <c r="K67" s="863"/>
      <c r="L67" s="863"/>
    </row>
    <row r="68" spans="1:12">
      <c r="A68" s="626"/>
      <c r="B68" s="626"/>
      <c r="D68" s="863"/>
      <c r="E68" s="863"/>
      <c r="F68" s="863"/>
      <c r="G68" s="863"/>
      <c r="H68" s="863"/>
      <c r="I68" s="863"/>
      <c r="J68" s="863"/>
      <c r="K68" s="863"/>
      <c r="L68" s="863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9" orientation="portrait" horizontalDpi="300" verticalDpi="300" r:id="rId1"/>
  <headerFooter alignWithMargins="0">
    <oddFooter>&amp;C&amp;"Times New Roman,Regular"&amp;8&amp;P of &amp;N</oddFooter>
  </headerFooter>
  <ignoredErrors>
    <ignoredError sqref="D4 E4 F4 G4 D5:D6 E5:E6 F5:F6 G5:G6 H4 H5:H6 I4:I6 J4:J6 D26:K26 D38:K38 D31:K31 D50:K50 D61:K61 D3:J3 D14:D19 E14:E19 F14:F19 G14:G19 H14:H19 I14:I19 J14:J19 D12 D10 D8 D7:K7 D9:K9 E8:J8 D11:K11 E10:J10 D13:J13 E12:J12 K3:K6 K8 K10 K12:K14 L3:L19" unlockedFormula="1"/>
    <ignoredError sqref="K15:K19" evalError="1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51"/>
  <sheetViews>
    <sheetView showGridLines="0" zoomScaleNormal="100" workbookViewId="0"/>
  </sheetViews>
  <sheetFormatPr defaultColWidth="12.7109375" defaultRowHeight="15"/>
  <cols>
    <col min="1" max="1" width="5" style="328" customWidth="1"/>
    <col min="2" max="2" width="40.7109375" style="328" customWidth="1"/>
    <col min="3" max="3" width="11.5703125" style="328" customWidth="1"/>
    <col min="4" max="12" width="10.140625" style="328" customWidth="1"/>
    <col min="13" max="13" width="2.42578125" style="328" customWidth="1"/>
    <col min="14" max="14" width="33" style="328" customWidth="1"/>
    <col min="15" max="16384" width="12.7109375" style="328"/>
  </cols>
  <sheetData>
    <row r="1" spans="1:14">
      <c r="A1" s="236" t="s">
        <v>7342</v>
      </c>
      <c r="D1" s="329">
        <v>2010</v>
      </c>
      <c r="E1" s="329">
        <v>2011</v>
      </c>
      <c r="F1" s="329">
        <v>2012</v>
      </c>
      <c r="G1" s="329">
        <v>2013</v>
      </c>
      <c r="H1" s="329">
        <v>2014</v>
      </c>
      <c r="I1" s="329">
        <v>2015</v>
      </c>
      <c r="J1" s="329">
        <v>2016</v>
      </c>
      <c r="K1" s="329">
        <v>2017</v>
      </c>
      <c r="L1" s="329">
        <v>2018</v>
      </c>
    </row>
    <row r="3" spans="1:14">
      <c r="A3" s="236" t="s">
        <v>4483</v>
      </c>
      <c r="D3" s="330">
        <f t="shared" ref="D3:I3" si="0">SUM(D27:D48)</f>
        <v>229189</v>
      </c>
      <c r="E3" s="330">
        <f t="shared" si="0"/>
        <v>230828</v>
      </c>
      <c r="F3" s="330">
        <f t="shared" si="0"/>
        <v>232287</v>
      </c>
      <c r="G3" s="330">
        <f t="shared" si="0"/>
        <v>230805</v>
      </c>
      <c r="H3" s="330">
        <f t="shared" si="0"/>
        <v>229227</v>
      </c>
      <c r="I3" s="330">
        <f t="shared" si="0"/>
        <v>229175</v>
      </c>
      <c r="J3" s="330">
        <f t="shared" ref="J3:K3" si="1">SUM(J27:J48)</f>
        <v>226093</v>
      </c>
      <c r="K3" s="330">
        <f t="shared" si="1"/>
        <v>230366</v>
      </c>
      <c r="L3" s="330">
        <f t="shared" ref="L3" si="2">SUM(L27:L48)</f>
        <v>230969</v>
      </c>
    </row>
    <row r="5" spans="1:14">
      <c r="A5" s="236" t="s">
        <v>6952</v>
      </c>
      <c r="D5" s="330">
        <f t="shared" ref="D5:I5" si="3">D3/3</f>
        <v>76396.333333333328</v>
      </c>
      <c r="E5" s="330">
        <f t="shared" si="3"/>
        <v>76942.666666666672</v>
      </c>
      <c r="F5" s="330">
        <f t="shared" si="3"/>
        <v>77429</v>
      </c>
      <c r="G5" s="330">
        <f t="shared" si="3"/>
        <v>76935</v>
      </c>
      <c r="H5" s="330">
        <f t="shared" si="3"/>
        <v>76409</v>
      </c>
      <c r="I5" s="330">
        <f t="shared" si="3"/>
        <v>76391.666666666672</v>
      </c>
      <c r="J5" s="330">
        <f t="shared" ref="J5:K5" si="4">J3/3</f>
        <v>75364.333333333328</v>
      </c>
      <c r="K5" s="330">
        <f t="shared" si="4"/>
        <v>76788.666666666672</v>
      </c>
      <c r="L5" s="330">
        <f t="shared" ref="L5" si="5">L3/3</f>
        <v>76989.666666666672</v>
      </c>
    </row>
    <row r="6" spans="1:14">
      <c r="D6" s="331"/>
      <c r="E6" s="331"/>
      <c r="F6" s="331"/>
      <c r="G6" s="331"/>
      <c r="H6" s="331"/>
      <c r="I6" s="331"/>
      <c r="J6" s="331"/>
      <c r="K6" s="331"/>
      <c r="L6" s="331"/>
    </row>
    <row r="7" spans="1:14">
      <c r="A7" s="236" t="s">
        <v>4484</v>
      </c>
      <c r="D7" s="330">
        <f t="shared" ref="D7:I7" si="6">D29+D34+D40+D41+D47+D48</f>
        <v>66029</v>
      </c>
      <c r="E7" s="330">
        <f t="shared" si="6"/>
        <v>66470</v>
      </c>
      <c r="F7" s="330">
        <f t="shared" si="6"/>
        <v>67185</v>
      </c>
      <c r="G7" s="330">
        <f t="shared" si="6"/>
        <v>67054</v>
      </c>
      <c r="H7" s="330">
        <f t="shared" si="6"/>
        <v>66899</v>
      </c>
      <c r="I7" s="330">
        <f t="shared" si="6"/>
        <v>66654</v>
      </c>
      <c r="J7" s="330">
        <f t="shared" ref="J7:K7" si="7">J29+J34+J40+J41+J47+J48</f>
        <v>66067</v>
      </c>
      <c r="K7" s="330">
        <f t="shared" si="7"/>
        <v>67390</v>
      </c>
      <c r="L7" s="330">
        <f t="shared" ref="L7" si="8">L29+L34+L40+L41+L47+L48</f>
        <v>67524</v>
      </c>
      <c r="N7" s="236" t="s">
        <v>4485</v>
      </c>
    </row>
    <row r="8" spans="1:14">
      <c r="A8" s="236"/>
      <c r="D8" s="330"/>
      <c r="E8" s="330"/>
      <c r="F8" s="330"/>
      <c r="G8" s="330"/>
      <c r="H8" s="330"/>
      <c r="I8" s="330"/>
      <c r="J8" s="330"/>
      <c r="K8" s="330"/>
      <c r="L8" s="330"/>
      <c r="N8" s="236"/>
    </row>
    <row r="9" spans="1:14">
      <c r="A9" s="236" t="s">
        <v>4486</v>
      </c>
      <c r="D9" s="330">
        <f t="shared" ref="D9:I9" si="9">D27+D30+D32+D36+D42+D46</f>
        <v>65210</v>
      </c>
      <c r="E9" s="330">
        <f t="shared" si="9"/>
        <v>65508</v>
      </c>
      <c r="F9" s="330">
        <f t="shared" si="9"/>
        <v>65885</v>
      </c>
      <c r="G9" s="330">
        <f t="shared" si="9"/>
        <v>65183</v>
      </c>
      <c r="H9" s="330">
        <f t="shared" si="9"/>
        <v>64582</v>
      </c>
      <c r="I9" s="330">
        <f t="shared" si="9"/>
        <v>64556</v>
      </c>
      <c r="J9" s="330">
        <f t="shared" ref="J9:K9" si="10">J27+J30+J32+J36+J42+J46</f>
        <v>63339</v>
      </c>
      <c r="K9" s="330">
        <f t="shared" si="10"/>
        <v>64452</v>
      </c>
      <c r="L9" s="330">
        <f t="shared" ref="L9" si="11">L27+L30+L32+L36+L42+L46</f>
        <v>64702</v>
      </c>
      <c r="N9" s="236" t="s">
        <v>4485</v>
      </c>
    </row>
    <row r="10" spans="1:14">
      <c r="D10" s="331"/>
      <c r="E10" s="331"/>
      <c r="F10" s="331"/>
      <c r="G10" s="331"/>
      <c r="H10" s="331"/>
      <c r="I10" s="331"/>
      <c r="J10" s="331"/>
      <c r="K10" s="331"/>
      <c r="L10" s="331"/>
    </row>
    <row r="11" spans="1:14">
      <c r="A11" s="236" t="s">
        <v>4487</v>
      </c>
      <c r="D11" s="330">
        <f t="shared" ref="D11:I11" si="12">D28+D31+D35+D38+D39+D43+D45</f>
        <v>67765</v>
      </c>
      <c r="E11" s="330">
        <f t="shared" si="12"/>
        <v>68221</v>
      </c>
      <c r="F11" s="330">
        <f t="shared" si="12"/>
        <v>68282</v>
      </c>
      <c r="G11" s="330">
        <f t="shared" si="12"/>
        <v>68023</v>
      </c>
      <c r="H11" s="330">
        <f t="shared" si="12"/>
        <v>67592</v>
      </c>
      <c r="I11" s="330">
        <f t="shared" si="12"/>
        <v>67623</v>
      </c>
      <c r="J11" s="330">
        <f t="shared" ref="J11:K11" si="13">J28+J31+J35+J38+J39+J43+J45</f>
        <v>66724</v>
      </c>
      <c r="K11" s="330">
        <f t="shared" si="13"/>
        <v>67837</v>
      </c>
      <c r="L11" s="330">
        <f t="shared" ref="L11" si="14">L28+L31+L35+L38+L39+L43+L45</f>
        <v>67821</v>
      </c>
      <c r="N11" s="236" t="s">
        <v>4485</v>
      </c>
    </row>
    <row r="12" spans="1:14">
      <c r="D12" s="331"/>
      <c r="E12" s="331"/>
      <c r="F12" s="331"/>
      <c r="G12" s="331"/>
      <c r="H12" s="331"/>
      <c r="I12" s="331"/>
      <c r="J12" s="331"/>
      <c r="K12" s="331"/>
      <c r="L12" s="331"/>
    </row>
    <row r="13" spans="1:14">
      <c r="A13" s="328" t="s">
        <v>4488</v>
      </c>
      <c r="D13" s="331">
        <f>LEWISHAM!D7</f>
        <v>64809</v>
      </c>
      <c r="E13" s="331">
        <f>LEWISHAM!E7</f>
        <v>67590</v>
      </c>
      <c r="F13" s="331">
        <f>LEWISHAM!F7</f>
        <v>68405</v>
      </c>
      <c r="G13" s="331">
        <f>LEWISHAM!G7</f>
        <v>70178</v>
      </c>
      <c r="H13" s="331">
        <f>LEWISHAM!H7</f>
        <v>71651</v>
      </c>
      <c r="I13" s="331">
        <f>LEWISHAM!I7</f>
        <v>69292</v>
      </c>
      <c r="J13" s="331">
        <f>LEWISHAM!J7</f>
        <v>67166</v>
      </c>
      <c r="K13" s="331">
        <f>LEWISHAM!K7</f>
        <v>72220</v>
      </c>
      <c r="L13" s="331">
        <f>LEWISHAM!L7</f>
        <v>74576</v>
      </c>
      <c r="N13" s="328" t="s">
        <v>4489</v>
      </c>
    </row>
    <row r="14" spans="1:14">
      <c r="D14" s="331"/>
      <c r="E14" s="331"/>
      <c r="F14" s="331"/>
      <c r="G14" s="331"/>
      <c r="H14" s="331"/>
      <c r="I14" s="331"/>
      <c r="J14" s="331"/>
      <c r="K14" s="331"/>
      <c r="L14" s="331"/>
    </row>
    <row r="15" spans="1:14">
      <c r="A15" s="328" t="s">
        <v>4490</v>
      </c>
      <c r="D15" s="331">
        <f>LEWISHAM!D9</f>
        <v>64937</v>
      </c>
      <c r="E15" s="331">
        <f>LEWISHAM!E9</f>
        <v>65508</v>
      </c>
      <c r="F15" s="331">
        <f>LEWISHAM!F9</f>
        <v>65797</v>
      </c>
      <c r="G15" s="331">
        <f>LEWISHAM!G9</f>
        <v>66116</v>
      </c>
      <c r="H15" s="331">
        <f>LEWISHAM!H9</f>
        <v>66939</v>
      </c>
      <c r="I15" s="331">
        <f>LEWISHAM!I9</f>
        <v>64984</v>
      </c>
      <c r="J15" s="331">
        <f>LEWISHAM!J9</f>
        <v>62366</v>
      </c>
      <c r="K15" s="331">
        <f>LEWISHAM!K9</f>
        <v>65099</v>
      </c>
      <c r="L15" s="331">
        <f>LEWISHAM!L9</f>
        <v>65970</v>
      </c>
      <c r="N15" s="328" t="s">
        <v>4489</v>
      </c>
    </row>
    <row r="16" spans="1:14">
      <c r="D16" s="331"/>
      <c r="E16" s="331"/>
      <c r="F16" s="331"/>
      <c r="G16" s="331"/>
      <c r="H16" s="331"/>
      <c r="I16" s="331"/>
      <c r="J16" s="331"/>
      <c r="K16" s="331"/>
      <c r="L16" s="331"/>
    </row>
    <row r="17" spans="1:18">
      <c r="A17" s="328" t="s">
        <v>4491</v>
      </c>
      <c r="D17" s="331">
        <f t="shared" ref="D17:I17" si="15">D33+D37+D44</f>
        <v>30185</v>
      </c>
      <c r="E17" s="331">
        <f t="shared" si="15"/>
        <v>30629</v>
      </c>
      <c r="F17" s="331">
        <f t="shared" si="15"/>
        <v>30935</v>
      </c>
      <c r="G17" s="331">
        <f t="shared" si="15"/>
        <v>30545</v>
      </c>
      <c r="H17" s="331">
        <f t="shared" si="15"/>
        <v>30154</v>
      </c>
      <c r="I17" s="331">
        <f t="shared" si="15"/>
        <v>30342</v>
      </c>
      <c r="J17" s="331">
        <f t="shared" ref="J17:K17" si="16">J33+J37+J44</f>
        <v>29963</v>
      </c>
      <c r="K17" s="331">
        <f t="shared" si="16"/>
        <v>30687</v>
      </c>
      <c r="L17" s="331">
        <f t="shared" ref="L17" si="17">L33+L37+L44</f>
        <v>30922</v>
      </c>
      <c r="N17" s="236" t="s">
        <v>4485</v>
      </c>
    </row>
    <row r="18" spans="1:18" ht="15.75" thickBot="1">
      <c r="D18" s="332">
        <f>LEWISHAM!D12</f>
        <v>38167</v>
      </c>
      <c r="E18" s="332">
        <f>LEWISHAM!E12</f>
        <v>38770</v>
      </c>
      <c r="F18" s="332">
        <f>LEWISHAM!F12</f>
        <v>39001</v>
      </c>
      <c r="G18" s="332">
        <f>LEWISHAM!G12</f>
        <v>39456</v>
      </c>
      <c r="H18" s="332">
        <f>LEWISHAM!H12</f>
        <v>40144</v>
      </c>
      <c r="I18" s="332">
        <f>LEWISHAM!I12</f>
        <v>39192</v>
      </c>
      <c r="J18" s="332">
        <f>LEWISHAM!J12</f>
        <v>37690</v>
      </c>
      <c r="K18" s="332">
        <f>LEWISHAM!K12</f>
        <v>39594</v>
      </c>
      <c r="L18" s="332">
        <f>LEWISHAM!L12</f>
        <v>40228</v>
      </c>
      <c r="N18" s="328" t="s">
        <v>4489</v>
      </c>
    </row>
    <row r="19" spans="1:18" ht="15.75" thickBot="1">
      <c r="D19" s="333">
        <f t="shared" ref="D19:I19" si="18">D17+D18</f>
        <v>68352</v>
      </c>
      <c r="E19" s="333">
        <f t="shared" si="18"/>
        <v>69399</v>
      </c>
      <c r="F19" s="333">
        <f t="shared" si="18"/>
        <v>69936</v>
      </c>
      <c r="G19" s="333">
        <f t="shared" si="18"/>
        <v>70001</v>
      </c>
      <c r="H19" s="333">
        <f t="shared" si="18"/>
        <v>70298</v>
      </c>
      <c r="I19" s="333">
        <f t="shared" si="18"/>
        <v>69534</v>
      </c>
      <c r="J19" s="333">
        <f t="shared" ref="J19:K19" si="19">J17+J18</f>
        <v>67653</v>
      </c>
      <c r="K19" s="333">
        <f t="shared" si="19"/>
        <v>70281</v>
      </c>
      <c r="L19" s="333">
        <f t="shared" ref="L19" si="20">L17+L18</f>
        <v>71150</v>
      </c>
    </row>
    <row r="20" spans="1:18">
      <c r="D20" s="331"/>
      <c r="E20" s="331"/>
      <c r="F20" s="331"/>
      <c r="G20" s="331"/>
      <c r="H20" s="331"/>
      <c r="I20" s="331"/>
      <c r="J20" s="331"/>
      <c r="K20" s="331"/>
      <c r="L20" s="331"/>
    </row>
    <row r="21" spans="1:18">
      <c r="A21" s="236" t="s">
        <v>8697</v>
      </c>
      <c r="D21" s="330">
        <f t="shared" ref="D21:I21" si="21">D7+D9+D11+D17</f>
        <v>229189</v>
      </c>
      <c r="E21" s="330">
        <f t="shared" si="21"/>
        <v>230828</v>
      </c>
      <c r="F21" s="330">
        <f t="shared" si="21"/>
        <v>232287</v>
      </c>
      <c r="G21" s="330">
        <f t="shared" si="21"/>
        <v>230805</v>
      </c>
      <c r="H21" s="330">
        <f t="shared" si="21"/>
        <v>229227</v>
      </c>
      <c r="I21" s="330">
        <f t="shared" si="21"/>
        <v>229175</v>
      </c>
      <c r="J21" s="330">
        <f t="shared" ref="J21:K21" si="22">J7+J9+J11+J17</f>
        <v>226093</v>
      </c>
      <c r="K21" s="330">
        <f t="shared" si="22"/>
        <v>230366</v>
      </c>
      <c r="L21" s="330">
        <f t="shared" ref="L21" si="23">L7+L9+L11+L17</f>
        <v>230969</v>
      </c>
    </row>
    <row r="22" spans="1:18">
      <c r="D22" s="331"/>
      <c r="E22" s="331"/>
      <c r="F22" s="331"/>
      <c r="G22" s="331"/>
      <c r="H22" s="331"/>
      <c r="I22" s="331"/>
      <c r="J22" s="331"/>
      <c r="K22" s="331"/>
      <c r="L22" s="331"/>
    </row>
    <row r="23" spans="1:18">
      <c r="A23" s="236" t="s">
        <v>8698</v>
      </c>
      <c r="D23" s="330">
        <f t="shared" ref="D23:I23" si="24">MAX(D7,D9,D11,D13,D15,D19)-MIN(D7,D9,D11,D13,D15,D19)</f>
        <v>3543</v>
      </c>
      <c r="E23" s="330">
        <f t="shared" si="24"/>
        <v>3891</v>
      </c>
      <c r="F23" s="330">
        <f t="shared" si="24"/>
        <v>4139</v>
      </c>
      <c r="G23" s="330">
        <f t="shared" si="24"/>
        <v>4995</v>
      </c>
      <c r="H23" s="330">
        <f t="shared" si="24"/>
        <v>7069</v>
      </c>
      <c r="I23" s="330">
        <f t="shared" si="24"/>
        <v>4978</v>
      </c>
      <c r="J23" s="330">
        <f t="shared" ref="J23:K23" si="25">MAX(J7,J9,J11,J13,J15,J19)-MIN(J7,J9,J11,J13,J15,J19)</f>
        <v>5287</v>
      </c>
      <c r="K23" s="330">
        <f t="shared" si="25"/>
        <v>7768</v>
      </c>
      <c r="L23" s="330">
        <f t="shared" ref="L23" si="26">MAX(L7,L9,L11,L13,L15,L19)-MIN(L7,L9,L11,L13,L15,L19)</f>
        <v>9874</v>
      </c>
    </row>
    <row r="24" spans="1:18">
      <c r="D24" s="331"/>
      <c r="E24" s="331"/>
      <c r="F24" s="331"/>
      <c r="G24" s="331"/>
      <c r="H24" s="331"/>
      <c r="I24" s="331"/>
      <c r="J24" s="331"/>
      <c r="K24" s="331"/>
      <c r="L24" s="331"/>
    </row>
    <row r="25" spans="1:18">
      <c r="A25" s="236" t="s">
        <v>8701</v>
      </c>
      <c r="D25" s="330">
        <f t="shared" ref="D25:I25" si="27">STDEVP(D7,D9,D11,D13,D15,D19)</f>
        <v>1391.5290949966595</v>
      </c>
      <c r="E25" s="330">
        <f t="shared" si="27"/>
        <v>1428.6610281425519</v>
      </c>
      <c r="F25" s="330">
        <f t="shared" si="27"/>
        <v>1468.1216646525663</v>
      </c>
      <c r="G25" s="330">
        <f t="shared" si="27"/>
        <v>1861.0064854505179</v>
      </c>
      <c r="H25" s="330">
        <f t="shared" si="27"/>
        <v>2337.999910892499</v>
      </c>
      <c r="I25" s="330">
        <f t="shared" si="27"/>
        <v>1921.4035162407249</v>
      </c>
      <c r="J25" s="330">
        <f t="shared" ref="J25:K25" si="28">STDEVP(J7,J9,J11,J13,J15,J19)</f>
        <v>1987.7109741274426</v>
      </c>
      <c r="K25" s="330">
        <f t="shared" si="28"/>
        <v>2718.0720751215476</v>
      </c>
      <c r="L25" s="330">
        <f t="shared" ref="L25" si="29">STDEVP(L7,L9,L11,L13,L15,L19)</f>
        <v>3318.8248129253357</v>
      </c>
    </row>
    <row r="26" spans="1:18">
      <c r="D26" s="331"/>
      <c r="E26" s="331"/>
      <c r="F26" s="331"/>
      <c r="G26" s="331"/>
      <c r="H26" s="331"/>
      <c r="I26" s="331"/>
      <c r="J26" s="331"/>
      <c r="K26" s="331"/>
      <c r="L26" s="331"/>
    </row>
    <row r="27" spans="1:18">
      <c r="A27" s="236" t="s">
        <v>6957</v>
      </c>
      <c r="B27" s="236" t="s">
        <v>4492</v>
      </c>
      <c r="C27" s="4" t="s">
        <v>639</v>
      </c>
      <c r="D27" s="334">
        <v>11484</v>
      </c>
      <c r="E27" s="334">
        <v>11608</v>
      </c>
      <c r="F27" s="334">
        <v>11743</v>
      </c>
      <c r="G27" s="334">
        <v>11557</v>
      </c>
      <c r="H27" s="30">
        <v>11420</v>
      </c>
      <c r="I27" s="30">
        <v>11358</v>
      </c>
      <c r="J27" s="30">
        <v>11129</v>
      </c>
      <c r="K27" s="30">
        <v>11325</v>
      </c>
      <c r="L27" s="30">
        <v>11321</v>
      </c>
      <c r="N27" s="236" t="s">
        <v>4486</v>
      </c>
      <c r="P27" s="4"/>
      <c r="R27" s="4"/>
    </row>
    <row r="28" spans="1:18">
      <c r="A28" s="236" t="s">
        <v>6959</v>
      </c>
      <c r="B28" s="236" t="s">
        <v>4493</v>
      </c>
      <c r="C28" s="4" t="s">
        <v>640</v>
      </c>
      <c r="D28" s="334">
        <v>7889</v>
      </c>
      <c r="E28" s="334">
        <v>7897</v>
      </c>
      <c r="F28" s="334">
        <v>7935</v>
      </c>
      <c r="G28" s="334">
        <v>7914</v>
      </c>
      <c r="H28" s="31">
        <v>7795</v>
      </c>
      <c r="I28" s="31">
        <v>7791</v>
      </c>
      <c r="J28" s="31">
        <v>7747</v>
      </c>
      <c r="K28" s="31">
        <v>7823</v>
      </c>
      <c r="L28" s="31">
        <v>7830</v>
      </c>
      <c r="N28" s="236" t="s">
        <v>4487</v>
      </c>
      <c r="P28" s="4"/>
      <c r="R28" s="4"/>
    </row>
    <row r="29" spans="1:18">
      <c r="A29" s="236" t="s">
        <v>6961</v>
      </c>
      <c r="B29" s="236" t="s">
        <v>4494</v>
      </c>
      <c r="C29" s="4" t="s">
        <v>641</v>
      </c>
      <c r="D29" s="233">
        <v>11168</v>
      </c>
      <c r="E29" s="233">
        <v>11270</v>
      </c>
      <c r="F29" s="233">
        <v>11541</v>
      </c>
      <c r="G29" s="233">
        <v>11705</v>
      </c>
      <c r="H29" s="30">
        <v>11838</v>
      </c>
      <c r="I29" s="30">
        <v>11821</v>
      </c>
      <c r="J29" s="30">
        <v>11891</v>
      </c>
      <c r="K29" s="30">
        <v>12207</v>
      </c>
      <c r="L29" s="30">
        <v>12293</v>
      </c>
      <c r="N29" s="236" t="s">
        <v>4484</v>
      </c>
      <c r="P29" s="4"/>
      <c r="R29" s="4"/>
    </row>
    <row r="30" spans="1:18">
      <c r="A30" s="236" t="s">
        <v>6963</v>
      </c>
      <c r="B30" s="236" t="s">
        <v>4495</v>
      </c>
      <c r="C30" s="4" t="s">
        <v>642</v>
      </c>
      <c r="D30" s="334">
        <v>11989</v>
      </c>
      <c r="E30" s="334">
        <v>12057</v>
      </c>
      <c r="F30" s="334">
        <v>12168</v>
      </c>
      <c r="G30" s="334">
        <v>12106</v>
      </c>
      <c r="H30" s="30">
        <v>12015</v>
      </c>
      <c r="I30" s="30">
        <v>11961</v>
      </c>
      <c r="J30" s="30">
        <v>11671</v>
      </c>
      <c r="K30" s="30">
        <v>12119</v>
      </c>
      <c r="L30" s="30">
        <v>12189</v>
      </c>
      <c r="N30" s="236" t="s">
        <v>4486</v>
      </c>
      <c r="P30" s="4"/>
      <c r="R30" s="4"/>
    </row>
    <row r="31" spans="1:18">
      <c r="A31" s="335">
        <v>5</v>
      </c>
      <c r="B31" s="236" t="s">
        <v>4496</v>
      </c>
      <c r="C31" s="4" t="s">
        <v>643</v>
      </c>
      <c r="D31" s="334">
        <v>11216</v>
      </c>
      <c r="E31" s="334">
        <v>11298</v>
      </c>
      <c r="F31" s="334">
        <v>11323</v>
      </c>
      <c r="G31" s="334">
        <v>11221</v>
      </c>
      <c r="H31" s="31">
        <v>11197</v>
      </c>
      <c r="I31" s="31">
        <v>11202</v>
      </c>
      <c r="J31" s="31">
        <v>10957</v>
      </c>
      <c r="K31" s="31">
        <v>11161</v>
      </c>
      <c r="L31" s="31">
        <v>11078</v>
      </c>
      <c r="N31" s="236" t="s">
        <v>4487</v>
      </c>
      <c r="P31" s="4"/>
      <c r="R31" s="4"/>
    </row>
    <row r="32" spans="1:18">
      <c r="A32" s="236" t="s">
        <v>6997</v>
      </c>
      <c r="B32" s="236" t="s">
        <v>4497</v>
      </c>
      <c r="C32" s="4" t="s">
        <v>644</v>
      </c>
      <c r="D32" s="334">
        <v>11527</v>
      </c>
      <c r="E32" s="334">
        <v>11481</v>
      </c>
      <c r="F32" s="334">
        <v>11572</v>
      </c>
      <c r="G32" s="334">
        <v>11537</v>
      </c>
      <c r="H32" s="30">
        <v>11522</v>
      </c>
      <c r="I32" s="30">
        <v>11577</v>
      </c>
      <c r="J32" s="30">
        <v>11512</v>
      </c>
      <c r="K32" s="30">
        <v>11790</v>
      </c>
      <c r="L32" s="30">
        <v>11680</v>
      </c>
      <c r="N32" s="236" t="s">
        <v>4486</v>
      </c>
      <c r="P32" s="4"/>
      <c r="R32" s="4"/>
    </row>
    <row r="33" spans="1:18">
      <c r="A33" s="236" t="s">
        <v>6999</v>
      </c>
      <c r="B33" s="236" t="s">
        <v>4498</v>
      </c>
      <c r="C33" s="4" t="s">
        <v>645</v>
      </c>
      <c r="D33" s="334">
        <v>11145</v>
      </c>
      <c r="E33" s="334">
        <v>11259</v>
      </c>
      <c r="F33" s="334">
        <v>11406</v>
      </c>
      <c r="G33" s="334">
        <v>11227</v>
      </c>
      <c r="H33" s="30">
        <v>11228</v>
      </c>
      <c r="I33" s="30">
        <v>11178</v>
      </c>
      <c r="J33" s="30">
        <v>10932</v>
      </c>
      <c r="K33" s="30">
        <v>11135</v>
      </c>
      <c r="L33" s="30">
        <v>11279</v>
      </c>
      <c r="N33" s="328" t="s">
        <v>4491</v>
      </c>
      <c r="P33" s="4"/>
      <c r="R33" s="4"/>
    </row>
    <row r="34" spans="1:18">
      <c r="A34" s="236" t="s">
        <v>7001</v>
      </c>
      <c r="B34" s="236" t="s">
        <v>4499</v>
      </c>
      <c r="C34" s="4" t="s">
        <v>646</v>
      </c>
      <c r="D34" s="334">
        <v>11701</v>
      </c>
      <c r="E34" s="334">
        <v>11822</v>
      </c>
      <c r="F34" s="334">
        <v>11920</v>
      </c>
      <c r="G34" s="334">
        <v>11697</v>
      </c>
      <c r="H34" s="30">
        <v>11406</v>
      </c>
      <c r="I34" s="30">
        <v>11269</v>
      </c>
      <c r="J34" s="30">
        <v>11254</v>
      </c>
      <c r="K34" s="30">
        <v>11549</v>
      </c>
      <c r="L34" s="30">
        <v>11497</v>
      </c>
      <c r="N34" s="236" t="s">
        <v>4484</v>
      </c>
      <c r="P34" s="4"/>
      <c r="R34" s="4"/>
    </row>
    <row r="35" spans="1:18">
      <c r="A35" s="236" t="s">
        <v>7003</v>
      </c>
      <c r="B35" s="236" t="s">
        <v>2764</v>
      </c>
      <c r="C35" s="4" t="s">
        <v>647</v>
      </c>
      <c r="D35" s="334">
        <v>10821</v>
      </c>
      <c r="E35" s="334">
        <v>10954</v>
      </c>
      <c r="F35" s="334">
        <v>11001</v>
      </c>
      <c r="G35" s="334">
        <v>10937</v>
      </c>
      <c r="H35" s="31">
        <v>10650</v>
      </c>
      <c r="I35" s="31">
        <v>10693</v>
      </c>
      <c r="J35" s="31">
        <v>10685</v>
      </c>
      <c r="K35" s="31">
        <v>10810</v>
      </c>
      <c r="L35" s="31">
        <v>10883</v>
      </c>
      <c r="N35" s="236" t="s">
        <v>4487</v>
      </c>
      <c r="P35" s="4"/>
      <c r="R35" s="4"/>
    </row>
    <row r="36" spans="1:18">
      <c r="A36" s="236" t="s">
        <v>7005</v>
      </c>
      <c r="B36" s="236" t="s">
        <v>2765</v>
      </c>
      <c r="C36" s="4" t="s">
        <v>648</v>
      </c>
      <c r="D36" s="334">
        <v>11829</v>
      </c>
      <c r="E36" s="334">
        <v>11894</v>
      </c>
      <c r="F36" s="334">
        <v>11928</v>
      </c>
      <c r="G36" s="334">
        <v>11817</v>
      </c>
      <c r="H36" s="30">
        <v>11785</v>
      </c>
      <c r="I36" s="30">
        <v>11765</v>
      </c>
      <c r="J36" s="30">
        <v>11553</v>
      </c>
      <c r="K36" s="30">
        <v>11535</v>
      </c>
      <c r="L36" s="30">
        <v>11697</v>
      </c>
      <c r="N36" s="236" t="s">
        <v>4486</v>
      </c>
      <c r="P36" s="4"/>
      <c r="R36" s="4"/>
    </row>
    <row r="37" spans="1:18">
      <c r="A37" s="236" t="s">
        <v>7007</v>
      </c>
      <c r="B37" s="236" t="s">
        <v>2766</v>
      </c>
      <c r="C37" s="4" t="s">
        <v>649</v>
      </c>
      <c r="D37" s="334">
        <v>7791</v>
      </c>
      <c r="E37" s="334">
        <v>7907</v>
      </c>
      <c r="F37" s="334">
        <v>7929</v>
      </c>
      <c r="G37" s="334">
        <v>7869</v>
      </c>
      <c r="H37" s="30">
        <v>7534</v>
      </c>
      <c r="I37" s="30">
        <v>7685</v>
      </c>
      <c r="J37" s="30">
        <v>7783</v>
      </c>
      <c r="K37" s="30">
        <v>8128</v>
      </c>
      <c r="L37" s="30">
        <v>8153</v>
      </c>
      <c r="N37" s="328" t="s">
        <v>4491</v>
      </c>
      <c r="P37" s="4"/>
      <c r="R37" s="4"/>
    </row>
    <row r="38" spans="1:18">
      <c r="A38" s="236" t="s">
        <v>7009</v>
      </c>
      <c r="B38" s="236" t="s">
        <v>2767</v>
      </c>
      <c r="C38" s="4" t="s">
        <v>650</v>
      </c>
      <c r="D38" s="334">
        <v>4007</v>
      </c>
      <c r="E38" s="334">
        <v>4070</v>
      </c>
      <c r="F38" s="334">
        <v>4061</v>
      </c>
      <c r="G38" s="334">
        <v>4057</v>
      </c>
      <c r="H38" s="31">
        <v>3990</v>
      </c>
      <c r="I38" s="31">
        <v>4009</v>
      </c>
      <c r="J38" s="31">
        <v>4041</v>
      </c>
      <c r="K38" s="31">
        <v>4118</v>
      </c>
      <c r="L38" s="31">
        <v>4124</v>
      </c>
      <c r="N38" s="236" t="s">
        <v>4487</v>
      </c>
      <c r="P38" s="4"/>
      <c r="R38" s="4"/>
    </row>
    <row r="39" spans="1:18">
      <c r="A39" s="236" t="s">
        <v>7011</v>
      </c>
      <c r="B39" s="236" t="s">
        <v>2768</v>
      </c>
      <c r="C39" s="4" t="s">
        <v>651</v>
      </c>
      <c r="D39" s="334">
        <v>11380</v>
      </c>
      <c r="E39" s="334">
        <v>11500</v>
      </c>
      <c r="F39" s="334">
        <v>11544</v>
      </c>
      <c r="G39" s="334">
        <v>11528</v>
      </c>
      <c r="H39" s="31">
        <v>11542</v>
      </c>
      <c r="I39" s="31">
        <v>11594</v>
      </c>
      <c r="J39" s="31">
        <v>11388</v>
      </c>
      <c r="K39" s="31">
        <v>11584</v>
      </c>
      <c r="L39" s="31">
        <v>11571</v>
      </c>
      <c r="N39" s="236" t="s">
        <v>4487</v>
      </c>
      <c r="P39" s="4"/>
      <c r="R39" s="4"/>
    </row>
    <row r="40" spans="1:18">
      <c r="A40" s="236" t="s">
        <v>7013</v>
      </c>
      <c r="B40" s="236" t="s">
        <v>2769</v>
      </c>
      <c r="C40" s="4" t="s">
        <v>652</v>
      </c>
      <c r="D40" s="233">
        <v>12332</v>
      </c>
      <c r="E40" s="233">
        <v>12312</v>
      </c>
      <c r="F40" s="233">
        <v>12356</v>
      </c>
      <c r="G40" s="233">
        <v>12386</v>
      </c>
      <c r="H40" s="30">
        <v>12369</v>
      </c>
      <c r="I40" s="30">
        <v>12329</v>
      </c>
      <c r="J40" s="30">
        <v>12135</v>
      </c>
      <c r="K40" s="30">
        <v>12419</v>
      </c>
      <c r="L40" s="30">
        <v>12425</v>
      </c>
      <c r="N40" s="236" t="s">
        <v>4484</v>
      </c>
      <c r="P40" s="4"/>
      <c r="R40" s="4"/>
    </row>
    <row r="41" spans="1:18">
      <c r="A41" s="236" t="s">
        <v>7015</v>
      </c>
      <c r="B41" s="236" t="s">
        <v>2770</v>
      </c>
      <c r="C41" s="4" t="s">
        <v>653</v>
      </c>
      <c r="D41" s="334">
        <v>11834</v>
      </c>
      <c r="E41" s="334">
        <v>11934</v>
      </c>
      <c r="F41" s="334">
        <v>12014</v>
      </c>
      <c r="G41" s="334">
        <v>11975</v>
      </c>
      <c r="H41" s="30">
        <v>11940</v>
      </c>
      <c r="I41" s="30">
        <v>11972</v>
      </c>
      <c r="J41" s="30">
        <v>11872</v>
      </c>
      <c r="K41" s="30">
        <v>12022</v>
      </c>
      <c r="L41" s="30">
        <v>12064</v>
      </c>
      <c r="N41" s="236" t="s">
        <v>4484</v>
      </c>
      <c r="P41" s="4"/>
      <c r="R41" s="4"/>
    </row>
    <row r="42" spans="1:18">
      <c r="A42" s="236" t="s">
        <v>7017</v>
      </c>
      <c r="B42" s="236" t="s">
        <v>4471</v>
      </c>
      <c r="C42" s="4" t="s">
        <v>654</v>
      </c>
      <c r="D42" s="334">
        <v>7169</v>
      </c>
      <c r="E42" s="334">
        <v>7192</v>
      </c>
      <c r="F42" s="334">
        <v>7213</v>
      </c>
      <c r="G42" s="334">
        <v>7123</v>
      </c>
      <c r="H42" s="30">
        <v>6950</v>
      </c>
      <c r="I42" s="30">
        <v>6943</v>
      </c>
      <c r="J42" s="30">
        <v>6701</v>
      </c>
      <c r="K42" s="30">
        <v>6778</v>
      </c>
      <c r="L42" s="30">
        <v>6787</v>
      </c>
      <c r="N42" s="236" t="s">
        <v>4486</v>
      </c>
      <c r="P42" s="4"/>
      <c r="R42" s="4"/>
    </row>
    <row r="43" spans="1:18">
      <c r="A43" s="236" t="s">
        <v>7019</v>
      </c>
      <c r="B43" s="236" t="s">
        <v>4472</v>
      </c>
      <c r="C43" s="4" t="s">
        <v>655</v>
      </c>
      <c r="D43" s="334">
        <v>11635</v>
      </c>
      <c r="E43" s="334">
        <v>11697</v>
      </c>
      <c r="F43" s="334">
        <v>11619</v>
      </c>
      <c r="G43" s="334">
        <v>11616</v>
      </c>
      <c r="H43" s="31">
        <v>11724</v>
      </c>
      <c r="I43" s="31">
        <v>11698</v>
      </c>
      <c r="J43" s="31">
        <v>11479</v>
      </c>
      <c r="K43" s="31">
        <v>11740</v>
      </c>
      <c r="L43" s="31">
        <v>11820</v>
      </c>
      <c r="N43" s="236" t="s">
        <v>4487</v>
      </c>
      <c r="P43" s="4"/>
      <c r="R43" s="4"/>
    </row>
    <row r="44" spans="1:18">
      <c r="A44" s="236" t="s">
        <v>7021</v>
      </c>
      <c r="B44" s="236" t="s">
        <v>4473</v>
      </c>
      <c r="C44" s="4" t="s">
        <v>656</v>
      </c>
      <c r="D44" s="334">
        <v>11249</v>
      </c>
      <c r="E44" s="334">
        <v>11463</v>
      </c>
      <c r="F44" s="334">
        <v>11600</v>
      </c>
      <c r="G44" s="334">
        <v>11449</v>
      </c>
      <c r="H44" s="30">
        <v>11392</v>
      </c>
      <c r="I44" s="30">
        <v>11479</v>
      </c>
      <c r="J44" s="30">
        <v>11248</v>
      </c>
      <c r="K44" s="30">
        <v>11424</v>
      </c>
      <c r="L44" s="30">
        <v>11490</v>
      </c>
      <c r="N44" s="328" t="s">
        <v>4491</v>
      </c>
      <c r="P44" s="4"/>
      <c r="R44" s="4"/>
    </row>
    <row r="45" spans="1:18">
      <c r="A45" s="236" t="s">
        <v>7023</v>
      </c>
      <c r="B45" s="236" t="s">
        <v>4474</v>
      </c>
      <c r="C45" s="4" t="s">
        <v>657</v>
      </c>
      <c r="D45" s="334">
        <v>10817</v>
      </c>
      <c r="E45" s="334">
        <v>10805</v>
      </c>
      <c r="F45" s="334">
        <v>10799</v>
      </c>
      <c r="G45" s="334">
        <v>10750</v>
      </c>
      <c r="H45" s="31">
        <v>10694</v>
      </c>
      <c r="I45" s="31">
        <v>10636</v>
      </c>
      <c r="J45" s="31">
        <v>10427</v>
      </c>
      <c r="K45" s="31">
        <v>10601</v>
      </c>
      <c r="L45" s="31">
        <v>10515</v>
      </c>
      <c r="N45" s="236" t="s">
        <v>4487</v>
      </c>
      <c r="P45" s="4"/>
      <c r="R45" s="4"/>
    </row>
    <row r="46" spans="1:18">
      <c r="A46" s="236" t="s">
        <v>7025</v>
      </c>
      <c r="B46" s="236" t="s">
        <v>6244</v>
      </c>
      <c r="C46" s="4" t="s">
        <v>658</v>
      </c>
      <c r="D46" s="334">
        <v>11212</v>
      </c>
      <c r="E46" s="334">
        <v>11276</v>
      </c>
      <c r="F46" s="334">
        <v>11261</v>
      </c>
      <c r="G46" s="334">
        <v>11043</v>
      </c>
      <c r="H46" s="30">
        <v>10890</v>
      </c>
      <c r="I46" s="30">
        <v>10952</v>
      </c>
      <c r="J46" s="30">
        <v>10773</v>
      </c>
      <c r="K46" s="30">
        <v>10905</v>
      </c>
      <c r="L46" s="30">
        <v>11028</v>
      </c>
      <c r="N46" s="236" t="s">
        <v>4486</v>
      </c>
      <c r="P46" s="4"/>
      <c r="R46" s="4"/>
    </row>
    <row r="47" spans="1:18">
      <c r="A47" s="236" t="s">
        <v>7570</v>
      </c>
      <c r="B47" s="236" t="s">
        <v>6245</v>
      </c>
      <c r="C47" s="4" t="s">
        <v>659</v>
      </c>
      <c r="D47" s="336">
        <v>7471</v>
      </c>
      <c r="E47" s="336">
        <v>7535</v>
      </c>
      <c r="F47" s="336">
        <v>7641</v>
      </c>
      <c r="G47" s="336">
        <v>7585</v>
      </c>
      <c r="H47" s="30">
        <v>7504</v>
      </c>
      <c r="I47" s="30">
        <v>7430</v>
      </c>
      <c r="J47" s="30">
        <v>7221</v>
      </c>
      <c r="K47" s="30">
        <v>7455</v>
      </c>
      <c r="L47" s="30">
        <v>7396</v>
      </c>
      <c r="N47" s="236" t="s">
        <v>4484</v>
      </c>
      <c r="P47" s="4"/>
      <c r="R47" s="4"/>
    </row>
    <row r="48" spans="1:18">
      <c r="A48" s="236" t="s">
        <v>7572</v>
      </c>
      <c r="B48" s="236" t="s">
        <v>6246</v>
      </c>
      <c r="C48" s="4" t="s">
        <v>660</v>
      </c>
      <c r="D48" s="334">
        <v>11523</v>
      </c>
      <c r="E48" s="334">
        <v>11597</v>
      </c>
      <c r="F48" s="334">
        <v>11713</v>
      </c>
      <c r="G48" s="334">
        <v>11706</v>
      </c>
      <c r="H48" s="30">
        <v>11842</v>
      </c>
      <c r="I48" s="30">
        <v>11833</v>
      </c>
      <c r="J48" s="30">
        <v>11694</v>
      </c>
      <c r="K48" s="30">
        <v>11738</v>
      </c>
      <c r="L48" s="30">
        <v>11849</v>
      </c>
      <c r="N48" s="236" t="s">
        <v>4484</v>
      </c>
      <c r="P48" s="4"/>
      <c r="R48" s="4"/>
    </row>
    <row r="50" spans="1:1">
      <c r="A50" s="328" t="s">
        <v>6247</v>
      </c>
    </row>
    <row r="51" spans="1:1">
      <c r="A51" s="328" t="s">
        <v>6248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5 E5:E25 F5:F25 G5:G25 H3:H4 H5:H25 I3:I11 I21:I25 J3:J25 K3:K25 L3:L25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179"/>
  <sheetViews>
    <sheetView showGridLines="0" zoomScaleNormal="100" workbookViewId="0"/>
  </sheetViews>
  <sheetFormatPr defaultColWidth="12.5703125" defaultRowHeight="15"/>
  <cols>
    <col min="1" max="1" width="4.85546875" style="25" customWidth="1"/>
    <col min="2" max="2" width="43" style="25" customWidth="1"/>
    <col min="3" max="3" width="11.5703125" style="25" customWidth="1"/>
    <col min="4" max="12" width="10" style="25" customWidth="1"/>
    <col min="13" max="13" width="2.42578125" style="25" customWidth="1"/>
    <col min="14" max="14" width="33.140625" style="25" customWidth="1"/>
    <col min="15" max="16384" width="12.5703125" style="25"/>
  </cols>
  <sheetData>
    <row r="1" spans="1:14">
      <c r="A1" s="29" t="s">
        <v>8847</v>
      </c>
      <c r="D1" s="24">
        <v>2010</v>
      </c>
      <c r="E1" s="24">
        <v>2011</v>
      </c>
      <c r="F1" s="24">
        <v>2012</v>
      </c>
      <c r="G1" s="24">
        <v>2013</v>
      </c>
      <c r="H1" s="24">
        <v>2014</v>
      </c>
      <c r="I1" s="24">
        <v>2015</v>
      </c>
      <c r="J1" s="24">
        <v>2016</v>
      </c>
      <c r="K1" s="24">
        <v>2017</v>
      </c>
      <c r="L1" s="24">
        <v>2018</v>
      </c>
    </row>
    <row r="3" spans="1:14">
      <c r="A3" s="29" t="s">
        <v>3297</v>
      </c>
      <c r="C3" s="29"/>
      <c r="D3" s="28">
        <f t="shared" ref="D3:I3" si="0">SUM(D5:D8)</f>
        <v>370704</v>
      </c>
      <c r="E3" s="28">
        <f t="shared" si="0"/>
        <v>374380</v>
      </c>
      <c r="F3" s="28">
        <f t="shared" si="0"/>
        <v>376345</v>
      </c>
      <c r="G3" s="28">
        <f t="shared" si="0"/>
        <v>377748</v>
      </c>
      <c r="H3" s="28">
        <f t="shared" si="0"/>
        <v>385937</v>
      </c>
      <c r="I3" s="28">
        <f t="shared" si="0"/>
        <v>379056</v>
      </c>
      <c r="J3" s="28">
        <f t="shared" ref="J3:K3" si="1">SUM(J5:J8)</f>
        <v>366601</v>
      </c>
      <c r="K3" s="28">
        <f t="shared" si="1"/>
        <v>382221</v>
      </c>
      <c r="L3" s="28">
        <f t="shared" ref="L3" si="2">SUM(L5:L8)</f>
        <v>385850</v>
      </c>
    </row>
    <row r="4" spans="1:14">
      <c r="D4" s="27"/>
      <c r="E4" s="27"/>
      <c r="F4" s="27"/>
      <c r="G4" s="27"/>
      <c r="H4" s="27"/>
      <c r="I4" s="27"/>
      <c r="J4" s="27"/>
      <c r="K4" s="27"/>
      <c r="L4" s="27"/>
    </row>
    <row r="5" spans="1:14">
      <c r="A5" s="29" t="s">
        <v>7953</v>
      </c>
      <c r="C5" s="29"/>
      <c r="D5" s="28">
        <f t="shared" ref="D5:I5" si="3">D37</f>
        <v>129328</v>
      </c>
      <c r="E5" s="28">
        <f t="shared" si="3"/>
        <v>130566</v>
      </c>
      <c r="F5" s="28">
        <f t="shared" si="3"/>
        <v>131781</v>
      </c>
      <c r="G5" s="28">
        <f t="shared" si="3"/>
        <v>133964</v>
      </c>
      <c r="H5" s="28">
        <f t="shared" si="3"/>
        <v>135862</v>
      </c>
      <c r="I5" s="28">
        <f t="shared" si="3"/>
        <v>132570</v>
      </c>
      <c r="J5" s="28">
        <f t="shared" ref="J5:K5" si="4">J37</f>
        <v>128777</v>
      </c>
      <c r="K5" s="28">
        <f t="shared" si="4"/>
        <v>134947</v>
      </c>
      <c r="L5" s="28">
        <f t="shared" ref="L5" si="5">L37</f>
        <v>137545</v>
      </c>
      <c r="N5" s="538"/>
    </row>
    <row r="6" spans="1:14">
      <c r="A6" s="29" t="s">
        <v>7954</v>
      </c>
      <c r="C6" s="29"/>
      <c r="D6" s="28">
        <f t="shared" ref="D6:I6" si="6">D88</f>
        <v>70021</v>
      </c>
      <c r="E6" s="28">
        <f t="shared" si="6"/>
        <v>70723</v>
      </c>
      <c r="F6" s="28">
        <f t="shared" si="6"/>
        <v>71302</v>
      </c>
      <c r="G6" s="28">
        <f t="shared" si="6"/>
        <v>71912</v>
      </c>
      <c r="H6" s="28">
        <f t="shared" si="6"/>
        <v>72319</v>
      </c>
      <c r="I6" s="28">
        <f t="shared" si="6"/>
        <v>72231</v>
      </c>
      <c r="J6" s="28">
        <f t="shared" ref="J6:K6" si="7">J88</f>
        <v>68560</v>
      </c>
      <c r="K6" s="28">
        <f t="shared" si="7"/>
        <v>70675</v>
      </c>
      <c r="L6" s="28">
        <f t="shared" ref="L6" si="8">L88</f>
        <v>71259</v>
      </c>
      <c r="N6" s="538"/>
    </row>
    <row r="7" spans="1:14">
      <c r="A7" s="29" t="s">
        <v>7955</v>
      </c>
      <c r="C7" s="29"/>
      <c r="D7" s="28">
        <f t="shared" ref="D7:I7" si="9">D123</f>
        <v>49691</v>
      </c>
      <c r="E7" s="28">
        <f t="shared" si="9"/>
        <v>50557</v>
      </c>
      <c r="F7" s="28">
        <f t="shared" si="9"/>
        <v>51242</v>
      </c>
      <c r="G7" s="28">
        <f t="shared" si="9"/>
        <v>51578</v>
      </c>
      <c r="H7" s="28">
        <f t="shared" si="9"/>
        <v>51855</v>
      </c>
      <c r="I7" s="28">
        <f t="shared" si="9"/>
        <v>51622</v>
      </c>
      <c r="J7" s="28">
        <f t="shared" ref="J7:K7" si="10">J123</f>
        <v>50332</v>
      </c>
      <c r="K7" s="28">
        <f t="shared" si="10"/>
        <v>51876</v>
      </c>
      <c r="L7" s="28">
        <f t="shared" ref="L7" si="11">L123</f>
        <v>51857</v>
      </c>
      <c r="N7" s="538"/>
    </row>
    <row r="8" spans="1:14">
      <c r="A8" s="29" t="s">
        <v>7956</v>
      </c>
      <c r="C8" s="29"/>
      <c r="D8" s="28">
        <f t="shared" ref="D8:I8" si="12">D144</f>
        <v>121664</v>
      </c>
      <c r="E8" s="28">
        <f t="shared" si="12"/>
        <v>122534</v>
      </c>
      <c r="F8" s="28">
        <f t="shared" si="12"/>
        <v>122020</v>
      </c>
      <c r="G8" s="28">
        <f t="shared" si="12"/>
        <v>120294</v>
      </c>
      <c r="H8" s="28">
        <f t="shared" si="12"/>
        <v>125901</v>
      </c>
      <c r="I8" s="28">
        <f t="shared" si="12"/>
        <v>122633</v>
      </c>
      <c r="J8" s="28">
        <f t="shared" ref="J8:K8" si="13">J144</f>
        <v>118932</v>
      </c>
      <c r="K8" s="28">
        <f t="shared" si="13"/>
        <v>124723</v>
      </c>
      <c r="L8" s="28">
        <f t="shared" ref="L8" si="14">L144</f>
        <v>125189</v>
      </c>
      <c r="N8" s="538"/>
    </row>
    <row r="10" spans="1:14">
      <c r="A10" s="29" t="s">
        <v>7122</v>
      </c>
      <c r="D10" s="28">
        <f t="shared" ref="D10:I10" si="15">D3/5</f>
        <v>74140.800000000003</v>
      </c>
      <c r="E10" s="28">
        <f t="shared" si="15"/>
        <v>74876</v>
      </c>
      <c r="F10" s="28">
        <f t="shared" si="15"/>
        <v>75269</v>
      </c>
      <c r="G10" s="28">
        <f t="shared" si="15"/>
        <v>75549.600000000006</v>
      </c>
      <c r="H10" s="28">
        <f t="shared" si="15"/>
        <v>77187.399999999994</v>
      </c>
      <c r="I10" s="28">
        <f t="shared" si="15"/>
        <v>75811.199999999997</v>
      </c>
      <c r="J10" s="28">
        <f t="shared" ref="J10:K10" si="16">J3/5</f>
        <v>73320.2</v>
      </c>
      <c r="K10" s="28">
        <f t="shared" si="16"/>
        <v>76444.2</v>
      </c>
      <c r="L10" s="28">
        <f t="shared" ref="L10" si="17">L3/5</f>
        <v>77170</v>
      </c>
    </row>
    <row r="11" spans="1:14">
      <c r="D11" s="27"/>
      <c r="E11" s="27"/>
      <c r="F11" s="27"/>
      <c r="G11" s="27"/>
      <c r="H11" s="27"/>
      <c r="I11" s="27"/>
      <c r="J11" s="27"/>
      <c r="K11" s="27"/>
      <c r="L11" s="27"/>
    </row>
    <row r="12" spans="1:14">
      <c r="A12" s="29" t="s">
        <v>7123</v>
      </c>
      <c r="D12" s="28">
        <f t="shared" ref="D12:I12" si="18">D80</f>
        <v>63083</v>
      </c>
      <c r="E12" s="28">
        <f t="shared" si="18"/>
        <v>63581</v>
      </c>
      <c r="F12" s="28">
        <f t="shared" si="18"/>
        <v>64239</v>
      </c>
      <c r="G12" s="28">
        <f t="shared" si="18"/>
        <v>65283</v>
      </c>
      <c r="H12" s="28">
        <f t="shared" si="18"/>
        <v>66358</v>
      </c>
      <c r="I12" s="28">
        <f t="shared" si="18"/>
        <v>64408</v>
      </c>
      <c r="J12" s="28">
        <f t="shared" ref="J12:K12" si="19">J80</f>
        <v>62648</v>
      </c>
      <c r="K12" s="28">
        <f t="shared" si="19"/>
        <v>65558</v>
      </c>
      <c r="L12" s="28">
        <f t="shared" ref="L12" si="20">L80</f>
        <v>67004</v>
      </c>
      <c r="N12" s="29" t="s">
        <v>7124</v>
      </c>
    </row>
    <row r="13" spans="1:14" ht="15.75" thickBot="1">
      <c r="D13" s="539">
        <f t="shared" ref="D13:I13" si="21">D174</f>
        <v>14934</v>
      </c>
      <c r="E13" s="539">
        <f t="shared" si="21"/>
        <v>15169</v>
      </c>
      <c r="F13" s="539">
        <f t="shared" si="21"/>
        <v>15210</v>
      </c>
      <c r="G13" s="539">
        <f t="shared" si="21"/>
        <v>15126</v>
      </c>
      <c r="H13" s="539">
        <f t="shared" si="21"/>
        <v>15370</v>
      </c>
      <c r="I13" s="539">
        <f t="shared" si="21"/>
        <v>15256</v>
      </c>
      <c r="J13" s="539">
        <f t="shared" ref="J13:K13" si="22">J174</f>
        <v>14815</v>
      </c>
      <c r="K13" s="539">
        <f t="shared" si="22"/>
        <v>15388</v>
      </c>
      <c r="L13" s="539">
        <f t="shared" ref="L13" si="23">L174</f>
        <v>15444</v>
      </c>
      <c r="N13" s="29" t="s">
        <v>7125</v>
      </c>
    </row>
    <row r="14" spans="1:14" ht="15.75" thickBot="1">
      <c r="D14" s="539">
        <f t="shared" ref="D14:I14" si="24">SUM(D12:D13)</f>
        <v>78017</v>
      </c>
      <c r="E14" s="539">
        <f t="shared" si="24"/>
        <v>78750</v>
      </c>
      <c r="F14" s="539">
        <f t="shared" si="24"/>
        <v>79449</v>
      </c>
      <c r="G14" s="539">
        <f t="shared" si="24"/>
        <v>80409</v>
      </c>
      <c r="H14" s="539">
        <f t="shared" si="24"/>
        <v>81728</v>
      </c>
      <c r="I14" s="539">
        <f t="shared" si="24"/>
        <v>79664</v>
      </c>
      <c r="J14" s="539">
        <f t="shared" ref="J14:K14" si="25">SUM(J12:J13)</f>
        <v>77463</v>
      </c>
      <c r="K14" s="539">
        <f t="shared" si="25"/>
        <v>80946</v>
      </c>
      <c r="L14" s="539">
        <f t="shared" ref="L14" si="26">SUM(L12:L13)</f>
        <v>82448</v>
      </c>
    </row>
    <row r="15" spans="1:14">
      <c r="D15" s="27"/>
      <c r="E15" s="27"/>
      <c r="F15" s="27"/>
      <c r="G15" s="27"/>
      <c r="H15" s="27"/>
      <c r="I15" s="27"/>
      <c r="J15" s="27"/>
      <c r="K15" s="27"/>
      <c r="L15" s="27"/>
    </row>
    <row r="16" spans="1:14">
      <c r="A16" s="29" t="s">
        <v>7126</v>
      </c>
      <c r="D16" s="28">
        <f t="shared" ref="D16:I16" si="27">D137</f>
        <v>49691</v>
      </c>
      <c r="E16" s="28">
        <f t="shared" si="27"/>
        <v>50557</v>
      </c>
      <c r="F16" s="28">
        <f t="shared" si="27"/>
        <v>51242</v>
      </c>
      <c r="G16" s="28">
        <f t="shared" si="27"/>
        <v>51578</v>
      </c>
      <c r="H16" s="28">
        <f t="shared" si="27"/>
        <v>51855</v>
      </c>
      <c r="I16" s="28">
        <f t="shared" si="27"/>
        <v>51622</v>
      </c>
      <c r="J16" s="28">
        <f t="shared" ref="J16:K16" si="28">J137</f>
        <v>50332</v>
      </c>
      <c r="K16" s="28">
        <f t="shared" si="28"/>
        <v>51876</v>
      </c>
      <c r="L16" s="28">
        <f t="shared" ref="L16" si="29">L137</f>
        <v>51857</v>
      </c>
      <c r="N16" s="29" t="s">
        <v>1610</v>
      </c>
    </row>
    <row r="17" spans="1:14" ht="15.75" thickBot="1">
      <c r="D17" s="539">
        <f t="shared" ref="D17:I17" si="30">D175</f>
        <v>24593</v>
      </c>
      <c r="E17" s="539">
        <f t="shared" si="30"/>
        <v>24763</v>
      </c>
      <c r="F17" s="539">
        <f t="shared" si="30"/>
        <v>24565</v>
      </c>
      <c r="G17" s="539">
        <f t="shared" si="30"/>
        <v>24331</v>
      </c>
      <c r="H17" s="539">
        <f t="shared" si="30"/>
        <v>24916</v>
      </c>
      <c r="I17" s="539">
        <f t="shared" si="30"/>
        <v>24359</v>
      </c>
      <c r="J17" s="539">
        <f t="shared" ref="J17:K17" si="31">J175</f>
        <v>23652</v>
      </c>
      <c r="K17" s="539">
        <f t="shared" si="31"/>
        <v>24841</v>
      </c>
      <c r="L17" s="539">
        <f t="shared" ref="L17" si="32">L175</f>
        <v>24725</v>
      </c>
      <c r="N17" s="29" t="s">
        <v>7125</v>
      </c>
    </row>
    <row r="18" spans="1:14" ht="15.75" thickBot="1">
      <c r="D18" s="539">
        <f t="shared" ref="D18:I18" si="33">SUM(D16:D17)</f>
        <v>74284</v>
      </c>
      <c r="E18" s="539">
        <f t="shared" si="33"/>
        <v>75320</v>
      </c>
      <c r="F18" s="539">
        <f t="shared" si="33"/>
        <v>75807</v>
      </c>
      <c r="G18" s="539">
        <f t="shared" si="33"/>
        <v>75909</v>
      </c>
      <c r="H18" s="539">
        <f t="shared" si="33"/>
        <v>76771</v>
      </c>
      <c r="I18" s="539">
        <f t="shared" si="33"/>
        <v>75981</v>
      </c>
      <c r="J18" s="539">
        <f t="shared" ref="J18:K18" si="34">SUM(J16:J17)</f>
        <v>73984</v>
      </c>
      <c r="K18" s="539">
        <f t="shared" si="34"/>
        <v>76717</v>
      </c>
      <c r="L18" s="539">
        <f t="shared" ref="L18" si="35">SUM(L16:L17)</f>
        <v>76582</v>
      </c>
    </row>
    <row r="19" spans="1:14">
      <c r="D19" s="27"/>
      <c r="E19" s="27"/>
      <c r="F19" s="27"/>
      <c r="G19" s="27"/>
      <c r="H19" s="27"/>
      <c r="I19" s="27"/>
      <c r="J19" s="27"/>
      <c r="K19" s="27"/>
      <c r="L19" s="27"/>
    </row>
    <row r="20" spans="1:14">
      <c r="A20" s="29" t="s">
        <v>7127</v>
      </c>
      <c r="D20" s="28">
        <f t="shared" ref="D20:I20" si="36">D81</f>
        <v>66245</v>
      </c>
      <c r="E20" s="28">
        <f t="shared" si="36"/>
        <v>66985</v>
      </c>
      <c r="F20" s="28">
        <f t="shared" si="36"/>
        <v>67542</v>
      </c>
      <c r="G20" s="28">
        <f t="shared" si="36"/>
        <v>68681</v>
      </c>
      <c r="H20" s="28">
        <f t="shared" si="36"/>
        <v>69504</v>
      </c>
      <c r="I20" s="28">
        <f t="shared" si="36"/>
        <v>68162</v>
      </c>
      <c r="J20" s="28">
        <f t="shared" ref="J20:K20" si="37">J81</f>
        <v>66129</v>
      </c>
      <c r="K20" s="28">
        <f t="shared" si="37"/>
        <v>69389</v>
      </c>
      <c r="L20" s="28">
        <f t="shared" ref="L20" si="38">L81</f>
        <v>70541</v>
      </c>
      <c r="N20" s="29" t="s">
        <v>7124</v>
      </c>
    </row>
    <row r="21" spans="1:14" ht="15.75" thickBot="1">
      <c r="A21" s="29"/>
      <c r="D21" s="539">
        <f t="shared" ref="D21:I21" si="39">D176</f>
        <v>8831</v>
      </c>
      <c r="E21" s="539">
        <f t="shared" si="39"/>
        <v>8852</v>
      </c>
      <c r="F21" s="539">
        <f t="shared" si="39"/>
        <v>8919</v>
      </c>
      <c r="G21" s="539">
        <f t="shared" si="39"/>
        <v>8960</v>
      </c>
      <c r="H21" s="539">
        <f t="shared" si="39"/>
        <v>9240</v>
      </c>
      <c r="I21" s="539">
        <f t="shared" si="39"/>
        <v>9062</v>
      </c>
      <c r="J21" s="539">
        <f t="shared" ref="J21:K21" si="40">J176</f>
        <v>8753</v>
      </c>
      <c r="K21" s="539">
        <f t="shared" si="40"/>
        <v>9025</v>
      </c>
      <c r="L21" s="539">
        <f t="shared" ref="L21" si="41">L176</f>
        <v>8974</v>
      </c>
      <c r="N21" s="29" t="s">
        <v>7125</v>
      </c>
    </row>
    <row r="22" spans="1:14" ht="15.75" thickBot="1">
      <c r="A22" s="29"/>
      <c r="D22" s="540">
        <f t="shared" ref="D22:I22" si="42">D20+D21</f>
        <v>75076</v>
      </c>
      <c r="E22" s="540">
        <f t="shared" si="42"/>
        <v>75837</v>
      </c>
      <c r="F22" s="540">
        <f t="shared" si="42"/>
        <v>76461</v>
      </c>
      <c r="G22" s="540">
        <f t="shared" si="42"/>
        <v>77641</v>
      </c>
      <c r="H22" s="540">
        <f t="shared" si="42"/>
        <v>78744</v>
      </c>
      <c r="I22" s="540">
        <f t="shared" si="42"/>
        <v>77224</v>
      </c>
      <c r="J22" s="540">
        <f t="shared" ref="J22:K22" si="43">J20+J21</f>
        <v>74882</v>
      </c>
      <c r="K22" s="540">
        <f t="shared" si="43"/>
        <v>78414</v>
      </c>
      <c r="L22" s="540">
        <f t="shared" ref="L22" si="44">L20+L21</f>
        <v>79515</v>
      </c>
      <c r="N22" s="29"/>
    </row>
    <row r="23" spans="1:14">
      <c r="D23" s="27"/>
      <c r="E23" s="27"/>
      <c r="F23" s="27"/>
      <c r="G23" s="27"/>
      <c r="H23" s="27"/>
      <c r="I23" s="27"/>
      <c r="J23" s="27"/>
      <c r="K23" s="27"/>
      <c r="L23" s="27"/>
    </row>
    <row r="24" spans="1:14">
      <c r="A24" s="29" t="s">
        <v>7128</v>
      </c>
      <c r="D24" s="28">
        <f t="shared" ref="D24:I24" si="45">D115</f>
        <v>70021</v>
      </c>
      <c r="E24" s="28">
        <f t="shared" si="45"/>
        <v>70723</v>
      </c>
      <c r="F24" s="28">
        <f t="shared" si="45"/>
        <v>71302</v>
      </c>
      <c r="G24" s="28">
        <f t="shared" si="45"/>
        <v>71912</v>
      </c>
      <c r="H24" s="28">
        <f t="shared" si="45"/>
        <v>72319</v>
      </c>
      <c r="I24" s="28">
        <f t="shared" si="45"/>
        <v>72231</v>
      </c>
      <c r="J24" s="28">
        <f t="shared" ref="J24:K24" si="46">J115</f>
        <v>68560</v>
      </c>
      <c r="K24" s="28">
        <f t="shared" si="46"/>
        <v>70675</v>
      </c>
      <c r="L24" s="28">
        <f t="shared" ref="L24" si="47">L115</f>
        <v>71259</v>
      </c>
      <c r="N24" s="29" t="s">
        <v>1609</v>
      </c>
    </row>
    <row r="25" spans="1:14">
      <c r="D25" s="27"/>
      <c r="E25" s="27"/>
      <c r="F25" s="27"/>
      <c r="G25" s="27"/>
      <c r="H25" s="27"/>
      <c r="I25" s="27"/>
      <c r="J25" s="27"/>
      <c r="K25" s="27"/>
      <c r="L25" s="27"/>
    </row>
    <row r="26" spans="1:14">
      <c r="A26" s="29" t="s">
        <v>7129</v>
      </c>
      <c r="D26" s="28">
        <f t="shared" ref="D26:I26" si="48">D177</f>
        <v>73306</v>
      </c>
      <c r="E26" s="28">
        <f t="shared" si="48"/>
        <v>73750</v>
      </c>
      <c r="F26" s="28">
        <f t="shared" si="48"/>
        <v>73326</v>
      </c>
      <c r="G26" s="28">
        <f t="shared" si="48"/>
        <v>71877</v>
      </c>
      <c r="H26" s="28">
        <f t="shared" si="48"/>
        <v>76375</v>
      </c>
      <c r="I26" s="28">
        <f t="shared" si="48"/>
        <v>73956</v>
      </c>
      <c r="J26" s="28">
        <f t="shared" ref="J26:K26" si="49">J177</f>
        <v>71712</v>
      </c>
      <c r="K26" s="28">
        <f t="shared" si="49"/>
        <v>75469</v>
      </c>
      <c r="L26" s="28">
        <f t="shared" ref="L26" si="50">L177</f>
        <v>76046</v>
      </c>
      <c r="N26" s="29" t="s">
        <v>7125</v>
      </c>
    </row>
    <row r="27" spans="1:14">
      <c r="D27" s="27"/>
      <c r="E27" s="27"/>
      <c r="F27" s="27"/>
      <c r="G27" s="27"/>
      <c r="H27" s="27"/>
      <c r="I27" s="27"/>
      <c r="J27" s="27"/>
      <c r="K27" s="27"/>
      <c r="L27" s="27"/>
    </row>
    <row r="28" spans="1:14">
      <c r="A28" s="29" t="s">
        <v>8697</v>
      </c>
      <c r="D28" s="28">
        <f t="shared" ref="D28:I28" si="51">D14+D18+D22+D24+D26</f>
        <v>370704</v>
      </c>
      <c r="E28" s="28">
        <f t="shared" si="51"/>
        <v>374380</v>
      </c>
      <c r="F28" s="28">
        <f t="shared" si="51"/>
        <v>376345</v>
      </c>
      <c r="G28" s="28">
        <f t="shared" si="51"/>
        <v>377748</v>
      </c>
      <c r="H28" s="28">
        <f t="shared" si="51"/>
        <v>385937</v>
      </c>
      <c r="I28" s="28">
        <f t="shared" si="51"/>
        <v>379056</v>
      </c>
      <c r="J28" s="28">
        <f t="shared" ref="J28:K28" si="52">J14+J18+J22+J24+J26</f>
        <v>366601</v>
      </c>
      <c r="K28" s="28">
        <f t="shared" si="52"/>
        <v>382221</v>
      </c>
      <c r="L28" s="28">
        <f t="shared" ref="L28" si="53">L14+L18+L22+L24+L26</f>
        <v>385850</v>
      </c>
    </row>
    <row r="29" spans="1:14">
      <c r="D29" s="27"/>
      <c r="E29" s="27"/>
      <c r="F29" s="27"/>
      <c r="G29" s="27"/>
      <c r="H29" s="27"/>
      <c r="I29" s="27"/>
      <c r="J29" s="27"/>
      <c r="K29" s="27"/>
      <c r="L29" s="27"/>
    </row>
    <row r="30" spans="1:14">
      <c r="A30" s="29" t="s">
        <v>8698</v>
      </c>
      <c r="D30" s="28">
        <f t="shared" ref="D30:I30" si="54">MAX(D14,D18,D22,D24,D26)-MIN(D14,D18,D22,D24,D26)</f>
        <v>7996</v>
      </c>
      <c r="E30" s="28">
        <f t="shared" si="54"/>
        <v>8027</v>
      </c>
      <c r="F30" s="28">
        <f t="shared" si="54"/>
        <v>8147</v>
      </c>
      <c r="G30" s="28">
        <f t="shared" si="54"/>
        <v>8532</v>
      </c>
      <c r="H30" s="28">
        <f t="shared" si="54"/>
        <v>9409</v>
      </c>
      <c r="I30" s="28">
        <f t="shared" si="54"/>
        <v>7433</v>
      </c>
      <c r="J30" s="28">
        <f t="shared" ref="J30:K30" si="55">MAX(J14,J18,J22,J24,J26)-MIN(J14,J18,J22,J24,J26)</f>
        <v>8903</v>
      </c>
      <c r="K30" s="28">
        <f t="shared" si="55"/>
        <v>10271</v>
      </c>
      <c r="L30" s="28">
        <f t="shared" ref="L30" si="56">MAX(L14,L18,L22,L24,L26)-MIN(L14,L18,L22,L24,L26)</f>
        <v>11189</v>
      </c>
    </row>
    <row r="31" spans="1:14">
      <c r="D31" s="27"/>
      <c r="E31" s="27"/>
      <c r="F31" s="27"/>
      <c r="G31" s="27"/>
      <c r="H31" s="27"/>
      <c r="I31" s="27"/>
      <c r="J31" s="27"/>
      <c r="K31" s="27"/>
      <c r="L31" s="27"/>
    </row>
    <row r="32" spans="1:14">
      <c r="A32" s="32" t="s">
        <v>8701</v>
      </c>
      <c r="D32" s="28">
        <f t="shared" ref="D32:I32" si="57">STDEVP(D14,D18,D22,D24,D26)</f>
        <v>2591.8979455217755</v>
      </c>
      <c r="E32" s="28">
        <f t="shared" si="57"/>
        <v>2632.2544709811018</v>
      </c>
      <c r="F32" s="28">
        <f t="shared" si="57"/>
        <v>2781.9074750968985</v>
      </c>
      <c r="G32" s="28">
        <f t="shared" si="57"/>
        <v>3311.7069677131758</v>
      </c>
      <c r="H32" s="28">
        <f t="shared" si="57"/>
        <v>3084.631362091749</v>
      </c>
      <c r="I32" s="28">
        <f t="shared" si="57"/>
        <v>2574.0436204540124</v>
      </c>
      <c r="J32" s="28">
        <f t="shared" ref="J32:K32" si="58">STDEVP(J14,J18,J22,J24,J26)</f>
        <v>3009.5997341839329</v>
      </c>
      <c r="K32" s="28">
        <f t="shared" si="58"/>
        <v>3419.2226835934507</v>
      </c>
      <c r="L32" s="28">
        <f t="shared" ref="L32" si="59">STDEVP(L14,L18,L22,L24,L26)</f>
        <v>3739.1269034361485</v>
      </c>
    </row>
    <row r="35" spans="1:17">
      <c r="E35" s="42" t="s">
        <v>2303</v>
      </c>
      <c r="F35" s="42"/>
      <c r="G35" s="42"/>
      <c r="H35" s="42"/>
      <c r="I35" s="42"/>
      <c r="J35" s="42"/>
      <c r="K35" s="42"/>
      <c r="L35" s="42"/>
      <c r="N35" s="25" t="s">
        <v>13319</v>
      </c>
    </row>
    <row r="36" spans="1:17">
      <c r="D36" s="24">
        <v>2010</v>
      </c>
      <c r="E36" s="24">
        <v>2011</v>
      </c>
      <c r="F36" s="24">
        <v>2012</v>
      </c>
      <c r="G36" s="24">
        <v>2013</v>
      </c>
      <c r="H36" s="24">
        <v>2014</v>
      </c>
      <c r="I36" s="24">
        <v>2015</v>
      </c>
      <c r="J36" s="24">
        <v>2016</v>
      </c>
      <c r="K36" s="24">
        <v>2017</v>
      </c>
      <c r="L36" s="24">
        <v>2018</v>
      </c>
      <c r="N36" s="29" t="s">
        <v>2304</v>
      </c>
    </row>
    <row r="37" spans="1:17">
      <c r="A37" s="29" t="s">
        <v>7130</v>
      </c>
      <c r="C37" s="29"/>
      <c r="D37" s="28">
        <f>SUM(D38:D47)+SUM(D49:D58)+SUM(D60:D64)+SUM(D66:D73)+SUM(D75:D78)</f>
        <v>129328</v>
      </c>
      <c r="E37" s="28">
        <f t="shared" ref="E37:J37" si="60">SUM(E38:E47)+SUM(E49:E58)+SUM(E60:E64)+SUM(E66:E73)+SUM(E75:E78)</f>
        <v>130566</v>
      </c>
      <c r="F37" s="28">
        <f t="shared" si="60"/>
        <v>131781</v>
      </c>
      <c r="G37" s="28">
        <f t="shared" si="60"/>
        <v>133964</v>
      </c>
      <c r="H37" s="28">
        <f t="shared" si="60"/>
        <v>135862</v>
      </c>
      <c r="I37" s="28">
        <f t="shared" si="60"/>
        <v>132570</v>
      </c>
      <c r="J37" s="28">
        <f t="shared" si="60"/>
        <v>128777</v>
      </c>
      <c r="K37" s="28">
        <f t="shared" ref="K37:L37" si="61">SUM(K38:K47)+SUM(K49:K58)+SUM(K60:K64)+SUM(K66:K73)+SUM(K75:K78)</f>
        <v>134947</v>
      </c>
      <c r="L37" s="28">
        <f t="shared" si="61"/>
        <v>137545</v>
      </c>
      <c r="M37" s="28"/>
    </row>
    <row r="38" spans="1:17">
      <c r="A38" s="29" t="s">
        <v>6957</v>
      </c>
      <c r="B38" s="29" t="s">
        <v>14557</v>
      </c>
      <c r="C38" s="4" t="s">
        <v>14556</v>
      </c>
      <c r="D38" s="28">
        <v>63083</v>
      </c>
      <c r="E38" s="28">
        <v>63581</v>
      </c>
      <c r="F38" s="28">
        <v>64239</v>
      </c>
      <c r="G38" s="30">
        <v>65283</v>
      </c>
      <c r="H38" s="30">
        <v>66358</v>
      </c>
      <c r="I38" s="30">
        <v>64408</v>
      </c>
      <c r="J38" s="30">
        <v>7422</v>
      </c>
      <c r="K38" s="30">
        <v>7656</v>
      </c>
      <c r="L38" s="30">
        <v>7905</v>
      </c>
      <c r="N38" s="29" t="s">
        <v>7123</v>
      </c>
      <c r="O38" s="4"/>
      <c r="Q38" s="4"/>
    </row>
    <row r="39" spans="1:17">
      <c r="A39" s="29" t="s">
        <v>6959</v>
      </c>
      <c r="B39" s="29" t="s">
        <v>7131</v>
      </c>
      <c r="C39" s="4" t="s">
        <v>14558</v>
      </c>
      <c r="D39" s="28">
        <v>0</v>
      </c>
      <c r="E39" s="28">
        <v>0</v>
      </c>
      <c r="F39" s="28">
        <v>0</v>
      </c>
      <c r="G39" s="30">
        <v>0</v>
      </c>
      <c r="H39" s="30">
        <v>0</v>
      </c>
      <c r="I39" s="30">
        <v>0</v>
      </c>
      <c r="J39" s="30">
        <v>4886</v>
      </c>
      <c r="K39" s="30">
        <v>4942</v>
      </c>
      <c r="L39" s="30">
        <v>4907</v>
      </c>
      <c r="N39" s="29" t="s">
        <v>7123</v>
      </c>
      <c r="O39" s="4"/>
      <c r="Q39" s="4"/>
    </row>
    <row r="40" spans="1:17">
      <c r="A40" s="29" t="s">
        <v>6961</v>
      </c>
      <c r="B40" s="29" t="s">
        <v>6227</v>
      </c>
      <c r="C40" s="4" t="s">
        <v>14559</v>
      </c>
      <c r="D40" s="28">
        <v>66245</v>
      </c>
      <c r="E40" s="28">
        <v>66985</v>
      </c>
      <c r="F40" s="28">
        <v>67542</v>
      </c>
      <c r="G40" s="30">
        <v>68681</v>
      </c>
      <c r="H40" s="30">
        <v>69504</v>
      </c>
      <c r="I40" s="30">
        <v>68162</v>
      </c>
      <c r="J40" s="30">
        <v>4287</v>
      </c>
      <c r="K40" s="30">
        <v>4551</v>
      </c>
      <c r="L40" s="30">
        <v>4555</v>
      </c>
      <c r="N40" s="29" t="s">
        <v>7127</v>
      </c>
      <c r="O40" s="4"/>
      <c r="Q40" s="4"/>
    </row>
    <row r="41" spans="1:17">
      <c r="A41" s="29" t="s">
        <v>6963</v>
      </c>
      <c r="B41" s="29" t="s">
        <v>6228</v>
      </c>
      <c r="C41" s="4" t="s">
        <v>14560</v>
      </c>
      <c r="D41" s="28">
        <v>0</v>
      </c>
      <c r="E41" s="28">
        <v>0</v>
      </c>
      <c r="F41" s="28">
        <v>0</v>
      </c>
      <c r="G41" s="30">
        <v>0</v>
      </c>
      <c r="H41" s="30">
        <v>0</v>
      </c>
      <c r="I41" s="30">
        <v>0</v>
      </c>
      <c r="J41" s="30">
        <v>4285</v>
      </c>
      <c r="K41" s="30">
        <v>4755</v>
      </c>
      <c r="L41" s="30">
        <v>4976</v>
      </c>
      <c r="N41" s="29" t="s">
        <v>7127</v>
      </c>
      <c r="O41" s="4"/>
      <c r="Q41" s="4"/>
    </row>
    <row r="42" spans="1:17">
      <c r="A42" s="29" t="s">
        <v>6965</v>
      </c>
      <c r="B42" s="29" t="s">
        <v>14561</v>
      </c>
      <c r="C42" s="4" t="s">
        <v>14562</v>
      </c>
      <c r="D42" s="28">
        <v>0</v>
      </c>
      <c r="E42" s="28">
        <v>0</v>
      </c>
      <c r="F42" s="28">
        <v>0</v>
      </c>
      <c r="G42" s="30">
        <v>0</v>
      </c>
      <c r="H42" s="30">
        <v>0</v>
      </c>
      <c r="I42" s="30">
        <v>0</v>
      </c>
      <c r="J42" s="30">
        <v>4233</v>
      </c>
      <c r="K42" s="30">
        <v>4430</v>
      </c>
      <c r="L42" s="30">
        <v>4574</v>
      </c>
      <c r="N42" s="29" t="s">
        <v>7123</v>
      </c>
      <c r="O42" s="4"/>
      <c r="Q42" s="4"/>
    </row>
    <row r="43" spans="1:17">
      <c r="A43" s="29" t="s">
        <v>6997</v>
      </c>
      <c r="B43" s="29" t="s">
        <v>8100</v>
      </c>
      <c r="C43" s="4" t="s">
        <v>14563</v>
      </c>
      <c r="D43" s="28">
        <v>0</v>
      </c>
      <c r="E43" s="28">
        <v>0</v>
      </c>
      <c r="F43" s="28">
        <v>0</v>
      </c>
      <c r="G43" s="31">
        <v>0</v>
      </c>
      <c r="H43" s="31">
        <v>0</v>
      </c>
      <c r="I43" s="31">
        <v>0</v>
      </c>
      <c r="J43" s="30">
        <v>6070</v>
      </c>
      <c r="K43" s="30">
        <v>6296</v>
      </c>
      <c r="L43" s="30">
        <v>6351</v>
      </c>
      <c r="N43" s="29" t="s">
        <v>7123</v>
      </c>
      <c r="O43" s="4"/>
      <c r="Q43" s="4"/>
    </row>
    <row r="44" spans="1:17">
      <c r="A44" s="29" t="s">
        <v>6999</v>
      </c>
      <c r="B44" s="29" t="s">
        <v>8101</v>
      </c>
      <c r="C44" s="4" t="s">
        <v>14564</v>
      </c>
      <c r="D44" s="28">
        <v>0</v>
      </c>
      <c r="E44" s="28">
        <v>0</v>
      </c>
      <c r="F44" s="28">
        <v>0</v>
      </c>
      <c r="G44" s="31">
        <v>0</v>
      </c>
      <c r="H44" s="31">
        <v>0</v>
      </c>
      <c r="I44" s="31">
        <v>0</v>
      </c>
      <c r="J44" s="31">
        <v>2298</v>
      </c>
      <c r="K44" s="31">
        <v>2406</v>
      </c>
      <c r="L44" s="31">
        <v>2403</v>
      </c>
      <c r="N44" s="29" t="s">
        <v>7127</v>
      </c>
      <c r="O44" s="4"/>
      <c r="Q44" s="4"/>
    </row>
    <row r="45" spans="1:17">
      <c r="A45" s="29" t="s">
        <v>7001</v>
      </c>
      <c r="B45" s="29" t="s">
        <v>14565</v>
      </c>
      <c r="C45" s="4" t="s">
        <v>14566</v>
      </c>
      <c r="D45" s="28">
        <v>0</v>
      </c>
      <c r="E45" s="28">
        <v>0</v>
      </c>
      <c r="F45" s="28">
        <v>0</v>
      </c>
      <c r="G45" s="31">
        <v>0</v>
      </c>
      <c r="H45" s="31">
        <v>0</v>
      </c>
      <c r="I45" s="31">
        <v>0</v>
      </c>
      <c r="J45" s="30">
        <v>4285</v>
      </c>
      <c r="K45" s="30">
        <v>4419</v>
      </c>
      <c r="L45" s="30">
        <v>4398</v>
      </c>
      <c r="N45" s="29" t="s">
        <v>7123</v>
      </c>
      <c r="O45" s="4"/>
      <c r="Q45" s="4"/>
    </row>
    <row r="46" spans="1:17">
      <c r="A46" s="29" t="s">
        <v>7003</v>
      </c>
      <c r="B46" s="29" t="s">
        <v>8102</v>
      </c>
      <c r="C46" s="4" t="s">
        <v>14567</v>
      </c>
      <c r="D46" s="28">
        <v>0</v>
      </c>
      <c r="E46" s="28">
        <v>0</v>
      </c>
      <c r="F46" s="28">
        <v>0</v>
      </c>
      <c r="G46" s="30">
        <v>0</v>
      </c>
      <c r="H46" s="30">
        <v>0</v>
      </c>
      <c r="I46" s="30">
        <v>0</v>
      </c>
      <c r="J46" s="30">
        <v>4538</v>
      </c>
      <c r="K46" s="30">
        <v>4921</v>
      </c>
      <c r="L46" s="30">
        <v>5158</v>
      </c>
      <c r="N46" s="29" t="s">
        <v>7123</v>
      </c>
      <c r="O46" s="4"/>
      <c r="Q46" s="4"/>
    </row>
    <row r="47" spans="1:17" ht="15.75" thickBot="1">
      <c r="A47" s="29"/>
      <c r="B47" s="29"/>
      <c r="C47" s="4" t="s">
        <v>14567</v>
      </c>
      <c r="D47" s="539">
        <v>0</v>
      </c>
      <c r="E47" s="539">
        <v>0</v>
      </c>
      <c r="F47" s="539">
        <v>0</v>
      </c>
      <c r="G47" s="899">
        <v>0</v>
      </c>
      <c r="H47" s="899">
        <v>0</v>
      </c>
      <c r="I47" s="899">
        <v>0</v>
      </c>
      <c r="J47" s="31">
        <v>1469</v>
      </c>
      <c r="K47" s="31">
        <v>1585</v>
      </c>
      <c r="L47" s="31">
        <v>1625</v>
      </c>
      <c r="N47" s="29" t="s">
        <v>7127</v>
      </c>
      <c r="O47" s="4"/>
      <c r="Q47" s="4"/>
    </row>
    <row r="48" spans="1:17" ht="15.75" thickBot="1">
      <c r="A48" s="29"/>
      <c r="B48" s="29"/>
      <c r="C48" s="4" t="s">
        <v>14567</v>
      </c>
      <c r="D48" s="540">
        <f>D46+D47</f>
        <v>0</v>
      </c>
      <c r="E48" s="540">
        <f t="shared" ref="E48:L48" si="62">E46+E47</f>
        <v>0</v>
      </c>
      <c r="F48" s="540">
        <f t="shared" si="62"/>
        <v>0</v>
      </c>
      <c r="G48" s="540">
        <f t="shared" si="62"/>
        <v>0</v>
      </c>
      <c r="H48" s="540">
        <f t="shared" si="62"/>
        <v>0</v>
      </c>
      <c r="I48" s="540">
        <f t="shared" si="62"/>
        <v>0</v>
      </c>
      <c r="J48" s="540">
        <f t="shared" si="62"/>
        <v>6007</v>
      </c>
      <c r="K48" s="540">
        <f t="shared" si="62"/>
        <v>6506</v>
      </c>
      <c r="L48" s="540">
        <f t="shared" si="62"/>
        <v>6783</v>
      </c>
      <c r="N48" s="29"/>
      <c r="O48" s="4"/>
      <c r="Q48" s="4"/>
    </row>
    <row r="49" spans="1:17">
      <c r="A49" s="29" t="s">
        <v>7005</v>
      </c>
      <c r="B49" s="29" t="s">
        <v>14568</v>
      </c>
      <c r="C49" s="4" t="s">
        <v>14569</v>
      </c>
      <c r="D49" s="28">
        <v>0</v>
      </c>
      <c r="E49" s="28">
        <v>0</v>
      </c>
      <c r="F49" s="28">
        <v>0</v>
      </c>
      <c r="G49" s="31">
        <v>0</v>
      </c>
      <c r="H49" s="31">
        <v>0</v>
      </c>
      <c r="I49" s="31">
        <v>0</v>
      </c>
      <c r="J49" s="31">
        <v>4577</v>
      </c>
      <c r="K49" s="31">
        <v>4851</v>
      </c>
      <c r="L49" s="31">
        <v>5005</v>
      </c>
      <c r="N49" s="29" t="s">
        <v>7127</v>
      </c>
      <c r="O49" s="4"/>
      <c r="Q49" s="4"/>
    </row>
    <row r="50" spans="1:17">
      <c r="A50" s="29" t="s">
        <v>7007</v>
      </c>
      <c r="B50" s="29" t="s">
        <v>8103</v>
      </c>
      <c r="C50" s="4" t="s">
        <v>14570</v>
      </c>
      <c r="D50" s="28">
        <v>0</v>
      </c>
      <c r="E50" s="28">
        <v>0</v>
      </c>
      <c r="F50" s="28">
        <v>0</v>
      </c>
      <c r="G50" s="30">
        <v>0</v>
      </c>
      <c r="H50" s="30">
        <v>0</v>
      </c>
      <c r="I50" s="30">
        <v>0</v>
      </c>
      <c r="J50" s="31">
        <v>2487</v>
      </c>
      <c r="K50" s="31">
        <v>2643</v>
      </c>
      <c r="L50" s="31">
        <v>2640</v>
      </c>
      <c r="N50" s="29" t="s">
        <v>7127</v>
      </c>
      <c r="O50" s="4"/>
      <c r="Q50" s="4"/>
    </row>
    <row r="51" spans="1:17">
      <c r="A51" s="29" t="s">
        <v>7009</v>
      </c>
      <c r="B51" s="29" t="s">
        <v>14571</v>
      </c>
      <c r="C51" s="4" t="s">
        <v>14572</v>
      </c>
      <c r="D51" s="28">
        <v>0</v>
      </c>
      <c r="E51" s="28">
        <v>0</v>
      </c>
      <c r="F51" s="28">
        <v>0</v>
      </c>
      <c r="G51" s="30">
        <v>0</v>
      </c>
      <c r="H51" s="30">
        <v>0</v>
      </c>
      <c r="I51" s="30">
        <v>0</v>
      </c>
      <c r="J51" s="31">
        <v>2569</v>
      </c>
      <c r="K51" s="31">
        <v>2659</v>
      </c>
      <c r="L51" s="31">
        <v>2663</v>
      </c>
      <c r="N51" s="29" t="s">
        <v>7127</v>
      </c>
      <c r="O51" s="4"/>
      <c r="Q51" s="4"/>
    </row>
    <row r="52" spans="1:17">
      <c r="A52" s="29" t="s">
        <v>7011</v>
      </c>
      <c r="B52" s="29" t="s">
        <v>14573</v>
      </c>
      <c r="C52" s="4" t="s">
        <v>14574</v>
      </c>
      <c r="D52" s="28">
        <v>0</v>
      </c>
      <c r="E52" s="28">
        <v>0</v>
      </c>
      <c r="F52" s="28">
        <v>0</v>
      </c>
      <c r="G52" s="31">
        <v>0</v>
      </c>
      <c r="H52" s="31">
        <v>0</v>
      </c>
      <c r="I52" s="31">
        <v>0</v>
      </c>
      <c r="J52" s="31">
        <v>7028</v>
      </c>
      <c r="K52" s="31">
        <v>7212</v>
      </c>
      <c r="L52" s="31">
        <v>7295</v>
      </c>
      <c r="N52" s="29" t="s">
        <v>7127</v>
      </c>
      <c r="O52" s="4"/>
      <c r="Q52" s="4"/>
    </row>
    <row r="53" spans="1:17">
      <c r="A53" s="29" t="s">
        <v>7013</v>
      </c>
      <c r="B53" s="29" t="s">
        <v>8104</v>
      </c>
      <c r="C53" s="4" t="s">
        <v>14575</v>
      </c>
      <c r="D53" s="28">
        <v>0</v>
      </c>
      <c r="E53" s="28">
        <v>0</v>
      </c>
      <c r="F53" s="28">
        <v>0</v>
      </c>
      <c r="G53" s="31">
        <v>0</v>
      </c>
      <c r="H53" s="31">
        <v>0</v>
      </c>
      <c r="I53" s="31">
        <v>0</v>
      </c>
      <c r="J53" s="31">
        <v>2456</v>
      </c>
      <c r="K53" s="31">
        <v>2578</v>
      </c>
      <c r="L53" s="31">
        <v>2599</v>
      </c>
      <c r="N53" s="29" t="s">
        <v>7127</v>
      </c>
      <c r="O53" s="4"/>
      <c r="Q53" s="4"/>
    </row>
    <row r="54" spans="1:17">
      <c r="A54" s="29" t="s">
        <v>7015</v>
      </c>
      <c r="B54" s="29" t="s">
        <v>8105</v>
      </c>
      <c r="C54" s="4" t="s">
        <v>14576</v>
      </c>
      <c r="D54" s="28">
        <v>0</v>
      </c>
      <c r="E54" s="28">
        <v>0</v>
      </c>
      <c r="F54" s="28">
        <v>0</v>
      </c>
      <c r="G54" s="31">
        <v>0</v>
      </c>
      <c r="H54" s="31">
        <v>0</v>
      </c>
      <c r="I54" s="31">
        <v>0</v>
      </c>
      <c r="J54" s="31">
        <v>2079</v>
      </c>
      <c r="K54" s="31">
        <v>2151</v>
      </c>
      <c r="L54" s="31">
        <v>2176</v>
      </c>
      <c r="N54" s="29" t="s">
        <v>7127</v>
      </c>
      <c r="O54" s="4"/>
      <c r="Q54" s="4"/>
    </row>
    <row r="55" spans="1:17">
      <c r="A55" s="29" t="s">
        <v>7017</v>
      </c>
      <c r="B55" s="29" t="s">
        <v>14577</v>
      </c>
      <c r="C55" s="4" t="s">
        <v>14578</v>
      </c>
      <c r="D55" s="28">
        <v>0</v>
      </c>
      <c r="E55" s="28">
        <v>0</v>
      </c>
      <c r="F55" s="28">
        <v>0</v>
      </c>
      <c r="G55" s="31">
        <v>0</v>
      </c>
      <c r="H55" s="31">
        <v>0</v>
      </c>
      <c r="I55" s="31">
        <v>0</v>
      </c>
      <c r="J55" s="30">
        <v>6329</v>
      </c>
      <c r="K55" s="30">
        <v>6432</v>
      </c>
      <c r="L55" s="30">
        <v>6407</v>
      </c>
      <c r="N55" s="29" t="s">
        <v>7123</v>
      </c>
      <c r="O55" s="4"/>
      <c r="Q55" s="4"/>
    </row>
    <row r="56" spans="1:17">
      <c r="A56" s="29" t="s">
        <v>7019</v>
      </c>
      <c r="B56" s="29" t="s">
        <v>6551</v>
      </c>
      <c r="C56" s="4" t="s">
        <v>14579</v>
      </c>
      <c r="D56" s="28">
        <v>0</v>
      </c>
      <c r="E56" s="28">
        <v>0</v>
      </c>
      <c r="F56" s="28">
        <v>0</v>
      </c>
      <c r="G56" s="31">
        <v>0</v>
      </c>
      <c r="H56" s="31">
        <v>0</v>
      </c>
      <c r="I56" s="31">
        <v>0</v>
      </c>
      <c r="J56" s="31">
        <v>2450</v>
      </c>
      <c r="K56" s="31">
        <v>2526</v>
      </c>
      <c r="L56" s="31">
        <v>2582</v>
      </c>
      <c r="N56" s="29" t="s">
        <v>7127</v>
      </c>
      <c r="O56" s="4"/>
      <c r="Q56" s="4"/>
    </row>
    <row r="57" spans="1:17">
      <c r="A57" s="29" t="s">
        <v>7021</v>
      </c>
      <c r="B57" s="29" t="s">
        <v>14580</v>
      </c>
      <c r="C57" s="4" t="s">
        <v>14581</v>
      </c>
      <c r="D57" s="28">
        <v>0</v>
      </c>
      <c r="E57" s="28">
        <v>0</v>
      </c>
      <c r="F57" s="28">
        <v>0</v>
      </c>
      <c r="G57" s="31">
        <v>0</v>
      </c>
      <c r="H57" s="31">
        <v>0</v>
      </c>
      <c r="I57" s="31">
        <v>0</v>
      </c>
      <c r="J57" s="30">
        <v>3770</v>
      </c>
      <c r="K57" s="30">
        <v>3864</v>
      </c>
      <c r="L57" s="30">
        <v>3915</v>
      </c>
      <c r="N57" s="29" t="s">
        <v>7123</v>
      </c>
      <c r="O57" s="4"/>
      <c r="Q57" s="4"/>
    </row>
    <row r="58" spans="1:17" ht="15.75" thickBot="1">
      <c r="B58" s="29"/>
      <c r="C58" s="4" t="s">
        <v>14581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31">
        <v>1343</v>
      </c>
      <c r="K58" s="31">
        <v>1494</v>
      </c>
      <c r="L58" s="31">
        <v>1719</v>
      </c>
      <c r="N58" s="29" t="s">
        <v>7127</v>
      </c>
      <c r="O58" s="4"/>
      <c r="Q58" s="4"/>
    </row>
    <row r="59" spans="1:17" ht="15.75" thickBot="1">
      <c r="B59" s="29"/>
      <c r="C59" s="4" t="s">
        <v>14581</v>
      </c>
      <c r="D59" s="540">
        <f>D57+D58</f>
        <v>0</v>
      </c>
      <c r="E59" s="540">
        <f t="shared" ref="E59:L59" si="63">E57+E58</f>
        <v>0</v>
      </c>
      <c r="F59" s="540">
        <f t="shared" si="63"/>
        <v>0</v>
      </c>
      <c r="G59" s="540">
        <f t="shared" si="63"/>
        <v>0</v>
      </c>
      <c r="H59" s="540">
        <f t="shared" si="63"/>
        <v>0</v>
      </c>
      <c r="I59" s="540">
        <f t="shared" si="63"/>
        <v>0</v>
      </c>
      <c r="J59" s="540">
        <f t="shared" si="63"/>
        <v>5113</v>
      </c>
      <c r="K59" s="540">
        <f t="shared" si="63"/>
        <v>5358</v>
      </c>
      <c r="L59" s="540">
        <f t="shared" si="63"/>
        <v>5634</v>
      </c>
      <c r="O59" s="4"/>
      <c r="Q59" s="4"/>
    </row>
    <row r="60" spans="1:17">
      <c r="A60" s="29" t="s">
        <v>7023</v>
      </c>
      <c r="B60" s="29" t="s">
        <v>7567</v>
      </c>
      <c r="C60" s="4" t="s">
        <v>14582</v>
      </c>
      <c r="D60" s="28">
        <v>0</v>
      </c>
      <c r="E60" s="28">
        <v>0</v>
      </c>
      <c r="F60" s="28">
        <v>0</v>
      </c>
      <c r="G60" s="31">
        <v>0</v>
      </c>
      <c r="H60" s="31">
        <v>0</v>
      </c>
      <c r="I60" s="31">
        <v>0</v>
      </c>
      <c r="J60" s="31">
        <v>2239</v>
      </c>
      <c r="K60" s="31">
        <v>2346</v>
      </c>
      <c r="L60" s="31">
        <v>2360</v>
      </c>
      <c r="N60" s="29" t="s">
        <v>7127</v>
      </c>
      <c r="O60" s="4"/>
      <c r="Q60" s="4"/>
    </row>
    <row r="61" spans="1:17">
      <c r="A61" s="29" t="s">
        <v>7025</v>
      </c>
      <c r="B61" s="29" t="s">
        <v>14583</v>
      </c>
      <c r="C61" s="4" t="s">
        <v>14584</v>
      </c>
      <c r="D61" s="28">
        <v>0</v>
      </c>
      <c r="E61" s="28">
        <v>0</v>
      </c>
      <c r="F61" s="28">
        <v>0</v>
      </c>
      <c r="G61" s="30">
        <v>0</v>
      </c>
      <c r="H61" s="30">
        <v>0</v>
      </c>
      <c r="I61" s="30">
        <v>0</v>
      </c>
      <c r="J61" s="31">
        <v>4799</v>
      </c>
      <c r="K61" s="31">
        <v>4966</v>
      </c>
      <c r="L61" s="31">
        <v>5016</v>
      </c>
      <c r="N61" s="29" t="s">
        <v>7127</v>
      </c>
      <c r="O61" s="4"/>
      <c r="Q61" s="4"/>
    </row>
    <row r="62" spans="1:17">
      <c r="A62" s="29" t="s">
        <v>7570</v>
      </c>
      <c r="B62" s="29" t="s">
        <v>4797</v>
      </c>
      <c r="C62" s="4" t="s">
        <v>14585</v>
      </c>
      <c r="D62" s="28">
        <v>0</v>
      </c>
      <c r="E62" s="28">
        <v>0</v>
      </c>
      <c r="F62" s="28">
        <v>0</v>
      </c>
      <c r="G62" s="30">
        <v>0</v>
      </c>
      <c r="H62" s="30">
        <v>0</v>
      </c>
      <c r="I62" s="30">
        <v>0</v>
      </c>
      <c r="J62" s="31">
        <v>2433</v>
      </c>
      <c r="K62" s="31">
        <v>2540</v>
      </c>
      <c r="L62" s="31">
        <v>2573</v>
      </c>
      <c r="N62" s="29" t="s">
        <v>7127</v>
      </c>
      <c r="O62" s="4"/>
      <c r="Q62" s="4"/>
    </row>
    <row r="63" spans="1:17">
      <c r="A63" s="29" t="s">
        <v>7572</v>
      </c>
      <c r="B63" s="29" t="s">
        <v>8572</v>
      </c>
      <c r="C63" s="4" t="s">
        <v>14586</v>
      </c>
      <c r="D63" s="28">
        <v>0</v>
      </c>
      <c r="E63" s="28">
        <v>0</v>
      </c>
      <c r="F63" s="28">
        <v>0</v>
      </c>
      <c r="G63" s="30">
        <v>0</v>
      </c>
      <c r="H63" s="30">
        <v>0</v>
      </c>
      <c r="I63" s="30">
        <v>0</v>
      </c>
      <c r="J63" s="30">
        <v>4962</v>
      </c>
      <c r="K63" s="30">
        <v>5881</v>
      </c>
      <c r="L63" s="30">
        <v>6467</v>
      </c>
      <c r="N63" s="29" t="s">
        <v>7123</v>
      </c>
      <c r="O63" s="4"/>
      <c r="Q63" s="4"/>
    </row>
    <row r="64" spans="1:17" ht="15.75" thickBot="1">
      <c r="A64" s="29"/>
      <c r="B64" s="29"/>
      <c r="C64" s="4" t="s">
        <v>14586</v>
      </c>
      <c r="D64" s="26">
        <v>0</v>
      </c>
      <c r="E64" s="26">
        <v>0</v>
      </c>
      <c r="F64" s="26">
        <v>0</v>
      </c>
      <c r="G64" s="31">
        <v>0</v>
      </c>
      <c r="H64" s="31">
        <v>0</v>
      </c>
      <c r="I64" s="31">
        <v>0</v>
      </c>
      <c r="J64" s="31">
        <v>4</v>
      </c>
      <c r="K64" s="31">
        <v>4</v>
      </c>
      <c r="L64" s="31">
        <v>4</v>
      </c>
      <c r="N64" s="29" t="s">
        <v>7127</v>
      </c>
      <c r="O64" s="4"/>
      <c r="Q64" s="4"/>
    </row>
    <row r="65" spans="1:17" ht="15.75" thickBot="1">
      <c r="A65" s="29"/>
      <c r="B65" s="29"/>
      <c r="C65" s="4" t="s">
        <v>14586</v>
      </c>
      <c r="D65" s="540">
        <f t="shared" ref="D65:L65" si="64">D63+D64</f>
        <v>0</v>
      </c>
      <c r="E65" s="540">
        <f t="shared" si="64"/>
        <v>0</v>
      </c>
      <c r="F65" s="540">
        <f t="shared" si="64"/>
        <v>0</v>
      </c>
      <c r="G65" s="540">
        <f t="shared" si="64"/>
        <v>0</v>
      </c>
      <c r="H65" s="540">
        <f t="shared" si="64"/>
        <v>0</v>
      </c>
      <c r="I65" s="540">
        <f t="shared" si="64"/>
        <v>0</v>
      </c>
      <c r="J65" s="540">
        <f t="shared" si="64"/>
        <v>4966</v>
      </c>
      <c r="K65" s="540">
        <f t="shared" si="64"/>
        <v>5885</v>
      </c>
      <c r="L65" s="540">
        <f t="shared" si="64"/>
        <v>6471</v>
      </c>
      <c r="N65" s="29"/>
      <c r="O65" s="4"/>
      <c r="Q65" s="4"/>
    </row>
    <row r="66" spans="1:17">
      <c r="A66" s="29" t="s">
        <v>7573</v>
      </c>
      <c r="B66" s="29" t="s">
        <v>3118</v>
      </c>
      <c r="C66" s="4" t="s">
        <v>14587</v>
      </c>
      <c r="D66" s="28">
        <v>0</v>
      </c>
      <c r="E66" s="28">
        <v>0</v>
      </c>
      <c r="F66" s="28">
        <v>0</v>
      </c>
      <c r="G66" s="31">
        <v>0</v>
      </c>
      <c r="H66" s="31">
        <v>0</v>
      </c>
      <c r="I66" s="31">
        <v>0</v>
      </c>
      <c r="J66" s="30">
        <v>4070</v>
      </c>
      <c r="K66" s="30">
        <v>4197</v>
      </c>
      <c r="L66" s="30">
        <v>4353</v>
      </c>
      <c r="N66" s="29" t="s">
        <v>7123</v>
      </c>
      <c r="O66" s="4"/>
      <c r="Q66" s="4"/>
    </row>
    <row r="67" spans="1:17">
      <c r="A67" s="29" t="s">
        <v>5798</v>
      </c>
      <c r="B67" s="29" t="s">
        <v>3119</v>
      </c>
      <c r="C67" s="4" t="s">
        <v>14588</v>
      </c>
      <c r="D67" s="28">
        <v>0</v>
      </c>
      <c r="E67" s="28">
        <v>0</v>
      </c>
      <c r="F67" s="28">
        <v>0</v>
      </c>
      <c r="G67" s="31">
        <v>0</v>
      </c>
      <c r="H67" s="31">
        <v>0</v>
      </c>
      <c r="I67" s="31">
        <v>0</v>
      </c>
      <c r="J67" s="31">
        <v>2312</v>
      </c>
      <c r="K67" s="31">
        <v>2413</v>
      </c>
      <c r="L67" s="31">
        <v>2408</v>
      </c>
      <c r="N67" s="29" t="s">
        <v>7127</v>
      </c>
      <c r="O67" s="4"/>
      <c r="Q67" s="4"/>
    </row>
    <row r="68" spans="1:17">
      <c r="A68" s="29" t="s">
        <v>5799</v>
      </c>
      <c r="B68" s="29" t="s">
        <v>3120</v>
      </c>
      <c r="C68" s="4" t="s">
        <v>14589</v>
      </c>
      <c r="D68" s="28">
        <v>0</v>
      </c>
      <c r="E68" s="28">
        <v>0</v>
      </c>
      <c r="F68" s="28">
        <v>0</v>
      </c>
      <c r="G68" s="31">
        <v>0</v>
      </c>
      <c r="H68" s="31">
        <v>0</v>
      </c>
      <c r="I68" s="31">
        <v>0</v>
      </c>
      <c r="J68" s="31">
        <v>2538</v>
      </c>
      <c r="K68" s="31">
        <v>2633</v>
      </c>
      <c r="L68" s="31">
        <v>2656</v>
      </c>
      <c r="N68" s="25" t="s">
        <v>7127</v>
      </c>
      <c r="O68" s="4"/>
      <c r="Q68" s="4"/>
    </row>
    <row r="69" spans="1:17">
      <c r="A69" s="29" t="s">
        <v>5801</v>
      </c>
      <c r="B69" s="29" t="s">
        <v>3121</v>
      </c>
      <c r="C69" s="4" t="s">
        <v>14590</v>
      </c>
      <c r="D69" s="28">
        <v>0</v>
      </c>
      <c r="E69" s="28">
        <v>0</v>
      </c>
      <c r="F69" s="28">
        <v>0</v>
      </c>
      <c r="G69" s="30">
        <v>0</v>
      </c>
      <c r="H69" s="30">
        <v>0</v>
      </c>
      <c r="I69" s="30">
        <v>0</v>
      </c>
      <c r="J69" s="31">
        <v>2468</v>
      </c>
      <c r="K69" s="31">
        <v>2568</v>
      </c>
      <c r="L69" s="31">
        <v>2616</v>
      </c>
      <c r="N69" s="29" t="s">
        <v>7127</v>
      </c>
      <c r="O69" s="4"/>
      <c r="Q69" s="4"/>
    </row>
    <row r="70" spans="1:17">
      <c r="A70" s="29" t="s">
        <v>5927</v>
      </c>
      <c r="B70" s="29" t="s">
        <v>3122</v>
      </c>
      <c r="C70" s="4" t="s">
        <v>14591</v>
      </c>
      <c r="D70" s="28">
        <v>0</v>
      </c>
      <c r="E70" s="28">
        <v>0</v>
      </c>
      <c r="F70" s="28">
        <v>0</v>
      </c>
      <c r="G70" s="31">
        <v>0</v>
      </c>
      <c r="H70" s="31">
        <v>0</v>
      </c>
      <c r="I70" s="31">
        <v>0</v>
      </c>
      <c r="J70" s="31">
        <v>2196</v>
      </c>
      <c r="K70" s="31">
        <v>2235</v>
      </c>
      <c r="L70" s="31">
        <v>2260</v>
      </c>
      <c r="N70" s="29" t="s">
        <v>7127</v>
      </c>
      <c r="O70" s="4"/>
      <c r="Q70" s="4"/>
    </row>
    <row r="71" spans="1:17">
      <c r="A71" s="29" t="s">
        <v>5929</v>
      </c>
      <c r="B71" s="29" t="s">
        <v>14592</v>
      </c>
      <c r="C71" s="4" t="s">
        <v>14593</v>
      </c>
      <c r="D71" s="28">
        <v>0</v>
      </c>
      <c r="E71" s="28">
        <v>0</v>
      </c>
      <c r="F71" s="28">
        <v>0</v>
      </c>
      <c r="G71" s="31">
        <v>0</v>
      </c>
      <c r="H71" s="31">
        <v>0</v>
      </c>
      <c r="I71" s="31">
        <v>0</v>
      </c>
      <c r="J71" s="30">
        <v>4179</v>
      </c>
      <c r="K71" s="30">
        <v>4325</v>
      </c>
      <c r="L71" s="30">
        <v>4326</v>
      </c>
      <c r="N71" s="29" t="s">
        <v>7123</v>
      </c>
      <c r="O71" s="4"/>
      <c r="Q71" s="4"/>
    </row>
    <row r="72" spans="1:17">
      <c r="A72" s="29" t="s">
        <v>5931</v>
      </c>
      <c r="B72" s="29" t="s">
        <v>14594</v>
      </c>
      <c r="C72" s="4" t="s">
        <v>14595</v>
      </c>
      <c r="D72" s="26">
        <v>0</v>
      </c>
      <c r="E72" s="26">
        <v>0</v>
      </c>
      <c r="F72" s="26">
        <v>0</v>
      </c>
      <c r="G72" s="30">
        <v>0</v>
      </c>
      <c r="H72" s="30">
        <v>0</v>
      </c>
      <c r="I72" s="30">
        <v>0</v>
      </c>
      <c r="J72" s="30">
        <v>1616</v>
      </c>
      <c r="K72" s="30">
        <v>1678</v>
      </c>
      <c r="L72" s="30">
        <v>1726</v>
      </c>
      <c r="N72" s="25" t="s">
        <v>7123</v>
      </c>
      <c r="O72" s="4"/>
      <c r="Q72" s="4"/>
    </row>
    <row r="73" spans="1:17" ht="15.75" thickBot="1">
      <c r="A73" s="29"/>
      <c r="B73" s="29"/>
      <c r="C73" s="4" t="s">
        <v>14593</v>
      </c>
      <c r="D73" s="26">
        <v>0</v>
      </c>
      <c r="E73" s="26">
        <v>0</v>
      </c>
      <c r="F73" s="26">
        <v>0</v>
      </c>
      <c r="G73" s="31">
        <v>0</v>
      </c>
      <c r="H73" s="31">
        <v>0</v>
      </c>
      <c r="I73" s="31">
        <v>0</v>
      </c>
      <c r="J73" s="31">
        <v>538</v>
      </c>
      <c r="K73" s="31">
        <v>574</v>
      </c>
      <c r="L73" s="31">
        <v>566</v>
      </c>
      <c r="N73" s="29" t="s">
        <v>7127</v>
      </c>
      <c r="O73" s="4"/>
      <c r="Q73" s="4"/>
    </row>
    <row r="74" spans="1:17" ht="15.75" thickBot="1">
      <c r="A74" s="29"/>
      <c r="B74" s="29"/>
      <c r="C74" s="4" t="s">
        <v>14595</v>
      </c>
      <c r="D74" s="540">
        <f t="shared" ref="D74:L74" si="65">D72+D73</f>
        <v>0</v>
      </c>
      <c r="E74" s="540">
        <f t="shared" si="65"/>
        <v>0</v>
      </c>
      <c r="F74" s="540">
        <f t="shared" si="65"/>
        <v>0</v>
      </c>
      <c r="G74" s="540">
        <f t="shared" si="65"/>
        <v>0</v>
      </c>
      <c r="H74" s="540">
        <f t="shared" si="65"/>
        <v>0</v>
      </c>
      <c r="I74" s="540">
        <f t="shared" si="65"/>
        <v>0</v>
      </c>
      <c r="J74" s="540">
        <f t="shared" si="65"/>
        <v>2154</v>
      </c>
      <c r="K74" s="540">
        <f t="shared" si="65"/>
        <v>2252</v>
      </c>
      <c r="L74" s="540">
        <f t="shared" si="65"/>
        <v>2292</v>
      </c>
      <c r="N74" s="29"/>
      <c r="O74" s="4"/>
      <c r="Q74" s="4"/>
    </row>
    <row r="75" spans="1:17">
      <c r="A75" s="29" t="s">
        <v>5933</v>
      </c>
      <c r="B75" s="29" t="s">
        <v>14596</v>
      </c>
      <c r="C75" s="4" t="s">
        <v>14597</v>
      </c>
      <c r="D75" s="28">
        <v>0</v>
      </c>
      <c r="E75" s="28">
        <v>0</v>
      </c>
      <c r="F75" s="28">
        <v>0</v>
      </c>
      <c r="G75" s="31">
        <v>0</v>
      </c>
      <c r="H75" s="31">
        <v>0</v>
      </c>
      <c r="I75" s="31">
        <v>0</v>
      </c>
      <c r="J75" s="30">
        <v>6288</v>
      </c>
      <c r="K75" s="30">
        <v>6517</v>
      </c>
      <c r="L75" s="30">
        <v>6517</v>
      </c>
      <c r="N75" s="29" t="s">
        <v>7123</v>
      </c>
      <c r="O75" s="4"/>
      <c r="Q75" s="4"/>
    </row>
    <row r="76" spans="1:17">
      <c r="A76" s="29" t="s">
        <v>7897</v>
      </c>
      <c r="B76" s="29" t="s">
        <v>3124</v>
      </c>
      <c r="C76" s="4" t="s">
        <v>14598</v>
      </c>
      <c r="D76" s="28">
        <v>0</v>
      </c>
      <c r="E76" s="28">
        <v>0</v>
      </c>
      <c r="F76" s="28">
        <v>0</v>
      </c>
      <c r="G76" s="30">
        <v>0</v>
      </c>
      <c r="H76" s="30">
        <v>0</v>
      </c>
      <c r="I76" s="30">
        <v>0</v>
      </c>
      <c r="J76" s="31">
        <v>2321</v>
      </c>
      <c r="K76" s="31">
        <v>2482</v>
      </c>
      <c r="L76" s="31">
        <v>2541</v>
      </c>
      <c r="N76" s="29" t="s">
        <v>7127</v>
      </c>
      <c r="O76" s="4"/>
      <c r="Q76" s="4"/>
    </row>
    <row r="77" spans="1:17">
      <c r="A77" s="29" t="s">
        <v>7898</v>
      </c>
      <c r="B77" s="29" t="s">
        <v>3126</v>
      </c>
      <c r="C77" s="4" t="s">
        <v>14599</v>
      </c>
      <c r="D77" s="28">
        <v>0</v>
      </c>
      <c r="E77" s="28">
        <v>0</v>
      </c>
      <c r="F77" s="28">
        <v>0</v>
      </c>
      <c r="G77" s="30">
        <v>0</v>
      </c>
      <c r="H77" s="30">
        <v>0</v>
      </c>
      <c r="I77" s="30">
        <v>0</v>
      </c>
      <c r="J77" s="31">
        <v>2295</v>
      </c>
      <c r="K77" s="31">
        <v>2389</v>
      </c>
      <c r="L77" s="31">
        <v>2378</v>
      </c>
      <c r="N77" s="29" t="s">
        <v>7127</v>
      </c>
      <c r="O77" s="4"/>
      <c r="Q77" s="4"/>
    </row>
    <row r="78" spans="1:17">
      <c r="A78" s="29" t="s">
        <v>7899</v>
      </c>
      <c r="B78" s="29" t="s">
        <v>3128</v>
      </c>
      <c r="C78" s="4" t="s">
        <v>14600</v>
      </c>
      <c r="D78" s="28">
        <v>0</v>
      </c>
      <c r="E78" s="28">
        <v>0</v>
      </c>
      <c r="F78" s="28">
        <v>0</v>
      </c>
      <c r="G78" s="30">
        <v>0</v>
      </c>
      <c r="H78" s="30">
        <v>0</v>
      </c>
      <c r="I78" s="30">
        <v>0</v>
      </c>
      <c r="J78" s="31">
        <v>4658</v>
      </c>
      <c r="K78" s="31">
        <v>4828</v>
      </c>
      <c r="L78" s="31">
        <v>4925</v>
      </c>
      <c r="N78" s="29" t="s">
        <v>7127</v>
      </c>
    </row>
    <row r="79" spans="1:17">
      <c r="D79" s="27"/>
      <c r="E79" s="27"/>
      <c r="F79" s="27"/>
      <c r="G79" s="27"/>
      <c r="H79" s="27"/>
      <c r="I79" s="27"/>
      <c r="J79" s="27"/>
      <c r="K79" s="27"/>
      <c r="L79" s="27"/>
    </row>
    <row r="80" spans="1:17">
      <c r="A80" s="29" t="s">
        <v>3129</v>
      </c>
      <c r="D80" s="28">
        <f>D38+D39+D42+D43+D45+D46+D55+D57+D63+D71+D66+D72+D75</f>
        <v>63083</v>
      </c>
      <c r="E80" s="28">
        <f t="shared" ref="E80:J80" si="66">E38+E39+E42+E43+E45+E46+E55+E57+E63+E71+E66+E72+E75</f>
        <v>63581</v>
      </c>
      <c r="F80" s="28">
        <f t="shared" si="66"/>
        <v>64239</v>
      </c>
      <c r="G80" s="28">
        <f t="shared" si="66"/>
        <v>65283</v>
      </c>
      <c r="H80" s="28">
        <f t="shared" si="66"/>
        <v>66358</v>
      </c>
      <c r="I80" s="28">
        <f t="shared" si="66"/>
        <v>64408</v>
      </c>
      <c r="J80" s="28">
        <f t="shared" si="66"/>
        <v>62648</v>
      </c>
      <c r="K80" s="28">
        <f t="shared" ref="K80:L80" si="67">K38+K39+K42+K43+K45+K46+K55+K57+K63+K71+K66+K72+K75</f>
        <v>65558</v>
      </c>
      <c r="L80" s="28">
        <f t="shared" si="67"/>
        <v>67004</v>
      </c>
    </row>
    <row r="81" spans="1:17">
      <c r="A81" s="29" t="s">
        <v>3130</v>
      </c>
      <c r="D81" s="28">
        <f>D40+D41+D44+D47+SUM(D49:D54)+D58+D56+SUM(D60:D62)+D64+SUM(D67:D70)+D73+SUM(D76:D78)</f>
        <v>66245</v>
      </c>
      <c r="E81" s="28">
        <f t="shared" ref="E81:J81" si="68">E40+E41+E44+E47+SUM(E49:E54)+E58+E56+SUM(E60:E62)+E64+SUM(E67:E70)+E73+SUM(E76:E78)</f>
        <v>66985</v>
      </c>
      <c r="F81" s="28">
        <f t="shared" si="68"/>
        <v>67542</v>
      </c>
      <c r="G81" s="28">
        <f t="shared" si="68"/>
        <v>68681</v>
      </c>
      <c r="H81" s="28">
        <f t="shared" si="68"/>
        <v>69504</v>
      </c>
      <c r="I81" s="28">
        <f t="shared" si="68"/>
        <v>68162</v>
      </c>
      <c r="J81" s="28">
        <f t="shared" si="68"/>
        <v>66129</v>
      </c>
      <c r="K81" s="28">
        <f t="shared" ref="K81:L81" si="69">K40+K41+K44+K47+SUM(K49:K54)+K58+K56+SUM(K60:K62)+K64+SUM(K67:K70)+K73+SUM(K76:K78)</f>
        <v>69389</v>
      </c>
      <c r="L81" s="28">
        <f t="shared" si="69"/>
        <v>70541</v>
      </c>
    </row>
    <row r="82" spans="1:17">
      <c r="A82" s="29"/>
      <c r="D82" s="28"/>
      <c r="E82" s="28"/>
      <c r="F82" s="28"/>
      <c r="G82" s="28"/>
      <c r="H82" s="28"/>
      <c r="I82" s="28"/>
      <c r="J82" s="28"/>
      <c r="K82" s="28"/>
      <c r="L82" s="28"/>
    </row>
    <row r="83" spans="1:17">
      <c r="A83" s="29" t="s">
        <v>14555</v>
      </c>
      <c r="D83" s="28"/>
      <c r="E83" s="28"/>
      <c r="F83" s="28"/>
      <c r="G83" s="28"/>
      <c r="H83" s="28"/>
      <c r="I83" s="28"/>
      <c r="J83" s="28"/>
      <c r="K83" s="28"/>
      <c r="L83" s="28"/>
    </row>
    <row r="84" spans="1:17">
      <c r="A84" s="29"/>
      <c r="B84" s="29"/>
      <c r="D84" s="541"/>
      <c r="E84" s="541"/>
      <c r="F84" s="541"/>
      <c r="G84" s="541"/>
      <c r="H84" s="541"/>
      <c r="I84" s="541"/>
      <c r="J84" s="541"/>
      <c r="K84" s="541"/>
      <c r="L84" s="541"/>
    </row>
    <row r="85" spans="1:17">
      <c r="A85" s="29"/>
      <c r="B85" s="29"/>
      <c r="D85" s="541"/>
      <c r="E85" s="541"/>
      <c r="F85" s="541"/>
      <c r="G85" s="541"/>
      <c r="H85" s="541"/>
      <c r="I85" s="541"/>
      <c r="J85" s="541"/>
      <c r="K85" s="541"/>
      <c r="L85" s="541"/>
    </row>
    <row r="86" spans="1:17">
      <c r="E86" s="42" t="s">
        <v>2303</v>
      </c>
      <c r="F86" s="42"/>
      <c r="G86" s="42"/>
      <c r="H86" s="42"/>
      <c r="I86" s="42"/>
      <c r="J86" s="42"/>
      <c r="K86" s="42"/>
      <c r="L86" s="42"/>
      <c r="N86" s="25" t="s">
        <v>13319</v>
      </c>
    </row>
    <row r="87" spans="1:17">
      <c r="D87" s="24">
        <v>2010</v>
      </c>
      <c r="E87" s="24">
        <v>2011</v>
      </c>
      <c r="F87" s="24">
        <v>2012</v>
      </c>
      <c r="G87" s="24">
        <v>2013</v>
      </c>
      <c r="H87" s="24">
        <v>2014</v>
      </c>
      <c r="I87" s="24">
        <v>2015</v>
      </c>
      <c r="J87" s="24">
        <v>2016</v>
      </c>
      <c r="K87" s="24">
        <v>2017</v>
      </c>
      <c r="L87" s="24">
        <v>2018</v>
      </c>
      <c r="N87" s="29" t="s">
        <v>2304</v>
      </c>
    </row>
    <row r="88" spans="1:17">
      <c r="A88" s="29" t="s">
        <v>3131</v>
      </c>
      <c r="D88" s="28">
        <f t="shared" ref="D88:I88" si="70">SUM(D89:D113)</f>
        <v>70021</v>
      </c>
      <c r="E88" s="28">
        <f t="shared" si="70"/>
        <v>70723</v>
      </c>
      <c r="F88" s="28">
        <f t="shared" si="70"/>
        <v>71302</v>
      </c>
      <c r="G88" s="28">
        <f t="shared" si="70"/>
        <v>71912</v>
      </c>
      <c r="H88" s="28">
        <f t="shared" si="70"/>
        <v>72319</v>
      </c>
      <c r="I88" s="28">
        <f t="shared" si="70"/>
        <v>72231</v>
      </c>
      <c r="J88" s="28">
        <f t="shared" ref="J88:K88" si="71">SUM(J89:J113)</f>
        <v>68560</v>
      </c>
      <c r="K88" s="28">
        <f t="shared" si="71"/>
        <v>70675</v>
      </c>
      <c r="L88" s="28">
        <f t="shared" ref="L88" si="72">SUM(L89:L113)</f>
        <v>71259</v>
      </c>
    </row>
    <row r="89" spans="1:17">
      <c r="A89" s="29" t="s">
        <v>6957</v>
      </c>
      <c r="B89" s="29" t="s">
        <v>3132</v>
      </c>
      <c r="C89" s="4" t="s">
        <v>10010</v>
      </c>
      <c r="D89" s="28">
        <v>1929</v>
      </c>
      <c r="E89" s="28">
        <v>1922</v>
      </c>
      <c r="F89" s="28">
        <v>1937</v>
      </c>
      <c r="G89" s="30">
        <v>1961</v>
      </c>
      <c r="H89" s="30">
        <v>1954</v>
      </c>
      <c r="I89" s="30">
        <v>1964</v>
      </c>
      <c r="J89" s="30">
        <v>1865</v>
      </c>
      <c r="K89" s="30">
        <v>1988</v>
      </c>
      <c r="L89" s="30">
        <v>2017</v>
      </c>
      <c r="N89" s="29" t="s">
        <v>7128</v>
      </c>
      <c r="O89" s="4"/>
      <c r="Q89" s="4"/>
    </row>
    <row r="90" spans="1:17">
      <c r="A90" s="29" t="s">
        <v>6959</v>
      </c>
      <c r="B90" s="29" t="s">
        <v>3133</v>
      </c>
      <c r="C90" s="4" t="s">
        <v>10011</v>
      </c>
      <c r="D90" s="28">
        <v>3482</v>
      </c>
      <c r="E90" s="28">
        <v>3535</v>
      </c>
      <c r="F90" s="28">
        <v>3593</v>
      </c>
      <c r="G90" s="30">
        <v>3695</v>
      </c>
      <c r="H90" s="30">
        <v>3732</v>
      </c>
      <c r="I90" s="30">
        <v>3726</v>
      </c>
      <c r="J90" s="30">
        <v>3520</v>
      </c>
      <c r="K90" s="30">
        <v>3573</v>
      </c>
      <c r="L90" s="30">
        <v>3634</v>
      </c>
      <c r="N90" s="29" t="s">
        <v>7128</v>
      </c>
      <c r="O90" s="4"/>
      <c r="Q90" s="4"/>
    </row>
    <row r="91" spans="1:17">
      <c r="A91" s="29" t="s">
        <v>6961</v>
      </c>
      <c r="B91" s="29" t="s">
        <v>3134</v>
      </c>
      <c r="C91" s="4" t="s">
        <v>10012</v>
      </c>
      <c r="D91" s="28">
        <v>3422</v>
      </c>
      <c r="E91" s="28">
        <v>3488</v>
      </c>
      <c r="F91" s="28">
        <v>3589</v>
      </c>
      <c r="G91" s="30">
        <v>3548</v>
      </c>
      <c r="H91" s="30">
        <v>3542</v>
      </c>
      <c r="I91" s="30">
        <v>3535</v>
      </c>
      <c r="J91" s="30">
        <v>3339</v>
      </c>
      <c r="K91" s="30">
        <v>3534</v>
      </c>
      <c r="L91" s="30">
        <v>3585</v>
      </c>
      <c r="N91" s="29" t="s">
        <v>7128</v>
      </c>
      <c r="O91" s="4"/>
      <c r="Q91" s="4"/>
    </row>
    <row r="92" spans="1:17">
      <c r="A92" s="29" t="s">
        <v>6963</v>
      </c>
      <c r="B92" s="29" t="s">
        <v>3135</v>
      </c>
      <c r="C92" s="4" t="s">
        <v>10013</v>
      </c>
      <c r="D92" s="28">
        <v>3571</v>
      </c>
      <c r="E92" s="28">
        <v>3609</v>
      </c>
      <c r="F92" s="28">
        <v>3672</v>
      </c>
      <c r="G92" s="30">
        <v>3718</v>
      </c>
      <c r="H92" s="30">
        <v>3769</v>
      </c>
      <c r="I92" s="30">
        <v>3768</v>
      </c>
      <c r="J92" s="30">
        <v>3580</v>
      </c>
      <c r="K92" s="30">
        <v>3590</v>
      </c>
      <c r="L92" s="30">
        <v>3712</v>
      </c>
      <c r="N92" s="29" t="s">
        <v>7128</v>
      </c>
      <c r="O92" s="4"/>
      <c r="Q92" s="4"/>
    </row>
    <row r="93" spans="1:17">
      <c r="A93" s="29" t="s">
        <v>6965</v>
      </c>
      <c r="B93" s="29" t="s">
        <v>4812</v>
      </c>
      <c r="C93" s="4" t="s">
        <v>10014</v>
      </c>
      <c r="D93" s="28">
        <v>1705</v>
      </c>
      <c r="E93" s="28">
        <v>1784</v>
      </c>
      <c r="F93" s="28">
        <v>1767</v>
      </c>
      <c r="G93" s="30">
        <v>1808</v>
      </c>
      <c r="H93" s="30">
        <v>1821</v>
      </c>
      <c r="I93" s="30">
        <v>1809</v>
      </c>
      <c r="J93" s="30">
        <v>1725</v>
      </c>
      <c r="K93" s="30">
        <v>1762</v>
      </c>
      <c r="L93" s="30">
        <v>1767</v>
      </c>
      <c r="N93" s="29" t="s">
        <v>7128</v>
      </c>
      <c r="O93" s="4"/>
      <c r="Q93" s="4"/>
    </row>
    <row r="94" spans="1:17">
      <c r="A94" s="29" t="s">
        <v>6997</v>
      </c>
      <c r="B94" s="29" t="s">
        <v>4813</v>
      </c>
      <c r="C94" s="4" t="s">
        <v>10015</v>
      </c>
      <c r="D94" s="28">
        <v>1709</v>
      </c>
      <c r="E94" s="28">
        <v>1721</v>
      </c>
      <c r="F94" s="28">
        <v>1737</v>
      </c>
      <c r="G94" s="30">
        <v>1738</v>
      </c>
      <c r="H94" s="30">
        <v>1725</v>
      </c>
      <c r="I94" s="30">
        <v>1729</v>
      </c>
      <c r="J94" s="30">
        <v>1646</v>
      </c>
      <c r="K94" s="30">
        <v>1730</v>
      </c>
      <c r="L94" s="30">
        <v>1702</v>
      </c>
      <c r="N94" s="29" t="s">
        <v>7128</v>
      </c>
      <c r="O94" s="4"/>
      <c r="Q94" s="4"/>
    </row>
    <row r="95" spans="1:17">
      <c r="A95" s="29" t="s">
        <v>6999</v>
      </c>
      <c r="B95" s="29" t="s">
        <v>4814</v>
      </c>
      <c r="C95" s="4" t="s">
        <v>10016</v>
      </c>
      <c r="D95" s="28">
        <v>1778</v>
      </c>
      <c r="E95" s="28">
        <v>1810</v>
      </c>
      <c r="F95" s="28">
        <v>1804</v>
      </c>
      <c r="G95" s="30">
        <v>1829</v>
      </c>
      <c r="H95" s="30">
        <v>1824</v>
      </c>
      <c r="I95" s="30">
        <v>1819</v>
      </c>
      <c r="J95" s="30">
        <v>1703</v>
      </c>
      <c r="K95" s="30">
        <v>1768</v>
      </c>
      <c r="L95" s="30">
        <v>1762</v>
      </c>
      <c r="N95" s="29" t="s">
        <v>7128</v>
      </c>
      <c r="O95" s="4"/>
      <c r="Q95" s="4"/>
    </row>
    <row r="96" spans="1:17">
      <c r="A96" s="29" t="s">
        <v>7001</v>
      </c>
      <c r="B96" s="29" t="s">
        <v>7725</v>
      </c>
      <c r="C96" s="4" t="s">
        <v>10017</v>
      </c>
      <c r="D96" s="28">
        <v>3267</v>
      </c>
      <c r="E96" s="28">
        <v>3207</v>
      </c>
      <c r="F96" s="28">
        <v>3301</v>
      </c>
      <c r="G96" s="30">
        <v>3314</v>
      </c>
      <c r="H96" s="30">
        <v>3323</v>
      </c>
      <c r="I96" s="30">
        <v>3323</v>
      </c>
      <c r="J96" s="30">
        <v>3091</v>
      </c>
      <c r="K96" s="30">
        <v>3251</v>
      </c>
      <c r="L96" s="30">
        <v>3281</v>
      </c>
      <c r="N96" s="29" t="s">
        <v>7128</v>
      </c>
      <c r="O96" s="4"/>
      <c r="Q96" s="4"/>
    </row>
    <row r="97" spans="1:17">
      <c r="A97" s="29" t="s">
        <v>7003</v>
      </c>
      <c r="B97" s="29" t="s">
        <v>4815</v>
      </c>
      <c r="C97" s="4" t="s">
        <v>10018</v>
      </c>
      <c r="D97" s="28">
        <v>3075</v>
      </c>
      <c r="E97" s="28">
        <v>3093</v>
      </c>
      <c r="F97" s="28">
        <v>3161</v>
      </c>
      <c r="G97" s="30">
        <v>3148</v>
      </c>
      <c r="H97" s="30">
        <v>3155</v>
      </c>
      <c r="I97" s="30">
        <v>3152</v>
      </c>
      <c r="J97" s="30">
        <v>3075</v>
      </c>
      <c r="K97" s="30">
        <v>3235</v>
      </c>
      <c r="L97" s="30">
        <v>3252</v>
      </c>
      <c r="N97" s="29" t="s">
        <v>7128</v>
      </c>
      <c r="O97" s="4"/>
      <c r="Q97" s="4"/>
    </row>
    <row r="98" spans="1:17">
      <c r="A98" s="29" t="s">
        <v>7005</v>
      </c>
      <c r="B98" s="29" t="s">
        <v>4816</v>
      </c>
      <c r="C98" s="4" t="s">
        <v>10019</v>
      </c>
      <c r="D98" s="28">
        <v>5324</v>
      </c>
      <c r="E98" s="28">
        <v>5453</v>
      </c>
      <c r="F98" s="28">
        <v>5458</v>
      </c>
      <c r="G98" s="30">
        <v>5539</v>
      </c>
      <c r="H98" s="30">
        <v>5531</v>
      </c>
      <c r="I98" s="30">
        <v>5526</v>
      </c>
      <c r="J98" s="30">
        <v>5202</v>
      </c>
      <c r="K98" s="30">
        <v>5432</v>
      </c>
      <c r="L98" s="30">
        <v>5450</v>
      </c>
      <c r="N98" s="29" t="s">
        <v>7128</v>
      </c>
      <c r="O98" s="4"/>
      <c r="Q98" s="4"/>
    </row>
    <row r="99" spans="1:17">
      <c r="A99" s="29" t="s">
        <v>7007</v>
      </c>
      <c r="B99" s="29" t="s">
        <v>4817</v>
      </c>
      <c r="C99" s="4" t="s">
        <v>10020</v>
      </c>
      <c r="D99" s="28">
        <v>3949</v>
      </c>
      <c r="E99" s="28">
        <v>3984</v>
      </c>
      <c r="F99" s="28">
        <v>4023</v>
      </c>
      <c r="G99" s="30">
        <v>4053</v>
      </c>
      <c r="H99" s="30">
        <v>4024</v>
      </c>
      <c r="I99" s="30">
        <v>4020</v>
      </c>
      <c r="J99" s="30">
        <v>3831</v>
      </c>
      <c r="K99" s="30">
        <v>3976</v>
      </c>
      <c r="L99" s="30">
        <v>3950</v>
      </c>
      <c r="N99" s="29" t="s">
        <v>7128</v>
      </c>
      <c r="O99" s="4"/>
      <c r="Q99" s="4"/>
    </row>
    <row r="100" spans="1:17">
      <c r="A100" s="29" t="s">
        <v>7009</v>
      </c>
      <c r="B100" s="29" t="s">
        <v>4818</v>
      </c>
      <c r="C100" s="4" t="s">
        <v>10021</v>
      </c>
      <c r="D100" s="28">
        <v>1850</v>
      </c>
      <c r="E100" s="28">
        <v>1887</v>
      </c>
      <c r="F100" s="28">
        <v>1906</v>
      </c>
      <c r="G100" s="30">
        <v>1899</v>
      </c>
      <c r="H100" s="30">
        <v>1902</v>
      </c>
      <c r="I100" s="30">
        <v>1892</v>
      </c>
      <c r="J100" s="30">
        <v>1837</v>
      </c>
      <c r="K100" s="30">
        <v>1911</v>
      </c>
      <c r="L100" s="30">
        <v>1889</v>
      </c>
      <c r="N100" s="29" t="s">
        <v>7128</v>
      </c>
      <c r="O100" s="4"/>
      <c r="Q100" s="4"/>
    </row>
    <row r="101" spans="1:17">
      <c r="A101" s="29" t="s">
        <v>7011</v>
      </c>
      <c r="B101" s="29" t="s">
        <v>4819</v>
      </c>
      <c r="C101" s="4" t="s">
        <v>10022</v>
      </c>
      <c r="D101" s="28">
        <v>1633</v>
      </c>
      <c r="E101" s="28">
        <v>1634</v>
      </c>
      <c r="F101" s="28">
        <v>1608</v>
      </c>
      <c r="G101" s="30">
        <v>1611</v>
      </c>
      <c r="H101" s="30">
        <v>1628</v>
      </c>
      <c r="I101" s="30">
        <v>1629</v>
      </c>
      <c r="J101" s="30">
        <v>1582</v>
      </c>
      <c r="K101" s="30">
        <v>1645</v>
      </c>
      <c r="L101" s="30">
        <v>1691</v>
      </c>
      <c r="N101" s="29" t="s">
        <v>7128</v>
      </c>
      <c r="O101" s="4"/>
      <c r="Q101" s="4"/>
    </row>
    <row r="102" spans="1:17">
      <c r="A102" s="29" t="s">
        <v>7013</v>
      </c>
      <c r="B102" s="29" t="s">
        <v>4820</v>
      </c>
      <c r="C102" s="4" t="s">
        <v>10023</v>
      </c>
      <c r="D102" s="28">
        <v>1841</v>
      </c>
      <c r="E102" s="28">
        <v>1839</v>
      </c>
      <c r="F102" s="28">
        <v>1834</v>
      </c>
      <c r="G102" s="30">
        <v>1836</v>
      </c>
      <c r="H102" s="30">
        <v>1819</v>
      </c>
      <c r="I102" s="30">
        <v>1797</v>
      </c>
      <c r="J102" s="30">
        <v>1693</v>
      </c>
      <c r="K102" s="30">
        <v>1720</v>
      </c>
      <c r="L102" s="30">
        <v>1711</v>
      </c>
      <c r="N102" s="29" t="s">
        <v>7128</v>
      </c>
      <c r="O102" s="4"/>
      <c r="Q102" s="4"/>
    </row>
    <row r="103" spans="1:17">
      <c r="A103" s="29" t="s">
        <v>7015</v>
      </c>
      <c r="B103" s="29" t="s">
        <v>4821</v>
      </c>
      <c r="C103" s="4" t="s">
        <v>10024</v>
      </c>
      <c r="D103" s="28">
        <v>3400</v>
      </c>
      <c r="E103" s="28">
        <v>3439</v>
      </c>
      <c r="F103" s="28">
        <v>3477</v>
      </c>
      <c r="G103" s="30">
        <v>3498</v>
      </c>
      <c r="H103" s="30">
        <v>3512</v>
      </c>
      <c r="I103" s="30">
        <v>3507</v>
      </c>
      <c r="J103" s="30">
        <v>3330</v>
      </c>
      <c r="K103" s="30">
        <v>3442</v>
      </c>
      <c r="L103" s="30">
        <v>3485</v>
      </c>
      <c r="N103" s="29" t="s">
        <v>7128</v>
      </c>
      <c r="O103" s="4"/>
      <c r="Q103" s="4"/>
    </row>
    <row r="104" spans="1:17">
      <c r="A104" s="29" t="s">
        <v>7017</v>
      </c>
      <c r="B104" s="29" t="s">
        <v>4822</v>
      </c>
      <c r="C104" s="4" t="s">
        <v>10025</v>
      </c>
      <c r="D104" s="28">
        <v>3250</v>
      </c>
      <c r="E104" s="28">
        <v>3287</v>
      </c>
      <c r="F104" s="28">
        <v>3304</v>
      </c>
      <c r="G104" s="31">
        <v>3395</v>
      </c>
      <c r="H104" s="31">
        <v>3436</v>
      </c>
      <c r="I104" s="31">
        <v>3427</v>
      </c>
      <c r="J104" s="31">
        <v>3279</v>
      </c>
      <c r="K104" s="31">
        <v>3314</v>
      </c>
      <c r="L104" s="31">
        <v>3324</v>
      </c>
      <c r="N104" s="29" t="s">
        <v>7128</v>
      </c>
      <c r="O104" s="4"/>
      <c r="Q104" s="4"/>
    </row>
    <row r="105" spans="1:17">
      <c r="A105" s="29" t="s">
        <v>7019</v>
      </c>
      <c r="B105" s="29" t="s">
        <v>4823</v>
      </c>
      <c r="C105" s="4" t="s">
        <v>10026</v>
      </c>
      <c r="D105" s="28">
        <v>3608</v>
      </c>
      <c r="E105" s="28">
        <v>3643</v>
      </c>
      <c r="F105" s="28">
        <v>3650</v>
      </c>
      <c r="G105" s="31">
        <v>3726</v>
      </c>
      <c r="H105" s="31">
        <v>3996</v>
      </c>
      <c r="I105" s="31">
        <v>3996</v>
      </c>
      <c r="J105" s="31">
        <v>3815</v>
      </c>
      <c r="K105" s="31">
        <v>3860</v>
      </c>
      <c r="L105" s="31">
        <v>3966</v>
      </c>
      <c r="N105" s="29" t="s">
        <v>7128</v>
      </c>
      <c r="O105" s="4"/>
      <c r="Q105" s="4"/>
    </row>
    <row r="106" spans="1:17">
      <c r="A106" s="29" t="s">
        <v>7021</v>
      </c>
      <c r="B106" s="29" t="s">
        <v>4824</v>
      </c>
      <c r="C106" s="4" t="s">
        <v>10027</v>
      </c>
      <c r="D106" s="28">
        <v>1915</v>
      </c>
      <c r="E106" s="28">
        <v>1965</v>
      </c>
      <c r="F106" s="28">
        <v>1952</v>
      </c>
      <c r="G106" s="31">
        <v>1969</v>
      </c>
      <c r="H106" s="31">
        <v>1944</v>
      </c>
      <c r="I106" s="31">
        <v>1937</v>
      </c>
      <c r="J106" s="31">
        <v>1869</v>
      </c>
      <c r="K106" s="31">
        <v>1914</v>
      </c>
      <c r="L106" s="31">
        <v>1940</v>
      </c>
      <c r="N106" s="29" t="s">
        <v>7128</v>
      </c>
      <c r="O106" s="4"/>
      <c r="Q106" s="4"/>
    </row>
    <row r="107" spans="1:17">
      <c r="A107" s="29" t="s">
        <v>7023</v>
      </c>
      <c r="B107" s="29" t="s">
        <v>8435</v>
      </c>
      <c r="C107" s="4" t="s">
        <v>10028</v>
      </c>
      <c r="D107" s="28">
        <v>1803</v>
      </c>
      <c r="E107" s="28">
        <v>1822</v>
      </c>
      <c r="F107" s="28">
        <v>1833</v>
      </c>
      <c r="G107" s="31">
        <v>1830</v>
      </c>
      <c r="H107" s="31">
        <v>1818</v>
      </c>
      <c r="I107" s="31">
        <v>1825</v>
      </c>
      <c r="J107" s="31">
        <v>1701</v>
      </c>
      <c r="K107" s="31">
        <v>1806</v>
      </c>
      <c r="L107" s="31">
        <v>1824</v>
      </c>
      <c r="N107" s="29" t="s">
        <v>7128</v>
      </c>
      <c r="O107" s="4"/>
      <c r="Q107" s="4"/>
    </row>
    <row r="108" spans="1:17">
      <c r="A108" s="29" t="s">
        <v>7025</v>
      </c>
      <c r="B108" s="29" t="s">
        <v>8436</v>
      </c>
      <c r="C108" s="4" t="s">
        <v>10029</v>
      </c>
      <c r="D108" s="28">
        <v>3572</v>
      </c>
      <c r="E108" s="28">
        <v>3618</v>
      </c>
      <c r="F108" s="28">
        <v>3616</v>
      </c>
      <c r="G108" s="31">
        <v>3630</v>
      </c>
      <c r="H108" s="31">
        <v>3622</v>
      </c>
      <c r="I108" s="31">
        <v>3629</v>
      </c>
      <c r="J108" s="31">
        <v>3450</v>
      </c>
      <c r="K108" s="31">
        <v>3549</v>
      </c>
      <c r="L108" s="31">
        <v>3541</v>
      </c>
      <c r="N108" s="29" t="s">
        <v>7128</v>
      </c>
      <c r="O108" s="4"/>
      <c r="Q108" s="4"/>
    </row>
    <row r="109" spans="1:17">
      <c r="A109" s="29" t="s">
        <v>7570</v>
      </c>
      <c r="B109" s="29" t="s">
        <v>8437</v>
      </c>
      <c r="C109" s="4" t="s">
        <v>10030</v>
      </c>
      <c r="D109" s="28">
        <v>5231</v>
      </c>
      <c r="E109" s="28">
        <v>5214</v>
      </c>
      <c r="F109" s="28">
        <v>5239</v>
      </c>
      <c r="G109" s="31">
        <v>5237</v>
      </c>
      <c r="H109" s="31">
        <v>5278</v>
      </c>
      <c r="I109" s="31">
        <v>5270</v>
      </c>
      <c r="J109" s="31">
        <v>5029</v>
      </c>
      <c r="K109" s="31">
        <v>5093</v>
      </c>
      <c r="L109" s="31">
        <v>5061</v>
      </c>
      <c r="N109" s="29" t="s">
        <v>7128</v>
      </c>
      <c r="O109" s="4"/>
      <c r="Q109" s="4"/>
    </row>
    <row r="110" spans="1:17">
      <c r="A110" s="29" t="s">
        <v>7572</v>
      </c>
      <c r="B110" s="29" t="s">
        <v>8438</v>
      </c>
      <c r="C110" s="4" t="s">
        <v>10031</v>
      </c>
      <c r="D110" s="28">
        <v>1883</v>
      </c>
      <c r="E110" s="28">
        <v>1865</v>
      </c>
      <c r="F110" s="28">
        <v>1887</v>
      </c>
      <c r="G110" s="31">
        <v>1902</v>
      </c>
      <c r="H110" s="31">
        <v>1917</v>
      </c>
      <c r="I110" s="31">
        <v>1905</v>
      </c>
      <c r="J110" s="31">
        <v>1782</v>
      </c>
      <c r="K110" s="31">
        <v>1777</v>
      </c>
      <c r="L110" s="31">
        <v>1833</v>
      </c>
      <c r="N110" s="29" t="s">
        <v>7128</v>
      </c>
      <c r="O110" s="4"/>
      <c r="Q110" s="4"/>
    </row>
    <row r="111" spans="1:17">
      <c r="A111" s="29" t="s">
        <v>7573</v>
      </c>
      <c r="B111" s="29" t="s">
        <v>8439</v>
      </c>
      <c r="C111" s="4" t="s">
        <v>10032</v>
      </c>
      <c r="D111" s="28">
        <v>3493</v>
      </c>
      <c r="E111" s="28">
        <v>3562</v>
      </c>
      <c r="F111" s="28">
        <v>3598</v>
      </c>
      <c r="G111" s="31">
        <v>3661</v>
      </c>
      <c r="H111" s="31">
        <v>3683</v>
      </c>
      <c r="I111" s="31">
        <v>3686</v>
      </c>
      <c r="J111" s="31">
        <v>3444</v>
      </c>
      <c r="K111" s="31">
        <v>3562</v>
      </c>
      <c r="L111" s="31">
        <v>3604</v>
      </c>
      <c r="N111" s="29" t="s">
        <v>7128</v>
      </c>
      <c r="O111" s="4"/>
      <c r="Q111" s="4"/>
    </row>
    <row r="112" spans="1:17">
      <c r="A112" s="29" t="s">
        <v>5798</v>
      </c>
      <c r="B112" s="29" t="s">
        <v>8440</v>
      </c>
      <c r="C112" s="4" t="s">
        <v>10033</v>
      </c>
      <c r="D112" s="28">
        <v>1757</v>
      </c>
      <c r="E112" s="28">
        <v>1785</v>
      </c>
      <c r="F112" s="28">
        <v>1800</v>
      </c>
      <c r="G112" s="31">
        <v>1791</v>
      </c>
      <c r="H112" s="31">
        <v>1798</v>
      </c>
      <c r="I112" s="31">
        <v>1797</v>
      </c>
      <c r="J112" s="31">
        <v>1721</v>
      </c>
      <c r="K112" s="31">
        <v>1757</v>
      </c>
      <c r="L112" s="31">
        <v>1752</v>
      </c>
      <c r="N112" s="29" t="s">
        <v>7128</v>
      </c>
      <c r="O112" s="4"/>
      <c r="Q112" s="4"/>
    </row>
    <row r="113" spans="1:17">
      <c r="A113" s="29" t="s">
        <v>5799</v>
      </c>
      <c r="B113" s="29" t="s">
        <v>8441</v>
      </c>
      <c r="C113" s="4" t="s">
        <v>10034</v>
      </c>
      <c r="D113" s="28">
        <v>1574</v>
      </c>
      <c r="E113" s="28">
        <v>1557</v>
      </c>
      <c r="F113" s="28">
        <v>1556</v>
      </c>
      <c r="G113" s="31">
        <v>1576</v>
      </c>
      <c r="H113" s="31">
        <v>1566</v>
      </c>
      <c r="I113" s="31">
        <v>1563</v>
      </c>
      <c r="J113" s="31">
        <v>1451</v>
      </c>
      <c r="K113" s="31">
        <v>1486</v>
      </c>
      <c r="L113" s="31">
        <v>1526</v>
      </c>
      <c r="N113" s="29" t="s">
        <v>7128</v>
      </c>
      <c r="O113" s="4"/>
      <c r="Q113" s="4"/>
    </row>
    <row r="114" spans="1:17">
      <c r="D114" s="27"/>
      <c r="E114" s="27"/>
      <c r="F114" s="27"/>
      <c r="G114" s="27"/>
      <c r="H114" s="27"/>
      <c r="I114" s="27"/>
      <c r="J114" s="27"/>
      <c r="K114" s="27"/>
      <c r="L114" s="27"/>
    </row>
    <row r="115" spans="1:17">
      <c r="A115" s="29" t="s">
        <v>7128</v>
      </c>
      <c r="D115" s="28">
        <f t="shared" ref="D115:I115" si="73">SUM(D89:D113)</f>
        <v>70021</v>
      </c>
      <c r="E115" s="28">
        <f t="shared" si="73"/>
        <v>70723</v>
      </c>
      <c r="F115" s="28">
        <f t="shared" si="73"/>
        <v>71302</v>
      </c>
      <c r="G115" s="28">
        <f t="shared" si="73"/>
        <v>71912</v>
      </c>
      <c r="H115" s="28">
        <f t="shared" si="73"/>
        <v>72319</v>
      </c>
      <c r="I115" s="28">
        <f t="shared" si="73"/>
        <v>72231</v>
      </c>
      <c r="J115" s="28">
        <f t="shared" ref="J115:K115" si="74">SUM(J89:J113)</f>
        <v>68560</v>
      </c>
      <c r="K115" s="28">
        <f t="shared" si="74"/>
        <v>70675</v>
      </c>
      <c r="L115" s="28">
        <f t="shared" ref="L115" si="75">SUM(L89:L113)</f>
        <v>71259</v>
      </c>
    </row>
    <row r="116" spans="1:17">
      <c r="A116" s="29"/>
      <c r="D116" s="28"/>
      <c r="E116" s="28"/>
      <c r="F116" s="28"/>
      <c r="G116" s="28"/>
      <c r="H116" s="28"/>
      <c r="I116" s="28"/>
      <c r="J116" s="28"/>
      <c r="K116" s="28"/>
      <c r="L116" s="28"/>
    </row>
    <row r="117" spans="1:17">
      <c r="A117" s="29" t="s">
        <v>8442</v>
      </c>
      <c r="D117" s="28"/>
      <c r="E117" s="28"/>
      <c r="F117" s="28"/>
      <c r="G117" s="28"/>
      <c r="H117" s="28"/>
      <c r="I117" s="28"/>
      <c r="J117" s="28"/>
      <c r="K117" s="28"/>
      <c r="L117" s="28"/>
    </row>
    <row r="118" spans="1:17">
      <c r="A118" s="29" t="s">
        <v>8443</v>
      </c>
      <c r="B118" s="29"/>
      <c r="D118" s="541"/>
      <c r="E118" s="541"/>
      <c r="F118" s="541"/>
      <c r="G118" s="541"/>
      <c r="H118" s="541"/>
      <c r="I118" s="541"/>
      <c r="J118" s="541"/>
      <c r="K118" s="541"/>
      <c r="L118" s="541"/>
    </row>
    <row r="119" spans="1:17">
      <c r="A119" s="29"/>
      <c r="B119" s="29"/>
      <c r="D119" s="541"/>
      <c r="E119" s="541"/>
      <c r="F119" s="541"/>
      <c r="G119" s="541"/>
      <c r="H119" s="541"/>
      <c r="I119" s="541"/>
      <c r="J119" s="541"/>
      <c r="K119" s="541"/>
      <c r="L119" s="541"/>
    </row>
    <row r="120" spans="1:17">
      <c r="A120" s="29"/>
      <c r="B120" s="29"/>
      <c r="D120" s="541"/>
      <c r="E120" s="541"/>
      <c r="F120" s="541"/>
      <c r="G120" s="541"/>
      <c r="H120" s="541"/>
      <c r="I120" s="541"/>
      <c r="J120" s="541"/>
      <c r="K120" s="541"/>
      <c r="L120" s="541"/>
    </row>
    <row r="121" spans="1:17">
      <c r="E121" s="42" t="s">
        <v>2303</v>
      </c>
      <c r="F121" s="42"/>
      <c r="G121" s="42"/>
      <c r="H121" s="42"/>
      <c r="I121" s="42"/>
      <c r="J121" s="42"/>
      <c r="K121" s="42"/>
      <c r="L121" s="42"/>
      <c r="N121" s="25" t="s">
        <v>13319</v>
      </c>
    </row>
    <row r="122" spans="1:17">
      <c r="D122" s="24">
        <v>2010</v>
      </c>
      <c r="E122" s="24">
        <v>2011</v>
      </c>
      <c r="F122" s="24">
        <v>2012</v>
      </c>
      <c r="G122" s="24">
        <v>2013</v>
      </c>
      <c r="H122" s="24">
        <v>2014</v>
      </c>
      <c r="I122" s="24">
        <v>2015</v>
      </c>
      <c r="J122" s="24">
        <v>2016</v>
      </c>
      <c r="K122" s="24">
        <v>2017</v>
      </c>
      <c r="L122" s="24">
        <v>2018</v>
      </c>
      <c r="N122" s="29" t="s">
        <v>2304</v>
      </c>
    </row>
    <row r="123" spans="1:17">
      <c r="A123" s="29" t="s">
        <v>8444</v>
      </c>
      <c r="D123" s="28">
        <f t="shared" ref="D123:J123" si="76">SUM(D124:D135)</f>
        <v>49691</v>
      </c>
      <c r="E123" s="28">
        <f t="shared" si="76"/>
        <v>50557</v>
      </c>
      <c r="F123" s="28">
        <f t="shared" si="76"/>
        <v>51242</v>
      </c>
      <c r="G123" s="28">
        <f t="shared" si="76"/>
        <v>51578</v>
      </c>
      <c r="H123" s="28">
        <f t="shared" si="76"/>
        <v>51855</v>
      </c>
      <c r="I123" s="28">
        <f t="shared" si="76"/>
        <v>51622</v>
      </c>
      <c r="J123" s="28">
        <f t="shared" si="76"/>
        <v>50332</v>
      </c>
      <c r="K123" s="28">
        <f t="shared" ref="K123:L123" si="77">SUM(K124:K135)</f>
        <v>51876</v>
      </c>
      <c r="L123" s="28">
        <f t="shared" si="77"/>
        <v>51857</v>
      </c>
    </row>
    <row r="124" spans="1:17">
      <c r="A124" s="29" t="s">
        <v>6957</v>
      </c>
      <c r="B124" s="29" t="s">
        <v>8445</v>
      </c>
      <c r="C124" s="4" t="s">
        <v>14536</v>
      </c>
      <c r="D124" s="28">
        <v>49691</v>
      </c>
      <c r="E124" s="28">
        <v>50557</v>
      </c>
      <c r="F124" s="28">
        <v>51242</v>
      </c>
      <c r="G124" s="30">
        <v>51578</v>
      </c>
      <c r="H124" s="30">
        <v>51855</v>
      </c>
      <c r="I124" s="30">
        <v>51622</v>
      </c>
      <c r="J124" s="30">
        <v>1949</v>
      </c>
      <c r="K124" s="30">
        <v>2004</v>
      </c>
      <c r="L124" s="30">
        <v>2004</v>
      </c>
      <c r="N124" s="29" t="s">
        <v>7126</v>
      </c>
      <c r="O124" s="4"/>
      <c r="Q124" s="4"/>
    </row>
    <row r="125" spans="1:17">
      <c r="A125" s="29" t="s">
        <v>6959</v>
      </c>
      <c r="B125" s="29" t="s">
        <v>8446</v>
      </c>
      <c r="C125" s="4" t="s">
        <v>14543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30">
        <v>2858</v>
      </c>
      <c r="K125" s="30">
        <v>3036</v>
      </c>
      <c r="L125" s="30">
        <v>2995</v>
      </c>
      <c r="N125" s="29" t="s">
        <v>7126</v>
      </c>
      <c r="O125" s="4"/>
      <c r="Q125" s="4"/>
    </row>
    <row r="126" spans="1:17">
      <c r="A126" s="29" t="s">
        <v>6961</v>
      </c>
      <c r="B126" s="29" t="s">
        <v>8447</v>
      </c>
      <c r="C126" s="4" t="s">
        <v>14544</v>
      </c>
      <c r="D126" s="28">
        <v>0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30">
        <v>3725</v>
      </c>
      <c r="K126" s="30">
        <v>3880</v>
      </c>
      <c r="L126" s="30">
        <v>3845</v>
      </c>
      <c r="N126" s="29" t="s">
        <v>7126</v>
      </c>
      <c r="O126" s="4"/>
      <c r="Q126" s="4"/>
    </row>
    <row r="127" spans="1:17">
      <c r="A127" s="29" t="s">
        <v>6963</v>
      </c>
      <c r="B127" s="29" t="s">
        <v>14535</v>
      </c>
      <c r="C127" s="4" t="s">
        <v>14545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8">
        <v>0</v>
      </c>
      <c r="J127" s="30">
        <v>5540</v>
      </c>
      <c r="K127" s="30">
        <v>5705</v>
      </c>
      <c r="L127" s="30">
        <v>5691</v>
      </c>
      <c r="N127" s="29" t="s">
        <v>7126</v>
      </c>
      <c r="O127" s="4"/>
      <c r="Q127" s="4"/>
    </row>
    <row r="128" spans="1:17">
      <c r="A128" s="29" t="s">
        <v>6965</v>
      </c>
      <c r="B128" s="29" t="s">
        <v>14537</v>
      </c>
      <c r="C128" s="4" t="s">
        <v>14546</v>
      </c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30">
        <v>5366</v>
      </c>
      <c r="K128" s="30">
        <v>5605</v>
      </c>
      <c r="L128" s="30">
        <v>5583</v>
      </c>
      <c r="N128" s="29" t="s">
        <v>7126</v>
      </c>
      <c r="O128" s="4"/>
      <c r="Q128" s="4"/>
    </row>
    <row r="129" spans="1:17">
      <c r="A129" s="29" t="s">
        <v>6997</v>
      </c>
      <c r="B129" s="29" t="s">
        <v>14538</v>
      </c>
      <c r="C129" s="4" t="s">
        <v>14547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30">
        <v>5686</v>
      </c>
      <c r="K129" s="30">
        <v>5732</v>
      </c>
      <c r="L129" s="30">
        <v>5741</v>
      </c>
      <c r="N129" s="29" t="s">
        <v>7126</v>
      </c>
      <c r="O129" s="4"/>
      <c r="Q129" s="4"/>
    </row>
    <row r="130" spans="1:17">
      <c r="A130" s="29" t="s">
        <v>6999</v>
      </c>
      <c r="B130" s="29" t="s">
        <v>14539</v>
      </c>
      <c r="C130" s="4" t="s">
        <v>14548</v>
      </c>
      <c r="D130" s="28">
        <v>0</v>
      </c>
      <c r="E130" s="28">
        <v>0</v>
      </c>
      <c r="F130" s="28">
        <v>0</v>
      </c>
      <c r="G130" s="28">
        <v>0</v>
      </c>
      <c r="H130" s="28">
        <v>0</v>
      </c>
      <c r="I130" s="28">
        <v>0</v>
      </c>
      <c r="J130" s="30">
        <v>5135</v>
      </c>
      <c r="K130" s="30">
        <v>5246</v>
      </c>
      <c r="L130" s="30">
        <v>5236</v>
      </c>
      <c r="N130" s="29" t="s">
        <v>7126</v>
      </c>
      <c r="O130" s="4"/>
      <c r="Q130" s="4"/>
    </row>
    <row r="131" spans="1:17">
      <c r="A131" s="29" t="s">
        <v>7001</v>
      </c>
      <c r="B131" s="29" t="s">
        <v>14541</v>
      </c>
      <c r="C131" s="4" t="s">
        <v>14549</v>
      </c>
      <c r="D131" s="28">
        <v>0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30">
        <v>5840</v>
      </c>
      <c r="K131" s="30">
        <v>5951</v>
      </c>
      <c r="L131" s="30">
        <v>5966</v>
      </c>
      <c r="N131" s="29" t="s">
        <v>7126</v>
      </c>
      <c r="O131" s="4"/>
      <c r="Q131" s="4"/>
    </row>
    <row r="132" spans="1:17">
      <c r="A132" s="29" t="s">
        <v>7003</v>
      </c>
      <c r="B132" s="29" t="s">
        <v>4869</v>
      </c>
      <c r="C132" s="4" t="s">
        <v>14550</v>
      </c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30">
        <v>3949</v>
      </c>
      <c r="K132" s="30">
        <v>4079</v>
      </c>
      <c r="L132" s="30">
        <v>4092</v>
      </c>
      <c r="N132" s="29" t="s">
        <v>7126</v>
      </c>
      <c r="O132" s="4"/>
      <c r="Q132" s="4"/>
    </row>
    <row r="133" spans="1:17">
      <c r="A133" s="29" t="s">
        <v>7005</v>
      </c>
      <c r="B133" s="29" t="s">
        <v>14542</v>
      </c>
      <c r="C133" s="4" t="s">
        <v>14551</v>
      </c>
      <c r="D133" s="28">
        <v>0</v>
      </c>
      <c r="E133" s="28">
        <v>0</v>
      </c>
      <c r="F133" s="28">
        <v>0</v>
      </c>
      <c r="G133" s="28">
        <v>0</v>
      </c>
      <c r="H133" s="28">
        <v>0</v>
      </c>
      <c r="I133" s="28">
        <v>0</v>
      </c>
      <c r="J133" s="30">
        <v>4788</v>
      </c>
      <c r="K133" s="30">
        <v>4970</v>
      </c>
      <c r="L133" s="30">
        <v>4985</v>
      </c>
      <c r="N133" s="29" t="s">
        <v>7126</v>
      </c>
      <c r="O133" s="4"/>
      <c r="Q133" s="4"/>
    </row>
    <row r="134" spans="1:17">
      <c r="A134" s="29" t="s">
        <v>7007</v>
      </c>
      <c r="B134" s="29" t="s">
        <v>4870</v>
      </c>
      <c r="C134" s="4" t="s">
        <v>14552</v>
      </c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30">
        <v>3672</v>
      </c>
      <c r="K134" s="30">
        <v>3737</v>
      </c>
      <c r="L134" s="30">
        <v>3794</v>
      </c>
      <c r="N134" s="29" t="s">
        <v>7126</v>
      </c>
      <c r="O134" s="4"/>
      <c r="Q134" s="4"/>
    </row>
    <row r="135" spans="1:17">
      <c r="A135" s="29" t="s">
        <v>7009</v>
      </c>
      <c r="B135" s="29" t="s">
        <v>14540</v>
      </c>
      <c r="C135" s="4" t="s">
        <v>14553</v>
      </c>
      <c r="D135" s="28">
        <v>0</v>
      </c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30">
        <v>1824</v>
      </c>
      <c r="K135" s="30">
        <v>1931</v>
      </c>
      <c r="L135" s="30">
        <v>1925</v>
      </c>
      <c r="N135" s="29" t="s">
        <v>7126</v>
      </c>
      <c r="O135" s="4"/>
      <c r="Q135" s="4"/>
    </row>
    <row r="136" spans="1:17">
      <c r="D136" s="27"/>
      <c r="E136" s="27"/>
      <c r="F136" s="27"/>
      <c r="G136" s="27"/>
      <c r="H136" s="27"/>
      <c r="I136" s="27"/>
      <c r="J136" s="27"/>
      <c r="K136" s="27"/>
      <c r="L136" s="27"/>
    </row>
    <row r="137" spans="1:17">
      <c r="A137" s="29" t="s">
        <v>7279</v>
      </c>
      <c r="D137" s="28">
        <f t="shared" ref="D137:J137" si="78">SUM(D124:D135)</f>
        <v>49691</v>
      </c>
      <c r="E137" s="28">
        <f t="shared" si="78"/>
        <v>50557</v>
      </c>
      <c r="F137" s="28">
        <f t="shared" si="78"/>
        <v>51242</v>
      </c>
      <c r="G137" s="28">
        <f t="shared" si="78"/>
        <v>51578</v>
      </c>
      <c r="H137" s="28">
        <f t="shared" si="78"/>
        <v>51855</v>
      </c>
      <c r="I137" s="28">
        <f t="shared" si="78"/>
        <v>51622</v>
      </c>
      <c r="J137" s="28">
        <f t="shared" si="78"/>
        <v>50332</v>
      </c>
      <c r="K137" s="28">
        <f t="shared" ref="K137:L137" si="79">SUM(K124:K135)</f>
        <v>51876</v>
      </c>
      <c r="L137" s="28">
        <f t="shared" si="79"/>
        <v>51857</v>
      </c>
    </row>
    <row r="139" spans="1:17">
      <c r="A139" s="29" t="s">
        <v>14554</v>
      </c>
    </row>
    <row r="140" spans="1:17">
      <c r="A140" s="29"/>
    </row>
    <row r="141" spans="1:17">
      <c r="A141" s="29"/>
    </row>
    <row r="142" spans="1:17">
      <c r="E142" s="42" t="s">
        <v>2303</v>
      </c>
      <c r="F142" s="42"/>
      <c r="G142" s="42"/>
      <c r="H142" s="42"/>
      <c r="I142" s="42"/>
      <c r="J142" s="42"/>
      <c r="K142" s="42"/>
      <c r="L142" s="42"/>
      <c r="N142" s="25" t="s">
        <v>13319</v>
      </c>
    </row>
    <row r="143" spans="1:17">
      <c r="D143" s="24">
        <v>2010</v>
      </c>
      <c r="E143" s="24">
        <v>2011</v>
      </c>
      <c r="F143" s="24">
        <v>2012</v>
      </c>
      <c r="G143" s="24">
        <v>2013</v>
      </c>
      <c r="H143" s="24">
        <v>2014</v>
      </c>
      <c r="I143" s="24">
        <v>2015</v>
      </c>
      <c r="J143" s="24">
        <v>2016</v>
      </c>
      <c r="K143" s="24">
        <v>2017</v>
      </c>
      <c r="L143" s="24">
        <v>2018</v>
      </c>
      <c r="N143" s="29" t="s">
        <v>2304</v>
      </c>
    </row>
    <row r="144" spans="1:17">
      <c r="A144" s="29" t="s">
        <v>7280</v>
      </c>
      <c r="D144" s="28">
        <f t="shared" ref="D144:I144" si="80">SUM(D145:D172)</f>
        <v>121664</v>
      </c>
      <c r="E144" s="28">
        <f t="shared" si="80"/>
        <v>122534</v>
      </c>
      <c r="F144" s="28">
        <f t="shared" si="80"/>
        <v>122020</v>
      </c>
      <c r="G144" s="28">
        <f t="shared" si="80"/>
        <v>120294</v>
      </c>
      <c r="H144" s="28">
        <f t="shared" si="80"/>
        <v>125901</v>
      </c>
      <c r="I144" s="28">
        <f t="shared" si="80"/>
        <v>122633</v>
      </c>
      <c r="J144" s="28">
        <f t="shared" ref="J144:K144" si="81">SUM(J145:J172)</f>
        <v>118932</v>
      </c>
      <c r="K144" s="28">
        <f t="shared" si="81"/>
        <v>124723</v>
      </c>
      <c r="L144" s="28">
        <f t="shared" ref="L144" si="82">SUM(L145:L172)</f>
        <v>125189</v>
      </c>
    </row>
    <row r="145" spans="1:17">
      <c r="A145" s="29" t="s">
        <v>6957</v>
      </c>
      <c r="B145" s="29" t="s">
        <v>8199</v>
      </c>
      <c r="C145" s="4" t="s">
        <v>10035</v>
      </c>
      <c r="D145" s="28">
        <v>6404</v>
      </c>
      <c r="E145" s="28">
        <v>6400</v>
      </c>
      <c r="F145" s="28">
        <v>6303</v>
      </c>
      <c r="G145" s="28">
        <v>6039</v>
      </c>
      <c r="H145" s="30">
        <v>6835</v>
      </c>
      <c r="I145" s="30">
        <v>6288</v>
      </c>
      <c r="J145" s="30">
        <v>6227</v>
      </c>
      <c r="K145" s="30">
        <v>6587</v>
      </c>
      <c r="L145" s="30">
        <v>6725</v>
      </c>
      <c r="N145" s="29" t="s">
        <v>7129</v>
      </c>
      <c r="O145" s="4"/>
      <c r="Q145" s="4"/>
    </row>
    <row r="146" spans="1:17">
      <c r="A146" s="29" t="s">
        <v>6959</v>
      </c>
      <c r="B146" s="29" t="s">
        <v>7281</v>
      </c>
      <c r="C146" s="4" t="s">
        <v>10036</v>
      </c>
      <c r="D146" s="28">
        <v>2168</v>
      </c>
      <c r="E146" s="28">
        <v>2201</v>
      </c>
      <c r="F146" s="28">
        <v>2227</v>
      </c>
      <c r="G146" s="28">
        <v>2228</v>
      </c>
      <c r="H146" s="30">
        <v>2278</v>
      </c>
      <c r="I146" s="30">
        <v>2254</v>
      </c>
      <c r="J146" s="30">
        <v>2149</v>
      </c>
      <c r="K146" s="30">
        <v>2230</v>
      </c>
      <c r="L146" s="30">
        <v>2248</v>
      </c>
      <c r="N146" s="29" t="s">
        <v>7123</v>
      </c>
      <c r="O146" s="4"/>
      <c r="Q146" s="4"/>
    </row>
    <row r="147" spans="1:17">
      <c r="A147" s="29" t="s">
        <v>6961</v>
      </c>
      <c r="B147" s="29" t="s">
        <v>7282</v>
      </c>
      <c r="C147" s="4" t="s">
        <v>10037</v>
      </c>
      <c r="D147" s="28">
        <v>3742</v>
      </c>
      <c r="E147" s="28">
        <v>3667</v>
      </c>
      <c r="F147" s="28">
        <v>3558</v>
      </c>
      <c r="G147" s="28">
        <v>3613</v>
      </c>
      <c r="H147" s="30">
        <v>3779</v>
      </c>
      <c r="I147" s="30">
        <v>3656</v>
      </c>
      <c r="J147" s="30">
        <v>3474</v>
      </c>
      <c r="K147" s="30">
        <v>3628</v>
      </c>
      <c r="L147" s="30">
        <v>3585</v>
      </c>
      <c r="N147" s="29" t="s">
        <v>7129</v>
      </c>
      <c r="O147" s="4"/>
      <c r="Q147" s="4"/>
    </row>
    <row r="148" spans="1:17">
      <c r="A148" s="29" t="s">
        <v>6963</v>
      </c>
      <c r="B148" s="29" t="s">
        <v>7283</v>
      </c>
      <c r="C148" s="4" t="s">
        <v>10038</v>
      </c>
      <c r="D148" s="28">
        <v>4300</v>
      </c>
      <c r="E148" s="28">
        <v>4313</v>
      </c>
      <c r="F148" s="28">
        <v>4261</v>
      </c>
      <c r="G148" s="28">
        <v>4190</v>
      </c>
      <c r="H148" s="30">
        <v>4291</v>
      </c>
      <c r="I148" s="30">
        <v>4212</v>
      </c>
      <c r="J148" s="30">
        <v>4076</v>
      </c>
      <c r="K148" s="30">
        <v>4358</v>
      </c>
      <c r="L148" s="30">
        <v>4341</v>
      </c>
      <c r="N148" s="29" t="s">
        <v>7126</v>
      </c>
      <c r="O148" s="4"/>
      <c r="Q148" s="4"/>
    </row>
    <row r="149" spans="1:17">
      <c r="A149" s="29" t="s">
        <v>6965</v>
      </c>
      <c r="B149" s="29" t="s">
        <v>7284</v>
      </c>
      <c r="C149" s="4" t="s">
        <v>10039</v>
      </c>
      <c r="D149" s="28">
        <v>3615</v>
      </c>
      <c r="E149" s="28">
        <v>3710</v>
      </c>
      <c r="F149" s="28">
        <v>3656</v>
      </c>
      <c r="G149" s="28">
        <v>3558</v>
      </c>
      <c r="H149" s="30">
        <v>3741</v>
      </c>
      <c r="I149" s="30">
        <v>3650</v>
      </c>
      <c r="J149" s="30">
        <v>3477</v>
      </c>
      <c r="K149" s="30">
        <v>3655</v>
      </c>
      <c r="L149" s="30">
        <v>3660</v>
      </c>
      <c r="N149" s="29" t="s">
        <v>7129</v>
      </c>
      <c r="O149" s="4"/>
      <c r="Q149" s="4"/>
    </row>
    <row r="150" spans="1:17">
      <c r="A150" s="29" t="s">
        <v>6997</v>
      </c>
      <c r="B150" s="29" t="s">
        <v>8119</v>
      </c>
      <c r="C150" s="4" t="s">
        <v>10040</v>
      </c>
      <c r="D150" s="28">
        <v>3988</v>
      </c>
      <c r="E150" s="28">
        <v>4040</v>
      </c>
      <c r="F150" s="28">
        <v>4041</v>
      </c>
      <c r="G150" s="28">
        <v>3858</v>
      </c>
      <c r="H150" s="30">
        <v>4129</v>
      </c>
      <c r="I150" s="30">
        <v>4069</v>
      </c>
      <c r="J150" s="30">
        <v>3995</v>
      </c>
      <c r="K150" s="30">
        <v>4197</v>
      </c>
      <c r="L150" s="30">
        <v>4236</v>
      </c>
      <c r="N150" s="29" t="s">
        <v>7129</v>
      </c>
      <c r="O150" s="4"/>
      <c r="Q150" s="4"/>
    </row>
    <row r="151" spans="1:17">
      <c r="A151" s="29" t="s">
        <v>6999</v>
      </c>
      <c r="B151" s="29" t="s">
        <v>8120</v>
      </c>
      <c r="C151" s="4" t="s">
        <v>10041</v>
      </c>
      <c r="D151" s="28">
        <v>3807</v>
      </c>
      <c r="E151" s="28">
        <v>3747</v>
      </c>
      <c r="F151" s="28">
        <v>3743</v>
      </c>
      <c r="G151" s="28">
        <v>3599</v>
      </c>
      <c r="H151" s="31">
        <v>4147</v>
      </c>
      <c r="I151" s="31">
        <v>3762</v>
      </c>
      <c r="J151" s="31">
        <v>3839</v>
      </c>
      <c r="K151" s="31">
        <v>4021</v>
      </c>
      <c r="L151" s="31">
        <v>4150</v>
      </c>
      <c r="N151" s="29" t="s">
        <v>7129</v>
      </c>
      <c r="O151" s="4"/>
      <c r="Q151" s="4"/>
    </row>
    <row r="152" spans="1:17">
      <c r="A152" s="29" t="s">
        <v>7001</v>
      </c>
      <c r="B152" s="29" t="s">
        <v>7256</v>
      </c>
      <c r="C152" s="4" t="s">
        <v>10042</v>
      </c>
      <c r="D152" s="28">
        <v>3714</v>
      </c>
      <c r="E152" s="28">
        <v>3854</v>
      </c>
      <c r="F152" s="28">
        <v>3781</v>
      </c>
      <c r="G152" s="28">
        <v>3753</v>
      </c>
      <c r="H152" s="31">
        <v>3878</v>
      </c>
      <c r="I152" s="31">
        <v>3847</v>
      </c>
      <c r="J152" s="31">
        <v>3654</v>
      </c>
      <c r="K152" s="31">
        <v>3793</v>
      </c>
      <c r="L152" s="31">
        <v>3764</v>
      </c>
      <c r="N152" s="29" t="s">
        <v>7129</v>
      </c>
      <c r="O152" s="4"/>
      <c r="Q152" s="4"/>
    </row>
    <row r="153" spans="1:17">
      <c r="A153" s="29" t="s">
        <v>7003</v>
      </c>
      <c r="B153" s="29" t="s">
        <v>5458</v>
      </c>
      <c r="C153" s="4" t="s">
        <v>10043</v>
      </c>
      <c r="D153" s="28">
        <v>5766</v>
      </c>
      <c r="E153" s="28">
        <v>5804</v>
      </c>
      <c r="F153" s="28">
        <v>5844</v>
      </c>
      <c r="G153" s="28">
        <v>5846</v>
      </c>
      <c r="H153" s="30">
        <v>5888</v>
      </c>
      <c r="I153" s="30">
        <v>5733</v>
      </c>
      <c r="J153" s="30">
        <v>5643</v>
      </c>
      <c r="K153" s="30">
        <v>5850</v>
      </c>
      <c r="L153" s="30">
        <v>5804</v>
      </c>
      <c r="N153" s="29" t="s">
        <v>7126</v>
      </c>
      <c r="O153" s="4"/>
      <c r="Q153" s="4"/>
    </row>
    <row r="154" spans="1:17">
      <c r="A154" s="29" t="s">
        <v>7005</v>
      </c>
      <c r="B154" s="29" t="s">
        <v>5459</v>
      </c>
      <c r="C154" s="4" t="s">
        <v>10044</v>
      </c>
      <c r="D154" s="26">
        <v>6589</v>
      </c>
      <c r="E154" s="26">
        <v>6642</v>
      </c>
      <c r="F154" s="26">
        <v>6738</v>
      </c>
      <c r="G154" s="26">
        <v>6781</v>
      </c>
      <c r="H154" s="30">
        <v>6652</v>
      </c>
      <c r="I154" s="30">
        <v>6645</v>
      </c>
      <c r="J154" s="30">
        <v>6486</v>
      </c>
      <c r="K154" s="30">
        <v>6690</v>
      </c>
      <c r="L154" s="30">
        <v>6783</v>
      </c>
      <c r="N154" s="29" t="s">
        <v>7123</v>
      </c>
      <c r="O154" s="4"/>
      <c r="Q154" s="4"/>
    </row>
    <row r="155" spans="1:17">
      <c r="A155" s="29" t="s">
        <v>7007</v>
      </c>
      <c r="B155" s="29" t="s">
        <v>5460</v>
      </c>
      <c r="C155" s="4" t="s">
        <v>10045</v>
      </c>
      <c r="D155" s="28">
        <v>3897</v>
      </c>
      <c r="E155" s="28">
        <v>3917</v>
      </c>
      <c r="F155" s="28">
        <v>3886</v>
      </c>
      <c r="G155" s="28">
        <v>3856</v>
      </c>
      <c r="H155" s="31">
        <v>3928</v>
      </c>
      <c r="I155" s="31">
        <v>3852</v>
      </c>
      <c r="J155" s="31">
        <v>3770</v>
      </c>
      <c r="K155" s="31">
        <v>3942</v>
      </c>
      <c r="L155" s="31">
        <v>3978</v>
      </c>
      <c r="N155" s="29" t="s">
        <v>7129</v>
      </c>
      <c r="O155" s="4"/>
      <c r="Q155" s="4"/>
    </row>
    <row r="156" spans="1:17">
      <c r="A156" s="29" t="s">
        <v>7009</v>
      </c>
      <c r="B156" s="29" t="s">
        <v>5461</v>
      </c>
      <c r="C156" s="4" t="s">
        <v>10046</v>
      </c>
      <c r="D156" s="26">
        <v>1977</v>
      </c>
      <c r="E156" s="26">
        <v>1992</v>
      </c>
      <c r="F156" s="26">
        <v>1993</v>
      </c>
      <c r="G156" s="26">
        <v>1957</v>
      </c>
      <c r="H156" s="31">
        <v>2027</v>
      </c>
      <c r="I156" s="31">
        <v>1979</v>
      </c>
      <c r="J156" s="31">
        <v>1891</v>
      </c>
      <c r="K156" s="31">
        <v>1980</v>
      </c>
      <c r="L156" s="31">
        <v>1936</v>
      </c>
      <c r="N156" s="29" t="s">
        <v>7129</v>
      </c>
      <c r="O156" s="4"/>
      <c r="Q156" s="4"/>
    </row>
    <row r="157" spans="1:17">
      <c r="A157" s="29" t="s">
        <v>7011</v>
      </c>
      <c r="B157" s="29" t="s">
        <v>5462</v>
      </c>
      <c r="C157" s="4" t="s">
        <v>10047</v>
      </c>
      <c r="D157" s="28">
        <v>3861</v>
      </c>
      <c r="E157" s="28">
        <v>3842</v>
      </c>
      <c r="F157" s="28">
        <v>3774</v>
      </c>
      <c r="G157" s="28">
        <v>3740</v>
      </c>
      <c r="H157" s="31">
        <v>3822</v>
      </c>
      <c r="I157" s="31">
        <v>3762</v>
      </c>
      <c r="J157" s="31">
        <v>3712</v>
      </c>
      <c r="K157" s="31">
        <v>3783</v>
      </c>
      <c r="L157" s="31">
        <v>3782</v>
      </c>
      <c r="N157" s="29" t="s">
        <v>7129</v>
      </c>
      <c r="O157" s="4"/>
      <c r="Q157" s="4"/>
    </row>
    <row r="158" spans="1:17">
      <c r="A158" s="29" t="s">
        <v>7013</v>
      </c>
      <c r="B158" s="29" t="s">
        <v>5463</v>
      </c>
      <c r="C158" s="4" t="s">
        <v>10048</v>
      </c>
      <c r="D158" s="28">
        <v>3593</v>
      </c>
      <c r="E158" s="28">
        <v>3601</v>
      </c>
      <c r="F158" s="28">
        <v>3613</v>
      </c>
      <c r="G158" s="28">
        <v>3527</v>
      </c>
      <c r="H158" s="31">
        <v>3591</v>
      </c>
      <c r="I158" s="31">
        <v>3569</v>
      </c>
      <c r="J158" s="31">
        <v>3439</v>
      </c>
      <c r="K158" s="31">
        <v>3620</v>
      </c>
      <c r="L158" s="31">
        <v>3612</v>
      </c>
      <c r="N158" s="29" t="s">
        <v>7129</v>
      </c>
      <c r="O158" s="4"/>
      <c r="Q158" s="4"/>
    </row>
    <row r="159" spans="1:17">
      <c r="A159" s="29" t="s">
        <v>7015</v>
      </c>
      <c r="B159" s="29" t="s">
        <v>4010</v>
      </c>
      <c r="C159" s="4" t="s">
        <v>10049</v>
      </c>
      <c r="D159" s="28">
        <v>2502</v>
      </c>
      <c r="E159" s="28">
        <v>2484</v>
      </c>
      <c r="F159" s="28">
        <v>2488</v>
      </c>
      <c r="G159" s="28">
        <v>2459</v>
      </c>
      <c r="H159" s="30">
        <v>2569</v>
      </c>
      <c r="I159" s="30">
        <v>2527</v>
      </c>
      <c r="J159" s="30">
        <v>2459</v>
      </c>
      <c r="K159" s="30">
        <v>2539</v>
      </c>
      <c r="L159" s="30">
        <v>2525</v>
      </c>
      <c r="N159" s="29" t="s">
        <v>7127</v>
      </c>
      <c r="O159" s="4"/>
      <c r="Q159" s="4"/>
    </row>
    <row r="160" spans="1:17">
      <c r="A160" s="29" t="s">
        <v>7017</v>
      </c>
      <c r="B160" s="29" t="s">
        <v>5464</v>
      </c>
      <c r="C160" s="4" t="s">
        <v>10050</v>
      </c>
      <c r="D160" s="28">
        <v>2004</v>
      </c>
      <c r="E160" s="28">
        <v>2102</v>
      </c>
      <c r="F160" s="28">
        <v>2079</v>
      </c>
      <c r="G160" s="28">
        <v>2071</v>
      </c>
      <c r="H160" s="30">
        <v>2146</v>
      </c>
      <c r="I160" s="30">
        <v>2096</v>
      </c>
      <c r="J160" s="30">
        <v>2043</v>
      </c>
      <c r="K160" s="30">
        <v>2149</v>
      </c>
      <c r="L160" s="30">
        <v>2110</v>
      </c>
      <c r="N160" s="29" t="s">
        <v>7123</v>
      </c>
      <c r="O160" s="4"/>
      <c r="Q160" s="4"/>
    </row>
    <row r="161" spans="1:17">
      <c r="A161" s="29" t="s">
        <v>7019</v>
      </c>
      <c r="B161" s="29" t="s">
        <v>5465</v>
      </c>
      <c r="C161" s="4" t="s">
        <v>10051</v>
      </c>
      <c r="D161" s="28">
        <v>6701</v>
      </c>
      <c r="E161" s="28">
        <v>6731</v>
      </c>
      <c r="F161" s="28">
        <v>6659</v>
      </c>
      <c r="G161" s="28">
        <v>6567</v>
      </c>
      <c r="H161" s="30">
        <v>6783</v>
      </c>
      <c r="I161" s="30">
        <v>6691</v>
      </c>
      <c r="J161" s="30">
        <v>6392</v>
      </c>
      <c r="K161" s="30">
        <v>6652</v>
      </c>
      <c r="L161" s="30">
        <v>6619</v>
      </c>
      <c r="N161" s="29" t="s">
        <v>7126</v>
      </c>
      <c r="O161" s="4"/>
      <c r="Q161" s="4"/>
    </row>
    <row r="162" spans="1:17">
      <c r="A162" s="29" t="s">
        <v>7021</v>
      </c>
      <c r="B162" s="29" t="s">
        <v>5466</v>
      </c>
      <c r="C162" s="4" t="s">
        <v>10052</v>
      </c>
      <c r="D162" s="28">
        <v>3980</v>
      </c>
      <c r="E162" s="28">
        <v>4020</v>
      </c>
      <c r="F162" s="28">
        <v>3972</v>
      </c>
      <c r="G162" s="28">
        <v>3939</v>
      </c>
      <c r="H162" s="30">
        <v>4085</v>
      </c>
      <c r="I162" s="30">
        <v>3950</v>
      </c>
      <c r="J162" s="30">
        <v>3891</v>
      </c>
      <c r="K162" s="30">
        <v>4093</v>
      </c>
      <c r="L162" s="30">
        <v>4056</v>
      </c>
      <c r="N162" s="29" t="s">
        <v>7126</v>
      </c>
      <c r="O162" s="4"/>
      <c r="Q162" s="4"/>
    </row>
    <row r="163" spans="1:17">
      <c r="A163" s="29" t="s">
        <v>7023</v>
      </c>
      <c r="B163" s="29" t="s">
        <v>5467</v>
      </c>
      <c r="C163" s="4" t="s">
        <v>10053</v>
      </c>
      <c r="D163" s="28">
        <v>3776</v>
      </c>
      <c r="E163" s="28">
        <v>3762</v>
      </c>
      <c r="F163" s="28">
        <v>3741</v>
      </c>
      <c r="G163" s="28">
        <v>3670</v>
      </c>
      <c r="H163" s="31">
        <v>3711</v>
      </c>
      <c r="I163" s="31">
        <v>3659</v>
      </c>
      <c r="J163" s="31">
        <v>3493</v>
      </c>
      <c r="K163" s="31">
        <v>3696</v>
      </c>
      <c r="L163" s="31">
        <v>3713</v>
      </c>
      <c r="N163" s="29" t="s">
        <v>7129</v>
      </c>
      <c r="O163" s="4"/>
      <c r="Q163" s="4"/>
    </row>
    <row r="164" spans="1:17">
      <c r="A164" s="29" t="s">
        <v>7025</v>
      </c>
      <c r="B164" s="29" t="s">
        <v>5468</v>
      </c>
      <c r="C164" s="4" t="s">
        <v>10054</v>
      </c>
      <c r="D164" s="28">
        <v>5424</v>
      </c>
      <c r="E164" s="28">
        <v>5425</v>
      </c>
      <c r="F164" s="28">
        <v>5361</v>
      </c>
      <c r="G164" s="28">
        <v>5009</v>
      </c>
      <c r="H164" s="31">
        <v>5665</v>
      </c>
      <c r="I164" s="31">
        <v>5417</v>
      </c>
      <c r="J164" s="31">
        <v>5213</v>
      </c>
      <c r="K164" s="31">
        <v>5510</v>
      </c>
      <c r="L164" s="31">
        <v>5645</v>
      </c>
      <c r="N164" s="29" t="s">
        <v>7129</v>
      </c>
      <c r="O164" s="4"/>
      <c r="Q164" s="4"/>
    </row>
    <row r="165" spans="1:17">
      <c r="A165" s="29" t="s">
        <v>7570</v>
      </c>
      <c r="B165" s="29" t="s">
        <v>5469</v>
      </c>
      <c r="C165" s="4" t="s">
        <v>10055</v>
      </c>
      <c r="D165" s="28">
        <v>4269</v>
      </c>
      <c r="E165" s="28">
        <v>4340</v>
      </c>
      <c r="F165" s="28">
        <v>4358</v>
      </c>
      <c r="G165" s="28">
        <v>4430</v>
      </c>
      <c r="H165" s="31">
        <v>5013</v>
      </c>
      <c r="I165" s="31">
        <v>4847</v>
      </c>
      <c r="J165" s="31">
        <v>4719</v>
      </c>
      <c r="K165" s="31">
        <v>5104</v>
      </c>
      <c r="L165" s="31">
        <v>5308</v>
      </c>
      <c r="N165" s="29" t="s">
        <v>7129</v>
      </c>
      <c r="O165" s="4"/>
      <c r="Q165" s="4"/>
    </row>
    <row r="166" spans="1:17">
      <c r="A166" s="29" t="s">
        <v>7572</v>
      </c>
      <c r="B166" s="29" t="s">
        <v>5470</v>
      </c>
      <c r="C166" s="4" t="s">
        <v>10056</v>
      </c>
      <c r="D166" s="28">
        <v>4048</v>
      </c>
      <c r="E166" s="28">
        <v>4132</v>
      </c>
      <c r="F166" s="28">
        <v>4166</v>
      </c>
      <c r="G166" s="28">
        <v>3935</v>
      </c>
      <c r="H166" s="31">
        <v>4247</v>
      </c>
      <c r="I166" s="31">
        <v>4190</v>
      </c>
      <c r="J166" s="31">
        <v>4119</v>
      </c>
      <c r="K166" s="31">
        <v>4320</v>
      </c>
      <c r="L166" s="31">
        <v>4301</v>
      </c>
      <c r="N166" s="29" t="s">
        <v>7129</v>
      </c>
      <c r="O166" s="4"/>
      <c r="Q166" s="4"/>
    </row>
    <row r="167" spans="1:17">
      <c r="A167" s="29" t="s">
        <v>7573</v>
      </c>
      <c r="B167" s="29" t="s">
        <v>5471</v>
      </c>
      <c r="C167" s="4" t="s">
        <v>10057</v>
      </c>
      <c r="D167" s="28">
        <v>4173</v>
      </c>
      <c r="E167" s="28">
        <v>4224</v>
      </c>
      <c r="F167" s="28">
        <v>4166</v>
      </c>
      <c r="G167" s="28">
        <v>4046</v>
      </c>
      <c r="H167" s="30">
        <v>4294</v>
      </c>
      <c r="I167" s="30">
        <v>4261</v>
      </c>
      <c r="J167" s="30">
        <v>4137</v>
      </c>
      <c r="K167" s="30">
        <v>4319</v>
      </c>
      <c r="L167" s="30">
        <v>4303</v>
      </c>
      <c r="N167" s="29" t="s">
        <v>7123</v>
      </c>
      <c r="O167" s="4"/>
      <c r="Q167" s="4"/>
    </row>
    <row r="168" spans="1:17">
      <c r="A168" s="29" t="s">
        <v>5798</v>
      </c>
      <c r="B168" s="29" t="s">
        <v>5472</v>
      </c>
      <c r="C168" s="4" t="s">
        <v>10058</v>
      </c>
      <c r="D168" s="28">
        <v>6212</v>
      </c>
      <c r="E168" s="28">
        <v>6276</v>
      </c>
      <c r="F168" s="28">
        <v>6297</v>
      </c>
      <c r="G168" s="28">
        <v>6316</v>
      </c>
      <c r="H168" s="31">
        <v>6656</v>
      </c>
      <c r="I168" s="31">
        <v>6371</v>
      </c>
      <c r="J168" s="31">
        <v>6081</v>
      </c>
      <c r="K168" s="31">
        <v>6576</v>
      </c>
      <c r="L168" s="31">
        <v>6561</v>
      </c>
      <c r="N168" s="29" t="s">
        <v>7129</v>
      </c>
      <c r="O168" s="4"/>
      <c r="Q168" s="4"/>
    </row>
    <row r="169" spans="1:17">
      <c r="A169" s="29" t="s">
        <v>5799</v>
      </c>
      <c r="B169" s="29" t="s">
        <v>7020</v>
      </c>
      <c r="C169" s="4" t="s">
        <v>10059</v>
      </c>
      <c r="D169" s="28">
        <v>4390</v>
      </c>
      <c r="E169" s="28">
        <v>4479</v>
      </c>
      <c r="F169" s="28">
        <v>4509</v>
      </c>
      <c r="G169" s="28">
        <v>4490</v>
      </c>
      <c r="H169" s="30">
        <v>4585</v>
      </c>
      <c r="I169" s="30">
        <v>4456</v>
      </c>
      <c r="J169" s="30">
        <v>4290</v>
      </c>
      <c r="K169" s="30">
        <v>4503</v>
      </c>
      <c r="L169" s="30">
        <v>4549</v>
      </c>
      <c r="N169" s="29" t="s">
        <v>7129</v>
      </c>
      <c r="O169" s="4"/>
      <c r="Q169" s="4"/>
    </row>
    <row r="170" spans="1:17">
      <c r="A170" s="29" t="s">
        <v>5801</v>
      </c>
      <c r="B170" s="29" t="s">
        <v>5473</v>
      </c>
      <c r="C170" s="4" t="s">
        <v>10060</v>
      </c>
      <c r="D170" s="28">
        <v>6329</v>
      </c>
      <c r="E170" s="28">
        <v>6368</v>
      </c>
      <c r="F170" s="28">
        <v>6431</v>
      </c>
      <c r="G170" s="28">
        <v>6501</v>
      </c>
      <c r="H170" s="30">
        <v>6671</v>
      </c>
      <c r="I170" s="30">
        <v>6535</v>
      </c>
      <c r="J170" s="30">
        <v>6294</v>
      </c>
      <c r="K170" s="30">
        <v>6486</v>
      </c>
      <c r="L170" s="30">
        <v>6449</v>
      </c>
      <c r="N170" s="29" t="s">
        <v>7127</v>
      </c>
      <c r="O170" s="4"/>
      <c r="Q170" s="4"/>
    </row>
    <row r="171" spans="1:17">
      <c r="A171" s="29" t="s">
        <v>5927</v>
      </c>
      <c r="B171" s="29" t="s">
        <v>5474</v>
      </c>
      <c r="C171" s="4" t="s">
        <v>10061</v>
      </c>
      <c r="D171" s="28">
        <v>3846</v>
      </c>
      <c r="E171" s="28">
        <v>3895</v>
      </c>
      <c r="F171" s="28">
        <v>3829</v>
      </c>
      <c r="G171" s="28">
        <v>3789</v>
      </c>
      <c r="H171" s="31">
        <v>3869</v>
      </c>
      <c r="I171" s="31">
        <v>3773</v>
      </c>
      <c r="J171" s="31">
        <v>3650</v>
      </c>
      <c r="K171" s="31">
        <v>3888</v>
      </c>
      <c r="L171" s="31">
        <v>3905</v>
      </c>
      <c r="N171" s="29" t="s">
        <v>7126</v>
      </c>
      <c r="O171" s="4"/>
      <c r="Q171" s="4"/>
    </row>
    <row r="172" spans="1:17">
      <c r="A172" s="29" t="s">
        <v>5929</v>
      </c>
      <c r="B172" s="29" t="s">
        <v>5475</v>
      </c>
      <c r="C172" s="4" t="s">
        <v>10062</v>
      </c>
      <c r="D172" s="28">
        <v>6589</v>
      </c>
      <c r="E172" s="28">
        <v>6566</v>
      </c>
      <c r="F172" s="28">
        <v>6546</v>
      </c>
      <c r="G172" s="28">
        <v>6527</v>
      </c>
      <c r="H172" s="31">
        <v>6621</v>
      </c>
      <c r="I172" s="31">
        <v>6582</v>
      </c>
      <c r="J172" s="31">
        <v>6319</v>
      </c>
      <c r="K172" s="31">
        <v>6554</v>
      </c>
      <c r="L172" s="31">
        <v>6541</v>
      </c>
      <c r="N172" s="29" t="s">
        <v>7129</v>
      </c>
      <c r="O172" s="4"/>
      <c r="Q172" s="4"/>
    </row>
    <row r="174" spans="1:17">
      <c r="A174" s="29" t="s">
        <v>3129</v>
      </c>
      <c r="D174" s="28">
        <f t="shared" ref="D174:I174" si="83">D146+D154+D160+D167</f>
        <v>14934</v>
      </c>
      <c r="E174" s="28">
        <f t="shared" si="83"/>
        <v>15169</v>
      </c>
      <c r="F174" s="28">
        <f t="shared" si="83"/>
        <v>15210</v>
      </c>
      <c r="G174" s="28">
        <f t="shared" si="83"/>
        <v>15126</v>
      </c>
      <c r="H174" s="28">
        <f t="shared" si="83"/>
        <v>15370</v>
      </c>
      <c r="I174" s="28">
        <f t="shared" si="83"/>
        <v>15256</v>
      </c>
      <c r="J174" s="28">
        <f t="shared" ref="J174:K174" si="84">J146+J154+J160+J167</f>
        <v>14815</v>
      </c>
      <c r="K174" s="28">
        <f t="shared" si="84"/>
        <v>15388</v>
      </c>
      <c r="L174" s="28">
        <f t="shared" ref="L174" si="85">L146+L154+L160+L167</f>
        <v>15444</v>
      </c>
    </row>
    <row r="175" spans="1:17">
      <c r="A175" s="29" t="s">
        <v>7279</v>
      </c>
      <c r="D175" s="28">
        <f t="shared" ref="D175:I175" si="86">D148+D153+D161+D162+D171</f>
        <v>24593</v>
      </c>
      <c r="E175" s="28">
        <f t="shared" si="86"/>
        <v>24763</v>
      </c>
      <c r="F175" s="28">
        <f t="shared" si="86"/>
        <v>24565</v>
      </c>
      <c r="G175" s="28">
        <f t="shared" si="86"/>
        <v>24331</v>
      </c>
      <c r="H175" s="28">
        <f t="shared" si="86"/>
        <v>24916</v>
      </c>
      <c r="I175" s="28">
        <f t="shared" si="86"/>
        <v>24359</v>
      </c>
      <c r="J175" s="28">
        <f t="shared" ref="J175:K175" si="87">J148+J153+J161+J162+J171</f>
        <v>23652</v>
      </c>
      <c r="K175" s="28">
        <f t="shared" si="87"/>
        <v>24841</v>
      </c>
      <c r="L175" s="28">
        <f t="shared" ref="L175" si="88">L148+L153+L161+L162+L171</f>
        <v>24725</v>
      </c>
    </row>
    <row r="176" spans="1:17">
      <c r="A176" s="29" t="s">
        <v>3130</v>
      </c>
      <c r="D176" s="28">
        <f t="shared" ref="D176:I176" si="89">D159+D170</f>
        <v>8831</v>
      </c>
      <c r="E176" s="28">
        <f t="shared" si="89"/>
        <v>8852</v>
      </c>
      <c r="F176" s="28">
        <f t="shared" si="89"/>
        <v>8919</v>
      </c>
      <c r="G176" s="28">
        <f t="shared" si="89"/>
        <v>8960</v>
      </c>
      <c r="H176" s="28">
        <f t="shared" si="89"/>
        <v>9240</v>
      </c>
      <c r="I176" s="28">
        <f t="shared" si="89"/>
        <v>9062</v>
      </c>
      <c r="J176" s="28">
        <f t="shared" ref="J176:K176" si="90">J159+J170</f>
        <v>8753</v>
      </c>
      <c r="K176" s="28">
        <f t="shared" si="90"/>
        <v>9025</v>
      </c>
      <c r="L176" s="28">
        <f t="shared" ref="L176" si="91">L159+L170</f>
        <v>8974</v>
      </c>
    </row>
    <row r="177" spans="1:12">
      <c r="A177" s="29" t="s">
        <v>7129</v>
      </c>
      <c r="D177" s="28">
        <f t="shared" ref="D177:I177" si="92">D145+D147+SUM(D149:D152)+SUM(D155:D158)+SUM(D163:D166)+D168+D169+D172</f>
        <v>73306</v>
      </c>
      <c r="E177" s="28">
        <f t="shared" si="92"/>
        <v>73750</v>
      </c>
      <c r="F177" s="28">
        <f t="shared" si="92"/>
        <v>73326</v>
      </c>
      <c r="G177" s="28">
        <f t="shared" si="92"/>
        <v>71877</v>
      </c>
      <c r="H177" s="28">
        <f t="shared" si="92"/>
        <v>76375</v>
      </c>
      <c r="I177" s="28">
        <f t="shared" si="92"/>
        <v>73956</v>
      </c>
      <c r="J177" s="28">
        <f t="shared" ref="J177:K177" si="93">J145+J147+SUM(J149:J152)+SUM(J155:J158)+SUM(J163:J166)+J168+J169+J172</f>
        <v>71712</v>
      </c>
      <c r="K177" s="28">
        <f t="shared" si="93"/>
        <v>75469</v>
      </c>
      <c r="L177" s="28">
        <f t="shared" ref="L177" si="94">L145+L147+SUM(L149:L152)+SUM(L155:L158)+SUM(L163:L166)+L168+L169+L172</f>
        <v>76046</v>
      </c>
    </row>
    <row r="179" spans="1:12">
      <c r="A179" s="25" t="s">
        <v>5476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2" orientation="portrait" horizontalDpi="300" verticalDpi="300" r:id="rId1"/>
  <headerFooter alignWithMargins="0">
    <oddFooter>&amp;C&amp;"Times New Roman,Regular"&amp;8&amp;P of &amp;N</oddFooter>
  </headerFooter>
  <rowBreaks count="4" manualBreakCount="4">
    <brk id="34" max="16383" man="1"/>
    <brk id="85" max="16383" man="1"/>
    <brk id="120" max="16383" man="1"/>
    <brk id="141" max="10" man="1"/>
  </rowBreaks>
  <ignoredErrors>
    <ignoredError sqref="D88:E88 D115:E115 D144:E144 D174:D177 D123:E123 D137:E137 D3:D9 E174:E177 E3:E9 F174:F177 F137:F139 F115:F123 F3:F9 G174:G177 G144:K144 G115:K115 G88:K88 G137:K137 G123:K123 G3:G9 D10:D27 E10:E27 F10:F27 G10:G27 H174:H177 H3:H9 H10:H27 I174:I177 I3:I27 F140:F144 F84:F88 D48:K48 D59:K59 D65:K65 F79 H79 E79 D37:K37 D74:K74 F82:F83 D80:I81 D82:E82 G82:I82 F33:F36 J80:J81 J174:J177 J3:J32 K80:K81 K174:K177 K3:K32 L3:L177" unlockedFormula="1"/>
    <ignoredError sqref="I28:I32 H28:H32 G28:G32 F28:F32 E28:E32 D28:D32" evalError="1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265"/>
  <sheetViews>
    <sheetView showGridLines="0" zoomScaleNormal="100" workbookViewId="0"/>
  </sheetViews>
  <sheetFormatPr defaultColWidth="12.5703125" defaultRowHeight="15"/>
  <cols>
    <col min="1" max="1" width="4.85546875" style="495" customWidth="1"/>
    <col min="2" max="2" width="37.7109375" style="495" customWidth="1"/>
    <col min="3" max="3" width="11.5703125" style="495" customWidth="1"/>
    <col min="4" max="12" width="10" style="495" customWidth="1"/>
    <col min="13" max="13" width="2.28515625" style="495" customWidth="1"/>
    <col min="14" max="14" width="44.140625" style="495" customWidth="1"/>
    <col min="15" max="16384" width="12.5703125" style="495"/>
  </cols>
  <sheetData>
    <row r="1" spans="1:14">
      <c r="A1" s="494" t="s">
        <v>8847</v>
      </c>
      <c r="D1" s="496">
        <v>2010</v>
      </c>
      <c r="E1" s="496">
        <v>2011</v>
      </c>
      <c r="F1" s="496">
        <v>2012</v>
      </c>
      <c r="G1" s="496">
        <v>2013</v>
      </c>
      <c r="H1" s="496">
        <v>2014</v>
      </c>
      <c r="I1" s="496">
        <v>2015</v>
      </c>
      <c r="J1" s="496">
        <v>2016</v>
      </c>
      <c r="K1" s="496">
        <v>2017</v>
      </c>
      <c r="L1" s="496">
        <v>2018</v>
      </c>
    </row>
    <row r="3" spans="1:14">
      <c r="A3" s="494" t="s">
        <v>2823</v>
      </c>
      <c r="C3" s="494"/>
      <c r="D3" s="497">
        <f t="shared" ref="D3:I3" si="0">SUM(D7:D11)</f>
        <v>441548</v>
      </c>
      <c r="E3" s="497">
        <f t="shared" si="0"/>
        <v>443013</v>
      </c>
      <c r="F3" s="497">
        <f t="shared" si="0"/>
        <v>445668</v>
      </c>
      <c r="G3" s="497">
        <f t="shared" si="0"/>
        <v>445290</v>
      </c>
      <c r="H3" s="497">
        <f t="shared" si="0"/>
        <v>452495</v>
      </c>
      <c r="I3" s="497">
        <f t="shared" si="0"/>
        <v>446259</v>
      </c>
      <c r="J3" s="497">
        <f t="shared" ref="J3:K3" si="1">SUM(J7:J11)</f>
        <v>437043</v>
      </c>
      <c r="K3" s="497">
        <f t="shared" si="1"/>
        <v>450958</v>
      </c>
      <c r="L3" s="497">
        <f t="shared" ref="L3" si="2">SUM(L7:L11)</f>
        <v>453770</v>
      </c>
    </row>
    <row r="4" spans="1:14" ht="15.75" thickBot="1">
      <c r="A4" s="494" t="s">
        <v>2824</v>
      </c>
      <c r="C4" s="494"/>
      <c r="D4" s="498">
        <f t="shared" ref="D4:I4" si="3">D50</f>
        <v>113970</v>
      </c>
      <c r="E4" s="498">
        <f t="shared" si="3"/>
        <v>119513</v>
      </c>
      <c r="F4" s="498">
        <f t="shared" si="3"/>
        <v>121182</v>
      </c>
      <c r="G4" s="498">
        <f t="shared" si="3"/>
        <v>120684</v>
      </c>
      <c r="H4" s="498">
        <f t="shared" si="3"/>
        <v>119920</v>
      </c>
      <c r="I4" s="498">
        <f t="shared" si="3"/>
        <v>119762</v>
      </c>
      <c r="J4" s="498">
        <f t="shared" ref="J4:K4" si="4">J50</f>
        <v>117844</v>
      </c>
      <c r="K4" s="498">
        <f t="shared" si="4"/>
        <v>120872</v>
      </c>
      <c r="L4" s="498">
        <f t="shared" ref="L4" si="5">L50</f>
        <v>118379</v>
      </c>
    </row>
    <row r="5" spans="1:14" ht="15.75" thickBot="1">
      <c r="D5" s="498">
        <f t="shared" ref="D5:I5" si="6">D3+D4</f>
        <v>555518</v>
      </c>
      <c r="E5" s="498">
        <f t="shared" si="6"/>
        <v>562526</v>
      </c>
      <c r="F5" s="498">
        <f t="shared" si="6"/>
        <v>566850</v>
      </c>
      <c r="G5" s="498">
        <f t="shared" si="6"/>
        <v>565974</v>
      </c>
      <c r="H5" s="498">
        <f t="shared" si="6"/>
        <v>572415</v>
      </c>
      <c r="I5" s="498">
        <f t="shared" si="6"/>
        <v>566021</v>
      </c>
      <c r="J5" s="498">
        <f t="shared" ref="J5:K5" si="7">J3+J4</f>
        <v>554887</v>
      </c>
      <c r="K5" s="498">
        <f t="shared" si="7"/>
        <v>571830</v>
      </c>
      <c r="L5" s="498">
        <f t="shared" ref="L5" si="8">L3+L4</f>
        <v>572149</v>
      </c>
    </row>
    <row r="6" spans="1:14">
      <c r="D6" s="497"/>
      <c r="E6" s="497"/>
      <c r="F6" s="497"/>
      <c r="G6" s="497"/>
      <c r="H6" s="497"/>
      <c r="I6" s="497"/>
      <c r="J6" s="497"/>
      <c r="K6" s="497"/>
      <c r="L6" s="497"/>
    </row>
    <row r="7" spans="1:14">
      <c r="A7" s="494" t="s">
        <v>2825</v>
      </c>
      <c r="C7" s="494"/>
      <c r="D7" s="497">
        <f t="shared" ref="D7:I7" si="9">D90</f>
        <v>81609</v>
      </c>
      <c r="E7" s="497">
        <f t="shared" si="9"/>
        <v>81291</v>
      </c>
      <c r="F7" s="497">
        <f t="shared" si="9"/>
        <v>81856</v>
      </c>
      <c r="G7" s="497">
        <f t="shared" si="9"/>
        <v>79341</v>
      </c>
      <c r="H7" s="497">
        <f t="shared" si="9"/>
        <v>82439</v>
      </c>
      <c r="I7" s="497">
        <f t="shared" si="9"/>
        <v>80802</v>
      </c>
      <c r="J7" s="497">
        <f t="shared" ref="J7:K7" si="10">J90</f>
        <v>72757</v>
      </c>
      <c r="K7" s="497">
        <f t="shared" si="10"/>
        <v>77556</v>
      </c>
      <c r="L7" s="497">
        <f t="shared" ref="L7" si="11">L90</f>
        <v>80703</v>
      </c>
      <c r="N7" s="499"/>
    </row>
    <row r="8" spans="1:14">
      <c r="A8" s="494" t="s">
        <v>2826</v>
      </c>
      <c r="C8" s="494"/>
      <c r="D8" s="497">
        <f t="shared" ref="D8:I8" si="12">D114</f>
        <v>60562</v>
      </c>
      <c r="E8" s="497">
        <f t="shared" si="12"/>
        <v>61073</v>
      </c>
      <c r="F8" s="497">
        <f t="shared" si="12"/>
        <v>61782</v>
      </c>
      <c r="G8" s="497">
        <f t="shared" si="12"/>
        <v>62510</v>
      </c>
      <c r="H8" s="497">
        <f t="shared" si="12"/>
        <v>62919</v>
      </c>
      <c r="I8" s="497">
        <f t="shared" si="12"/>
        <v>60857</v>
      </c>
      <c r="J8" s="497">
        <f t="shared" ref="J8:K8" si="13">J114</f>
        <v>60605</v>
      </c>
      <c r="K8" s="497">
        <f t="shared" si="13"/>
        <v>62463</v>
      </c>
      <c r="L8" s="497">
        <f t="shared" ref="L8" si="14">L114</f>
        <v>62547</v>
      </c>
      <c r="N8" s="499"/>
    </row>
    <row r="9" spans="1:14">
      <c r="A9" s="494" t="s">
        <v>2827</v>
      </c>
      <c r="C9" s="494"/>
      <c r="D9" s="497">
        <f t="shared" ref="D9:I9" si="15">D143</f>
        <v>70329</v>
      </c>
      <c r="E9" s="497">
        <f t="shared" si="15"/>
        <v>71117</v>
      </c>
      <c r="F9" s="497">
        <f t="shared" si="15"/>
        <v>71339</v>
      </c>
      <c r="G9" s="497">
        <f t="shared" si="15"/>
        <v>71418</v>
      </c>
      <c r="H9" s="497">
        <f t="shared" si="15"/>
        <v>69961</v>
      </c>
      <c r="I9" s="497">
        <f t="shared" si="15"/>
        <v>69145</v>
      </c>
      <c r="J9" s="497">
        <f t="shared" ref="J9:K9" si="16">J143</f>
        <v>69319</v>
      </c>
      <c r="K9" s="497">
        <f t="shared" si="16"/>
        <v>70336</v>
      </c>
      <c r="L9" s="497">
        <f t="shared" ref="L9" si="17">L143</f>
        <v>70209</v>
      </c>
      <c r="N9" s="499"/>
    </row>
    <row r="10" spans="1:14" s="20" customFormat="1">
      <c r="A10" s="494" t="s">
        <v>2828</v>
      </c>
      <c r="C10" s="494"/>
      <c r="D10" s="497">
        <f t="shared" ref="D10:I10" si="18">D176</f>
        <v>123393</v>
      </c>
      <c r="E10" s="497">
        <f t="shared" si="18"/>
        <v>121827</v>
      </c>
      <c r="F10" s="497">
        <f t="shared" si="18"/>
        <v>121600</v>
      </c>
      <c r="G10" s="497">
        <f t="shared" si="18"/>
        <v>122579</v>
      </c>
      <c r="H10" s="497">
        <f t="shared" si="18"/>
        <v>126462</v>
      </c>
      <c r="I10" s="497">
        <f t="shared" si="18"/>
        <v>124746</v>
      </c>
      <c r="J10" s="497">
        <f t="shared" ref="J10:K10" si="19">J176</f>
        <v>124073</v>
      </c>
      <c r="K10" s="497">
        <f t="shared" si="19"/>
        <v>127242</v>
      </c>
      <c r="L10" s="497">
        <f t="shared" ref="L10" si="20">L176</f>
        <v>127398</v>
      </c>
      <c r="N10" s="499"/>
    </row>
    <row r="11" spans="1:14">
      <c r="A11" s="494" t="s">
        <v>4582</v>
      </c>
      <c r="C11" s="494"/>
      <c r="D11" s="497">
        <f t="shared" ref="D11:I11" si="21">D226</f>
        <v>105655</v>
      </c>
      <c r="E11" s="497">
        <f t="shared" si="21"/>
        <v>107705</v>
      </c>
      <c r="F11" s="497">
        <f t="shared" si="21"/>
        <v>109091</v>
      </c>
      <c r="G11" s="497">
        <f t="shared" si="21"/>
        <v>109442</v>
      </c>
      <c r="H11" s="497">
        <f t="shared" si="21"/>
        <v>110714</v>
      </c>
      <c r="I11" s="497">
        <f t="shared" si="21"/>
        <v>110709</v>
      </c>
      <c r="J11" s="497">
        <f t="shared" ref="J11:K11" si="22">J226</f>
        <v>110289</v>
      </c>
      <c r="K11" s="497">
        <f t="shared" si="22"/>
        <v>113361</v>
      </c>
      <c r="L11" s="497">
        <f t="shared" ref="L11" si="23">L226</f>
        <v>112913</v>
      </c>
      <c r="N11" s="499"/>
    </row>
    <row r="13" spans="1:14">
      <c r="A13" s="494" t="s">
        <v>6335</v>
      </c>
      <c r="D13" s="497">
        <f t="shared" ref="D13:I13" si="24">D3/6</f>
        <v>73591.333333333328</v>
      </c>
      <c r="E13" s="497">
        <f t="shared" si="24"/>
        <v>73835.5</v>
      </c>
      <c r="F13" s="497">
        <f t="shared" si="24"/>
        <v>74278</v>
      </c>
      <c r="G13" s="497">
        <f t="shared" si="24"/>
        <v>74215</v>
      </c>
      <c r="H13" s="497">
        <f t="shared" si="24"/>
        <v>75415.833333333328</v>
      </c>
      <c r="I13" s="497">
        <f t="shared" si="24"/>
        <v>74376.5</v>
      </c>
      <c r="J13" s="497">
        <f t="shared" ref="J13:K13" si="25">J3/6</f>
        <v>72840.5</v>
      </c>
      <c r="K13" s="497">
        <f t="shared" si="25"/>
        <v>75159.666666666672</v>
      </c>
      <c r="L13" s="497">
        <f t="shared" ref="L13" si="26">L3/6</f>
        <v>75628.333333333328</v>
      </c>
    </row>
    <row r="14" spans="1:14">
      <c r="A14" s="494" t="s">
        <v>6336</v>
      </c>
      <c r="D14" s="497">
        <f t="shared" ref="D14:I14" si="27">D4/2</f>
        <v>56985</v>
      </c>
      <c r="E14" s="497">
        <f t="shared" si="27"/>
        <v>59756.5</v>
      </c>
      <c r="F14" s="497">
        <f t="shared" si="27"/>
        <v>60591</v>
      </c>
      <c r="G14" s="497">
        <f t="shared" si="27"/>
        <v>60342</v>
      </c>
      <c r="H14" s="497">
        <f t="shared" si="27"/>
        <v>59960</v>
      </c>
      <c r="I14" s="497">
        <f t="shared" si="27"/>
        <v>59881</v>
      </c>
      <c r="J14" s="497">
        <f t="shared" ref="J14:K14" si="28">J4/2</f>
        <v>58922</v>
      </c>
      <c r="K14" s="497">
        <f t="shared" si="28"/>
        <v>60436</v>
      </c>
      <c r="L14" s="497">
        <f t="shared" ref="L14" si="29">L4/2</f>
        <v>59189.5</v>
      </c>
    </row>
    <row r="15" spans="1:14">
      <c r="A15" s="494" t="s">
        <v>6337</v>
      </c>
      <c r="D15" s="497">
        <f t="shared" ref="D15:I15" si="30">D5/7</f>
        <v>79359.71428571429</v>
      </c>
      <c r="E15" s="497">
        <f t="shared" si="30"/>
        <v>80360.857142857145</v>
      </c>
      <c r="F15" s="497">
        <f t="shared" si="30"/>
        <v>80978.571428571435</v>
      </c>
      <c r="G15" s="497">
        <f t="shared" si="30"/>
        <v>80853.428571428565</v>
      </c>
      <c r="H15" s="497">
        <f t="shared" si="30"/>
        <v>81773.571428571435</v>
      </c>
      <c r="I15" s="497">
        <f t="shared" si="30"/>
        <v>80860.142857142855</v>
      </c>
      <c r="J15" s="497">
        <f t="shared" ref="J15:K15" si="31">J5/7</f>
        <v>79269.571428571435</v>
      </c>
      <c r="K15" s="497">
        <f t="shared" si="31"/>
        <v>81690</v>
      </c>
      <c r="L15" s="497">
        <f t="shared" ref="L15" si="32">L5/7</f>
        <v>81735.571428571435</v>
      </c>
    </row>
    <row r="16" spans="1:14">
      <c r="D16" s="500"/>
      <c r="E16" s="500"/>
      <c r="F16" s="500"/>
      <c r="G16" s="500"/>
      <c r="H16" s="500"/>
      <c r="I16" s="500"/>
      <c r="J16" s="500"/>
      <c r="K16" s="500"/>
      <c r="L16" s="500"/>
    </row>
    <row r="17" spans="1:14">
      <c r="A17" s="494" t="s">
        <v>6338</v>
      </c>
      <c r="D17" s="497">
        <f t="shared" ref="D17:I17" si="33">D106</f>
        <v>75612</v>
      </c>
      <c r="E17" s="497">
        <f t="shared" si="33"/>
        <v>75259</v>
      </c>
      <c r="F17" s="497">
        <f t="shared" si="33"/>
        <v>75702</v>
      </c>
      <c r="G17" s="497">
        <f t="shared" si="33"/>
        <v>73612</v>
      </c>
      <c r="H17" s="497">
        <f t="shared" si="33"/>
        <v>76244</v>
      </c>
      <c r="I17" s="497">
        <f t="shared" si="33"/>
        <v>74665</v>
      </c>
      <c r="J17" s="497">
        <f t="shared" ref="J17:K17" si="34">J106</f>
        <v>67266</v>
      </c>
      <c r="K17" s="497">
        <f t="shared" si="34"/>
        <v>71723</v>
      </c>
      <c r="L17" s="497">
        <f t="shared" ref="L17" si="35">L106</f>
        <v>74628</v>
      </c>
      <c r="N17" s="494" t="s">
        <v>6339</v>
      </c>
    </row>
    <row r="18" spans="1:14">
      <c r="D18" s="500"/>
      <c r="E18" s="500"/>
      <c r="F18" s="500"/>
      <c r="G18" s="500"/>
      <c r="H18" s="500"/>
      <c r="I18" s="500"/>
      <c r="J18" s="500"/>
      <c r="K18" s="500"/>
      <c r="L18" s="500"/>
    </row>
    <row r="19" spans="1:14">
      <c r="A19" s="494" t="s">
        <v>6340</v>
      </c>
      <c r="D19" s="497">
        <f t="shared" ref="D19:I19" si="36">D218</f>
        <v>80273</v>
      </c>
      <c r="E19" s="497">
        <f t="shared" si="36"/>
        <v>79134</v>
      </c>
      <c r="F19" s="497">
        <f t="shared" si="36"/>
        <v>79193</v>
      </c>
      <c r="G19" s="497">
        <f t="shared" si="36"/>
        <v>80044</v>
      </c>
      <c r="H19" s="497">
        <f t="shared" si="36"/>
        <v>82892</v>
      </c>
      <c r="I19" s="497">
        <f t="shared" si="36"/>
        <v>81475</v>
      </c>
      <c r="J19" s="497">
        <f t="shared" ref="J19:K19" si="37">J218</f>
        <v>81303</v>
      </c>
      <c r="K19" s="497">
        <f t="shared" si="37"/>
        <v>83209</v>
      </c>
      <c r="L19" s="497">
        <f t="shared" ref="L19" si="38">L218</f>
        <v>83371</v>
      </c>
      <c r="N19" s="494" t="s">
        <v>6341</v>
      </c>
    </row>
    <row r="20" spans="1:14">
      <c r="D20" s="500"/>
      <c r="E20" s="500"/>
      <c r="F20" s="500"/>
      <c r="G20" s="500"/>
      <c r="H20" s="500"/>
      <c r="I20" s="500"/>
      <c r="J20" s="500"/>
      <c r="K20" s="500"/>
      <c r="L20" s="500"/>
    </row>
    <row r="21" spans="1:14">
      <c r="A21" s="494" t="s">
        <v>6342</v>
      </c>
      <c r="D21" s="497">
        <f t="shared" ref="D21:I21" si="39">D135</f>
        <v>12458</v>
      </c>
      <c r="E21" s="497">
        <f t="shared" si="39"/>
        <v>12544</v>
      </c>
      <c r="F21" s="497">
        <f t="shared" si="39"/>
        <v>12707</v>
      </c>
      <c r="G21" s="497">
        <f t="shared" si="39"/>
        <v>12920</v>
      </c>
      <c r="H21" s="497">
        <f t="shared" si="39"/>
        <v>12995</v>
      </c>
      <c r="I21" s="497">
        <f t="shared" si="39"/>
        <v>12350</v>
      </c>
      <c r="J21" s="497">
        <f t="shared" ref="J21:K21" si="40">J135</f>
        <v>12460</v>
      </c>
      <c r="K21" s="497">
        <f t="shared" si="40"/>
        <v>12955</v>
      </c>
      <c r="L21" s="497">
        <f t="shared" ref="L21" si="41">L135</f>
        <v>13077</v>
      </c>
      <c r="N21" s="494" t="s">
        <v>6343</v>
      </c>
    </row>
    <row r="22" spans="1:14" ht="15.75" thickBot="1">
      <c r="D22" s="498">
        <f t="shared" ref="D22:I22" si="42">SUM(D169)</f>
        <v>70329</v>
      </c>
      <c r="E22" s="498">
        <f t="shared" si="42"/>
        <v>71117</v>
      </c>
      <c r="F22" s="498">
        <f t="shared" si="42"/>
        <v>71339</v>
      </c>
      <c r="G22" s="498">
        <f t="shared" si="42"/>
        <v>71418</v>
      </c>
      <c r="H22" s="498">
        <f t="shared" si="42"/>
        <v>69961</v>
      </c>
      <c r="I22" s="498">
        <f t="shared" si="42"/>
        <v>69145</v>
      </c>
      <c r="J22" s="498">
        <f t="shared" ref="J22:K22" si="43">SUM(J169)</f>
        <v>69319</v>
      </c>
      <c r="K22" s="498">
        <f t="shared" si="43"/>
        <v>70336</v>
      </c>
      <c r="L22" s="498">
        <f t="shared" ref="L22" si="44">SUM(L169)</f>
        <v>70209</v>
      </c>
      <c r="N22" s="494" t="s">
        <v>3300</v>
      </c>
    </row>
    <row r="23" spans="1:14" ht="15.75" thickBot="1">
      <c r="D23" s="498">
        <f t="shared" ref="D23:I23" si="45">SUM(D21:D22)</f>
        <v>82787</v>
      </c>
      <c r="E23" s="498">
        <f t="shared" si="45"/>
        <v>83661</v>
      </c>
      <c r="F23" s="498">
        <f t="shared" si="45"/>
        <v>84046</v>
      </c>
      <c r="G23" s="498">
        <f t="shared" si="45"/>
        <v>84338</v>
      </c>
      <c r="H23" s="498">
        <f t="shared" si="45"/>
        <v>82956</v>
      </c>
      <c r="I23" s="498">
        <f t="shared" si="45"/>
        <v>81495</v>
      </c>
      <c r="J23" s="498">
        <f t="shared" ref="J23:K23" si="46">SUM(J21:J22)</f>
        <v>81779</v>
      </c>
      <c r="K23" s="498">
        <f t="shared" si="46"/>
        <v>83291</v>
      </c>
      <c r="L23" s="498">
        <f t="shared" ref="L23" si="47">SUM(L21:L22)</f>
        <v>83286</v>
      </c>
    </row>
    <row r="24" spans="1:14">
      <c r="D24" s="500"/>
      <c r="E24" s="500"/>
      <c r="F24" s="500"/>
      <c r="G24" s="500"/>
      <c r="H24" s="500"/>
      <c r="I24" s="500"/>
      <c r="J24" s="500"/>
      <c r="K24" s="500"/>
      <c r="L24" s="500"/>
    </row>
    <row r="25" spans="1:14">
      <c r="A25" s="494" t="s">
        <v>6344</v>
      </c>
      <c r="D25" s="497">
        <f t="shared" ref="D25:I25" si="48">D219</f>
        <v>43120</v>
      </c>
      <c r="E25" s="497">
        <f t="shared" si="48"/>
        <v>42693</v>
      </c>
      <c r="F25" s="497">
        <f t="shared" si="48"/>
        <v>42407</v>
      </c>
      <c r="G25" s="497">
        <f t="shared" si="48"/>
        <v>42535</v>
      </c>
      <c r="H25" s="497">
        <f t="shared" si="48"/>
        <v>43570</v>
      </c>
      <c r="I25" s="497">
        <f t="shared" si="48"/>
        <v>43271</v>
      </c>
      <c r="J25" s="497">
        <f t="shared" ref="J25:K25" si="49">J219</f>
        <v>42770</v>
      </c>
      <c r="K25" s="497">
        <f t="shared" si="49"/>
        <v>44033</v>
      </c>
      <c r="L25" s="497">
        <f t="shared" ref="L25" si="50">L219</f>
        <v>44027</v>
      </c>
      <c r="N25" s="494" t="s">
        <v>6341</v>
      </c>
    </row>
    <row r="26" spans="1:14" ht="15.75" thickBot="1">
      <c r="D26" s="498">
        <f t="shared" ref="D26:I26" si="51">D82</f>
        <v>44238</v>
      </c>
      <c r="E26" s="498">
        <f t="shared" si="51"/>
        <v>46726</v>
      </c>
      <c r="F26" s="498">
        <f t="shared" si="51"/>
        <v>47461</v>
      </c>
      <c r="G26" s="498">
        <f t="shared" si="51"/>
        <v>47268</v>
      </c>
      <c r="H26" s="498">
        <f t="shared" si="51"/>
        <v>47619</v>
      </c>
      <c r="I26" s="498">
        <f t="shared" si="51"/>
        <v>47722</v>
      </c>
      <c r="J26" s="498">
        <f t="shared" ref="J26:K26" si="52">J82</f>
        <v>47221</v>
      </c>
      <c r="K26" s="498">
        <f t="shared" si="52"/>
        <v>48665</v>
      </c>
      <c r="L26" s="498">
        <f t="shared" ref="L26" si="53">L82</f>
        <v>47955</v>
      </c>
      <c r="N26" s="494" t="s">
        <v>6345</v>
      </c>
    </row>
    <row r="27" spans="1:14" ht="15.75" thickBot="1">
      <c r="D27" s="498">
        <f t="shared" ref="D27:I27" si="54">D25+D26</f>
        <v>87358</v>
      </c>
      <c r="E27" s="498">
        <f t="shared" si="54"/>
        <v>89419</v>
      </c>
      <c r="F27" s="498">
        <f t="shared" si="54"/>
        <v>89868</v>
      </c>
      <c r="G27" s="498">
        <f t="shared" si="54"/>
        <v>89803</v>
      </c>
      <c r="H27" s="498">
        <f t="shared" si="54"/>
        <v>91189</v>
      </c>
      <c r="I27" s="498">
        <f t="shared" si="54"/>
        <v>90993</v>
      </c>
      <c r="J27" s="498">
        <f t="shared" ref="J27:K27" si="55">J25+J26</f>
        <v>89991</v>
      </c>
      <c r="K27" s="498">
        <f t="shared" si="55"/>
        <v>92698</v>
      </c>
      <c r="L27" s="498">
        <f t="shared" ref="L27" si="56">L25+L26</f>
        <v>91982</v>
      </c>
    </row>
    <row r="28" spans="1:14">
      <c r="D28" s="500"/>
      <c r="E28" s="500"/>
      <c r="F28" s="500"/>
      <c r="G28" s="500"/>
      <c r="H28" s="500"/>
      <c r="I28" s="500"/>
      <c r="J28" s="500"/>
      <c r="K28" s="500"/>
      <c r="L28" s="500"/>
    </row>
    <row r="29" spans="1:14">
      <c r="A29" s="494" t="s">
        <v>6346</v>
      </c>
      <c r="D29" s="497">
        <f t="shared" ref="D29:I29" si="57">D83</f>
        <v>69732</v>
      </c>
      <c r="E29" s="497">
        <f t="shared" si="57"/>
        <v>72787</v>
      </c>
      <c r="F29" s="497">
        <f t="shared" si="57"/>
        <v>73721</v>
      </c>
      <c r="G29" s="497">
        <f t="shared" si="57"/>
        <v>73416</v>
      </c>
      <c r="H29" s="497">
        <f t="shared" si="57"/>
        <v>72301</v>
      </c>
      <c r="I29" s="497">
        <f t="shared" si="57"/>
        <v>72040</v>
      </c>
      <c r="J29" s="497">
        <f t="shared" ref="J29:K29" si="58">J83</f>
        <v>70623</v>
      </c>
      <c r="K29" s="497">
        <f t="shared" si="58"/>
        <v>72207</v>
      </c>
      <c r="L29" s="497">
        <f t="shared" ref="L29" si="59">L83</f>
        <v>70424</v>
      </c>
      <c r="N29" s="494" t="s">
        <v>6345</v>
      </c>
    </row>
    <row r="30" spans="1:14">
      <c r="D30" s="500"/>
      <c r="E30" s="500"/>
      <c r="F30" s="500"/>
      <c r="G30" s="500"/>
      <c r="H30" s="500"/>
      <c r="I30" s="500"/>
      <c r="J30" s="500"/>
      <c r="K30" s="500"/>
      <c r="L30" s="500"/>
    </row>
    <row r="31" spans="1:14">
      <c r="A31" s="494" t="s">
        <v>6347</v>
      </c>
      <c r="D31" s="497">
        <f t="shared" ref="D31:I31" si="60">D107</f>
        <v>5997</v>
      </c>
      <c r="E31" s="497">
        <f t="shared" si="60"/>
        <v>6032</v>
      </c>
      <c r="F31" s="497">
        <f t="shared" si="60"/>
        <v>6154</v>
      </c>
      <c r="G31" s="497">
        <f t="shared" si="60"/>
        <v>5729</v>
      </c>
      <c r="H31" s="497">
        <f t="shared" si="60"/>
        <v>6195</v>
      </c>
      <c r="I31" s="497">
        <f t="shared" si="60"/>
        <v>6137</v>
      </c>
      <c r="J31" s="497">
        <f t="shared" ref="J31:K31" si="61">J107</f>
        <v>5491</v>
      </c>
      <c r="K31" s="497">
        <f t="shared" si="61"/>
        <v>5833</v>
      </c>
      <c r="L31" s="497">
        <f t="shared" ref="L31" si="62">L107</f>
        <v>6075</v>
      </c>
      <c r="N31" s="494" t="s">
        <v>6339</v>
      </c>
    </row>
    <row r="32" spans="1:14" ht="15.75" thickBot="1">
      <c r="D32" s="498">
        <f t="shared" ref="D32:I32" si="63">D256</f>
        <v>72615</v>
      </c>
      <c r="E32" s="498">
        <f t="shared" si="63"/>
        <v>73969</v>
      </c>
      <c r="F32" s="498">
        <f t="shared" si="63"/>
        <v>74874</v>
      </c>
      <c r="G32" s="498">
        <f t="shared" si="63"/>
        <v>75357</v>
      </c>
      <c r="H32" s="498">
        <f t="shared" si="63"/>
        <v>76319</v>
      </c>
      <c r="I32" s="498">
        <f t="shared" si="63"/>
        <v>76151</v>
      </c>
      <c r="J32" s="498">
        <f t="shared" ref="J32:K32" si="64">J256</f>
        <v>75877</v>
      </c>
      <c r="K32" s="498">
        <f t="shared" si="64"/>
        <v>77888</v>
      </c>
      <c r="L32" s="498">
        <f t="shared" ref="L32" si="65">L256</f>
        <v>77715</v>
      </c>
      <c r="N32" s="494" t="s">
        <v>6348</v>
      </c>
    </row>
    <row r="33" spans="1:14" ht="15.75" thickBot="1">
      <c r="D33" s="498">
        <f t="shared" ref="D33:I33" si="66">D31+D32</f>
        <v>78612</v>
      </c>
      <c r="E33" s="498">
        <f t="shared" si="66"/>
        <v>80001</v>
      </c>
      <c r="F33" s="498">
        <f t="shared" si="66"/>
        <v>81028</v>
      </c>
      <c r="G33" s="498">
        <f t="shared" si="66"/>
        <v>81086</v>
      </c>
      <c r="H33" s="498">
        <f t="shared" si="66"/>
        <v>82514</v>
      </c>
      <c r="I33" s="498">
        <f t="shared" si="66"/>
        <v>82288</v>
      </c>
      <c r="J33" s="498">
        <f t="shared" ref="J33:K33" si="67">J31+J32</f>
        <v>81368</v>
      </c>
      <c r="K33" s="498">
        <f t="shared" si="67"/>
        <v>83721</v>
      </c>
      <c r="L33" s="498">
        <f t="shared" ref="L33" si="68">L31+L32</f>
        <v>83790</v>
      </c>
    </row>
    <row r="34" spans="1:14">
      <c r="D34" s="501"/>
      <c r="E34" s="501"/>
      <c r="F34" s="501"/>
      <c r="G34" s="501"/>
      <c r="H34" s="501"/>
      <c r="I34" s="501"/>
      <c r="J34" s="501"/>
      <c r="K34" s="501"/>
      <c r="L34" s="501"/>
    </row>
    <row r="35" spans="1:14">
      <c r="A35" s="494" t="s">
        <v>6349</v>
      </c>
      <c r="D35" s="497">
        <f t="shared" ref="D35:I35" si="69">D136</f>
        <v>48104</v>
      </c>
      <c r="E35" s="497">
        <f t="shared" si="69"/>
        <v>48529</v>
      </c>
      <c r="F35" s="497">
        <f t="shared" si="69"/>
        <v>49075</v>
      </c>
      <c r="G35" s="497">
        <f t="shared" si="69"/>
        <v>49590</v>
      </c>
      <c r="H35" s="497">
        <f t="shared" si="69"/>
        <v>49924</v>
      </c>
      <c r="I35" s="497">
        <f t="shared" si="69"/>
        <v>48507</v>
      </c>
      <c r="J35" s="497">
        <f t="shared" ref="J35:K35" si="70">J136</f>
        <v>48145</v>
      </c>
      <c r="K35" s="497">
        <f t="shared" si="70"/>
        <v>49508</v>
      </c>
      <c r="L35" s="497">
        <f t="shared" ref="L35" si="71">L136</f>
        <v>49470</v>
      </c>
      <c r="N35" s="494" t="s">
        <v>6343</v>
      </c>
    </row>
    <row r="36" spans="1:14" ht="15.75" thickBot="1">
      <c r="D36" s="498">
        <f t="shared" ref="D36:I36" si="72">D257</f>
        <v>33040</v>
      </c>
      <c r="E36" s="498">
        <f t="shared" si="72"/>
        <v>33736</v>
      </c>
      <c r="F36" s="498">
        <f t="shared" si="72"/>
        <v>34217</v>
      </c>
      <c r="G36" s="498">
        <f t="shared" si="72"/>
        <v>34085</v>
      </c>
      <c r="H36" s="498">
        <f t="shared" si="72"/>
        <v>34395</v>
      </c>
      <c r="I36" s="498">
        <f t="shared" si="72"/>
        <v>34558</v>
      </c>
      <c r="J36" s="498">
        <f t="shared" ref="J36:K36" si="73">J257</f>
        <v>34412</v>
      </c>
      <c r="K36" s="498">
        <f t="shared" si="73"/>
        <v>35473</v>
      </c>
      <c r="L36" s="498">
        <f t="shared" ref="L36" si="74">L257</f>
        <v>35198</v>
      </c>
      <c r="N36" s="494" t="s">
        <v>6348</v>
      </c>
    </row>
    <row r="37" spans="1:14" ht="15.75" thickBot="1">
      <c r="D37" s="498">
        <f t="shared" ref="D37:I37" si="75">SUM(D35:D36)</f>
        <v>81144</v>
      </c>
      <c r="E37" s="498">
        <f t="shared" si="75"/>
        <v>82265</v>
      </c>
      <c r="F37" s="498">
        <f t="shared" si="75"/>
        <v>83292</v>
      </c>
      <c r="G37" s="498">
        <f t="shared" si="75"/>
        <v>83675</v>
      </c>
      <c r="H37" s="498">
        <f t="shared" si="75"/>
        <v>84319</v>
      </c>
      <c r="I37" s="498">
        <f t="shared" si="75"/>
        <v>83065</v>
      </c>
      <c r="J37" s="498">
        <f t="shared" ref="J37:K37" si="76">SUM(J35:J36)</f>
        <v>82557</v>
      </c>
      <c r="K37" s="498">
        <f t="shared" si="76"/>
        <v>84981</v>
      </c>
      <c r="L37" s="498">
        <f t="shared" ref="L37" si="77">SUM(L35:L36)</f>
        <v>84668</v>
      </c>
    </row>
    <row r="38" spans="1:14">
      <c r="D38" s="500"/>
      <c r="E38" s="500"/>
      <c r="F38" s="500"/>
      <c r="G38" s="500"/>
      <c r="H38" s="500"/>
      <c r="I38" s="500"/>
      <c r="J38" s="500"/>
      <c r="K38" s="500"/>
      <c r="L38" s="500"/>
    </row>
    <row r="39" spans="1:14">
      <c r="A39" s="494" t="s">
        <v>8697</v>
      </c>
      <c r="D39" s="497">
        <f t="shared" ref="D39:I39" si="78">D17+D19+D23+D27+D29+D33+D37</f>
        <v>555518</v>
      </c>
      <c r="E39" s="497">
        <f t="shared" si="78"/>
        <v>562526</v>
      </c>
      <c r="F39" s="497">
        <f t="shared" si="78"/>
        <v>566850</v>
      </c>
      <c r="G39" s="497">
        <f t="shared" si="78"/>
        <v>565974</v>
      </c>
      <c r="H39" s="497">
        <f t="shared" si="78"/>
        <v>572415</v>
      </c>
      <c r="I39" s="497">
        <f t="shared" si="78"/>
        <v>566021</v>
      </c>
      <c r="J39" s="497">
        <f t="shared" ref="J39:K39" si="79">J17+J19+J23+J27+J29+J33+J37</f>
        <v>554887</v>
      </c>
      <c r="K39" s="497">
        <f t="shared" si="79"/>
        <v>571830</v>
      </c>
      <c r="L39" s="497">
        <f t="shared" ref="L39" si="80">L17+L19+L23+L27+L29+L33+L37</f>
        <v>572149</v>
      </c>
    </row>
    <row r="40" spans="1:14">
      <c r="D40" s="500"/>
      <c r="E40" s="500"/>
      <c r="F40" s="500"/>
      <c r="G40" s="500"/>
      <c r="H40" s="500"/>
      <c r="I40" s="500"/>
      <c r="J40" s="500"/>
      <c r="K40" s="500"/>
      <c r="L40" s="500"/>
    </row>
    <row r="41" spans="1:14">
      <c r="A41" s="494" t="s">
        <v>8698</v>
      </c>
      <c r="D41" s="497">
        <f t="shared" ref="D41:I41" si="81">MAX(D17,D19,D23,D27,D29,D33,D37)-MIN(D17,D19,D23,D27,D29,D33,D37)</f>
        <v>17626</v>
      </c>
      <c r="E41" s="497">
        <f t="shared" si="81"/>
        <v>16632</v>
      </c>
      <c r="F41" s="497">
        <f t="shared" si="81"/>
        <v>16147</v>
      </c>
      <c r="G41" s="497">
        <f t="shared" si="81"/>
        <v>16387</v>
      </c>
      <c r="H41" s="497">
        <f t="shared" si="81"/>
        <v>18888</v>
      </c>
      <c r="I41" s="497">
        <f t="shared" si="81"/>
        <v>18953</v>
      </c>
      <c r="J41" s="497">
        <f t="shared" ref="J41:K41" si="82">MAX(J17,J19,J23,J27,J29,J33,J37)-MIN(J17,J19,J23,J27,J29,J33,J37)</f>
        <v>22725</v>
      </c>
      <c r="K41" s="497">
        <f t="shared" si="82"/>
        <v>20975</v>
      </c>
      <c r="L41" s="497">
        <f t="shared" ref="L41" si="83">MAX(L17,L19,L23,L27,L29,L33,L37)-MIN(L17,L19,L23,L27,L29,L33,L37)</f>
        <v>21558</v>
      </c>
    </row>
    <row r="42" spans="1:14">
      <c r="D42" s="500"/>
      <c r="E42" s="500"/>
      <c r="F42" s="500"/>
      <c r="G42" s="500"/>
      <c r="H42" s="500"/>
      <c r="I42" s="500"/>
      <c r="J42" s="500"/>
      <c r="K42" s="500"/>
      <c r="L42" s="500"/>
    </row>
    <row r="43" spans="1:14">
      <c r="A43" s="494" t="s">
        <v>8701</v>
      </c>
      <c r="D43" s="497">
        <f t="shared" ref="D43:I43" si="84">STDEVP(D17,D19,D23,D27,D29,D33,D37)</f>
        <v>5169.0555842100457</v>
      </c>
      <c r="E43" s="497">
        <f t="shared" si="84"/>
        <v>5093.3232044811493</v>
      </c>
      <c r="F43" s="497">
        <f t="shared" si="84"/>
        <v>5035.4212153827339</v>
      </c>
      <c r="G43" s="497">
        <f t="shared" si="84"/>
        <v>5459.7387131919168</v>
      </c>
      <c r="H43" s="497">
        <f t="shared" si="84"/>
        <v>5588.6687108097285</v>
      </c>
      <c r="I43" s="497">
        <f t="shared" si="84"/>
        <v>5688.7203288254414</v>
      </c>
      <c r="J43" s="497">
        <f t="shared" ref="J43:K43" si="85">STDEVP(J17,J19,J23,J27,J29,J33,J37)</f>
        <v>7165.797809378796</v>
      </c>
      <c r="K43" s="497">
        <f t="shared" si="85"/>
        <v>6868.8806116530268</v>
      </c>
      <c r="L43" s="497">
        <f t="shared" ref="L43" si="86">STDEVP(L17,L19,L23,L27,L29,L33,L37)</f>
        <v>6561.3237744733633</v>
      </c>
    </row>
    <row r="44" spans="1:14">
      <c r="A44" s="494"/>
      <c r="D44" s="502"/>
      <c r="E44" s="502"/>
      <c r="F44" s="502"/>
      <c r="G44" s="502"/>
      <c r="H44" s="502"/>
      <c r="I44" s="502"/>
      <c r="J44" s="502"/>
      <c r="K44" s="502"/>
      <c r="L44" s="502"/>
    </row>
    <row r="45" spans="1:14">
      <c r="A45" s="495" t="s">
        <v>2882</v>
      </c>
    </row>
    <row r="48" spans="1:14">
      <c r="E48" s="42" t="s">
        <v>2303</v>
      </c>
      <c r="F48" s="42"/>
      <c r="G48" s="42"/>
      <c r="H48" s="42"/>
      <c r="I48" s="42"/>
      <c r="J48" s="42"/>
      <c r="K48" s="42"/>
      <c r="L48" s="42"/>
      <c r="M48" s="25"/>
      <c r="N48" s="25" t="s">
        <v>13319</v>
      </c>
    </row>
    <row r="49" spans="1:14">
      <c r="D49" s="24">
        <v>2010</v>
      </c>
      <c r="E49" s="24">
        <v>2011</v>
      </c>
      <c r="F49" s="24">
        <v>2012</v>
      </c>
      <c r="G49" s="24">
        <v>2013</v>
      </c>
      <c r="H49" s="24">
        <v>2014</v>
      </c>
      <c r="I49" s="24">
        <v>2015</v>
      </c>
      <c r="J49" s="24">
        <v>2016</v>
      </c>
      <c r="K49" s="24">
        <v>2017</v>
      </c>
      <c r="L49" s="24">
        <v>2018</v>
      </c>
      <c r="N49" s="29" t="s">
        <v>2304</v>
      </c>
    </row>
    <row r="50" spans="1:14">
      <c r="A50" s="494" t="s">
        <v>2824</v>
      </c>
      <c r="C50" s="494"/>
      <c r="D50" s="497">
        <f t="shared" ref="D50:J50" si="87">SUM(D51:D54)+SUM(D56:D58)+SUM(D60:D63)+D65+D66+SUM(D68:D80)</f>
        <v>113970</v>
      </c>
      <c r="E50" s="497">
        <f t="shared" si="87"/>
        <v>119513</v>
      </c>
      <c r="F50" s="497">
        <f t="shared" si="87"/>
        <v>121182</v>
      </c>
      <c r="G50" s="497">
        <f t="shared" si="87"/>
        <v>120684</v>
      </c>
      <c r="H50" s="497">
        <f t="shared" si="87"/>
        <v>119920</v>
      </c>
      <c r="I50" s="497">
        <f t="shared" si="87"/>
        <v>119762</v>
      </c>
      <c r="J50" s="497">
        <f t="shared" si="87"/>
        <v>117844</v>
      </c>
      <c r="K50" s="497">
        <f>SUM(K51:K54)+SUM(K56:K58)+SUM(K60:K63)+K65+K66+SUM(K68:K80)</f>
        <v>120872</v>
      </c>
      <c r="L50" s="497">
        <f>SUM(L51:L54)+SUM(L56:L58)+SUM(L60:L63)+L65+L66+SUM(L68:L80)</f>
        <v>118379</v>
      </c>
    </row>
    <row r="51" spans="1:14">
      <c r="A51" s="494" t="s">
        <v>6957</v>
      </c>
      <c r="B51" s="494" t="s">
        <v>2883</v>
      </c>
      <c r="C51" s="4" t="s">
        <v>15898</v>
      </c>
      <c r="D51" s="497">
        <v>44238</v>
      </c>
      <c r="E51" s="497">
        <v>46726</v>
      </c>
      <c r="F51" s="497">
        <v>47461</v>
      </c>
      <c r="G51" s="30">
        <v>47268</v>
      </c>
      <c r="H51" s="30">
        <v>47619</v>
      </c>
      <c r="I51" s="30">
        <v>47722</v>
      </c>
      <c r="J51" s="30">
        <v>47221</v>
      </c>
      <c r="K51" s="30">
        <v>2574</v>
      </c>
      <c r="L51" s="30">
        <v>2583</v>
      </c>
      <c r="N51" s="494" t="s">
        <v>6344</v>
      </c>
    </row>
    <row r="52" spans="1:14">
      <c r="A52" s="494" t="s">
        <v>6959</v>
      </c>
      <c r="B52" s="494" t="s">
        <v>15900</v>
      </c>
      <c r="C52" s="4" t="s">
        <v>15899</v>
      </c>
      <c r="D52" s="497">
        <v>69732</v>
      </c>
      <c r="E52" s="497">
        <v>72787</v>
      </c>
      <c r="F52" s="497">
        <v>73721</v>
      </c>
      <c r="G52" s="30">
        <v>73416</v>
      </c>
      <c r="H52" s="30">
        <v>72301</v>
      </c>
      <c r="I52" s="30">
        <v>72040</v>
      </c>
      <c r="J52" s="30">
        <v>70623</v>
      </c>
      <c r="K52" s="30">
        <v>5797</v>
      </c>
      <c r="L52" s="30">
        <v>5591</v>
      </c>
      <c r="N52" s="494" t="s">
        <v>6346</v>
      </c>
    </row>
    <row r="53" spans="1:14">
      <c r="A53" s="494" t="s">
        <v>6961</v>
      </c>
      <c r="B53" s="494" t="s">
        <v>7725</v>
      </c>
      <c r="C53" s="4" t="s">
        <v>15901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/>
      <c r="N53" s="494" t="s">
        <v>6344</v>
      </c>
    </row>
    <row r="54" spans="1:14" ht="15.75" thickBot="1">
      <c r="A54" s="494"/>
      <c r="B54" s="494"/>
      <c r="C54" s="4" t="s">
        <v>15901</v>
      </c>
      <c r="D54" s="497">
        <v>0</v>
      </c>
      <c r="E54" s="497">
        <v>0</v>
      </c>
      <c r="F54" s="497">
        <v>0</v>
      </c>
      <c r="G54" s="30">
        <v>0</v>
      </c>
      <c r="H54" s="30">
        <v>0</v>
      </c>
      <c r="I54" s="30">
        <v>0</v>
      </c>
      <c r="J54" s="30">
        <v>0</v>
      </c>
      <c r="K54" s="30">
        <v>5780</v>
      </c>
      <c r="L54" s="26">
        <v>5614</v>
      </c>
      <c r="N54" s="494" t="s">
        <v>6346</v>
      </c>
    </row>
    <row r="55" spans="1:14" ht="15.75" thickBot="1">
      <c r="A55" s="494"/>
      <c r="B55" s="494"/>
      <c r="C55" s="4" t="s">
        <v>15901</v>
      </c>
      <c r="D55" s="503">
        <f t="shared" ref="D55:L55" si="88">D53+D54</f>
        <v>0</v>
      </c>
      <c r="E55" s="503">
        <f t="shared" si="88"/>
        <v>0</v>
      </c>
      <c r="F55" s="503">
        <f t="shared" si="88"/>
        <v>0</v>
      </c>
      <c r="G55" s="503">
        <f t="shared" si="88"/>
        <v>0</v>
      </c>
      <c r="H55" s="503">
        <f t="shared" si="88"/>
        <v>0</v>
      </c>
      <c r="I55" s="503">
        <f t="shared" si="88"/>
        <v>0</v>
      </c>
      <c r="J55" s="503">
        <f t="shared" si="88"/>
        <v>0</v>
      </c>
      <c r="K55" s="503">
        <f t="shared" si="88"/>
        <v>5780</v>
      </c>
      <c r="L55" s="503">
        <f t="shared" si="88"/>
        <v>5614</v>
      </c>
      <c r="N55" s="494"/>
    </row>
    <row r="56" spans="1:14">
      <c r="A56" s="494" t="s">
        <v>6963</v>
      </c>
      <c r="B56" s="494" t="s">
        <v>2884</v>
      </c>
      <c r="C56" s="4" t="s">
        <v>15902</v>
      </c>
      <c r="D56" s="497">
        <v>0</v>
      </c>
      <c r="E56" s="497">
        <v>0</v>
      </c>
      <c r="F56" s="497">
        <v>0</v>
      </c>
      <c r="G56" s="30">
        <v>0</v>
      </c>
      <c r="H56" s="30">
        <v>0</v>
      </c>
      <c r="I56" s="30">
        <v>0</v>
      </c>
      <c r="J56" s="30">
        <v>0</v>
      </c>
      <c r="K56" s="30">
        <v>5568</v>
      </c>
      <c r="L56" s="30">
        <v>5341</v>
      </c>
      <c r="N56" s="494" t="s">
        <v>6346</v>
      </c>
    </row>
    <row r="57" spans="1:14">
      <c r="A57" s="494" t="s">
        <v>6965</v>
      </c>
      <c r="B57" s="494" t="s">
        <v>2885</v>
      </c>
      <c r="C57" s="4" t="s">
        <v>15903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/>
      <c r="N57" s="494" t="s">
        <v>6344</v>
      </c>
    </row>
    <row r="58" spans="1:14" ht="15.75" thickBot="1">
      <c r="B58" s="494"/>
      <c r="C58" s="4" t="s">
        <v>15903</v>
      </c>
      <c r="D58" s="501">
        <v>0</v>
      </c>
      <c r="E58" s="501">
        <v>0</v>
      </c>
      <c r="F58" s="501">
        <v>0</v>
      </c>
      <c r="G58" s="501">
        <v>0</v>
      </c>
      <c r="H58" s="30">
        <v>0</v>
      </c>
      <c r="I58" s="30">
        <v>0</v>
      </c>
      <c r="J58" s="30">
        <v>0</v>
      </c>
      <c r="K58" s="30">
        <v>5218</v>
      </c>
      <c r="L58" s="26">
        <v>5091</v>
      </c>
      <c r="N58" s="494" t="s">
        <v>6346</v>
      </c>
    </row>
    <row r="59" spans="1:14" ht="15.75" thickBot="1">
      <c r="B59" s="494"/>
      <c r="C59" s="4" t="s">
        <v>15903</v>
      </c>
      <c r="D59" s="503">
        <f t="shared" ref="D59:L59" si="89">D57+D58</f>
        <v>0</v>
      </c>
      <c r="E59" s="503">
        <f t="shared" si="89"/>
        <v>0</v>
      </c>
      <c r="F59" s="503">
        <f t="shared" si="89"/>
        <v>0</v>
      </c>
      <c r="G59" s="503">
        <f t="shared" si="89"/>
        <v>0</v>
      </c>
      <c r="H59" s="503">
        <f t="shared" si="89"/>
        <v>0</v>
      </c>
      <c r="I59" s="503">
        <f t="shared" si="89"/>
        <v>0</v>
      </c>
      <c r="J59" s="503">
        <f t="shared" si="89"/>
        <v>0</v>
      </c>
      <c r="K59" s="503">
        <f t="shared" si="89"/>
        <v>5218</v>
      </c>
      <c r="L59" s="503">
        <f t="shared" si="89"/>
        <v>5091</v>
      </c>
      <c r="N59" s="494"/>
    </row>
    <row r="60" spans="1:14">
      <c r="A60" s="494" t="s">
        <v>6997</v>
      </c>
      <c r="B60" s="494" t="s">
        <v>15904</v>
      </c>
      <c r="C60" s="4" t="s">
        <v>15907</v>
      </c>
      <c r="D60" s="501">
        <v>0</v>
      </c>
      <c r="E60" s="501">
        <v>0</v>
      </c>
      <c r="F60" s="501">
        <v>0</v>
      </c>
      <c r="G60" s="30">
        <v>0</v>
      </c>
      <c r="H60" s="30">
        <v>0</v>
      </c>
      <c r="I60" s="30">
        <v>0</v>
      </c>
      <c r="J60" s="30">
        <v>0</v>
      </c>
      <c r="K60" s="30">
        <v>6919</v>
      </c>
      <c r="L60" s="30">
        <v>6890</v>
      </c>
      <c r="N60" s="494" t="s">
        <v>6346</v>
      </c>
    </row>
    <row r="61" spans="1:14">
      <c r="A61" s="494" t="s">
        <v>6999</v>
      </c>
      <c r="B61" s="494" t="s">
        <v>15905</v>
      </c>
      <c r="C61" s="4" t="s">
        <v>15908</v>
      </c>
      <c r="D61" s="501">
        <v>0</v>
      </c>
      <c r="E61" s="501">
        <v>0</v>
      </c>
      <c r="F61" s="501">
        <v>0</v>
      </c>
      <c r="G61" s="30">
        <v>0</v>
      </c>
      <c r="H61" s="30">
        <v>0</v>
      </c>
      <c r="I61" s="30">
        <v>0</v>
      </c>
      <c r="J61" s="30">
        <v>0</v>
      </c>
      <c r="K61" s="30">
        <v>6204</v>
      </c>
      <c r="L61" s="30">
        <v>6068</v>
      </c>
      <c r="N61" s="494" t="s">
        <v>6344</v>
      </c>
    </row>
    <row r="62" spans="1:14">
      <c r="A62" s="494" t="s">
        <v>7001</v>
      </c>
      <c r="B62" s="494" t="s">
        <v>15906</v>
      </c>
      <c r="C62" s="4" t="s">
        <v>15909</v>
      </c>
      <c r="D62" s="501">
        <v>0</v>
      </c>
      <c r="E62" s="501">
        <v>0</v>
      </c>
      <c r="F62" s="501">
        <v>0</v>
      </c>
      <c r="G62" s="30">
        <v>0</v>
      </c>
      <c r="H62" s="30">
        <v>0</v>
      </c>
      <c r="I62" s="30">
        <v>0</v>
      </c>
      <c r="J62" s="30">
        <v>0</v>
      </c>
      <c r="K62" s="30">
        <v>5857</v>
      </c>
      <c r="L62" s="30">
        <v>5701</v>
      </c>
      <c r="N62" s="494" t="s">
        <v>6344</v>
      </c>
    </row>
    <row r="63" spans="1:14" ht="15.75" thickBot="1">
      <c r="A63" s="494"/>
      <c r="B63" s="494"/>
      <c r="C63" s="4" t="s">
        <v>15909</v>
      </c>
      <c r="D63" s="501">
        <v>0</v>
      </c>
      <c r="E63" s="501">
        <v>0</v>
      </c>
      <c r="F63" s="501">
        <v>0</v>
      </c>
      <c r="G63" s="501">
        <v>0</v>
      </c>
      <c r="H63" s="30">
        <v>0</v>
      </c>
      <c r="I63" s="30">
        <v>0</v>
      </c>
      <c r="J63" s="30">
        <v>0</v>
      </c>
      <c r="K63" s="31">
        <v>563</v>
      </c>
      <c r="L63" s="31">
        <v>548</v>
      </c>
      <c r="N63" s="494" t="s">
        <v>6346</v>
      </c>
    </row>
    <row r="64" spans="1:14" ht="15.75" thickBot="1">
      <c r="A64" s="494"/>
      <c r="B64" s="494"/>
      <c r="C64" s="4" t="s">
        <v>15909</v>
      </c>
      <c r="D64" s="503">
        <f t="shared" ref="D64:L64" si="90">D62+D63</f>
        <v>0</v>
      </c>
      <c r="E64" s="503">
        <f t="shared" si="90"/>
        <v>0</v>
      </c>
      <c r="F64" s="503">
        <f t="shared" si="90"/>
        <v>0</v>
      </c>
      <c r="G64" s="503">
        <f t="shared" si="90"/>
        <v>0</v>
      </c>
      <c r="H64" s="503">
        <f t="shared" si="90"/>
        <v>0</v>
      </c>
      <c r="I64" s="503">
        <f t="shared" si="90"/>
        <v>0</v>
      </c>
      <c r="J64" s="503">
        <f t="shared" si="90"/>
        <v>0</v>
      </c>
      <c r="K64" s="503">
        <f t="shared" si="90"/>
        <v>6420</v>
      </c>
      <c r="L64" s="503">
        <f t="shared" si="90"/>
        <v>6249</v>
      </c>
      <c r="N64" s="494"/>
    </row>
    <row r="65" spans="1:14">
      <c r="A65" s="494" t="s">
        <v>7003</v>
      </c>
      <c r="B65" s="494" t="s">
        <v>15910</v>
      </c>
      <c r="C65" s="4" t="s">
        <v>15911</v>
      </c>
      <c r="D65" s="501">
        <v>0</v>
      </c>
      <c r="E65" s="501">
        <v>0</v>
      </c>
      <c r="F65" s="501">
        <v>0</v>
      </c>
      <c r="G65" s="30">
        <v>0</v>
      </c>
      <c r="H65" s="30">
        <v>0</v>
      </c>
      <c r="I65" s="30">
        <v>0</v>
      </c>
      <c r="J65" s="30">
        <v>0</v>
      </c>
      <c r="K65" s="30">
        <v>4865</v>
      </c>
      <c r="L65" s="30">
        <v>4802</v>
      </c>
      <c r="N65" s="494" t="s">
        <v>6344</v>
      </c>
    </row>
    <row r="66" spans="1:14" ht="15.75" thickBot="1">
      <c r="A66" s="494"/>
      <c r="B66" s="494"/>
      <c r="C66" s="4" t="s">
        <v>15911</v>
      </c>
      <c r="D66" s="501">
        <v>0</v>
      </c>
      <c r="E66" s="501">
        <v>0</v>
      </c>
      <c r="F66" s="501">
        <v>0</v>
      </c>
      <c r="G66" s="501">
        <v>0</v>
      </c>
      <c r="H66" s="30">
        <v>0</v>
      </c>
      <c r="I66" s="30">
        <v>0</v>
      </c>
      <c r="J66" s="30">
        <v>0</v>
      </c>
      <c r="K66" s="30">
        <v>395</v>
      </c>
      <c r="L66" s="30">
        <v>381</v>
      </c>
      <c r="N66" s="494" t="s">
        <v>6346</v>
      </c>
    </row>
    <row r="67" spans="1:14" ht="15.75" thickBot="1">
      <c r="A67" s="494"/>
      <c r="B67" s="494"/>
      <c r="C67" s="4" t="s">
        <v>15911</v>
      </c>
      <c r="D67" s="503">
        <f t="shared" ref="D67:L67" si="91">D65+D66</f>
        <v>0</v>
      </c>
      <c r="E67" s="503">
        <f t="shared" si="91"/>
        <v>0</v>
      </c>
      <c r="F67" s="503">
        <f t="shared" si="91"/>
        <v>0</v>
      </c>
      <c r="G67" s="503">
        <f t="shared" si="91"/>
        <v>0</v>
      </c>
      <c r="H67" s="503">
        <f t="shared" si="91"/>
        <v>0</v>
      </c>
      <c r="I67" s="503">
        <f t="shared" si="91"/>
        <v>0</v>
      </c>
      <c r="J67" s="503">
        <f t="shared" si="91"/>
        <v>0</v>
      </c>
      <c r="K67" s="503">
        <f t="shared" si="91"/>
        <v>5260</v>
      </c>
      <c r="L67" s="503">
        <f t="shared" si="91"/>
        <v>5183</v>
      </c>
      <c r="N67" s="494"/>
    </row>
    <row r="68" spans="1:14">
      <c r="A68" s="494" t="s">
        <v>7005</v>
      </c>
      <c r="B68" s="494" t="s">
        <v>15912</v>
      </c>
      <c r="C68" s="4" t="s">
        <v>15915</v>
      </c>
      <c r="D68" s="501">
        <v>0</v>
      </c>
      <c r="E68" s="501">
        <v>0</v>
      </c>
      <c r="F68" s="501">
        <v>0</v>
      </c>
      <c r="G68" s="30">
        <v>0</v>
      </c>
      <c r="H68" s="30">
        <v>0</v>
      </c>
      <c r="I68" s="30">
        <v>0</v>
      </c>
      <c r="J68" s="30">
        <v>0</v>
      </c>
      <c r="K68" s="31">
        <v>6178</v>
      </c>
      <c r="L68" s="31">
        <v>6041</v>
      </c>
      <c r="N68" s="494" t="s">
        <v>6346</v>
      </c>
    </row>
    <row r="69" spans="1:14">
      <c r="A69" s="494" t="s">
        <v>7007</v>
      </c>
      <c r="B69" s="494" t="s">
        <v>15913</v>
      </c>
      <c r="C69" s="4" t="s">
        <v>15916</v>
      </c>
      <c r="D69" s="501">
        <v>0</v>
      </c>
      <c r="E69" s="501">
        <v>0</v>
      </c>
      <c r="F69" s="501">
        <v>0</v>
      </c>
      <c r="G69" s="30">
        <v>0</v>
      </c>
      <c r="H69" s="30">
        <v>0</v>
      </c>
      <c r="I69" s="30">
        <v>0</v>
      </c>
      <c r="J69" s="30">
        <v>0</v>
      </c>
      <c r="K69" s="30">
        <v>3885</v>
      </c>
      <c r="L69" s="30">
        <v>3802</v>
      </c>
      <c r="N69" s="494" t="s">
        <v>6344</v>
      </c>
    </row>
    <row r="70" spans="1:14">
      <c r="A70" s="494" t="s">
        <v>7009</v>
      </c>
      <c r="B70" s="494" t="s">
        <v>15914</v>
      </c>
      <c r="C70" s="4" t="s">
        <v>15917</v>
      </c>
      <c r="D70" s="501">
        <v>0</v>
      </c>
      <c r="E70" s="501">
        <v>0</v>
      </c>
      <c r="F70" s="501">
        <v>0</v>
      </c>
      <c r="G70" s="30">
        <v>0</v>
      </c>
      <c r="H70" s="30">
        <v>0</v>
      </c>
      <c r="I70" s="30">
        <v>0</v>
      </c>
      <c r="J70" s="30">
        <v>0</v>
      </c>
      <c r="K70" s="30">
        <v>3904</v>
      </c>
      <c r="L70" s="30">
        <v>3916</v>
      </c>
      <c r="N70" s="494" t="s">
        <v>6344</v>
      </c>
    </row>
    <row r="71" spans="1:14">
      <c r="A71" s="494" t="s">
        <v>7011</v>
      </c>
      <c r="B71" s="494" t="s">
        <v>7872</v>
      </c>
      <c r="C71" s="4" t="s">
        <v>15918</v>
      </c>
      <c r="D71" s="501">
        <v>0</v>
      </c>
      <c r="E71" s="501">
        <v>0</v>
      </c>
      <c r="F71" s="501">
        <v>0</v>
      </c>
      <c r="G71" s="30">
        <v>0</v>
      </c>
      <c r="H71" s="30">
        <v>0</v>
      </c>
      <c r="I71" s="30">
        <v>0</v>
      </c>
      <c r="J71" s="30">
        <v>0</v>
      </c>
      <c r="K71" s="31">
        <v>5484</v>
      </c>
      <c r="L71" s="31">
        <v>5359</v>
      </c>
      <c r="N71" s="494" t="s">
        <v>6346</v>
      </c>
    </row>
    <row r="72" spans="1:14">
      <c r="A72" s="494" t="s">
        <v>7013</v>
      </c>
      <c r="B72" s="494" t="s">
        <v>7873</v>
      </c>
      <c r="C72" s="4" t="s">
        <v>15919</v>
      </c>
      <c r="D72" s="501">
        <v>0</v>
      </c>
      <c r="E72" s="501">
        <v>0</v>
      </c>
      <c r="F72" s="501">
        <v>0</v>
      </c>
      <c r="G72" s="30">
        <v>0</v>
      </c>
      <c r="H72" s="30">
        <v>0</v>
      </c>
      <c r="I72" s="30">
        <v>0</v>
      </c>
      <c r="J72" s="30">
        <v>0</v>
      </c>
      <c r="K72" s="30">
        <v>6614</v>
      </c>
      <c r="L72" s="30">
        <v>6427</v>
      </c>
      <c r="N72" s="494" t="s">
        <v>6344</v>
      </c>
    </row>
    <row r="73" spans="1:14">
      <c r="A73" s="494" t="s">
        <v>7015</v>
      </c>
      <c r="B73" s="494" t="s">
        <v>7874</v>
      </c>
      <c r="C73" s="4" t="s">
        <v>15920</v>
      </c>
      <c r="D73" s="501">
        <v>0</v>
      </c>
      <c r="E73" s="501">
        <v>0</v>
      </c>
      <c r="F73" s="501">
        <v>0</v>
      </c>
      <c r="G73" s="30">
        <v>0</v>
      </c>
      <c r="H73" s="30">
        <v>0</v>
      </c>
      <c r="I73" s="30">
        <v>0</v>
      </c>
      <c r="J73" s="30">
        <v>0</v>
      </c>
      <c r="K73" s="30">
        <v>6798</v>
      </c>
      <c r="L73" s="30">
        <v>6681</v>
      </c>
      <c r="N73" s="494" t="s">
        <v>6344</v>
      </c>
    </row>
    <row r="74" spans="1:14">
      <c r="A74" s="494" t="s">
        <v>7017</v>
      </c>
      <c r="B74" s="494" t="s">
        <v>2442</v>
      </c>
      <c r="C74" s="4" t="s">
        <v>15921</v>
      </c>
      <c r="D74" s="501">
        <v>0</v>
      </c>
      <c r="E74" s="501">
        <v>0</v>
      </c>
      <c r="F74" s="501">
        <v>0</v>
      </c>
      <c r="G74" s="30">
        <v>0</v>
      </c>
      <c r="H74" s="30">
        <v>0</v>
      </c>
      <c r="I74" s="30">
        <v>0</v>
      </c>
      <c r="J74" s="30">
        <v>0</v>
      </c>
      <c r="K74" s="31">
        <v>5546</v>
      </c>
      <c r="L74" s="31">
        <v>5502</v>
      </c>
      <c r="N74" s="494" t="s">
        <v>6346</v>
      </c>
    </row>
    <row r="75" spans="1:14">
      <c r="A75" s="494" t="s">
        <v>7019</v>
      </c>
      <c r="B75" s="494" t="s">
        <v>15928</v>
      </c>
      <c r="C75" s="4" t="s">
        <v>15922</v>
      </c>
      <c r="D75" s="501">
        <v>0</v>
      </c>
      <c r="E75" s="501">
        <v>0</v>
      </c>
      <c r="F75" s="501">
        <v>0</v>
      </c>
      <c r="G75" s="30">
        <v>0</v>
      </c>
      <c r="H75" s="30">
        <v>0</v>
      </c>
      <c r="I75" s="30">
        <v>0</v>
      </c>
      <c r="J75" s="30">
        <v>0</v>
      </c>
      <c r="K75" s="31">
        <v>6603</v>
      </c>
      <c r="L75" s="31">
        <v>6305</v>
      </c>
      <c r="N75" s="494" t="s">
        <v>6346</v>
      </c>
    </row>
    <row r="76" spans="1:14">
      <c r="A76" s="494" t="s">
        <v>7021</v>
      </c>
      <c r="B76" s="494" t="s">
        <v>7875</v>
      </c>
      <c r="C76" s="4" t="s">
        <v>15923</v>
      </c>
      <c r="D76" s="501">
        <v>0</v>
      </c>
      <c r="E76" s="501">
        <v>0</v>
      </c>
      <c r="F76" s="501">
        <v>0</v>
      </c>
      <c r="G76" s="30">
        <v>0</v>
      </c>
      <c r="H76" s="30">
        <v>0</v>
      </c>
      <c r="I76" s="30">
        <v>0</v>
      </c>
      <c r="J76" s="30">
        <v>0</v>
      </c>
      <c r="K76" s="31">
        <v>6445</v>
      </c>
      <c r="L76" s="31">
        <v>6224</v>
      </c>
      <c r="N76" s="494" t="s">
        <v>6346</v>
      </c>
    </row>
    <row r="77" spans="1:14">
      <c r="A77" s="494" t="s">
        <v>7023</v>
      </c>
      <c r="B77" s="494" t="s">
        <v>15929</v>
      </c>
      <c r="C77" s="4" t="s">
        <v>15924</v>
      </c>
      <c r="D77" s="501">
        <v>0</v>
      </c>
      <c r="E77" s="501">
        <v>0</v>
      </c>
      <c r="F77" s="501">
        <v>0</v>
      </c>
      <c r="G77" s="30">
        <v>0</v>
      </c>
      <c r="H77" s="30">
        <v>0</v>
      </c>
      <c r="I77" s="30">
        <v>0</v>
      </c>
      <c r="J77" s="30">
        <v>0</v>
      </c>
      <c r="K77" s="30">
        <v>5557</v>
      </c>
      <c r="L77" s="30">
        <v>5658</v>
      </c>
      <c r="N77" s="494" t="s">
        <v>6344</v>
      </c>
    </row>
    <row r="78" spans="1:14">
      <c r="A78" s="494" t="s">
        <v>7025</v>
      </c>
      <c r="B78" s="494" t="s">
        <v>4126</v>
      </c>
      <c r="C78" s="4" t="s">
        <v>15925</v>
      </c>
      <c r="D78" s="501">
        <v>0</v>
      </c>
      <c r="E78" s="501">
        <v>0</v>
      </c>
      <c r="F78" s="501">
        <v>0</v>
      </c>
      <c r="G78" s="30">
        <v>0</v>
      </c>
      <c r="H78" s="30">
        <v>0</v>
      </c>
      <c r="I78" s="30">
        <v>0</v>
      </c>
      <c r="J78" s="30">
        <v>0</v>
      </c>
      <c r="K78" s="31">
        <v>7687</v>
      </c>
      <c r="L78" s="31">
        <v>7564</v>
      </c>
      <c r="N78" s="494" t="s">
        <v>6346</v>
      </c>
    </row>
    <row r="79" spans="1:14">
      <c r="A79" s="494" t="s">
        <v>7570</v>
      </c>
      <c r="B79" s="494" t="s">
        <v>7817</v>
      </c>
      <c r="C79" s="4" t="s">
        <v>15926</v>
      </c>
      <c r="D79" s="501">
        <v>0</v>
      </c>
      <c r="E79" s="501">
        <v>0</v>
      </c>
      <c r="F79" s="501">
        <v>0</v>
      </c>
      <c r="G79" s="30">
        <v>0</v>
      </c>
      <c r="H79" s="30">
        <v>0</v>
      </c>
      <c r="I79" s="30">
        <v>0</v>
      </c>
      <c r="J79" s="30">
        <v>0</v>
      </c>
      <c r="K79" s="31">
        <v>4024</v>
      </c>
      <c r="L79" s="31">
        <v>3973</v>
      </c>
      <c r="N79" s="494" t="s">
        <v>6346</v>
      </c>
    </row>
    <row r="80" spans="1:14">
      <c r="A80" s="494" t="s">
        <v>7572</v>
      </c>
      <c r="B80" s="494" t="s">
        <v>15930</v>
      </c>
      <c r="C80" s="4" t="s">
        <v>15927</v>
      </c>
      <c r="D80" s="501">
        <v>0</v>
      </c>
      <c r="E80" s="501">
        <v>0</v>
      </c>
      <c r="F80" s="501">
        <v>0</v>
      </c>
      <c r="G80" s="30">
        <v>0</v>
      </c>
      <c r="H80" s="30">
        <v>0</v>
      </c>
      <c r="I80" s="30">
        <v>0</v>
      </c>
      <c r="J80" s="30">
        <v>0</v>
      </c>
      <c r="K80" s="30">
        <v>2407</v>
      </c>
      <c r="L80" s="30">
        <v>2317</v>
      </c>
      <c r="N80" s="494" t="s">
        <v>6344</v>
      </c>
    </row>
    <row r="81" spans="1:17">
      <c r="A81" s="494"/>
      <c r="D81" s="500"/>
      <c r="E81" s="500"/>
      <c r="F81" s="500"/>
      <c r="G81" s="500"/>
      <c r="H81" s="500"/>
      <c r="I81" s="500"/>
      <c r="J81" s="500"/>
      <c r="K81" s="500"/>
      <c r="L81" s="500"/>
    </row>
    <row r="82" spans="1:17">
      <c r="A82" s="494" t="s">
        <v>7818</v>
      </c>
      <c r="D82" s="497">
        <f>D51+D53+D57+D61+D62+D65+D69+D70+D72+D73+D77+D80</f>
        <v>44238</v>
      </c>
      <c r="E82" s="497">
        <f t="shared" ref="E82:K82" si="92">E51+E53+E57+E61+E62+E65+E69+E70+E72+E73+E77+E80</f>
        <v>46726</v>
      </c>
      <c r="F82" s="497">
        <f t="shared" si="92"/>
        <v>47461</v>
      </c>
      <c r="G82" s="497">
        <f t="shared" si="92"/>
        <v>47268</v>
      </c>
      <c r="H82" s="497">
        <f t="shared" si="92"/>
        <v>47619</v>
      </c>
      <c r="I82" s="497">
        <f t="shared" si="92"/>
        <v>47722</v>
      </c>
      <c r="J82" s="497">
        <f t="shared" si="92"/>
        <v>47221</v>
      </c>
      <c r="K82" s="497">
        <f t="shared" si="92"/>
        <v>48665</v>
      </c>
      <c r="L82" s="497">
        <f t="shared" ref="L82" si="93">L51+L53+L57+L61+L62+L65+L69+L70+L72+L73+L77+L80</f>
        <v>47955</v>
      </c>
    </row>
    <row r="83" spans="1:17">
      <c r="A83" s="494" t="s">
        <v>6346</v>
      </c>
      <c r="D83" s="497">
        <f>D52+D54+D56+D58+D60+D63+D66+D68+D71+SUM(D74:D76)+D78+D79</f>
        <v>69732</v>
      </c>
      <c r="E83" s="497">
        <f t="shared" ref="E83:K83" si="94">E52+E54+E56+E58+E60+E63+E66+E68+E71+SUM(E74:E76)+E78+E79</f>
        <v>72787</v>
      </c>
      <c r="F83" s="497">
        <f t="shared" si="94"/>
        <v>73721</v>
      </c>
      <c r="G83" s="497">
        <f t="shared" si="94"/>
        <v>73416</v>
      </c>
      <c r="H83" s="497">
        <f t="shared" si="94"/>
        <v>72301</v>
      </c>
      <c r="I83" s="497">
        <f t="shared" si="94"/>
        <v>72040</v>
      </c>
      <c r="J83" s="497">
        <f t="shared" si="94"/>
        <v>70623</v>
      </c>
      <c r="K83" s="497">
        <f t="shared" si="94"/>
        <v>72207</v>
      </c>
      <c r="L83" s="497">
        <f t="shared" ref="L83" si="95">L52+L54+L56+L58+L60+L63+L66+L68+L71+SUM(L74:L76)+L78+L79</f>
        <v>70424</v>
      </c>
    </row>
    <row r="84" spans="1:17">
      <c r="A84" s="494"/>
      <c r="B84" s="494"/>
      <c r="D84" s="504"/>
      <c r="E84" s="504"/>
      <c r="F84" s="504"/>
      <c r="G84" s="504"/>
      <c r="H84" s="504"/>
      <c r="I84" s="504"/>
      <c r="J84" s="504"/>
      <c r="K84" s="504"/>
      <c r="L84" s="504"/>
    </row>
    <row r="85" spans="1:17">
      <c r="A85" s="495" t="s">
        <v>15931</v>
      </c>
      <c r="B85" s="494"/>
      <c r="D85" s="504"/>
      <c r="E85" s="504"/>
      <c r="F85" s="504"/>
      <c r="G85" s="504"/>
      <c r="H85" s="504"/>
      <c r="I85" s="504"/>
      <c r="J85" s="504"/>
      <c r="K85" s="504"/>
      <c r="L85" s="504"/>
    </row>
    <row r="86" spans="1:17">
      <c r="A86" s="494"/>
      <c r="B86" s="494"/>
      <c r="D86" s="504"/>
      <c r="E86" s="504"/>
      <c r="F86" s="504"/>
      <c r="G86" s="504"/>
      <c r="H86" s="504"/>
      <c r="I86" s="504"/>
      <c r="J86" s="504"/>
      <c r="K86" s="504"/>
      <c r="L86" s="504"/>
    </row>
    <row r="87" spans="1:17">
      <c r="A87" s="494"/>
      <c r="B87" s="494"/>
      <c r="D87" s="504"/>
      <c r="E87" s="504"/>
      <c r="F87" s="504"/>
      <c r="G87" s="504"/>
      <c r="H87" s="504"/>
      <c r="I87" s="504"/>
      <c r="J87" s="504"/>
      <c r="K87" s="504"/>
      <c r="L87" s="504"/>
    </row>
    <row r="88" spans="1:17">
      <c r="E88" s="42" t="s">
        <v>2303</v>
      </c>
      <c r="F88" s="42"/>
      <c r="G88" s="42"/>
      <c r="H88" s="42"/>
      <c r="I88" s="42"/>
      <c r="J88" s="42"/>
      <c r="K88" s="42"/>
      <c r="L88" s="42"/>
      <c r="M88" s="25"/>
      <c r="N88" s="25" t="s">
        <v>13319</v>
      </c>
    </row>
    <row r="89" spans="1:17">
      <c r="D89" s="24">
        <v>2010</v>
      </c>
      <c r="E89" s="24">
        <v>2011</v>
      </c>
      <c r="F89" s="24">
        <v>2012</v>
      </c>
      <c r="G89" s="24">
        <v>2013</v>
      </c>
      <c r="H89" s="24">
        <v>2014</v>
      </c>
      <c r="I89" s="24">
        <v>2015</v>
      </c>
      <c r="J89" s="24">
        <v>2016</v>
      </c>
      <c r="K89" s="24">
        <v>2017</v>
      </c>
      <c r="L89" s="24">
        <v>2018</v>
      </c>
      <c r="N89" s="29" t="s">
        <v>2304</v>
      </c>
    </row>
    <row r="90" spans="1:17">
      <c r="A90" s="494" t="s">
        <v>7819</v>
      </c>
      <c r="D90" s="497">
        <f t="shared" ref="D90:I90" si="96">SUM(D91:D104)</f>
        <v>81609</v>
      </c>
      <c r="E90" s="497">
        <f t="shared" si="96"/>
        <v>81291</v>
      </c>
      <c r="F90" s="497">
        <f t="shared" si="96"/>
        <v>81856</v>
      </c>
      <c r="G90" s="497">
        <f t="shared" si="96"/>
        <v>79341</v>
      </c>
      <c r="H90" s="497">
        <f t="shared" si="96"/>
        <v>82439</v>
      </c>
      <c r="I90" s="497">
        <f t="shared" si="96"/>
        <v>80802</v>
      </c>
      <c r="J90" s="497">
        <f t="shared" ref="J90:K90" si="97">SUM(J91:J104)</f>
        <v>72757</v>
      </c>
      <c r="K90" s="497">
        <f t="shared" si="97"/>
        <v>77556</v>
      </c>
      <c r="L90" s="497">
        <f t="shared" ref="L90" si="98">SUM(L91:L104)</f>
        <v>80703</v>
      </c>
    </row>
    <row r="91" spans="1:17">
      <c r="A91" s="494" t="s">
        <v>6957</v>
      </c>
      <c r="B91" s="494" t="s">
        <v>8199</v>
      </c>
      <c r="C91" s="4" t="s">
        <v>10063</v>
      </c>
      <c r="D91" s="497">
        <v>6164</v>
      </c>
      <c r="E91" s="497">
        <v>6138</v>
      </c>
      <c r="F91" s="497">
        <v>6090</v>
      </c>
      <c r="G91" s="48">
        <v>6136</v>
      </c>
      <c r="H91" s="48">
        <v>6184</v>
      </c>
      <c r="I91" s="48">
        <v>5862</v>
      </c>
      <c r="J91" s="48">
        <v>5522</v>
      </c>
      <c r="K91" s="48">
        <v>5776</v>
      </c>
      <c r="L91" s="48">
        <v>5856</v>
      </c>
      <c r="N91" s="494" t="s">
        <v>6338</v>
      </c>
      <c r="O91" s="4"/>
      <c r="Q91" s="4"/>
    </row>
    <row r="92" spans="1:17">
      <c r="A92" s="494" t="s">
        <v>6959</v>
      </c>
      <c r="B92" s="494" t="s">
        <v>7820</v>
      </c>
      <c r="C92" s="4" t="s">
        <v>10064</v>
      </c>
      <c r="D92" s="497">
        <v>6084</v>
      </c>
      <c r="E92" s="497">
        <v>6047</v>
      </c>
      <c r="F92" s="497">
        <v>6011</v>
      </c>
      <c r="G92" s="48">
        <v>5888</v>
      </c>
      <c r="H92" s="48">
        <v>6060</v>
      </c>
      <c r="I92" s="48">
        <v>5925</v>
      </c>
      <c r="J92" s="48">
        <v>5338</v>
      </c>
      <c r="K92" s="48">
        <v>5510</v>
      </c>
      <c r="L92" s="48">
        <v>5681</v>
      </c>
      <c r="N92" s="494" t="s">
        <v>6338</v>
      </c>
      <c r="O92" s="4"/>
      <c r="Q92" s="4"/>
    </row>
    <row r="93" spans="1:17">
      <c r="A93" s="494" t="s">
        <v>6961</v>
      </c>
      <c r="B93" s="494" t="s">
        <v>7588</v>
      </c>
      <c r="C93" s="4" t="s">
        <v>10065</v>
      </c>
      <c r="D93" s="497">
        <v>5855</v>
      </c>
      <c r="E93" s="497">
        <v>5900</v>
      </c>
      <c r="F93" s="497">
        <v>5857</v>
      </c>
      <c r="G93" s="48">
        <v>5292</v>
      </c>
      <c r="H93" s="48">
        <v>5766</v>
      </c>
      <c r="I93" s="48">
        <v>5875</v>
      </c>
      <c r="J93" s="48">
        <v>5086</v>
      </c>
      <c r="K93" s="48">
        <v>5620</v>
      </c>
      <c r="L93" s="48">
        <v>6189</v>
      </c>
      <c r="N93" s="494" t="s">
        <v>6338</v>
      </c>
      <c r="O93" s="4"/>
      <c r="Q93" s="4"/>
    </row>
    <row r="94" spans="1:17">
      <c r="A94" s="494" t="s">
        <v>6963</v>
      </c>
      <c r="B94" s="494" t="s">
        <v>7821</v>
      </c>
      <c r="C94" s="4" t="s">
        <v>10066</v>
      </c>
      <c r="D94" s="497">
        <v>6070</v>
      </c>
      <c r="E94" s="497">
        <v>5968</v>
      </c>
      <c r="F94" s="497">
        <v>6040</v>
      </c>
      <c r="G94" s="48">
        <v>6081</v>
      </c>
      <c r="H94" s="48">
        <v>5987</v>
      </c>
      <c r="I94" s="48">
        <v>5617</v>
      </c>
      <c r="J94" s="48">
        <v>5449</v>
      </c>
      <c r="K94" s="48">
        <v>5689</v>
      </c>
      <c r="L94" s="48">
        <v>5685</v>
      </c>
      <c r="N94" s="494" t="s">
        <v>6338</v>
      </c>
      <c r="O94" s="4"/>
      <c r="Q94" s="4"/>
    </row>
    <row r="95" spans="1:17">
      <c r="A95" s="494" t="s">
        <v>6965</v>
      </c>
      <c r="B95" s="494" t="s">
        <v>7822</v>
      </c>
      <c r="C95" s="4" t="s">
        <v>10067</v>
      </c>
      <c r="D95" s="497">
        <v>5723</v>
      </c>
      <c r="E95" s="497">
        <v>5643</v>
      </c>
      <c r="F95" s="497">
        <v>5947</v>
      </c>
      <c r="G95" s="48">
        <v>5998</v>
      </c>
      <c r="H95" s="48">
        <v>5948</v>
      </c>
      <c r="I95" s="48">
        <v>5821</v>
      </c>
      <c r="J95" s="48">
        <v>5280</v>
      </c>
      <c r="K95" s="48">
        <v>5480</v>
      </c>
      <c r="L95" s="48">
        <v>5594</v>
      </c>
      <c r="N95" s="494" t="s">
        <v>6338</v>
      </c>
      <c r="O95" s="4"/>
      <c r="Q95" s="4"/>
    </row>
    <row r="96" spans="1:17">
      <c r="A96" s="494" t="s">
        <v>6997</v>
      </c>
      <c r="B96" s="494" t="s">
        <v>6978</v>
      </c>
      <c r="C96" s="4" t="s">
        <v>10068</v>
      </c>
      <c r="D96" s="497">
        <v>5918</v>
      </c>
      <c r="E96" s="497">
        <v>6048</v>
      </c>
      <c r="F96" s="497">
        <v>6151</v>
      </c>
      <c r="G96" s="48">
        <v>6165</v>
      </c>
      <c r="H96" s="48">
        <v>6036</v>
      </c>
      <c r="I96" s="48">
        <v>5758</v>
      </c>
      <c r="J96" s="48">
        <v>5459</v>
      </c>
      <c r="K96" s="48">
        <v>5717</v>
      </c>
      <c r="L96" s="48">
        <v>5693</v>
      </c>
      <c r="N96" s="494" t="s">
        <v>6338</v>
      </c>
      <c r="O96" s="4"/>
      <c r="Q96" s="4"/>
    </row>
    <row r="97" spans="1:17">
      <c r="A97" s="494" t="s">
        <v>6999</v>
      </c>
      <c r="B97" s="494" t="s">
        <v>6979</v>
      </c>
      <c r="C97" s="4" t="s">
        <v>10069</v>
      </c>
      <c r="D97" s="497">
        <v>5502</v>
      </c>
      <c r="E97" s="497">
        <v>5579</v>
      </c>
      <c r="F97" s="497">
        <v>5770</v>
      </c>
      <c r="G97" s="48">
        <v>5869</v>
      </c>
      <c r="H97" s="48">
        <v>5712</v>
      </c>
      <c r="I97" s="48">
        <v>5381</v>
      </c>
      <c r="J97" s="48">
        <v>5075</v>
      </c>
      <c r="K97" s="48">
        <v>5190</v>
      </c>
      <c r="L97" s="48">
        <v>5244</v>
      </c>
      <c r="N97" s="494" t="s">
        <v>6338</v>
      </c>
      <c r="O97" s="4"/>
      <c r="Q97" s="4"/>
    </row>
    <row r="98" spans="1:17">
      <c r="A98" s="494" t="s">
        <v>7001</v>
      </c>
      <c r="B98" s="494" t="s">
        <v>6980</v>
      </c>
      <c r="C98" s="4" t="s">
        <v>10070</v>
      </c>
      <c r="D98" s="497">
        <v>6047</v>
      </c>
      <c r="E98" s="497">
        <v>5822</v>
      </c>
      <c r="F98" s="497">
        <v>5741</v>
      </c>
      <c r="G98" s="48">
        <v>5272</v>
      </c>
      <c r="H98" s="48">
        <v>5881</v>
      </c>
      <c r="I98" s="48">
        <v>6146</v>
      </c>
      <c r="J98" s="48">
        <v>4528</v>
      </c>
      <c r="K98" s="48">
        <v>5004</v>
      </c>
      <c r="L98" s="48">
        <v>5531</v>
      </c>
      <c r="N98" s="494" t="s">
        <v>6338</v>
      </c>
      <c r="O98" s="4"/>
      <c r="Q98" s="4"/>
    </row>
    <row r="99" spans="1:17">
      <c r="A99" s="494" t="s">
        <v>7003</v>
      </c>
      <c r="B99" s="494" t="s">
        <v>7566</v>
      </c>
      <c r="C99" s="4" t="s">
        <v>10071</v>
      </c>
      <c r="D99" s="497">
        <v>5813</v>
      </c>
      <c r="E99" s="497">
        <v>5715</v>
      </c>
      <c r="F99" s="497">
        <v>5839</v>
      </c>
      <c r="G99" s="48">
        <v>4604</v>
      </c>
      <c r="H99" s="48">
        <v>5792</v>
      </c>
      <c r="I99" s="48">
        <v>6099</v>
      </c>
      <c r="J99" s="48">
        <v>4596</v>
      </c>
      <c r="K99" s="48">
        <v>4959</v>
      </c>
      <c r="L99" s="48">
        <v>5401</v>
      </c>
      <c r="N99" s="494" t="s">
        <v>6338</v>
      </c>
      <c r="O99" s="4"/>
      <c r="Q99" s="4"/>
    </row>
    <row r="100" spans="1:17">
      <c r="A100" s="494" t="s">
        <v>7005</v>
      </c>
      <c r="B100" s="494" t="s">
        <v>6099</v>
      </c>
      <c r="C100" s="4" t="s">
        <v>10072</v>
      </c>
      <c r="D100" s="497">
        <v>5516</v>
      </c>
      <c r="E100" s="497">
        <v>5504</v>
      </c>
      <c r="F100" s="497">
        <v>5410</v>
      </c>
      <c r="G100" s="48">
        <v>5282</v>
      </c>
      <c r="H100" s="48">
        <v>5276</v>
      </c>
      <c r="I100" s="48">
        <v>5064</v>
      </c>
      <c r="J100" s="48">
        <v>4275</v>
      </c>
      <c r="K100" s="48">
        <v>4664</v>
      </c>
      <c r="L100" s="48">
        <v>4712</v>
      </c>
      <c r="N100" s="494" t="s">
        <v>6338</v>
      </c>
      <c r="O100" s="4"/>
      <c r="Q100" s="4"/>
    </row>
    <row r="101" spans="1:17">
      <c r="A101" s="494" t="s">
        <v>7007</v>
      </c>
      <c r="B101" s="494" t="s">
        <v>6100</v>
      </c>
      <c r="C101" s="4" t="s">
        <v>10073</v>
      </c>
      <c r="D101" s="497">
        <v>5997</v>
      </c>
      <c r="E101" s="497">
        <v>6032</v>
      </c>
      <c r="F101" s="497">
        <v>6154</v>
      </c>
      <c r="G101" s="48">
        <v>5729</v>
      </c>
      <c r="H101" s="48">
        <v>6195</v>
      </c>
      <c r="I101" s="48">
        <v>6137</v>
      </c>
      <c r="J101" s="48">
        <v>5491</v>
      </c>
      <c r="K101" s="48">
        <v>5833</v>
      </c>
      <c r="L101" s="48">
        <v>6075</v>
      </c>
      <c r="N101" s="494" t="s">
        <v>6347</v>
      </c>
      <c r="O101" s="4"/>
      <c r="Q101" s="4"/>
    </row>
    <row r="102" spans="1:17">
      <c r="A102" s="494" t="s">
        <v>7009</v>
      </c>
      <c r="B102" s="494" t="s">
        <v>6101</v>
      </c>
      <c r="C102" s="4" t="s">
        <v>10074</v>
      </c>
      <c r="D102" s="497">
        <v>5882</v>
      </c>
      <c r="E102" s="497">
        <v>5806</v>
      </c>
      <c r="F102" s="497">
        <v>5801</v>
      </c>
      <c r="G102" s="48">
        <v>5969</v>
      </c>
      <c r="H102" s="48">
        <v>5878</v>
      </c>
      <c r="I102" s="48">
        <v>5497</v>
      </c>
      <c r="J102" s="48">
        <v>5210</v>
      </c>
      <c r="K102" s="48">
        <v>5533</v>
      </c>
      <c r="L102" s="48">
        <v>5769</v>
      </c>
      <c r="N102" s="494" t="s">
        <v>6338</v>
      </c>
      <c r="O102" s="4"/>
      <c r="Q102" s="4"/>
    </row>
    <row r="103" spans="1:17">
      <c r="A103" s="494" t="s">
        <v>7011</v>
      </c>
      <c r="B103" s="494" t="s">
        <v>6102</v>
      </c>
      <c r="C103" s="4" t="s">
        <v>10075</v>
      </c>
      <c r="D103" s="500">
        <v>5412</v>
      </c>
      <c r="E103" s="500">
        <v>5534</v>
      </c>
      <c r="F103" s="500">
        <v>5445</v>
      </c>
      <c r="G103" s="48">
        <v>5305</v>
      </c>
      <c r="H103" s="48">
        <v>6037</v>
      </c>
      <c r="I103" s="48">
        <v>6146</v>
      </c>
      <c r="J103" s="48">
        <v>6347</v>
      </c>
      <c r="K103" s="48">
        <v>7162</v>
      </c>
      <c r="L103" s="48">
        <v>7772</v>
      </c>
      <c r="N103" s="494" t="s">
        <v>6338</v>
      </c>
      <c r="O103" s="4"/>
      <c r="Q103" s="4"/>
    </row>
    <row r="104" spans="1:17">
      <c r="A104" s="494" t="s">
        <v>7013</v>
      </c>
      <c r="B104" s="494" t="s">
        <v>6103</v>
      </c>
      <c r="C104" s="4" t="s">
        <v>10076</v>
      </c>
      <c r="D104" s="497">
        <v>5626</v>
      </c>
      <c r="E104" s="497">
        <v>5555</v>
      </c>
      <c r="F104" s="497">
        <v>5600</v>
      </c>
      <c r="G104" s="48">
        <v>5751</v>
      </c>
      <c r="H104" s="48">
        <v>5687</v>
      </c>
      <c r="I104" s="48">
        <v>5474</v>
      </c>
      <c r="J104" s="48">
        <v>5101</v>
      </c>
      <c r="K104" s="48">
        <v>5419</v>
      </c>
      <c r="L104" s="48">
        <v>5501</v>
      </c>
      <c r="N104" s="494" t="s">
        <v>6338</v>
      </c>
      <c r="O104" s="4"/>
      <c r="Q104" s="4"/>
    </row>
    <row r="105" spans="1:17">
      <c r="D105" s="500"/>
      <c r="E105" s="500"/>
      <c r="F105" s="500"/>
      <c r="G105" s="500"/>
      <c r="H105" s="500"/>
      <c r="I105" s="500"/>
      <c r="J105" s="500"/>
      <c r="K105" s="500"/>
      <c r="L105" s="500"/>
    </row>
    <row r="106" spans="1:17">
      <c r="A106" s="494" t="s">
        <v>6338</v>
      </c>
      <c r="D106" s="497">
        <f t="shared" ref="D106:I106" si="99">SUM(D91:D94)+D95+SUM(D96:D100)+D102+D103+D104</f>
        <v>75612</v>
      </c>
      <c r="E106" s="497">
        <f t="shared" si="99"/>
        <v>75259</v>
      </c>
      <c r="F106" s="497">
        <f t="shared" si="99"/>
        <v>75702</v>
      </c>
      <c r="G106" s="497">
        <f t="shared" si="99"/>
        <v>73612</v>
      </c>
      <c r="H106" s="497">
        <f t="shared" si="99"/>
        <v>76244</v>
      </c>
      <c r="I106" s="497">
        <f t="shared" si="99"/>
        <v>74665</v>
      </c>
      <c r="J106" s="497">
        <f t="shared" ref="J106:K106" si="100">SUM(J91:J94)+J95+SUM(J96:J100)+J102+J103+J104</f>
        <v>67266</v>
      </c>
      <c r="K106" s="497">
        <f t="shared" si="100"/>
        <v>71723</v>
      </c>
      <c r="L106" s="497">
        <f t="shared" ref="L106" si="101">SUM(L91:L94)+L95+SUM(L96:L100)+L102+L103+L104</f>
        <v>74628</v>
      </c>
    </row>
    <row r="107" spans="1:17">
      <c r="A107" s="494" t="s">
        <v>8817</v>
      </c>
      <c r="D107" s="497">
        <f t="shared" ref="D107:I107" si="102">D101</f>
        <v>5997</v>
      </c>
      <c r="E107" s="497">
        <f t="shared" si="102"/>
        <v>6032</v>
      </c>
      <c r="F107" s="497">
        <f t="shared" si="102"/>
        <v>6154</v>
      </c>
      <c r="G107" s="497">
        <f t="shared" si="102"/>
        <v>5729</v>
      </c>
      <c r="H107" s="497">
        <f t="shared" si="102"/>
        <v>6195</v>
      </c>
      <c r="I107" s="497">
        <f t="shared" si="102"/>
        <v>6137</v>
      </c>
      <c r="J107" s="497">
        <f t="shared" ref="J107:K107" si="103">J101</f>
        <v>5491</v>
      </c>
      <c r="K107" s="497">
        <f t="shared" si="103"/>
        <v>5833</v>
      </c>
      <c r="L107" s="497">
        <f t="shared" ref="L107" si="104">L101</f>
        <v>6075</v>
      </c>
    </row>
    <row r="108" spans="1:17">
      <c r="A108" s="494"/>
      <c r="D108" s="497"/>
      <c r="E108" s="497"/>
      <c r="F108" s="497"/>
      <c r="G108" s="497"/>
      <c r="H108" s="497"/>
      <c r="I108" s="497"/>
      <c r="J108" s="497"/>
      <c r="K108" s="497"/>
      <c r="L108" s="497"/>
    </row>
    <row r="109" spans="1:17">
      <c r="A109" s="494" t="s">
        <v>2630</v>
      </c>
      <c r="D109" s="497"/>
      <c r="E109" s="497"/>
      <c r="F109" s="497"/>
      <c r="G109" s="497"/>
      <c r="H109" s="497"/>
      <c r="I109" s="497"/>
      <c r="J109" s="497"/>
      <c r="K109" s="497"/>
      <c r="L109" s="497"/>
    </row>
    <row r="110" spans="1:17">
      <c r="A110" s="494"/>
      <c r="B110" s="494"/>
      <c r="D110" s="504"/>
      <c r="E110" s="504"/>
      <c r="F110" s="504"/>
      <c r="G110" s="504"/>
      <c r="H110" s="504"/>
      <c r="I110" s="504"/>
      <c r="J110" s="504"/>
      <c r="K110" s="504"/>
      <c r="L110" s="504"/>
    </row>
    <row r="111" spans="1:17">
      <c r="A111" s="494"/>
      <c r="B111" s="494"/>
      <c r="D111" s="504"/>
      <c r="E111" s="504"/>
      <c r="F111" s="504"/>
      <c r="G111" s="504"/>
      <c r="H111" s="504"/>
      <c r="I111" s="504"/>
      <c r="J111" s="504"/>
      <c r="K111" s="504"/>
      <c r="L111" s="504"/>
    </row>
    <row r="112" spans="1:17">
      <c r="E112" s="42" t="s">
        <v>2303</v>
      </c>
      <c r="F112" s="42"/>
      <c r="G112" s="42"/>
      <c r="H112" s="42"/>
      <c r="I112" s="42"/>
      <c r="J112" s="42"/>
      <c r="K112" s="42"/>
      <c r="L112" s="42"/>
      <c r="M112" s="25"/>
      <c r="N112" s="25" t="s">
        <v>13319</v>
      </c>
    </row>
    <row r="113" spans="1:17">
      <c r="D113" s="24">
        <v>2010</v>
      </c>
      <c r="E113" s="24">
        <v>2011</v>
      </c>
      <c r="F113" s="24">
        <v>2012</v>
      </c>
      <c r="G113" s="24">
        <v>2013</v>
      </c>
      <c r="H113" s="24">
        <v>2014</v>
      </c>
      <c r="I113" s="24">
        <v>2015</v>
      </c>
      <c r="J113" s="24">
        <v>2016</v>
      </c>
      <c r="K113" s="24">
        <v>2017</v>
      </c>
      <c r="L113" s="24">
        <v>2018</v>
      </c>
      <c r="N113" s="29" t="s">
        <v>2304</v>
      </c>
    </row>
    <row r="114" spans="1:17">
      <c r="A114" s="494" t="s">
        <v>2631</v>
      </c>
      <c r="D114" s="497">
        <f t="shared" ref="D114:I114" si="105">SUM(D115:D133)</f>
        <v>60562</v>
      </c>
      <c r="E114" s="497">
        <f t="shared" si="105"/>
        <v>61073</v>
      </c>
      <c r="F114" s="497">
        <f t="shared" si="105"/>
        <v>61782</v>
      </c>
      <c r="G114" s="497">
        <f t="shared" si="105"/>
        <v>62510</v>
      </c>
      <c r="H114" s="497">
        <f t="shared" si="105"/>
        <v>62919</v>
      </c>
      <c r="I114" s="497">
        <f t="shared" si="105"/>
        <v>60857</v>
      </c>
      <c r="J114" s="497">
        <f t="shared" ref="J114:K114" si="106">SUM(J115:J133)</f>
        <v>60605</v>
      </c>
      <c r="K114" s="497">
        <f t="shared" si="106"/>
        <v>62463</v>
      </c>
      <c r="L114" s="497">
        <f t="shared" ref="L114" si="107">SUM(L115:L133)</f>
        <v>62547</v>
      </c>
    </row>
    <row r="115" spans="1:17">
      <c r="A115" s="494" t="s">
        <v>6957</v>
      </c>
      <c r="B115" s="494" t="s">
        <v>2632</v>
      </c>
      <c r="C115" s="4" t="s">
        <v>10077</v>
      </c>
      <c r="D115" s="497">
        <v>2970</v>
      </c>
      <c r="E115" s="497">
        <v>3009</v>
      </c>
      <c r="F115" s="497">
        <v>3018</v>
      </c>
      <c r="G115" s="48">
        <v>3104</v>
      </c>
      <c r="H115" s="48">
        <v>3192</v>
      </c>
      <c r="I115" s="48">
        <v>3116</v>
      </c>
      <c r="J115" s="48">
        <v>3028</v>
      </c>
      <c r="K115" s="48">
        <v>3130</v>
      </c>
      <c r="L115" s="48">
        <v>3115</v>
      </c>
      <c r="N115" s="494" t="s">
        <v>6349</v>
      </c>
      <c r="O115" s="4"/>
      <c r="Q115" s="4"/>
    </row>
    <row r="116" spans="1:17">
      <c r="A116" s="494" t="s">
        <v>6959</v>
      </c>
      <c r="B116" s="494" t="s">
        <v>2633</v>
      </c>
      <c r="C116" s="4" t="s">
        <v>10078</v>
      </c>
      <c r="D116" s="497">
        <v>4752</v>
      </c>
      <c r="E116" s="497">
        <v>4766</v>
      </c>
      <c r="F116" s="497">
        <v>4810</v>
      </c>
      <c r="G116" s="48">
        <v>4858</v>
      </c>
      <c r="H116" s="48">
        <v>4888</v>
      </c>
      <c r="I116" s="48">
        <v>4749</v>
      </c>
      <c r="J116" s="48">
        <v>4709</v>
      </c>
      <c r="K116" s="48">
        <v>4804</v>
      </c>
      <c r="L116" s="48">
        <v>4815</v>
      </c>
      <c r="N116" s="494" t="s">
        <v>6349</v>
      </c>
      <c r="O116" s="4"/>
      <c r="Q116" s="4"/>
    </row>
    <row r="117" spans="1:17">
      <c r="A117" s="494" t="s">
        <v>6961</v>
      </c>
      <c r="B117" s="494" t="s">
        <v>2634</v>
      </c>
      <c r="C117" s="4" t="s">
        <v>10079</v>
      </c>
      <c r="D117" s="497">
        <v>3173</v>
      </c>
      <c r="E117" s="497">
        <v>3191</v>
      </c>
      <c r="F117" s="497">
        <v>3232</v>
      </c>
      <c r="G117" s="48">
        <v>3198</v>
      </c>
      <c r="H117" s="48">
        <v>3168</v>
      </c>
      <c r="I117" s="48">
        <v>3049</v>
      </c>
      <c r="J117" s="48">
        <v>2970</v>
      </c>
      <c r="K117" s="48">
        <v>3093</v>
      </c>
      <c r="L117" s="48">
        <v>3085</v>
      </c>
      <c r="N117" s="494" t="s">
        <v>6349</v>
      </c>
      <c r="O117" s="4"/>
      <c r="Q117" s="4"/>
    </row>
    <row r="118" spans="1:17">
      <c r="A118" s="494" t="s">
        <v>6963</v>
      </c>
      <c r="B118" s="494" t="s">
        <v>2635</v>
      </c>
      <c r="C118" s="4" t="s">
        <v>10080</v>
      </c>
      <c r="D118" s="497">
        <v>3417</v>
      </c>
      <c r="E118" s="497">
        <v>3414</v>
      </c>
      <c r="F118" s="497">
        <v>3429</v>
      </c>
      <c r="G118" s="48">
        <v>3488</v>
      </c>
      <c r="H118" s="48">
        <v>3540</v>
      </c>
      <c r="I118" s="48">
        <v>3472</v>
      </c>
      <c r="J118" s="48">
        <v>3422</v>
      </c>
      <c r="K118" s="48">
        <v>3474</v>
      </c>
      <c r="L118" s="48">
        <v>3487</v>
      </c>
      <c r="N118" s="494" t="s">
        <v>6342</v>
      </c>
      <c r="O118" s="4"/>
      <c r="Q118" s="4"/>
    </row>
    <row r="119" spans="1:17">
      <c r="A119" s="494" t="s">
        <v>6965</v>
      </c>
      <c r="B119" s="494" t="s">
        <v>2636</v>
      </c>
      <c r="C119" s="4" t="s">
        <v>10081</v>
      </c>
      <c r="D119" s="497">
        <v>1559</v>
      </c>
      <c r="E119" s="497">
        <v>1574</v>
      </c>
      <c r="F119" s="497">
        <v>1575</v>
      </c>
      <c r="G119" s="48">
        <v>1576</v>
      </c>
      <c r="H119" s="48">
        <v>1562</v>
      </c>
      <c r="I119" s="48">
        <v>1539</v>
      </c>
      <c r="J119" s="48">
        <v>1496</v>
      </c>
      <c r="K119" s="48">
        <v>1592</v>
      </c>
      <c r="L119" s="48">
        <v>1577</v>
      </c>
      <c r="N119" s="494" t="s">
        <v>6349</v>
      </c>
      <c r="O119" s="4"/>
      <c r="Q119" s="4"/>
    </row>
    <row r="120" spans="1:17">
      <c r="A120" s="494" t="s">
        <v>6997</v>
      </c>
      <c r="B120" s="494" t="s">
        <v>4342</v>
      </c>
      <c r="C120" s="4" t="s">
        <v>10082</v>
      </c>
      <c r="D120" s="497">
        <v>2992</v>
      </c>
      <c r="E120" s="497">
        <v>2918</v>
      </c>
      <c r="F120" s="497">
        <v>2957</v>
      </c>
      <c r="G120" s="48">
        <v>2994</v>
      </c>
      <c r="H120" s="48">
        <v>3044</v>
      </c>
      <c r="I120" s="48">
        <v>2894</v>
      </c>
      <c r="J120" s="48">
        <v>2870</v>
      </c>
      <c r="K120" s="48">
        <v>2947</v>
      </c>
      <c r="L120" s="48">
        <v>2983</v>
      </c>
      <c r="N120" s="494" t="s">
        <v>6349</v>
      </c>
      <c r="O120" s="4"/>
      <c r="Q120" s="4"/>
    </row>
    <row r="121" spans="1:17">
      <c r="A121" s="494" t="s">
        <v>6999</v>
      </c>
      <c r="B121" s="494" t="s">
        <v>4343</v>
      </c>
      <c r="C121" s="4" t="s">
        <v>10083</v>
      </c>
      <c r="D121" s="497">
        <v>4758</v>
      </c>
      <c r="E121" s="497">
        <v>4821</v>
      </c>
      <c r="F121" s="497">
        <v>4912</v>
      </c>
      <c r="G121" s="48">
        <v>5018</v>
      </c>
      <c r="H121" s="48">
        <v>5080</v>
      </c>
      <c r="I121" s="48">
        <v>4901</v>
      </c>
      <c r="J121" s="48">
        <v>4917</v>
      </c>
      <c r="K121" s="48">
        <v>4987</v>
      </c>
      <c r="L121" s="48">
        <v>4989</v>
      </c>
      <c r="N121" s="494" t="s">
        <v>6349</v>
      </c>
      <c r="O121" s="4"/>
      <c r="Q121" s="4"/>
    </row>
    <row r="122" spans="1:17">
      <c r="A122" s="494" t="s">
        <v>7001</v>
      </c>
      <c r="B122" s="494" t="s">
        <v>4344</v>
      </c>
      <c r="C122" s="4" t="s">
        <v>10084</v>
      </c>
      <c r="D122" s="497">
        <v>2917</v>
      </c>
      <c r="E122" s="497">
        <v>3002</v>
      </c>
      <c r="F122" s="497">
        <v>3035</v>
      </c>
      <c r="G122" s="48">
        <v>3046</v>
      </c>
      <c r="H122" s="48">
        <v>3071</v>
      </c>
      <c r="I122" s="48">
        <v>2970</v>
      </c>
      <c r="J122" s="48">
        <v>2998</v>
      </c>
      <c r="K122" s="48">
        <v>3042</v>
      </c>
      <c r="L122" s="48">
        <v>3040</v>
      </c>
      <c r="N122" s="494" t="s">
        <v>6349</v>
      </c>
      <c r="O122" s="4"/>
      <c r="Q122" s="4"/>
    </row>
    <row r="123" spans="1:17">
      <c r="A123" s="494" t="s">
        <v>7003</v>
      </c>
      <c r="B123" s="494" t="s">
        <v>4345</v>
      </c>
      <c r="C123" s="4" t="s">
        <v>10085</v>
      </c>
      <c r="D123" s="497">
        <v>3311</v>
      </c>
      <c r="E123" s="497">
        <v>3342</v>
      </c>
      <c r="F123" s="497">
        <v>3414</v>
      </c>
      <c r="G123" s="48">
        <v>3436</v>
      </c>
      <c r="H123" s="48">
        <v>3409</v>
      </c>
      <c r="I123" s="48">
        <v>3309</v>
      </c>
      <c r="J123" s="48">
        <v>3294</v>
      </c>
      <c r="K123" s="48">
        <v>3321</v>
      </c>
      <c r="L123" s="48">
        <v>3289</v>
      </c>
      <c r="N123" s="494" t="s">
        <v>6349</v>
      </c>
      <c r="O123" s="4"/>
      <c r="Q123" s="4"/>
    </row>
    <row r="124" spans="1:17">
      <c r="A124" s="494" t="s">
        <v>7005</v>
      </c>
      <c r="B124" s="494" t="s">
        <v>4346</v>
      </c>
      <c r="C124" s="4" t="s">
        <v>10086</v>
      </c>
      <c r="D124" s="497">
        <v>2805</v>
      </c>
      <c r="E124" s="497">
        <v>2812</v>
      </c>
      <c r="F124" s="497">
        <v>2859</v>
      </c>
      <c r="G124" s="48">
        <v>2891</v>
      </c>
      <c r="H124" s="48">
        <v>2870</v>
      </c>
      <c r="I124" s="48">
        <v>2793</v>
      </c>
      <c r="J124" s="48">
        <v>2783</v>
      </c>
      <c r="K124" s="48">
        <v>2856</v>
      </c>
      <c r="L124" s="48">
        <v>2844</v>
      </c>
      <c r="N124" s="494" t="s">
        <v>6349</v>
      </c>
      <c r="O124" s="4"/>
      <c r="Q124" s="4"/>
    </row>
    <row r="125" spans="1:17">
      <c r="A125" s="494" t="s">
        <v>7007</v>
      </c>
      <c r="B125" s="494" t="s">
        <v>4347</v>
      </c>
      <c r="C125" s="4" t="s">
        <v>10087</v>
      </c>
      <c r="D125" s="497">
        <v>4516</v>
      </c>
      <c r="E125" s="497">
        <v>4564</v>
      </c>
      <c r="F125" s="497">
        <v>4582</v>
      </c>
      <c r="G125" s="48">
        <v>4609</v>
      </c>
      <c r="H125" s="48">
        <v>4605</v>
      </c>
      <c r="I125" s="48">
        <v>4535</v>
      </c>
      <c r="J125" s="48">
        <v>4457</v>
      </c>
      <c r="K125" s="48">
        <v>4585</v>
      </c>
      <c r="L125" s="48">
        <v>4564</v>
      </c>
      <c r="N125" s="494" t="s">
        <v>6349</v>
      </c>
      <c r="O125" s="4"/>
      <c r="Q125" s="4"/>
    </row>
    <row r="126" spans="1:17">
      <c r="A126" s="494" t="s">
        <v>7009</v>
      </c>
      <c r="B126" s="494" t="s">
        <v>4348</v>
      </c>
      <c r="C126" s="4" t="s">
        <v>10088</v>
      </c>
      <c r="D126" s="497">
        <v>1740</v>
      </c>
      <c r="E126" s="497">
        <v>1771</v>
      </c>
      <c r="F126" s="497">
        <v>1798</v>
      </c>
      <c r="G126" s="48">
        <v>1813</v>
      </c>
      <c r="H126" s="48">
        <v>1865</v>
      </c>
      <c r="I126" s="48">
        <v>1791</v>
      </c>
      <c r="J126" s="48">
        <v>1789</v>
      </c>
      <c r="K126" s="48">
        <v>1881</v>
      </c>
      <c r="L126" s="48">
        <v>1854</v>
      </c>
      <c r="N126" s="494" t="s">
        <v>6349</v>
      </c>
      <c r="O126" s="4"/>
      <c r="Q126" s="4"/>
    </row>
    <row r="127" spans="1:17">
      <c r="A127" s="494" t="s">
        <v>7011</v>
      </c>
      <c r="B127" s="494" t="s">
        <v>4315</v>
      </c>
      <c r="C127" s="4" t="s">
        <v>10089</v>
      </c>
      <c r="D127" s="497">
        <v>3812</v>
      </c>
      <c r="E127" s="497">
        <v>3788</v>
      </c>
      <c r="F127" s="497">
        <v>3832</v>
      </c>
      <c r="G127" s="48">
        <v>3867</v>
      </c>
      <c r="H127" s="48">
        <v>3838</v>
      </c>
      <c r="I127" s="48">
        <v>3658</v>
      </c>
      <c r="J127" s="48">
        <v>3694</v>
      </c>
      <c r="K127" s="48">
        <v>3691</v>
      </c>
      <c r="L127" s="48">
        <v>3728</v>
      </c>
      <c r="N127" s="494" t="s">
        <v>6342</v>
      </c>
      <c r="O127" s="4"/>
      <c r="Q127" s="4"/>
    </row>
    <row r="128" spans="1:17">
      <c r="A128" s="494" t="s">
        <v>7013</v>
      </c>
      <c r="B128" s="494" t="s">
        <v>4316</v>
      </c>
      <c r="C128" s="4" t="s">
        <v>10090</v>
      </c>
      <c r="D128" s="497">
        <v>2231</v>
      </c>
      <c r="E128" s="497">
        <v>2337</v>
      </c>
      <c r="F128" s="497">
        <v>2395</v>
      </c>
      <c r="G128" s="48">
        <v>2499</v>
      </c>
      <c r="H128" s="48">
        <v>2574</v>
      </c>
      <c r="I128" s="48">
        <v>2237</v>
      </c>
      <c r="J128" s="48">
        <v>2358</v>
      </c>
      <c r="K128" s="48">
        <v>2747</v>
      </c>
      <c r="L128" s="48">
        <v>2792</v>
      </c>
      <c r="N128" s="494" t="s">
        <v>6342</v>
      </c>
      <c r="O128" s="4"/>
      <c r="Q128" s="4"/>
    </row>
    <row r="129" spans="1:19">
      <c r="A129" s="494" t="s">
        <v>7015</v>
      </c>
      <c r="B129" s="494" t="s">
        <v>4317</v>
      </c>
      <c r="C129" s="4" t="s">
        <v>10091</v>
      </c>
      <c r="D129" s="497">
        <v>3564</v>
      </c>
      <c r="E129" s="497">
        <v>3562</v>
      </c>
      <c r="F129" s="497">
        <v>3607</v>
      </c>
      <c r="G129" s="48">
        <v>3621</v>
      </c>
      <c r="H129" s="48">
        <v>3696</v>
      </c>
      <c r="I129" s="48">
        <v>3523</v>
      </c>
      <c r="J129" s="48">
        <v>3535</v>
      </c>
      <c r="K129" s="48">
        <v>3677</v>
      </c>
      <c r="L129" s="48">
        <v>3643</v>
      </c>
      <c r="N129" s="494" t="s">
        <v>6349</v>
      </c>
      <c r="O129" s="4"/>
      <c r="Q129" s="4"/>
    </row>
    <row r="130" spans="1:19">
      <c r="A130" s="494" t="s">
        <v>7017</v>
      </c>
      <c r="B130" s="494" t="s">
        <v>4318</v>
      </c>
      <c r="C130" s="4" t="s">
        <v>10092</v>
      </c>
      <c r="D130" s="497">
        <v>4578</v>
      </c>
      <c r="E130" s="497">
        <v>4642</v>
      </c>
      <c r="F130" s="497">
        <v>4667</v>
      </c>
      <c r="G130" s="48">
        <v>4778</v>
      </c>
      <c r="H130" s="48">
        <v>4839</v>
      </c>
      <c r="I130" s="48">
        <v>4780</v>
      </c>
      <c r="J130" s="48">
        <v>4785</v>
      </c>
      <c r="K130" s="48">
        <v>4939</v>
      </c>
      <c r="L130" s="48">
        <v>4966</v>
      </c>
      <c r="N130" s="494" t="s">
        <v>6349</v>
      </c>
      <c r="O130" s="4"/>
      <c r="Q130" s="4"/>
    </row>
    <row r="131" spans="1:19">
      <c r="A131" s="494" t="s">
        <v>7019</v>
      </c>
      <c r="B131" s="494" t="s">
        <v>4319</v>
      </c>
      <c r="C131" s="4" t="s">
        <v>10093</v>
      </c>
      <c r="D131" s="497">
        <v>2963</v>
      </c>
      <c r="E131" s="497">
        <v>3017</v>
      </c>
      <c r="F131" s="497">
        <v>3052</v>
      </c>
      <c r="G131" s="48">
        <v>3085</v>
      </c>
      <c r="H131" s="48">
        <v>3092</v>
      </c>
      <c r="I131" s="48">
        <v>3052</v>
      </c>
      <c r="J131" s="48">
        <v>3009</v>
      </c>
      <c r="K131" s="48">
        <v>3078</v>
      </c>
      <c r="L131" s="48">
        <v>3113</v>
      </c>
      <c r="N131" s="494" t="s">
        <v>6349</v>
      </c>
      <c r="O131" s="4"/>
      <c r="Q131" s="4"/>
    </row>
    <row r="132" spans="1:19">
      <c r="A132" s="494" t="s">
        <v>7021</v>
      </c>
      <c r="B132" s="494" t="s">
        <v>8811</v>
      </c>
      <c r="C132" s="4" t="s">
        <v>10094</v>
      </c>
      <c r="D132" s="497">
        <v>2998</v>
      </c>
      <c r="E132" s="497">
        <v>3005</v>
      </c>
      <c r="F132" s="497">
        <v>3051</v>
      </c>
      <c r="G132" s="48">
        <v>3066</v>
      </c>
      <c r="H132" s="48">
        <v>3043</v>
      </c>
      <c r="I132" s="48">
        <v>2983</v>
      </c>
      <c r="J132" s="48">
        <v>2986</v>
      </c>
      <c r="K132" s="48">
        <v>3043</v>
      </c>
      <c r="L132" s="48">
        <v>3070</v>
      </c>
      <c r="N132" s="494" t="s">
        <v>6342</v>
      </c>
      <c r="O132" s="4"/>
      <c r="Q132" s="4"/>
    </row>
    <row r="133" spans="1:19">
      <c r="A133" s="505">
        <v>19</v>
      </c>
      <c r="B133" s="494" t="s">
        <v>4320</v>
      </c>
      <c r="C133" s="4" t="s">
        <v>10095</v>
      </c>
      <c r="D133" s="497">
        <v>1506</v>
      </c>
      <c r="E133" s="497">
        <v>1538</v>
      </c>
      <c r="F133" s="497">
        <v>1557</v>
      </c>
      <c r="G133" s="48">
        <v>1563</v>
      </c>
      <c r="H133" s="48">
        <v>1543</v>
      </c>
      <c r="I133" s="48">
        <v>1506</v>
      </c>
      <c r="J133" s="48">
        <v>1505</v>
      </c>
      <c r="K133" s="48">
        <v>1576</v>
      </c>
      <c r="L133" s="48">
        <v>1593</v>
      </c>
      <c r="N133" s="494" t="s">
        <v>6349</v>
      </c>
      <c r="O133" s="4"/>
      <c r="Q133" s="4"/>
    </row>
    <row r="134" spans="1:19">
      <c r="D134" s="500"/>
      <c r="E134" s="500"/>
      <c r="F134" s="500"/>
      <c r="G134" s="500"/>
      <c r="H134" s="500"/>
      <c r="I134" s="500"/>
      <c r="J134" s="500"/>
      <c r="K134" s="500"/>
      <c r="L134" s="500"/>
    </row>
    <row r="135" spans="1:19">
      <c r="A135" s="494" t="s">
        <v>4321</v>
      </c>
      <c r="D135" s="497">
        <f t="shared" ref="D135:I135" si="108">D118+D127+D128+D132</f>
        <v>12458</v>
      </c>
      <c r="E135" s="497">
        <f t="shared" si="108"/>
        <v>12544</v>
      </c>
      <c r="F135" s="497">
        <f t="shared" si="108"/>
        <v>12707</v>
      </c>
      <c r="G135" s="497">
        <f t="shared" si="108"/>
        <v>12920</v>
      </c>
      <c r="H135" s="497">
        <f t="shared" si="108"/>
        <v>12995</v>
      </c>
      <c r="I135" s="497">
        <f t="shared" si="108"/>
        <v>12350</v>
      </c>
      <c r="J135" s="497">
        <f t="shared" ref="J135:K135" si="109">J118+J127+J128+J132</f>
        <v>12460</v>
      </c>
      <c r="K135" s="497">
        <f t="shared" si="109"/>
        <v>12955</v>
      </c>
      <c r="L135" s="497">
        <f t="shared" ref="L135" si="110">L118+L127+L128+L132</f>
        <v>13077</v>
      </c>
    </row>
    <row r="136" spans="1:19">
      <c r="A136" s="494" t="s">
        <v>4322</v>
      </c>
      <c r="D136" s="497">
        <f t="shared" ref="D136:I136" si="111">SUM(D115:D117)+SUM(D119:D126)+SUM(D129:D131)+D133</f>
        <v>48104</v>
      </c>
      <c r="E136" s="497">
        <f t="shared" si="111"/>
        <v>48529</v>
      </c>
      <c r="F136" s="497">
        <f t="shared" si="111"/>
        <v>49075</v>
      </c>
      <c r="G136" s="497">
        <f t="shared" si="111"/>
        <v>49590</v>
      </c>
      <c r="H136" s="497">
        <f t="shared" si="111"/>
        <v>49924</v>
      </c>
      <c r="I136" s="497">
        <f t="shared" si="111"/>
        <v>48507</v>
      </c>
      <c r="J136" s="497">
        <f t="shared" ref="J136:K136" si="112">SUM(J115:J117)+SUM(J119:J126)+SUM(J129:J131)+J133</f>
        <v>48145</v>
      </c>
      <c r="K136" s="497">
        <f t="shared" si="112"/>
        <v>49508</v>
      </c>
      <c r="L136" s="497">
        <f t="shared" ref="L136" si="113">SUM(L115:L117)+SUM(L119:L126)+SUM(L129:L131)+L133</f>
        <v>49470</v>
      </c>
      <c r="O136" s="4"/>
      <c r="S136" s="4"/>
    </row>
    <row r="137" spans="1:19">
      <c r="A137" s="494"/>
      <c r="D137" s="497"/>
      <c r="E137" s="497"/>
      <c r="F137" s="497"/>
      <c r="G137" s="497"/>
      <c r="H137" s="497"/>
      <c r="I137" s="497"/>
      <c r="J137" s="497"/>
      <c r="K137" s="497"/>
      <c r="L137" s="497"/>
      <c r="O137" s="4"/>
      <c r="S137" s="4"/>
    </row>
    <row r="138" spans="1:19">
      <c r="A138" s="494" t="s">
        <v>983</v>
      </c>
      <c r="D138" s="497"/>
      <c r="E138" s="497"/>
      <c r="F138" s="497"/>
      <c r="G138" s="497"/>
      <c r="H138" s="497"/>
      <c r="I138" s="497"/>
      <c r="J138" s="497"/>
      <c r="K138" s="497"/>
      <c r="L138" s="497"/>
      <c r="O138" s="4"/>
      <c r="S138" s="4"/>
    </row>
    <row r="139" spans="1:19">
      <c r="A139" s="494"/>
      <c r="B139" s="494"/>
      <c r="D139" s="504"/>
      <c r="E139" s="504"/>
      <c r="F139" s="504"/>
      <c r="G139" s="504"/>
      <c r="H139" s="504"/>
      <c r="I139" s="504"/>
      <c r="J139" s="504"/>
      <c r="K139" s="504"/>
      <c r="L139" s="504"/>
    </row>
    <row r="140" spans="1:19">
      <c r="A140" s="494"/>
      <c r="B140" s="494"/>
      <c r="D140" s="504"/>
      <c r="E140" s="504"/>
      <c r="F140" s="504"/>
      <c r="G140" s="504"/>
      <c r="H140" s="504"/>
      <c r="I140" s="504"/>
      <c r="J140" s="504"/>
      <c r="K140" s="504"/>
      <c r="L140" s="504"/>
      <c r="O140" s="4"/>
      <c r="S140" s="4"/>
    </row>
    <row r="141" spans="1:19">
      <c r="E141" s="42" t="s">
        <v>2303</v>
      </c>
      <c r="F141" s="42"/>
      <c r="G141" s="42"/>
      <c r="H141" s="42"/>
      <c r="I141" s="42"/>
      <c r="J141" s="42"/>
      <c r="K141" s="42"/>
      <c r="L141" s="42"/>
      <c r="M141" s="25"/>
      <c r="N141" s="25" t="s">
        <v>13319</v>
      </c>
      <c r="O141" s="4"/>
      <c r="S141" s="4"/>
    </row>
    <row r="142" spans="1:19">
      <c r="D142" s="24">
        <v>2010</v>
      </c>
      <c r="E142" s="24">
        <v>2011</v>
      </c>
      <c r="F142" s="24">
        <v>2012</v>
      </c>
      <c r="G142" s="24">
        <v>2013</v>
      </c>
      <c r="H142" s="24">
        <v>2014</v>
      </c>
      <c r="I142" s="24">
        <v>2015</v>
      </c>
      <c r="J142" s="24">
        <v>2016</v>
      </c>
      <c r="K142" s="24">
        <v>2017</v>
      </c>
      <c r="L142" s="24">
        <v>2018</v>
      </c>
      <c r="N142" s="29" t="s">
        <v>2304</v>
      </c>
    </row>
    <row r="143" spans="1:19">
      <c r="A143" s="494" t="s">
        <v>984</v>
      </c>
      <c r="D143" s="497">
        <f t="shared" ref="D143:J143" si="114">SUM(D144:D167)</f>
        <v>70329</v>
      </c>
      <c r="E143" s="497">
        <f t="shared" si="114"/>
        <v>71117</v>
      </c>
      <c r="F143" s="497">
        <f t="shared" si="114"/>
        <v>71339</v>
      </c>
      <c r="G143" s="497">
        <f t="shared" si="114"/>
        <v>71418</v>
      </c>
      <c r="H143" s="497">
        <f t="shared" si="114"/>
        <v>69961</v>
      </c>
      <c r="I143" s="497">
        <f t="shared" si="114"/>
        <v>69145</v>
      </c>
      <c r="J143" s="497">
        <f t="shared" si="114"/>
        <v>69319</v>
      </c>
      <c r="K143" s="497">
        <f t="shared" ref="K143:L143" si="115">SUM(K144:K167)</f>
        <v>70336</v>
      </c>
      <c r="L143" s="497">
        <f t="shared" si="115"/>
        <v>70209</v>
      </c>
      <c r="O143" s="4"/>
      <c r="S143" s="4"/>
    </row>
    <row r="144" spans="1:19">
      <c r="A144" s="494" t="s">
        <v>6957</v>
      </c>
      <c r="B144" s="494" t="s">
        <v>985</v>
      </c>
      <c r="C144" s="4" t="s">
        <v>14601</v>
      </c>
      <c r="D144" s="497">
        <v>70329</v>
      </c>
      <c r="E144" s="497">
        <v>71117</v>
      </c>
      <c r="F144" s="497">
        <v>71339</v>
      </c>
      <c r="G144" s="48">
        <v>71418</v>
      </c>
      <c r="H144" s="48">
        <v>69961</v>
      </c>
      <c r="I144" s="48">
        <v>69145</v>
      </c>
      <c r="J144" s="48">
        <v>3769</v>
      </c>
      <c r="K144" s="48">
        <v>3864</v>
      </c>
      <c r="L144" s="48">
        <v>3966</v>
      </c>
      <c r="N144" s="494" t="s">
        <v>6342</v>
      </c>
    </row>
    <row r="145" spans="1:19">
      <c r="A145" s="494" t="s">
        <v>6959</v>
      </c>
      <c r="B145" s="494" t="s">
        <v>14602</v>
      </c>
      <c r="C145" s="4" t="s">
        <v>14609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3449</v>
      </c>
      <c r="K145" s="48">
        <v>3540</v>
      </c>
      <c r="L145" s="48">
        <v>3530</v>
      </c>
      <c r="N145" s="494" t="s">
        <v>6342</v>
      </c>
      <c r="O145" s="4"/>
      <c r="S145" s="4"/>
    </row>
    <row r="146" spans="1:19">
      <c r="A146" s="494" t="s">
        <v>6961</v>
      </c>
      <c r="B146" s="494" t="s">
        <v>986</v>
      </c>
      <c r="C146" s="4" t="s">
        <v>14610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2101</v>
      </c>
      <c r="K146" s="48">
        <v>2090</v>
      </c>
      <c r="L146" s="48">
        <v>2141</v>
      </c>
      <c r="N146" s="494" t="s">
        <v>6342</v>
      </c>
    </row>
    <row r="147" spans="1:19">
      <c r="A147" s="494" t="s">
        <v>6963</v>
      </c>
      <c r="B147" s="494" t="s">
        <v>987</v>
      </c>
      <c r="C147" s="4" t="s">
        <v>14611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1270</v>
      </c>
      <c r="K147" s="48">
        <v>1248</v>
      </c>
      <c r="L147" s="48">
        <v>1213</v>
      </c>
      <c r="N147" s="494" t="s">
        <v>6342</v>
      </c>
      <c r="O147" s="4"/>
      <c r="S147" s="4"/>
    </row>
    <row r="148" spans="1:19">
      <c r="A148" s="494" t="s">
        <v>6965</v>
      </c>
      <c r="B148" s="494" t="s">
        <v>14603</v>
      </c>
      <c r="C148" s="4" t="s">
        <v>14612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3568</v>
      </c>
      <c r="K148" s="48">
        <v>3647</v>
      </c>
      <c r="L148" s="48">
        <v>3652</v>
      </c>
      <c r="N148" s="494" t="s">
        <v>6342</v>
      </c>
      <c r="O148" s="4"/>
      <c r="P148" s="70"/>
      <c r="S148" s="4"/>
    </row>
    <row r="149" spans="1:19">
      <c r="A149" s="494" t="s">
        <v>6997</v>
      </c>
      <c r="B149" s="494" t="s">
        <v>14604</v>
      </c>
      <c r="C149" s="4" t="s">
        <v>14613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3674</v>
      </c>
      <c r="K149" s="48">
        <v>3804</v>
      </c>
      <c r="L149" s="48">
        <v>3753</v>
      </c>
      <c r="N149" s="494" t="s">
        <v>6342</v>
      </c>
    </row>
    <row r="150" spans="1:19">
      <c r="A150" s="494" t="s">
        <v>6999</v>
      </c>
      <c r="B150" s="494" t="s">
        <v>6130</v>
      </c>
      <c r="C150" s="4" t="s">
        <v>14614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1529</v>
      </c>
      <c r="K150" s="48">
        <v>1550</v>
      </c>
      <c r="L150" s="48">
        <v>1544</v>
      </c>
      <c r="N150" s="494" t="s">
        <v>6342</v>
      </c>
      <c r="O150" s="4"/>
      <c r="S150" s="4"/>
    </row>
    <row r="151" spans="1:19">
      <c r="A151" s="494" t="s">
        <v>7001</v>
      </c>
      <c r="B151" s="494" t="s">
        <v>6131</v>
      </c>
      <c r="C151" s="4" t="s">
        <v>14615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2082</v>
      </c>
      <c r="K151" s="48">
        <v>2107</v>
      </c>
      <c r="L151" s="48">
        <v>2103</v>
      </c>
      <c r="N151" s="494" t="s">
        <v>6342</v>
      </c>
      <c r="O151" s="4"/>
      <c r="S151" s="4"/>
    </row>
    <row r="152" spans="1:19">
      <c r="A152" s="494" t="s">
        <v>7003</v>
      </c>
      <c r="B152" s="494" t="s">
        <v>6132</v>
      </c>
      <c r="C152" s="4" t="s">
        <v>14616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1803</v>
      </c>
      <c r="K152" s="48">
        <v>1901</v>
      </c>
      <c r="L152" s="48">
        <v>1923</v>
      </c>
      <c r="N152" s="494" t="s">
        <v>6342</v>
      </c>
      <c r="O152" s="4"/>
      <c r="S152" s="4"/>
    </row>
    <row r="153" spans="1:19">
      <c r="A153" s="494" t="s">
        <v>7005</v>
      </c>
      <c r="B153" s="494" t="s">
        <v>6133</v>
      </c>
      <c r="C153" s="4" t="s">
        <v>14617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5591</v>
      </c>
      <c r="K153" s="48">
        <v>5598</v>
      </c>
      <c r="L153" s="48">
        <v>5613</v>
      </c>
      <c r="N153" s="494" t="s">
        <v>6342</v>
      </c>
    </row>
    <row r="154" spans="1:19">
      <c r="A154" s="494" t="s">
        <v>7007</v>
      </c>
      <c r="B154" s="494" t="s">
        <v>6134</v>
      </c>
      <c r="C154" s="4" t="s">
        <v>14618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5314</v>
      </c>
      <c r="K154" s="48">
        <v>5341</v>
      </c>
      <c r="L154" s="48">
        <v>5320</v>
      </c>
      <c r="N154" s="494" t="s">
        <v>6342</v>
      </c>
      <c r="O154" s="4"/>
      <c r="S154" s="4"/>
    </row>
    <row r="155" spans="1:19">
      <c r="A155" s="494" t="s">
        <v>7009</v>
      </c>
      <c r="B155" s="494" t="s">
        <v>6135</v>
      </c>
      <c r="C155" s="4" t="s">
        <v>14619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5339</v>
      </c>
      <c r="K155" s="48">
        <v>5554</v>
      </c>
      <c r="L155" s="48">
        <v>5593</v>
      </c>
      <c r="N155" s="494" t="s">
        <v>6342</v>
      </c>
      <c r="O155" s="4"/>
      <c r="S155" s="4"/>
    </row>
    <row r="156" spans="1:19">
      <c r="A156" s="494" t="s">
        <v>7011</v>
      </c>
      <c r="B156" s="494" t="s">
        <v>6136</v>
      </c>
      <c r="C156" s="4" t="s">
        <v>14620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1446</v>
      </c>
      <c r="K156" s="48">
        <v>1424</v>
      </c>
      <c r="L156" s="48">
        <v>1397</v>
      </c>
      <c r="N156" s="494" t="s">
        <v>6342</v>
      </c>
      <c r="O156" s="4"/>
      <c r="S156" s="4"/>
    </row>
    <row r="157" spans="1:19">
      <c r="A157" s="494" t="s">
        <v>7013</v>
      </c>
      <c r="B157" s="494" t="s">
        <v>14605</v>
      </c>
      <c r="C157" s="4" t="s">
        <v>14621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3167</v>
      </c>
      <c r="K157" s="48">
        <v>3126</v>
      </c>
      <c r="L157" s="48">
        <v>3061</v>
      </c>
      <c r="N157" s="494" t="s">
        <v>6342</v>
      </c>
      <c r="O157" s="4"/>
      <c r="S157" s="4"/>
    </row>
    <row r="158" spans="1:19">
      <c r="A158" s="494" t="s">
        <v>7015</v>
      </c>
      <c r="B158" s="494" t="s">
        <v>14606</v>
      </c>
      <c r="C158" s="4" t="s">
        <v>14622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3920</v>
      </c>
      <c r="K158" s="48">
        <v>3979</v>
      </c>
      <c r="L158" s="48">
        <v>4029</v>
      </c>
      <c r="N158" s="494" t="s">
        <v>6342</v>
      </c>
      <c r="O158" s="4"/>
      <c r="S158" s="4"/>
    </row>
    <row r="159" spans="1:19">
      <c r="A159" s="494" t="s">
        <v>7017</v>
      </c>
      <c r="B159" s="494" t="s">
        <v>6137</v>
      </c>
      <c r="C159" s="4" t="s">
        <v>14623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1646</v>
      </c>
      <c r="K159" s="48">
        <v>1669</v>
      </c>
      <c r="L159" s="48">
        <v>1656</v>
      </c>
      <c r="N159" s="494" t="s">
        <v>6342</v>
      </c>
      <c r="O159" s="4"/>
      <c r="S159" s="4"/>
    </row>
    <row r="160" spans="1:19">
      <c r="A160" s="494" t="s">
        <v>7019</v>
      </c>
      <c r="B160" s="494" t="s">
        <v>6138</v>
      </c>
      <c r="C160" s="4" t="s">
        <v>14624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5146</v>
      </c>
      <c r="K160" s="48">
        <v>5224</v>
      </c>
      <c r="L160" s="48">
        <v>5209</v>
      </c>
      <c r="N160" s="494" t="s">
        <v>6342</v>
      </c>
      <c r="O160" s="4"/>
      <c r="S160" s="4"/>
    </row>
    <row r="161" spans="1:19">
      <c r="A161" s="494" t="s">
        <v>7021</v>
      </c>
      <c r="B161" s="494" t="s">
        <v>6139</v>
      </c>
      <c r="C161" s="4" t="s">
        <v>14625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2036</v>
      </c>
      <c r="K161" s="48">
        <v>2072</v>
      </c>
      <c r="L161" s="48">
        <v>2070</v>
      </c>
      <c r="N161" s="494" t="s">
        <v>6342</v>
      </c>
      <c r="O161" s="4"/>
      <c r="S161" s="4"/>
    </row>
    <row r="162" spans="1:19">
      <c r="A162" s="494" t="s">
        <v>7023</v>
      </c>
      <c r="B162" s="494" t="s">
        <v>2676</v>
      </c>
      <c r="C162" s="4" t="s">
        <v>14626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1867</v>
      </c>
      <c r="K162" s="48">
        <v>1931</v>
      </c>
      <c r="L162" s="48">
        <v>1875</v>
      </c>
      <c r="N162" s="494" t="s">
        <v>6342</v>
      </c>
    </row>
    <row r="163" spans="1:19">
      <c r="A163" s="494" t="s">
        <v>7025</v>
      </c>
      <c r="B163" s="494" t="s">
        <v>2677</v>
      </c>
      <c r="C163" s="4" t="s">
        <v>14627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1790</v>
      </c>
      <c r="K163" s="48">
        <v>1809</v>
      </c>
      <c r="L163" s="48">
        <v>1752</v>
      </c>
      <c r="N163" s="494" t="s">
        <v>6342</v>
      </c>
      <c r="O163" s="4"/>
      <c r="S163" s="4"/>
    </row>
    <row r="164" spans="1:19">
      <c r="A164" s="494" t="s">
        <v>7570</v>
      </c>
      <c r="B164" s="494" t="s">
        <v>14607</v>
      </c>
      <c r="C164" s="4" t="s">
        <v>14628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2023</v>
      </c>
      <c r="K164" s="48">
        <v>2010</v>
      </c>
      <c r="L164" s="48">
        <v>2052</v>
      </c>
      <c r="N164" s="494" t="s">
        <v>6342</v>
      </c>
      <c r="O164" s="4"/>
      <c r="P164" s="70"/>
      <c r="S164" s="4"/>
    </row>
    <row r="165" spans="1:19">
      <c r="A165" s="494" t="s">
        <v>7572</v>
      </c>
      <c r="B165" s="494" t="s">
        <v>2678</v>
      </c>
      <c r="C165" s="4" t="s">
        <v>14629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2161</v>
      </c>
      <c r="K165" s="48">
        <v>2158</v>
      </c>
      <c r="L165" s="48">
        <v>2132</v>
      </c>
      <c r="N165" s="494" t="s">
        <v>6342</v>
      </c>
    </row>
    <row r="166" spans="1:19">
      <c r="A166" s="494" t="s">
        <v>7573</v>
      </c>
      <c r="B166" s="494" t="s">
        <v>14608</v>
      </c>
      <c r="C166" s="4" t="s">
        <v>14630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2969</v>
      </c>
      <c r="K166" s="48">
        <v>2986</v>
      </c>
      <c r="L166" s="48">
        <v>2935</v>
      </c>
      <c r="N166" s="494" t="s">
        <v>6342</v>
      </c>
      <c r="O166" s="4"/>
      <c r="S166" s="4"/>
    </row>
    <row r="167" spans="1:19">
      <c r="A167" s="494" t="s">
        <v>5798</v>
      </c>
      <c r="B167" s="494" t="s">
        <v>2679</v>
      </c>
      <c r="C167" s="4" t="s">
        <v>14631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1659</v>
      </c>
      <c r="K167" s="48">
        <v>1704</v>
      </c>
      <c r="L167" s="48">
        <v>1690</v>
      </c>
      <c r="N167" s="494" t="s">
        <v>6342</v>
      </c>
    </row>
    <row r="168" spans="1:19">
      <c r="D168" s="500"/>
      <c r="E168" s="500"/>
      <c r="F168" s="500"/>
      <c r="G168" s="500"/>
      <c r="H168" s="500"/>
      <c r="I168" s="500"/>
      <c r="J168" s="500"/>
      <c r="K168" s="500"/>
      <c r="L168" s="500"/>
      <c r="O168" s="4"/>
      <c r="S168" s="4"/>
    </row>
    <row r="169" spans="1:19">
      <c r="A169" s="494" t="s">
        <v>4321</v>
      </c>
      <c r="D169" s="497">
        <f t="shared" ref="D169:J169" si="116">SUM(D144:D167)</f>
        <v>70329</v>
      </c>
      <c r="E169" s="497">
        <f t="shared" si="116"/>
        <v>71117</v>
      </c>
      <c r="F169" s="497">
        <f t="shared" si="116"/>
        <v>71339</v>
      </c>
      <c r="G169" s="497">
        <f t="shared" si="116"/>
        <v>71418</v>
      </c>
      <c r="H169" s="497">
        <f t="shared" si="116"/>
        <v>69961</v>
      </c>
      <c r="I169" s="497">
        <f t="shared" si="116"/>
        <v>69145</v>
      </c>
      <c r="J169" s="497">
        <f t="shared" si="116"/>
        <v>69319</v>
      </c>
      <c r="K169" s="497">
        <f t="shared" ref="K169:L169" si="117">SUM(K144:K167)</f>
        <v>70336</v>
      </c>
      <c r="L169" s="497">
        <f t="shared" si="117"/>
        <v>70209</v>
      </c>
      <c r="O169" s="4"/>
      <c r="S169" s="4"/>
    </row>
    <row r="170" spans="1:19">
      <c r="A170" s="494"/>
      <c r="D170" s="497"/>
      <c r="E170" s="497"/>
      <c r="F170" s="497"/>
      <c r="G170" s="497"/>
      <c r="H170" s="497"/>
      <c r="I170" s="497"/>
      <c r="J170" s="497"/>
      <c r="K170" s="497"/>
      <c r="L170" s="497"/>
      <c r="O170" s="4"/>
      <c r="S170" s="4"/>
    </row>
    <row r="171" spans="1:19">
      <c r="A171" s="494" t="s">
        <v>14632</v>
      </c>
      <c r="D171" s="497"/>
      <c r="E171" s="497"/>
      <c r="F171" s="497"/>
      <c r="G171" s="497"/>
      <c r="H171" s="497"/>
      <c r="I171" s="497"/>
      <c r="J171" s="497"/>
      <c r="K171" s="497"/>
      <c r="L171" s="497"/>
    </row>
    <row r="172" spans="1:19">
      <c r="A172" s="494"/>
      <c r="B172" s="494"/>
      <c r="D172" s="504"/>
      <c r="E172" s="504"/>
      <c r="F172" s="504"/>
      <c r="G172" s="504"/>
      <c r="H172" s="504"/>
      <c r="I172" s="504"/>
      <c r="J172" s="504"/>
      <c r="K172" s="504"/>
      <c r="L172" s="504"/>
    </row>
    <row r="173" spans="1:19">
      <c r="A173" s="494"/>
      <c r="B173" s="494"/>
      <c r="D173" s="504"/>
      <c r="E173" s="504"/>
      <c r="F173" s="504"/>
      <c r="G173" s="504"/>
      <c r="H173" s="504"/>
      <c r="I173" s="504"/>
      <c r="J173" s="504"/>
      <c r="K173" s="504"/>
      <c r="L173" s="504"/>
    </row>
    <row r="174" spans="1:19">
      <c r="E174" s="42" t="s">
        <v>2303</v>
      </c>
      <c r="F174" s="42"/>
      <c r="G174" s="42"/>
      <c r="H174" s="42"/>
      <c r="I174" s="42"/>
      <c r="J174" s="42"/>
      <c r="K174" s="42"/>
      <c r="L174" s="42"/>
      <c r="M174" s="25"/>
      <c r="N174" s="25" t="s">
        <v>13319</v>
      </c>
    </row>
    <row r="175" spans="1:19">
      <c r="D175" s="24">
        <v>2010</v>
      </c>
      <c r="E175" s="24">
        <v>2011</v>
      </c>
      <c r="F175" s="24">
        <v>2012</v>
      </c>
      <c r="G175" s="24">
        <v>2013</v>
      </c>
      <c r="H175" s="24">
        <v>2014</v>
      </c>
      <c r="I175" s="24">
        <v>2015</v>
      </c>
      <c r="J175" s="24">
        <v>2016</v>
      </c>
      <c r="K175" s="24">
        <v>2017</v>
      </c>
      <c r="L175" s="24">
        <v>2018</v>
      </c>
      <c r="N175" s="29" t="s">
        <v>2304</v>
      </c>
    </row>
    <row r="176" spans="1:19">
      <c r="A176" s="494" t="s">
        <v>2828</v>
      </c>
      <c r="D176" s="497">
        <f>D177+D178+SUM(D180:D186)+D188+D189+SUM(D191:D195)+SUM(D197:D201)+D203+D204+SUM(D206:D213)+D215+D216</f>
        <v>123393</v>
      </c>
      <c r="E176" s="497">
        <f t="shared" ref="E176:L176" si="118">E177+E178+SUM(E180:E186)+E188+E189+SUM(E191:E195)+SUM(E197:E201)+E203+E204+SUM(E206:E213)+E215+E216</f>
        <v>121827</v>
      </c>
      <c r="F176" s="497">
        <f t="shared" si="118"/>
        <v>121600</v>
      </c>
      <c r="G176" s="497">
        <f t="shared" si="118"/>
        <v>122579</v>
      </c>
      <c r="H176" s="497">
        <f t="shared" si="118"/>
        <v>126462</v>
      </c>
      <c r="I176" s="497">
        <f t="shared" si="118"/>
        <v>124746</v>
      </c>
      <c r="J176" s="497">
        <f t="shared" si="118"/>
        <v>124073</v>
      </c>
      <c r="K176" s="497">
        <f t="shared" si="118"/>
        <v>127242</v>
      </c>
      <c r="L176" s="497">
        <f t="shared" si="118"/>
        <v>127398</v>
      </c>
    </row>
    <row r="177" spans="1:19">
      <c r="A177" s="494" t="s">
        <v>6957</v>
      </c>
      <c r="B177" s="494" t="s">
        <v>16287</v>
      </c>
      <c r="C177" s="4" t="s">
        <v>16288</v>
      </c>
      <c r="D177" s="497">
        <v>0</v>
      </c>
      <c r="E177" s="497">
        <v>0</v>
      </c>
      <c r="F177" s="497">
        <v>0</v>
      </c>
      <c r="G177" s="497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1796</v>
      </c>
      <c r="N177" s="494" t="s">
        <v>6340</v>
      </c>
    </row>
    <row r="178" spans="1:19" ht="15.75" thickBot="1">
      <c r="A178" s="494"/>
      <c r="B178" s="494"/>
      <c r="C178" s="4" t="s">
        <v>16288</v>
      </c>
      <c r="D178" s="497">
        <v>0</v>
      </c>
      <c r="E178" s="497">
        <v>0</v>
      </c>
      <c r="F178" s="497">
        <v>0</v>
      </c>
      <c r="G178" s="497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1120</v>
      </c>
      <c r="N178" s="494" t="s">
        <v>6344</v>
      </c>
    </row>
    <row r="179" spans="1:19" ht="15.75" thickBot="1">
      <c r="A179" s="494"/>
      <c r="B179" s="494"/>
      <c r="C179" s="4" t="s">
        <v>16288</v>
      </c>
      <c r="D179" s="503">
        <f t="shared" ref="D179:L179" si="119">D177+D178</f>
        <v>0</v>
      </c>
      <c r="E179" s="503">
        <f t="shared" si="119"/>
        <v>0</v>
      </c>
      <c r="F179" s="503">
        <f t="shared" si="119"/>
        <v>0</v>
      </c>
      <c r="G179" s="503">
        <f t="shared" si="119"/>
        <v>0</v>
      </c>
      <c r="H179" s="503">
        <f t="shared" si="119"/>
        <v>0</v>
      </c>
      <c r="I179" s="503">
        <f t="shared" si="119"/>
        <v>0</v>
      </c>
      <c r="J179" s="503">
        <f t="shared" si="119"/>
        <v>0</v>
      </c>
      <c r="K179" s="503">
        <f t="shared" si="119"/>
        <v>0</v>
      </c>
      <c r="L179" s="503">
        <f t="shared" si="119"/>
        <v>2916</v>
      </c>
      <c r="N179" s="494"/>
      <c r="O179" s="4"/>
      <c r="P179" s="70"/>
      <c r="S179" s="4"/>
    </row>
    <row r="180" spans="1:19">
      <c r="A180" s="494" t="s">
        <v>6959</v>
      </c>
      <c r="B180" s="494" t="s">
        <v>6990</v>
      </c>
      <c r="C180" s="4" t="s">
        <v>16290</v>
      </c>
      <c r="D180" s="497">
        <v>80273</v>
      </c>
      <c r="E180" s="497">
        <v>79134</v>
      </c>
      <c r="F180" s="497">
        <v>79193</v>
      </c>
      <c r="G180" s="497">
        <v>80044</v>
      </c>
      <c r="H180" s="30">
        <v>82892</v>
      </c>
      <c r="I180" s="30">
        <v>81475</v>
      </c>
      <c r="J180" s="30">
        <v>81303</v>
      </c>
      <c r="K180" s="30">
        <v>83209</v>
      </c>
      <c r="L180" s="30">
        <v>4883</v>
      </c>
      <c r="N180" s="494" t="s">
        <v>6340</v>
      </c>
    </row>
    <row r="181" spans="1:19">
      <c r="A181" s="494" t="s">
        <v>6961</v>
      </c>
      <c r="B181" s="494" t="s">
        <v>2680</v>
      </c>
      <c r="C181" s="4" t="s">
        <v>16291</v>
      </c>
      <c r="D181" s="497">
        <v>0</v>
      </c>
      <c r="E181" s="497">
        <v>0</v>
      </c>
      <c r="F181" s="497">
        <v>0</v>
      </c>
      <c r="G181" s="497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2656</v>
      </c>
      <c r="N181" s="494" t="s">
        <v>6340</v>
      </c>
    </row>
    <row r="182" spans="1:19">
      <c r="A182" s="494" t="s">
        <v>6963</v>
      </c>
      <c r="B182" s="494" t="s">
        <v>2681</v>
      </c>
      <c r="C182" s="4" t="s">
        <v>16292</v>
      </c>
      <c r="D182" s="501">
        <v>0</v>
      </c>
      <c r="E182" s="501">
        <v>0</v>
      </c>
      <c r="F182" s="501">
        <v>0</v>
      </c>
      <c r="G182" s="50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2894</v>
      </c>
      <c r="N182" s="494" t="s">
        <v>6340</v>
      </c>
    </row>
    <row r="183" spans="1:19">
      <c r="A183" s="494" t="s">
        <v>6965</v>
      </c>
      <c r="B183" s="494" t="s">
        <v>16293</v>
      </c>
      <c r="C183" s="4" t="s">
        <v>16294</v>
      </c>
      <c r="D183" s="501">
        <v>0</v>
      </c>
      <c r="E183" s="501">
        <v>0</v>
      </c>
      <c r="F183" s="501">
        <v>0</v>
      </c>
      <c r="G183" s="501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6596</v>
      </c>
      <c r="N183" s="494" t="s">
        <v>6340</v>
      </c>
    </row>
    <row r="184" spans="1:19">
      <c r="A184" s="494" t="s">
        <v>6997</v>
      </c>
      <c r="B184" s="494" t="s">
        <v>16295</v>
      </c>
      <c r="C184" s="4" t="s">
        <v>16296</v>
      </c>
      <c r="D184" s="497">
        <v>0</v>
      </c>
      <c r="E184" s="497">
        <v>0</v>
      </c>
      <c r="F184" s="497">
        <v>0</v>
      </c>
      <c r="G184" s="497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2551</v>
      </c>
      <c r="N184" s="494" t="s">
        <v>6340</v>
      </c>
    </row>
    <row r="185" spans="1:19">
      <c r="A185" s="494" t="s">
        <v>6999</v>
      </c>
      <c r="B185" s="494" t="s">
        <v>16297</v>
      </c>
      <c r="C185" s="4" t="s">
        <v>16298</v>
      </c>
      <c r="D185" s="497">
        <v>0</v>
      </c>
      <c r="E185" s="497">
        <v>0</v>
      </c>
      <c r="F185" s="497">
        <v>0</v>
      </c>
      <c r="G185" s="497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2221</v>
      </c>
      <c r="N185" s="494" t="s">
        <v>6340</v>
      </c>
    </row>
    <row r="186" spans="1:19" ht="15.75" thickBot="1">
      <c r="A186" s="494"/>
      <c r="B186" s="494"/>
      <c r="C186" s="4" t="s">
        <v>16296</v>
      </c>
      <c r="D186" s="497">
        <v>0</v>
      </c>
      <c r="E186" s="497">
        <v>0</v>
      </c>
      <c r="F186" s="497">
        <v>0</v>
      </c>
      <c r="G186" s="497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482</v>
      </c>
      <c r="N186" s="494" t="s">
        <v>6344</v>
      </c>
    </row>
    <row r="187" spans="1:19" ht="15.75" thickBot="1">
      <c r="A187" s="494"/>
      <c r="B187" s="494"/>
      <c r="C187" s="4" t="s">
        <v>16298</v>
      </c>
      <c r="D187" s="503">
        <f t="shared" ref="D187:L187" si="120">D185+D186</f>
        <v>0</v>
      </c>
      <c r="E187" s="503">
        <f t="shared" si="120"/>
        <v>0</v>
      </c>
      <c r="F187" s="503">
        <f t="shared" si="120"/>
        <v>0</v>
      </c>
      <c r="G187" s="503">
        <f t="shared" si="120"/>
        <v>0</v>
      </c>
      <c r="H187" s="503">
        <f t="shared" si="120"/>
        <v>0</v>
      </c>
      <c r="I187" s="503">
        <f t="shared" si="120"/>
        <v>0</v>
      </c>
      <c r="J187" s="503">
        <f t="shared" si="120"/>
        <v>0</v>
      </c>
      <c r="K187" s="503">
        <f t="shared" si="120"/>
        <v>0</v>
      </c>
      <c r="L187" s="503">
        <f t="shared" si="120"/>
        <v>2703</v>
      </c>
      <c r="N187" s="494"/>
    </row>
    <row r="188" spans="1:19">
      <c r="A188" s="494" t="s">
        <v>7001</v>
      </c>
      <c r="B188" s="494" t="s">
        <v>16299</v>
      </c>
      <c r="C188" s="4" t="s">
        <v>16300</v>
      </c>
      <c r="D188" s="497">
        <v>0</v>
      </c>
      <c r="E188" s="497">
        <v>0</v>
      </c>
      <c r="F188" s="497">
        <v>0</v>
      </c>
      <c r="G188" s="497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3713</v>
      </c>
      <c r="N188" s="494" t="s">
        <v>6340</v>
      </c>
    </row>
    <row r="189" spans="1:19" ht="15.75" thickBot="1">
      <c r="A189" s="494"/>
      <c r="B189" s="494"/>
      <c r="C189" s="4" t="s">
        <v>16298</v>
      </c>
      <c r="D189" s="497">
        <v>0</v>
      </c>
      <c r="E189" s="497">
        <v>0</v>
      </c>
      <c r="F189" s="497">
        <v>0</v>
      </c>
      <c r="G189" s="497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1000</v>
      </c>
      <c r="N189" s="494" t="s">
        <v>6344</v>
      </c>
    </row>
    <row r="190" spans="1:19" ht="15.75" thickBot="1">
      <c r="A190" s="494"/>
      <c r="B190" s="494"/>
      <c r="C190" s="4" t="s">
        <v>16300</v>
      </c>
      <c r="D190" s="503">
        <f t="shared" ref="D190:L190" si="121">D188+D189</f>
        <v>0</v>
      </c>
      <c r="E190" s="503">
        <f t="shared" si="121"/>
        <v>0</v>
      </c>
      <c r="F190" s="503">
        <f t="shared" si="121"/>
        <v>0</v>
      </c>
      <c r="G190" s="503">
        <f t="shared" si="121"/>
        <v>0</v>
      </c>
      <c r="H190" s="503">
        <f t="shared" si="121"/>
        <v>0</v>
      </c>
      <c r="I190" s="503">
        <f t="shared" si="121"/>
        <v>0</v>
      </c>
      <c r="J190" s="503">
        <f t="shared" si="121"/>
        <v>0</v>
      </c>
      <c r="K190" s="503">
        <f t="shared" si="121"/>
        <v>0</v>
      </c>
      <c r="L190" s="503">
        <f t="shared" si="121"/>
        <v>4713</v>
      </c>
      <c r="N190" s="494"/>
    </row>
    <row r="191" spans="1:19">
      <c r="A191" s="494" t="s">
        <v>7003</v>
      </c>
      <c r="B191" s="494" t="s">
        <v>16301</v>
      </c>
      <c r="C191" s="4" t="s">
        <v>16302</v>
      </c>
      <c r="D191" s="497">
        <v>43120</v>
      </c>
      <c r="E191" s="497">
        <v>42693</v>
      </c>
      <c r="F191" s="497">
        <v>42407</v>
      </c>
      <c r="G191" s="497">
        <v>42535</v>
      </c>
      <c r="H191" s="30">
        <v>43570</v>
      </c>
      <c r="I191" s="30">
        <v>43271</v>
      </c>
      <c r="J191" s="30">
        <v>42770</v>
      </c>
      <c r="K191" s="30">
        <v>44033</v>
      </c>
      <c r="L191" s="30">
        <v>5518</v>
      </c>
      <c r="N191" s="494" t="s">
        <v>6344</v>
      </c>
      <c r="O191" s="4"/>
      <c r="P191" s="70"/>
      <c r="Q191" s="4"/>
    </row>
    <row r="192" spans="1:19">
      <c r="A192" s="494" t="s">
        <v>7005</v>
      </c>
      <c r="B192" s="494" t="s">
        <v>2682</v>
      </c>
      <c r="C192" s="4" t="s">
        <v>16303</v>
      </c>
      <c r="D192" s="497">
        <v>0</v>
      </c>
      <c r="E192" s="497">
        <v>0</v>
      </c>
      <c r="F192" s="497">
        <v>0</v>
      </c>
      <c r="G192" s="497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4923</v>
      </c>
      <c r="N192" s="494" t="s">
        <v>6340</v>
      </c>
      <c r="O192" s="4"/>
      <c r="P192" s="70"/>
      <c r="Q192" s="4"/>
    </row>
    <row r="193" spans="1:17">
      <c r="A193" s="494" t="s">
        <v>7007</v>
      </c>
      <c r="B193" s="494" t="s">
        <v>4373</v>
      </c>
      <c r="C193" s="4" t="s">
        <v>16304</v>
      </c>
      <c r="D193" s="497">
        <v>0</v>
      </c>
      <c r="E193" s="497">
        <v>0</v>
      </c>
      <c r="F193" s="497">
        <v>0</v>
      </c>
      <c r="G193" s="497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7033</v>
      </c>
      <c r="N193" s="494" t="s">
        <v>6340</v>
      </c>
      <c r="O193" s="4"/>
      <c r="P193" s="71"/>
      <c r="Q193" s="4"/>
    </row>
    <row r="194" spans="1:17">
      <c r="A194" s="494" t="s">
        <v>7009</v>
      </c>
      <c r="B194" s="494" t="s">
        <v>16305</v>
      </c>
      <c r="C194" s="4" t="s">
        <v>16306</v>
      </c>
      <c r="D194" s="497">
        <v>0</v>
      </c>
      <c r="E194" s="497">
        <v>0</v>
      </c>
      <c r="F194" s="497">
        <v>0</v>
      </c>
      <c r="G194" s="497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1354</v>
      </c>
      <c r="N194" s="494" t="s">
        <v>6340</v>
      </c>
      <c r="O194" s="4"/>
      <c r="P194" s="70"/>
      <c r="Q194" s="4"/>
    </row>
    <row r="195" spans="1:17" ht="15.75" thickBot="1">
      <c r="A195" s="494"/>
      <c r="B195" s="494"/>
      <c r="C195" s="4" t="s">
        <v>16306</v>
      </c>
      <c r="D195" s="497">
        <v>0</v>
      </c>
      <c r="E195" s="497">
        <v>0</v>
      </c>
      <c r="F195" s="497">
        <v>0</v>
      </c>
      <c r="G195" s="497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1273</v>
      </c>
      <c r="N195" s="494" t="s">
        <v>6344</v>
      </c>
      <c r="O195" s="4"/>
      <c r="P195" s="71"/>
      <c r="Q195" s="4"/>
    </row>
    <row r="196" spans="1:17" ht="15.75" thickBot="1">
      <c r="A196" s="494"/>
      <c r="B196" s="494"/>
      <c r="C196" s="4" t="s">
        <v>16306</v>
      </c>
      <c r="D196" s="503">
        <f t="shared" ref="D196:L196" si="122">D194+D195</f>
        <v>0</v>
      </c>
      <c r="E196" s="503">
        <f t="shared" si="122"/>
        <v>0</v>
      </c>
      <c r="F196" s="503">
        <f t="shared" si="122"/>
        <v>0</v>
      </c>
      <c r="G196" s="503">
        <f t="shared" si="122"/>
        <v>0</v>
      </c>
      <c r="H196" s="503">
        <f t="shared" si="122"/>
        <v>0</v>
      </c>
      <c r="I196" s="503">
        <f t="shared" si="122"/>
        <v>0</v>
      </c>
      <c r="J196" s="503">
        <f t="shared" si="122"/>
        <v>0</v>
      </c>
      <c r="K196" s="503">
        <f t="shared" si="122"/>
        <v>0</v>
      </c>
      <c r="L196" s="503">
        <f t="shared" si="122"/>
        <v>2627</v>
      </c>
      <c r="N196" s="494"/>
      <c r="O196" s="4"/>
      <c r="P196" s="70"/>
      <c r="Q196" s="4"/>
    </row>
    <row r="197" spans="1:17">
      <c r="A197" s="494" t="s">
        <v>7011</v>
      </c>
      <c r="B197" s="494" t="s">
        <v>4374</v>
      </c>
      <c r="C197" s="4" t="s">
        <v>16307</v>
      </c>
      <c r="D197" s="497">
        <v>0</v>
      </c>
      <c r="E197" s="497">
        <v>0</v>
      </c>
      <c r="F197" s="497">
        <v>0</v>
      </c>
      <c r="G197" s="497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7836</v>
      </c>
      <c r="N197" s="494" t="s">
        <v>6344</v>
      </c>
      <c r="O197" s="4"/>
      <c r="P197" s="70"/>
      <c r="Q197" s="4"/>
    </row>
    <row r="198" spans="1:17">
      <c r="A198" s="494" t="s">
        <v>7013</v>
      </c>
      <c r="B198" s="494" t="s">
        <v>4379</v>
      </c>
      <c r="C198" s="4" t="s">
        <v>16309</v>
      </c>
      <c r="D198" s="497">
        <v>0</v>
      </c>
      <c r="E198" s="497">
        <v>0</v>
      </c>
      <c r="F198" s="497">
        <v>0</v>
      </c>
      <c r="G198" s="497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4863</v>
      </c>
      <c r="N198" s="494" t="s">
        <v>6344</v>
      </c>
      <c r="O198" s="4"/>
      <c r="P198" s="70"/>
      <c r="Q198" s="4"/>
    </row>
    <row r="199" spans="1:17">
      <c r="A199" s="494" t="s">
        <v>7015</v>
      </c>
      <c r="B199" s="494" t="s">
        <v>4380</v>
      </c>
      <c r="C199" s="4" t="s">
        <v>16310</v>
      </c>
      <c r="D199" s="497">
        <v>0</v>
      </c>
      <c r="E199" s="497">
        <v>0</v>
      </c>
      <c r="F199" s="497">
        <v>0</v>
      </c>
      <c r="G199" s="497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2934</v>
      </c>
      <c r="N199" s="494" t="s">
        <v>6344</v>
      </c>
      <c r="O199" s="4"/>
      <c r="P199" s="70"/>
      <c r="Q199" s="4"/>
    </row>
    <row r="200" spans="1:17">
      <c r="A200" s="494" t="s">
        <v>7017</v>
      </c>
      <c r="B200" s="494" t="s">
        <v>4375</v>
      </c>
      <c r="C200" s="4" t="s">
        <v>16308</v>
      </c>
      <c r="D200" s="497">
        <v>0</v>
      </c>
      <c r="E200" s="497">
        <v>0</v>
      </c>
      <c r="F200" s="497">
        <v>0</v>
      </c>
      <c r="G200" s="497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4795</v>
      </c>
      <c r="N200" s="494" t="s">
        <v>6340</v>
      </c>
      <c r="O200" s="4"/>
      <c r="P200" s="70"/>
      <c r="Q200" s="4"/>
    </row>
    <row r="201" spans="1:17" ht="15.75" thickBot="1">
      <c r="A201" s="494"/>
      <c r="B201" s="494"/>
      <c r="C201" s="4" t="s">
        <v>16308</v>
      </c>
      <c r="D201" s="498">
        <v>0</v>
      </c>
      <c r="E201" s="498">
        <v>0</v>
      </c>
      <c r="F201" s="501">
        <v>0</v>
      </c>
      <c r="G201" s="50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11</v>
      </c>
      <c r="N201" s="494" t="s">
        <v>6344</v>
      </c>
      <c r="O201" s="4"/>
      <c r="P201" s="70"/>
      <c r="Q201" s="4"/>
    </row>
    <row r="202" spans="1:17" ht="15.75" thickBot="1">
      <c r="A202" s="494"/>
      <c r="B202" s="494"/>
      <c r="C202" s="4" t="s">
        <v>16308</v>
      </c>
      <c r="D202" s="503">
        <f t="shared" ref="D202:L202" si="123">D200+D201</f>
        <v>0</v>
      </c>
      <c r="E202" s="503">
        <f t="shared" si="123"/>
        <v>0</v>
      </c>
      <c r="F202" s="503">
        <f t="shared" si="123"/>
        <v>0</v>
      </c>
      <c r="G202" s="503">
        <f t="shared" si="123"/>
        <v>0</v>
      </c>
      <c r="H202" s="503">
        <f t="shared" si="123"/>
        <v>0</v>
      </c>
      <c r="I202" s="503">
        <f t="shared" si="123"/>
        <v>0</v>
      </c>
      <c r="J202" s="503">
        <f t="shared" si="123"/>
        <v>0</v>
      </c>
      <c r="K202" s="503">
        <f t="shared" si="123"/>
        <v>0</v>
      </c>
      <c r="L202" s="503">
        <f t="shared" si="123"/>
        <v>4806</v>
      </c>
      <c r="N202" s="494"/>
      <c r="O202" s="4"/>
      <c r="P202" s="70"/>
      <c r="Q202" s="4"/>
    </row>
    <row r="203" spans="1:17">
      <c r="A203" s="494" t="s">
        <v>7019</v>
      </c>
      <c r="B203" s="494" t="s">
        <v>4376</v>
      </c>
      <c r="C203" s="4" t="s">
        <v>16312</v>
      </c>
      <c r="D203" s="497">
        <v>0</v>
      </c>
      <c r="E203" s="497">
        <v>0</v>
      </c>
      <c r="F203" s="497">
        <v>0</v>
      </c>
      <c r="G203" s="497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5553</v>
      </c>
      <c r="N203" s="494" t="s">
        <v>6340</v>
      </c>
      <c r="O203" s="4"/>
      <c r="P203" s="70"/>
      <c r="Q203" s="4"/>
    </row>
    <row r="204" spans="1:17" ht="15.75" thickBot="1">
      <c r="A204" s="494"/>
      <c r="B204" s="494"/>
      <c r="C204" s="4" t="s">
        <v>16312</v>
      </c>
      <c r="D204" s="498">
        <v>0</v>
      </c>
      <c r="E204" s="498">
        <v>0</v>
      </c>
      <c r="F204" s="501">
        <v>0</v>
      </c>
      <c r="G204" s="50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N204" s="494" t="s">
        <v>6344</v>
      </c>
      <c r="O204" s="4"/>
      <c r="P204" s="70"/>
      <c r="Q204" s="4"/>
    </row>
    <row r="205" spans="1:17" ht="15.75" thickBot="1">
      <c r="A205" s="494"/>
      <c r="B205" s="494"/>
      <c r="C205" s="4" t="s">
        <v>16312</v>
      </c>
      <c r="D205" s="503">
        <f t="shared" ref="D205:L205" si="124">D203+D204</f>
        <v>0</v>
      </c>
      <c r="E205" s="503">
        <f t="shared" si="124"/>
        <v>0</v>
      </c>
      <c r="F205" s="503">
        <f t="shared" si="124"/>
        <v>0</v>
      </c>
      <c r="G205" s="503">
        <f t="shared" si="124"/>
        <v>0</v>
      </c>
      <c r="H205" s="503">
        <f t="shared" si="124"/>
        <v>0</v>
      </c>
      <c r="I205" s="503">
        <f t="shared" si="124"/>
        <v>0</v>
      </c>
      <c r="J205" s="503">
        <f t="shared" si="124"/>
        <v>0</v>
      </c>
      <c r="K205" s="503">
        <f t="shared" si="124"/>
        <v>0</v>
      </c>
      <c r="L205" s="503">
        <f t="shared" si="124"/>
        <v>5553</v>
      </c>
      <c r="N205" s="494"/>
      <c r="O205" s="4"/>
      <c r="P205" s="70"/>
      <c r="Q205" s="4"/>
    </row>
    <row r="206" spans="1:17">
      <c r="A206" s="494" t="s">
        <v>7021</v>
      </c>
      <c r="B206" s="494" t="s">
        <v>4377</v>
      </c>
      <c r="C206" s="4" t="s">
        <v>16313</v>
      </c>
      <c r="D206" s="497">
        <v>0</v>
      </c>
      <c r="E206" s="497">
        <v>0</v>
      </c>
      <c r="F206" s="497">
        <v>0</v>
      </c>
      <c r="G206" s="497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2273</v>
      </c>
      <c r="N206" s="494" t="s">
        <v>6340</v>
      </c>
      <c r="O206" s="4"/>
      <c r="P206" s="70"/>
      <c r="Q206" s="4"/>
    </row>
    <row r="207" spans="1:17">
      <c r="A207" s="494" t="s">
        <v>7023</v>
      </c>
      <c r="B207" s="494" t="s">
        <v>16314</v>
      </c>
      <c r="C207" s="4" t="s">
        <v>16315</v>
      </c>
      <c r="D207" s="497">
        <v>0</v>
      </c>
      <c r="E207" s="497">
        <v>0</v>
      </c>
      <c r="F207" s="497">
        <v>0</v>
      </c>
      <c r="G207" s="497">
        <v>0</v>
      </c>
      <c r="H207" s="497">
        <v>0</v>
      </c>
      <c r="I207" s="497">
        <v>0</v>
      </c>
      <c r="J207" s="497">
        <v>0</v>
      </c>
      <c r="K207" s="497">
        <v>0</v>
      </c>
      <c r="L207" s="31">
        <v>2238</v>
      </c>
      <c r="N207" s="494" t="s">
        <v>6340</v>
      </c>
      <c r="O207" s="4"/>
      <c r="P207" s="70"/>
      <c r="Q207" s="4"/>
    </row>
    <row r="208" spans="1:17">
      <c r="A208" s="494" t="s">
        <v>7025</v>
      </c>
      <c r="B208" s="494" t="s">
        <v>16319</v>
      </c>
      <c r="C208" s="4" t="s">
        <v>16316</v>
      </c>
      <c r="D208" s="497">
        <v>0</v>
      </c>
      <c r="E208" s="497">
        <v>0</v>
      </c>
      <c r="F208" s="497">
        <v>0</v>
      </c>
      <c r="G208" s="497">
        <v>0</v>
      </c>
      <c r="H208" s="497">
        <v>0</v>
      </c>
      <c r="I208" s="497">
        <v>0</v>
      </c>
      <c r="J208" s="497">
        <v>0</v>
      </c>
      <c r="K208" s="497">
        <v>0</v>
      </c>
      <c r="L208" s="31">
        <v>8351</v>
      </c>
      <c r="N208" s="494" t="s">
        <v>6340</v>
      </c>
      <c r="O208" s="4"/>
      <c r="P208" s="70"/>
      <c r="Q208" s="4"/>
    </row>
    <row r="209" spans="1:17">
      <c r="A209" s="494" t="s">
        <v>7570</v>
      </c>
      <c r="B209" s="494" t="s">
        <v>4378</v>
      </c>
      <c r="C209" s="4" t="s">
        <v>16317</v>
      </c>
      <c r="D209" s="497">
        <v>0</v>
      </c>
      <c r="E209" s="497">
        <v>0</v>
      </c>
      <c r="F209" s="497">
        <v>0</v>
      </c>
      <c r="G209" s="497">
        <v>0</v>
      </c>
      <c r="H209" s="497">
        <v>0</v>
      </c>
      <c r="I209" s="497">
        <v>0</v>
      </c>
      <c r="J209" s="497">
        <v>0</v>
      </c>
      <c r="K209" s="497">
        <v>0</v>
      </c>
      <c r="L209" s="31">
        <v>8739</v>
      </c>
      <c r="N209" s="494" t="s">
        <v>6340</v>
      </c>
      <c r="O209" s="4"/>
      <c r="P209" s="70"/>
      <c r="Q209" s="4"/>
    </row>
    <row r="210" spans="1:17">
      <c r="A210" s="494" t="s">
        <v>7572</v>
      </c>
      <c r="B210" s="494" t="s">
        <v>16320</v>
      </c>
      <c r="C210" s="4" t="s">
        <v>16318</v>
      </c>
      <c r="D210" s="497">
        <v>0</v>
      </c>
      <c r="E210" s="497">
        <v>0</v>
      </c>
      <c r="F210" s="497">
        <v>0</v>
      </c>
      <c r="G210" s="497">
        <v>0</v>
      </c>
      <c r="H210" s="497">
        <v>0</v>
      </c>
      <c r="I210" s="497">
        <v>0</v>
      </c>
      <c r="J210" s="497">
        <v>0</v>
      </c>
      <c r="K210" s="497">
        <v>0</v>
      </c>
      <c r="L210" s="31">
        <v>7792</v>
      </c>
      <c r="N210" s="494" t="s">
        <v>6340</v>
      </c>
      <c r="O210" s="4"/>
      <c r="P210" s="71"/>
      <c r="Q210" s="4"/>
    </row>
    <row r="211" spans="1:17">
      <c r="A211" s="494" t="s">
        <v>7573</v>
      </c>
      <c r="B211" s="494" t="s">
        <v>16321</v>
      </c>
      <c r="C211" s="4" t="s">
        <v>16311</v>
      </c>
      <c r="D211" s="501">
        <v>0</v>
      </c>
      <c r="E211" s="501">
        <v>0</v>
      </c>
      <c r="F211" s="501">
        <v>0</v>
      </c>
      <c r="G211" s="50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5223</v>
      </c>
      <c r="N211" s="494" t="s">
        <v>6344</v>
      </c>
      <c r="O211" s="4"/>
      <c r="P211" s="70"/>
    </row>
    <row r="212" spans="1:17">
      <c r="A212" s="494" t="s">
        <v>5798</v>
      </c>
      <c r="B212" s="494" t="s">
        <v>16322</v>
      </c>
      <c r="C212" s="4" t="s">
        <v>16323</v>
      </c>
      <c r="D212" s="497">
        <v>0</v>
      </c>
      <c r="E212" s="497">
        <v>0</v>
      </c>
      <c r="F212" s="497">
        <v>0</v>
      </c>
      <c r="G212" s="497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3010</v>
      </c>
      <c r="N212" s="494" t="s">
        <v>6340</v>
      </c>
      <c r="O212" s="4"/>
      <c r="P212" s="71"/>
    </row>
    <row r="213" spans="1:17" ht="15.75" thickBot="1">
      <c r="A213" s="494"/>
      <c r="B213" s="494"/>
      <c r="C213" s="4" t="s">
        <v>16323</v>
      </c>
      <c r="D213" s="498">
        <v>0</v>
      </c>
      <c r="E213" s="498">
        <v>0</v>
      </c>
      <c r="F213" s="501">
        <v>0</v>
      </c>
      <c r="G213" s="50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0</v>
      </c>
      <c r="N213" s="494" t="s">
        <v>6344</v>
      </c>
      <c r="O213" s="4"/>
      <c r="Q213" s="4"/>
    </row>
    <row r="214" spans="1:17" ht="15.75" thickBot="1">
      <c r="A214" s="494"/>
      <c r="B214" s="494"/>
      <c r="C214" s="4" t="s">
        <v>16323</v>
      </c>
      <c r="D214" s="503">
        <f t="shared" ref="D214:L214" si="125">D212+D213</f>
        <v>0</v>
      </c>
      <c r="E214" s="503">
        <f t="shared" si="125"/>
        <v>0</v>
      </c>
      <c r="F214" s="503">
        <f t="shared" si="125"/>
        <v>0</v>
      </c>
      <c r="G214" s="503">
        <f t="shared" si="125"/>
        <v>0</v>
      </c>
      <c r="H214" s="503">
        <f t="shared" si="125"/>
        <v>0</v>
      </c>
      <c r="I214" s="503">
        <f t="shared" si="125"/>
        <v>0</v>
      </c>
      <c r="J214" s="503">
        <f t="shared" si="125"/>
        <v>0</v>
      </c>
      <c r="K214" s="503">
        <f t="shared" si="125"/>
        <v>0</v>
      </c>
      <c r="L214" s="503">
        <f t="shared" si="125"/>
        <v>3010</v>
      </c>
      <c r="N214" s="494"/>
      <c r="O214" s="4"/>
      <c r="P214" s="70"/>
      <c r="Q214" s="4"/>
    </row>
    <row r="215" spans="1:17">
      <c r="A215" s="494" t="s">
        <v>5799</v>
      </c>
      <c r="B215" s="494" t="s">
        <v>16324</v>
      </c>
      <c r="C215" s="4" t="s">
        <v>16325</v>
      </c>
      <c r="D215" s="497">
        <v>0</v>
      </c>
      <c r="E215" s="497">
        <v>0</v>
      </c>
      <c r="F215" s="497">
        <v>0</v>
      </c>
      <c r="G215" s="497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5524</v>
      </c>
      <c r="N215" s="494" t="s">
        <v>6344</v>
      </c>
      <c r="O215" s="4"/>
      <c r="P215" s="70"/>
      <c r="Q215" s="4"/>
    </row>
    <row r="216" spans="1:17">
      <c r="A216" s="494" t="s">
        <v>5801</v>
      </c>
      <c r="B216" s="494" t="s">
        <v>16327</v>
      </c>
      <c r="C216" s="4" t="s">
        <v>16326</v>
      </c>
      <c r="D216" s="497">
        <v>0</v>
      </c>
      <c r="E216" s="497">
        <v>0</v>
      </c>
      <c r="F216" s="497">
        <v>0</v>
      </c>
      <c r="G216" s="497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8243</v>
      </c>
      <c r="N216" s="494" t="s">
        <v>6344</v>
      </c>
      <c r="O216" s="4"/>
      <c r="P216" s="70"/>
      <c r="Q216" s="4"/>
    </row>
    <row r="217" spans="1:17">
      <c r="D217" s="500"/>
      <c r="E217" s="500"/>
      <c r="F217" s="500"/>
      <c r="G217" s="500"/>
      <c r="H217" s="500"/>
      <c r="I217" s="500"/>
      <c r="J217" s="500"/>
      <c r="K217" s="500"/>
      <c r="L217" s="500"/>
      <c r="O217" s="4"/>
      <c r="P217" s="70"/>
      <c r="Q217" s="4"/>
    </row>
    <row r="218" spans="1:17">
      <c r="A218" s="494" t="s">
        <v>6340</v>
      </c>
      <c r="D218" s="497">
        <f t="shared" ref="D218:J218" si="126">D177+SUM(D180:D185)+D188+SUM(D192:D194)+D200+D203+SUM(D206:D210)+D212</f>
        <v>80273</v>
      </c>
      <c r="E218" s="497">
        <f t="shared" si="126"/>
        <v>79134</v>
      </c>
      <c r="F218" s="497">
        <f t="shared" si="126"/>
        <v>79193</v>
      </c>
      <c r="G218" s="497">
        <f t="shared" si="126"/>
        <v>80044</v>
      </c>
      <c r="H218" s="497">
        <f t="shared" si="126"/>
        <v>82892</v>
      </c>
      <c r="I218" s="497">
        <f t="shared" si="126"/>
        <v>81475</v>
      </c>
      <c r="J218" s="497">
        <f t="shared" si="126"/>
        <v>81303</v>
      </c>
      <c r="K218" s="497">
        <f>K177+SUM(K180:K185)+K188+SUM(K192:K194)+K200+K203+SUM(K206:K210)+K212</f>
        <v>83209</v>
      </c>
      <c r="L218" s="497">
        <f>L177+SUM(L180:L185)+L188+SUM(L192:L194)+L200+L203+SUM(L206:L210)+L212</f>
        <v>83371</v>
      </c>
      <c r="O218" s="4"/>
      <c r="P218" s="71"/>
      <c r="Q218" s="4"/>
    </row>
    <row r="219" spans="1:17">
      <c r="A219" s="494" t="s">
        <v>7818</v>
      </c>
      <c r="D219" s="497">
        <f t="shared" ref="D219:J219" si="127">D178+D186+D189+D191+D195+SUM(D197:D199)+D201+D204+D211+D213+D215+D216</f>
        <v>43120</v>
      </c>
      <c r="E219" s="497">
        <f t="shared" si="127"/>
        <v>42693</v>
      </c>
      <c r="F219" s="497">
        <f t="shared" si="127"/>
        <v>42407</v>
      </c>
      <c r="G219" s="497">
        <f t="shared" si="127"/>
        <v>42535</v>
      </c>
      <c r="H219" s="497">
        <f t="shared" si="127"/>
        <v>43570</v>
      </c>
      <c r="I219" s="497">
        <f t="shared" si="127"/>
        <v>43271</v>
      </c>
      <c r="J219" s="497">
        <f t="shared" si="127"/>
        <v>42770</v>
      </c>
      <c r="K219" s="497">
        <f>K178+K186+K189+K191+K195+SUM(K197:K199)+K201+K204+K211+K213+K215+K216</f>
        <v>44033</v>
      </c>
      <c r="L219" s="497">
        <f>L178+L186+L189+L191+L195+SUM(L197:L199)+L201+L204+L211+L213+L215+L216</f>
        <v>44027</v>
      </c>
      <c r="O219" s="4"/>
      <c r="P219" s="71"/>
      <c r="Q219" s="4"/>
    </row>
    <row r="220" spans="1:17">
      <c r="A220" s="494"/>
      <c r="B220" s="494"/>
      <c r="D220" s="504"/>
      <c r="E220" s="504"/>
      <c r="F220" s="504"/>
      <c r="G220" s="504"/>
      <c r="H220" s="504"/>
      <c r="I220" s="504"/>
      <c r="J220" s="504"/>
      <c r="K220" s="504"/>
      <c r="L220" s="504"/>
      <c r="O220" s="4"/>
      <c r="P220" s="71"/>
      <c r="Q220" s="4"/>
    </row>
    <row r="221" spans="1:17">
      <c r="A221" s="495" t="s">
        <v>16289</v>
      </c>
      <c r="B221" s="494"/>
      <c r="D221" s="504"/>
      <c r="E221" s="504"/>
      <c r="F221" s="504"/>
      <c r="G221" s="504"/>
      <c r="H221" s="504"/>
      <c r="I221" s="504"/>
      <c r="J221" s="504"/>
      <c r="K221" s="504"/>
      <c r="L221" s="504"/>
      <c r="O221" s="4"/>
      <c r="P221" s="71"/>
      <c r="Q221" s="4"/>
    </row>
    <row r="222" spans="1:17">
      <c r="A222" s="494"/>
      <c r="B222" s="494"/>
      <c r="D222" s="504"/>
      <c r="E222" s="504"/>
      <c r="F222" s="504"/>
      <c r="G222" s="504"/>
      <c r="H222" s="504"/>
      <c r="I222" s="504"/>
      <c r="J222" s="504"/>
      <c r="K222" s="504"/>
      <c r="L222" s="504"/>
      <c r="O222" s="4"/>
      <c r="P222" s="71"/>
      <c r="Q222" s="4"/>
    </row>
    <row r="223" spans="1:17">
      <c r="A223" s="494"/>
      <c r="B223" s="494"/>
      <c r="D223" s="504"/>
      <c r="E223" s="504"/>
      <c r="F223" s="504"/>
      <c r="G223" s="504"/>
      <c r="H223" s="504"/>
      <c r="I223" s="504"/>
      <c r="J223" s="504"/>
      <c r="K223" s="504"/>
      <c r="L223" s="504"/>
      <c r="O223" s="4"/>
      <c r="P223" s="71"/>
      <c r="Q223" s="4"/>
    </row>
    <row r="224" spans="1:17">
      <c r="E224" s="42" t="s">
        <v>2303</v>
      </c>
      <c r="F224" s="42"/>
      <c r="G224" s="42"/>
      <c r="H224" s="42"/>
      <c r="I224" s="42"/>
      <c r="J224" s="42"/>
      <c r="K224" s="42"/>
      <c r="L224" s="42"/>
      <c r="M224" s="25"/>
      <c r="N224" s="25" t="s">
        <v>13319</v>
      </c>
      <c r="O224" s="4"/>
      <c r="P224" s="71"/>
      <c r="Q224" s="4"/>
    </row>
    <row r="225" spans="1:17">
      <c r="D225" s="24">
        <v>2010</v>
      </c>
      <c r="E225" s="24">
        <v>2011</v>
      </c>
      <c r="F225" s="24">
        <v>2012</v>
      </c>
      <c r="G225" s="24">
        <v>2013</v>
      </c>
      <c r="H225" s="24">
        <v>2014</v>
      </c>
      <c r="I225" s="24">
        <v>2015</v>
      </c>
      <c r="J225" s="24">
        <v>2016</v>
      </c>
      <c r="K225" s="24">
        <v>2017</v>
      </c>
      <c r="L225" s="24">
        <v>2018</v>
      </c>
      <c r="N225" s="29" t="s">
        <v>2304</v>
      </c>
      <c r="O225" s="4"/>
      <c r="P225" s="71"/>
      <c r="Q225" s="4"/>
    </row>
    <row r="226" spans="1:17">
      <c r="A226" s="494" t="s">
        <v>7880</v>
      </c>
      <c r="D226" s="497">
        <f t="shared" ref="D226:J226" si="128">SUM(D227:D244)+SUM(D246:D254)</f>
        <v>105655</v>
      </c>
      <c r="E226" s="497">
        <f t="shared" si="128"/>
        <v>107705</v>
      </c>
      <c r="F226" s="497">
        <f t="shared" si="128"/>
        <v>109091</v>
      </c>
      <c r="G226" s="497">
        <f t="shared" si="128"/>
        <v>109442</v>
      </c>
      <c r="H226" s="497">
        <f t="shared" si="128"/>
        <v>110714</v>
      </c>
      <c r="I226" s="497">
        <f t="shared" si="128"/>
        <v>110709</v>
      </c>
      <c r="J226" s="497">
        <f t="shared" si="128"/>
        <v>110289</v>
      </c>
      <c r="K226" s="497">
        <f>SUM(K227:K244)+SUM(K246:K254)</f>
        <v>113361</v>
      </c>
      <c r="L226" s="497">
        <f>SUM(L227:L244)+SUM(L246:L254)</f>
        <v>112913</v>
      </c>
      <c r="O226" s="4"/>
      <c r="P226" s="71"/>
      <c r="Q226" s="4"/>
    </row>
    <row r="227" spans="1:17">
      <c r="A227" s="494" t="s">
        <v>6957</v>
      </c>
      <c r="B227" s="494" t="s">
        <v>7881</v>
      </c>
      <c r="C227" s="4" t="s">
        <v>16329</v>
      </c>
      <c r="D227" s="497">
        <v>33040</v>
      </c>
      <c r="E227" s="497">
        <v>33736</v>
      </c>
      <c r="F227" s="497">
        <v>34217</v>
      </c>
      <c r="G227" s="31">
        <v>34085</v>
      </c>
      <c r="H227" s="31">
        <v>34395</v>
      </c>
      <c r="I227" s="31">
        <v>34558</v>
      </c>
      <c r="J227" s="31">
        <v>34412</v>
      </c>
      <c r="K227" s="31">
        <v>35473</v>
      </c>
      <c r="L227" s="31">
        <v>2896</v>
      </c>
      <c r="N227" s="494" t="s">
        <v>6349</v>
      </c>
      <c r="P227" s="71"/>
    </row>
    <row r="228" spans="1:17">
      <c r="A228" s="494" t="s">
        <v>6959</v>
      </c>
      <c r="B228" s="494" t="s">
        <v>7882</v>
      </c>
      <c r="C228" s="4" t="s">
        <v>16330</v>
      </c>
      <c r="D228" s="497">
        <v>72615</v>
      </c>
      <c r="E228" s="497">
        <v>73969</v>
      </c>
      <c r="F228" s="497">
        <v>74874</v>
      </c>
      <c r="G228" s="30">
        <v>75357</v>
      </c>
      <c r="H228" s="30">
        <v>76319</v>
      </c>
      <c r="I228" s="30">
        <v>76151</v>
      </c>
      <c r="J228" s="30">
        <v>75877</v>
      </c>
      <c r="K228" s="30">
        <v>77888</v>
      </c>
      <c r="L228" s="30">
        <v>2834</v>
      </c>
      <c r="N228" s="494" t="s">
        <v>6347</v>
      </c>
    </row>
    <row r="229" spans="1:17">
      <c r="A229" s="494" t="s">
        <v>6961</v>
      </c>
      <c r="B229" s="494" t="s">
        <v>16331</v>
      </c>
      <c r="C229" s="4" t="s">
        <v>16332</v>
      </c>
      <c r="D229" s="497">
        <v>0</v>
      </c>
      <c r="E229" s="497">
        <v>0</v>
      </c>
      <c r="F229" s="497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2601</v>
      </c>
      <c r="N229" s="494" t="s">
        <v>6347</v>
      </c>
    </row>
    <row r="230" spans="1:17">
      <c r="A230" s="494" t="s">
        <v>6963</v>
      </c>
      <c r="B230" s="494" t="s">
        <v>7883</v>
      </c>
      <c r="C230" s="4" t="s">
        <v>16333</v>
      </c>
      <c r="D230" s="497">
        <v>0</v>
      </c>
      <c r="E230" s="497">
        <v>0</v>
      </c>
      <c r="F230" s="497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2865</v>
      </c>
      <c r="N230" s="494" t="s">
        <v>6347</v>
      </c>
    </row>
    <row r="231" spans="1:17">
      <c r="A231" s="494" t="s">
        <v>6965</v>
      </c>
      <c r="B231" s="494" t="s">
        <v>7884</v>
      </c>
      <c r="C231" s="4" t="s">
        <v>16334</v>
      </c>
      <c r="D231" s="497">
        <v>0</v>
      </c>
      <c r="E231" s="497">
        <v>0</v>
      </c>
      <c r="F231" s="497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2586</v>
      </c>
      <c r="N231" s="494" t="s">
        <v>6347</v>
      </c>
    </row>
    <row r="232" spans="1:17">
      <c r="A232" s="494" t="s">
        <v>6997</v>
      </c>
      <c r="B232" s="494" t="s">
        <v>16335</v>
      </c>
      <c r="C232" s="4" t="s">
        <v>16336</v>
      </c>
      <c r="D232" s="497">
        <v>0</v>
      </c>
      <c r="E232" s="497">
        <v>0</v>
      </c>
      <c r="F232" s="497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6354</v>
      </c>
      <c r="N232" s="494" t="s">
        <v>6347</v>
      </c>
    </row>
    <row r="233" spans="1:17">
      <c r="A233" s="494" t="s">
        <v>6999</v>
      </c>
      <c r="B233" s="494" t="s">
        <v>16337</v>
      </c>
      <c r="C233" s="4" t="s">
        <v>16338</v>
      </c>
      <c r="D233" s="497">
        <v>0</v>
      </c>
      <c r="E233" s="497">
        <v>0</v>
      </c>
      <c r="F233" s="497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4638</v>
      </c>
      <c r="N233" s="494" t="s">
        <v>6347</v>
      </c>
    </row>
    <row r="234" spans="1:17">
      <c r="A234" s="494" t="s">
        <v>7001</v>
      </c>
      <c r="B234" s="494" t="s">
        <v>7885</v>
      </c>
      <c r="C234" s="4" t="s">
        <v>16339</v>
      </c>
      <c r="D234" s="501">
        <v>0</v>
      </c>
      <c r="E234" s="501">
        <v>0</v>
      </c>
      <c r="F234" s="501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4916</v>
      </c>
      <c r="N234" s="494" t="s">
        <v>6347</v>
      </c>
    </row>
    <row r="235" spans="1:17">
      <c r="A235" s="494" t="s">
        <v>7003</v>
      </c>
      <c r="B235" s="494" t="s">
        <v>7886</v>
      </c>
      <c r="C235" s="4" t="s">
        <v>16340</v>
      </c>
      <c r="D235" s="497">
        <v>0</v>
      </c>
      <c r="E235" s="497">
        <v>0</v>
      </c>
      <c r="F235" s="497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2686</v>
      </c>
      <c r="N235" s="494" t="s">
        <v>6347</v>
      </c>
    </row>
    <row r="236" spans="1:17">
      <c r="A236" s="494" t="s">
        <v>7005</v>
      </c>
      <c r="B236" s="494" t="s">
        <v>16341</v>
      </c>
      <c r="C236" s="4" t="s">
        <v>16342</v>
      </c>
      <c r="D236" s="497">
        <v>0</v>
      </c>
      <c r="E236" s="497">
        <v>0</v>
      </c>
      <c r="F236" s="497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7434</v>
      </c>
      <c r="N236" s="494" t="s">
        <v>6349</v>
      </c>
    </row>
    <row r="237" spans="1:17">
      <c r="A237" s="494" t="s">
        <v>7007</v>
      </c>
      <c r="B237" s="494" t="s">
        <v>16343</v>
      </c>
      <c r="C237" s="4" t="s">
        <v>16344</v>
      </c>
      <c r="D237" s="497">
        <v>0</v>
      </c>
      <c r="E237" s="497">
        <v>0</v>
      </c>
      <c r="F237" s="497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  <c r="L237" s="31">
        <v>2611</v>
      </c>
      <c r="N237" s="494" t="s">
        <v>6347</v>
      </c>
    </row>
    <row r="238" spans="1:17">
      <c r="A238" s="494" t="s">
        <v>7009</v>
      </c>
      <c r="B238" s="494" t="s">
        <v>7887</v>
      </c>
      <c r="C238" s="4" t="s">
        <v>16345</v>
      </c>
      <c r="D238" s="497">
        <v>0</v>
      </c>
      <c r="E238" s="497">
        <v>0</v>
      </c>
      <c r="F238" s="497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2915</v>
      </c>
      <c r="N238" s="494" t="s">
        <v>6347</v>
      </c>
      <c r="O238" s="4"/>
      <c r="Q238" s="4"/>
    </row>
    <row r="239" spans="1:17">
      <c r="A239" s="494" t="s">
        <v>7011</v>
      </c>
      <c r="B239" s="494" t="s">
        <v>7888</v>
      </c>
      <c r="C239" s="4" t="s">
        <v>16346</v>
      </c>
      <c r="D239" s="497">
        <v>0</v>
      </c>
      <c r="E239" s="497">
        <v>0</v>
      </c>
      <c r="F239" s="497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3815</v>
      </c>
      <c r="N239" s="494" t="s">
        <v>6347</v>
      </c>
      <c r="O239" s="4"/>
      <c r="Q239" s="4"/>
    </row>
    <row r="240" spans="1:17">
      <c r="A240" s="494" t="s">
        <v>7013</v>
      </c>
      <c r="B240" s="494" t="s">
        <v>7889</v>
      </c>
      <c r="C240" s="4" t="s">
        <v>16347</v>
      </c>
      <c r="D240" s="497">
        <v>0</v>
      </c>
      <c r="E240" s="497">
        <v>0</v>
      </c>
      <c r="F240" s="497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2415</v>
      </c>
      <c r="N240" s="494" t="s">
        <v>6347</v>
      </c>
      <c r="O240" s="4"/>
      <c r="Q240" s="4"/>
    </row>
    <row r="241" spans="1:17">
      <c r="A241" s="494" t="s">
        <v>7015</v>
      </c>
      <c r="B241" s="494" t="s">
        <v>16348</v>
      </c>
      <c r="C241" s="4" t="s">
        <v>16349</v>
      </c>
      <c r="D241" s="497">
        <v>0</v>
      </c>
      <c r="E241" s="497">
        <v>0</v>
      </c>
      <c r="F241" s="497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7111</v>
      </c>
      <c r="N241" s="494" t="s">
        <v>6347</v>
      </c>
      <c r="O241" s="4"/>
      <c r="Q241" s="4"/>
    </row>
    <row r="242" spans="1:17">
      <c r="A242" s="494" t="s">
        <v>7017</v>
      </c>
      <c r="B242" s="494" t="s">
        <v>16350</v>
      </c>
      <c r="C242" s="4" t="s">
        <v>16351</v>
      </c>
      <c r="D242" s="497">
        <v>0</v>
      </c>
      <c r="E242" s="497">
        <v>0</v>
      </c>
      <c r="F242" s="497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7859</v>
      </c>
      <c r="N242" s="494" t="s">
        <v>6349</v>
      </c>
      <c r="O242" s="4"/>
      <c r="Q242" s="4"/>
    </row>
    <row r="243" spans="1:17">
      <c r="A243" s="494" t="s">
        <v>7019</v>
      </c>
      <c r="B243" s="494" t="s">
        <v>7890</v>
      </c>
      <c r="C243" s="4" t="s">
        <v>16352</v>
      </c>
      <c r="D243" s="497">
        <v>0</v>
      </c>
      <c r="E243" s="497">
        <v>0</v>
      </c>
      <c r="F243" s="497">
        <v>0</v>
      </c>
      <c r="G243" s="497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1078</v>
      </c>
      <c r="N243" s="494" t="s">
        <v>6347</v>
      </c>
      <c r="O243" s="4"/>
      <c r="Q243" s="4"/>
    </row>
    <row r="244" spans="1:17" ht="15.75" thickBot="1">
      <c r="A244" s="494"/>
      <c r="B244" s="494"/>
      <c r="C244" s="4" t="s">
        <v>16352</v>
      </c>
      <c r="D244" s="498">
        <v>0</v>
      </c>
      <c r="E244" s="498">
        <v>0</v>
      </c>
      <c r="F244" s="501">
        <v>0</v>
      </c>
      <c r="G244" s="50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4472</v>
      </c>
      <c r="N244" s="494" t="s">
        <v>6349</v>
      </c>
      <c r="O244" s="4"/>
      <c r="Q244" s="4"/>
    </row>
    <row r="245" spans="1:17" ht="15.75" thickBot="1">
      <c r="A245" s="494"/>
      <c r="B245" s="494"/>
      <c r="C245" s="4" t="s">
        <v>16352</v>
      </c>
      <c r="D245" s="503">
        <f t="shared" ref="D245:L245" si="129">D243+D244</f>
        <v>0</v>
      </c>
      <c r="E245" s="503">
        <f t="shared" si="129"/>
        <v>0</v>
      </c>
      <c r="F245" s="503">
        <f t="shared" si="129"/>
        <v>0</v>
      </c>
      <c r="G245" s="503">
        <f t="shared" si="129"/>
        <v>0</v>
      </c>
      <c r="H245" s="503">
        <f t="shared" si="129"/>
        <v>0</v>
      </c>
      <c r="I245" s="503">
        <f t="shared" si="129"/>
        <v>0</v>
      </c>
      <c r="J245" s="503">
        <f t="shared" si="129"/>
        <v>0</v>
      </c>
      <c r="K245" s="503">
        <f t="shared" si="129"/>
        <v>0</v>
      </c>
      <c r="L245" s="503">
        <f t="shared" si="129"/>
        <v>5550</v>
      </c>
      <c r="N245" s="494"/>
      <c r="O245" s="4"/>
      <c r="Q245" s="4"/>
    </row>
    <row r="246" spans="1:17">
      <c r="A246" s="494" t="s">
        <v>7021</v>
      </c>
      <c r="B246" s="494" t="s">
        <v>7891</v>
      </c>
      <c r="C246" s="4" t="s">
        <v>16353</v>
      </c>
      <c r="D246" s="497">
        <v>0</v>
      </c>
      <c r="E246" s="497">
        <v>0</v>
      </c>
      <c r="F246" s="497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3502</v>
      </c>
      <c r="N246" s="494" t="s">
        <v>6347</v>
      </c>
      <c r="O246" s="4"/>
      <c r="Q246" s="4"/>
    </row>
    <row r="247" spans="1:17">
      <c r="A247" s="494" t="s">
        <v>7023</v>
      </c>
      <c r="B247" s="494" t="s">
        <v>7892</v>
      </c>
      <c r="C247" s="4" t="s">
        <v>16354</v>
      </c>
      <c r="D247" s="497">
        <v>0</v>
      </c>
      <c r="E247" s="497">
        <v>0</v>
      </c>
      <c r="F247" s="497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6101</v>
      </c>
      <c r="N247" s="494" t="s">
        <v>6347</v>
      </c>
      <c r="O247" s="4"/>
      <c r="Q247" s="4"/>
    </row>
    <row r="248" spans="1:17">
      <c r="A248" s="494" t="s">
        <v>7025</v>
      </c>
      <c r="B248" s="494" t="s">
        <v>16355</v>
      </c>
      <c r="C248" s="4" t="s">
        <v>16356</v>
      </c>
      <c r="D248" s="497">
        <v>0</v>
      </c>
      <c r="E248" s="497">
        <v>0</v>
      </c>
      <c r="F248" s="497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7172</v>
      </c>
      <c r="N248" s="494" t="s">
        <v>6349</v>
      </c>
      <c r="O248" s="4"/>
      <c r="Q248" s="4"/>
    </row>
    <row r="249" spans="1:17">
      <c r="A249" s="494" t="s">
        <v>7570</v>
      </c>
      <c r="B249" s="494" t="s">
        <v>16357</v>
      </c>
      <c r="C249" s="4" t="s">
        <v>16358</v>
      </c>
      <c r="D249" s="497">
        <v>0</v>
      </c>
      <c r="E249" s="497">
        <v>0</v>
      </c>
      <c r="F249" s="497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5365</v>
      </c>
      <c r="N249" s="494" t="s">
        <v>6349</v>
      </c>
      <c r="O249" s="4"/>
      <c r="Q249" s="4"/>
    </row>
    <row r="250" spans="1:17">
      <c r="A250" s="494" t="s">
        <v>7572</v>
      </c>
      <c r="B250" s="494" t="s">
        <v>7894</v>
      </c>
      <c r="C250" s="4" t="s">
        <v>16359</v>
      </c>
      <c r="D250" s="497">
        <v>0</v>
      </c>
      <c r="E250" s="497">
        <v>0</v>
      </c>
      <c r="F250" s="497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5349</v>
      </c>
      <c r="N250" s="494" t="s">
        <v>6347</v>
      </c>
      <c r="O250" s="4"/>
      <c r="Q250" s="4"/>
    </row>
    <row r="251" spans="1:17">
      <c r="A251" s="494" t="s">
        <v>7573</v>
      </c>
      <c r="B251" s="494" t="s">
        <v>16361</v>
      </c>
      <c r="C251" s="4" t="s">
        <v>16360</v>
      </c>
      <c r="D251" s="497">
        <v>0</v>
      </c>
      <c r="E251" s="497">
        <v>0</v>
      </c>
      <c r="F251" s="497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5421</v>
      </c>
      <c r="N251" s="494" t="s">
        <v>6347</v>
      </c>
      <c r="O251" s="4"/>
      <c r="Q251" s="4"/>
    </row>
    <row r="252" spans="1:17">
      <c r="A252" s="494" t="s">
        <v>5798</v>
      </c>
      <c r="B252" s="494" t="s">
        <v>7895</v>
      </c>
      <c r="C252" s="4" t="s">
        <v>16362</v>
      </c>
      <c r="D252" s="497">
        <v>0</v>
      </c>
      <c r="E252" s="497">
        <v>0</v>
      </c>
      <c r="F252" s="497">
        <v>0</v>
      </c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2613</v>
      </c>
      <c r="N252" s="494" t="s">
        <v>6347</v>
      </c>
      <c r="O252" s="4"/>
      <c r="Q252" s="4"/>
    </row>
    <row r="253" spans="1:17">
      <c r="A253" s="494" t="s">
        <v>5799</v>
      </c>
      <c r="B253" s="494" t="s">
        <v>7896</v>
      </c>
      <c r="C253" s="4" t="s">
        <v>16363</v>
      </c>
      <c r="D253" s="497">
        <v>0</v>
      </c>
      <c r="E253" s="497">
        <v>0</v>
      </c>
      <c r="F253" s="497">
        <v>0</v>
      </c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2690</v>
      </c>
      <c r="N253" s="494" t="s">
        <v>6347</v>
      </c>
      <c r="O253" s="4"/>
      <c r="Q253" s="4"/>
    </row>
    <row r="254" spans="1:17">
      <c r="A254" s="494" t="s">
        <v>5801</v>
      </c>
      <c r="B254" s="494" t="s">
        <v>7900</v>
      </c>
      <c r="C254" s="4" t="s">
        <v>16364</v>
      </c>
      <c r="D254" s="497">
        <v>0</v>
      </c>
      <c r="E254" s="497">
        <v>0</v>
      </c>
      <c r="F254" s="497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2614</v>
      </c>
      <c r="N254" s="494" t="s">
        <v>6347</v>
      </c>
      <c r="O254" s="4"/>
      <c r="Q254" s="4"/>
    </row>
    <row r="255" spans="1:17">
      <c r="D255" s="500"/>
      <c r="E255" s="500"/>
      <c r="F255" s="500"/>
      <c r="G255" s="500"/>
      <c r="H255" s="500"/>
      <c r="I255" s="500"/>
      <c r="J255" s="500"/>
      <c r="K255" s="500"/>
      <c r="L255" s="500"/>
      <c r="O255" s="4"/>
      <c r="Q255" s="4"/>
    </row>
    <row r="256" spans="1:17">
      <c r="A256" s="494" t="s">
        <v>8817</v>
      </c>
      <c r="D256" s="497">
        <f t="shared" ref="D256:J256" si="130">SUM(D228:D235)+SUM(D237:D243)+D246+D247+SUM(D249:D254)</f>
        <v>72615</v>
      </c>
      <c r="E256" s="497">
        <f t="shared" si="130"/>
        <v>73969</v>
      </c>
      <c r="F256" s="497">
        <f t="shared" si="130"/>
        <v>74874</v>
      </c>
      <c r="G256" s="497">
        <f t="shared" si="130"/>
        <v>75357</v>
      </c>
      <c r="H256" s="497">
        <f t="shared" si="130"/>
        <v>76319</v>
      </c>
      <c r="I256" s="497">
        <f t="shared" si="130"/>
        <v>76151</v>
      </c>
      <c r="J256" s="497">
        <f t="shared" si="130"/>
        <v>75877</v>
      </c>
      <c r="K256" s="497">
        <f>SUM(K228:K235)+SUM(K237:K243)+K246+K247+SUM(K249:K254)</f>
        <v>77888</v>
      </c>
      <c r="L256" s="497">
        <f>SUM(L228:L235)+SUM(L237:L241)+L243+L246+L247+SUM(L250:L254)</f>
        <v>77715</v>
      </c>
    </row>
    <row r="257" spans="1:17">
      <c r="A257" s="494" t="s">
        <v>4322</v>
      </c>
      <c r="D257" s="497">
        <f t="shared" ref="D257:J257" si="131">D227+D236+D242+D244+D248</f>
        <v>33040</v>
      </c>
      <c r="E257" s="497">
        <f t="shared" si="131"/>
        <v>33736</v>
      </c>
      <c r="F257" s="497">
        <f t="shared" si="131"/>
        <v>34217</v>
      </c>
      <c r="G257" s="497">
        <f t="shared" si="131"/>
        <v>34085</v>
      </c>
      <c r="H257" s="497">
        <f t="shared" si="131"/>
        <v>34395</v>
      </c>
      <c r="I257" s="497">
        <f t="shared" si="131"/>
        <v>34558</v>
      </c>
      <c r="J257" s="497">
        <f t="shared" si="131"/>
        <v>34412</v>
      </c>
      <c r="K257" s="497">
        <f>K227+K236+K242+K244+K248</f>
        <v>35473</v>
      </c>
      <c r="L257" s="497">
        <f>L227+L236+L242+L244+L248+L249</f>
        <v>35198</v>
      </c>
      <c r="O257" s="4"/>
      <c r="Q257" s="4"/>
    </row>
    <row r="258" spans="1:17">
      <c r="O258" s="4"/>
      <c r="Q258" s="4"/>
    </row>
    <row r="259" spans="1:17">
      <c r="A259" s="495" t="s">
        <v>16328</v>
      </c>
      <c r="O259" s="4"/>
      <c r="Q259" s="4"/>
    </row>
    <row r="260" spans="1:17">
      <c r="O260" s="4"/>
      <c r="Q260" s="4"/>
    </row>
    <row r="261" spans="1:17">
      <c r="O261" s="4"/>
      <c r="Q261" s="4"/>
    </row>
    <row r="262" spans="1:17">
      <c r="O262" s="4"/>
      <c r="Q262" s="4"/>
    </row>
    <row r="263" spans="1:17">
      <c r="O263" s="4"/>
      <c r="Q263" s="4"/>
    </row>
    <row r="264" spans="1:17">
      <c r="O264" s="4"/>
      <c r="Q264" s="4"/>
    </row>
    <row r="265" spans="1:17">
      <c r="O265" s="4"/>
      <c r="Q265" s="4"/>
    </row>
  </sheetData>
  <phoneticPr fontId="7" type="noConversion"/>
  <printOptions gridLinesSet="0"/>
  <pageMargins left="0.82677165354330717" right="0" top="0.51181102362204722" bottom="0.51181102362204722" header="0.51181102362204722" footer="0.51181102362204722"/>
  <pageSetup paperSize="9" scale="56" orientation="portrait" horizontalDpi="300" verticalDpi="300" r:id="rId1"/>
  <headerFooter alignWithMargins="0">
    <oddFooter>&amp;C&amp;"Times New Roman,Regular"&amp;8&amp;P of &amp;N</oddFooter>
  </headerFooter>
  <ignoredErrors>
    <ignoredError sqref="D90:E90 D169:E169 D143:E143 D114:E114 D135:E136 D202:E202 D106:E107 F106:F114 F202 F169:F175 F135:F143 G143:K143 G169:K169 G202 G90:K90 G114:K114 F220:F225 D3:K43 H202 I202:K202 F57 D59:J59 D55:J55 F84:F90 D64:K64 D67:K67 G106:K107 K55:K59 D50:K50 D82:K83 G135:K136 D179:K179 D187:K187 D190:K190 D196:K196 D205:K205 D214:K214 D218:K219 D176:K176 D245:K245 D256:K257 D226:K226 L3:L257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3"/>
  <sheetViews>
    <sheetView showGridLines="0" zoomScaleNormal="100" workbookViewId="0"/>
  </sheetViews>
  <sheetFormatPr defaultColWidth="12.5703125" defaultRowHeight="15"/>
  <cols>
    <col min="1" max="1" width="4.85546875" style="823" customWidth="1"/>
    <col min="2" max="2" width="40.7109375" style="823" customWidth="1"/>
    <col min="3" max="3" width="11.5703125" style="823" customWidth="1"/>
    <col min="4" max="12" width="10" style="823" customWidth="1"/>
    <col min="13" max="13" width="2.28515625" style="823" customWidth="1"/>
    <col min="14" max="14" width="30.7109375" style="823" customWidth="1"/>
    <col min="15" max="16384" width="12.5703125" style="823"/>
  </cols>
  <sheetData>
    <row r="1" spans="1:14">
      <c r="A1" s="822" t="s">
        <v>7342</v>
      </c>
      <c r="D1" s="824">
        <v>2010</v>
      </c>
      <c r="E1" s="824">
        <v>2011</v>
      </c>
      <c r="F1" s="824">
        <v>2012</v>
      </c>
      <c r="G1" s="824">
        <v>2013</v>
      </c>
      <c r="H1" s="824">
        <v>2014</v>
      </c>
      <c r="I1" s="824">
        <v>2015</v>
      </c>
      <c r="J1" s="824">
        <v>2016</v>
      </c>
      <c r="K1" s="824">
        <v>2017</v>
      </c>
      <c r="L1" s="824">
        <v>2018</v>
      </c>
    </row>
    <row r="3" spans="1:14">
      <c r="A3" s="822" t="s">
        <v>6221</v>
      </c>
      <c r="D3" s="825">
        <f t="shared" ref="D3:I3" si="0">SUM(D23:D40)</f>
        <v>135551</v>
      </c>
      <c r="E3" s="825">
        <f t="shared" si="0"/>
        <v>137175</v>
      </c>
      <c r="F3" s="825">
        <f t="shared" si="0"/>
        <v>135678</v>
      </c>
      <c r="G3" s="825">
        <f t="shared" si="0"/>
        <v>136564</v>
      </c>
      <c r="H3" s="825">
        <f t="shared" si="0"/>
        <v>135821</v>
      </c>
      <c r="I3" s="825">
        <f t="shared" si="0"/>
        <v>128411</v>
      </c>
      <c r="J3" s="825">
        <f t="shared" ref="J3:K3" si="1">SUM(J23:J40)</f>
        <v>129978</v>
      </c>
      <c r="K3" s="825">
        <f t="shared" si="1"/>
        <v>138850</v>
      </c>
      <c r="L3" s="825">
        <f t="shared" ref="L3" si="2">SUM(L23:L40)</f>
        <v>137753</v>
      </c>
    </row>
    <row r="5" spans="1:14">
      <c r="A5" s="822" t="s">
        <v>7343</v>
      </c>
      <c r="D5" s="825">
        <f t="shared" ref="D5:I5" si="3">D3/2</f>
        <v>67775.5</v>
      </c>
      <c r="E5" s="825">
        <f t="shared" si="3"/>
        <v>68587.5</v>
      </c>
      <c r="F5" s="825">
        <f t="shared" si="3"/>
        <v>67839</v>
      </c>
      <c r="G5" s="825">
        <f t="shared" si="3"/>
        <v>68282</v>
      </c>
      <c r="H5" s="825">
        <f t="shared" si="3"/>
        <v>67910.5</v>
      </c>
      <c r="I5" s="825">
        <f t="shared" si="3"/>
        <v>64205.5</v>
      </c>
      <c r="J5" s="825">
        <f t="shared" ref="J5:K5" si="4">J3/2</f>
        <v>64989</v>
      </c>
      <c r="K5" s="825">
        <f t="shared" si="4"/>
        <v>69425</v>
      </c>
      <c r="L5" s="825">
        <f t="shared" ref="L5" si="5">L3/2</f>
        <v>68876.5</v>
      </c>
    </row>
    <row r="6" spans="1:14">
      <c r="D6" s="826"/>
      <c r="E6" s="826"/>
      <c r="F6" s="826"/>
      <c r="G6" s="826"/>
      <c r="H6" s="826"/>
      <c r="I6" s="826"/>
      <c r="J6" s="826"/>
      <c r="K6" s="826"/>
      <c r="L6" s="826"/>
    </row>
    <row r="7" spans="1:14">
      <c r="A7" s="822" t="s">
        <v>6168</v>
      </c>
      <c r="D7" s="826">
        <f>BRENT!D12</f>
        <v>25969</v>
      </c>
      <c r="E7" s="826">
        <f>BRENT!E12</f>
        <v>26620</v>
      </c>
      <c r="F7" s="826">
        <f>BRENT!F12</f>
        <v>26972</v>
      </c>
      <c r="G7" s="826">
        <f>BRENT!G12</f>
        <v>27295</v>
      </c>
      <c r="H7" s="826">
        <f>BRENT!H12</f>
        <v>26355</v>
      </c>
      <c r="I7" s="826">
        <f>BRENT!I12</f>
        <v>25832</v>
      </c>
      <c r="J7" s="826">
        <f>BRENT!J12</f>
        <v>25920</v>
      </c>
      <c r="K7" s="826">
        <f>BRENT!K12</f>
        <v>26461</v>
      </c>
      <c r="L7" s="826">
        <f>BRENT!L12</f>
        <v>26993</v>
      </c>
      <c r="N7" s="823" t="s">
        <v>6166</v>
      </c>
    </row>
    <row r="8" spans="1:14" ht="15.75" thickBot="1">
      <c r="A8" s="822"/>
      <c r="D8" s="827">
        <f t="shared" ref="D8:I8" si="6">D23+D27+D28+D30+D35+D39+D40</f>
        <v>51285</v>
      </c>
      <c r="E8" s="827">
        <f t="shared" si="6"/>
        <v>51932</v>
      </c>
      <c r="F8" s="827">
        <f t="shared" si="6"/>
        <v>51272</v>
      </c>
      <c r="G8" s="827">
        <f t="shared" si="6"/>
        <v>51164</v>
      </c>
      <c r="H8" s="827">
        <f t="shared" si="6"/>
        <v>50642</v>
      </c>
      <c r="I8" s="827">
        <f t="shared" si="6"/>
        <v>48932</v>
      </c>
      <c r="J8" s="827">
        <f t="shared" ref="J8:K8" si="7">J23+J27+J28+J30+J35+J39+J40</f>
        <v>49057</v>
      </c>
      <c r="K8" s="827">
        <f t="shared" si="7"/>
        <v>53000</v>
      </c>
      <c r="L8" s="827">
        <f t="shared" ref="L8" si="8">L23+L27+L28+L30+L35+L39+L40</f>
        <v>52696</v>
      </c>
      <c r="N8" s="822" t="s">
        <v>6169</v>
      </c>
    </row>
    <row r="9" spans="1:14" ht="15.75" thickBot="1">
      <c r="A9" s="822"/>
      <c r="D9" s="828">
        <f t="shared" ref="D9:I9" si="9">D7+D8</f>
        <v>77254</v>
      </c>
      <c r="E9" s="828">
        <f t="shared" si="9"/>
        <v>78552</v>
      </c>
      <c r="F9" s="828">
        <f t="shared" si="9"/>
        <v>78244</v>
      </c>
      <c r="G9" s="828">
        <f t="shared" si="9"/>
        <v>78459</v>
      </c>
      <c r="H9" s="828">
        <f t="shared" si="9"/>
        <v>76997</v>
      </c>
      <c r="I9" s="828">
        <f t="shared" si="9"/>
        <v>74764</v>
      </c>
      <c r="J9" s="828">
        <f t="shared" ref="J9:K9" si="10">J7+J8</f>
        <v>74977</v>
      </c>
      <c r="K9" s="828">
        <f t="shared" si="10"/>
        <v>79461</v>
      </c>
      <c r="L9" s="828">
        <f t="shared" ref="L9" si="11">L7+L8</f>
        <v>79689</v>
      </c>
      <c r="N9" s="822"/>
    </row>
    <row r="10" spans="1:14">
      <c r="D10" s="826"/>
      <c r="E10" s="826"/>
      <c r="F10" s="826"/>
      <c r="G10" s="826"/>
      <c r="H10" s="826"/>
      <c r="I10" s="826"/>
      <c r="J10" s="826"/>
      <c r="K10" s="826"/>
      <c r="L10" s="826"/>
    </row>
    <row r="11" spans="1:14">
      <c r="A11" s="822" t="s">
        <v>6170</v>
      </c>
      <c r="D11" s="825">
        <f t="shared" ref="D11:I11" si="12">SUM(D24:D26)+D29+SUM(D31:D34)+SUM(D36:D38)</f>
        <v>84266</v>
      </c>
      <c r="E11" s="825">
        <f t="shared" si="12"/>
        <v>85243</v>
      </c>
      <c r="F11" s="825">
        <f t="shared" si="12"/>
        <v>84406</v>
      </c>
      <c r="G11" s="825">
        <f t="shared" si="12"/>
        <v>85400</v>
      </c>
      <c r="H11" s="825">
        <f t="shared" si="12"/>
        <v>85179</v>
      </c>
      <c r="I11" s="825">
        <f t="shared" si="12"/>
        <v>79479</v>
      </c>
      <c r="J11" s="825">
        <f t="shared" ref="J11:K11" si="13">SUM(J24:J26)+J29+SUM(J31:J34)+SUM(J36:J38)</f>
        <v>80921</v>
      </c>
      <c r="K11" s="825">
        <f t="shared" si="13"/>
        <v>85850</v>
      </c>
      <c r="L11" s="825">
        <f t="shared" ref="L11" si="14">SUM(L24:L26)+L29+SUM(L31:L34)+SUM(L36:L38)</f>
        <v>85057</v>
      </c>
      <c r="N11" s="822" t="s">
        <v>6169</v>
      </c>
    </row>
    <row r="12" spans="1:14">
      <c r="D12" s="826"/>
      <c r="E12" s="826"/>
      <c r="F12" s="826"/>
      <c r="G12" s="826"/>
      <c r="H12" s="826"/>
      <c r="I12" s="826"/>
      <c r="J12" s="826"/>
      <c r="K12" s="826"/>
      <c r="L12" s="826"/>
    </row>
    <row r="13" spans="1:14">
      <c r="A13" s="823" t="s">
        <v>6165</v>
      </c>
      <c r="D13" s="826">
        <f>BRENT!D8</f>
        <v>72671</v>
      </c>
      <c r="E13" s="826">
        <f>BRENT!E8</f>
        <v>73385</v>
      </c>
      <c r="F13" s="826">
        <f>BRENT!F8</f>
        <v>74779</v>
      </c>
      <c r="G13" s="826">
        <f>BRENT!G8</f>
        <v>76586</v>
      </c>
      <c r="H13" s="826">
        <f>BRENT!H8</f>
        <v>75645</v>
      </c>
      <c r="I13" s="826">
        <f>BRENT!I8</f>
        <v>74187</v>
      </c>
      <c r="J13" s="826">
        <f>BRENT!J8</f>
        <v>74899</v>
      </c>
      <c r="K13" s="826">
        <f>BRENT!K8</f>
        <v>77078</v>
      </c>
      <c r="L13" s="826">
        <f>BRENT!L8</f>
        <v>78959</v>
      </c>
      <c r="N13" s="823" t="s">
        <v>6166</v>
      </c>
    </row>
    <row r="14" spans="1:14">
      <c r="D14" s="826"/>
      <c r="E14" s="826"/>
      <c r="F14" s="826"/>
      <c r="G14" s="826"/>
      <c r="H14" s="826"/>
      <c r="I14" s="826"/>
      <c r="J14" s="826"/>
      <c r="K14" s="826"/>
      <c r="L14" s="826"/>
    </row>
    <row r="15" spans="1:14">
      <c r="A15" s="823" t="s">
        <v>6167</v>
      </c>
      <c r="D15" s="826">
        <f>BRENT!D10</f>
        <v>81811</v>
      </c>
      <c r="E15" s="826">
        <f>BRENT!E10</f>
        <v>82648</v>
      </c>
      <c r="F15" s="826">
        <f>BRENT!F10</f>
        <v>83112</v>
      </c>
      <c r="G15" s="826">
        <f>BRENT!G10</f>
        <v>83601</v>
      </c>
      <c r="H15" s="826">
        <f>BRENT!H10</f>
        <v>82482</v>
      </c>
      <c r="I15" s="826">
        <f>BRENT!I10</f>
        <v>80472</v>
      </c>
      <c r="J15" s="826">
        <f>BRENT!J10</f>
        <v>81364</v>
      </c>
      <c r="K15" s="826">
        <f>BRENT!K10</f>
        <v>80808</v>
      </c>
      <c r="L15" s="826">
        <f>BRENT!L10</f>
        <v>81100</v>
      </c>
      <c r="N15" s="823" t="s">
        <v>6166</v>
      </c>
    </row>
    <row r="16" spans="1:14">
      <c r="D16" s="826"/>
      <c r="E16" s="826"/>
      <c r="F16" s="826"/>
      <c r="G16" s="826"/>
      <c r="H16" s="826"/>
      <c r="I16" s="826"/>
      <c r="J16" s="826"/>
      <c r="K16" s="826"/>
      <c r="L16" s="826"/>
    </row>
    <row r="17" spans="1:18">
      <c r="A17" s="822" t="s">
        <v>8697</v>
      </c>
      <c r="D17" s="825">
        <f t="shared" ref="D17:I17" si="15">D8+D11</f>
        <v>135551</v>
      </c>
      <c r="E17" s="825">
        <f t="shared" si="15"/>
        <v>137175</v>
      </c>
      <c r="F17" s="825">
        <f t="shared" si="15"/>
        <v>135678</v>
      </c>
      <c r="G17" s="825">
        <f t="shared" si="15"/>
        <v>136564</v>
      </c>
      <c r="H17" s="825">
        <f t="shared" si="15"/>
        <v>135821</v>
      </c>
      <c r="I17" s="825">
        <f t="shared" si="15"/>
        <v>128411</v>
      </c>
      <c r="J17" s="825">
        <f t="shared" ref="J17:K17" si="16">J8+J11</f>
        <v>129978</v>
      </c>
      <c r="K17" s="825">
        <f t="shared" si="16"/>
        <v>138850</v>
      </c>
      <c r="L17" s="825">
        <f t="shared" ref="L17" si="17">L8+L11</f>
        <v>137753</v>
      </c>
    </row>
    <row r="18" spans="1:18">
      <c r="D18" s="826"/>
      <c r="E18" s="826"/>
      <c r="F18" s="826"/>
      <c r="G18" s="826"/>
      <c r="H18" s="826"/>
      <c r="I18" s="826"/>
      <c r="J18" s="826"/>
      <c r="K18" s="826"/>
      <c r="L18" s="826"/>
    </row>
    <row r="19" spans="1:18">
      <c r="A19" s="822" t="s">
        <v>8698</v>
      </c>
      <c r="D19" s="825">
        <f t="shared" ref="D19:I19" si="18">MAX(D9,D11,D13,D15)-MIN(D9,D11,D13,D15)</f>
        <v>11595</v>
      </c>
      <c r="E19" s="825">
        <f t="shared" si="18"/>
        <v>11858</v>
      </c>
      <c r="F19" s="825">
        <f t="shared" si="18"/>
        <v>9627</v>
      </c>
      <c r="G19" s="825">
        <f t="shared" si="18"/>
        <v>8814</v>
      </c>
      <c r="H19" s="825">
        <f t="shared" si="18"/>
        <v>9534</v>
      </c>
      <c r="I19" s="825">
        <f t="shared" si="18"/>
        <v>6285</v>
      </c>
      <c r="J19" s="825">
        <f t="shared" ref="J19:K19" si="19">MAX(J9,J11,J13,J15)-MIN(J9,J11,J13,J15)</f>
        <v>6465</v>
      </c>
      <c r="K19" s="825">
        <f t="shared" si="19"/>
        <v>8772</v>
      </c>
      <c r="L19" s="825">
        <f t="shared" ref="L19" si="20">MAX(L9,L11,L13,L15)-MIN(L9,L11,L13,L15)</f>
        <v>6098</v>
      </c>
    </row>
    <row r="20" spans="1:18">
      <c r="D20" s="826"/>
      <c r="E20" s="826"/>
      <c r="F20" s="826"/>
      <c r="G20" s="826"/>
      <c r="H20" s="826"/>
      <c r="I20" s="826"/>
      <c r="J20" s="826"/>
      <c r="K20" s="826"/>
      <c r="L20" s="826"/>
    </row>
    <row r="21" spans="1:18">
      <c r="A21" s="829" t="s">
        <v>8701</v>
      </c>
      <c r="D21" s="825">
        <f t="shared" ref="D21:I21" si="21">STDEVP(D9,D11,D13,D15)</f>
        <v>4436.7001532670656</v>
      </c>
      <c r="E21" s="825">
        <f t="shared" si="21"/>
        <v>4481.8658502904791</v>
      </c>
      <c r="F21" s="825">
        <f t="shared" si="21"/>
        <v>3852.4857803112004</v>
      </c>
      <c r="G21" s="825">
        <f t="shared" si="21"/>
        <v>3607.7953448054673</v>
      </c>
      <c r="H21" s="825">
        <f t="shared" si="21"/>
        <v>3903.3141927725983</v>
      </c>
      <c r="I21" s="825">
        <f t="shared" si="21"/>
        <v>2779.815146731883</v>
      </c>
      <c r="J21" s="825">
        <f t="shared" ref="J21:K21" si="22">STDEVP(J9,J11,J13,J15)</f>
        <v>3106.3236610984372</v>
      </c>
      <c r="K21" s="825">
        <f t="shared" si="22"/>
        <v>3207.3652251497647</v>
      </c>
      <c r="L21" s="825">
        <f t="shared" ref="L21" si="23">STDEVP(L9,L11,L13,L15)</f>
        <v>2355.4004303939491</v>
      </c>
    </row>
    <row r="22" spans="1:18">
      <c r="D22" s="826"/>
      <c r="E22" s="826"/>
      <c r="F22" s="826"/>
      <c r="G22" s="826"/>
      <c r="H22" s="826"/>
      <c r="I22" s="826"/>
      <c r="J22" s="826"/>
      <c r="K22" s="826"/>
      <c r="L22" s="826"/>
    </row>
    <row r="23" spans="1:18">
      <c r="A23" s="822" t="s">
        <v>6957</v>
      </c>
      <c r="B23" s="822" t="s">
        <v>6222</v>
      </c>
      <c r="C23" s="4" t="s">
        <v>661</v>
      </c>
      <c r="D23" s="830">
        <v>7417</v>
      </c>
      <c r="E23" s="830">
        <v>7555</v>
      </c>
      <c r="F23" s="830">
        <v>7476</v>
      </c>
      <c r="G23" s="830">
        <v>7509</v>
      </c>
      <c r="H23" s="48">
        <v>7213</v>
      </c>
      <c r="I23" s="48">
        <v>7082</v>
      </c>
      <c r="J23" s="48">
        <v>7099</v>
      </c>
      <c r="K23" s="30">
        <v>7654</v>
      </c>
      <c r="L23" s="30">
        <v>7606</v>
      </c>
      <c r="N23" s="822" t="s">
        <v>6168</v>
      </c>
      <c r="P23" s="4"/>
      <c r="R23" s="4"/>
    </row>
    <row r="24" spans="1:18">
      <c r="A24" s="822" t="s">
        <v>6959</v>
      </c>
      <c r="B24" s="822" t="s">
        <v>6223</v>
      </c>
      <c r="C24" s="4" t="s">
        <v>662</v>
      </c>
      <c r="D24" s="830">
        <v>6504</v>
      </c>
      <c r="E24" s="830">
        <v>6660</v>
      </c>
      <c r="F24" s="830">
        <v>6566</v>
      </c>
      <c r="G24" s="830">
        <v>6668</v>
      </c>
      <c r="H24" s="48">
        <v>6533</v>
      </c>
      <c r="I24" s="48">
        <v>5133</v>
      </c>
      <c r="J24" s="48">
        <v>5016</v>
      </c>
      <c r="K24" s="30">
        <v>5457</v>
      </c>
      <c r="L24" s="30">
        <v>5261</v>
      </c>
      <c r="N24" s="822" t="s">
        <v>6170</v>
      </c>
      <c r="P24" s="4"/>
      <c r="R24" s="4"/>
    </row>
    <row r="25" spans="1:18">
      <c r="A25" s="822" t="s">
        <v>6961</v>
      </c>
      <c r="B25" s="822" t="s">
        <v>6224</v>
      </c>
      <c r="C25" s="4" t="s">
        <v>663</v>
      </c>
      <c r="D25" s="831">
        <v>8062</v>
      </c>
      <c r="E25" s="831">
        <v>8184</v>
      </c>
      <c r="F25" s="831">
        <v>8062</v>
      </c>
      <c r="G25" s="831">
        <v>8130</v>
      </c>
      <c r="H25" s="48">
        <v>8064</v>
      </c>
      <c r="I25" s="48">
        <v>7809</v>
      </c>
      <c r="J25" s="48">
        <v>7929</v>
      </c>
      <c r="K25" s="30">
        <v>8442</v>
      </c>
      <c r="L25" s="30">
        <v>8338</v>
      </c>
      <c r="N25" s="822" t="s">
        <v>6170</v>
      </c>
      <c r="P25" s="4"/>
      <c r="R25" s="4"/>
    </row>
    <row r="26" spans="1:18">
      <c r="A26" s="822" t="s">
        <v>6963</v>
      </c>
      <c r="B26" s="822" t="s">
        <v>6225</v>
      </c>
      <c r="C26" s="4" t="s">
        <v>664</v>
      </c>
      <c r="D26" s="830">
        <v>7654</v>
      </c>
      <c r="E26" s="830">
        <v>7888</v>
      </c>
      <c r="F26" s="830">
        <v>7858</v>
      </c>
      <c r="G26" s="830">
        <v>7866</v>
      </c>
      <c r="H26" s="48">
        <v>7972</v>
      </c>
      <c r="I26" s="48">
        <v>7263</v>
      </c>
      <c r="J26" s="48">
        <v>7429</v>
      </c>
      <c r="K26" s="30">
        <v>7889</v>
      </c>
      <c r="L26" s="30">
        <v>7879</v>
      </c>
      <c r="N26" s="822" t="s">
        <v>6170</v>
      </c>
      <c r="P26" s="4"/>
      <c r="R26" s="4"/>
    </row>
    <row r="27" spans="1:18">
      <c r="A27" s="822" t="s">
        <v>6965</v>
      </c>
      <c r="B27" s="822" t="s">
        <v>6184</v>
      </c>
      <c r="C27" s="4" t="s">
        <v>665</v>
      </c>
      <c r="D27" s="830">
        <v>7022</v>
      </c>
      <c r="E27" s="830">
        <v>7181</v>
      </c>
      <c r="F27" s="830">
        <v>7190</v>
      </c>
      <c r="G27" s="830">
        <v>7195</v>
      </c>
      <c r="H27" s="48">
        <v>7169</v>
      </c>
      <c r="I27" s="48">
        <v>7044</v>
      </c>
      <c r="J27" s="48">
        <v>7116</v>
      </c>
      <c r="K27" s="30">
        <v>7687</v>
      </c>
      <c r="L27" s="30">
        <v>7661</v>
      </c>
      <c r="N27" s="822" t="s">
        <v>6168</v>
      </c>
      <c r="P27" s="4"/>
      <c r="R27" s="4"/>
    </row>
    <row r="28" spans="1:18">
      <c r="A28" s="822" t="s">
        <v>6997</v>
      </c>
      <c r="B28" s="822" t="s">
        <v>6185</v>
      </c>
      <c r="C28" s="4" t="s">
        <v>666</v>
      </c>
      <c r="D28" s="830">
        <v>7087</v>
      </c>
      <c r="E28" s="830">
        <v>7036</v>
      </c>
      <c r="F28" s="830">
        <v>6776</v>
      </c>
      <c r="G28" s="830">
        <v>6705</v>
      </c>
      <c r="H28" s="48">
        <v>6720</v>
      </c>
      <c r="I28" s="48">
        <v>6304</v>
      </c>
      <c r="J28" s="48">
        <v>6160</v>
      </c>
      <c r="K28" s="30">
        <v>6698</v>
      </c>
      <c r="L28" s="30">
        <v>6648</v>
      </c>
      <c r="N28" s="822" t="s">
        <v>6168</v>
      </c>
      <c r="P28" s="4"/>
      <c r="R28" s="4"/>
    </row>
    <row r="29" spans="1:18">
      <c r="A29" s="822" t="s">
        <v>6999</v>
      </c>
      <c r="B29" s="822" t="s">
        <v>6186</v>
      </c>
      <c r="C29" s="4" t="s">
        <v>667</v>
      </c>
      <c r="D29" s="830">
        <v>7227</v>
      </c>
      <c r="E29" s="830">
        <v>7302</v>
      </c>
      <c r="F29" s="830">
        <v>7326</v>
      </c>
      <c r="G29" s="830">
        <v>7292</v>
      </c>
      <c r="H29" s="48">
        <v>7280</v>
      </c>
      <c r="I29" s="48">
        <v>7178</v>
      </c>
      <c r="J29" s="48">
        <v>7232</v>
      </c>
      <c r="K29" s="30">
        <v>7467</v>
      </c>
      <c r="L29" s="30">
        <v>7299</v>
      </c>
      <c r="N29" s="822" t="s">
        <v>6170</v>
      </c>
      <c r="P29" s="4"/>
      <c r="R29" s="4"/>
    </row>
    <row r="30" spans="1:18">
      <c r="A30" s="822" t="s">
        <v>7001</v>
      </c>
      <c r="B30" s="822" t="s">
        <v>6187</v>
      </c>
      <c r="C30" s="4" t="s">
        <v>668</v>
      </c>
      <c r="D30" s="830">
        <v>6930</v>
      </c>
      <c r="E30" s="830">
        <v>7047</v>
      </c>
      <c r="F30" s="830">
        <v>7073</v>
      </c>
      <c r="G30" s="830">
        <v>6932</v>
      </c>
      <c r="H30" s="48">
        <v>6804</v>
      </c>
      <c r="I30" s="48">
        <v>6538</v>
      </c>
      <c r="J30" s="48">
        <v>6609</v>
      </c>
      <c r="K30" s="30">
        <v>7046</v>
      </c>
      <c r="L30" s="30">
        <v>6880</v>
      </c>
      <c r="N30" s="822" t="s">
        <v>6168</v>
      </c>
      <c r="P30" s="4"/>
      <c r="R30" s="4"/>
    </row>
    <row r="31" spans="1:18">
      <c r="A31" s="822" t="s">
        <v>7003</v>
      </c>
      <c r="B31" s="822" t="s">
        <v>6188</v>
      </c>
      <c r="C31" s="4" t="s">
        <v>669</v>
      </c>
      <c r="D31" s="831">
        <v>7829</v>
      </c>
      <c r="E31" s="831">
        <v>7880</v>
      </c>
      <c r="F31" s="831">
        <v>7731</v>
      </c>
      <c r="G31" s="831">
        <v>7774</v>
      </c>
      <c r="H31" s="48">
        <v>7793</v>
      </c>
      <c r="I31" s="48">
        <v>7494</v>
      </c>
      <c r="J31" s="48">
        <v>7751</v>
      </c>
      <c r="K31" s="30">
        <v>8269</v>
      </c>
      <c r="L31" s="30">
        <v>8204</v>
      </c>
      <c r="N31" s="822" t="s">
        <v>6170</v>
      </c>
      <c r="P31" s="4"/>
      <c r="R31" s="4"/>
    </row>
    <row r="32" spans="1:18">
      <c r="A32" s="822" t="s">
        <v>7005</v>
      </c>
      <c r="B32" s="822" t="s">
        <v>6189</v>
      </c>
      <c r="C32" s="4" t="s">
        <v>670</v>
      </c>
      <c r="D32" s="830">
        <v>7597</v>
      </c>
      <c r="E32" s="830">
        <v>7634</v>
      </c>
      <c r="F32" s="830">
        <v>7648</v>
      </c>
      <c r="G32" s="830">
        <v>7745</v>
      </c>
      <c r="H32" s="48">
        <v>7617</v>
      </c>
      <c r="I32" s="48">
        <v>7518</v>
      </c>
      <c r="J32" s="48">
        <v>7653</v>
      </c>
      <c r="K32" s="30">
        <v>8036</v>
      </c>
      <c r="L32" s="30">
        <v>7962</v>
      </c>
      <c r="N32" s="822" t="s">
        <v>6170</v>
      </c>
      <c r="P32" s="4"/>
      <c r="R32" s="4"/>
    </row>
    <row r="33" spans="1:18">
      <c r="A33" s="822" t="s">
        <v>7007</v>
      </c>
      <c r="B33" s="822" t="s">
        <v>6190</v>
      </c>
      <c r="C33" s="4" t="s">
        <v>671</v>
      </c>
      <c r="D33" s="830">
        <v>7616</v>
      </c>
      <c r="E33" s="830">
        <v>7692</v>
      </c>
      <c r="F33" s="830">
        <v>7458</v>
      </c>
      <c r="G33" s="830">
        <v>7856</v>
      </c>
      <c r="H33" s="48">
        <v>7919</v>
      </c>
      <c r="I33" s="48">
        <v>7447</v>
      </c>
      <c r="J33" s="48">
        <v>7466</v>
      </c>
      <c r="K33" s="30">
        <v>7849</v>
      </c>
      <c r="L33" s="30">
        <v>7785</v>
      </c>
      <c r="N33" s="822" t="s">
        <v>6170</v>
      </c>
      <c r="P33" s="4"/>
      <c r="R33" s="4"/>
    </row>
    <row r="34" spans="1:18">
      <c r="A34" s="822" t="s">
        <v>7009</v>
      </c>
      <c r="B34" s="822" t="s">
        <v>6191</v>
      </c>
      <c r="C34" s="4" t="s">
        <v>672</v>
      </c>
      <c r="D34" s="830">
        <v>8727</v>
      </c>
      <c r="E34" s="830">
        <v>8654</v>
      </c>
      <c r="F34" s="830">
        <v>8633</v>
      </c>
      <c r="G34" s="830">
        <v>8733</v>
      </c>
      <c r="H34" s="48">
        <v>8732</v>
      </c>
      <c r="I34" s="48">
        <v>8508</v>
      </c>
      <c r="J34" s="48">
        <v>8619</v>
      </c>
      <c r="K34" s="30">
        <v>9286</v>
      </c>
      <c r="L34" s="30">
        <v>9156</v>
      </c>
      <c r="N34" s="822" t="s">
        <v>6170</v>
      </c>
      <c r="P34" s="4"/>
      <c r="R34" s="4"/>
    </row>
    <row r="35" spans="1:18">
      <c r="A35" s="822" t="s">
        <v>7011</v>
      </c>
      <c r="B35" s="822" t="s">
        <v>5319</v>
      </c>
      <c r="C35" s="4" t="s">
        <v>673</v>
      </c>
      <c r="D35" s="830">
        <v>7449</v>
      </c>
      <c r="E35" s="830">
        <v>7504</v>
      </c>
      <c r="F35" s="830">
        <v>7459</v>
      </c>
      <c r="G35" s="830">
        <v>7597</v>
      </c>
      <c r="H35" s="48">
        <v>7485</v>
      </c>
      <c r="I35" s="48">
        <v>7242</v>
      </c>
      <c r="J35" s="48">
        <v>7369</v>
      </c>
      <c r="K35" s="30">
        <v>7867</v>
      </c>
      <c r="L35" s="30">
        <v>7751</v>
      </c>
      <c r="N35" s="822" t="s">
        <v>6168</v>
      </c>
      <c r="P35" s="4"/>
      <c r="R35" s="4"/>
    </row>
    <row r="36" spans="1:18">
      <c r="A36" s="822" t="s">
        <v>7013</v>
      </c>
      <c r="B36" s="822" t="s">
        <v>6192</v>
      </c>
      <c r="C36" s="4" t="s">
        <v>674</v>
      </c>
      <c r="D36" s="830">
        <v>7056</v>
      </c>
      <c r="E36" s="830">
        <v>7030</v>
      </c>
      <c r="F36" s="830">
        <v>6977</v>
      </c>
      <c r="G36" s="830">
        <v>6838</v>
      </c>
      <c r="H36" s="48">
        <v>6535</v>
      </c>
      <c r="I36" s="48">
        <v>5389</v>
      </c>
      <c r="J36" s="48">
        <v>5625</v>
      </c>
      <c r="K36" s="31">
        <v>5873</v>
      </c>
      <c r="L36" s="31">
        <v>6042</v>
      </c>
      <c r="N36" s="822" t="s">
        <v>6170</v>
      </c>
      <c r="P36" s="4"/>
      <c r="R36" s="4"/>
    </row>
    <row r="37" spans="1:18">
      <c r="A37" s="822" t="s">
        <v>7015</v>
      </c>
      <c r="B37" s="822" t="s">
        <v>1084</v>
      </c>
      <c r="C37" s="4" t="s">
        <v>675</v>
      </c>
      <c r="D37" s="830">
        <v>7893</v>
      </c>
      <c r="E37" s="830">
        <v>8115</v>
      </c>
      <c r="F37" s="830">
        <v>7971</v>
      </c>
      <c r="G37" s="830">
        <v>8037</v>
      </c>
      <c r="H37" s="48">
        <v>7913</v>
      </c>
      <c r="I37" s="48">
        <v>7439</v>
      </c>
      <c r="J37" s="48">
        <v>7590</v>
      </c>
      <c r="K37" s="31">
        <v>7976</v>
      </c>
      <c r="L37" s="31">
        <v>7951</v>
      </c>
      <c r="N37" s="822" t="s">
        <v>6170</v>
      </c>
      <c r="P37" s="4"/>
      <c r="R37" s="4"/>
    </row>
    <row r="38" spans="1:18">
      <c r="A38" s="822" t="s">
        <v>7017</v>
      </c>
      <c r="B38" s="822" t="s">
        <v>2744</v>
      </c>
      <c r="C38" s="4" t="s">
        <v>676</v>
      </c>
      <c r="D38" s="830">
        <v>8101</v>
      </c>
      <c r="E38" s="830">
        <v>8204</v>
      </c>
      <c r="F38" s="830">
        <v>8176</v>
      </c>
      <c r="G38" s="830">
        <v>8461</v>
      </c>
      <c r="H38" s="48">
        <v>8821</v>
      </c>
      <c r="I38" s="48">
        <v>8301</v>
      </c>
      <c r="J38" s="48">
        <v>8611</v>
      </c>
      <c r="K38" s="31">
        <v>9306</v>
      </c>
      <c r="L38" s="31">
        <v>9180</v>
      </c>
      <c r="N38" s="822" t="s">
        <v>6170</v>
      </c>
      <c r="P38" s="4"/>
      <c r="R38" s="4"/>
    </row>
    <row r="39" spans="1:18">
      <c r="A39" s="822" t="s">
        <v>7019</v>
      </c>
      <c r="B39" s="822" t="s">
        <v>4479</v>
      </c>
      <c r="C39" s="4" t="s">
        <v>677</v>
      </c>
      <c r="D39" s="830">
        <v>7819</v>
      </c>
      <c r="E39" s="830">
        <v>7916</v>
      </c>
      <c r="F39" s="830">
        <v>7806</v>
      </c>
      <c r="G39" s="830">
        <v>7823</v>
      </c>
      <c r="H39" s="48">
        <v>7697</v>
      </c>
      <c r="I39" s="48">
        <v>7495</v>
      </c>
      <c r="J39" s="48">
        <v>7459</v>
      </c>
      <c r="K39" s="30">
        <v>8102</v>
      </c>
      <c r="L39" s="30">
        <v>8141</v>
      </c>
      <c r="N39" s="822" t="s">
        <v>6168</v>
      </c>
      <c r="P39" s="4"/>
      <c r="R39" s="4"/>
    </row>
    <row r="40" spans="1:18">
      <c r="A40" s="822" t="s">
        <v>7021</v>
      </c>
      <c r="B40" s="822" t="s">
        <v>4480</v>
      </c>
      <c r="C40" s="4" t="s">
        <v>678</v>
      </c>
      <c r="D40" s="830">
        <v>7561</v>
      </c>
      <c r="E40" s="830">
        <v>7693</v>
      </c>
      <c r="F40" s="830">
        <v>7492</v>
      </c>
      <c r="G40" s="830">
        <v>7403</v>
      </c>
      <c r="H40" s="48">
        <v>7554</v>
      </c>
      <c r="I40" s="48">
        <v>7227</v>
      </c>
      <c r="J40" s="48">
        <v>7245</v>
      </c>
      <c r="K40" s="30">
        <v>7946</v>
      </c>
      <c r="L40" s="30">
        <v>8009</v>
      </c>
      <c r="N40" s="822" t="s">
        <v>6168</v>
      </c>
      <c r="P40" s="4"/>
      <c r="R40" s="4"/>
    </row>
    <row r="42" spans="1:18">
      <c r="A42" s="823" t="s">
        <v>4481</v>
      </c>
    </row>
    <row r="43" spans="1:18">
      <c r="A43" s="823" t="s">
        <v>4482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1 E5:E21 F5:F21 G5:G21 H3:H4 H5:H21 I3:I21 J3:J21 K3:K21 L3:L21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77"/>
  <sheetViews>
    <sheetView showGridLines="0" zoomScaleNormal="100" workbookViewId="0"/>
  </sheetViews>
  <sheetFormatPr defaultColWidth="12.5703125" defaultRowHeight="15"/>
  <cols>
    <col min="1" max="1" width="4.7109375" style="841" customWidth="1"/>
    <col min="2" max="2" width="44.5703125" style="841" customWidth="1"/>
    <col min="3" max="3" width="11.5703125" style="841" customWidth="1"/>
    <col min="4" max="12" width="10" style="841" customWidth="1"/>
    <col min="13" max="13" width="2.28515625" style="841" customWidth="1"/>
    <col min="14" max="14" width="29.42578125" style="841" customWidth="1"/>
    <col min="15" max="15" width="10.28515625" style="841" customWidth="1"/>
    <col min="16" max="16384" width="12.5703125" style="841"/>
  </cols>
  <sheetData>
    <row r="1" spans="1:14">
      <c r="A1" s="840" t="s">
        <v>8847</v>
      </c>
      <c r="D1" s="842">
        <v>2010</v>
      </c>
      <c r="E1" s="842">
        <v>2011</v>
      </c>
      <c r="F1" s="842">
        <v>2012</v>
      </c>
      <c r="G1" s="842">
        <v>2013</v>
      </c>
      <c r="H1" s="842">
        <v>2014</v>
      </c>
      <c r="I1" s="842">
        <v>2015</v>
      </c>
      <c r="J1" s="842">
        <v>2016</v>
      </c>
      <c r="K1" s="842">
        <v>2017</v>
      </c>
      <c r="L1" s="842">
        <v>2018</v>
      </c>
    </row>
    <row r="3" spans="1:14">
      <c r="A3" s="840" t="s">
        <v>2466</v>
      </c>
      <c r="C3" s="840"/>
      <c r="D3" s="843">
        <f t="shared" ref="D3:I3" si="0">D49</f>
        <v>288796</v>
      </c>
      <c r="E3" s="843">
        <f t="shared" si="0"/>
        <v>286944</v>
      </c>
      <c r="F3" s="843">
        <f t="shared" si="0"/>
        <v>287281</v>
      </c>
      <c r="G3" s="843">
        <f t="shared" si="0"/>
        <v>285686</v>
      </c>
      <c r="H3" s="843">
        <f t="shared" si="0"/>
        <v>285058</v>
      </c>
      <c r="I3" s="843">
        <f t="shared" si="0"/>
        <v>268206</v>
      </c>
      <c r="J3" s="843">
        <f t="shared" ref="J3:K3" si="1">J49</f>
        <v>270905</v>
      </c>
      <c r="K3" s="843">
        <f t="shared" si="1"/>
        <v>292068</v>
      </c>
      <c r="L3" s="843">
        <f t="shared" ref="L3" si="2">L49</f>
        <v>293679</v>
      </c>
    </row>
    <row r="4" spans="1:14">
      <c r="A4" s="840" t="s">
        <v>4273</v>
      </c>
      <c r="C4" s="840"/>
      <c r="D4" s="843">
        <f t="shared" ref="D4:I4" si="3">D118</f>
        <v>251933</v>
      </c>
      <c r="E4" s="843">
        <f t="shared" si="3"/>
        <v>249503</v>
      </c>
      <c r="F4" s="843">
        <f t="shared" si="3"/>
        <v>247681</v>
      </c>
      <c r="G4" s="843">
        <f t="shared" si="3"/>
        <v>251088</v>
      </c>
      <c r="H4" s="843">
        <f t="shared" si="3"/>
        <v>254379</v>
      </c>
      <c r="I4" s="843">
        <f t="shared" si="3"/>
        <v>256791</v>
      </c>
      <c r="J4" s="843">
        <f t="shared" ref="J4:K4" si="4">J118</f>
        <v>256498</v>
      </c>
      <c r="K4" s="843">
        <f t="shared" si="4"/>
        <v>261340</v>
      </c>
      <c r="L4" s="843">
        <f t="shared" ref="L4" si="5">L118</f>
        <v>267743</v>
      </c>
    </row>
    <row r="5" spans="1:14" ht="15.75" thickBot="1">
      <c r="A5" s="840" t="s">
        <v>5477</v>
      </c>
      <c r="C5" s="840"/>
      <c r="D5" s="844">
        <f t="shared" ref="D5:I5" si="6">D194</f>
        <v>91631</v>
      </c>
      <c r="E5" s="844">
        <f t="shared" si="6"/>
        <v>92550</v>
      </c>
      <c r="F5" s="844">
        <f t="shared" si="6"/>
        <v>94044</v>
      </c>
      <c r="G5" s="844">
        <f t="shared" si="6"/>
        <v>94403</v>
      </c>
      <c r="H5" s="844">
        <f t="shared" si="6"/>
        <v>94006</v>
      </c>
      <c r="I5" s="844">
        <f t="shared" si="6"/>
        <v>94619</v>
      </c>
      <c r="J5" s="844">
        <f t="shared" ref="J5:K5" si="7">J194</f>
        <v>92958</v>
      </c>
      <c r="K5" s="844">
        <f t="shared" si="7"/>
        <v>93870</v>
      </c>
      <c r="L5" s="844">
        <f t="shared" ref="L5" si="8">L194</f>
        <v>95412</v>
      </c>
    </row>
    <row r="6" spans="1:14" ht="15.75" thickBot="1">
      <c r="A6" s="20"/>
      <c r="B6" s="20"/>
      <c r="C6" s="20"/>
      <c r="D6" s="465">
        <f t="shared" ref="D6:I6" si="9">SUM(D3:D5)</f>
        <v>632360</v>
      </c>
      <c r="E6" s="465">
        <f t="shared" si="9"/>
        <v>628997</v>
      </c>
      <c r="F6" s="465">
        <f t="shared" si="9"/>
        <v>629006</v>
      </c>
      <c r="G6" s="465">
        <f t="shared" si="9"/>
        <v>631177</v>
      </c>
      <c r="H6" s="465">
        <f t="shared" si="9"/>
        <v>633443</v>
      </c>
      <c r="I6" s="465">
        <f t="shared" si="9"/>
        <v>619616</v>
      </c>
      <c r="J6" s="465">
        <f t="shared" ref="J6:K6" si="10">SUM(J3:J5)</f>
        <v>620361</v>
      </c>
      <c r="K6" s="465">
        <f t="shared" si="10"/>
        <v>647278</v>
      </c>
      <c r="L6" s="465">
        <f t="shared" ref="L6" si="11">SUM(L3:L5)</f>
        <v>656834</v>
      </c>
      <c r="M6" s="20"/>
    </row>
    <row r="7" spans="1:14">
      <c r="A7" s="20"/>
      <c r="B7" s="20"/>
      <c r="C7" s="20"/>
      <c r="D7" s="21"/>
      <c r="E7" s="21"/>
      <c r="F7" s="21"/>
      <c r="G7" s="21"/>
      <c r="H7" s="21"/>
      <c r="I7" s="21"/>
      <c r="J7" s="21"/>
      <c r="K7" s="21"/>
      <c r="L7" s="21"/>
      <c r="M7" s="20"/>
      <c r="N7" s="20"/>
    </row>
    <row r="8" spans="1:14">
      <c r="A8" s="840" t="s">
        <v>8485</v>
      </c>
      <c r="D8" s="843">
        <f t="shared" ref="D8:I8" si="12">D3/4</f>
        <v>72199</v>
      </c>
      <c r="E8" s="843">
        <f t="shared" si="12"/>
        <v>71736</v>
      </c>
      <c r="F8" s="843">
        <f t="shared" si="12"/>
        <v>71820.25</v>
      </c>
      <c r="G8" s="843">
        <f t="shared" si="12"/>
        <v>71421.5</v>
      </c>
      <c r="H8" s="843">
        <f t="shared" si="12"/>
        <v>71264.5</v>
      </c>
      <c r="I8" s="843">
        <f t="shared" si="12"/>
        <v>67051.5</v>
      </c>
      <c r="J8" s="843">
        <f t="shared" ref="J8:K8" si="13">J3/4</f>
        <v>67726.25</v>
      </c>
      <c r="K8" s="843">
        <f t="shared" si="13"/>
        <v>73017</v>
      </c>
      <c r="L8" s="843">
        <f t="shared" ref="L8" si="14">L3/4</f>
        <v>73419.75</v>
      </c>
    </row>
    <row r="9" spans="1:14">
      <c r="A9" s="840" t="s">
        <v>13394</v>
      </c>
      <c r="D9" s="843">
        <f t="shared" ref="D9:I9" si="15">D4/3</f>
        <v>83977.666666666672</v>
      </c>
      <c r="E9" s="843">
        <f t="shared" si="15"/>
        <v>83167.666666666672</v>
      </c>
      <c r="F9" s="843">
        <f t="shared" si="15"/>
        <v>82560.333333333328</v>
      </c>
      <c r="G9" s="843">
        <f t="shared" si="15"/>
        <v>83696</v>
      </c>
      <c r="H9" s="843">
        <f t="shared" si="15"/>
        <v>84793</v>
      </c>
      <c r="I9" s="843">
        <f t="shared" si="15"/>
        <v>85597</v>
      </c>
      <c r="J9" s="843">
        <f t="shared" ref="J9:K9" si="16">J4/3</f>
        <v>85499.333333333328</v>
      </c>
      <c r="K9" s="843">
        <f t="shared" si="16"/>
        <v>87113.333333333328</v>
      </c>
      <c r="L9" s="843">
        <f t="shared" ref="L9" si="17">L4/3</f>
        <v>89247.666666666672</v>
      </c>
    </row>
    <row r="10" spans="1:14">
      <c r="A10" s="840" t="s">
        <v>4861</v>
      </c>
      <c r="D10" s="843">
        <f t="shared" ref="D10:I10" si="18">D5/1</f>
        <v>91631</v>
      </c>
      <c r="E10" s="843">
        <f t="shared" si="18"/>
        <v>92550</v>
      </c>
      <c r="F10" s="843">
        <f t="shared" si="18"/>
        <v>94044</v>
      </c>
      <c r="G10" s="843">
        <f t="shared" si="18"/>
        <v>94403</v>
      </c>
      <c r="H10" s="843">
        <f t="shared" si="18"/>
        <v>94006</v>
      </c>
      <c r="I10" s="843">
        <f t="shared" si="18"/>
        <v>94619</v>
      </c>
      <c r="J10" s="843">
        <f t="shared" ref="J10:K10" si="19">J5/1</f>
        <v>92958</v>
      </c>
      <c r="K10" s="843">
        <f t="shared" si="19"/>
        <v>93870</v>
      </c>
      <c r="L10" s="843">
        <f t="shared" ref="L10" si="20">L5/1</f>
        <v>95412</v>
      </c>
    </row>
    <row r="11" spans="1:14">
      <c r="A11" s="840" t="s">
        <v>7689</v>
      </c>
      <c r="D11" s="843">
        <f t="shared" ref="D11:I11" si="21">D6/8</f>
        <v>79045</v>
      </c>
      <c r="E11" s="843">
        <f t="shared" si="21"/>
        <v>78624.625</v>
      </c>
      <c r="F11" s="843">
        <f t="shared" si="21"/>
        <v>78625.75</v>
      </c>
      <c r="G11" s="843">
        <f t="shared" si="21"/>
        <v>78897.125</v>
      </c>
      <c r="H11" s="843">
        <f t="shared" si="21"/>
        <v>79180.375</v>
      </c>
      <c r="I11" s="843">
        <f t="shared" si="21"/>
        <v>77452</v>
      </c>
      <c r="J11" s="843">
        <f t="shared" ref="J11:K11" si="22">J6/8</f>
        <v>77545.125</v>
      </c>
      <c r="K11" s="843">
        <f t="shared" si="22"/>
        <v>80909.75</v>
      </c>
      <c r="L11" s="843">
        <f t="shared" ref="L11" si="23">L6/8</f>
        <v>82104.25</v>
      </c>
    </row>
    <row r="13" spans="1:14">
      <c r="A13" s="840" t="s">
        <v>4863</v>
      </c>
      <c r="D13" s="843">
        <f t="shared" ref="D13:I13" si="24">D183</f>
        <v>68899</v>
      </c>
      <c r="E13" s="843">
        <f t="shared" si="24"/>
        <v>68280</v>
      </c>
      <c r="F13" s="843">
        <f t="shared" si="24"/>
        <v>68057</v>
      </c>
      <c r="G13" s="843">
        <f t="shared" si="24"/>
        <v>68463</v>
      </c>
      <c r="H13" s="843">
        <f t="shared" si="24"/>
        <v>70641</v>
      </c>
      <c r="I13" s="843">
        <f t="shared" si="24"/>
        <v>70533</v>
      </c>
      <c r="J13" s="843">
        <f t="shared" ref="J13:K13" si="25">J183</f>
        <v>70857</v>
      </c>
      <c r="K13" s="843">
        <f t="shared" si="25"/>
        <v>72255</v>
      </c>
      <c r="L13" s="843">
        <f t="shared" ref="L13" si="26">L183</f>
        <v>74397</v>
      </c>
      <c r="N13" s="840" t="s">
        <v>17</v>
      </c>
    </row>
    <row r="14" spans="1:14">
      <c r="D14" s="846"/>
      <c r="E14" s="846"/>
      <c r="F14" s="846"/>
      <c r="G14" s="846"/>
      <c r="H14" s="846"/>
      <c r="I14" s="846"/>
      <c r="J14" s="846"/>
      <c r="K14" s="846"/>
      <c r="L14" s="846"/>
    </row>
    <row r="15" spans="1:14">
      <c r="A15" s="840" t="s">
        <v>4864</v>
      </c>
      <c r="D15" s="843">
        <f t="shared" ref="D15:I15" si="27">D107</f>
        <v>74806</v>
      </c>
      <c r="E15" s="843">
        <f t="shared" si="27"/>
        <v>73820</v>
      </c>
      <c r="F15" s="843">
        <f t="shared" si="27"/>
        <v>74083</v>
      </c>
      <c r="G15" s="843">
        <f t="shared" si="27"/>
        <v>74031</v>
      </c>
      <c r="H15" s="843">
        <f t="shared" si="27"/>
        <v>74371</v>
      </c>
      <c r="I15" s="843">
        <f t="shared" si="27"/>
        <v>69960</v>
      </c>
      <c r="J15" s="843">
        <f t="shared" ref="J15:K15" si="28">J107</f>
        <v>71102</v>
      </c>
      <c r="K15" s="843">
        <f t="shared" si="28"/>
        <v>76465</v>
      </c>
      <c r="L15" s="843">
        <f t="shared" ref="L15" si="29">L107</f>
        <v>77258</v>
      </c>
      <c r="N15" s="840" t="s">
        <v>18</v>
      </c>
    </row>
    <row r="16" spans="1:14">
      <c r="D16" s="846"/>
      <c r="E16" s="846"/>
      <c r="F16" s="846"/>
      <c r="G16" s="846"/>
      <c r="H16" s="846"/>
      <c r="I16" s="846"/>
      <c r="J16" s="846"/>
      <c r="K16" s="846"/>
      <c r="L16" s="846"/>
    </row>
    <row r="17" spans="1:14">
      <c r="A17" s="840" t="s">
        <v>4865</v>
      </c>
      <c r="D17" s="843">
        <f t="shared" ref="D17:I17" si="30">D108</f>
        <v>78469</v>
      </c>
      <c r="E17" s="843">
        <f t="shared" si="30"/>
        <v>78845</v>
      </c>
      <c r="F17" s="843">
        <f t="shared" si="30"/>
        <v>78781</v>
      </c>
      <c r="G17" s="843">
        <f t="shared" si="30"/>
        <v>77756</v>
      </c>
      <c r="H17" s="843">
        <f t="shared" si="30"/>
        <v>76892</v>
      </c>
      <c r="I17" s="843">
        <f t="shared" si="30"/>
        <v>71336</v>
      </c>
      <c r="J17" s="843">
        <f t="shared" ref="J17:K17" si="31">J108</f>
        <v>72239</v>
      </c>
      <c r="K17" s="843">
        <f t="shared" si="31"/>
        <v>78047</v>
      </c>
      <c r="L17" s="843">
        <f t="shared" ref="L17" si="32">L108</f>
        <v>78544</v>
      </c>
      <c r="N17" s="840" t="s">
        <v>18</v>
      </c>
    </row>
    <row r="18" spans="1:14">
      <c r="D18" s="846"/>
      <c r="E18" s="846"/>
      <c r="F18" s="846"/>
      <c r="G18" s="846"/>
      <c r="H18" s="846"/>
      <c r="I18" s="846"/>
      <c r="J18" s="846"/>
      <c r="K18" s="846"/>
      <c r="L18" s="846"/>
    </row>
    <row r="19" spans="1:14">
      <c r="A19" s="840" t="s">
        <v>4866</v>
      </c>
      <c r="D19" s="843">
        <f t="shared" ref="D19:I19" si="33">D109</f>
        <v>11329</v>
      </c>
      <c r="E19" s="843">
        <f t="shared" si="33"/>
        <v>11441</v>
      </c>
      <c r="F19" s="843">
        <f t="shared" si="33"/>
        <v>11388</v>
      </c>
      <c r="G19" s="843">
        <f t="shared" si="33"/>
        <v>11249</v>
      </c>
      <c r="H19" s="843">
        <f t="shared" si="33"/>
        <v>11344</v>
      </c>
      <c r="I19" s="843">
        <f t="shared" si="33"/>
        <v>11087</v>
      </c>
      <c r="J19" s="843">
        <f t="shared" ref="J19:K19" si="34">J109</f>
        <v>11151</v>
      </c>
      <c r="K19" s="843">
        <f t="shared" si="34"/>
        <v>12186</v>
      </c>
      <c r="L19" s="843">
        <f t="shared" ref="L19" si="35">L109</f>
        <v>12417</v>
      </c>
      <c r="N19" s="840" t="s">
        <v>18</v>
      </c>
    </row>
    <row r="20" spans="1:14" ht="15.75" thickBot="1">
      <c r="D20" s="844">
        <f t="shared" ref="D20:I20" si="36">D184</f>
        <v>55967</v>
      </c>
      <c r="E20" s="844">
        <f t="shared" si="36"/>
        <v>54473</v>
      </c>
      <c r="F20" s="844">
        <f t="shared" si="36"/>
        <v>53972</v>
      </c>
      <c r="G20" s="844">
        <f t="shared" si="36"/>
        <v>55125</v>
      </c>
      <c r="H20" s="844">
        <f t="shared" si="36"/>
        <v>55387</v>
      </c>
      <c r="I20" s="844">
        <f t="shared" si="36"/>
        <v>56378</v>
      </c>
      <c r="J20" s="844">
        <f t="shared" ref="J20:K20" si="37">J184</f>
        <v>56484</v>
      </c>
      <c r="K20" s="844">
        <f t="shared" si="37"/>
        <v>57571</v>
      </c>
      <c r="L20" s="844">
        <f t="shared" ref="L20" si="38">L184</f>
        <v>59051</v>
      </c>
      <c r="N20" s="840" t="s">
        <v>17</v>
      </c>
    </row>
    <row r="21" spans="1:14" ht="15.75" thickBot="1">
      <c r="D21" s="844">
        <f t="shared" ref="D21:I21" si="39">SUM(D19:D20)</f>
        <v>67296</v>
      </c>
      <c r="E21" s="844">
        <f t="shared" si="39"/>
        <v>65914</v>
      </c>
      <c r="F21" s="844">
        <f t="shared" si="39"/>
        <v>65360</v>
      </c>
      <c r="G21" s="844">
        <f t="shared" si="39"/>
        <v>66374</v>
      </c>
      <c r="H21" s="844">
        <f t="shared" si="39"/>
        <v>66731</v>
      </c>
      <c r="I21" s="844">
        <f t="shared" si="39"/>
        <v>67465</v>
      </c>
      <c r="J21" s="844">
        <f t="shared" ref="J21:K21" si="40">SUM(J19:J20)</f>
        <v>67635</v>
      </c>
      <c r="K21" s="844">
        <f t="shared" si="40"/>
        <v>69757</v>
      </c>
      <c r="L21" s="844">
        <f t="shared" ref="L21" si="41">SUM(L19:L20)</f>
        <v>71468</v>
      </c>
    </row>
    <row r="22" spans="1:14">
      <c r="D22" s="846"/>
      <c r="E22" s="846"/>
      <c r="F22" s="846"/>
      <c r="G22" s="846"/>
      <c r="H22" s="846"/>
      <c r="I22" s="846"/>
      <c r="J22" s="846"/>
      <c r="K22" s="846"/>
      <c r="L22" s="846"/>
    </row>
    <row r="23" spans="1:14">
      <c r="A23" s="840" t="s">
        <v>4867</v>
      </c>
      <c r="D23" s="843">
        <f t="shared" ref="D23:I23" si="42">D185</f>
        <v>65739</v>
      </c>
      <c r="E23" s="843">
        <f t="shared" si="42"/>
        <v>66995</v>
      </c>
      <c r="F23" s="843">
        <f t="shared" si="42"/>
        <v>66692</v>
      </c>
      <c r="G23" s="843">
        <f t="shared" si="42"/>
        <v>67446</v>
      </c>
      <c r="H23" s="843">
        <f t="shared" si="42"/>
        <v>67706</v>
      </c>
      <c r="I23" s="843">
        <f t="shared" si="42"/>
        <v>68297</v>
      </c>
      <c r="J23" s="843">
        <f t="shared" ref="J23:K23" si="43">J185</f>
        <v>67586</v>
      </c>
      <c r="K23" s="843">
        <f t="shared" si="43"/>
        <v>68456</v>
      </c>
      <c r="L23" s="843">
        <f t="shared" ref="L23" si="44">L185</f>
        <v>69522</v>
      </c>
      <c r="N23" s="840" t="s">
        <v>17</v>
      </c>
    </row>
    <row r="24" spans="1:14">
      <c r="D24" s="846"/>
      <c r="E24" s="846"/>
      <c r="F24" s="846"/>
      <c r="G24" s="846"/>
      <c r="H24" s="846"/>
      <c r="I24" s="846"/>
      <c r="J24" s="846"/>
      <c r="K24" s="846"/>
      <c r="L24" s="846"/>
    </row>
    <row r="25" spans="1:14">
      <c r="A25" s="840" t="s">
        <v>4868</v>
      </c>
      <c r="D25" s="843">
        <f t="shared" ref="D25:I25" si="45">D217</f>
        <v>69461</v>
      </c>
      <c r="E25" s="843">
        <f t="shared" si="45"/>
        <v>70322</v>
      </c>
      <c r="F25" s="843">
        <f t="shared" si="45"/>
        <v>71509</v>
      </c>
      <c r="G25" s="843">
        <f t="shared" si="45"/>
        <v>71878</v>
      </c>
      <c r="H25" s="843">
        <f t="shared" si="45"/>
        <v>71655</v>
      </c>
      <c r="I25" s="843">
        <f t="shared" si="45"/>
        <v>72190</v>
      </c>
      <c r="J25" s="843">
        <f t="shared" ref="J25:K25" si="46">J217</f>
        <v>70868</v>
      </c>
      <c r="K25" s="843">
        <f t="shared" si="46"/>
        <v>71526</v>
      </c>
      <c r="L25" s="843">
        <f t="shared" ref="L25" si="47">L217</f>
        <v>72668</v>
      </c>
      <c r="N25" s="840" t="s">
        <v>1497</v>
      </c>
    </row>
    <row r="26" spans="1:14">
      <c r="D26" s="846"/>
      <c r="E26" s="846"/>
      <c r="F26" s="846"/>
      <c r="G26" s="846"/>
      <c r="H26" s="846"/>
      <c r="I26" s="846"/>
      <c r="J26" s="846"/>
      <c r="K26" s="846"/>
      <c r="L26" s="846"/>
    </row>
    <row r="27" spans="1:14">
      <c r="A27" s="840" t="s">
        <v>3205</v>
      </c>
      <c r="D27" s="843">
        <f t="shared" ref="D27:I27" si="48">D110</f>
        <v>74595</v>
      </c>
      <c r="E27" s="843">
        <f t="shared" si="48"/>
        <v>73613</v>
      </c>
      <c r="F27" s="843">
        <f t="shared" si="48"/>
        <v>73713</v>
      </c>
      <c r="G27" s="843">
        <f t="shared" si="48"/>
        <v>73463</v>
      </c>
      <c r="H27" s="843">
        <f t="shared" si="48"/>
        <v>73250</v>
      </c>
      <c r="I27" s="843">
        <f t="shared" si="48"/>
        <v>69165</v>
      </c>
      <c r="J27" s="843">
        <f t="shared" ref="J27:K27" si="49">J110</f>
        <v>69582</v>
      </c>
      <c r="K27" s="843">
        <f t="shared" si="49"/>
        <v>74817</v>
      </c>
      <c r="L27" s="843">
        <f t="shared" ref="L27" si="50">L110</f>
        <v>75098</v>
      </c>
      <c r="N27" s="840" t="s">
        <v>18</v>
      </c>
    </row>
    <row r="28" spans="1:14">
      <c r="D28" s="846"/>
      <c r="E28" s="846"/>
      <c r="F28" s="846"/>
      <c r="G28" s="846"/>
      <c r="H28" s="846"/>
      <c r="I28" s="846"/>
      <c r="J28" s="846"/>
      <c r="K28" s="846"/>
      <c r="L28" s="846"/>
    </row>
    <row r="29" spans="1:14">
      <c r="A29" s="840" t="s">
        <v>3206</v>
      </c>
      <c r="D29" s="843">
        <f t="shared" ref="D29:I29" si="51">D111</f>
        <v>49597</v>
      </c>
      <c r="E29" s="843">
        <f t="shared" si="51"/>
        <v>49225</v>
      </c>
      <c r="F29" s="843">
        <f t="shared" si="51"/>
        <v>49316</v>
      </c>
      <c r="G29" s="843">
        <f t="shared" si="51"/>
        <v>49187</v>
      </c>
      <c r="H29" s="843">
        <f t="shared" si="51"/>
        <v>49201</v>
      </c>
      <c r="I29" s="843">
        <f t="shared" si="51"/>
        <v>46658</v>
      </c>
      <c r="J29" s="843">
        <f t="shared" ref="J29:K29" si="52">J111</f>
        <v>46831</v>
      </c>
      <c r="K29" s="843">
        <f t="shared" si="52"/>
        <v>50553</v>
      </c>
      <c r="L29" s="843">
        <f t="shared" ref="L29" si="53">L111</f>
        <v>50362</v>
      </c>
      <c r="N29" s="840" t="s">
        <v>18</v>
      </c>
    </row>
    <row r="30" spans="1:14" ht="15.75" thickBot="1">
      <c r="D30" s="844">
        <f t="shared" ref="D30:I30" si="54">D186</f>
        <v>16639</v>
      </c>
      <c r="E30" s="844">
        <f t="shared" si="54"/>
        <v>15975</v>
      </c>
      <c r="F30" s="844">
        <f t="shared" si="54"/>
        <v>16040</v>
      </c>
      <c r="G30" s="844">
        <f t="shared" si="54"/>
        <v>16384</v>
      </c>
      <c r="H30" s="844">
        <f t="shared" si="54"/>
        <v>16330</v>
      </c>
      <c r="I30" s="844">
        <f t="shared" si="54"/>
        <v>16512</v>
      </c>
      <c r="J30" s="844">
        <f t="shared" ref="J30:K30" si="55">J186</f>
        <v>16527</v>
      </c>
      <c r="K30" s="844">
        <f t="shared" si="55"/>
        <v>17078</v>
      </c>
      <c r="L30" s="844">
        <f t="shared" ref="L30" si="56">L186</f>
        <v>17388</v>
      </c>
      <c r="N30" s="840" t="s">
        <v>17</v>
      </c>
    </row>
    <row r="31" spans="1:14" ht="15.75" thickBot="1">
      <c r="D31" s="844">
        <f t="shared" ref="D31:I31" si="57">D29+D30</f>
        <v>66236</v>
      </c>
      <c r="E31" s="844">
        <f t="shared" si="57"/>
        <v>65200</v>
      </c>
      <c r="F31" s="844">
        <f t="shared" si="57"/>
        <v>65356</v>
      </c>
      <c r="G31" s="844">
        <f t="shared" si="57"/>
        <v>65571</v>
      </c>
      <c r="H31" s="844">
        <f t="shared" si="57"/>
        <v>65531</v>
      </c>
      <c r="I31" s="844">
        <f t="shared" si="57"/>
        <v>63170</v>
      </c>
      <c r="J31" s="844">
        <f t="shared" ref="J31:K31" si="58">J29+J30</f>
        <v>63358</v>
      </c>
      <c r="K31" s="844">
        <f t="shared" si="58"/>
        <v>67631</v>
      </c>
      <c r="L31" s="844">
        <f t="shared" ref="L31" si="59">L29+L30</f>
        <v>67750</v>
      </c>
    </row>
    <row r="32" spans="1:14">
      <c r="D32" s="846"/>
      <c r="E32" s="846"/>
      <c r="F32" s="846"/>
      <c r="G32" s="846"/>
      <c r="H32" s="846"/>
      <c r="I32" s="846"/>
      <c r="J32" s="846"/>
      <c r="K32" s="846"/>
      <c r="L32" s="846"/>
    </row>
    <row r="33" spans="1:14">
      <c r="A33" s="840" t="s">
        <v>3207</v>
      </c>
      <c r="D33" s="843">
        <f t="shared" ref="D33:I33" si="60">D218</f>
        <v>22170</v>
      </c>
      <c r="E33" s="843">
        <f t="shared" si="60"/>
        <v>22228</v>
      </c>
      <c r="F33" s="843">
        <f t="shared" si="60"/>
        <v>22535</v>
      </c>
      <c r="G33" s="843">
        <f t="shared" si="60"/>
        <v>22525</v>
      </c>
      <c r="H33" s="843">
        <f t="shared" si="60"/>
        <v>22351</v>
      </c>
      <c r="I33" s="843">
        <f t="shared" si="60"/>
        <v>22429</v>
      </c>
      <c r="J33" s="843">
        <f t="shared" ref="J33:K33" si="61">J218</f>
        <v>22090</v>
      </c>
      <c r="K33" s="843">
        <f t="shared" si="61"/>
        <v>22344</v>
      </c>
      <c r="L33" s="843">
        <f t="shared" ref="L33" si="62">L218</f>
        <v>22744</v>
      </c>
      <c r="N33" s="840" t="s">
        <v>1497</v>
      </c>
    </row>
    <row r="34" spans="1:14" ht="15.75" thickBot="1">
      <c r="D34" s="844">
        <f t="shared" ref="D34:I34" si="63">D187</f>
        <v>44689</v>
      </c>
      <c r="E34" s="844">
        <f t="shared" si="63"/>
        <v>43780</v>
      </c>
      <c r="F34" s="844">
        <f t="shared" si="63"/>
        <v>42920</v>
      </c>
      <c r="G34" s="844">
        <f t="shared" si="63"/>
        <v>43670</v>
      </c>
      <c r="H34" s="844">
        <f t="shared" si="63"/>
        <v>44315</v>
      </c>
      <c r="I34" s="844">
        <f t="shared" si="63"/>
        <v>45071</v>
      </c>
      <c r="J34" s="844">
        <f t="shared" ref="J34:K34" si="64">J187</f>
        <v>45044</v>
      </c>
      <c r="K34" s="844">
        <f t="shared" si="64"/>
        <v>45980</v>
      </c>
      <c r="L34" s="844">
        <f t="shared" ref="L34" si="65">L187</f>
        <v>47385</v>
      </c>
      <c r="N34" s="840" t="s">
        <v>17</v>
      </c>
    </row>
    <row r="35" spans="1:14" ht="15.75" thickBot="1">
      <c r="D35" s="844">
        <f t="shared" ref="D35:I35" si="66">D33+D34</f>
        <v>66859</v>
      </c>
      <c r="E35" s="844">
        <f t="shared" si="66"/>
        <v>66008</v>
      </c>
      <c r="F35" s="844">
        <f t="shared" si="66"/>
        <v>65455</v>
      </c>
      <c r="G35" s="844">
        <f t="shared" si="66"/>
        <v>66195</v>
      </c>
      <c r="H35" s="844">
        <f t="shared" si="66"/>
        <v>66666</v>
      </c>
      <c r="I35" s="844">
        <f t="shared" si="66"/>
        <v>67500</v>
      </c>
      <c r="J35" s="844">
        <f t="shared" ref="J35:K35" si="67">J33+J34</f>
        <v>67134</v>
      </c>
      <c r="K35" s="844">
        <f t="shared" si="67"/>
        <v>68324</v>
      </c>
      <c r="L35" s="844">
        <f t="shared" ref="L35" si="68">L33+L34</f>
        <v>70129</v>
      </c>
    </row>
    <row r="36" spans="1:14">
      <c r="D36" s="846"/>
      <c r="E36" s="846"/>
      <c r="F36" s="846"/>
      <c r="G36" s="846"/>
      <c r="H36" s="846"/>
      <c r="I36" s="846"/>
      <c r="J36" s="846"/>
      <c r="K36" s="846"/>
      <c r="L36" s="846"/>
    </row>
    <row r="37" spans="1:14">
      <c r="A37" s="840" t="s">
        <v>8697</v>
      </c>
      <c r="D37" s="843">
        <f t="shared" ref="D37:I37" si="69">D13+D15+D17+D21+D23+D25+D27+D31+D35</f>
        <v>632360</v>
      </c>
      <c r="E37" s="843">
        <f t="shared" si="69"/>
        <v>628997</v>
      </c>
      <c r="F37" s="843">
        <f t="shared" si="69"/>
        <v>629006</v>
      </c>
      <c r="G37" s="843">
        <f t="shared" si="69"/>
        <v>631177</v>
      </c>
      <c r="H37" s="843">
        <f t="shared" si="69"/>
        <v>633443</v>
      </c>
      <c r="I37" s="843">
        <f t="shared" si="69"/>
        <v>619616</v>
      </c>
      <c r="J37" s="843">
        <f t="shared" ref="J37:K37" si="70">J13+J15+J17+J21+J23+J25+J27+J31+J35</f>
        <v>620361</v>
      </c>
      <c r="K37" s="843">
        <f t="shared" si="70"/>
        <v>647278</v>
      </c>
      <c r="L37" s="843">
        <f t="shared" ref="L37" si="71">L13+L15+L17+L21+L23+L25+L27+L31+L35</f>
        <v>656834</v>
      </c>
    </row>
    <row r="38" spans="1:14">
      <c r="D38" s="846"/>
      <c r="E38" s="846"/>
      <c r="F38" s="846"/>
      <c r="G38" s="846"/>
      <c r="H38" s="846"/>
      <c r="I38" s="846"/>
      <c r="J38" s="846"/>
      <c r="K38" s="846"/>
      <c r="L38" s="846"/>
    </row>
    <row r="39" spans="1:14">
      <c r="A39" s="840" t="s">
        <v>8698</v>
      </c>
      <c r="D39" s="843">
        <f t="shared" ref="D39:I39" si="72">MAX(D13,D15,D17,D21,D23,D25,D27,D31,D35)-MIN(D13,D15,D17,D21,D23,D25,D27,D31,D35)</f>
        <v>12730</v>
      </c>
      <c r="E39" s="843">
        <f t="shared" si="72"/>
        <v>13645</v>
      </c>
      <c r="F39" s="843">
        <f t="shared" si="72"/>
        <v>13425</v>
      </c>
      <c r="G39" s="843">
        <f t="shared" si="72"/>
        <v>12185</v>
      </c>
      <c r="H39" s="843">
        <f t="shared" si="72"/>
        <v>11361</v>
      </c>
      <c r="I39" s="843">
        <f t="shared" si="72"/>
        <v>9020</v>
      </c>
      <c r="J39" s="843">
        <f t="shared" ref="J39:K39" si="73">MAX(J13,J15,J17,J21,J23,J25,J27,J31,J35)-MIN(J13,J15,J17,J21,J23,J25,J27,J31,J35)</f>
        <v>8881</v>
      </c>
      <c r="K39" s="843">
        <f t="shared" si="73"/>
        <v>10416</v>
      </c>
      <c r="L39" s="843">
        <f t="shared" ref="L39" si="74">MAX(L13,L15,L17,L21,L23,L25,L27,L31,L35)-MIN(L13,L15,L17,L21,L23,L25,L27,L31,L35)</f>
        <v>10794</v>
      </c>
    </row>
    <row r="40" spans="1:14">
      <c r="D40" s="846"/>
      <c r="E40" s="846"/>
      <c r="F40" s="846"/>
      <c r="G40" s="846"/>
      <c r="H40" s="846"/>
      <c r="I40" s="846"/>
      <c r="J40" s="846"/>
      <c r="K40" s="846"/>
      <c r="L40" s="846"/>
    </row>
    <row r="41" spans="1:14">
      <c r="A41" s="840" t="s">
        <v>8701</v>
      </c>
      <c r="D41" s="843">
        <f t="shared" ref="D41:I41" si="75">STDEVP(D13,D15,D21,D23,D25,D27,D31,D35)</f>
        <v>3364.3482257898036</v>
      </c>
      <c r="E41" s="843">
        <f t="shared" si="75"/>
        <v>3226.5858503997688</v>
      </c>
      <c r="F41" s="843">
        <f t="shared" si="75"/>
        <v>3522.4633581309258</v>
      </c>
      <c r="G41" s="843">
        <f t="shared" si="75"/>
        <v>3211.0168925707944</v>
      </c>
      <c r="H41" s="843">
        <f t="shared" si="75"/>
        <v>3129.8444624893104</v>
      </c>
      <c r="I41" s="843">
        <f t="shared" si="75"/>
        <v>2520.7773602601242</v>
      </c>
      <c r="J41" s="843">
        <f t="shared" ref="J41:K41" si="76">STDEVP(J13,J15,J21,J23,J25,J27,J31,J35)</f>
        <v>2474.6687025741444</v>
      </c>
      <c r="K41" s="843">
        <f t="shared" si="76"/>
        <v>3013.0158661007745</v>
      </c>
      <c r="L41" s="843">
        <f t="shared" ref="L41" si="77">STDEVP(L13,L15,L21,L23,L25,L27,L31,L35)</f>
        <v>2974.2044629614825</v>
      </c>
    </row>
    <row r="42" spans="1:14">
      <c r="A42" s="840"/>
      <c r="D42" s="847"/>
      <c r="E42" s="847"/>
      <c r="F42" s="847"/>
      <c r="G42" s="847"/>
      <c r="H42" s="847"/>
      <c r="I42" s="847"/>
      <c r="J42" s="847"/>
      <c r="K42" s="847"/>
      <c r="L42" s="847"/>
    </row>
    <row r="43" spans="1:14">
      <c r="A43" s="840" t="s">
        <v>4963</v>
      </c>
      <c r="D43" s="847"/>
      <c r="E43" s="847"/>
      <c r="F43" s="847"/>
      <c r="G43" s="847"/>
      <c r="H43" s="847"/>
      <c r="I43" s="847"/>
      <c r="J43" s="847"/>
      <c r="K43" s="847"/>
      <c r="L43" s="847"/>
    </row>
    <row r="44" spans="1:14">
      <c r="A44" s="840" t="s">
        <v>4964</v>
      </c>
      <c r="D44" s="847"/>
      <c r="E44" s="847"/>
      <c r="F44" s="847"/>
      <c r="G44" s="847"/>
      <c r="H44" s="847"/>
      <c r="I44" s="847"/>
      <c r="J44" s="847"/>
      <c r="K44" s="847"/>
      <c r="L44" s="847"/>
    </row>
    <row r="45" spans="1:14">
      <c r="A45" s="840"/>
      <c r="D45" s="847"/>
      <c r="E45" s="847"/>
      <c r="F45" s="847"/>
      <c r="G45" s="847"/>
      <c r="H45" s="847"/>
      <c r="I45" s="847"/>
      <c r="J45" s="847"/>
      <c r="K45" s="847"/>
      <c r="L45" s="847"/>
    </row>
    <row r="46" spans="1:14">
      <c r="A46" s="840"/>
      <c r="D46" s="847"/>
      <c r="E46" s="847"/>
      <c r="F46" s="847"/>
      <c r="G46" s="847"/>
      <c r="H46" s="847"/>
      <c r="I46" s="847"/>
      <c r="J46" s="847"/>
      <c r="K46" s="847"/>
      <c r="L46" s="847"/>
    </row>
    <row r="47" spans="1:14">
      <c r="E47" s="24" t="s">
        <v>2303</v>
      </c>
      <c r="F47" s="24"/>
      <c r="G47" s="24"/>
      <c r="H47" s="24"/>
      <c r="I47" s="24"/>
      <c r="J47" s="24"/>
      <c r="K47" s="24"/>
      <c r="L47" s="24"/>
      <c r="M47" s="25"/>
      <c r="N47" s="29" t="s">
        <v>13319</v>
      </c>
    </row>
    <row r="48" spans="1:14">
      <c r="D48" s="841">
        <v>2010</v>
      </c>
      <c r="E48" s="841">
        <v>2011</v>
      </c>
      <c r="F48" s="841">
        <v>2012</v>
      </c>
      <c r="G48" s="841">
        <v>2013</v>
      </c>
      <c r="H48" s="841">
        <v>2014</v>
      </c>
      <c r="I48" s="841">
        <v>2015</v>
      </c>
      <c r="J48" s="841">
        <v>2016</v>
      </c>
      <c r="K48" s="841">
        <v>2017</v>
      </c>
      <c r="L48" s="841">
        <v>2018</v>
      </c>
      <c r="N48" s="29" t="s">
        <v>2304</v>
      </c>
    </row>
    <row r="49" spans="1:17">
      <c r="A49" s="840" t="s">
        <v>7609</v>
      </c>
      <c r="C49" s="840"/>
      <c r="D49" s="843">
        <f>SUM(D50:D55)+SUM(D57:D76)+SUM(D78:D105)</f>
        <v>288796</v>
      </c>
      <c r="E49" s="843">
        <f t="shared" ref="E49:F49" si="78">SUM(E50:E55)+SUM(E57:E76)+SUM(E78:E105)</f>
        <v>286944</v>
      </c>
      <c r="F49" s="843">
        <f t="shared" si="78"/>
        <v>287281</v>
      </c>
      <c r="G49" s="843">
        <f t="shared" ref="G49:H49" si="79">SUM(G50:G55)+SUM(G57:G76)+SUM(G78:G105)</f>
        <v>285686</v>
      </c>
      <c r="H49" s="843">
        <f t="shared" si="79"/>
        <v>285058</v>
      </c>
      <c r="I49" s="843">
        <f t="shared" ref="I49:K49" si="80">SUM(I50:I55)+SUM(I57:I76)+SUM(I78:I105)</f>
        <v>268206</v>
      </c>
      <c r="J49" s="843">
        <f t="shared" si="80"/>
        <v>270905</v>
      </c>
      <c r="K49" s="843">
        <f t="shared" si="80"/>
        <v>292068</v>
      </c>
      <c r="L49" s="843">
        <f t="shared" ref="L49" si="81">SUM(L50:L55)+SUM(L57:L76)+SUM(L78:L105)</f>
        <v>293679</v>
      </c>
    </row>
    <row r="50" spans="1:17">
      <c r="A50" s="848">
        <v>1</v>
      </c>
      <c r="B50" s="840" t="s">
        <v>12540</v>
      </c>
      <c r="C50" s="509" t="s">
        <v>12674</v>
      </c>
      <c r="D50" s="843">
        <v>49597</v>
      </c>
      <c r="E50" s="843">
        <v>49225</v>
      </c>
      <c r="F50" s="843">
        <v>3688</v>
      </c>
      <c r="G50" s="843">
        <v>3648</v>
      </c>
      <c r="H50" s="48">
        <v>3610</v>
      </c>
      <c r="I50" s="48">
        <v>3561</v>
      </c>
      <c r="J50" s="48">
        <v>3425</v>
      </c>
      <c r="K50" s="846">
        <v>3784</v>
      </c>
      <c r="L50" s="846">
        <v>3779</v>
      </c>
      <c r="N50" s="840" t="s">
        <v>3206</v>
      </c>
      <c r="O50" s="4"/>
      <c r="Q50" s="4"/>
    </row>
    <row r="51" spans="1:17">
      <c r="A51" s="848">
        <v>2</v>
      </c>
      <c r="B51" s="840" t="s">
        <v>4974</v>
      </c>
      <c r="C51" s="509" t="s">
        <v>12675</v>
      </c>
      <c r="D51" s="843">
        <v>74806</v>
      </c>
      <c r="E51" s="843">
        <v>73820</v>
      </c>
      <c r="F51" s="843">
        <v>9508</v>
      </c>
      <c r="G51" s="843">
        <v>9459</v>
      </c>
      <c r="H51" s="48">
        <v>9439</v>
      </c>
      <c r="I51" s="48">
        <v>8917</v>
      </c>
      <c r="J51" s="48">
        <v>8998</v>
      </c>
      <c r="K51" s="48">
        <v>9622</v>
      </c>
      <c r="L51" s="48">
        <v>9644</v>
      </c>
      <c r="N51" s="840" t="s">
        <v>4864</v>
      </c>
      <c r="O51" s="4"/>
      <c r="Q51" s="4"/>
    </row>
    <row r="52" spans="1:17">
      <c r="A52" s="848">
        <v>3</v>
      </c>
      <c r="B52" s="840" t="s">
        <v>12581</v>
      </c>
      <c r="C52" s="509" t="s">
        <v>12676</v>
      </c>
      <c r="D52" s="843">
        <v>11329</v>
      </c>
      <c r="E52" s="843">
        <v>11441</v>
      </c>
      <c r="F52" s="843">
        <v>3792</v>
      </c>
      <c r="G52" s="843">
        <v>3786</v>
      </c>
      <c r="H52" s="48">
        <v>3772</v>
      </c>
      <c r="I52" s="48">
        <v>3679</v>
      </c>
      <c r="J52" s="48">
        <v>3715</v>
      </c>
      <c r="K52" s="48">
        <v>3990</v>
      </c>
      <c r="L52" s="48">
        <v>3958</v>
      </c>
      <c r="N52" s="840" t="s">
        <v>4866</v>
      </c>
      <c r="O52" s="4"/>
      <c r="Q52" s="4"/>
    </row>
    <row r="53" spans="1:17">
      <c r="A53" s="848">
        <v>4</v>
      </c>
      <c r="B53" s="840" t="s">
        <v>12580</v>
      </c>
      <c r="C53" s="509" t="s">
        <v>12677</v>
      </c>
      <c r="D53" s="843">
        <v>74595</v>
      </c>
      <c r="E53" s="843">
        <v>73613</v>
      </c>
      <c r="F53" s="843">
        <v>6657</v>
      </c>
      <c r="G53" s="843">
        <v>6641</v>
      </c>
      <c r="H53" s="48">
        <v>6653</v>
      </c>
      <c r="I53" s="48">
        <v>6259</v>
      </c>
      <c r="J53" s="48">
        <v>6298</v>
      </c>
      <c r="K53" s="48">
        <v>6798</v>
      </c>
      <c r="L53" s="48">
        <v>6855</v>
      </c>
      <c r="N53" s="840" t="s">
        <v>3205</v>
      </c>
      <c r="O53" s="4"/>
      <c r="Q53" s="4"/>
    </row>
    <row r="54" spans="1:17">
      <c r="A54" s="848">
        <v>5</v>
      </c>
      <c r="B54" s="840" t="s">
        <v>12579</v>
      </c>
      <c r="C54" s="509" t="s">
        <v>12678</v>
      </c>
      <c r="D54" s="843">
        <v>0</v>
      </c>
      <c r="E54" s="843">
        <v>0</v>
      </c>
      <c r="F54" s="843">
        <v>3691</v>
      </c>
      <c r="G54" s="843">
        <v>3659</v>
      </c>
      <c r="H54" s="48">
        <v>3664</v>
      </c>
      <c r="I54" s="48">
        <v>3561</v>
      </c>
      <c r="J54" s="48">
        <v>3612</v>
      </c>
      <c r="K54" s="48">
        <v>4043</v>
      </c>
      <c r="L54" s="48">
        <v>4216</v>
      </c>
      <c r="N54" s="840" t="s">
        <v>4864</v>
      </c>
      <c r="O54" s="4"/>
      <c r="Q54" s="4"/>
    </row>
    <row r="55" spans="1:17" ht="15.75" thickBot="1">
      <c r="A55" s="848"/>
      <c r="B55" s="840"/>
      <c r="C55" s="509" t="s">
        <v>12678</v>
      </c>
      <c r="D55" s="844">
        <v>0</v>
      </c>
      <c r="E55" s="844">
        <v>0</v>
      </c>
      <c r="F55" s="844">
        <v>188</v>
      </c>
      <c r="G55" s="849">
        <v>184</v>
      </c>
      <c r="H55" s="48">
        <v>198</v>
      </c>
      <c r="I55" s="48">
        <v>189</v>
      </c>
      <c r="J55" s="48">
        <v>185</v>
      </c>
      <c r="K55" s="48">
        <v>197</v>
      </c>
      <c r="L55" s="48">
        <v>198</v>
      </c>
      <c r="N55" s="840" t="s">
        <v>4866</v>
      </c>
      <c r="O55" s="4"/>
      <c r="Q55" s="4"/>
    </row>
    <row r="56" spans="1:17" ht="15.75" thickBot="1">
      <c r="A56" s="848"/>
      <c r="B56" s="840"/>
      <c r="C56" s="509" t="s">
        <v>12678</v>
      </c>
      <c r="D56" s="850">
        <f>D54+D55</f>
        <v>0</v>
      </c>
      <c r="E56" s="850">
        <f t="shared" ref="E56:L56" si="82">E54+E55</f>
        <v>0</v>
      </c>
      <c r="F56" s="850">
        <f t="shared" si="82"/>
        <v>3879</v>
      </c>
      <c r="G56" s="850">
        <f t="shared" si="82"/>
        <v>3843</v>
      </c>
      <c r="H56" s="850">
        <f t="shared" si="82"/>
        <v>3862</v>
      </c>
      <c r="I56" s="850">
        <f t="shared" si="82"/>
        <v>3750</v>
      </c>
      <c r="J56" s="850">
        <f t="shared" si="82"/>
        <v>3797</v>
      </c>
      <c r="K56" s="850">
        <f t="shared" si="82"/>
        <v>4240</v>
      </c>
      <c r="L56" s="850">
        <f t="shared" si="82"/>
        <v>4414</v>
      </c>
      <c r="N56" s="840"/>
      <c r="O56" s="4"/>
      <c r="Q56" s="4"/>
    </row>
    <row r="57" spans="1:17">
      <c r="A57" s="848">
        <v>6</v>
      </c>
      <c r="B57" s="840" t="s">
        <v>12578</v>
      </c>
      <c r="C57" s="509" t="s">
        <v>12679</v>
      </c>
      <c r="D57" s="843">
        <v>0</v>
      </c>
      <c r="E57" s="843">
        <v>0</v>
      </c>
      <c r="F57" s="843">
        <v>6549</v>
      </c>
      <c r="G57" s="843">
        <v>6627</v>
      </c>
      <c r="H57" s="48">
        <v>6770</v>
      </c>
      <c r="I57" s="48">
        <v>6376</v>
      </c>
      <c r="J57" s="48">
        <v>6408</v>
      </c>
      <c r="K57" s="48">
        <v>6831</v>
      </c>
      <c r="L57" s="48">
        <v>6793</v>
      </c>
      <c r="N57" s="840" t="s">
        <v>3205</v>
      </c>
      <c r="O57" s="4"/>
      <c r="Q57" s="4"/>
    </row>
    <row r="58" spans="1:17">
      <c r="A58" s="848">
        <v>7</v>
      </c>
      <c r="B58" s="840" t="s">
        <v>12577</v>
      </c>
      <c r="C58" s="509" t="s">
        <v>12680</v>
      </c>
      <c r="D58" s="843">
        <v>0</v>
      </c>
      <c r="E58" s="843">
        <v>0</v>
      </c>
      <c r="F58" s="843">
        <v>3579</v>
      </c>
      <c r="G58" s="843">
        <v>3543</v>
      </c>
      <c r="H58" s="48">
        <v>3589</v>
      </c>
      <c r="I58" s="48">
        <v>3511</v>
      </c>
      <c r="J58" s="48">
        <v>3530</v>
      </c>
      <c r="K58" s="48">
        <v>3805</v>
      </c>
      <c r="L58" s="48">
        <v>3810</v>
      </c>
      <c r="N58" s="840" t="s">
        <v>4866</v>
      </c>
      <c r="O58" s="4"/>
      <c r="Q58" s="4"/>
    </row>
    <row r="59" spans="1:17">
      <c r="A59" s="848">
        <v>8</v>
      </c>
      <c r="B59" s="840" t="s">
        <v>12576</v>
      </c>
      <c r="C59" s="509" t="s">
        <v>12681</v>
      </c>
      <c r="D59" s="843">
        <v>0</v>
      </c>
      <c r="E59" s="843">
        <v>0</v>
      </c>
      <c r="F59" s="843">
        <v>3254</v>
      </c>
      <c r="G59" s="843">
        <v>3206</v>
      </c>
      <c r="H59" s="48">
        <v>3206</v>
      </c>
      <c r="I59" s="48">
        <v>3127</v>
      </c>
      <c r="J59" s="48">
        <v>3169</v>
      </c>
      <c r="K59" s="48">
        <v>3435</v>
      </c>
      <c r="L59" s="48">
        <v>3432</v>
      </c>
      <c r="N59" s="840" t="s">
        <v>3206</v>
      </c>
      <c r="O59" s="4"/>
      <c r="Q59" s="4"/>
    </row>
    <row r="60" spans="1:17">
      <c r="A60" s="848">
        <v>9</v>
      </c>
      <c r="B60" s="840" t="s">
        <v>12574</v>
      </c>
      <c r="C60" s="509" t="s">
        <v>12682</v>
      </c>
      <c r="D60" s="843">
        <v>0</v>
      </c>
      <c r="E60" s="843">
        <v>0</v>
      </c>
      <c r="F60" s="843">
        <v>10603</v>
      </c>
      <c r="G60" s="843">
        <v>10600</v>
      </c>
      <c r="H60" s="48">
        <v>10677</v>
      </c>
      <c r="I60" s="48">
        <v>10028</v>
      </c>
      <c r="J60" s="48">
        <v>10104</v>
      </c>
      <c r="K60" s="48">
        <v>10703</v>
      </c>
      <c r="L60" s="48">
        <v>10786</v>
      </c>
      <c r="N60" s="840" t="s">
        <v>4864</v>
      </c>
      <c r="O60" s="4"/>
      <c r="Q60" s="4"/>
    </row>
    <row r="61" spans="1:17">
      <c r="A61" s="848">
        <v>10</v>
      </c>
      <c r="B61" s="840" t="s">
        <v>12575</v>
      </c>
      <c r="C61" s="509" t="s">
        <v>12683</v>
      </c>
      <c r="D61" s="843">
        <v>0</v>
      </c>
      <c r="E61" s="843">
        <v>0</v>
      </c>
      <c r="F61" s="843">
        <v>10755</v>
      </c>
      <c r="G61" s="843">
        <v>10744</v>
      </c>
      <c r="H61" s="48">
        <v>10767</v>
      </c>
      <c r="I61" s="48">
        <v>9999</v>
      </c>
      <c r="J61" s="48">
        <v>10053</v>
      </c>
      <c r="K61" s="48">
        <v>10676</v>
      </c>
      <c r="L61" s="48">
        <v>10653</v>
      </c>
      <c r="N61" s="840" t="s">
        <v>4864</v>
      </c>
      <c r="O61" s="4"/>
      <c r="Q61" s="4"/>
    </row>
    <row r="62" spans="1:17">
      <c r="A62" s="848">
        <v>11</v>
      </c>
      <c r="B62" s="840" t="s">
        <v>12572</v>
      </c>
      <c r="C62" s="509" t="s">
        <v>12684</v>
      </c>
      <c r="D62" s="843">
        <v>78469</v>
      </c>
      <c r="E62" s="843">
        <v>78845</v>
      </c>
      <c r="F62" s="843">
        <v>3419</v>
      </c>
      <c r="G62" s="843">
        <v>3143</v>
      </c>
      <c r="H62" s="48">
        <v>2953</v>
      </c>
      <c r="I62" s="48">
        <v>2693</v>
      </c>
      <c r="J62" s="48">
        <v>2863</v>
      </c>
      <c r="K62" s="48">
        <v>3288</v>
      </c>
      <c r="L62" s="48">
        <v>3381</v>
      </c>
      <c r="N62" s="840" t="s">
        <v>4865</v>
      </c>
      <c r="O62" s="4"/>
      <c r="Q62" s="4"/>
    </row>
    <row r="63" spans="1:17">
      <c r="A63" s="848">
        <v>12</v>
      </c>
      <c r="B63" s="840" t="s">
        <v>3273</v>
      </c>
      <c r="C63" s="509" t="s">
        <v>12685</v>
      </c>
      <c r="D63" s="843">
        <v>0</v>
      </c>
      <c r="E63" s="843">
        <v>0</v>
      </c>
      <c r="F63" s="843">
        <v>10634</v>
      </c>
      <c r="G63" s="843">
        <v>10439</v>
      </c>
      <c r="H63" s="48">
        <v>10228</v>
      </c>
      <c r="I63" s="48">
        <v>9291</v>
      </c>
      <c r="J63" s="48">
        <v>9429</v>
      </c>
      <c r="K63" s="48">
        <v>10218</v>
      </c>
      <c r="L63" s="48">
        <v>10350</v>
      </c>
      <c r="N63" s="840" t="s">
        <v>4865</v>
      </c>
      <c r="O63" s="4"/>
      <c r="Q63" s="4"/>
    </row>
    <row r="64" spans="1:17">
      <c r="A64" s="848">
        <v>13</v>
      </c>
      <c r="B64" s="840" t="s">
        <v>3274</v>
      </c>
      <c r="C64" s="509" t="s">
        <v>12686</v>
      </c>
      <c r="D64" s="843">
        <v>0</v>
      </c>
      <c r="E64" s="843">
        <v>0</v>
      </c>
      <c r="F64" s="843">
        <v>3556</v>
      </c>
      <c r="G64" s="843">
        <v>3455</v>
      </c>
      <c r="H64" s="48">
        <v>3495</v>
      </c>
      <c r="I64" s="48">
        <v>3134</v>
      </c>
      <c r="J64" s="48">
        <v>3202</v>
      </c>
      <c r="K64" s="48">
        <v>3437</v>
      </c>
      <c r="L64" s="48">
        <v>3446</v>
      </c>
      <c r="N64" s="840" t="s">
        <v>4865</v>
      </c>
      <c r="O64" s="4"/>
    </row>
    <row r="65" spans="1:17">
      <c r="A65" s="848">
        <v>14</v>
      </c>
      <c r="B65" s="840" t="s">
        <v>12573</v>
      </c>
      <c r="C65" s="509" t="s">
        <v>12687</v>
      </c>
      <c r="D65" s="843">
        <v>0</v>
      </c>
      <c r="E65" s="843">
        <v>0</v>
      </c>
      <c r="F65" s="843">
        <v>3582</v>
      </c>
      <c r="G65" s="843">
        <v>3504</v>
      </c>
      <c r="H65" s="48">
        <v>3362</v>
      </c>
      <c r="I65" s="48">
        <v>3083</v>
      </c>
      <c r="J65" s="48">
        <v>2963</v>
      </c>
      <c r="K65" s="48">
        <v>3227</v>
      </c>
      <c r="L65" s="48">
        <v>3203</v>
      </c>
      <c r="N65" s="840" t="s">
        <v>4865</v>
      </c>
      <c r="O65" s="48"/>
      <c r="Q65" s="4"/>
    </row>
    <row r="66" spans="1:17">
      <c r="A66" s="848">
        <v>15</v>
      </c>
      <c r="B66" s="840" t="s">
        <v>3275</v>
      </c>
      <c r="C66" s="509" t="s">
        <v>12688</v>
      </c>
      <c r="D66" s="843">
        <v>0</v>
      </c>
      <c r="E66" s="843">
        <v>0</v>
      </c>
      <c r="F66" s="843">
        <v>7286</v>
      </c>
      <c r="G66" s="843">
        <v>7009</v>
      </c>
      <c r="H66" s="48">
        <v>6788</v>
      </c>
      <c r="I66" s="48">
        <v>6284</v>
      </c>
      <c r="J66" s="48">
        <v>6307</v>
      </c>
      <c r="K66" s="48">
        <v>6839</v>
      </c>
      <c r="L66" s="48">
        <v>6762</v>
      </c>
      <c r="N66" s="840" t="s">
        <v>4865</v>
      </c>
      <c r="O66" s="4"/>
      <c r="Q66" s="4"/>
    </row>
    <row r="67" spans="1:17">
      <c r="A67" s="848">
        <v>16</v>
      </c>
      <c r="B67" s="840" t="s">
        <v>3276</v>
      </c>
      <c r="C67" s="509" t="s">
        <v>12689</v>
      </c>
      <c r="D67" s="843">
        <v>0</v>
      </c>
      <c r="E67" s="843">
        <v>0</v>
      </c>
      <c r="F67" s="843">
        <v>7345</v>
      </c>
      <c r="G67" s="843">
        <v>7255</v>
      </c>
      <c r="H67" s="48">
        <v>7203</v>
      </c>
      <c r="I67" s="48">
        <v>6417</v>
      </c>
      <c r="J67" s="48">
        <v>6527</v>
      </c>
      <c r="K67" s="48">
        <v>7086</v>
      </c>
      <c r="L67" s="48">
        <v>7151</v>
      </c>
      <c r="N67" s="840" t="s">
        <v>4865</v>
      </c>
      <c r="O67" s="4"/>
      <c r="Q67" s="4"/>
    </row>
    <row r="68" spans="1:17">
      <c r="A68" s="848">
        <v>17</v>
      </c>
      <c r="B68" s="840" t="s">
        <v>3387</v>
      </c>
      <c r="C68" s="509" t="s">
        <v>12690</v>
      </c>
      <c r="D68" s="843">
        <v>0</v>
      </c>
      <c r="E68" s="843">
        <v>0</v>
      </c>
      <c r="F68" s="843">
        <v>7539</v>
      </c>
      <c r="G68" s="843">
        <v>7552</v>
      </c>
      <c r="H68" s="48">
        <v>7560</v>
      </c>
      <c r="I68" s="48">
        <v>7325</v>
      </c>
      <c r="J68" s="48">
        <v>7416</v>
      </c>
      <c r="K68" s="48">
        <v>7912</v>
      </c>
      <c r="L68" s="48">
        <v>7918</v>
      </c>
      <c r="N68" s="840" t="s">
        <v>4864</v>
      </c>
      <c r="O68" s="4"/>
      <c r="Q68" s="4"/>
    </row>
    <row r="69" spans="1:17">
      <c r="A69" s="848">
        <v>18</v>
      </c>
      <c r="B69" s="840" t="s">
        <v>12571</v>
      </c>
      <c r="C69" s="509" t="s">
        <v>12691</v>
      </c>
      <c r="D69" s="843">
        <v>0</v>
      </c>
      <c r="E69" s="843">
        <v>0</v>
      </c>
      <c r="F69" s="843">
        <v>3616</v>
      </c>
      <c r="G69" s="843">
        <v>3602</v>
      </c>
      <c r="H69" s="48">
        <v>3586</v>
      </c>
      <c r="I69" s="48">
        <v>3310</v>
      </c>
      <c r="J69" s="48">
        <v>3485</v>
      </c>
      <c r="K69" s="48">
        <v>3850</v>
      </c>
      <c r="L69" s="48">
        <v>3864</v>
      </c>
      <c r="N69" s="840" t="s">
        <v>3205</v>
      </c>
      <c r="O69" s="4"/>
      <c r="Q69" s="4"/>
    </row>
    <row r="70" spans="1:17">
      <c r="A70" s="848">
        <v>19</v>
      </c>
      <c r="B70" s="840" t="s">
        <v>12570</v>
      </c>
      <c r="C70" s="509" t="s">
        <v>12692</v>
      </c>
      <c r="D70" s="843">
        <v>0</v>
      </c>
      <c r="E70" s="843">
        <v>0</v>
      </c>
      <c r="F70" s="843">
        <v>3196</v>
      </c>
      <c r="G70" s="843">
        <v>3168</v>
      </c>
      <c r="H70" s="48">
        <v>3217</v>
      </c>
      <c r="I70" s="48">
        <v>3127</v>
      </c>
      <c r="J70" s="48">
        <v>3079</v>
      </c>
      <c r="K70" s="48">
        <v>3263</v>
      </c>
      <c r="L70" s="48">
        <v>3271</v>
      </c>
      <c r="N70" s="840" t="s">
        <v>3205</v>
      </c>
      <c r="O70" s="4"/>
      <c r="Q70" s="4"/>
    </row>
    <row r="71" spans="1:17">
      <c r="A71" s="848">
        <v>20</v>
      </c>
      <c r="B71" s="840" t="s">
        <v>12569</v>
      </c>
      <c r="C71" s="509" t="s">
        <v>12693</v>
      </c>
      <c r="D71" s="843">
        <v>0</v>
      </c>
      <c r="E71" s="843">
        <v>0</v>
      </c>
      <c r="F71" s="843">
        <v>7008</v>
      </c>
      <c r="G71" s="843">
        <v>7053</v>
      </c>
      <c r="H71" s="48">
        <v>7035</v>
      </c>
      <c r="I71" s="48">
        <v>6536</v>
      </c>
      <c r="J71" s="48">
        <v>6709</v>
      </c>
      <c r="K71" s="48">
        <v>7232</v>
      </c>
      <c r="L71" s="48">
        <v>7256</v>
      </c>
      <c r="N71" s="840" t="s">
        <v>3206</v>
      </c>
      <c r="O71" s="4"/>
      <c r="Q71" s="4"/>
    </row>
    <row r="72" spans="1:17">
      <c r="A72" s="848">
        <v>21</v>
      </c>
      <c r="B72" s="840" t="s">
        <v>12568</v>
      </c>
      <c r="C72" s="509" t="s">
        <v>12694</v>
      </c>
      <c r="D72" s="849">
        <v>0</v>
      </c>
      <c r="E72" s="849">
        <v>0</v>
      </c>
      <c r="F72" s="849">
        <v>6676</v>
      </c>
      <c r="G72" s="849">
        <v>6694</v>
      </c>
      <c r="H72" s="48">
        <v>6660</v>
      </c>
      <c r="I72" s="48">
        <v>6250</v>
      </c>
      <c r="J72" s="48">
        <v>6240</v>
      </c>
      <c r="K72" s="48">
        <v>6766</v>
      </c>
      <c r="L72" s="48">
        <v>6814</v>
      </c>
      <c r="N72" s="840" t="s">
        <v>4865</v>
      </c>
      <c r="O72" s="4"/>
      <c r="Q72" s="4"/>
    </row>
    <row r="73" spans="1:17">
      <c r="A73" s="848">
        <v>22</v>
      </c>
      <c r="B73" s="840" t="s">
        <v>12567</v>
      </c>
      <c r="C73" s="509" t="s">
        <v>12695</v>
      </c>
      <c r="D73" s="843">
        <v>0</v>
      </c>
      <c r="E73" s="843">
        <v>0</v>
      </c>
      <c r="F73" s="843">
        <v>3532</v>
      </c>
      <c r="G73" s="843">
        <v>3526</v>
      </c>
      <c r="H73" s="48">
        <v>3499</v>
      </c>
      <c r="I73" s="48">
        <v>3464</v>
      </c>
      <c r="J73" s="48">
        <v>3349</v>
      </c>
      <c r="K73" s="48">
        <v>3638</v>
      </c>
      <c r="L73" s="48">
        <v>3635</v>
      </c>
      <c r="N73" s="840" t="s">
        <v>3206</v>
      </c>
      <c r="O73" s="4"/>
      <c r="Q73" s="4"/>
    </row>
    <row r="74" spans="1:17">
      <c r="A74" s="848">
        <v>23</v>
      </c>
      <c r="B74" s="840" t="s">
        <v>3277</v>
      </c>
      <c r="C74" s="509" t="s">
        <v>12696</v>
      </c>
      <c r="D74" s="849">
        <v>0</v>
      </c>
      <c r="E74" s="849">
        <v>0</v>
      </c>
      <c r="F74" s="849">
        <v>10371</v>
      </c>
      <c r="G74" s="849">
        <v>10330</v>
      </c>
      <c r="H74" s="48">
        <v>10337</v>
      </c>
      <c r="I74" s="48">
        <v>9762</v>
      </c>
      <c r="J74" s="48">
        <v>9902</v>
      </c>
      <c r="K74" s="48">
        <v>10513</v>
      </c>
      <c r="L74" s="48">
        <v>10412</v>
      </c>
      <c r="N74" s="840" t="s">
        <v>3206</v>
      </c>
      <c r="O74" s="4"/>
      <c r="Q74" s="4"/>
    </row>
    <row r="75" spans="1:17">
      <c r="A75" s="848">
        <v>24</v>
      </c>
      <c r="B75" s="840" t="s">
        <v>12566</v>
      </c>
      <c r="C75" s="509" t="s">
        <v>12697</v>
      </c>
      <c r="D75" s="843">
        <v>0</v>
      </c>
      <c r="E75" s="843">
        <v>0</v>
      </c>
      <c r="F75" s="843">
        <v>3971</v>
      </c>
      <c r="G75" s="843">
        <v>3950</v>
      </c>
      <c r="H75" s="48">
        <v>3837</v>
      </c>
      <c r="I75" s="48">
        <v>3804</v>
      </c>
      <c r="J75" s="48">
        <v>3802</v>
      </c>
      <c r="K75" s="48">
        <v>4003</v>
      </c>
      <c r="L75" s="48">
        <v>3943</v>
      </c>
      <c r="N75" s="840" t="s">
        <v>4865</v>
      </c>
      <c r="O75" s="4"/>
      <c r="Q75" s="4"/>
    </row>
    <row r="76" spans="1:17" ht="15.75" thickBot="1">
      <c r="A76" s="848"/>
      <c r="B76" s="840"/>
      <c r="C76" s="509" t="s">
        <v>12697</v>
      </c>
      <c r="D76" s="844">
        <v>0</v>
      </c>
      <c r="E76" s="844">
        <v>0</v>
      </c>
      <c r="F76" s="844">
        <v>77</v>
      </c>
      <c r="G76" s="849">
        <v>68</v>
      </c>
      <c r="H76" s="48">
        <v>65</v>
      </c>
      <c r="I76" s="48">
        <v>63</v>
      </c>
      <c r="J76" s="48">
        <v>87</v>
      </c>
      <c r="K76" s="48">
        <v>179</v>
      </c>
      <c r="L76" s="48">
        <v>283</v>
      </c>
      <c r="N76" s="840" t="s">
        <v>4866</v>
      </c>
      <c r="O76" s="4"/>
      <c r="Q76" s="4"/>
    </row>
    <row r="77" spans="1:17" ht="15.75" thickBot="1">
      <c r="A77" s="848"/>
      <c r="B77" s="840"/>
      <c r="C77" s="509" t="s">
        <v>12697</v>
      </c>
      <c r="D77" s="850">
        <f>D75+D76</f>
        <v>0</v>
      </c>
      <c r="E77" s="850">
        <f t="shared" ref="E77:L77" si="83">E75+E76</f>
        <v>0</v>
      </c>
      <c r="F77" s="850">
        <f t="shared" si="83"/>
        <v>4048</v>
      </c>
      <c r="G77" s="850">
        <f t="shared" si="83"/>
        <v>4018</v>
      </c>
      <c r="H77" s="850">
        <f t="shared" si="83"/>
        <v>3902</v>
      </c>
      <c r="I77" s="850">
        <f t="shared" si="83"/>
        <v>3867</v>
      </c>
      <c r="J77" s="850">
        <f t="shared" si="83"/>
        <v>3889</v>
      </c>
      <c r="K77" s="850">
        <f t="shared" si="83"/>
        <v>4182</v>
      </c>
      <c r="L77" s="850">
        <f t="shared" si="83"/>
        <v>4226</v>
      </c>
      <c r="N77" s="840"/>
      <c r="O77" s="4"/>
      <c r="Q77" s="4"/>
    </row>
    <row r="78" spans="1:17">
      <c r="A78" s="848">
        <v>25</v>
      </c>
      <c r="B78" s="840" t="s">
        <v>12560</v>
      </c>
      <c r="C78" s="509" t="s">
        <v>12698</v>
      </c>
      <c r="D78" s="843">
        <v>0</v>
      </c>
      <c r="E78" s="843">
        <v>0</v>
      </c>
      <c r="F78" s="843">
        <v>6620</v>
      </c>
      <c r="G78" s="843">
        <v>6588</v>
      </c>
      <c r="H78" s="48">
        <v>6333</v>
      </c>
      <c r="I78" s="48">
        <v>5961</v>
      </c>
      <c r="J78" s="48">
        <v>6102</v>
      </c>
      <c r="K78" s="48">
        <v>6834</v>
      </c>
      <c r="L78" s="48">
        <v>7009</v>
      </c>
      <c r="N78" s="840" t="s">
        <v>3205</v>
      </c>
      <c r="O78" s="4"/>
      <c r="Q78" s="4"/>
    </row>
    <row r="79" spans="1:17">
      <c r="A79" s="848">
        <v>26</v>
      </c>
      <c r="B79" s="840" t="s">
        <v>12561</v>
      </c>
      <c r="C79" s="509" t="s">
        <v>12699</v>
      </c>
      <c r="D79" s="843">
        <v>0</v>
      </c>
      <c r="E79" s="843">
        <v>0</v>
      </c>
      <c r="F79" s="843">
        <v>3475</v>
      </c>
      <c r="G79" s="843">
        <v>3494</v>
      </c>
      <c r="H79" s="48">
        <v>3485</v>
      </c>
      <c r="I79" s="48">
        <v>3195</v>
      </c>
      <c r="J79" s="48">
        <v>3249</v>
      </c>
      <c r="K79" s="48">
        <v>3531</v>
      </c>
      <c r="L79" s="48">
        <v>3539</v>
      </c>
      <c r="N79" s="840" t="s">
        <v>3205</v>
      </c>
      <c r="O79" s="4"/>
      <c r="Q79" s="4"/>
    </row>
    <row r="80" spans="1:17">
      <c r="A80" s="848">
        <v>27</v>
      </c>
      <c r="B80" s="840" t="s">
        <v>12562</v>
      </c>
      <c r="C80" s="509" t="s">
        <v>12700</v>
      </c>
      <c r="D80" s="843">
        <v>0</v>
      </c>
      <c r="E80" s="843">
        <v>0</v>
      </c>
      <c r="F80" s="843">
        <v>3414</v>
      </c>
      <c r="G80" s="843">
        <v>3450</v>
      </c>
      <c r="H80" s="48">
        <v>3399</v>
      </c>
      <c r="I80" s="48">
        <v>3130</v>
      </c>
      <c r="J80" s="48">
        <v>3188</v>
      </c>
      <c r="K80" s="48">
        <v>3422</v>
      </c>
      <c r="L80" s="48">
        <v>3473</v>
      </c>
      <c r="N80" s="840" t="s">
        <v>3205</v>
      </c>
      <c r="O80" s="4"/>
      <c r="Q80" s="4"/>
    </row>
    <row r="81" spans="1:17">
      <c r="A81" s="97">
        <v>28</v>
      </c>
      <c r="B81" s="840" t="s">
        <v>12563</v>
      </c>
      <c r="C81" s="509" t="s">
        <v>12701</v>
      </c>
      <c r="D81" s="843">
        <v>0</v>
      </c>
      <c r="E81" s="843">
        <v>0</v>
      </c>
      <c r="F81" s="843">
        <v>6420</v>
      </c>
      <c r="G81" s="843">
        <v>6334</v>
      </c>
      <c r="H81" s="48">
        <v>6235</v>
      </c>
      <c r="I81" s="48">
        <v>5902</v>
      </c>
      <c r="J81" s="48">
        <v>5898</v>
      </c>
      <c r="K81" s="48">
        <v>6306</v>
      </c>
      <c r="L81" s="48">
        <v>6349</v>
      </c>
      <c r="N81" s="840" t="s">
        <v>3205</v>
      </c>
      <c r="O81" s="4"/>
      <c r="Q81" s="4"/>
    </row>
    <row r="82" spans="1:17">
      <c r="A82" s="97">
        <v>29</v>
      </c>
      <c r="B82" s="840" t="s">
        <v>12564</v>
      </c>
      <c r="C82" s="509" t="s">
        <v>12702</v>
      </c>
      <c r="D82" s="843">
        <v>0</v>
      </c>
      <c r="E82" s="843">
        <v>0</v>
      </c>
      <c r="F82" s="843">
        <v>7112</v>
      </c>
      <c r="G82" s="843">
        <v>6997</v>
      </c>
      <c r="H82" s="48">
        <v>7002</v>
      </c>
      <c r="I82" s="48">
        <v>6766</v>
      </c>
      <c r="J82" s="48">
        <v>6690</v>
      </c>
      <c r="K82" s="48">
        <v>7225</v>
      </c>
      <c r="L82" s="48">
        <v>7277</v>
      </c>
      <c r="N82" s="840" t="s">
        <v>3205</v>
      </c>
      <c r="O82" s="4"/>
      <c r="Q82" s="4"/>
    </row>
    <row r="83" spans="1:17">
      <c r="A83" s="97">
        <v>30</v>
      </c>
      <c r="B83" s="840" t="s">
        <v>12565</v>
      </c>
      <c r="C83" s="509" t="s">
        <v>12703</v>
      </c>
      <c r="D83" s="843">
        <v>0</v>
      </c>
      <c r="E83" s="843">
        <v>0</v>
      </c>
      <c r="F83" s="843">
        <v>6359</v>
      </c>
      <c r="G83" s="843">
        <v>6303</v>
      </c>
      <c r="H83" s="48">
        <v>6246</v>
      </c>
      <c r="I83" s="48">
        <v>5769</v>
      </c>
      <c r="J83" s="48">
        <v>5814</v>
      </c>
      <c r="K83" s="48">
        <v>6239</v>
      </c>
      <c r="L83" s="48">
        <v>6242</v>
      </c>
      <c r="N83" s="840" t="s">
        <v>3205</v>
      </c>
      <c r="O83" s="4"/>
      <c r="Q83" s="4"/>
    </row>
    <row r="84" spans="1:17">
      <c r="A84" s="97">
        <v>31</v>
      </c>
      <c r="B84" s="840" t="s">
        <v>4975</v>
      </c>
      <c r="C84" s="509" t="s">
        <v>12704</v>
      </c>
      <c r="D84" s="843">
        <v>0</v>
      </c>
      <c r="E84" s="843">
        <v>0</v>
      </c>
      <c r="F84" s="843">
        <v>10488</v>
      </c>
      <c r="G84" s="843">
        <v>10460</v>
      </c>
      <c r="H84" s="48">
        <v>10552</v>
      </c>
      <c r="I84" s="48">
        <v>9669</v>
      </c>
      <c r="J84" s="48">
        <v>10089</v>
      </c>
      <c r="K84" s="48">
        <v>10968</v>
      </c>
      <c r="L84" s="48">
        <v>11099</v>
      </c>
      <c r="N84" s="840" t="s">
        <v>4864</v>
      </c>
      <c r="O84" s="4"/>
      <c r="Q84" s="4"/>
    </row>
    <row r="85" spans="1:17">
      <c r="A85" s="97">
        <v>32</v>
      </c>
      <c r="B85" s="840" t="s">
        <v>12559</v>
      </c>
      <c r="C85" s="509" t="s">
        <v>12705</v>
      </c>
      <c r="D85" s="843">
        <v>0</v>
      </c>
      <c r="E85" s="843">
        <v>0</v>
      </c>
      <c r="F85" s="843">
        <v>3690</v>
      </c>
      <c r="G85" s="843">
        <v>3639</v>
      </c>
      <c r="H85" s="48">
        <v>3577</v>
      </c>
      <c r="I85" s="48">
        <v>3416</v>
      </c>
      <c r="J85" s="48">
        <v>3357</v>
      </c>
      <c r="K85" s="48">
        <v>3663</v>
      </c>
      <c r="L85" s="48">
        <v>3629</v>
      </c>
      <c r="N85" s="840" t="s">
        <v>3206</v>
      </c>
      <c r="O85" s="4"/>
      <c r="Q85" s="4"/>
    </row>
    <row r="86" spans="1:17">
      <c r="A86" s="97">
        <v>33</v>
      </c>
      <c r="B86" s="840" t="s">
        <v>12557</v>
      </c>
      <c r="C86" s="509" t="s">
        <v>12706</v>
      </c>
      <c r="D86" s="843">
        <v>0</v>
      </c>
      <c r="E86" s="843">
        <v>0</v>
      </c>
      <c r="F86" s="843">
        <v>7091</v>
      </c>
      <c r="G86" s="843">
        <v>7091</v>
      </c>
      <c r="H86" s="48">
        <v>7082</v>
      </c>
      <c r="I86" s="48">
        <v>6457</v>
      </c>
      <c r="J86" s="48">
        <v>6550</v>
      </c>
      <c r="K86" s="48">
        <v>7098</v>
      </c>
      <c r="L86" s="48">
        <v>7032</v>
      </c>
      <c r="N86" s="840" t="s">
        <v>4865</v>
      </c>
      <c r="O86" s="4"/>
      <c r="Q86" s="4"/>
    </row>
    <row r="87" spans="1:17">
      <c r="A87" s="97">
        <v>34</v>
      </c>
      <c r="B87" s="840" t="s">
        <v>12558</v>
      </c>
      <c r="C87" s="509" t="s">
        <v>12707</v>
      </c>
      <c r="D87" s="843">
        <v>0</v>
      </c>
      <c r="E87" s="843">
        <v>0</v>
      </c>
      <c r="F87" s="843">
        <v>6527</v>
      </c>
      <c r="G87" s="843">
        <v>6513</v>
      </c>
      <c r="H87" s="48">
        <v>6600</v>
      </c>
      <c r="I87" s="48">
        <v>6099</v>
      </c>
      <c r="J87" s="48">
        <v>6320</v>
      </c>
      <c r="K87" s="48">
        <v>6901</v>
      </c>
      <c r="L87" s="48">
        <v>7025</v>
      </c>
      <c r="N87" s="840" t="s">
        <v>4865</v>
      </c>
      <c r="O87" s="4"/>
      <c r="Q87" s="4"/>
    </row>
    <row r="88" spans="1:17">
      <c r="A88" s="97">
        <v>35</v>
      </c>
      <c r="B88" s="840" t="s">
        <v>12556</v>
      </c>
      <c r="C88" s="509" t="s">
        <v>12708</v>
      </c>
      <c r="D88" s="843">
        <v>0</v>
      </c>
      <c r="E88" s="843">
        <v>0</v>
      </c>
      <c r="F88" s="843">
        <v>6995</v>
      </c>
      <c r="G88" s="843">
        <v>6987</v>
      </c>
      <c r="H88" s="48">
        <v>7024</v>
      </c>
      <c r="I88" s="48">
        <v>6663</v>
      </c>
      <c r="J88" s="48">
        <v>6619</v>
      </c>
      <c r="K88" s="48">
        <v>7056</v>
      </c>
      <c r="L88" s="48">
        <v>7026</v>
      </c>
      <c r="N88" s="840" t="s">
        <v>4864</v>
      </c>
      <c r="O88" s="4"/>
      <c r="Q88" s="4"/>
    </row>
    <row r="89" spans="1:17">
      <c r="A89" s="97">
        <v>36</v>
      </c>
      <c r="B89" s="840" t="s">
        <v>12554</v>
      </c>
      <c r="C89" s="509" t="s">
        <v>12709</v>
      </c>
      <c r="D89" s="843">
        <v>0</v>
      </c>
      <c r="E89" s="843">
        <v>0</v>
      </c>
      <c r="F89" s="843">
        <v>6336</v>
      </c>
      <c r="G89" s="843">
        <v>6365</v>
      </c>
      <c r="H89" s="48">
        <v>6335</v>
      </c>
      <c r="I89" s="48">
        <v>6028</v>
      </c>
      <c r="J89" s="48">
        <v>6037</v>
      </c>
      <c r="K89" s="48">
        <v>6320</v>
      </c>
      <c r="L89" s="48">
        <v>6316</v>
      </c>
      <c r="N89" s="840" t="s">
        <v>3205</v>
      </c>
      <c r="O89" s="4"/>
      <c r="Q89" s="4"/>
    </row>
    <row r="90" spans="1:17">
      <c r="A90" s="97">
        <v>37</v>
      </c>
      <c r="B90" s="840" t="s">
        <v>12555</v>
      </c>
      <c r="C90" s="509" t="s">
        <v>12710</v>
      </c>
      <c r="D90" s="843">
        <v>0</v>
      </c>
      <c r="E90" s="843">
        <v>0</v>
      </c>
      <c r="F90" s="843">
        <v>6884</v>
      </c>
      <c r="G90" s="843">
        <v>6859</v>
      </c>
      <c r="H90" s="48">
        <v>6883</v>
      </c>
      <c r="I90" s="48">
        <v>6575</v>
      </c>
      <c r="J90" s="48">
        <v>6584</v>
      </c>
      <c r="K90" s="48">
        <v>6942</v>
      </c>
      <c r="L90" s="48">
        <v>6895</v>
      </c>
      <c r="N90" s="840" t="s">
        <v>3205</v>
      </c>
      <c r="O90" s="4"/>
      <c r="Q90" s="4"/>
    </row>
    <row r="91" spans="1:17">
      <c r="A91" s="97">
        <v>38</v>
      </c>
      <c r="B91" s="840" t="s">
        <v>8604</v>
      </c>
      <c r="C91" s="509" t="s">
        <v>12711</v>
      </c>
      <c r="D91" s="843">
        <v>0</v>
      </c>
      <c r="E91" s="843">
        <v>0</v>
      </c>
      <c r="F91" s="843">
        <v>3545</v>
      </c>
      <c r="G91" s="843">
        <v>3521</v>
      </c>
      <c r="H91" s="48">
        <v>3541</v>
      </c>
      <c r="I91" s="48">
        <v>3368</v>
      </c>
      <c r="J91" s="48">
        <v>3321</v>
      </c>
      <c r="K91" s="48">
        <v>3594</v>
      </c>
      <c r="L91" s="48">
        <v>3581</v>
      </c>
      <c r="N91" s="840" t="s">
        <v>3205</v>
      </c>
      <c r="O91" s="4"/>
      <c r="Q91" s="4"/>
    </row>
    <row r="92" spans="1:17">
      <c r="A92" s="97">
        <v>39</v>
      </c>
      <c r="B92" s="840" t="s">
        <v>12550</v>
      </c>
      <c r="C92" s="509" t="s">
        <v>12712</v>
      </c>
      <c r="D92" s="843">
        <v>0</v>
      </c>
      <c r="E92" s="843">
        <v>0</v>
      </c>
      <c r="F92" s="843">
        <v>3580</v>
      </c>
      <c r="G92" s="843">
        <v>3544</v>
      </c>
      <c r="H92" s="48">
        <v>3624</v>
      </c>
      <c r="I92" s="48">
        <v>3455</v>
      </c>
      <c r="J92" s="48">
        <v>3614</v>
      </c>
      <c r="K92" s="48">
        <v>3966</v>
      </c>
      <c r="L92" s="48">
        <v>4114</v>
      </c>
      <c r="N92" s="840" t="s">
        <v>4864</v>
      </c>
      <c r="O92" s="4"/>
      <c r="Q92" s="4"/>
    </row>
    <row r="93" spans="1:17">
      <c r="A93" s="97">
        <v>40</v>
      </c>
      <c r="B93" s="840" t="s">
        <v>12551</v>
      </c>
      <c r="C93" s="509" t="s">
        <v>12713</v>
      </c>
      <c r="D93" s="843">
        <v>0</v>
      </c>
      <c r="E93" s="843">
        <v>0</v>
      </c>
      <c r="F93" s="843">
        <v>3534</v>
      </c>
      <c r="G93" s="843">
        <v>3584</v>
      </c>
      <c r="H93" s="48">
        <v>3609</v>
      </c>
      <c r="I93" s="48">
        <v>3335</v>
      </c>
      <c r="J93" s="48">
        <v>3580</v>
      </c>
      <c r="K93" s="48">
        <v>4010</v>
      </c>
      <c r="L93" s="48">
        <v>4164</v>
      </c>
      <c r="N93" s="840" t="s">
        <v>4864</v>
      </c>
      <c r="O93" s="4"/>
      <c r="Q93" s="4"/>
    </row>
    <row r="94" spans="1:17">
      <c r="A94" s="96">
        <v>41</v>
      </c>
      <c r="B94" s="840" t="s">
        <v>12552</v>
      </c>
      <c r="C94" s="509" t="s">
        <v>12714</v>
      </c>
      <c r="D94" s="843">
        <v>0</v>
      </c>
      <c r="E94" s="843">
        <v>0</v>
      </c>
      <c r="F94" s="843">
        <v>3440</v>
      </c>
      <c r="G94" s="843">
        <v>3475</v>
      </c>
      <c r="H94" s="48">
        <v>3491</v>
      </c>
      <c r="I94" s="48">
        <v>3302</v>
      </c>
      <c r="J94" s="48">
        <v>3318</v>
      </c>
      <c r="K94" s="48">
        <v>3548</v>
      </c>
      <c r="L94" s="48">
        <v>3545</v>
      </c>
      <c r="N94" s="840" t="s">
        <v>4864</v>
      </c>
      <c r="O94" s="4"/>
      <c r="Q94" s="4"/>
    </row>
    <row r="95" spans="1:17">
      <c r="A95" s="96">
        <v>42</v>
      </c>
      <c r="B95" s="840" t="s">
        <v>12553</v>
      </c>
      <c r="C95" s="509" t="s">
        <v>12715</v>
      </c>
      <c r="D95" s="843">
        <v>0</v>
      </c>
      <c r="E95" s="843">
        <v>0</v>
      </c>
      <c r="F95" s="843">
        <v>3950</v>
      </c>
      <c r="G95" s="843">
        <v>3967</v>
      </c>
      <c r="H95" s="48">
        <v>3964</v>
      </c>
      <c r="I95" s="48">
        <v>3706</v>
      </c>
      <c r="J95" s="48">
        <v>3699</v>
      </c>
      <c r="K95" s="48">
        <v>3961</v>
      </c>
      <c r="L95" s="48">
        <v>4093</v>
      </c>
      <c r="N95" s="840" t="s">
        <v>4864</v>
      </c>
      <c r="O95" s="4"/>
      <c r="Q95" s="4"/>
    </row>
    <row r="96" spans="1:17">
      <c r="A96" s="96">
        <v>43</v>
      </c>
      <c r="B96" s="840" t="s">
        <v>12549</v>
      </c>
      <c r="C96" s="509" t="s">
        <v>12716</v>
      </c>
      <c r="D96" s="843">
        <v>0</v>
      </c>
      <c r="E96" s="843">
        <v>0</v>
      </c>
      <c r="F96" s="843">
        <v>3212</v>
      </c>
      <c r="G96" s="843">
        <v>3212</v>
      </c>
      <c r="H96" s="48">
        <v>3229</v>
      </c>
      <c r="I96" s="48">
        <v>3032</v>
      </c>
      <c r="J96" s="48">
        <v>3091</v>
      </c>
      <c r="K96" s="48">
        <v>3373</v>
      </c>
      <c r="L96" s="48">
        <v>3587</v>
      </c>
      <c r="N96" s="840" t="s">
        <v>4865</v>
      </c>
      <c r="O96" s="4"/>
      <c r="Q96" s="4"/>
    </row>
    <row r="97" spans="1:17">
      <c r="A97" s="96">
        <v>44</v>
      </c>
      <c r="B97" s="840" t="s">
        <v>8811</v>
      </c>
      <c r="C97" s="509" t="s">
        <v>12717</v>
      </c>
      <c r="D97" s="843">
        <v>0</v>
      </c>
      <c r="E97" s="843">
        <v>0</v>
      </c>
      <c r="F97" s="843">
        <v>3530</v>
      </c>
      <c r="G97" s="843">
        <v>3514</v>
      </c>
      <c r="H97" s="48">
        <v>3565</v>
      </c>
      <c r="I97" s="48">
        <v>3399</v>
      </c>
      <c r="J97" s="48">
        <v>3429</v>
      </c>
      <c r="K97" s="48">
        <v>3662</v>
      </c>
      <c r="L97" s="48">
        <v>3634</v>
      </c>
      <c r="N97" s="840" t="s">
        <v>3205</v>
      </c>
      <c r="O97" s="4"/>
      <c r="Q97" s="4"/>
    </row>
    <row r="98" spans="1:17">
      <c r="A98" s="96">
        <v>45</v>
      </c>
      <c r="B98" s="840" t="s">
        <v>12548</v>
      </c>
      <c r="C98" s="509" t="s">
        <v>12718</v>
      </c>
      <c r="D98" s="843">
        <v>0</v>
      </c>
      <c r="E98" s="843">
        <v>0</v>
      </c>
      <c r="F98" s="843">
        <v>3862</v>
      </c>
      <c r="G98" s="843">
        <v>3860</v>
      </c>
      <c r="H98" s="48">
        <v>3825</v>
      </c>
      <c r="I98" s="48">
        <v>3592</v>
      </c>
      <c r="J98" s="48">
        <v>3670</v>
      </c>
      <c r="K98" s="48">
        <v>3893</v>
      </c>
      <c r="L98" s="48">
        <v>3944</v>
      </c>
      <c r="N98" s="840" t="s">
        <v>4865</v>
      </c>
      <c r="O98" s="4"/>
      <c r="Q98" s="4"/>
    </row>
    <row r="99" spans="1:17">
      <c r="A99" s="96">
        <v>46</v>
      </c>
      <c r="B99" s="840" t="s">
        <v>12544</v>
      </c>
      <c r="C99" s="509" t="s">
        <v>12719</v>
      </c>
      <c r="D99" s="843">
        <v>0</v>
      </c>
      <c r="E99" s="843">
        <v>0</v>
      </c>
      <c r="F99" s="843">
        <v>3407</v>
      </c>
      <c r="G99" s="843">
        <v>3398</v>
      </c>
      <c r="H99" s="48">
        <v>3444</v>
      </c>
      <c r="I99" s="48">
        <v>3246</v>
      </c>
      <c r="J99" s="48">
        <v>3294</v>
      </c>
      <c r="K99" s="48">
        <v>3568</v>
      </c>
      <c r="L99" s="48">
        <v>3632</v>
      </c>
      <c r="N99" s="840" t="s">
        <v>3206</v>
      </c>
      <c r="O99" s="4"/>
      <c r="Q99" s="4"/>
    </row>
    <row r="100" spans="1:17">
      <c r="A100" s="96">
        <v>47</v>
      </c>
      <c r="B100" s="840" t="s">
        <v>12545</v>
      </c>
      <c r="C100" s="509" t="s">
        <v>12720</v>
      </c>
      <c r="D100" s="843">
        <v>0</v>
      </c>
      <c r="E100" s="843">
        <v>0</v>
      </c>
      <c r="F100" s="843">
        <v>3101</v>
      </c>
      <c r="G100" s="843">
        <v>3108</v>
      </c>
      <c r="H100" s="48">
        <v>3108</v>
      </c>
      <c r="I100" s="48">
        <v>2873</v>
      </c>
      <c r="J100" s="48">
        <v>2880</v>
      </c>
      <c r="K100" s="48">
        <v>3136</v>
      </c>
      <c r="L100" s="48">
        <v>3166</v>
      </c>
      <c r="N100" s="840" t="s">
        <v>3206</v>
      </c>
      <c r="O100" s="4"/>
      <c r="Q100" s="4"/>
    </row>
    <row r="101" spans="1:17">
      <c r="A101" s="96">
        <v>48</v>
      </c>
      <c r="B101" s="840" t="s">
        <v>12546</v>
      </c>
      <c r="C101" s="509" t="s">
        <v>12721</v>
      </c>
      <c r="D101" s="843">
        <v>0</v>
      </c>
      <c r="E101" s="843">
        <v>0</v>
      </c>
      <c r="F101" s="843">
        <v>3559</v>
      </c>
      <c r="G101" s="843">
        <v>3499</v>
      </c>
      <c r="H101" s="48">
        <v>3527</v>
      </c>
      <c r="I101" s="48">
        <v>3325</v>
      </c>
      <c r="J101" s="48">
        <v>3304</v>
      </c>
      <c r="K101" s="48">
        <v>3620</v>
      </c>
      <c r="L101" s="48">
        <v>3536</v>
      </c>
      <c r="N101" s="840" t="s">
        <v>3206</v>
      </c>
      <c r="O101" s="4"/>
      <c r="Q101" s="4"/>
    </row>
    <row r="102" spans="1:17">
      <c r="A102" s="96">
        <v>49</v>
      </c>
      <c r="B102" s="840" t="s">
        <v>12547</v>
      </c>
      <c r="C102" s="509" t="s">
        <v>12722</v>
      </c>
      <c r="D102" s="843">
        <v>0</v>
      </c>
      <c r="E102" s="843">
        <v>0</v>
      </c>
      <c r="F102" s="843">
        <v>7706</v>
      </c>
      <c r="G102" s="843">
        <v>7780</v>
      </c>
      <c r="H102" s="48">
        <v>7858</v>
      </c>
      <c r="I102" s="48">
        <v>7348</v>
      </c>
      <c r="J102" s="48">
        <v>7442</v>
      </c>
      <c r="K102" s="48">
        <v>7964</v>
      </c>
      <c r="L102" s="48">
        <v>7885</v>
      </c>
      <c r="N102" s="840" t="s">
        <v>3206</v>
      </c>
      <c r="O102" s="4"/>
      <c r="Q102" s="4"/>
    </row>
    <row r="103" spans="1:17">
      <c r="A103" s="96">
        <v>50</v>
      </c>
      <c r="B103" s="840" t="s">
        <v>12543</v>
      </c>
      <c r="C103" s="509" t="s">
        <v>12723</v>
      </c>
      <c r="D103" s="843">
        <v>0</v>
      </c>
      <c r="E103" s="843">
        <v>0</v>
      </c>
      <c r="F103" s="843">
        <v>7589</v>
      </c>
      <c r="G103" s="843">
        <v>7574</v>
      </c>
      <c r="H103" s="48">
        <v>7471</v>
      </c>
      <c r="I103" s="48">
        <v>7198</v>
      </c>
      <c r="J103" s="48">
        <v>7200</v>
      </c>
      <c r="K103" s="48">
        <v>7605</v>
      </c>
      <c r="L103" s="48">
        <v>7556</v>
      </c>
      <c r="N103" s="840" t="s">
        <v>4865</v>
      </c>
      <c r="O103" s="4"/>
      <c r="Q103" s="4"/>
    </row>
    <row r="104" spans="1:17">
      <c r="A104" s="96">
        <v>51</v>
      </c>
      <c r="B104" s="840" t="s">
        <v>12542</v>
      </c>
      <c r="C104" s="509" t="s">
        <v>12724</v>
      </c>
      <c r="D104" s="843">
        <v>0</v>
      </c>
      <c r="E104" s="843">
        <v>0</v>
      </c>
      <c r="F104" s="843">
        <v>3752</v>
      </c>
      <c r="G104" s="843">
        <v>3668</v>
      </c>
      <c r="H104" s="48">
        <v>3720</v>
      </c>
      <c r="I104" s="48">
        <v>3645</v>
      </c>
      <c r="J104" s="48">
        <v>3634</v>
      </c>
      <c r="K104" s="48">
        <v>4015</v>
      </c>
      <c r="L104" s="48">
        <v>4168</v>
      </c>
      <c r="N104" s="840" t="s">
        <v>4866</v>
      </c>
      <c r="O104" s="4"/>
      <c r="Q104" s="4"/>
    </row>
    <row r="105" spans="1:17">
      <c r="A105" s="96">
        <v>52</v>
      </c>
      <c r="B105" s="840" t="s">
        <v>12541</v>
      </c>
      <c r="C105" s="509" t="s">
        <v>12725</v>
      </c>
      <c r="D105" s="843">
        <v>0</v>
      </c>
      <c r="E105" s="843">
        <v>0</v>
      </c>
      <c r="F105" s="843">
        <v>4031</v>
      </c>
      <c r="G105" s="843">
        <v>4057</v>
      </c>
      <c r="H105" s="48">
        <v>4159</v>
      </c>
      <c r="I105" s="48">
        <v>4002</v>
      </c>
      <c r="J105" s="48">
        <v>4075</v>
      </c>
      <c r="K105" s="48">
        <v>4313</v>
      </c>
      <c r="L105" s="48">
        <v>4350</v>
      </c>
      <c r="N105" s="840" t="s">
        <v>4865</v>
      </c>
      <c r="O105" s="4"/>
      <c r="Q105" s="4"/>
    </row>
    <row r="106" spans="1:17">
      <c r="A106" s="840"/>
      <c r="D106" s="847"/>
      <c r="E106" s="847"/>
      <c r="F106" s="847"/>
      <c r="G106" s="847"/>
      <c r="H106" s="847"/>
      <c r="I106" s="847"/>
      <c r="J106" s="847"/>
      <c r="K106" s="847"/>
      <c r="L106" s="847"/>
    </row>
    <row r="107" spans="1:17">
      <c r="A107" s="840" t="s">
        <v>4864</v>
      </c>
      <c r="D107" s="843">
        <f t="shared" ref="D107:E107" si="84">D51+D54+D60+D61+D68+D84+D88+SUM(D92:D95)</f>
        <v>74806</v>
      </c>
      <c r="E107" s="843">
        <f t="shared" si="84"/>
        <v>73820</v>
      </c>
      <c r="F107" s="843">
        <f t="shared" ref="F107:J107" si="85">F51+F54+F60+F61+F68+F84+F88+SUM(F92:F95)</f>
        <v>74083</v>
      </c>
      <c r="G107" s="843">
        <f t="shared" si="85"/>
        <v>74031</v>
      </c>
      <c r="H107" s="843">
        <f t="shared" si="85"/>
        <v>74371</v>
      </c>
      <c r="I107" s="843">
        <f t="shared" si="85"/>
        <v>69960</v>
      </c>
      <c r="J107" s="843">
        <f t="shared" si="85"/>
        <v>71102</v>
      </c>
      <c r="K107" s="843">
        <f t="shared" ref="K107:L107" si="86">K51+K54+K60+K61+K68+K84+K88+SUM(K92:K95)</f>
        <v>76465</v>
      </c>
      <c r="L107" s="843">
        <f t="shared" si="86"/>
        <v>77258</v>
      </c>
    </row>
    <row r="108" spans="1:17">
      <c r="A108" s="840" t="s">
        <v>4865</v>
      </c>
      <c r="D108" s="843">
        <f t="shared" ref="D108:E108" si="87">SUM(D62:D67)+D72+D75+D86+D87+D96+D98+D103+D105</f>
        <v>78469</v>
      </c>
      <c r="E108" s="843">
        <f t="shared" si="87"/>
        <v>78845</v>
      </c>
      <c r="F108" s="843">
        <f t="shared" ref="F108:J108" si="88">SUM(F62:F67)+F72+F75+F86+F87+F96+F98+F103+F105</f>
        <v>78781</v>
      </c>
      <c r="G108" s="843">
        <f t="shared" si="88"/>
        <v>77756</v>
      </c>
      <c r="H108" s="843">
        <f t="shared" si="88"/>
        <v>76892</v>
      </c>
      <c r="I108" s="843">
        <f t="shared" si="88"/>
        <v>71336</v>
      </c>
      <c r="J108" s="843">
        <f t="shared" si="88"/>
        <v>72239</v>
      </c>
      <c r="K108" s="843">
        <f t="shared" ref="K108" si="89">SUM(K62:K67)+K72+K75+K86+K87+K96+K98+K103+K105</f>
        <v>78047</v>
      </c>
      <c r="L108" s="843">
        <f>SUM(L62:L67)+L72+L75+L86+L87+L96+L98+L103+L105</f>
        <v>78544</v>
      </c>
    </row>
    <row r="109" spans="1:17">
      <c r="A109" s="840" t="s">
        <v>3284</v>
      </c>
      <c r="D109" s="843">
        <f t="shared" ref="D109:E109" si="90">D52+D55+D58+D76+D104</f>
        <v>11329</v>
      </c>
      <c r="E109" s="843">
        <f t="shared" si="90"/>
        <v>11441</v>
      </c>
      <c r="F109" s="843">
        <f t="shared" ref="F109:J109" si="91">F52+F55+F58+F76+F104</f>
        <v>11388</v>
      </c>
      <c r="G109" s="843">
        <f t="shared" si="91"/>
        <v>11249</v>
      </c>
      <c r="H109" s="843">
        <f t="shared" si="91"/>
        <v>11344</v>
      </c>
      <c r="I109" s="843">
        <f t="shared" si="91"/>
        <v>11087</v>
      </c>
      <c r="J109" s="843">
        <f t="shared" si="91"/>
        <v>11151</v>
      </c>
      <c r="K109" s="843">
        <f t="shared" ref="K109:L109" si="92">K52+K55+K58+K76+K104</f>
        <v>12186</v>
      </c>
      <c r="L109" s="843">
        <f t="shared" si="92"/>
        <v>12417</v>
      </c>
    </row>
    <row r="110" spans="1:17">
      <c r="A110" s="840" t="s">
        <v>3205</v>
      </c>
      <c r="D110" s="843">
        <f t="shared" ref="D110:E110" si="93">D53+D57+D69+D70+SUM(D78:D83)+SUM(D89:D91)+D97</f>
        <v>74595</v>
      </c>
      <c r="E110" s="843">
        <f t="shared" si="93"/>
        <v>73613</v>
      </c>
      <c r="F110" s="843">
        <f t="shared" ref="F110:J110" si="94">F53+F57+F69+F70+SUM(F78:F83)+SUM(F89:F91)+F97</f>
        <v>73713</v>
      </c>
      <c r="G110" s="843">
        <f t="shared" si="94"/>
        <v>73463</v>
      </c>
      <c r="H110" s="843">
        <f t="shared" si="94"/>
        <v>73250</v>
      </c>
      <c r="I110" s="843">
        <f t="shared" si="94"/>
        <v>69165</v>
      </c>
      <c r="J110" s="843">
        <f t="shared" si="94"/>
        <v>69582</v>
      </c>
      <c r="K110" s="843">
        <f t="shared" ref="K110:L110" si="95">K53+K57+K69+K70+SUM(K78:K83)+SUM(K89:K91)+K97</f>
        <v>74817</v>
      </c>
      <c r="L110" s="843">
        <f t="shared" si="95"/>
        <v>75098</v>
      </c>
    </row>
    <row r="111" spans="1:17">
      <c r="A111" s="840" t="s">
        <v>3285</v>
      </c>
      <c r="D111" s="843">
        <f t="shared" ref="D111:E111" si="96">D50+D59+D71+D73+D74+D85+SUM(D99:D102)</f>
        <v>49597</v>
      </c>
      <c r="E111" s="843">
        <f t="shared" si="96"/>
        <v>49225</v>
      </c>
      <c r="F111" s="843">
        <f t="shared" ref="F111:J111" si="97">F50+F59+F71+F73+F74+F85+SUM(F99:F102)</f>
        <v>49316</v>
      </c>
      <c r="G111" s="843">
        <f t="shared" si="97"/>
        <v>49187</v>
      </c>
      <c r="H111" s="843">
        <f t="shared" si="97"/>
        <v>49201</v>
      </c>
      <c r="I111" s="843">
        <f t="shared" si="97"/>
        <v>46658</v>
      </c>
      <c r="J111" s="843">
        <f t="shared" si="97"/>
        <v>46831</v>
      </c>
      <c r="K111" s="843">
        <f t="shared" ref="K111:L111" si="98">K50+K59+K71+K73+K74+K85+SUM(K99:K102)</f>
        <v>50553</v>
      </c>
      <c r="L111" s="843">
        <f t="shared" si="98"/>
        <v>50362</v>
      </c>
    </row>
    <row r="112" spans="1:17">
      <c r="A112" s="840"/>
      <c r="D112" s="847"/>
      <c r="E112" s="847"/>
      <c r="F112" s="847"/>
      <c r="G112" s="847"/>
      <c r="H112" s="847"/>
      <c r="I112" s="847"/>
      <c r="J112" s="847"/>
      <c r="K112" s="847"/>
      <c r="L112" s="847"/>
    </row>
    <row r="113" spans="1:17">
      <c r="A113" s="841" t="s">
        <v>12539</v>
      </c>
      <c r="D113" s="847"/>
      <c r="E113" s="847"/>
      <c r="F113" s="847"/>
      <c r="G113" s="847"/>
      <c r="H113" s="847"/>
      <c r="I113" s="847"/>
      <c r="J113" s="847"/>
      <c r="K113" s="847"/>
      <c r="L113" s="847"/>
    </row>
    <row r="114" spans="1:17">
      <c r="A114" s="840"/>
      <c r="D114" s="847"/>
      <c r="E114" s="847"/>
      <c r="F114" s="847"/>
      <c r="G114" s="847"/>
      <c r="H114" s="847"/>
      <c r="I114" s="847"/>
      <c r="J114" s="847"/>
      <c r="K114" s="847"/>
      <c r="L114" s="847"/>
    </row>
    <row r="115" spans="1:17">
      <c r="A115" s="840"/>
      <c r="D115" s="847"/>
      <c r="E115" s="847"/>
      <c r="F115" s="847"/>
      <c r="G115" s="847"/>
      <c r="H115" s="847"/>
      <c r="I115" s="847"/>
      <c r="J115" s="847"/>
      <c r="K115" s="847"/>
      <c r="L115" s="847"/>
    </row>
    <row r="116" spans="1:17">
      <c r="E116" s="24" t="s">
        <v>2303</v>
      </c>
      <c r="F116" s="24"/>
      <c r="G116" s="24"/>
      <c r="H116" s="24"/>
      <c r="I116" s="24"/>
      <c r="J116" s="24"/>
      <c r="K116" s="24"/>
      <c r="L116" s="24"/>
      <c r="M116" s="25"/>
      <c r="N116" s="29" t="s">
        <v>13319</v>
      </c>
    </row>
    <row r="117" spans="1:17">
      <c r="D117" s="841">
        <v>2010</v>
      </c>
      <c r="E117" s="841">
        <v>2011</v>
      </c>
      <c r="F117" s="841">
        <v>2012</v>
      </c>
      <c r="G117" s="841">
        <v>2013</v>
      </c>
      <c r="H117" s="841">
        <v>2014</v>
      </c>
      <c r="I117" s="841">
        <v>2015</v>
      </c>
      <c r="J117" s="841">
        <v>2016</v>
      </c>
      <c r="K117" s="841">
        <v>2017</v>
      </c>
      <c r="L117" s="841">
        <v>2018</v>
      </c>
      <c r="N117" s="29" t="s">
        <v>2304</v>
      </c>
    </row>
    <row r="118" spans="1:17">
      <c r="A118" s="840" t="s">
        <v>7610</v>
      </c>
      <c r="D118" s="843">
        <f t="shared" ref="D118:I118" si="99">SUM(D119:D124)+D126+D127+SUM(D129:D133)+SUM(D135:D138)+SUM(D140:D150)+SUM(D152:D169)+SUM(D171:D175)+SUM(D177:D180)</f>
        <v>251933</v>
      </c>
      <c r="E118" s="843">
        <f t="shared" si="99"/>
        <v>249503</v>
      </c>
      <c r="F118" s="843">
        <f t="shared" si="99"/>
        <v>247681</v>
      </c>
      <c r="G118" s="843">
        <f t="shared" si="99"/>
        <v>251088</v>
      </c>
      <c r="H118" s="843">
        <f t="shared" si="99"/>
        <v>254379</v>
      </c>
      <c r="I118" s="843">
        <f t="shared" si="99"/>
        <v>256791</v>
      </c>
      <c r="J118" s="843">
        <f t="shared" ref="J118:K118" si="100">SUM(J119:J124)+J126+J127+SUM(J129:J133)+SUM(J135:J138)+SUM(J140:J150)+SUM(J152:J169)+SUM(J171:J175)+SUM(J177:J180)</f>
        <v>256498</v>
      </c>
      <c r="K118" s="843">
        <f t="shared" si="100"/>
        <v>261340</v>
      </c>
      <c r="L118" s="843">
        <f t="shared" ref="L118" si="101">SUM(L119:L124)+L126+L127+SUM(L129:L133)+SUM(L135:L138)+SUM(L140:L150)+SUM(L152:L169)+SUM(L171:L175)+SUM(L177:L180)</f>
        <v>267743</v>
      </c>
    </row>
    <row r="119" spans="1:17">
      <c r="A119" s="848">
        <v>1</v>
      </c>
      <c r="B119" s="840" t="s">
        <v>3286</v>
      </c>
      <c r="C119" s="509" t="s">
        <v>12726</v>
      </c>
      <c r="D119" s="843">
        <v>68899</v>
      </c>
      <c r="E119" s="843">
        <v>68280</v>
      </c>
      <c r="F119" s="843">
        <v>9763</v>
      </c>
      <c r="G119" s="843">
        <v>9900</v>
      </c>
      <c r="H119" s="48">
        <v>9947</v>
      </c>
      <c r="I119" s="48">
        <v>10019</v>
      </c>
      <c r="J119" s="48">
        <v>9977</v>
      </c>
      <c r="K119" s="48">
        <v>9983</v>
      </c>
      <c r="L119" s="48">
        <v>10196</v>
      </c>
      <c r="N119" s="840" t="s">
        <v>4863</v>
      </c>
      <c r="O119" s="4"/>
      <c r="Q119" s="4"/>
    </row>
    <row r="120" spans="1:17">
      <c r="A120" s="848">
        <v>2</v>
      </c>
      <c r="B120" s="840" t="s">
        <v>8121</v>
      </c>
      <c r="C120" s="509" t="s">
        <v>12727</v>
      </c>
      <c r="D120" s="843">
        <v>0</v>
      </c>
      <c r="E120" s="843">
        <v>0</v>
      </c>
      <c r="F120" s="843">
        <v>3709</v>
      </c>
      <c r="G120" s="843">
        <v>3753</v>
      </c>
      <c r="H120" s="48">
        <v>4031</v>
      </c>
      <c r="I120" s="48">
        <v>4156</v>
      </c>
      <c r="J120" s="48">
        <v>4097</v>
      </c>
      <c r="K120" s="48">
        <v>4272</v>
      </c>
      <c r="L120" s="48">
        <v>4457</v>
      </c>
      <c r="N120" s="840" t="s">
        <v>4863</v>
      </c>
      <c r="O120" s="4"/>
      <c r="Q120" s="4"/>
    </row>
    <row r="121" spans="1:17">
      <c r="A121" s="851">
        <v>3</v>
      </c>
      <c r="B121" s="840" t="s">
        <v>12613</v>
      </c>
      <c r="C121" s="509" t="s">
        <v>12728</v>
      </c>
      <c r="D121" s="843">
        <v>0</v>
      </c>
      <c r="E121" s="843">
        <v>0</v>
      </c>
      <c r="F121" s="843">
        <v>2488</v>
      </c>
      <c r="G121" s="843">
        <v>2569</v>
      </c>
      <c r="H121" s="48">
        <v>2868</v>
      </c>
      <c r="I121" s="48">
        <v>2692</v>
      </c>
      <c r="J121" s="48">
        <v>2784</v>
      </c>
      <c r="K121" s="48">
        <v>3002</v>
      </c>
      <c r="L121" s="48">
        <v>3193</v>
      </c>
      <c r="N121" s="840" t="s">
        <v>4863</v>
      </c>
      <c r="O121" s="4"/>
      <c r="Q121" s="4"/>
    </row>
    <row r="122" spans="1:17">
      <c r="A122" s="848">
        <v>4</v>
      </c>
      <c r="B122" s="840" t="s">
        <v>12612</v>
      </c>
      <c r="C122" s="509" t="s">
        <v>12729</v>
      </c>
      <c r="D122" s="843">
        <v>0</v>
      </c>
      <c r="E122" s="843">
        <v>0</v>
      </c>
      <c r="F122" s="843">
        <v>3400</v>
      </c>
      <c r="G122" s="843">
        <v>3355</v>
      </c>
      <c r="H122" s="48">
        <v>3379</v>
      </c>
      <c r="I122" s="48">
        <v>3406</v>
      </c>
      <c r="J122" s="48">
        <v>3344</v>
      </c>
      <c r="K122" s="48">
        <v>3445</v>
      </c>
      <c r="L122" s="48">
        <v>3518</v>
      </c>
      <c r="N122" s="840" t="s">
        <v>4863</v>
      </c>
      <c r="O122" s="4"/>
      <c r="Q122" s="4"/>
    </row>
    <row r="123" spans="1:17">
      <c r="A123" s="848"/>
      <c r="B123" s="840"/>
      <c r="C123" s="509" t="s">
        <v>12729</v>
      </c>
      <c r="D123" s="843">
        <v>0</v>
      </c>
      <c r="E123" s="843">
        <v>0</v>
      </c>
      <c r="F123" s="843">
        <v>1664</v>
      </c>
      <c r="G123" s="843">
        <v>1652</v>
      </c>
      <c r="H123" s="48">
        <v>1643</v>
      </c>
      <c r="I123" s="48">
        <v>1642</v>
      </c>
      <c r="J123" s="48">
        <v>1653</v>
      </c>
      <c r="K123" s="48">
        <v>1644</v>
      </c>
      <c r="L123" s="48">
        <v>1661</v>
      </c>
      <c r="N123" s="840" t="s">
        <v>4866</v>
      </c>
      <c r="O123" s="4"/>
      <c r="Q123" s="4"/>
    </row>
    <row r="124" spans="1:17" ht="15.75" thickBot="1">
      <c r="A124" s="848"/>
      <c r="B124" s="840"/>
      <c r="C124" s="509" t="s">
        <v>12729</v>
      </c>
      <c r="D124" s="843">
        <v>0</v>
      </c>
      <c r="E124" s="843">
        <v>0</v>
      </c>
      <c r="F124" s="843">
        <v>1812</v>
      </c>
      <c r="G124" s="843">
        <v>1813</v>
      </c>
      <c r="H124" s="48">
        <v>1793</v>
      </c>
      <c r="I124" s="48">
        <v>1834</v>
      </c>
      <c r="J124" s="48">
        <v>1809</v>
      </c>
      <c r="K124" s="48">
        <v>1856</v>
      </c>
      <c r="L124" s="48">
        <v>1874</v>
      </c>
      <c r="N124" s="840" t="s">
        <v>4867</v>
      </c>
      <c r="O124" s="4"/>
      <c r="Q124" s="4"/>
    </row>
    <row r="125" spans="1:17" ht="15.75" thickBot="1">
      <c r="A125" s="848"/>
      <c r="B125" s="840"/>
      <c r="C125" s="509" t="s">
        <v>12729</v>
      </c>
      <c r="D125" s="850">
        <f>SUM(D122:D124)</f>
        <v>0</v>
      </c>
      <c r="E125" s="850">
        <f t="shared" ref="E125" si="102">SUM(E122:E124)</f>
        <v>0</v>
      </c>
      <c r="F125" s="850">
        <f t="shared" ref="F125:L125" si="103">SUM(F122:F124)</f>
        <v>6876</v>
      </c>
      <c r="G125" s="850">
        <f t="shared" si="103"/>
        <v>6820</v>
      </c>
      <c r="H125" s="850">
        <f t="shared" si="103"/>
        <v>6815</v>
      </c>
      <c r="I125" s="850">
        <f t="shared" si="103"/>
        <v>6882</v>
      </c>
      <c r="J125" s="850">
        <f t="shared" si="103"/>
        <v>6806</v>
      </c>
      <c r="K125" s="850">
        <f t="shared" si="103"/>
        <v>6945</v>
      </c>
      <c r="L125" s="850">
        <f t="shared" si="103"/>
        <v>7053</v>
      </c>
      <c r="N125" s="840"/>
      <c r="O125" s="4"/>
      <c r="Q125" s="4"/>
    </row>
    <row r="126" spans="1:17">
      <c r="A126" s="848">
        <v>5</v>
      </c>
      <c r="B126" s="840" t="s">
        <v>12611</v>
      </c>
      <c r="C126" s="509" t="s">
        <v>12730</v>
      </c>
      <c r="D126" s="843">
        <v>0</v>
      </c>
      <c r="E126" s="843">
        <v>0</v>
      </c>
      <c r="F126" s="843">
        <v>4153</v>
      </c>
      <c r="G126" s="843">
        <v>4259</v>
      </c>
      <c r="H126" s="48">
        <v>4241</v>
      </c>
      <c r="I126" s="48">
        <v>4270</v>
      </c>
      <c r="J126" s="48">
        <v>4391</v>
      </c>
      <c r="K126" s="48">
        <v>4404</v>
      </c>
      <c r="L126" s="48">
        <v>4552</v>
      </c>
      <c r="N126" s="840" t="s">
        <v>4866</v>
      </c>
      <c r="O126" s="4"/>
      <c r="Q126" s="4"/>
    </row>
    <row r="127" spans="1:17" ht="15.75" thickBot="1">
      <c r="A127" s="848"/>
      <c r="B127" s="840"/>
      <c r="C127" s="509" t="s">
        <v>12730</v>
      </c>
      <c r="D127" s="843">
        <v>0</v>
      </c>
      <c r="E127" s="843">
        <v>0</v>
      </c>
      <c r="F127" s="843">
        <v>5869</v>
      </c>
      <c r="G127" s="843">
        <v>5990</v>
      </c>
      <c r="H127" s="48">
        <v>6124</v>
      </c>
      <c r="I127" s="48">
        <v>6229</v>
      </c>
      <c r="J127" s="48">
        <v>6250</v>
      </c>
      <c r="K127" s="48">
        <v>6266</v>
      </c>
      <c r="L127" s="48">
        <v>6436</v>
      </c>
      <c r="N127" s="840" t="s">
        <v>3207</v>
      </c>
      <c r="O127" s="4"/>
      <c r="Q127" s="4"/>
    </row>
    <row r="128" spans="1:17" ht="15.75" thickBot="1">
      <c r="A128" s="848"/>
      <c r="B128" s="840"/>
      <c r="C128" s="509" t="s">
        <v>12730</v>
      </c>
      <c r="D128" s="850">
        <f t="shared" ref="D128:L128" si="104">D126+D127</f>
        <v>0</v>
      </c>
      <c r="E128" s="850">
        <f t="shared" si="104"/>
        <v>0</v>
      </c>
      <c r="F128" s="850">
        <f t="shared" si="104"/>
        <v>10022</v>
      </c>
      <c r="G128" s="850">
        <f t="shared" si="104"/>
        <v>10249</v>
      </c>
      <c r="H128" s="850">
        <f t="shared" si="104"/>
        <v>10365</v>
      </c>
      <c r="I128" s="850">
        <f t="shared" si="104"/>
        <v>10499</v>
      </c>
      <c r="J128" s="850">
        <f t="shared" si="104"/>
        <v>10641</v>
      </c>
      <c r="K128" s="850">
        <f t="shared" si="104"/>
        <v>10670</v>
      </c>
      <c r="L128" s="850">
        <f t="shared" si="104"/>
        <v>10988</v>
      </c>
      <c r="N128" s="840"/>
      <c r="O128" s="4"/>
      <c r="Q128" s="4"/>
    </row>
    <row r="129" spans="1:17">
      <c r="A129" s="848">
        <v>6</v>
      </c>
      <c r="B129" s="840" t="s">
        <v>12610</v>
      </c>
      <c r="C129" s="509" t="s">
        <v>12731</v>
      </c>
      <c r="D129" s="843">
        <v>0</v>
      </c>
      <c r="E129" s="843">
        <v>0</v>
      </c>
      <c r="F129" s="843">
        <v>2903</v>
      </c>
      <c r="G129" s="843">
        <v>3024</v>
      </c>
      <c r="H129" s="48">
        <v>3189</v>
      </c>
      <c r="I129" s="48">
        <v>3318</v>
      </c>
      <c r="J129" s="48">
        <v>3574</v>
      </c>
      <c r="K129" s="48">
        <v>3740</v>
      </c>
      <c r="L129" s="48">
        <v>4013</v>
      </c>
      <c r="N129" s="840" t="s">
        <v>4863</v>
      </c>
      <c r="O129" s="4"/>
      <c r="Q129" s="4"/>
    </row>
    <row r="130" spans="1:17">
      <c r="A130" s="848">
        <v>7</v>
      </c>
      <c r="B130" s="841" t="s">
        <v>12614</v>
      </c>
      <c r="C130" s="509" t="s">
        <v>12732</v>
      </c>
      <c r="D130" s="843">
        <v>65739</v>
      </c>
      <c r="E130" s="843">
        <v>66995</v>
      </c>
      <c r="F130" s="843">
        <v>6121</v>
      </c>
      <c r="G130" s="843">
        <v>6414</v>
      </c>
      <c r="H130" s="48">
        <v>6501</v>
      </c>
      <c r="I130" s="48">
        <v>6547</v>
      </c>
      <c r="J130" s="48">
        <v>6384</v>
      </c>
      <c r="K130" s="48">
        <v>6446</v>
      </c>
      <c r="L130" s="48">
        <v>6590</v>
      </c>
      <c r="N130" s="840" t="s">
        <v>4867</v>
      </c>
      <c r="O130" s="4"/>
      <c r="Q130" s="4"/>
    </row>
    <row r="131" spans="1:17">
      <c r="A131" s="848">
        <v>8</v>
      </c>
      <c r="B131" s="840" t="s">
        <v>6805</v>
      </c>
      <c r="C131" s="509" t="s">
        <v>12733</v>
      </c>
      <c r="D131" s="843">
        <v>0</v>
      </c>
      <c r="E131" s="843">
        <v>0</v>
      </c>
      <c r="F131" s="843">
        <v>3516</v>
      </c>
      <c r="G131" s="843">
        <v>3513</v>
      </c>
      <c r="H131" s="48">
        <v>3482</v>
      </c>
      <c r="I131" s="48">
        <v>3525</v>
      </c>
      <c r="J131" s="48">
        <v>3429</v>
      </c>
      <c r="K131" s="48">
        <v>3522</v>
      </c>
      <c r="L131" s="48">
        <v>3597</v>
      </c>
      <c r="N131" s="840" t="s">
        <v>4867</v>
      </c>
      <c r="O131" s="4"/>
      <c r="Q131" s="4"/>
    </row>
    <row r="132" spans="1:17">
      <c r="A132" s="848">
        <v>9</v>
      </c>
      <c r="B132" s="840" t="s">
        <v>5527</v>
      </c>
      <c r="C132" s="509" t="s">
        <v>12734</v>
      </c>
      <c r="D132" s="843">
        <v>0</v>
      </c>
      <c r="E132" s="843">
        <v>0</v>
      </c>
      <c r="F132" s="843">
        <v>210</v>
      </c>
      <c r="G132" s="843">
        <v>225</v>
      </c>
      <c r="H132" s="48">
        <v>211</v>
      </c>
      <c r="I132" s="48">
        <v>226</v>
      </c>
      <c r="J132" s="48">
        <v>217</v>
      </c>
      <c r="K132" s="48">
        <v>214</v>
      </c>
      <c r="L132" s="48">
        <v>216</v>
      </c>
      <c r="N132" s="840" t="s">
        <v>4863</v>
      </c>
      <c r="O132" s="4"/>
      <c r="Q132" s="4"/>
    </row>
    <row r="133" spans="1:17" ht="15.75" thickBot="1">
      <c r="A133" s="848"/>
      <c r="B133" s="840"/>
      <c r="C133" s="509" t="s">
        <v>12734</v>
      </c>
      <c r="D133" s="843">
        <v>0</v>
      </c>
      <c r="E133" s="843">
        <v>0</v>
      </c>
      <c r="F133" s="843">
        <v>3045</v>
      </c>
      <c r="G133" s="843">
        <v>3060</v>
      </c>
      <c r="H133" s="48">
        <v>3070</v>
      </c>
      <c r="I133" s="48">
        <v>3092</v>
      </c>
      <c r="J133" s="48">
        <v>3129</v>
      </c>
      <c r="K133" s="48">
        <v>3273</v>
      </c>
      <c r="L133" s="48">
        <v>3337</v>
      </c>
      <c r="N133" s="840" t="s">
        <v>4866</v>
      </c>
    </row>
    <row r="134" spans="1:17" ht="15.75" thickBot="1">
      <c r="A134" s="848"/>
      <c r="B134" s="840"/>
      <c r="C134" s="509" t="s">
        <v>12734</v>
      </c>
      <c r="D134" s="850">
        <f t="shared" ref="D134:L134" si="105">D132+D133</f>
        <v>0</v>
      </c>
      <c r="E134" s="850">
        <f t="shared" si="105"/>
        <v>0</v>
      </c>
      <c r="F134" s="850">
        <f t="shared" si="105"/>
        <v>3255</v>
      </c>
      <c r="G134" s="850">
        <f t="shared" si="105"/>
        <v>3285</v>
      </c>
      <c r="H134" s="850">
        <f t="shared" si="105"/>
        <v>3281</v>
      </c>
      <c r="I134" s="850">
        <f t="shared" si="105"/>
        <v>3318</v>
      </c>
      <c r="J134" s="850">
        <f t="shared" si="105"/>
        <v>3346</v>
      </c>
      <c r="K134" s="850">
        <f t="shared" si="105"/>
        <v>3487</v>
      </c>
      <c r="L134" s="850">
        <f t="shared" si="105"/>
        <v>3553</v>
      </c>
      <c r="N134" s="840"/>
    </row>
    <row r="135" spans="1:17">
      <c r="A135" s="848">
        <v>10</v>
      </c>
      <c r="B135" s="840" t="s">
        <v>12609</v>
      </c>
      <c r="C135" s="509" t="s">
        <v>12735</v>
      </c>
      <c r="D135" s="843">
        <v>44689</v>
      </c>
      <c r="E135" s="843">
        <v>43780</v>
      </c>
      <c r="F135" s="843">
        <v>7190</v>
      </c>
      <c r="G135" s="843">
        <v>7261</v>
      </c>
      <c r="H135" s="48">
        <v>7246</v>
      </c>
      <c r="I135" s="48">
        <v>7342</v>
      </c>
      <c r="J135" s="48">
        <v>7333</v>
      </c>
      <c r="K135" s="48">
        <v>7403</v>
      </c>
      <c r="L135" s="48">
        <v>7581</v>
      </c>
      <c r="N135" s="840" t="s">
        <v>3207</v>
      </c>
      <c r="O135" s="4"/>
      <c r="Q135" s="4"/>
    </row>
    <row r="136" spans="1:17">
      <c r="A136" s="848">
        <v>11</v>
      </c>
      <c r="B136" s="840" t="s">
        <v>12608</v>
      </c>
      <c r="C136" s="509" t="s">
        <v>12736</v>
      </c>
      <c r="D136" s="849">
        <v>0</v>
      </c>
      <c r="E136" s="849">
        <v>0</v>
      </c>
      <c r="F136" s="849">
        <v>2817</v>
      </c>
      <c r="G136" s="849">
        <v>2565</v>
      </c>
      <c r="H136" s="48">
        <v>3509</v>
      </c>
      <c r="I136" s="48">
        <v>2952</v>
      </c>
      <c r="J136" s="48">
        <v>3437</v>
      </c>
      <c r="K136" s="48">
        <v>3282</v>
      </c>
      <c r="L136" s="48">
        <v>3939</v>
      </c>
      <c r="N136" s="840" t="s">
        <v>4863</v>
      </c>
      <c r="O136" s="4"/>
      <c r="Q136" s="4"/>
    </row>
    <row r="137" spans="1:17">
      <c r="A137" s="848">
        <v>12</v>
      </c>
      <c r="B137" s="840" t="s">
        <v>1591</v>
      </c>
      <c r="C137" s="509" t="s">
        <v>12737</v>
      </c>
      <c r="D137" s="843">
        <v>0</v>
      </c>
      <c r="E137" s="843">
        <v>0</v>
      </c>
      <c r="F137" s="843">
        <v>2301</v>
      </c>
      <c r="G137" s="843">
        <v>2317</v>
      </c>
      <c r="H137" s="48">
        <v>2335</v>
      </c>
      <c r="I137" s="48">
        <v>2391</v>
      </c>
      <c r="J137" s="48">
        <v>2345</v>
      </c>
      <c r="K137" s="48">
        <v>2390</v>
      </c>
      <c r="L137" s="48">
        <v>2383</v>
      </c>
      <c r="N137" s="840" t="s">
        <v>4866</v>
      </c>
      <c r="O137" s="4"/>
      <c r="Q137" s="4"/>
    </row>
    <row r="138" spans="1:17" ht="15.75" thickBot="1">
      <c r="A138" s="848"/>
      <c r="B138" s="840"/>
      <c r="C138" s="509" t="s">
        <v>12737</v>
      </c>
      <c r="D138" s="843">
        <v>0</v>
      </c>
      <c r="E138" s="843">
        <v>0</v>
      </c>
      <c r="F138" s="843">
        <v>896</v>
      </c>
      <c r="G138" s="843">
        <v>899</v>
      </c>
      <c r="H138" s="48">
        <v>925</v>
      </c>
      <c r="I138" s="48">
        <v>940</v>
      </c>
      <c r="J138" s="48">
        <v>918</v>
      </c>
      <c r="K138" s="48">
        <v>947</v>
      </c>
      <c r="L138" s="48">
        <v>974</v>
      </c>
      <c r="N138" s="840" t="s">
        <v>3207</v>
      </c>
      <c r="O138" s="4"/>
      <c r="Q138" s="4"/>
    </row>
    <row r="139" spans="1:17" ht="15.75" thickBot="1">
      <c r="A139" s="848"/>
      <c r="B139" s="840"/>
      <c r="C139" s="509" t="s">
        <v>12737</v>
      </c>
      <c r="D139" s="850">
        <f t="shared" ref="D139:L139" si="106">D137+D138</f>
        <v>0</v>
      </c>
      <c r="E139" s="850">
        <f t="shared" si="106"/>
        <v>0</v>
      </c>
      <c r="F139" s="850">
        <f t="shared" si="106"/>
        <v>3197</v>
      </c>
      <c r="G139" s="850">
        <f t="shared" si="106"/>
        <v>3216</v>
      </c>
      <c r="H139" s="850">
        <f t="shared" si="106"/>
        <v>3260</v>
      </c>
      <c r="I139" s="850">
        <f t="shared" si="106"/>
        <v>3331</v>
      </c>
      <c r="J139" s="850">
        <f t="shared" si="106"/>
        <v>3263</v>
      </c>
      <c r="K139" s="850">
        <f t="shared" si="106"/>
        <v>3337</v>
      </c>
      <c r="L139" s="850">
        <f t="shared" si="106"/>
        <v>3357</v>
      </c>
      <c r="N139" s="840"/>
      <c r="O139" s="4"/>
      <c r="Q139" s="4"/>
    </row>
    <row r="140" spans="1:17">
      <c r="A140" s="848">
        <v>13</v>
      </c>
      <c r="B140" s="841" t="s">
        <v>8563</v>
      </c>
      <c r="C140" s="509" t="s">
        <v>12738</v>
      </c>
      <c r="D140" s="843">
        <v>0</v>
      </c>
      <c r="E140" s="843">
        <v>0</v>
      </c>
      <c r="F140" s="843">
        <v>3187</v>
      </c>
      <c r="G140" s="843">
        <v>3220</v>
      </c>
      <c r="H140" s="48">
        <v>3372</v>
      </c>
      <c r="I140" s="48">
        <v>3423</v>
      </c>
      <c r="J140" s="48">
        <v>3321</v>
      </c>
      <c r="K140" s="48">
        <v>3388</v>
      </c>
      <c r="L140" s="48">
        <v>3474</v>
      </c>
      <c r="N140" s="840" t="s">
        <v>4867</v>
      </c>
      <c r="O140" s="4"/>
      <c r="Q140" s="4"/>
    </row>
    <row r="141" spans="1:17">
      <c r="A141" s="848">
        <v>14</v>
      </c>
      <c r="B141" s="840" t="s">
        <v>13316</v>
      </c>
      <c r="C141" s="509" t="s">
        <v>12739</v>
      </c>
      <c r="D141" s="843">
        <v>0</v>
      </c>
      <c r="E141" s="843">
        <v>0</v>
      </c>
      <c r="F141" s="843">
        <v>7226</v>
      </c>
      <c r="G141" s="843">
        <v>7204</v>
      </c>
      <c r="H141" s="48">
        <v>7210</v>
      </c>
      <c r="I141" s="48">
        <v>7286</v>
      </c>
      <c r="J141" s="48">
        <v>7192</v>
      </c>
      <c r="K141" s="48">
        <v>7233</v>
      </c>
      <c r="L141" s="48">
        <v>7329</v>
      </c>
      <c r="N141" s="840" t="s">
        <v>4863</v>
      </c>
      <c r="O141" s="4"/>
      <c r="Q141" s="4"/>
    </row>
    <row r="142" spans="1:17">
      <c r="A142" s="848">
        <v>15</v>
      </c>
      <c r="B142" s="840" t="s">
        <v>12607</v>
      </c>
      <c r="C142" s="509" t="s">
        <v>12740</v>
      </c>
      <c r="D142" s="843">
        <v>0</v>
      </c>
      <c r="E142" s="843">
        <v>0</v>
      </c>
      <c r="F142" s="843">
        <v>6988</v>
      </c>
      <c r="G142" s="843">
        <v>7113</v>
      </c>
      <c r="H142" s="48">
        <v>7152</v>
      </c>
      <c r="I142" s="48">
        <v>7196</v>
      </c>
      <c r="J142" s="48">
        <v>7184</v>
      </c>
      <c r="K142" s="48">
        <v>7291</v>
      </c>
      <c r="L142" s="48">
        <v>7305</v>
      </c>
      <c r="N142" s="840" t="s">
        <v>4863</v>
      </c>
      <c r="O142" s="4"/>
      <c r="Q142" s="4"/>
    </row>
    <row r="143" spans="1:17">
      <c r="A143" s="848">
        <v>16</v>
      </c>
      <c r="B143" s="841" t="s">
        <v>12606</v>
      </c>
      <c r="C143" s="509" t="s">
        <v>12741</v>
      </c>
      <c r="D143" s="843">
        <v>0</v>
      </c>
      <c r="E143" s="843">
        <v>0</v>
      </c>
      <c r="F143" s="843">
        <v>6466</v>
      </c>
      <c r="G143" s="843">
        <v>6524</v>
      </c>
      <c r="H143" s="48">
        <v>6547</v>
      </c>
      <c r="I143" s="48">
        <v>6670</v>
      </c>
      <c r="J143" s="48">
        <v>6553</v>
      </c>
      <c r="K143" s="48">
        <v>6780</v>
      </c>
      <c r="L143" s="48">
        <v>7110</v>
      </c>
      <c r="N143" s="840" t="s">
        <v>3207</v>
      </c>
      <c r="O143" s="4"/>
      <c r="Q143" s="4"/>
    </row>
    <row r="144" spans="1:17">
      <c r="A144" s="848">
        <v>17</v>
      </c>
      <c r="B144" s="841" t="s">
        <v>12605</v>
      </c>
      <c r="C144" s="509" t="s">
        <v>12742</v>
      </c>
      <c r="D144" s="843">
        <v>0</v>
      </c>
      <c r="E144" s="843">
        <v>0</v>
      </c>
      <c r="F144" s="843">
        <v>3894</v>
      </c>
      <c r="G144" s="843">
        <v>3880</v>
      </c>
      <c r="H144" s="48">
        <v>3883</v>
      </c>
      <c r="I144" s="48">
        <v>3973</v>
      </c>
      <c r="J144" s="48">
        <v>3960</v>
      </c>
      <c r="K144" s="48">
        <v>4071</v>
      </c>
      <c r="L144" s="48">
        <v>4148</v>
      </c>
      <c r="N144" s="840" t="s">
        <v>3207</v>
      </c>
      <c r="O144" s="4"/>
      <c r="Q144" s="4"/>
    </row>
    <row r="145" spans="1:17">
      <c r="A145" s="848">
        <v>18</v>
      </c>
      <c r="B145" s="841" t="s">
        <v>12604</v>
      </c>
      <c r="C145" s="509" t="s">
        <v>12743</v>
      </c>
      <c r="D145" s="843">
        <v>0</v>
      </c>
      <c r="E145" s="843">
        <v>0</v>
      </c>
      <c r="F145" s="843">
        <v>6730</v>
      </c>
      <c r="G145" s="843">
        <v>6730</v>
      </c>
      <c r="H145" s="48">
        <v>6840</v>
      </c>
      <c r="I145" s="48">
        <v>6885</v>
      </c>
      <c r="J145" s="48">
        <v>6787</v>
      </c>
      <c r="K145" s="48">
        <v>6987</v>
      </c>
      <c r="L145" s="48">
        <v>7156</v>
      </c>
      <c r="N145" s="840" t="s">
        <v>4863</v>
      </c>
      <c r="O145" s="4"/>
      <c r="Q145" s="4"/>
    </row>
    <row r="146" spans="1:17">
      <c r="A146" s="848">
        <v>19</v>
      </c>
      <c r="B146" s="840" t="s">
        <v>2807</v>
      </c>
      <c r="C146" s="509" t="s">
        <v>12744</v>
      </c>
      <c r="D146" s="843">
        <v>0</v>
      </c>
      <c r="E146" s="843">
        <v>0</v>
      </c>
      <c r="F146" s="843">
        <v>3441</v>
      </c>
      <c r="G146" s="843">
        <v>3441</v>
      </c>
      <c r="H146" s="48">
        <v>3469</v>
      </c>
      <c r="I146" s="48">
        <v>3517</v>
      </c>
      <c r="J146" s="48">
        <v>3523</v>
      </c>
      <c r="K146" s="48">
        <v>3583</v>
      </c>
      <c r="L146" s="48">
        <v>3650</v>
      </c>
      <c r="N146" s="840" t="s">
        <v>3207</v>
      </c>
      <c r="O146" s="4"/>
      <c r="Q146" s="4"/>
    </row>
    <row r="147" spans="1:17">
      <c r="A147" s="848">
        <v>20</v>
      </c>
      <c r="B147" s="841" t="s">
        <v>12603</v>
      </c>
      <c r="C147" s="509" t="s">
        <v>12745</v>
      </c>
      <c r="D147" s="849">
        <v>0</v>
      </c>
      <c r="E147" s="849">
        <v>0</v>
      </c>
      <c r="F147" s="849">
        <v>3707</v>
      </c>
      <c r="G147" s="849">
        <v>3854</v>
      </c>
      <c r="H147" s="48">
        <v>3780</v>
      </c>
      <c r="I147" s="48">
        <v>3836</v>
      </c>
      <c r="J147" s="48">
        <v>3755</v>
      </c>
      <c r="K147" s="48">
        <v>3825</v>
      </c>
      <c r="L147" s="48">
        <v>3824</v>
      </c>
      <c r="N147" s="840" t="s">
        <v>4863</v>
      </c>
      <c r="O147" s="4"/>
      <c r="Q147" s="4"/>
    </row>
    <row r="148" spans="1:17">
      <c r="A148" s="848">
        <v>21</v>
      </c>
      <c r="B148" s="840" t="s">
        <v>12602</v>
      </c>
      <c r="C148" s="509" t="s">
        <v>12746</v>
      </c>
      <c r="D148" s="843">
        <v>0</v>
      </c>
      <c r="E148" s="843">
        <v>0</v>
      </c>
      <c r="F148" s="843">
        <v>6327</v>
      </c>
      <c r="G148" s="843">
        <v>6379</v>
      </c>
      <c r="H148" s="48">
        <v>6409</v>
      </c>
      <c r="I148" s="48">
        <v>6438</v>
      </c>
      <c r="J148" s="48">
        <v>6385</v>
      </c>
      <c r="K148" s="48">
        <v>6449</v>
      </c>
      <c r="L148" s="48">
        <v>6656</v>
      </c>
      <c r="N148" s="840" t="s">
        <v>4867</v>
      </c>
      <c r="O148" s="4"/>
      <c r="Q148" s="4"/>
    </row>
    <row r="149" spans="1:17">
      <c r="A149" s="848">
        <v>22</v>
      </c>
      <c r="B149" s="840" t="s">
        <v>12601</v>
      </c>
      <c r="C149" s="509" t="s">
        <v>12747</v>
      </c>
      <c r="D149" s="843">
        <v>0</v>
      </c>
      <c r="E149" s="843">
        <v>0</v>
      </c>
      <c r="F149" s="843">
        <v>386</v>
      </c>
      <c r="G149" s="843">
        <v>388</v>
      </c>
      <c r="H149" s="48">
        <v>366</v>
      </c>
      <c r="I149" s="48">
        <v>395</v>
      </c>
      <c r="J149" s="48">
        <v>379</v>
      </c>
      <c r="K149" s="48">
        <v>376</v>
      </c>
      <c r="L149" s="4">
        <v>383</v>
      </c>
      <c r="N149" s="840" t="s">
        <v>4863</v>
      </c>
      <c r="O149" s="4"/>
      <c r="Q149" s="4"/>
    </row>
    <row r="150" spans="1:17" ht="15.75" thickBot="1">
      <c r="A150" s="848"/>
      <c r="B150" s="840"/>
      <c r="C150" s="509" t="s">
        <v>12747</v>
      </c>
      <c r="D150" s="843">
        <v>0</v>
      </c>
      <c r="E150" s="843">
        <v>0</v>
      </c>
      <c r="F150" s="843">
        <v>6624</v>
      </c>
      <c r="G150" s="843">
        <v>6662</v>
      </c>
      <c r="H150" s="48">
        <v>6598</v>
      </c>
      <c r="I150" s="48">
        <v>6609</v>
      </c>
      <c r="J150" s="48">
        <v>6643</v>
      </c>
      <c r="K150" s="48">
        <v>6727</v>
      </c>
      <c r="L150" s="4">
        <v>6812</v>
      </c>
      <c r="N150" s="840" t="s">
        <v>4867</v>
      </c>
      <c r="O150" s="4"/>
      <c r="Q150" s="4"/>
    </row>
    <row r="151" spans="1:17" ht="15.75" thickBot="1">
      <c r="A151" s="848"/>
      <c r="B151" s="840"/>
      <c r="C151" s="509" t="s">
        <v>12747</v>
      </c>
      <c r="D151" s="850">
        <f t="shared" ref="D151:L151" si="107">D149+D150</f>
        <v>0</v>
      </c>
      <c r="E151" s="850">
        <f t="shared" si="107"/>
        <v>0</v>
      </c>
      <c r="F151" s="850">
        <f t="shared" si="107"/>
        <v>7010</v>
      </c>
      <c r="G151" s="850">
        <f t="shared" si="107"/>
        <v>7050</v>
      </c>
      <c r="H151" s="850">
        <f t="shared" si="107"/>
        <v>6964</v>
      </c>
      <c r="I151" s="850">
        <f t="shared" si="107"/>
        <v>7004</v>
      </c>
      <c r="J151" s="850">
        <f t="shared" si="107"/>
        <v>7022</v>
      </c>
      <c r="K151" s="850">
        <f t="shared" si="107"/>
        <v>7103</v>
      </c>
      <c r="L151" s="850">
        <f t="shared" si="107"/>
        <v>7195</v>
      </c>
      <c r="N151" s="840"/>
      <c r="O151" s="4"/>
      <c r="Q151" s="4"/>
    </row>
    <row r="152" spans="1:17">
      <c r="A152" s="848">
        <v>23</v>
      </c>
      <c r="B152" s="840" t="s">
        <v>12600</v>
      </c>
      <c r="C152" s="509" t="s">
        <v>12748</v>
      </c>
      <c r="D152" s="843">
        <v>55967</v>
      </c>
      <c r="E152" s="843">
        <v>54473</v>
      </c>
      <c r="F152" s="843">
        <v>3288</v>
      </c>
      <c r="G152" s="843">
        <v>3311</v>
      </c>
      <c r="H152" s="48">
        <v>3353</v>
      </c>
      <c r="I152" s="48">
        <v>3438</v>
      </c>
      <c r="J152" s="48">
        <v>3444</v>
      </c>
      <c r="K152" s="48">
        <v>3502</v>
      </c>
      <c r="L152" s="48">
        <v>3657</v>
      </c>
      <c r="N152" s="840" t="s">
        <v>4866</v>
      </c>
      <c r="O152" s="4"/>
      <c r="Q152" s="4"/>
    </row>
    <row r="153" spans="1:17">
      <c r="A153" s="848">
        <v>24</v>
      </c>
      <c r="B153" s="840" t="s">
        <v>3251</v>
      </c>
      <c r="C153" s="509" t="s">
        <v>12749</v>
      </c>
      <c r="D153" s="843">
        <v>16639</v>
      </c>
      <c r="E153" s="843">
        <v>15975</v>
      </c>
      <c r="F153" s="843">
        <v>9193</v>
      </c>
      <c r="G153" s="843">
        <v>9466</v>
      </c>
      <c r="H153" s="48">
        <v>9466</v>
      </c>
      <c r="I153" s="48">
        <v>9520</v>
      </c>
      <c r="J153" s="48">
        <v>9496</v>
      </c>
      <c r="K153" s="48">
        <v>9652</v>
      </c>
      <c r="L153" s="48">
        <v>9687</v>
      </c>
      <c r="N153" s="840" t="s">
        <v>3206</v>
      </c>
      <c r="O153" s="4"/>
      <c r="Q153" s="4"/>
    </row>
    <row r="154" spans="1:17">
      <c r="A154" s="848">
        <v>25</v>
      </c>
      <c r="B154" s="840" t="s">
        <v>12599</v>
      </c>
      <c r="C154" s="509" t="s">
        <v>12750</v>
      </c>
      <c r="D154" s="843">
        <v>0</v>
      </c>
      <c r="E154" s="843">
        <v>0</v>
      </c>
      <c r="F154" s="843">
        <v>3197</v>
      </c>
      <c r="G154" s="843">
        <v>3217</v>
      </c>
      <c r="H154" s="48">
        <v>3227</v>
      </c>
      <c r="I154" s="48">
        <v>3264</v>
      </c>
      <c r="J154" s="48">
        <v>3176</v>
      </c>
      <c r="K154" s="48">
        <v>3206</v>
      </c>
      <c r="L154" s="48">
        <v>3288</v>
      </c>
      <c r="N154" s="840" t="s">
        <v>4867</v>
      </c>
      <c r="O154" s="4"/>
      <c r="Q154" s="4"/>
    </row>
    <row r="155" spans="1:17">
      <c r="A155" s="848">
        <v>26</v>
      </c>
      <c r="B155" s="840" t="s">
        <v>12598</v>
      </c>
      <c r="C155" s="509" t="s">
        <v>12751</v>
      </c>
      <c r="D155" s="843">
        <v>0</v>
      </c>
      <c r="E155" s="843">
        <v>0</v>
      </c>
      <c r="F155" s="843">
        <v>2496</v>
      </c>
      <c r="G155" s="843">
        <v>2525</v>
      </c>
      <c r="H155" s="48">
        <v>2672</v>
      </c>
      <c r="I155" s="48">
        <v>2708</v>
      </c>
      <c r="J155" s="48">
        <v>2741</v>
      </c>
      <c r="K155" s="48">
        <v>2837</v>
      </c>
      <c r="L155" s="48">
        <v>2883</v>
      </c>
      <c r="N155" s="840" t="s">
        <v>4867</v>
      </c>
      <c r="O155" s="4"/>
      <c r="Q155" s="4"/>
    </row>
    <row r="156" spans="1:17">
      <c r="A156" s="848">
        <v>27</v>
      </c>
      <c r="B156" s="840" t="s">
        <v>5630</v>
      </c>
      <c r="C156" s="509" t="s">
        <v>12752</v>
      </c>
      <c r="D156" s="843">
        <v>0</v>
      </c>
      <c r="E156" s="843">
        <v>0</v>
      </c>
      <c r="F156" s="843">
        <v>7537</v>
      </c>
      <c r="G156" s="843">
        <v>7370</v>
      </c>
      <c r="H156" s="48">
        <v>7669</v>
      </c>
      <c r="I156" s="48">
        <v>7584</v>
      </c>
      <c r="J156" s="48">
        <v>7363</v>
      </c>
      <c r="K156" s="48">
        <v>7631</v>
      </c>
      <c r="L156" s="48">
        <v>7760</v>
      </c>
      <c r="N156" s="840" t="s">
        <v>4863</v>
      </c>
      <c r="O156" s="4"/>
      <c r="Q156" s="4"/>
    </row>
    <row r="157" spans="1:17">
      <c r="A157" s="97">
        <v>28</v>
      </c>
      <c r="B157" s="840" t="s">
        <v>12597</v>
      </c>
      <c r="C157" s="509" t="s">
        <v>12753</v>
      </c>
      <c r="D157" s="843">
        <v>0</v>
      </c>
      <c r="E157" s="843">
        <v>0</v>
      </c>
      <c r="F157" s="843">
        <v>3057</v>
      </c>
      <c r="G157" s="843">
        <v>3085</v>
      </c>
      <c r="H157" s="48">
        <v>3064</v>
      </c>
      <c r="I157" s="48">
        <v>3075</v>
      </c>
      <c r="J157" s="48">
        <v>3128</v>
      </c>
      <c r="K157" s="48">
        <v>3204</v>
      </c>
      <c r="L157" s="48">
        <v>3248</v>
      </c>
      <c r="N157" s="840" t="s">
        <v>4867</v>
      </c>
      <c r="O157" s="4"/>
      <c r="Q157" s="4"/>
    </row>
    <row r="158" spans="1:17">
      <c r="A158" s="97">
        <v>29</v>
      </c>
      <c r="B158" s="840" t="s">
        <v>12596</v>
      </c>
      <c r="C158" s="509" t="s">
        <v>12754</v>
      </c>
      <c r="D158" s="843">
        <v>0</v>
      </c>
      <c r="E158" s="843">
        <v>0</v>
      </c>
      <c r="F158" s="843">
        <v>2569</v>
      </c>
      <c r="G158" s="843">
        <v>2672</v>
      </c>
      <c r="H158" s="48">
        <v>2887</v>
      </c>
      <c r="I158" s="48">
        <v>2968</v>
      </c>
      <c r="J158" s="48">
        <v>2914</v>
      </c>
      <c r="K158" s="48">
        <v>3067</v>
      </c>
      <c r="L158" s="48">
        <v>3137</v>
      </c>
      <c r="N158" s="840" t="s">
        <v>4867</v>
      </c>
      <c r="O158" s="4"/>
      <c r="Q158" s="4"/>
    </row>
    <row r="159" spans="1:17">
      <c r="A159" s="97">
        <v>30</v>
      </c>
      <c r="B159" s="840" t="s">
        <v>8606</v>
      </c>
      <c r="C159" s="509" t="s">
        <v>12755</v>
      </c>
      <c r="D159" s="843">
        <v>0</v>
      </c>
      <c r="E159" s="843">
        <v>0</v>
      </c>
      <c r="F159" s="843">
        <v>6698</v>
      </c>
      <c r="G159" s="843">
        <v>6752</v>
      </c>
      <c r="H159" s="48">
        <v>6605</v>
      </c>
      <c r="I159" s="48">
        <v>6626</v>
      </c>
      <c r="J159" s="48">
        <v>6669</v>
      </c>
      <c r="K159" s="48">
        <v>6768</v>
      </c>
      <c r="L159" s="48">
        <v>6828</v>
      </c>
      <c r="N159" s="840" t="s">
        <v>4867</v>
      </c>
      <c r="O159" s="4"/>
      <c r="Q159" s="4"/>
    </row>
    <row r="160" spans="1:17">
      <c r="A160" s="97">
        <v>31</v>
      </c>
      <c r="B160" s="840" t="s">
        <v>12595</v>
      </c>
      <c r="C160" s="509" t="s">
        <v>12756</v>
      </c>
      <c r="D160" s="843">
        <v>0</v>
      </c>
      <c r="E160" s="843">
        <v>0</v>
      </c>
      <c r="F160" s="843">
        <v>3642</v>
      </c>
      <c r="G160" s="843">
        <v>3663</v>
      </c>
      <c r="H160" s="48">
        <v>3726</v>
      </c>
      <c r="I160" s="48">
        <v>3775</v>
      </c>
      <c r="J160" s="48">
        <v>3828</v>
      </c>
      <c r="K160" s="48">
        <v>3860</v>
      </c>
      <c r="L160" s="48">
        <v>3930</v>
      </c>
      <c r="N160" s="840" t="s">
        <v>4863</v>
      </c>
      <c r="O160" s="4"/>
      <c r="Q160" s="4"/>
    </row>
    <row r="161" spans="1:17">
      <c r="A161" s="97">
        <v>32</v>
      </c>
      <c r="B161" s="840" t="s">
        <v>12594</v>
      </c>
      <c r="C161" s="509" t="s">
        <v>12757</v>
      </c>
      <c r="D161" s="843">
        <v>0</v>
      </c>
      <c r="E161" s="843">
        <v>0</v>
      </c>
      <c r="F161" s="843">
        <v>3252</v>
      </c>
      <c r="G161" s="843">
        <v>3309</v>
      </c>
      <c r="H161" s="48">
        <v>3223</v>
      </c>
      <c r="I161" s="48">
        <v>3330</v>
      </c>
      <c r="J161" s="48">
        <v>3431</v>
      </c>
      <c r="K161" s="48">
        <v>3768</v>
      </c>
      <c r="L161" s="48">
        <v>4019</v>
      </c>
      <c r="N161" s="840" t="s">
        <v>3206</v>
      </c>
      <c r="O161" s="4"/>
      <c r="Q161" s="4"/>
    </row>
    <row r="162" spans="1:17">
      <c r="A162" s="97">
        <v>33</v>
      </c>
      <c r="B162" s="840" t="s">
        <v>12593</v>
      </c>
      <c r="C162" s="509" t="s">
        <v>12758</v>
      </c>
      <c r="D162" s="843">
        <v>0</v>
      </c>
      <c r="E162" s="843">
        <v>0</v>
      </c>
      <c r="F162" s="843">
        <v>4264</v>
      </c>
      <c r="G162" s="843">
        <v>4236</v>
      </c>
      <c r="H162" s="48">
        <v>4228</v>
      </c>
      <c r="I162" s="48">
        <v>4292</v>
      </c>
      <c r="J162" s="48">
        <v>4192</v>
      </c>
      <c r="K162" s="48">
        <v>4201</v>
      </c>
      <c r="L162" s="48">
        <v>4210</v>
      </c>
      <c r="N162" s="840" t="s">
        <v>4867</v>
      </c>
      <c r="O162" s="4"/>
      <c r="Q162" s="4"/>
    </row>
    <row r="163" spans="1:17">
      <c r="A163" s="97">
        <v>34</v>
      </c>
      <c r="B163" s="840" t="s">
        <v>8811</v>
      </c>
      <c r="C163" s="509" t="s">
        <v>12759</v>
      </c>
      <c r="D163" s="843">
        <v>0</v>
      </c>
      <c r="E163" s="843">
        <v>0</v>
      </c>
      <c r="F163" s="843">
        <v>7046</v>
      </c>
      <c r="G163" s="843">
        <v>7113</v>
      </c>
      <c r="H163" s="48">
        <v>7102</v>
      </c>
      <c r="I163" s="48">
        <v>7167</v>
      </c>
      <c r="J163" s="48">
        <v>7022</v>
      </c>
      <c r="K163" s="48">
        <v>7044</v>
      </c>
      <c r="L163" s="48">
        <v>7105</v>
      </c>
      <c r="N163" s="840" t="s">
        <v>4867</v>
      </c>
      <c r="O163" s="4"/>
      <c r="Q163" s="4"/>
    </row>
    <row r="164" spans="1:17">
      <c r="A164" s="97">
        <v>35</v>
      </c>
      <c r="B164" s="840" t="s">
        <v>12592</v>
      </c>
      <c r="C164" s="509" t="s">
        <v>12760</v>
      </c>
      <c r="D164" s="843">
        <v>0</v>
      </c>
      <c r="E164" s="843">
        <v>0</v>
      </c>
      <c r="F164" s="843">
        <v>3598</v>
      </c>
      <c r="G164" s="843">
        <v>3662</v>
      </c>
      <c r="H164" s="48">
        <v>3749</v>
      </c>
      <c r="I164" s="48">
        <v>3834</v>
      </c>
      <c r="J164" s="48">
        <v>3894</v>
      </c>
      <c r="K164" s="48">
        <v>3902</v>
      </c>
      <c r="L164" s="48">
        <v>3977</v>
      </c>
      <c r="N164" s="840" t="s">
        <v>4866</v>
      </c>
      <c r="O164" s="4"/>
      <c r="Q164" s="4"/>
    </row>
    <row r="165" spans="1:17">
      <c r="A165" s="97">
        <v>36</v>
      </c>
      <c r="B165" s="840" t="s">
        <v>12591</v>
      </c>
      <c r="C165" s="509" t="s">
        <v>12761</v>
      </c>
      <c r="D165" s="843">
        <v>0</v>
      </c>
      <c r="E165" s="843">
        <v>0</v>
      </c>
      <c r="F165" s="843">
        <v>6649</v>
      </c>
      <c r="G165" s="843">
        <v>6671</v>
      </c>
      <c r="H165" s="48">
        <v>6618</v>
      </c>
      <c r="I165" s="48">
        <v>6752</v>
      </c>
      <c r="J165" s="48">
        <v>6973</v>
      </c>
      <c r="K165" s="48">
        <v>7202</v>
      </c>
      <c r="L165" s="48">
        <v>7269</v>
      </c>
      <c r="N165" s="840" t="s">
        <v>4866</v>
      </c>
      <c r="O165" s="4"/>
      <c r="Q165" s="4"/>
    </row>
    <row r="166" spans="1:17">
      <c r="A166" s="97">
        <v>37</v>
      </c>
      <c r="B166" s="840" t="s">
        <v>12590</v>
      </c>
      <c r="C166" s="509" t="s">
        <v>12762</v>
      </c>
      <c r="D166" s="843">
        <v>0</v>
      </c>
      <c r="E166" s="843">
        <v>0</v>
      </c>
      <c r="F166" s="843">
        <v>3646</v>
      </c>
      <c r="G166" s="843">
        <v>3588</v>
      </c>
      <c r="H166" s="48">
        <v>3552</v>
      </c>
      <c r="I166" s="48">
        <v>3626</v>
      </c>
      <c r="J166" s="48">
        <v>3626</v>
      </c>
      <c r="K166" s="48">
        <v>3728</v>
      </c>
      <c r="L166" s="48">
        <v>3761</v>
      </c>
      <c r="N166" s="840" t="s">
        <v>4866</v>
      </c>
      <c r="O166" s="4"/>
      <c r="Q166" s="4"/>
    </row>
    <row r="167" spans="1:17">
      <c r="A167" s="97">
        <v>38</v>
      </c>
      <c r="B167" s="840" t="s">
        <v>5839</v>
      </c>
      <c r="C167" s="509" t="s">
        <v>12763</v>
      </c>
      <c r="D167" s="843">
        <v>0</v>
      </c>
      <c r="E167" s="843">
        <v>0</v>
      </c>
      <c r="F167" s="843">
        <v>6551</v>
      </c>
      <c r="G167" s="843">
        <v>6750</v>
      </c>
      <c r="H167" s="48">
        <v>6764</v>
      </c>
      <c r="I167" s="48">
        <v>6807</v>
      </c>
      <c r="J167" s="48">
        <v>6939</v>
      </c>
      <c r="K167" s="48">
        <v>7114</v>
      </c>
      <c r="L167" s="48">
        <v>7178</v>
      </c>
      <c r="N167" s="840" t="s">
        <v>4863</v>
      </c>
      <c r="O167" s="4"/>
      <c r="Q167" s="4"/>
    </row>
    <row r="168" spans="1:17">
      <c r="A168" s="97">
        <v>39</v>
      </c>
      <c r="B168" s="840" t="s">
        <v>12589</v>
      </c>
      <c r="C168" s="509" t="s">
        <v>12764</v>
      </c>
      <c r="D168" s="843">
        <v>0</v>
      </c>
      <c r="E168" s="843">
        <v>0</v>
      </c>
      <c r="F168" s="843">
        <v>4302</v>
      </c>
      <c r="G168" s="843">
        <v>4349</v>
      </c>
      <c r="H168" s="48">
        <v>4398</v>
      </c>
      <c r="I168" s="48">
        <v>4461</v>
      </c>
      <c r="J168" s="48">
        <v>4481</v>
      </c>
      <c r="K168" s="48">
        <v>4662</v>
      </c>
      <c r="L168" s="48">
        <v>4792</v>
      </c>
      <c r="N168" s="840" t="s">
        <v>4866</v>
      </c>
      <c r="O168" s="4"/>
      <c r="Q168" s="4"/>
    </row>
    <row r="169" spans="1:17" ht="15.75" thickBot="1">
      <c r="A169" s="97"/>
      <c r="B169" s="840"/>
      <c r="C169" s="509" t="s">
        <v>12764</v>
      </c>
      <c r="D169" s="843">
        <v>0</v>
      </c>
      <c r="E169" s="843">
        <v>0</v>
      </c>
      <c r="F169" s="843">
        <v>5425</v>
      </c>
      <c r="G169" s="843">
        <v>5498</v>
      </c>
      <c r="H169" s="48">
        <v>5753</v>
      </c>
      <c r="I169" s="48">
        <v>5829</v>
      </c>
      <c r="J169" s="48">
        <v>5855</v>
      </c>
      <c r="K169" s="48">
        <v>5883</v>
      </c>
      <c r="L169" s="48">
        <v>5978</v>
      </c>
      <c r="N169" s="840" t="s">
        <v>3207</v>
      </c>
      <c r="O169" s="4"/>
      <c r="Q169" s="4"/>
    </row>
    <row r="170" spans="1:17" ht="15.75" thickBot="1">
      <c r="A170" s="97"/>
      <c r="B170" s="840"/>
      <c r="C170" s="509" t="s">
        <v>12764</v>
      </c>
      <c r="D170" s="850">
        <f t="shared" ref="D170:L170" si="108">D168+D169</f>
        <v>0</v>
      </c>
      <c r="E170" s="850">
        <f t="shared" si="108"/>
        <v>0</v>
      </c>
      <c r="F170" s="850">
        <f t="shared" si="108"/>
        <v>9727</v>
      </c>
      <c r="G170" s="850">
        <f t="shared" si="108"/>
        <v>9847</v>
      </c>
      <c r="H170" s="850">
        <f t="shared" si="108"/>
        <v>10151</v>
      </c>
      <c r="I170" s="850">
        <f t="shared" si="108"/>
        <v>10290</v>
      </c>
      <c r="J170" s="850">
        <f t="shared" si="108"/>
        <v>10336</v>
      </c>
      <c r="K170" s="850">
        <f t="shared" si="108"/>
        <v>10545</v>
      </c>
      <c r="L170" s="850">
        <f t="shared" si="108"/>
        <v>10770</v>
      </c>
      <c r="N170" s="840"/>
      <c r="O170" s="4"/>
      <c r="Q170" s="4"/>
    </row>
    <row r="171" spans="1:17">
      <c r="A171" s="97">
        <v>40</v>
      </c>
      <c r="B171" s="840" t="s">
        <v>12588</v>
      </c>
      <c r="C171" s="509" t="s">
        <v>12765</v>
      </c>
      <c r="D171" s="843">
        <v>0</v>
      </c>
      <c r="E171" s="843">
        <v>0</v>
      </c>
      <c r="F171" s="843">
        <v>6528</v>
      </c>
      <c r="G171" s="843">
        <v>6598</v>
      </c>
      <c r="H171" s="48">
        <v>6513</v>
      </c>
      <c r="I171" s="48">
        <v>6495</v>
      </c>
      <c r="J171" s="48">
        <v>6503</v>
      </c>
      <c r="K171" s="48">
        <v>6458</v>
      </c>
      <c r="L171" s="48">
        <v>6506</v>
      </c>
      <c r="N171" s="840" t="s">
        <v>4867</v>
      </c>
      <c r="O171" s="4"/>
      <c r="Q171" s="4"/>
    </row>
    <row r="172" spans="1:17">
      <c r="A172" s="96">
        <v>41</v>
      </c>
      <c r="B172" s="840" t="s">
        <v>12587</v>
      </c>
      <c r="C172" s="509" t="s">
        <v>12766</v>
      </c>
      <c r="D172" s="843">
        <v>0</v>
      </c>
      <c r="E172" s="843">
        <v>0</v>
      </c>
      <c r="F172" s="843">
        <v>3250</v>
      </c>
      <c r="G172" s="843">
        <v>3247</v>
      </c>
      <c r="H172" s="48">
        <v>3253</v>
      </c>
      <c r="I172" s="48">
        <v>3326</v>
      </c>
      <c r="J172" s="48">
        <v>3270</v>
      </c>
      <c r="K172" s="48">
        <v>3283</v>
      </c>
      <c r="L172" s="48">
        <v>3314</v>
      </c>
      <c r="N172" s="840" t="s">
        <v>4867</v>
      </c>
      <c r="O172" s="4"/>
      <c r="Q172" s="4"/>
    </row>
    <row r="173" spans="1:17">
      <c r="A173" s="96">
        <v>42</v>
      </c>
      <c r="B173" s="840" t="s">
        <v>12586</v>
      </c>
      <c r="C173" s="509" t="s">
        <v>12767</v>
      </c>
      <c r="D173" s="843">
        <v>0</v>
      </c>
      <c r="E173" s="843">
        <v>0</v>
      </c>
      <c r="F173" s="843">
        <v>6099</v>
      </c>
      <c r="G173" s="843">
        <v>6499</v>
      </c>
      <c r="H173" s="48">
        <v>6702</v>
      </c>
      <c r="I173" s="48">
        <v>6883</v>
      </c>
      <c r="J173" s="48">
        <v>7026</v>
      </c>
      <c r="K173" s="48">
        <v>7397</v>
      </c>
      <c r="L173" s="48">
        <v>7826</v>
      </c>
      <c r="N173" s="840" t="s">
        <v>3207</v>
      </c>
      <c r="O173" s="4"/>
      <c r="Q173" s="4"/>
    </row>
    <row r="174" spans="1:17">
      <c r="A174" s="96">
        <v>43</v>
      </c>
      <c r="B174" s="840" t="s">
        <v>12585</v>
      </c>
      <c r="C174" s="509" t="s">
        <v>12768</v>
      </c>
      <c r="D174" s="843">
        <v>0</v>
      </c>
      <c r="E174" s="843">
        <v>0</v>
      </c>
      <c r="F174" s="843">
        <v>8177</v>
      </c>
      <c r="G174" s="843">
        <v>8523</v>
      </c>
      <c r="H174" s="48">
        <v>8654</v>
      </c>
      <c r="I174" s="48">
        <v>8820</v>
      </c>
      <c r="J174" s="48">
        <v>8740</v>
      </c>
      <c r="K174" s="48">
        <v>8980</v>
      </c>
      <c r="L174" s="48">
        <v>9344</v>
      </c>
      <c r="N174" s="840" t="s">
        <v>4866</v>
      </c>
      <c r="O174" s="4"/>
      <c r="Q174" s="4"/>
    </row>
    <row r="175" spans="1:17" ht="15.75" thickBot="1">
      <c r="A175" s="96"/>
      <c r="B175" s="840"/>
      <c r="C175" s="509" t="s">
        <v>12768</v>
      </c>
      <c r="D175" s="843">
        <v>0</v>
      </c>
      <c r="E175" s="843">
        <v>0</v>
      </c>
      <c r="F175" s="843">
        <v>915</v>
      </c>
      <c r="G175" s="843">
        <v>947</v>
      </c>
      <c r="H175" s="48">
        <v>945</v>
      </c>
      <c r="I175" s="48">
        <v>954</v>
      </c>
      <c r="J175" s="48">
        <v>932</v>
      </c>
      <c r="K175" s="48">
        <v>941</v>
      </c>
      <c r="L175" s="4">
        <v>984</v>
      </c>
      <c r="N175" s="840" t="s">
        <v>3207</v>
      </c>
      <c r="O175" s="4"/>
      <c r="Q175" s="4"/>
    </row>
    <row r="176" spans="1:17" ht="15.75" thickBot="1">
      <c r="A176" s="96"/>
      <c r="B176" s="840"/>
      <c r="C176" s="509" t="s">
        <v>12768</v>
      </c>
      <c r="D176" s="850">
        <f t="shared" ref="D176:L176" si="109">D174+D175</f>
        <v>0</v>
      </c>
      <c r="E176" s="850">
        <f t="shared" si="109"/>
        <v>0</v>
      </c>
      <c r="F176" s="850">
        <f t="shared" si="109"/>
        <v>9092</v>
      </c>
      <c r="G176" s="850">
        <f t="shared" si="109"/>
        <v>9470</v>
      </c>
      <c r="H176" s="850">
        <f t="shared" si="109"/>
        <v>9599</v>
      </c>
      <c r="I176" s="850">
        <f t="shared" si="109"/>
        <v>9774</v>
      </c>
      <c r="J176" s="850">
        <f t="shared" si="109"/>
        <v>9672</v>
      </c>
      <c r="K176" s="850">
        <f t="shared" si="109"/>
        <v>9921</v>
      </c>
      <c r="L176" s="850">
        <f t="shared" si="109"/>
        <v>10328</v>
      </c>
      <c r="N176" s="840"/>
    </row>
    <row r="177" spans="1:17">
      <c r="A177" s="96">
        <v>44</v>
      </c>
      <c r="B177" s="840" t="s">
        <v>12584</v>
      </c>
      <c r="C177" s="509" t="s">
        <v>12769</v>
      </c>
      <c r="D177" s="843">
        <v>0</v>
      </c>
      <c r="E177" s="843">
        <v>0</v>
      </c>
      <c r="F177" s="843">
        <v>6410</v>
      </c>
      <c r="G177" s="843">
        <v>6778</v>
      </c>
      <c r="H177" s="48">
        <v>6739</v>
      </c>
      <c r="I177" s="48">
        <v>6871</v>
      </c>
      <c r="J177" s="48">
        <v>6708</v>
      </c>
      <c r="K177" s="48">
        <v>6877</v>
      </c>
      <c r="L177" s="48">
        <v>7140</v>
      </c>
      <c r="N177" s="840" t="s">
        <v>4866</v>
      </c>
    </row>
    <row r="178" spans="1:17">
      <c r="A178" s="96">
        <v>45</v>
      </c>
      <c r="B178" s="840" t="s">
        <v>12583</v>
      </c>
      <c r="C178" s="509" t="s">
        <v>12770</v>
      </c>
      <c r="D178" s="843">
        <v>0</v>
      </c>
      <c r="E178" s="843">
        <v>0</v>
      </c>
      <c r="F178" s="843">
        <v>6739</v>
      </c>
      <c r="G178" s="843">
        <v>6955</v>
      </c>
      <c r="H178" s="48">
        <v>7035</v>
      </c>
      <c r="I178" s="48">
        <v>7181</v>
      </c>
      <c r="J178" s="48">
        <v>7100</v>
      </c>
      <c r="K178" s="48">
        <v>7007</v>
      </c>
      <c r="L178" s="48">
        <v>7178</v>
      </c>
      <c r="N178" s="840" t="s">
        <v>4866</v>
      </c>
    </row>
    <row r="179" spans="1:17">
      <c r="A179" s="96">
        <v>46</v>
      </c>
      <c r="B179" s="840" t="s">
        <v>12582</v>
      </c>
      <c r="C179" s="509" t="s">
        <v>12771</v>
      </c>
      <c r="D179" s="843">
        <v>0</v>
      </c>
      <c r="E179" s="843">
        <v>0</v>
      </c>
      <c r="F179" s="843">
        <v>3595</v>
      </c>
      <c r="G179" s="843">
        <v>3609</v>
      </c>
      <c r="H179" s="48">
        <v>3641</v>
      </c>
      <c r="I179" s="48">
        <v>3662</v>
      </c>
      <c r="J179" s="48">
        <v>3600</v>
      </c>
      <c r="K179" s="48">
        <v>3658</v>
      </c>
      <c r="L179" s="48">
        <v>3682</v>
      </c>
      <c r="N179" s="840" t="s">
        <v>3206</v>
      </c>
      <c r="O179" s="4"/>
      <c r="Q179" s="4"/>
    </row>
    <row r="180" spans="1:17" ht="15.75" thickBot="1">
      <c r="A180" s="848"/>
      <c r="B180" s="840"/>
      <c r="C180" s="509" t="s">
        <v>12771</v>
      </c>
      <c r="D180" s="843">
        <v>0</v>
      </c>
      <c r="E180" s="843">
        <v>0</v>
      </c>
      <c r="F180" s="843">
        <v>2725</v>
      </c>
      <c r="G180" s="843">
        <v>2731</v>
      </c>
      <c r="H180" s="48">
        <v>2721</v>
      </c>
      <c r="I180" s="48">
        <v>2734</v>
      </c>
      <c r="J180" s="48">
        <v>2694</v>
      </c>
      <c r="K180" s="48">
        <v>2709</v>
      </c>
      <c r="L180" s="48">
        <v>2698</v>
      </c>
      <c r="N180" s="840" t="s">
        <v>3207</v>
      </c>
      <c r="O180" s="4"/>
      <c r="Q180" s="4"/>
    </row>
    <row r="181" spans="1:17" ht="15.75" thickBot="1">
      <c r="A181" s="848"/>
      <c r="B181" s="840"/>
      <c r="C181" s="509" t="s">
        <v>12771</v>
      </c>
      <c r="D181" s="850">
        <f t="shared" ref="D181:I181" si="110">D179+D180</f>
        <v>0</v>
      </c>
      <c r="E181" s="850">
        <f t="shared" si="110"/>
        <v>0</v>
      </c>
      <c r="F181" s="850">
        <f t="shared" si="110"/>
        <v>6320</v>
      </c>
      <c r="G181" s="850">
        <f t="shared" si="110"/>
        <v>6340</v>
      </c>
      <c r="H181" s="850">
        <f t="shared" si="110"/>
        <v>6362</v>
      </c>
      <c r="I181" s="850">
        <f t="shared" si="110"/>
        <v>6396</v>
      </c>
      <c r="J181" s="850">
        <f t="shared" ref="J181:K181" si="111">J179+J180</f>
        <v>6294</v>
      </c>
      <c r="K181" s="850">
        <f t="shared" si="111"/>
        <v>6367</v>
      </c>
      <c r="L181" s="850">
        <f t="shared" ref="L181" si="112">L179+L180</f>
        <v>6380</v>
      </c>
      <c r="N181" s="840"/>
      <c r="O181" s="4"/>
      <c r="Q181" s="4"/>
    </row>
    <row r="182" spans="1:17">
      <c r="A182" s="848"/>
      <c r="B182" s="840"/>
      <c r="C182" s="4"/>
      <c r="D182" s="843"/>
      <c r="E182" s="843"/>
      <c r="F182" s="843"/>
      <c r="G182" s="843"/>
      <c r="H182" s="843"/>
      <c r="I182" s="843"/>
      <c r="J182" s="843"/>
      <c r="K182" s="843"/>
      <c r="L182" s="843"/>
      <c r="N182" s="840"/>
      <c r="O182" s="4"/>
      <c r="Q182" s="4"/>
    </row>
    <row r="183" spans="1:17">
      <c r="A183" s="840" t="s">
        <v>4863</v>
      </c>
      <c r="D183" s="843">
        <f>SUM(D119:D122)+D129+D132+D141+D142+D145+D147+D156+D160+D167</f>
        <v>68899</v>
      </c>
      <c r="E183" s="843">
        <f>SUM(E119:E122)+E129+E132+E141+E142+E145+E147+E156+E160+E167</f>
        <v>68280</v>
      </c>
      <c r="F183" s="843">
        <f t="shared" ref="F183:K183" si="113">SUM(F119:F122)+F129+F132+F136+F141+F142+F145+F147+F149+F156+F160+F167</f>
        <v>68057</v>
      </c>
      <c r="G183" s="843">
        <f t="shared" si="113"/>
        <v>68463</v>
      </c>
      <c r="H183" s="843">
        <f t="shared" si="113"/>
        <v>70641</v>
      </c>
      <c r="I183" s="843">
        <f t="shared" si="113"/>
        <v>70533</v>
      </c>
      <c r="J183" s="843">
        <f t="shared" si="113"/>
        <v>70857</v>
      </c>
      <c r="K183" s="843">
        <f t="shared" si="113"/>
        <v>72255</v>
      </c>
      <c r="L183" s="843">
        <f t="shared" ref="L183" si="114">SUM(L119:L122)+L129+L132+L136+L141+L142+L145+L147+L149+L156+L160+L167</f>
        <v>74397</v>
      </c>
    </row>
    <row r="184" spans="1:17">
      <c r="A184" s="840" t="s">
        <v>3284</v>
      </c>
      <c r="D184" s="843">
        <f>D123+D126+D133+D152+D164+D165+D166+D168++D174+D178</f>
        <v>55967</v>
      </c>
      <c r="E184" s="843">
        <f>E123+E126+E133+E152+E164+E165+E166+E168++E174+E178</f>
        <v>54473</v>
      </c>
      <c r="F184" s="843">
        <f t="shared" ref="F184:J184" si="115">F123+F126+F133+F137+F152+F164+F165+F166+F168+F174+F177+F178</f>
        <v>53972</v>
      </c>
      <c r="G184" s="843">
        <f t="shared" si="115"/>
        <v>55125</v>
      </c>
      <c r="H184" s="843">
        <f t="shared" si="115"/>
        <v>55387</v>
      </c>
      <c r="I184" s="843">
        <f t="shared" si="115"/>
        <v>56378</v>
      </c>
      <c r="J184" s="843">
        <f t="shared" si="115"/>
        <v>56484</v>
      </c>
      <c r="K184" s="843">
        <f>K123+K126+K133+K137+K152+K164+K165+K166+K168+K174+K177+K178</f>
        <v>57571</v>
      </c>
      <c r="L184" s="843">
        <f>L123+L126+L133+L137+L152+L164+L165+L166+L168+L174+L177+L178</f>
        <v>59051</v>
      </c>
    </row>
    <row r="185" spans="1:17">
      <c r="A185" s="840" t="s">
        <v>4867</v>
      </c>
      <c r="D185" s="843">
        <f>D124+D130+D131+D140+D148+D150+D154+D155+D157+D158+SUM(D159:D163)+D171+D172</f>
        <v>65739</v>
      </c>
      <c r="E185" s="843">
        <f>E124+E130+E131+E140+E148+E150+E154+E155+E157+E158+SUM(E159:E163)+E171+E172</f>
        <v>66995</v>
      </c>
      <c r="F185" s="843">
        <f t="shared" ref="F185:K185" si="116">F124+F130+F131+F140+F148+F150+F154+F155+SUM(F157:F159)+F162+F163+F171+F172</f>
        <v>66692</v>
      </c>
      <c r="G185" s="843">
        <f t="shared" si="116"/>
        <v>67446</v>
      </c>
      <c r="H185" s="843">
        <f t="shared" si="116"/>
        <v>67706</v>
      </c>
      <c r="I185" s="843">
        <f t="shared" si="116"/>
        <v>68297</v>
      </c>
      <c r="J185" s="843">
        <f t="shared" si="116"/>
        <v>67586</v>
      </c>
      <c r="K185" s="843">
        <f t="shared" si="116"/>
        <v>68456</v>
      </c>
      <c r="L185" s="843">
        <f t="shared" ref="L185" si="117">L124+L130+L131+L140+L148+L150+L154+L155+SUM(L157:L159)+L162+L163+L171+L172</f>
        <v>69522</v>
      </c>
    </row>
    <row r="186" spans="1:17">
      <c r="A186" s="840" t="s">
        <v>3285</v>
      </c>
      <c r="C186" s="840"/>
      <c r="D186" s="843">
        <f t="shared" ref="D186:I186" si="118">D153+D161+D179</f>
        <v>16639</v>
      </c>
      <c r="E186" s="843">
        <f t="shared" si="118"/>
        <v>15975</v>
      </c>
      <c r="F186" s="843">
        <f t="shared" si="118"/>
        <v>16040</v>
      </c>
      <c r="G186" s="843">
        <f t="shared" si="118"/>
        <v>16384</v>
      </c>
      <c r="H186" s="843">
        <f t="shared" si="118"/>
        <v>16330</v>
      </c>
      <c r="I186" s="843">
        <f t="shared" si="118"/>
        <v>16512</v>
      </c>
      <c r="J186" s="843">
        <f t="shared" ref="J186:K186" si="119">J153+J161+J179</f>
        <v>16527</v>
      </c>
      <c r="K186" s="843">
        <f t="shared" si="119"/>
        <v>17078</v>
      </c>
      <c r="L186" s="843">
        <f t="shared" ref="L186" si="120">L153+L161+L179</f>
        <v>17388</v>
      </c>
    </row>
    <row r="187" spans="1:17">
      <c r="A187" s="840" t="s">
        <v>8554</v>
      </c>
      <c r="D187" s="843">
        <f t="shared" ref="D187:I187" si="121">D127+D135+D138+D143+D144+D146+D169+D173+D175+D180</f>
        <v>44689</v>
      </c>
      <c r="E187" s="843">
        <f t="shared" si="121"/>
        <v>43780</v>
      </c>
      <c r="F187" s="843">
        <f t="shared" si="121"/>
        <v>42920</v>
      </c>
      <c r="G187" s="843">
        <f t="shared" si="121"/>
        <v>43670</v>
      </c>
      <c r="H187" s="843">
        <f t="shared" si="121"/>
        <v>44315</v>
      </c>
      <c r="I187" s="843">
        <f t="shared" si="121"/>
        <v>45071</v>
      </c>
      <c r="J187" s="843">
        <f t="shared" ref="J187:K187" si="122">J127+J135+J138+J143+J144+J146+J169+J173+J175+J180</f>
        <v>45044</v>
      </c>
      <c r="K187" s="843">
        <f t="shared" si="122"/>
        <v>45980</v>
      </c>
      <c r="L187" s="843">
        <f t="shared" ref="L187" si="123">L127+L135+L138+L143+L144+L146+L169+L173+L175+L180</f>
        <v>47385</v>
      </c>
    </row>
    <row r="188" spans="1:17">
      <c r="A188" s="840"/>
      <c r="B188" s="840"/>
      <c r="D188" s="843"/>
      <c r="E188" s="843"/>
      <c r="F188" s="843"/>
      <c r="G188" s="843"/>
      <c r="H188" s="843"/>
      <c r="I188" s="843"/>
      <c r="J188" s="843"/>
      <c r="K188" s="843"/>
      <c r="L188" s="843"/>
    </row>
    <row r="189" spans="1:17">
      <c r="A189" s="841" t="s">
        <v>12615</v>
      </c>
      <c r="D189" s="843"/>
      <c r="E189" s="843"/>
      <c r="F189" s="843"/>
      <c r="G189" s="843"/>
      <c r="H189" s="843"/>
      <c r="I189" s="843"/>
      <c r="J189" s="843"/>
      <c r="K189" s="843"/>
      <c r="L189" s="843"/>
    </row>
    <row r="190" spans="1:17">
      <c r="A190" s="840"/>
      <c r="D190" s="847"/>
      <c r="E190" s="847"/>
      <c r="F190" s="847"/>
      <c r="G190" s="847"/>
      <c r="H190" s="847"/>
      <c r="I190" s="847"/>
      <c r="J190" s="847"/>
      <c r="K190" s="847"/>
      <c r="L190" s="847"/>
    </row>
    <row r="191" spans="1:17">
      <c r="A191" s="840"/>
      <c r="D191" s="847"/>
      <c r="E191" s="847"/>
      <c r="F191" s="847"/>
      <c r="G191" s="847"/>
      <c r="H191" s="847"/>
      <c r="I191" s="847"/>
      <c r="J191" s="847"/>
      <c r="K191" s="847"/>
      <c r="L191" s="847"/>
    </row>
    <row r="192" spans="1:17">
      <c r="E192" s="24" t="s">
        <v>2303</v>
      </c>
      <c r="F192" s="24"/>
      <c r="G192" s="24"/>
      <c r="H192" s="24"/>
      <c r="I192" s="24"/>
      <c r="J192" s="24"/>
      <c r="K192" s="24"/>
      <c r="L192" s="24"/>
      <c r="M192" s="25"/>
      <c r="N192" s="29" t="s">
        <v>13319</v>
      </c>
    </row>
    <row r="193" spans="1:18">
      <c r="D193" s="841">
        <v>2010</v>
      </c>
      <c r="E193" s="841">
        <v>2011</v>
      </c>
      <c r="F193" s="841">
        <v>2012</v>
      </c>
      <c r="G193" s="841">
        <v>2013</v>
      </c>
      <c r="H193" s="841">
        <v>2014</v>
      </c>
      <c r="I193" s="841">
        <v>2015</v>
      </c>
      <c r="J193" s="841">
        <v>2016</v>
      </c>
      <c r="K193" s="841">
        <v>2017</v>
      </c>
      <c r="L193" s="841">
        <v>2018</v>
      </c>
      <c r="N193" s="29" t="s">
        <v>2304</v>
      </c>
    </row>
    <row r="194" spans="1:18">
      <c r="A194" s="840" t="s">
        <v>5477</v>
      </c>
      <c r="D194" s="843">
        <f t="shared" ref="D194:I194" si="124">SUM(D195:D215)</f>
        <v>91631</v>
      </c>
      <c r="E194" s="843">
        <f t="shared" si="124"/>
        <v>92550</v>
      </c>
      <c r="F194" s="843">
        <f t="shared" si="124"/>
        <v>94044</v>
      </c>
      <c r="G194" s="843">
        <f t="shared" si="124"/>
        <v>94403</v>
      </c>
      <c r="H194" s="843">
        <f t="shared" si="124"/>
        <v>94006</v>
      </c>
      <c r="I194" s="843">
        <f t="shared" si="124"/>
        <v>94619</v>
      </c>
      <c r="J194" s="843">
        <f t="shared" ref="J194:K194" si="125">SUM(J195:J215)</f>
        <v>92958</v>
      </c>
      <c r="K194" s="843">
        <f t="shared" si="125"/>
        <v>93870</v>
      </c>
      <c r="L194" s="843">
        <f t="shared" ref="L194" si="126">SUM(L195:L215)</f>
        <v>95412</v>
      </c>
    </row>
    <row r="195" spans="1:18">
      <c r="A195" s="840" t="s">
        <v>6957</v>
      </c>
      <c r="B195" s="840" t="s">
        <v>8555</v>
      </c>
      <c r="C195" s="4" t="s">
        <v>8299</v>
      </c>
      <c r="D195" s="843">
        <v>4734</v>
      </c>
      <c r="E195" s="843">
        <v>4773</v>
      </c>
      <c r="F195" s="843">
        <v>4906</v>
      </c>
      <c r="G195" s="843">
        <v>4936</v>
      </c>
      <c r="H195" s="48">
        <v>4877</v>
      </c>
      <c r="I195" s="48">
        <v>4944</v>
      </c>
      <c r="J195" s="48">
        <v>4863</v>
      </c>
      <c r="K195" s="48">
        <v>4859</v>
      </c>
      <c r="L195" s="48">
        <v>4986</v>
      </c>
      <c r="N195" s="840" t="s">
        <v>4868</v>
      </c>
      <c r="P195" s="4"/>
      <c r="R195" s="4"/>
    </row>
    <row r="196" spans="1:18">
      <c r="A196" s="840" t="s">
        <v>6959</v>
      </c>
      <c r="B196" s="840" t="s">
        <v>8556</v>
      </c>
      <c r="C196" s="4" t="s">
        <v>8300</v>
      </c>
      <c r="D196" s="843">
        <v>3119</v>
      </c>
      <c r="E196" s="843">
        <v>3083</v>
      </c>
      <c r="F196" s="843">
        <v>3076</v>
      </c>
      <c r="G196" s="843">
        <v>3066</v>
      </c>
      <c r="H196" s="48">
        <v>3017</v>
      </c>
      <c r="I196" s="48">
        <v>3022</v>
      </c>
      <c r="J196" s="48">
        <v>2946</v>
      </c>
      <c r="K196" s="48">
        <v>2952</v>
      </c>
      <c r="L196" s="48">
        <v>2967</v>
      </c>
      <c r="N196" s="840" t="s">
        <v>3207</v>
      </c>
      <c r="P196" s="4"/>
      <c r="R196" s="4"/>
    </row>
    <row r="197" spans="1:18">
      <c r="A197" s="840" t="s">
        <v>6961</v>
      </c>
      <c r="B197" s="840" t="s">
        <v>8557</v>
      </c>
      <c r="C197" s="4" t="s">
        <v>8301</v>
      </c>
      <c r="D197" s="843">
        <v>4959</v>
      </c>
      <c r="E197" s="843">
        <v>4983</v>
      </c>
      <c r="F197" s="843">
        <v>5221</v>
      </c>
      <c r="G197" s="843">
        <v>5254</v>
      </c>
      <c r="H197" s="48">
        <v>5311</v>
      </c>
      <c r="I197" s="48">
        <v>5386</v>
      </c>
      <c r="J197" s="48">
        <v>5292</v>
      </c>
      <c r="K197" s="48">
        <v>5408</v>
      </c>
      <c r="L197" s="48">
        <v>5475</v>
      </c>
      <c r="N197" s="840" t="s">
        <v>4868</v>
      </c>
      <c r="P197" s="4"/>
      <c r="R197" s="4"/>
    </row>
    <row r="198" spans="1:18">
      <c r="A198" s="840" t="s">
        <v>6963</v>
      </c>
      <c r="B198" s="840" t="s">
        <v>8558</v>
      </c>
      <c r="C198" s="4" t="s">
        <v>8302</v>
      </c>
      <c r="D198" s="843">
        <v>4821</v>
      </c>
      <c r="E198" s="843">
        <v>4867</v>
      </c>
      <c r="F198" s="843">
        <v>4894</v>
      </c>
      <c r="G198" s="843">
        <v>4909</v>
      </c>
      <c r="H198" s="48">
        <v>4932</v>
      </c>
      <c r="I198" s="48">
        <v>4946</v>
      </c>
      <c r="J198" s="48">
        <v>4797</v>
      </c>
      <c r="K198" s="48">
        <v>4870</v>
      </c>
      <c r="L198" s="48">
        <v>4914</v>
      </c>
      <c r="N198" s="840" t="s">
        <v>4868</v>
      </c>
      <c r="P198" s="4"/>
      <c r="R198" s="4"/>
    </row>
    <row r="199" spans="1:18">
      <c r="A199" s="840" t="s">
        <v>6965</v>
      </c>
      <c r="B199" s="840" t="s">
        <v>8559</v>
      </c>
      <c r="C199" s="4" t="s">
        <v>8303</v>
      </c>
      <c r="D199" s="843">
        <v>4318</v>
      </c>
      <c r="E199" s="843">
        <v>4496</v>
      </c>
      <c r="F199" s="843">
        <v>4507</v>
      </c>
      <c r="G199" s="843">
        <v>4561</v>
      </c>
      <c r="H199" s="48">
        <v>4569</v>
      </c>
      <c r="I199" s="48">
        <v>4609</v>
      </c>
      <c r="J199" s="48">
        <v>4568</v>
      </c>
      <c r="K199" s="48">
        <v>4567</v>
      </c>
      <c r="L199" s="48">
        <v>4729</v>
      </c>
      <c r="N199" s="840" t="s">
        <v>4868</v>
      </c>
      <c r="P199" s="4"/>
      <c r="R199" s="4"/>
    </row>
    <row r="200" spans="1:18">
      <c r="A200" s="840" t="s">
        <v>6997</v>
      </c>
      <c r="B200" s="840" t="s">
        <v>8560</v>
      </c>
      <c r="C200" s="4" t="s">
        <v>8304</v>
      </c>
      <c r="D200" s="843">
        <v>3297</v>
      </c>
      <c r="E200" s="843">
        <v>3368</v>
      </c>
      <c r="F200" s="843">
        <v>3413</v>
      </c>
      <c r="G200" s="843">
        <v>3426</v>
      </c>
      <c r="H200" s="48">
        <v>3415</v>
      </c>
      <c r="I200" s="48">
        <v>3442</v>
      </c>
      <c r="J200" s="48">
        <v>3426</v>
      </c>
      <c r="K200" s="48">
        <v>3603</v>
      </c>
      <c r="L200" s="48">
        <v>3817</v>
      </c>
      <c r="N200" s="840" t="s">
        <v>3207</v>
      </c>
      <c r="P200" s="4"/>
      <c r="R200" s="4"/>
    </row>
    <row r="201" spans="1:18">
      <c r="A201" s="840" t="s">
        <v>6999</v>
      </c>
      <c r="B201" s="840" t="s">
        <v>8561</v>
      </c>
      <c r="C201" s="4" t="s">
        <v>8305</v>
      </c>
      <c r="D201" s="843">
        <v>5378</v>
      </c>
      <c r="E201" s="843">
        <v>5404</v>
      </c>
      <c r="F201" s="843">
        <v>5561</v>
      </c>
      <c r="G201" s="843">
        <v>5634</v>
      </c>
      <c r="H201" s="48">
        <v>5550</v>
      </c>
      <c r="I201" s="48">
        <v>5570</v>
      </c>
      <c r="J201" s="48">
        <v>5456</v>
      </c>
      <c r="K201" s="48">
        <v>5538</v>
      </c>
      <c r="L201" s="48">
        <v>5565</v>
      </c>
      <c r="N201" s="840" t="s">
        <v>4868</v>
      </c>
      <c r="P201" s="4"/>
      <c r="R201" s="4"/>
    </row>
    <row r="202" spans="1:18">
      <c r="A202" s="840" t="s">
        <v>7001</v>
      </c>
      <c r="B202" s="840" t="s">
        <v>8562</v>
      </c>
      <c r="C202" s="4" t="s">
        <v>8306</v>
      </c>
      <c r="D202" s="843">
        <v>5537</v>
      </c>
      <c r="E202" s="843">
        <v>5663</v>
      </c>
      <c r="F202" s="843">
        <v>5761</v>
      </c>
      <c r="G202" s="843">
        <v>5852</v>
      </c>
      <c r="H202" s="48">
        <v>6176</v>
      </c>
      <c r="I202" s="48">
        <v>6388</v>
      </c>
      <c r="J202" s="48">
        <v>6415</v>
      </c>
      <c r="K202" s="48">
        <v>6717</v>
      </c>
      <c r="L202" s="48">
        <v>6936</v>
      </c>
      <c r="N202" s="840" t="s">
        <v>4868</v>
      </c>
      <c r="P202" s="4"/>
      <c r="R202" s="4"/>
    </row>
    <row r="203" spans="1:18">
      <c r="A203" s="840" t="s">
        <v>7003</v>
      </c>
      <c r="B203" s="840" t="s">
        <v>8563</v>
      </c>
      <c r="C203" s="4" t="s">
        <v>8307</v>
      </c>
      <c r="D203" s="843">
        <v>4939</v>
      </c>
      <c r="E203" s="843">
        <v>4971</v>
      </c>
      <c r="F203" s="843">
        <v>5046</v>
      </c>
      <c r="G203" s="843">
        <v>5020</v>
      </c>
      <c r="H203" s="48">
        <v>4913</v>
      </c>
      <c r="I203" s="48">
        <v>4917</v>
      </c>
      <c r="J203" s="48">
        <v>4839</v>
      </c>
      <c r="K203" s="48">
        <v>4857</v>
      </c>
      <c r="L203" s="48">
        <v>4960</v>
      </c>
      <c r="N203" s="840" t="s">
        <v>4868</v>
      </c>
      <c r="P203" s="4"/>
      <c r="R203" s="4"/>
    </row>
    <row r="204" spans="1:18">
      <c r="A204" s="840" t="s">
        <v>7005</v>
      </c>
      <c r="B204" s="840" t="s">
        <v>7010</v>
      </c>
      <c r="C204" s="4" t="s">
        <v>8308</v>
      </c>
      <c r="D204" s="843">
        <v>1536</v>
      </c>
      <c r="E204" s="843">
        <v>1561</v>
      </c>
      <c r="F204" s="843">
        <v>1539</v>
      </c>
      <c r="G204" s="843">
        <v>1532</v>
      </c>
      <c r="H204" s="48">
        <v>1528</v>
      </c>
      <c r="I204" s="48">
        <v>1532</v>
      </c>
      <c r="J204" s="48">
        <v>1497</v>
      </c>
      <c r="K204" s="48">
        <v>1531</v>
      </c>
      <c r="L204" s="48">
        <v>1550</v>
      </c>
      <c r="N204" s="840" t="s">
        <v>4868</v>
      </c>
      <c r="P204" s="4"/>
      <c r="R204" s="4"/>
    </row>
    <row r="205" spans="1:18">
      <c r="A205" s="840" t="s">
        <v>7007</v>
      </c>
      <c r="B205" s="840" t="s">
        <v>8564</v>
      </c>
      <c r="C205" s="4" t="s">
        <v>8309</v>
      </c>
      <c r="D205" s="843">
        <v>4740</v>
      </c>
      <c r="E205" s="843">
        <v>4810</v>
      </c>
      <c r="F205" s="843">
        <v>4867</v>
      </c>
      <c r="G205" s="843">
        <v>4875</v>
      </c>
      <c r="H205" s="48">
        <v>4827</v>
      </c>
      <c r="I205" s="48">
        <v>4863</v>
      </c>
      <c r="J205" s="48">
        <v>4790</v>
      </c>
      <c r="K205" s="48">
        <v>4847</v>
      </c>
      <c r="L205" s="48">
        <v>4917</v>
      </c>
      <c r="N205" s="840" t="s">
        <v>4868</v>
      </c>
      <c r="P205" s="4"/>
      <c r="R205" s="4"/>
    </row>
    <row r="206" spans="1:18">
      <c r="A206" s="840" t="s">
        <v>7009</v>
      </c>
      <c r="B206" s="840" t="s">
        <v>8565</v>
      </c>
      <c r="C206" s="4" t="s">
        <v>8310</v>
      </c>
      <c r="D206" s="843">
        <v>4510</v>
      </c>
      <c r="E206" s="843">
        <v>4628</v>
      </c>
      <c r="F206" s="843">
        <v>4724</v>
      </c>
      <c r="G206" s="843">
        <v>4673</v>
      </c>
      <c r="H206" s="48">
        <v>4596</v>
      </c>
      <c r="I206" s="48">
        <v>4600</v>
      </c>
      <c r="J206" s="48">
        <v>4513</v>
      </c>
      <c r="K206" s="48">
        <v>4580</v>
      </c>
      <c r="L206" s="48">
        <v>4570</v>
      </c>
      <c r="N206" s="840" t="s">
        <v>3207</v>
      </c>
      <c r="P206" s="4"/>
      <c r="R206" s="4"/>
    </row>
    <row r="207" spans="1:18">
      <c r="A207" s="840" t="s">
        <v>7011</v>
      </c>
      <c r="B207" s="840" t="s">
        <v>8566</v>
      </c>
      <c r="C207" s="4" t="s">
        <v>8311</v>
      </c>
      <c r="D207" s="843">
        <v>5213</v>
      </c>
      <c r="E207" s="843">
        <v>5184</v>
      </c>
      <c r="F207" s="843">
        <v>5220</v>
      </c>
      <c r="G207" s="843">
        <v>5267</v>
      </c>
      <c r="H207" s="48">
        <v>5204</v>
      </c>
      <c r="I207" s="48">
        <v>5204</v>
      </c>
      <c r="J207" s="48">
        <v>5181</v>
      </c>
      <c r="K207" s="48">
        <v>5174</v>
      </c>
      <c r="L207" s="48">
        <v>5196</v>
      </c>
      <c r="N207" s="840" t="s">
        <v>4868</v>
      </c>
      <c r="P207" s="4"/>
      <c r="R207" s="4"/>
    </row>
    <row r="208" spans="1:18">
      <c r="A208" s="840" t="s">
        <v>7013</v>
      </c>
      <c r="B208" s="840" t="s">
        <v>8207</v>
      </c>
      <c r="C208" s="4" t="s">
        <v>8312</v>
      </c>
      <c r="D208" s="843">
        <v>4627</v>
      </c>
      <c r="E208" s="843">
        <v>4665</v>
      </c>
      <c r="F208" s="843">
        <v>4684</v>
      </c>
      <c r="G208" s="843">
        <v>4684</v>
      </c>
      <c r="H208" s="48">
        <v>4655</v>
      </c>
      <c r="I208" s="48">
        <v>4688</v>
      </c>
      <c r="J208" s="48">
        <v>4634</v>
      </c>
      <c r="K208" s="48">
        <v>4623</v>
      </c>
      <c r="L208" s="48">
        <v>4657</v>
      </c>
      <c r="N208" s="840" t="s">
        <v>4868</v>
      </c>
      <c r="P208" s="4"/>
      <c r="R208" s="4"/>
    </row>
    <row r="209" spans="1:18">
      <c r="A209" s="840" t="s">
        <v>7015</v>
      </c>
      <c r="B209" s="840" t="s">
        <v>8567</v>
      </c>
      <c r="C209" s="4" t="s">
        <v>8313</v>
      </c>
      <c r="D209" s="843">
        <v>5324</v>
      </c>
      <c r="E209" s="843">
        <v>5304</v>
      </c>
      <c r="F209" s="843">
        <v>5332</v>
      </c>
      <c r="G209" s="843">
        <v>5369</v>
      </c>
      <c r="H209" s="48">
        <v>5272</v>
      </c>
      <c r="I209" s="48">
        <v>5297</v>
      </c>
      <c r="J209" s="48">
        <v>5155</v>
      </c>
      <c r="K209" s="48">
        <v>5067</v>
      </c>
      <c r="L209" s="48">
        <v>5131</v>
      </c>
      <c r="N209" s="840" t="s">
        <v>4868</v>
      </c>
      <c r="P209" s="4"/>
      <c r="R209" s="4"/>
    </row>
    <row r="210" spans="1:18">
      <c r="A210" s="840" t="s">
        <v>7017</v>
      </c>
      <c r="B210" s="840" t="s">
        <v>8568</v>
      </c>
      <c r="C210" s="4" t="s">
        <v>8314</v>
      </c>
      <c r="D210" s="843">
        <v>5006</v>
      </c>
      <c r="E210" s="843">
        <v>4973</v>
      </c>
      <c r="F210" s="843">
        <v>5021</v>
      </c>
      <c r="G210" s="843">
        <v>5020</v>
      </c>
      <c r="H210" s="48">
        <v>4962</v>
      </c>
      <c r="I210" s="48">
        <v>4977</v>
      </c>
      <c r="J210" s="48">
        <v>4796</v>
      </c>
      <c r="K210" s="48">
        <v>4803</v>
      </c>
      <c r="L210" s="48">
        <v>4839</v>
      </c>
      <c r="N210" s="840" t="s">
        <v>4868</v>
      </c>
      <c r="P210" s="4"/>
      <c r="R210" s="4"/>
    </row>
    <row r="211" spans="1:18">
      <c r="A211" s="840" t="s">
        <v>7019</v>
      </c>
      <c r="B211" s="840" t="s">
        <v>8569</v>
      </c>
      <c r="C211" s="4" t="s">
        <v>8315</v>
      </c>
      <c r="D211" s="843">
        <v>4804</v>
      </c>
      <c r="E211" s="843">
        <v>5053</v>
      </c>
      <c r="F211" s="843">
        <v>5239</v>
      </c>
      <c r="G211" s="843">
        <v>5262</v>
      </c>
      <c r="H211" s="48">
        <v>5280</v>
      </c>
      <c r="I211" s="48">
        <v>5281</v>
      </c>
      <c r="J211" s="48">
        <v>5062</v>
      </c>
      <c r="K211" s="48">
        <v>5109</v>
      </c>
      <c r="L211" s="48">
        <v>5225</v>
      </c>
      <c r="N211" s="840" t="s">
        <v>4868</v>
      </c>
      <c r="P211" s="4"/>
      <c r="R211" s="4"/>
    </row>
    <row r="212" spans="1:18">
      <c r="A212" s="840" t="s">
        <v>7021</v>
      </c>
      <c r="B212" s="840" t="s">
        <v>8570</v>
      </c>
      <c r="C212" s="4" t="s">
        <v>8316</v>
      </c>
      <c r="D212" s="843">
        <v>4960</v>
      </c>
      <c r="E212" s="843">
        <v>4917</v>
      </c>
      <c r="F212" s="843">
        <v>5013</v>
      </c>
      <c r="G212" s="843">
        <v>5029</v>
      </c>
      <c r="H212" s="48">
        <v>5007</v>
      </c>
      <c r="I212" s="48">
        <v>5015</v>
      </c>
      <c r="J212" s="48">
        <v>4961</v>
      </c>
      <c r="K212" s="48">
        <v>4954</v>
      </c>
      <c r="L212" s="48">
        <v>4967</v>
      </c>
      <c r="N212" s="840" t="s">
        <v>3207</v>
      </c>
      <c r="P212" s="4"/>
      <c r="R212" s="4"/>
    </row>
    <row r="213" spans="1:18">
      <c r="A213" s="840" t="s">
        <v>7023</v>
      </c>
      <c r="B213" s="840" t="s">
        <v>8571</v>
      </c>
      <c r="C213" s="4" t="s">
        <v>8317</v>
      </c>
      <c r="D213" s="843">
        <v>4664</v>
      </c>
      <c r="E213" s="843">
        <v>4611</v>
      </c>
      <c r="F213" s="843">
        <v>4642</v>
      </c>
      <c r="G213" s="843">
        <v>4689</v>
      </c>
      <c r="H213" s="48">
        <v>4685</v>
      </c>
      <c r="I213" s="48">
        <v>4699</v>
      </c>
      <c r="J213" s="48">
        <v>4629</v>
      </c>
      <c r="K213" s="48">
        <v>4647</v>
      </c>
      <c r="L213" s="48">
        <v>4687</v>
      </c>
      <c r="N213" s="840" t="s">
        <v>3207</v>
      </c>
      <c r="P213" s="4"/>
      <c r="R213" s="4"/>
    </row>
    <row r="214" spans="1:18">
      <c r="A214" s="840" t="s">
        <v>7025</v>
      </c>
      <c r="B214" s="20" t="s">
        <v>8572</v>
      </c>
      <c r="C214" s="4" t="s">
        <v>8318</v>
      </c>
      <c r="D214" s="846">
        <v>3525</v>
      </c>
      <c r="E214" s="846">
        <v>3615</v>
      </c>
      <c r="F214" s="846">
        <v>3711</v>
      </c>
      <c r="G214" s="846">
        <v>3703</v>
      </c>
      <c r="H214" s="48">
        <v>3599</v>
      </c>
      <c r="I214" s="48">
        <v>3588</v>
      </c>
      <c r="J214" s="48">
        <v>3523</v>
      </c>
      <c r="K214" s="48">
        <v>3556</v>
      </c>
      <c r="L214" s="48">
        <v>3588</v>
      </c>
      <c r="N214" s="840" t="s">
        <v>4868</v>
      </c>
      <c r="P214" s="4"/>
      <c r="R214" s="4"/>
    </row>
    <row r="215" spans="1:18">
      <c r="A215" s="840" t="s">
        <v>7570</v>
      </c>
      <c r="B215" s="840" t="s">
        <v>7952</v>
      </c>
      <c r="C215" s="4" t="s">
        <v>8319</v>
      </c>
      <c r="D215" s="843">
        <v>1620</v>
      </c>
      <c r="E215" s="843">
        <v>1621</v>
      </c>
      <c r="F215" s="843">
        <v>1667</v>
      </c>
      <c r="G215" s="843">
        <v>1642</v>
      </c>
      <c r="H215" s="48">
        <v>1631</v>
      </c>
      <c r="I215" s="48">
        <v>1651</v>
      </c>
      <c r="J215" s="48">
        <v>1615</v>
      </c>
      <c r="K215" s="48">
        <v>1608</v>
      </c>
      <c r="L215" s="48">
        <v>1736</v>
      </c>
      <c r="N215" s="840" t="s">
        <v>3207</v>
      </c>
      <c r="P215" s="4"/>
      <c r="R215" s="4"/>
    </row>
    <row r="216" spans="1:18">
      <c r="D216" s="846"/>
      <c r="E216" s="846"/>
      <c r="F216" s="846"/>
      <c r="G216" s="846"/>
      <c r="H216" s="846"/>
      <c r="I216" s="846"/>
      <c r="J216" s="846"/>
      <c r="K216" s="846"/>
      <c r="L216" s="846"/>
    </row>
    <row r="217" spans="1:18">
      <c r="A217" s="840" t="s">
        <v>4868</v>
      </c>
      <c r="D217" s="843">
        <f t="shared" ref="D217:I217" si="127">D195+D197+D198+D199+SUM(D201:D205)+SUM(D207:D211)+D214</f>
        <v>69461</v>
      </c>
      <c r="E217" s="843">
        <f t="shared" si="127"/>
        <v>70322</v>
      </c>
      <c r="F217" s="843">
        <f t="shared" si="127"/>
        <v>71509</v>
      </c>
      <c r="G217" s="843">
        <f t="shared" si="127"/>
        <v>71878</v>
      </c>
      <c r="H217" s="843">
        <f t="shared" si="127"/>
        <v>71655</v>
      </c>
      <c r="I217" s="843">
        <f t="shared" si="127"/>
        <v>72190</v>
      </c>
      <c r="J217" s="843">
        <f t="shared" ref="J217:K217" si="128">J195+J197+J198+J199+SUM(J201:J205)+SUM(J207:J211)+J214</f>
        <v>70868</v>
      </c>
      <c r="K217" s="843">
        <f t="shared" si="128"/>
        <v>71526</v>
      </c>
      <c r="L217" s="843">
        <f t="shared" ref="L217" si="129">L195+L197+L198+L199+SUM(L201:L205)+SUM(L207:L211)+L214</f>
        <v>72668</v>
      </c>
    </row>
    <row r="218" spans="1:18">
      <c r="A218" s="840" t="s">
        <v>8554</v>
      </c>
      <c r="D218" s="843">
        <f t="shared" ref="D218:I218" si="130">D196+D200+D206+D212+D213+D215</f>
        <v>22170</v>
      </c>
      <c r="E218" s="843">
        <f t="shared" si="130"/>
        <v>22228</v>
      </c>
      <c r="F218" s="843">
        <f t="shared" si="130"/>
        <v>22535</v>
      </c>
      <c r="G218" s="843">
        <f t="shared" si="130"/>
        <v>22525</v>
      </c>
      <c r="H218" s="843">
        <f t="shared" si="130"/>
        <v>22351</v>
      </c>
      <c r="I218" s="843">
        <f t="shared" si="130"/>
        <v>22429</v>
      </c>
      <c r="J218" s="843">
        <f t="shared" ref="J218:K218" si="131">J196+J200+J206+J212+J213+J215</f>
        <v>22090</v>
      </c>
      <c r="K218" s="843">
        <f t="shared" si="131"/>
        <v>22344</v>
      </c>
      <c r="L218" s="843">
        <f t="shared" ref="L218" si="132">L196+L200+L206+L212+L213+L215</f>
        <v>22744</v>
      </c>
    </row>
    <row r="220" spans="1:18">
      <c r="A220" s="840" t="s">
        <v>8573</v>
      </c>
    </row>
    <row r="221" spans="1:18">
      <c r="A221" s="840"/>
    </row>
    <row r="222" spans="1:18">
      <c r="A222" s="840"/>
    </row>
    <row r="267" spans="1:16">
      <c r="A267" s="840"/>
      <c r="B267" s="840"/>
      <c r="C267" s="840"/>
      <c r="D267" s="845"/>
      <c r="E267" s="845"/>
      <c r="F267" s="845"/>
      <c r="G267" s="845"/>
      <c r="H267" s="845"/>
      <c r="I267" s="845"/>
      <c r="J267" s="845"/>
      <c r="K267" s="845"/>
      <c r="L267" s="845"/>
      <c r="P267" s="840"/>
    </row>
    <row r="268" spans="1:16">
      <c r="A268" s="840"/>
      <c r="B268" s="840"/>
      <c r="C268" s="840"/>
      <c r="D268" s="845"/>
      <c r="E268" s="845"/>
      <c r="F268" s="845"/>
      <c r="G268" s="845"/>
      <c r="H268" s="845"/>
      <c r="I268" s="845"/>
      <c r="J268" s="845"/>
      <c r="K268" s="845"/>
      <c r="L268" s="845"/>
      <c r="P268" s="840"/>
    </row>
    <row r="276" spans="16:16">
      <c r="P276" s="840"/>
    </row>
    <row r="277" spans="16:16">
      <c r="P277" s="840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rowBreaks count="3" manualBreakCount="3">
    <brk id="45" max="5" man="1"/>
    <brk id="114" max="5" man="1"/>
    <brk id="190" max="5" man="1"/>
  </rowBreaks>
  <ignoredErrors>
    <ignoredError sqref="D194:K194 D217:D218 D3:D7 D8 E217:E218 E3:E7 E8 D181:G181 D151:G151 D170:G170 D176:G176 D139:G139 D134:F134 D118:E118 D128:F128 F186 D49:F111 F184:F185 F118:K118 F217:F218 F3:F7 G184:G187 G217:G218 G56:K56 G49:K49 G77:K77 G107:G111 G3:G7 F8 G8 D12:D41 E12:E41 F12:F41 G12:G41 D10 D9:G9 D11:G11 E10:G10 H217:H218 H107:H111 H170:H181 H126:H151 H184:H187 H3:H7 H8:H41 I217:I218 I128 I134:K134 I139:K139 I151:K151 I170:K170 I176:K176 I181:I182 I184:I185 I186:I187 I107:I111 I3:I41 J126:J128 J181:J182 J184:J187 J217:J218 J107:J111 J3:J41 K217:K218 K107:K111 K128 K181 K184:K187 K3:K41 L3:L218" unlockedFormula="1"/>
    <ignoredError sqref="D184:E184 D125:F125 D187:F187 D185:E185 D183:K183 D186:E186 G125:G134 H125:K125" formulaRange="1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79"/>
  <sheetViews>
    <sheetView showGridLines="0" zoomScaleNormal="100" workbookViewId="0"/>
  </sheetViews>
  <sheetFormatPr defaultColWidth="12.5703125" defaultRowHeight="15"/>
  <cols>
    <col min="1" max="1" width="4.85546875" style="13" customWidth="1"/>
    <col min="2" max="2" width="31.140625" style="13" customWidth="1"/>
    <col min="3" max="3" width="11.5703125" style="13" customWidth="1"/>
    <col min="4" max="12" width="10" style="13" customWidth="1"/>
    <col min="13" max="13" width="2.140625" style="13" customWidth="1"/>
    <col min="14" max="14" width="35.85546875" style="13" customWidth="1"/>
    <col min="15" max="16384" width="12.5703125" style="13"/>
  </cols>
  <sheetData>
    <row r="1" spans="1:18">
      <c r="A1" s="12" t="s">
        <v>7342</v>
      </c>
      <c r="D1" s="14">
        <v>2010</v>
      </c>
      <c r="E1" s="14">
        <v>2011</v>
      </c>
      <c r="F1" s="14">
        <v>2012</v>
      </c>
      <c r="G1" s="14">
        <v>2013</v>
      </c>
      <c r="H1" s="14">
        <v>2014</v>
      </c>
      <c r="I1" s="14">
        <v>2015</v>
      </c>
      <c r="J1" s="14">
        <v>2016</v>
      </c>
      <c r="K1" s="14">
        <v>2017</v>
      </c>
      <c r="L1" s="14">
        <v>2018</v>
      </c>
    </row>
    <row r="3" spans="1:18">
      <c r="A3" s="12" t="s">
        <v>8106</v>
      </c>
      <c r="D3" s="15">
        <f t="shared" ref="D3:I3" si="0">SUM(D9:D33)</f>
        <v>5947</v>
      </c>
      <c r="E3" s="15">
        <f t="shared" si="0"/>
        <v>5933</v>
      </c>
      <c r="F3" s="15">
        <f t="shared" si="0"/>
        <v>5992</v>
      </c>
      <c r="G3" s="15">
        <f t="shared" si="0"/>
        <v>5898</v>
      </c>
      <c r="H3" s="15">
        <f t="shared" si="0"/>
        <v>5921</v>
      </c>
      <c r="I3" s="15">
        <f t="shared" si="0"/>
        <v>5853</v>
      </c>
      <c r="J3" s="15">
        <f t="shared" ref="J3:K3" si="1">SUM(J9:J33)</f>
        <v>6158</v>
      </c>
      <c r="K3" s="15">
        <f t="shared" si="1"/>
        <v>6055</v>
      </c>
      <c r="L3" s="15">
        <f t="shared" ref="L3" si="2">SUM(L9:L33)</f>
        <v>6034</v>
      </c>
    </row>
    <row r="5" spans="1:18">
      <c r="A5" s="12" t="s">
        <v>8107</v>
      </c>
      <c r="D5" s="15">
        <f t="shared" ref="D5:I5" si="3">SUM(D9:D33)</f>
        <v>5947</v>
      </c>
      <c r="E5" s="15">
        <f t="shared" si="3"/>
        <v>5933</v>
      </c>
      <c r="F5" s="15">
        <f t="shared" si="3"/>
        <v>5992</v>
      </c>
      <c r="G5" s="15">
        <f t="shared" si="3"/>
        <v>5898</v>
      </c>
      <c r="H5" s="15">
        <f t="shared" si="3"/>
        <v>5921</v>
      </c>
      <c r="I5" s="15">
        <f t="shared" si="3"/>
        <v>5853</v>
      </c>
      <c r="J5" s="15">
        <f t="shared" ref="J5:K5" si="4">SUM(J9:J33)</f>
        <v>6158</v>
      </c>
      <c r="K5" s="15">
        <f t="shared" si="4"/>
        <v>6055</v>
      </c>
      <c r="L5" s="15">
        <f t="shared" ref="L5" si="5">SUM(L9:L33)</f>
        <v>6034</v>
      </c>
      <c r="N5" s="12" t="s">
        <v>8816</v>
      </c>
    </row>
    <row r="6" spans="1:18" ht="15.75" thickBot="1">
      <c r="A6" s="810"/>
      <c r="D6" s="18">
        <f>WESTMINSTER!D8</f>
        <v>58097</v>
      </c>
      <c r="E6" s="18">
        <f>WESTMINSTER!E8</f>
        <v>59207</v>
      </c>
      <c r="F6" s="18">
        <f>WESTMINSTER!F8</f>
        <v>57502</v>
      </c>
      <c r="G6" s="18">
        <f>WESTMINSTER!G8</f>
        <v>56495</v>
      </c>
      <c r="H6" s="18">
        <f>WESTMINSTER!H8</f>
        <v>54936</v>
      </c>
      <c r="I6" s="18">
        <f>WESTMINSTER!I8</f>
        <v>50068</v>
      </c>
      <c r="J6" s="18">
        <f>WESTMINSTER!J8</f>
        <v>51913</v>
      </c>
      <c r="K6" s="18">
        <f>WESTMINSTER!K8</f>
        <v>55167</v>
      </c>
      <c r="L6" s="18">
        <f>WESTMINSTER!L8</f>
        <v>54542</v>
      </c>
      <c r="M6" s="18"/>
      <c r="N6" s="12" t="s">
        <v>8108</v>
      </c>
    </row>
    <row r="7" spans="1:18" ht="15.75" thickBot="1">
      <c r="A7" s="810"/>
      <c r="D7" s="18">
        <f t="shared" ref="D7:I7" si="6">D5+D6</f>
        <v>64044</v>
      </c>
      <c r="E7" s="18">
        <f t="shared" si="6"/>
        <v>65140</v>
      </c>
      <c r="F7" s="18">
        <f t="shared" si="6"/>
        <v>63494</v>
      </c>
      <c r="G7" s="18">
        <f t="shared" si="6"/>
        <v>62393</v>
      </c>
      <c r="H7" s="18">
        <f t="shared" si="6"/>
        <v>60857</v>
      </c>
      <c r="I7" s="18">
        <f t="shared" si="6"/>
        <v>55921</v>
      </c>
      <c r="J7" s="18">
        <f t="shared" ref="J7:K7" si="7">J5+J6</f>
        <v>58071</v>
      </c>
      <c r="K7" s="18">
        <f t="shared" si="7"/>
        <v>61222</v>
      </c>
      <c r="L7" s="18">
        <f t="shared" ref="L7" si="8">L5+L6</f>
        <v>60576</v>
      </c>
    </row>
    <row r="8" spans="1:18">
      <c r="N8" s="12"/>
    </row>
    <row r="9" spans="1:18">
      <c r="A9" s="12" t="s">
        <v>6957</v>
      </c>
      <c r="B9" s="12" t="s">
        <v>2818</v>
      </c>
      <c r="C9" s="72" t="s">
        <v>14510</v>
      </c>
      <c r="D9" s="15">
        <v>5947</v>
      </c>
      <c r="E9" s="15">
        <v>5933</v>
      </c>
      <c r="F9" s="15">
        <v>5992</v>
      </c>
      <c r="G9" s="15">
        <v>5898</v>
      </c>
      <c r="H9" s="48">
        <v>5921</v>
      </c>
      <c r="I9" s="48">
        <v>5853</v>
      </c>
      <c r="J9" s="48">
        <v>6158</v>
      </c>
      <c r="K9" s="48">
        <v>6055</v>
      </c>
      <c r="L9" s="48">
        <v>6034</v>
      </c>
      <c r="N9" s="12" t="s">
        <v>8107</v>
      </c>
      <c r="P9" s="4"/>
      <c r="R9" s="4"/>
    </row>
    <row r="10" spans="1:18">
      <c r="A10" s="12" t="s">
        <v>6959</v>
      </c>
      <c r="B10" s="12" t="s">
        <v>2819</v>
      </c>
      <c r="C10" s="72" t="s">
        <v>14511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N10" s="12" t="s">
        <v>8107</v>
      </c>
      <c r="P10" s="4"/>
      <c r="R10" s="4"/>
    </row>
    <row r="11" spans="1:18">
      <c r="A11" s="12" t="s">
        <v>6961</v>
      </c>
      <c r="B11" s="12" t="s">
        <v>2820</v>
      </c>
      <c r="C11" s="72" t="s">
        <v>14512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N11" s="12" t="s">
        <v>8107</v>
      </c>
      <c r="P11" s="4"/>
      <c r="R11" s="4"/>
    </row>
    <row r="12" spans="1:18">
      <c r="A12" s="12">
        <v>4</v>
      </c>
      <c r="B12" s="12" t="s">
        <v>2851</v>
      </c>
      <c r="C12" s="72" t="s">
        <v>14513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N12" s="12" t="s">
        <v>8107</v>
      </c>
      <c r="P12" s="4"/>
      <c r="R12" s="4"/>
    </row>
    <row r="13" spans="1:18">
      <c r="A13" s="12" t="s">
        <v>6965</v>
      </c>
      <c r="B13" s="12" t="s">
        <v>2852</v>
      </c>
      <c r="C13" s="72" t="s">
        <v>14514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N13" s="12" t="s">
        <v>8107</v>
      </c>
      <c r="P13" s="4"/>
      <c r="R13" s="4"/>
    </row>
    <row r="14" spans="1:18">
      <c r="A14" s="12" t="s">
        <v>6997</v>
      </c>
      <c r="B14" s="12" t="s">
        <v>2853</v>
      </c>
      <c r="C14" s="72" t="s">
        <v>14515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N14" s="12" t="s">
        <v>8107</v>
      </c>
      <c r="P14" s="4"/>
      <c r="R14" s="4"/>
    </row>
    <row r="15" spans="1:18">
      <c r="A15" s="12" t="s">
        <v>6999</v>
      </c>
      <c r="B15" s="12" t="s">
        <v>2854</v>
      </c>
      <c r="C15" s="72" t="s">
        <v>14516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N15" s="12" t="s">
        <v>8107</v>
      </c>
      <c r="P15" s="4"/>
      <c r="R15" s="4"/>
    </row>
    <row r="16" spans="1:18">
      <c r="A16" s="12" t="s">
        <v>7001</v>
      </c>
      <c r="B16" s="12" t="s">
        <v>2855</v>
      </c>
      <c r="C16" s="72" t="s">
        <v>14517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N16" s="12" t="s">
        <v>8107</v>
      </c>
      <c r="P16" s="4"/>
      <c r="R16" s="4"/>
    </row>
    <row r="17" spans="1:18">
      <c r="A17" s="12" t="s">
        <v>7003</v>
      </c>
      <c r="B17" s="12" t="s">
        <v>2856</v>
      </c>
      <c r="C17" s="72" t="s">
        <v>14518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N17" s="12" t="s">
        <v>8107</v>
      </c>
      <c r="P17" s="4"/>
      <c r="R17" s="4"/>
    </row>
    <row r="18" spans="1:18">
      <c r="A18" s="12" t="s">
        <v>7005</v>
      </c>
      <c r="B18" s="12" t="s">
        <v>2857</v>
      </c>
      <c r="C18" s="72" t="s">
        <v>14519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N18" s="12" t="s">
        <v>8107</v>
      </c>
      <c r="P18" s="4"/>
      <c r="R18" s="4"/>
    </row>
    <row r="19" spans="1:18">
      <c r="A19" s="12" t="s">
        <v>7007</v>
      </c>
      <c r="B19" s="12" t="s">
        <v>2858</v>
      </c>
      <c r="C19" s="72" t="s">
        <v>14520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N19" s="12" t="s">
        <v>8107</v>
      </c>
      <c r="P19" s="4"/>
      <c r="R19" s="4"/>
    </row>
    <row r="20" spans="1:18">
      <c r="A20" s="12" t="s">
        <v>7009</v>
      </c>
      <c r="B20" s="12" t="s">
        <v>2859</v>
      </c>
      <c r="C20" s="72" t="s">
        <v>14521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N20" s="12" t="s">
        <v>8107</v>
      </c>
      <c r="P20" s="4"/>
      <c r="R20" s="4"/>
    </row>
    <row r="21" spans="1:18">
      <c r="A21" s="12" t="s">
        <v>7011</v>
      </c>
      <c r="B21" s="12" t="s">
        <v>2860</v>
      </c>
      <c r="C21" s="72" t="s">
        <v>14522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N21" s="12" t="s">
        <v>8107</v>
      </c>
      <c r="P21" s="4"/>
      <c r="R21" s="4"/>
    </row>
    <row r="22" spans="1:18">
      <c r="A22" s="12" t="s">
        <v>7013</v>
      </c>
      <c r="B22" s="12" t="s">
        <v>2861</v>
      </c>
      <c r="C22" s="72" t="s">
        <v>14523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N22" s="12" t="s">
        <v>8107</v>
      </c>
      <c r="P22" s="4"/>
      <c r="R22" s="4"/>
    </row>
    <row r="23" spans="1:18">
      <c r="A23" s="12" t="s">
        <v>7015</v>
      </c>
      <c r="B23" s="12" t="s">
        <v>2862</v>
      </c>
      <c r="C23" s="72" t="s">
        <v>14524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N23" s="12" t="s">
        <v>8107</v>
      </c>
      <c r="P23" s="4"/>
      <c r="R23" s="4"/>
    </row>
    <row r="24" spans="1:18">
      <c r="A24" s="12" t="s">
        <v>7017</v>
      </c>
      <c r="B24" s="12" t="s">
        <v>2863</v>
      </c>
      <c r="C24" s="72" t="s">
        <v>14525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N24" s="12" t="s">
        <v>8107</v>
      </c>
      <c r="P24" s="4"/>
      <c r="R24" s="4"/>
    </row>
    <row r="25" spans="1:18">
      <c r="A25" s="12" t="s">
        <v>7019</v>
      </c>
      <c r="B25" s="12" t="s">
        <v>2864</v>
      </c>
      <c r="C25" s="72" t="s">
        <v>14526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N25" s="12" t="s">
        <v>8107</v>
      </c>
      <c r="P25" s="4"/>
      <c r="R25" s="4"/>
    </row>
    <row r="26" spans="1:18">
      <c r="A26" s="12" t="s">
        <v>7021</v>
      </c>
      <c r="B26" s="12" t="s">
        <v>2865</v>
      </c>
      <c r="C26" s="72" t="s">
        <v>14527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N26" s="12" t="s">
        <v>8107</v>
      </c>
      <c r="P26" s="4"/>
      <c r="R26" s="4"/>
    </row>
    <row r="27" spans="1:18">
      <c r="A27" s="12" t="s">
        <v>7023</v>
      </c>
      <c r="B27" s="12" t="s">
        <v>1207</v>
      </c>
      <c r="C27" s="72" t="s">
        <v>14528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N27" s="12" t="s">
        <v>8107</v>
      </c>
      <c r="P27" s="4"/>
      <c r="R27" s="4"/>
    </row>
    <row r="28" spans="1:18">
      <c r="A28" s="12" t="s">
        <v>7025</v>
      </c>
      <c r="B28" s="12" t="s">
        <v>1208</v>
      </c>
      <c r="C28" s="72" t="s">
        <v>14529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N28" s="12" t="s">
        <v>8107</v>
      </c>
      <c r="P28" s="4"/>
      <c r="R28" s="4"/>
    </row>
    <row r="29" spans="1:18">
      <c r="A29" s="12" t="s">
        <v>7570</v>
      </c>
      <c r="B29" s="12" t="s">
        <v>1209</v>
      </c>
      <c r="C29" s="72" t="s">
        <v>14530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N29" s="12" t="s">
        <v>8107</v>
      </c>
      <c r="P29" s="4"/>
      <c r="R29" s="4"/>
    </row>
    <row r="30" spans="1:18">
      <c r="A30" s="12" t="s">
        <v>7572</v>
      </c>
      <c r="B30" s="12" t="s">
        <v>1210</v>
      </c>
      <c r="C30" s="72" t="s">
        <v>14531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N30" s="12" t="s">
        <v>8107</v>
      </c>
      <c r="P30" s="4"/>
      <c r="R30" s="4"/>
    </row>
    <row r="31" spans="1:18">
      <c r="A31" s="12" t="s">
        <v>7573</v>
      </c>
      <c r="B31" s="12" t="s">
        <v>1211</v>
      </c>
      <c r="C31" s="72" t="s">
        <v>14532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N31" s="12" t="s">
        <v>8107</v>
      </c>
      <c r="P31" s="4"/>
      <c r="R31" s="4"/>
    </row>
    <row r="32" spans="1:18">
      <c r="A32" s="811">
        <v>24</v>
      </c>
      <c r="B32" s="12" t="s">
        <v>6367</v>
      </c>
      <c r="C32" s="72" t="s">
        <v>14533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N32" s="12" t="s">
        <v>8107</v>
      </c>
      <c r="P32" s="4"/>
      <c r="R32" s="4"/>
    </row>
    <row r="33" spans="1:18">
      <c r="A33" s="811">
        <v>25</v>
      </c>
      <c r="B33" s="12" t="s">
        <v>6368</v>
      </c>
      <c r="C33" s="72" t="s">
        <v>14534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N33" s="12" t="s">
        <v>8107</v>
      </c>
      <c r="P33" s="4"/>
      <c r="R33" s="4"/>
    </row>
    <row r="35" spans="1:18">
      <c r="A35" s="13" t="s">
        <v>6369</v>
      </c>
    </row>
    <row r="36" spans="1:18">
      <c r="A36" s="12"/>
      <c r="B36" s="12"/>
      <c r="C36" s="12"/>
      <c r="D36" s="14"/>
      <c r="E36" s="14"/>
      <c r="F36" s="14"/>
      <c r="G36" s="14"/>
      <c r="H36" s="14"/>
      <c r="I36" s="14"/>
      <c r="J36" s="14"/>
      <c r="K36" s="14"/>
      <c r="L36" s="14"/>
      <c r="N36" s="12"/>
    </row>
    <row r="37" spans="1:18">
      <c r="A37" s="12"/>
      <c r="B37" s="12"/>
      <c r="C37" s="12"/>
      <c r="D37" s="14"/>
      <c r="E37" s="14"/>
      <c r="F37" s="14"/>
      <c r="G37" s="14"/>
      <c r="H37" s="14"/>
      <c r="I37" s="14"/>
      <c r="J37" s="14"/>
      <c r="K37" s="14"/>
      <c r="L37" s="14"/>
      <c r="N37" s="12"/>
    </row>
    <row r="38" spans="1:18">
      <c r="D38" s="14"/>
      <c r="E38" s="14"/>
      <c r="F38" s="14"/>
      <c r="G38" s="14"/>
      <c r="H38" s="14"/>
      <c r="I38" s="14"/>
      <c r="J38" s="14"/>
      <c r="K38" s="14"/>
      <c r="L38" s="14"/>
      <c r="N38" s="12"/>
    </row>
    <row r="39" spans="1:18">
      <c r="D39" s="804"/>
      <c r="E39" s="804"/>
      <c r="F39" s="804"/>
      <c r="G39" s="804"/>
      <c r="H39" s="804"/>
      <c r="I39" s="804"/>
      <c r="J39" s="804"/>
      <c r="K39" s="804"/>
      <c r="L39" s="804"/>
    </row>
    <row r="40" spans="1:18">
      <c r="D40" s="14"/>
      <c r="E40" s="14"/>
      <c r="F40" s="14"/>
      <c r="G40" s="14"/>
      <c r="H40" s="14"/>
      <c r="I40" s="14"/>
      <c r="J40" s="14"/>
      <c r="K40" s="14"/>
      <c r="L40" s="14"/>
    </row>
    <row r="41" spans="1:18">
      <c r="D41" s="804"/>
      <c r="E41" s="804"/>
      <c r="F41" s="804"/>
      <c r="G41" s="804"/>
      <c r="H41" s="804"/>
      <c r="I41" s="804"/>
      <c r="J41" s="804"/>
      <c r="K41" s="804"/>
      <c r="L41" s="804"/>
    </row>
    <row r="42" spans="1:18">
      <c r="A42" s="12"/>
      <c r="B42" s="12"/>
      <c r="C42" s="12"/>
      <c r="D42" s="14"/>
      <c r="E42" s="14"/>
      <c r="F42" s="14"/>
      <c r="G42" s="14"/>
      <c r="H42" s="14"/>
      <c r="I42" s="14"/>
      <c r="J42" s="14"/>
      <c r="K42" s="14"/>
      <c r="L42" s="14"/>
      <c r="N42" s="12"/>
    </row>
    <row r="43" spans="1:18">
      <c r="A43" s="12"/>
      <c r="B43" s="12"/>
      <c r="C43" s="12"/>
      <c r="D43" s="14"/>
      <c r="E43" s="14"/>
      <c r="F43" s="14"/>
      <c r="G43" s="14"/>
      <c r="H43" s="14"/>
      <c r="I43" s="14"/>
      <c r="J43" s="14"/>
      <c r="K43" s="14"/>
      <c r="L43" s="14"/>
      <c r="N43" s="12"/>
    </row>
    <row r="44" spans="1:18">
      <c r="A44" s="12"/>
      <c r="B44" s="12"/>
      <c r="C44" s="12"/>
      <c r="D44" s="14"/>
      <c r="E44" s="14"/>
      <c r="F44" s="14"/>
      <c r="G44" s="14"/>
      <c r="H44" s="14"/>
      <c r="I44" s="14"/>
      <c r="J44" s="14"/>
      <c r="K44" s="14"/>
      <c r="L44" s="14"/>
      <c r="N44" s="12"/>
    </row>
    <row r="45" spans="1:18">
      <c r="A45" s="12"/>
      <c r="B45" s="12"/>
      <c r="C45" s="12"/>
      <c r="D45" s="14"/>
      <c r="E45" s="14"/>
      <c r="F45" s="14"/>
      <c r="G45" s="14"/>
      <c r="H45" s="14"/>
      <c r="I45" s="14"/>
      <c r="J45" s="14"/>
      <c r="K45" s="14"/>
      <c r="L45" s="14"/>
      <c r="N45" s="12"/>
    </row>
    <row r="46" spans="1:18">
      <c r="A46" s="12"/>
      <c r="B46" s="12"/>
      <c r="C46" s="12"/>
      <c r="D46" s="14"/>
      <c r="E46" s="14"/>
      <c r="F46" s="14"/>
      <c r="G46" s="14"/>
      <c r="H46" s="14"/>
      <c r="I46" s="14"/>
      <c r="J46" s="14"/>
      <c r="K46" s="14"/>
      <c r="L46" s="14"/>
      <c r="N46" s="12"/>
    </row>
    <row r="47" spans="1:18">
      <c r="A47" s="12"/>
      <c r="B47" s="12"/>
      <c r="C47" s="12"/>
      <c r="D47" s="14"/>
      <c r="E47" s="14"/>
      <c r="F47" s="14"/>
      <c r="G47" s="14"/>
      <c r="H47" s="14"/>
      <c r="I47" s="14"/>
      <c r="J47" s="14"/>
      <c r="K47" s="14"/>
      <c r="L47" s="14"/>
      <c r="N47" s="12"/>
    </row>
    <row r="48" spans="1:18">
      <c r="A48" s="12"/>
      <c r="B48" s="12"/>
      <c r="C48" s="12"/>
      <c r="D48" s="14"/>
      <c r="E48" s="14"/>
      <c r="F48" s="14"/>
      <c r="G48" s="14"/>
      <c r="H48" s="14"/>
      <c r="I48" s="14"/>
      <c r="J48" s="14"/>
      <c r="K48" s="14"/>
      <c r="L48" s="14"/>
      <c r="N48" s="12"/>
    </row>
    <row r="49" spans="1:14">
      <c r="A49" s="12"/>
      <c r="B49" s="12"/>
      <c r="C49" s="12"/>
      <c r="D49" s="14"/>
      <c r="E49" s="14"/>
      <c r="F49" s="14"/>
      <c r="G49" s="14"/>
      <c r="H49" s="14"/>
      <c r="I49" s="14"/>
      <c r="J49" s="14"/>
      <c r="K49" s="14"/>
      <c r="L49" s="14"/>
      <c r="N49" s="12"/>
    </row>
    <row r="50" spans="1:14">
      <c r="A50" s="12"/>
      <c r="B50" s="12"/>
      <c r="C50" s="12"/>
      <c r="D50" s="14"/>
      <c r="E50" s="14"/>
      <c r="F50" s="14"/>
      <c r="G50" s="14"/>
      <c r="H50" s="14"/>
      <c r="I50" s="14"/>
      <c r="J50" s="14"/>
      <c r="K50" s="14"/>
      <c r="L50" s="14"/>
      <c r="N50" s="12"/>
    </row>
    <row r="51" spans="1:14">
      <c r="A51" s="12"/>
      <c r="B51" s="12"/>
      <c r="C51" s="12"/>
      <c r="D51" s="14"/>
      <c r="E51" s="14"/>
      <c r="F51" s="14"/>
      <c r="G51" s="14"/>
      <c r="H51" s="14"/>
      <c r="I51" s="14"/>
      <c r="J51" s="14"/>
      <c r="K51" s="14"/>
      <c r="L51" s="14"/>
      <c r="N51" s="12"/>
    </row>
    <row r="52" spans="1:14">
      <c r="A52" s="12"/>
      <c r="B52" s="12"/>
      <c r="C52" s="12"/>
      <c r="D52" s="14"/>
      <c r="E52" s="14"/>
      <c r="F52" s="14"/>
      <c r="G52" s="14"/>
      <c r="H52" s="14"/>
      <c r="I52" s="14"/>
      <c r="J52" s="14"/>
      <c r="K52" s="14"/>
      <c r="L52" s="14"/>
      <c r="N52" s="12"/>
    </row>
    <row r="53" spans="1:14">
      <c r="D53" s="14"/>
      <c r="E53" s="14"/>
      <c r="F53" s="14"/>
      <c r="G53" s="14"/>
      <c r="H53" s="14"/>
      <c r="I53" s="14"/>
      <c r="J53" s="14"/>
      <c r="K53" s="14"/>
      <c r="L53" s="14"/>
      <c r="N53" s="12"/>
    </row>
    <row r="54" spans="1:14">
      <c r="D54" s="804"/>
      <c r="E54" s="804"/>
      <c r="F54" s="804"/>
      <c r="G54" s="804"/>
      <c r="H54" s="804"/>
      <c r="I54" s="804"/>
      <c r="J54" s="804"/>
      <c r="K54" s="804"/>
      <c r="L54" s="804"/>
    </row>
    <row r="55" spans="1:14">
      <c r="D55" s="14"/>
      <c r="E55" s="14"/>
      <c r="F55" s="14"/>
      <c r="G55" s="14"/>
      <c r="H55" s="14"/>
      <c r="I55" s="14"/>
      <c r="J55" s="14"/>
      <c r="K55" s="14"/>
      <c r="L55" s="14"/>
    </row>
    <row r="56" spans="1:14">
      <c r="D56" s="804"/>
      <c r="E56" s="804"/>
      <c r="F56" s="804"/>
      <c r="G56" s="804"/>
      <c r="H56" s="804"/>
      <c r="I56" s="804"/>
      <c r="J56" s="804"/>
      <c r="K56" s="804"/>
      <c r="L56" s="804"/>
    </row>
    <row r="57" spans="1:14">
      <c r="A57" s="12"/>
      <c r="B57" s="12"/>
      <c r="C57" s="12"/>
      <c r="D57" s="14"/>
      <c r="E57" s="14"/>
      <c r="F57" s="14"/>
      <c r="G57" s="14"/>
      <c r="H57" s="14"/>
      <c r="I57" s="14"/>
      <c r="J57" s="14"/>
      <c r="K57" s="14"/>
      <c r="L57" s="14"/>
      <c r="N57" s="12"/>
    </row>
    <row r="58" spans="1:14">
      <c r="D58" s="14"/>
      <c r="E58" s="14"/>
      <c r="F58" s="14"/>
      <c r="G58" s="14"/>
      <c r="H58" s="14"/>
      <c r="I58" s="14"/>
      <c r="J58" s="14"/>
      <c r="K58" s="14"/>
      <c r="L58" s="14"/>
      <c r="N58" s="12"/>
    </row>
    <row r="59" spans="1:14">
      <c r="D59" s="804"/>
      <c r="E59" s="804"/>
      <c r="F59" s="804"/>
      <c r="G59" s="804"/>
      <c r="H59" s="804"/>
      <c r="I59" s="804"/>
      <c r="J59" s="804"/>
      <c r="K59" s="804"/>
      <c r="L59" s="804"/>
    </row>
    <row r="60" spans="1:14">
      <c r="D60" s="14"/>
      <c r="E60" s="14"/>
      <c r="F60" s="14"/>
      <c r="G60" s="14"/>
      <c r="H60" s="14"/>
      <c r="I60" s="14"/>
      <c r="J60" s="14"/>
      <c r="K60" s="14"/>
      <c r="L60" s="14"/>
    </row>
    <row r="61" spans="1:14">
      <c r="D61" s="804"/>
      <c r="E61" s="804"/>
      <c r="F61" s="804"/>
      <c r="G61" s="804"/>
      <c r="H61" s="804"/>
      <c r="I61" s="804"/>
      <c r="J61" s="804"/>
      <c r="K61" s="804"/>
      <c r="L61" s="804"/>
    </row>
    <row r="62" spans="1:14">
      <c r="A62" s="12"/>
      <c r="B62" s="12"/>
      <c r="C62" s="12"/>
      <c r="D62" s="14"/>
      <c r="E62" s="14"/>
      <c r="F62" s="14"/>
      <c r="G62" s="14"/>
      <c r="H62" s="14"/>
      <c r="I62" s="14"/>
      <c r="J62" s="14"/>
      <c r="K62" s="14"/>
      <c r="L62" s="14"/>
      <c r="N62" s="12"/>
    </row>
    <row r="63" spans="1:14">
      <c r="A63" s="12"/>
      <c r="B63" s="12"/>
      <c r="C63" s="12"/>
      <c r="D63" s="14"/>
      <c r="E63" s="14"/>
      <c r="F63" s="14"/>
      <c r="G63" s="14"/>
      <c r="H63" s="14"/>
      <c r="I63" s="14"/>
      <c r="J63" s="14"/>
      <c r="K63" s="14"/>
      <c r="L63" s="14"/>
      <c r="N63" s="12"/>
    </row>
    <row r="64" spans="1:14">
      <c r="A64" s="12"/>
      <c r="B64" s="12"/>
      <c r="C64" s="12"/>
      <c r="D64" s="14"/>
      <c r="E64" s="14"/>
      <c r="F64" s="14"/>
      <c r="G64" s="14"/>
      <c r="H64" s="14"/>
      <c r="I64" s="14"/>
      <c r="J64" s="14"/>
      <c r="K64" s="14"/>
      <c r="L64" s="14"/>
      <c r="N64" s="12"/>
    </row>
    <row r="65" spans="1:14">
      <c r="A65" s="12"/>
      <c r="B65" s="12"/>
      <c r="C65" s="12"/>
      <c r="D65" s="14"/>
      <c r="E65" s="14"/>
      <c r="F65" s="14"/>
      <c r="G65" s="14"/>
      <c r="H65" s="14"/>
      <c r="I65" s="14"/>
      <c r="J65" s="14"/>
      <c r="K65" s="14"/>
      <c r="L65" s="14"/>
      <c r="N65" s="12"/>
    </row>
    <row r="66" spans="1:14">
      <c r="A66" s="12"/>
      <c r="B66" s="12"/>
      <c r="C66" s="12"/>
      <c r="D66" s="14"/>
      <c r="E66" s="14"/>
      <c r="F66" s="14"/>
      <c r="G66" s="14"/>
      <c r="H66" s="14"/>
      <c r="I66" s="14"/>
      <c r="J66" s="14"/>
      <c r="K66" s="14"/>
      <c r="L66" s="14"/>
      <c r="N66" s="12"/>
    </row>
    <row r="67" spans="1:14">
      <c r="A67" s="12"/>
      <c r="B67" s="12"/>
      <c r="C67" s="12"/>
      <c r="D67" s="14"/>
      <c r="E67" s="14"/>
      <c r="F67" s="14"/>
      <c r="G67" s="14"/>
      <c r="H67" s="14"/>
      <c r="I67" s="14"/>
      <c r="J67" s="14"/>
      <c r="K67" s="14"/>
      <c r="L67" s="14"/>
      <c r="N67" s="12"/>
    </row>
    <row r="68" spans="1:14">
      <c r="D68" s="14"/>
      <c r="E68" s="14"/>
      <c r="F68" s="14"/>
      <c r="G68" s="14"/>
      <c r="H68" s="14"/>
      <c r="I68" s="14"/>
      <c r="J68" s="14"/>
      <c r="K68" s="14"/>
      <c r="L68" s="14"/>
      <c r="N68" s="12"/>
    </row>
    <row r="69" spans="1:14">
      <c r="D69" s="804"/>
      <c r="E69" s="804"/>
      <c r="F69" s="804"/>
      <c r="G69" s="804"/>
      <c r="H69" s="804"/>
      <c r="I69" s="804"/>
      <c r="J69" s="804"/>
      <c r="K69" s="804"/>
      <c r="L69" s="804"/>
    </row>
    <row r="70" spans="1:14">
      <c r="D70" s="14"/>
      <c r="E70" s="14"/>
      <c r="F70" s="14"/>
      <c r="G70" s="14"/>
      <c r="H70" s="14"/>
      <c r="I70" s="14"/>
      <c r="J70" s="14"/>
      <c r="K70" s="14"/>
      <c r="L70" s="14"/>
    </row>
    <row r="71" spans="1:14">
      <c r="D71" s="804"/>
      <c r="E71" s="804"/>
      <c r="F71" s="804"/>
      <c r="G71" s="804"/>
      <c r="H71" s="804"/>
      <c r="I71" s="804"/>
      <c r="J71" s="804"/>
      <c r="K71" s="804"/>
      <c r="L71" s="804"/>
    </row>
    <row r="72" spans="1:14">
      <c r="A72" s="12"/>
      <c r="B72" s="12"/>
      <c r="C72" s="12"/>
      <c r="D72" s="14"/>
      <c r="E72" s="14"/>
      <c r="F72" s="14"/>
      <c r="G72" s="14"/>
      <c r="H72" s="14"/>
      <c r="I72" s="14"/>
      <c r="J72" s="14"/>
      <c r="K72" s="14"/>
      <c r="L72" s="14"/>
      <c r="N72" s="12"/>
    </row>
    <row r="75" spans="1:14">
      <c r="A75" s="12"/>
      <c r="D75" s="14"/>
      <c r="E75" s="14"/>
      <c r="F75" s="14"/>
      <c r="G75" s="14"/>
      <c r="H75" s="14"/>
      <c r="I75" s="14"/>
      <c r="J75" s="14"/>
      <c r="K75" s="14"/>
      <c r="L75" s="14"/>
    </row>
    <row r="76" spans="1:14">
      <c r="A76" s="12"/>
      <c r="D76" s="14"/>
      <c r="E76" s="14"/>
      <c r="F76" s="14"/>
      <c r="G76" s="14"/>
      <c r="H76" s="14"/>
      <c r="I76" s="14"/>
      <c r="J76" s="14"/>
      <c r="K76" s="14"/>
      <c r="L76" s="14"/>
    </row>
    <row r="77" spans="1:14">
      <c r="A77" s="12"/>
      <c r="D77" s="14"/>
      <c r="E77" s="14"/>
      <c r="F77" s="14"/>
      <c r="G77" s="14"/>
      <c r="H77" s="14"/>
      <c r="I77" s="14"/>
      <c r="J77" s="14"/>
      <c r="K77" s="14"/>
      <c r="L77" s="14"/>
    </row>
    <row r="79" spans="1:14">
      <c r="A79" s="12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7" orientation="portrait" horizontalDpi="300" verticalDpi="300" r:id="rId1"/>
  <headerFooter alignWithMargins="0">
    <oddFooter>&amp;C&amp;"Times New Roman,Regular"&amp;8&amp;P of &amp;N</oddFooter>
  </headerFooter>
  <ignoredErrors>
    <ignoredError sqref="D3:E4 F3:G4 D5:E7 F5:G7 H3:H4 H5:H7 I3:I7 J3:J7 K3:K7 L3:L7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05"/>
  <sheetViews>
    <sheetView showGridLines="0" zoomScaleNormal="100" workbookViewId="0"/>
  </sheetViews>
  <sheetFormatPr defaultColWidth="12.5703125" defaultRowHeight="15"/>
  <cols>
    <col min="1" max="1" width="4.85546875" style="85" customWidth="1"/>
    <col min="2" max="2" width="40.85546875" style="85" customWidth="1"/>
    <col min="3" max="3" width="11.42578125" style="85" customWidth="1"/>
    <col min="4" max="12" width="10" style="85" customWidth="1"/>
    <col min="13" max="13" width="2.28515625" style="85" customWidth="1"/>
    <col min="14" max="14" width="26.5703125" style="85" customWidth="1"/>
    <col min="15" max="16384" width="12.5703125" style="85"/>
  </cols>
  <sheetData>
    <row r="1" spans="1:14">
      <c r="A1" s="84" t="s">
        <v>8847</v>
      </c>
      <c r="D1" s="86">
        <v>2010</v>
      </c>
      <c r="E1" s="86">
        <v>2011</v>
      </c>
      <c r="F1" s="86">
        <v>2012</v>
      </c>
      <c r="G1" s="86">
        <v>2013</v>
      </c>
      <c r="H1" s="86">
        <v>2014</v>
      </c>
      <c r="I1" s="86">
        <v>2015</v>
      </c>
      <c r="J1" s="86">
        <v>2016</v>
      </c>
      <c r="K1" s="86">
        <v>2017</v>
      </c>
      <c r="L1" s="86">
        <v>2018</v>
      </c>
    </row>
    <row r="3" spans="1:14">
      <c r="A3" s="84" t="s">
        <v>4622</v>
      </c>
      <c r="C3" s="84"/>
      <c r="D3" s="87">
        <f>D35</f>
        <v>414414</v>
      </c>
      <c r="E3" s="87">
        <f t="shared" ref="E3:H3" si="0">E35</f>
        <v>417102</v>
      </c>
      <c r="F3" s="87">
        <f t="shared" si="0"/>
        <v>415406</v>
      </c>
      <c r="G3" s="87">
        <f t="shared" si="0"/>
        <v>418506</v>
      </c>
      <c r="H3" s="87">
        <f t="shared" si="0"/>
        <v>405256</v>
      </c>
      <c r="I3" s="87">
        <f t="shared" ref="I3:J3" si="1">I35</f>
        <v>411674</v>
      </c>
      <c r="J3" s="87">
        <f t="shared" si="1"/>
        <v>392223</v>
      </c>
      <c r="K3" s="87">
        <f t="shared" ref="K3:L3" si="2">K35</f>
        <v>406123</v>
      </c>
      <c r="L3" s="87">
        <f t="shared" si="2"/>
        <v>418223</v>
      </c>
    </row>
    <row r="4" spans="1:14" ht="15.75" thickBot="1">
      <c r="A4" s="84" t="s">
        <v>1172</v>
      </c>
      <c r="C4" s="84"/>
      <c r="D4" s="88">
        <f t="shared" ref="D4:I4" si="3">D192</f>
        <v>1752</v>
      </c>
      <c r="E4" s="88">
        <f t="shared" si="3"/>
        <v>1763</v>
      </c>
      <c r="F4" s="88">
        <f t="shared" si="3"/>
        <v>1721</v>
      </c>
      <c r="G4" s="88">
        <f t="shared" si="3"/>
        <v>1750</v>
      </c>
      <c r="H4" s="88">
        <f t="shared" si="3"/>
        <v>1631</v>
      </c>
      <c r="I4" s="88">
        <f t="shared" si="3"/>
        <v>1637</v>
      </c>
      <c r="J4" s="88">
        <f t="shared" ref="J4:K4" si="4">J192</f>
        <v>1651</v>
      </c>
      <c r="K4" s="88">
        <f t="shared" si="4"/>
        <v>1742</v>
      </c>
      <c r="L4" s="88">
        <f t="shared" ref="L4" si="5">L192</f>
        <v>1696</v>
      </c>
      <c r="N4" s="89"/>
    </row>
    <row r="5" spans="1:14" ht="15.75" thickBot="1">
      <c r="B5" s="84"/>
      <c r="C5" s="84"/>
      <c r="D5" s="90">
        <f t="shared" ref="D5:I5" si="6">D3+D4</f>
        <v>416166</v>
      </c>
      <c r="E5" s="90">
        <f t="shared" si="6"/>
        <v>418865</v>
      </c>
      <c r="F5" s="90">
        <f t="shared" si="6"/>
        <v>417127</v>
      </c>
      <c r="G5" s="90">
        <f t="shared" si="6"/>
        <v>420256</v>
      </c>
      <c r="H5" s="90">
        <f t="shared" si="6"/>
        <v>406887</v>
      </c>
      <c r="I5" s="90">
        <f t="shared" si="6"/>
        <v>413311</v>
      </c>
      <c r="J5" s="90">
        <f t="shared" ref="J5:K5" si="7">J3+J4</f>
        <v>393874</v>
      </c>
      <c r="K5" s="90">
        <f t="shared" si="7"/>
        <v>407865</v>
      </c>
      <c r="L5" s="90">
        <f t="shared" ref="L5" si="8">L3+L4</f>
        <v>419919</v>
      </c>
      <c r="N5" s="89"/>
    </row>
    <row r="7" spans="1:14">
      <c r="A7" s="84" t="s">
        <v>7122</v>
      </c>
      <c r="D7" s="87">
        <f t="shared" ref="D7:I7" si="9">D5/5</f>
        <v>83233.2</v>
      </c>
      <c r="E7" s="87">
        <f t="shared" si="9"/>
        <v>83773</v>
      </c>
      <c r="F7" s="87">
        <f t="shared" si="9"/>
        <v>83425.399999999994</v>
      </c>
      <c r="G7" s="87">
        <f t="shared" si="9"/>
        <v>84051.199999999997</v>
      </c>
      <c r="H7" s="87">
        <f t="shared" si="9"/>
        <v>81377.399999999994</v>
      </c>
      <c r="I7" s="87">
        <f t="shared" si="9"/>
        <v>82662.2</v>
      </c>
      <c r="J7" s="87">
        <f t="shared" ref="J7:K7" si="10">J5/5</f>
        <v>78774.8</v>
      </c>
      <c r="K7" s="87">
        <f t="shared" si="10"/>
        <v>81573</v>
      </c>
      <c r="L7" s="87">
        <f t="shared" ref="L7" si="11">L5/5</f>
        <v>83983.8</v>
      </c>
    </row>
    <row r="8" spans="1:14">
      <c r="A8" s="84" t="s">
        <v>1173</v>
      </c>
      <c r="D8" s="87">
        <f t="shared" ref="D8:I8" si="12">D5/6</f>
        <v>69361</v>
      </c>
      <c r="E8" s="87">
        <f t="shared" si="12"/>
        <v>69810.833333333328</v>
      </c>
      <c r="F8" s="87">
        <f t="shared" si="12"/>
        <v>69521.166666666672</v>
      </c>
      <c r="G8" s="87">
        <f t="shared" si="12"/>
        <v>70042.666666666672</v>
      </c>
      <c r="H8" s="87">
        <f t="shared" si="12"/>
        <v>67814.5</v>
      </c>
      <c r="I8" s="87">
        <f t="shared" si="12"/>
        <v>68885.166666666672</v>
      </c>
      <c r="J8" s="87">
        <f t="shared" ref="J8:K8" si="13">J5/6</f>
        <v>65645.666666666672</v>
      </c>
      <c r="K8" s="87">
        <f t="shared" si="13"/>
        <v>67977.5</v>
      </c>
      <c r="L8" s="87">
        <f t="shared" ref="L8" si="14">L5/6</f>
        <v>69986.5</v>
      </c>
    </row>
    <row r="9" spans="1:14">
      <c r="D9" s="91"/>
      <c r="E9" s="91"/>
      <c r="F9" s="91"/>
      <c r="G9" s="91"/>
      <c r="H9" s="91"/>
      <c r="I9" s="91"/>
      <c r="J9" s="91"/>
      <c r="K9" s="91"/>
      <c r="L9" s="91"/>
    </row>
    <row r="10" spans="1:14">
      <c r="A10" s="84" t="s">
        <v>1174</v>
      </c>
      <c r="D10" s="87">
        <f t="shared" ref="D10:I10" si="15">D179</f>
        <v>63694</v>
      </c>
      <c r="E10" s="87">
        <f t="shared" si="15"/>
        <v>64798</v>
      </c>
      <c r="F10" s="87">
        <f t="shared" si="15"/>
        <v>65324</v>
      </c>
      <c r="G10" s="87">
        <f t="shared" si="15"/>
        <v>66038</v>
      </c>
      <c r="H10" s="87">
        <f t="shared" si="15"/>
        <v>64769</v>
      </c>
      <c r="I10" s="87">
        <f t="shared" si="15"/>
        <v>65157</v>
      </c>
      <c r="J10" s="87">
        <f t="shared" ref="J10:K10" si="16">J179</f>
        <v>62034</v>
      </c>
      <c r="K10" s="87">
        <f t="shared" si="16"/>
        <v>64267</v>
      </c>
      <c r="L10" s="87">
        <f t="shared" ref="L10" si="17">L179</f>
        <v>66534</v>
      </c>
      <c r="N10" s="84" t="s">
        <v>4621</v>
      </c>
    </row>
    <row r="11" spans="1:14">
      <c r="D11" s="91"/>
      <c r="E11" s="91"/>
      <c r="F11" s="91"/>
      <c r="G11" s="91"/>
      <c r="H11" s="91"/>
      <c r="I11" s="91"/>
      <c r="J11" s="91"/>
      <c r="K11" s="91"/>
      <c r="L11" s="91"/>
    </row>
    <row r="12" spans="1:14">
      <c r="A12" s="84" t="s">
        <v>8177</v>
      </c>
      <c r="D12" s="87">
        <f t="shared" ref="D12:I12" si="18">D180</f>
        <v>68055</v>
      </c>
      <c r="E12" s="87">
        <f t="shared" si="18"/>
        <v>68206</v>
      </c>
      <c r="F12" s="87">
        <f t="shared" si="18"/>
        <v>66983</v>
      </c>
      <c r="G12" s="87">
        <f t="shared" si="18"/>
        <v>67593</v>
      </c>
      <c r="H12" s="87">
        <f t="shared" si="18"/>
        <v>63718</v>
      </c>
      <c r="I12" s="87">
        <f t="shared" si="18"/>
        <v>65464</v>
      </c>
      <c r="J12" s="87">
        <f t="shared" ref="J12:K12" si="19">J180</f>
        <v>63501</v>
      </c>
      <c r="K12" s="87">
        <f t="shared" si="19"/>
        <v>65863</v>
      </c>
      <c r="L12" s="87">
        <f t="shared" ref="L12" si="20">L180</f>
        <v>67505</v>
      </c>
      <c r="N12" s="84" t="s">
        <v>4621</v>
      </c>
    </row>
    <row r="13" spans="1:14">
      <c r="D13" s="91"/>
      <c r="E13" s="91"/>
      <c r="F13" s="91"/>
      <c r="G13" s="91"/>
      <c r="H13" s="91"/>
      <c r="I13" s="91"/>
      <c r="J13" s="91"/>
      <c r="K13" s="91"/>
      <c r="L13" s="91"/>
    </row>
    <row r="14" spans="1:14">
      <c r="A14" s="84" t="s">
        <v>2896</v>
      </c>
      <c r="D14" s="87">
        <f t="shared" ref="D14:I14" si="21">D181</f>
        <v>71900</v>
      </c>
      <c r="E14" s="87">
        <f t="shared" si="21"/>
        <v>71851</v>
      </c>
      <c r="F14" s="87">
        <f t="shared" si="21"/>
        <v>70847</v>
      </c>
      <c r="G14" s="87">
        <f t="shared" si="21"/>
        <v>71466</v>
      </c>
      <c r="H14" s="87">
        <f t="shared" si="21"/>
        <v>68570</v>
      </c>
      <c r="I14" s="87">
        <f t="shared" si="21"/>
        <v>69873</v>
      </c>
      <c r="J14" s="87">
        <f t="shared" ref="J14:K14" si="22">J181</f>
        <v>66757</v>
      </c>
      <c r="K14" s="87">
        <f t="shared" si="22"/>
        <v>69069</v>
      </c>
      <c r="L14" s="87">
        <f t="shared" ref="L14" si="23">L181</f>
        <v>70599</v>
      </c>
      <c r="N14" s="84" t="s">
        <v>4621</v>
      </c>
    </row>
    <row r="15" spans="1:14">
      <c r="D15" s="91"/>
      <c r="E15" s="91"/>
      <c r="F15" s="91"/>
      <c r="G15" s="91"/>
      <c r="H15" s="91"/>
      <c r="I15" s="91"/>
      <c r="J15" s="91"/>
      <c r="K15" s="91"/>
      <c r="L15" s="91"/>
    </row>
    <row r="16" spans="1:14">
      <c r="A16" s="84" t="s">
        <v>2897</v>
      </c>
      <c r="D16" s="91">
        <f t="shared" ref="D16:I16" si="24">D182</f>
        <v>75721</v>
      </c>
      <c r="E16" s="91">
        <f t="shared" si="24"/>
        <v>75974</v>
      </c>
      <c r="F16" s="91">
        <f t="shared" si="24"/>
        <v>75311</v>
      </c>
      <c r="G16" s="91">
        <f t="shared" si="24"/>
        <v>75905</v>
      </c>
      <c r="H16" s="91">
        <f t="shared" si="24"/>
        <v>73808</v>
      </c>
      <c r="I16" s="91">
        <f t="shared" si="24"/>
        <v>75117</v>
      </c>
      <c r="J16" s="91">
        <f t="shared" ref="J16:K16" si="25">J182</f>
        <v>71674</v>
      </c>
      <c r="K16" s="91">
        <f t="shared" si="25"/>
        <v>74673</v>
      </c>
      <c r="L16" s="91">
        <f t="shared" ref="L16" si="26">L182</f>
        <v>77338</v>
      </c>
      <c r="N16" s="84" t="s">
        <v>4621</v>
      </c>
    </row>
    <row r="17" spans="1:14">
      <c r="D17" s="91"/>
      <c r="E17" s="91"/>
      <c r="F17" s="91"/>
      <c r="G17" s="91"/>
      <c r="H17" s="91"/>
      <c r="I17" s="91"/>
      <c r="J17" s="91"/>
      <c r="K17" s="91"/>
      <c r="L17" s="91"/>
    </row>
    <row r="18" spans="1:14">
      <c r="A18" s="84" t="s">
        <v>2898</v>
      </c>
      <c r="D18" s="91">
        <f t="shared" ref="D18:I18" si="27">D183</f>
        <v>64678</v>
      </c>
      <c r="E18" s="91">
        <f t="shared" si="27"/>
        <v>64933</v>
      </c>
      <c r="F18" s="91">
        <f t="shared" si="27"/>
        <v>65122</v>
      </c>
      <c r="G18" s="91">
        <f t="shared" si="27"/>
        <v>65784</v>
      </c>
      <c r="H18" s="91">
        <f t="shared" si="27"/>
        <v>64105</v>
      </c>
      <c r="I18" s="91">
        <f t="shared" si="27"/>
        <v>64693</v>
      </c>
      <c r="J18" s="91">
        <f t="shared" ref="J18:K18" si="28">J183</f>
        <v>61060</v>
      </c>
      <c r="K18" s="91">
        <f t="shared" si="28"/>
        <v>62693</v>
      </c>
      <c r="L18" s="91">
        <f t="shared" ref="L18" si="29">L183</f>
        <v>64270</v>
      </c>
      <c r="N18" s="84" t="s">
        <v>4621</v>
      </c>
    </row>
    <row r="19" spans="1:14" ht="15.75" thickBot="1">
      <c r="D19" s="88">
        <f t="shared" ref="D19:I19" si="30">D199</f>
        <v>1752</v>
      </c>
      <c r="E19" s="88">
        <f t="shared" si="30"/>
        <v>1763</v>
      </c>
      <c r="F19" s="88">
        <f t="shared" si="30"/>
        <v>1721</v>
      </c>
      <c r="G19" s="88">
        <f t="shared" si="30"/>
        <v>1750</v>
      </c>
      <c r="H19" s="88">
        <f t="shared" si="30"/>
        <v>1631</v>
      </c>
      <c r="I19" s="88">
        <f t="shared" si="30"/>
        <v>1637</v>
      </c>
      <c r="J19" s="88">
        <f t="shared" ref="J19:K19" si="31">J199</f>
        <v>1651</v>
      </c>
      <c r="K19" s="88">
        <f t="shared" si="31"/>
        <v>1742</v>
      </c>
      <c r="L19" s="88">
        <f t="shared" ref="L19" si="32">L199</f>
        <v>1696</v>
      </c>
      <c r="N19" s="84" t="s">
        <v>5033</v>
      </c>
    </row>
    <row r="20" spans="1:14" ht="15.75" thickBot="1">
      <c r="D20" s="88">
        <f t="shared" ref="D20:I20" si="33">D18+D19</f>
        <v>66430</v>
      </c>
      <c r="E20" s="88">
        <f t="shared" si="33"/>
        <v>66696</v>
      </c>
      <c r="F20" s="88">
        <f t="shared" si="33"/>
        <v>66843</v>
      </c>
      <c r="G20" s="88">
        <f t="shared" si="33"/>
        <v>67534</v>
      </c>
      <c r="H20" s="88">
        <f t="shared" si="33"/>
        <v>65736</v>
      </c>
      <c r="I20" s="88">
        <f t="shared" si="33"/>
        <v>66330</v>
      </c>
      <c r="J20" s="88">
        <f t="shared" ref="J20:K20" si="34">J18+J19</f>
        <v>62711</v>
      </c>
      <c r="K20" s="88">
        <f t="shared" si="34"/>
        <v>64435</v>
      </c>
      <c r="L20" s="88">
        <f t="shared" ref="L20" si="35">L18+L19</f>
        <v>65966</v>
      </c>
    </row>
    <row r="21" spans="1:14">
      <c r="D21" s="91"/>
      <c r="E21" s="91"/>
      <c r="F21" s="91"/>
      <c r="G21" s="91"/>
      <c r="H21" s="91"/>
      <c r="I21" s="91"/>
      <c r="J21" s="91"/>
      <c r="K21" s="91"/>
      <c r="L21" s="91"/>
    </row>
    <row r="22" spans="1:14">
      <c r="A22" s="84" t="s">
        <v>2899</v>
      </c>
      <c r="D22" s="87">
        <f t="shared" ref="D22:I22" si="36">D184</f>
        <v>70366</v>
      </c>
      <c r="E22" s="87">
        <f t="shared" si="36"/>
        <v>71340</v>
      </c>
      <c r="F22" s="87">
        <f t="shared" si="36"/>
        <v>71819</v>
      </c>
      <c r="G22" s="87">
        <f t="shared" si="36"/>
        <v>71720</v>
      </c>
      <c r="H22" s="87">
        <f t="shared" si="36"/>
        <v>70286</v>
      </c>
      <c r="I22" s="87">
        <f t="shared" si="36"/>
        <v>71370</v>
      </c>
      <c r="J22" s="87">
        <f t="shared" ref="J22:K22" si="37">J184</f>
        <v>67197</v>
      </c>
      <c r="K22" s="87">
        <f t="shared" si="37"/>
        <v>69558</v>
      </c>
      <c r="L22" s="87">
        <f t="shared" ref="L22" si="38">L184</f>
        <v>71977</v>
      </c>
      <c r="N22" s="84" t="s">
        <v>4621</v>
      </c>
    </row>
    <row r="23" spans="1:14">
      <c r="D23" s="91"/>
      <c r="E23" s="91"/>
      <c r="F23" s="91"/>
      <c r="G23" s="91"/>
      <c r="H23" s="91"/>
      <c r="I23" s="91"/>
      <c r="J23" s="91"/>
      <c r="K23" s="91"/>
      <c r="L23" s="91"/>
    </row>
    <row r="24" spans="1:14">
      <c r="A24" s="84" t="s">
        <v>8697</v>
      </c>
      <c r="D24" s="87">
        <f t="shared" ref="D24:I24" si="39">D10+D12+D14+D16+D20+D22</f>
        <v>416166</v>
      </c>
      <c r="E24" s="87">
        <f t="shared" si="39"/>
        <v>418865</v>
      </c>
      <c r="F24" s="87">
        <f t="shared" si="39"/>
        <v>417127</v>
      </c>
      <c r="G24" s="87">
        <f t="shared" si="39"/>
        <v>420256</v>
      </c>
      <c r="H24" s="87">
        <f t="shared" si="39"/>
        <v>406887</v>
      </c>
      <c r="I24" s="87">
        <f t="shared" si="39"/>
        <v>413311</v>
      </c>
      <c r="J24" s="87">
        <f t="shared" ref="J24:K24" si="40">J10+J12+J14+J16+J20+J22</f>
        <v>393874</v>
      </c>
      <c r="K24" s="87">
        <f t="shared" si="40"/>
        <v>407865</v>
      </c>
      <c r="L24" s="87">
        <f t="shared" ref="L24" si="41">L10+L12+L14+L16+L20+L22</f>
        <v>419919</v>
      </c>
    </row>
    <row r="25" spans="1:14">
      <c r="D25" s="91"/>
      <c r="E25" s="91"/>
      <c r="F25" s="91"/>
      <c r="G25" s="91"/>
      <c r="H25" s="91"/>
      <c r="I25" s="91"/>
      <c r="J25" s="91"/>
      <c r="K25" s="91"/>
      <c r="L25" s="91"/>
    </row>
    <row r="26" spans="1:14">
      <c r="A26" s="84" t="s">
        <v>8698</v>
      </c>
      <c r="D26" s="87">
        <f t="shared" ref="D26:I26" si="42">MAX(D10,D12,D14,D16,D20,D22)-MIN(D10,D12,D14,D16,D20,D22)</f>
        <v>12027</v>
      </c>
      <c r="E26" s="87">
        <f t="shared" si="42"/>
        <v>11176</v>
      </c>
      <c r="F26" s="87">
        <f t="shared" si="42"/>
        <v>9987</v>
      </c>
      <c r="G26" s="87">
        <f t="shared" si="42"/>
        <v>9867</v>
      </c>
      <c r="H26" s="87">
        <f t="shared" si="42"/>
        <v>10090</v>
      </c>
      <c r="I26" s="87">
        <f t="shared" si="42"/>
        <v>9960</v>
      </c>
      <c r="J26" s="87">
        <f t="shared" ref="J26:K26" si="43">MAX(J10,J12,J14,J16,J20,J22)-MIN(J10,J12,J14,J16,J20,J22)</f>
        <v>9640</v>
      </c>
      <c r="K26" s="87">
        <f t="shared" si="43"/>
        <v>10406</v>
      </c>
      <c r="L26" s="87">
        <f t="shared" ref="L26" si="44">MAX(L10,L12,L14,L16,L20,L22)-MIN(L10,L12,L14,L16,L20,L22)</f>
        <v>11372</v>
      </c>
    </row>
    <row r="27" spans="1:14">
      <c r="D27" s="91"/>
      <c r="E27" s="91"/>
      <c r="F27" s="91"/>
      <c r="G27" s="91"/>
      <c r="H27" s="91"/>
      <c r="I27" s="91"/>
      <c r="J27" s="91"/>
      <c r="K27" s="91"/>
      <c r="L27" s="91"/>
    </row>
    <row r="28" spans="1:14">
      <c r="A28" s="84" t="s">
        <v>8701</v>
      </c>
      <c r="D28" s="87">
        <f t="shared" ref="D28:I28" si="45">STDEVP(D10,D12,D14,D16,D20,D22)</f>
        <v>3879.8073835350815</v>
      </c>
      <c r="E28" s="87">
        <f t="shared" si="45"/>
        <v>3694.3973083876922</v>
      </c>
      <c r="F28" s="87">
        <f t="shared" si="45"/>
        <v>3459.0730172820709</v>
      </c>
      <c r="G28" s="87">
        <f t="shared" si="45"/>
        <v>3355.0436493269185</v>
      </c>
      <c r="H28" s="87">
        <f t="shared" si="45"/>
        <v>3487.5416246022546</v>
      </c>
      <c r="I28" s="87">
        <f t="shared" si="45"/>
        <v>3608.2877479799504</v>
      </c>
      <c r="J28" s="87">
        <f t="shared" ref="J28:K28" si="46">STDEVP(J10,J12,J14,J16,J20,J22)</f>
        <v>3322.6119076547129</v>
      </c>
      <c r="K28" s="87">
        <f t="shared" si="46"/>
        <v>3635.6406931928791</v>
      </c>
      <c r="L28" s="87">
        <f t="shared" ref="L28" si="47">STDEVP(L10,L12,L14,L16,L20,L22)</f>
        <v>3929.033331070973</v>
      </c>
    </row>
    <row r="29" spans="1:14">
      <c r="A29" s="84"/>
      <c r="D29" s="92"/>
      <c r="E29" s="92"/>
      <c r="F29" s="92"/>
      <c r="G29" s="92"/>
      <c r="H29" s="92"/>
      <c r="I29" s="92"/>
      <c r="J29" s="92"/>
      <c r="K29" s="92"/>
      <c r="L29" s="92"/>
    </row>
    <row r="30" spans="1:14">
      <c r="A30" s="84" t="s">
        <v>6400</v>
      </c>
      <c r="D30" s="92"/>
      <c r="E30" s="92"/>
      <c r="F30" s="92"/>
      <c r="G30" s="92"/>
      <c r="H30" s="92"/>
      <c r="I30" s="92"/>
      <c r="J30" s="92"/>
      <c r="K30" s="92"/>
      <c r="L30" s="92"/>
    </row>
    <row r="31" spans="1:14">
      <c r="A31" s="84"/>
      <c r="D31" s="92"/>
      <c r="E31" s="92"/>
      <c r="F31" s="92"/>
      <c r="G31" s="92"/>
      <c r="H31" s="92"/>
      <c r="I31" s="92"/>
      <c r="J31" s="92"/>
      <c r="K31" s="92"/>
      <c r="L31" s="92"/>
    </row>
    <row r="32" spans="1:14">
      <c r="A32" s="84"/>
      <c r="D32" s="92"/>
      <c r="E32" s="92"/>
      <c r="F32" s="92"/>
      <c r="G32" s="92"/>
      <c r="H32" s="92"/>
      <c r="I32" s="92"/>
      <c r="J32" s="92"/>
      <c r="K32" s="92"/>
      <c r="L32" s="92"/>
    </row>
    <row r="33" spans="1:17">
      <c r="E33" s="42" t="s">
        <v>2303</v>
      </c>
      <c r="F33" s="42"/>
      <c r="G33" s="42"/>
      <c r="H33" s="42"/>
      <c r="I33" s="42"/>
      <c r="J33" s="42"/>
      <c r="K33" s="42"/>
      <c r="L33" s="42"/>
      <c r="M33" s="25"/>
      <c r="N33" s="25" t="s">
        <v>13319</v>
      </c>
    </row>
    <row r="34" spans="1:17">
      <c r="D34" s="24">
        <v>2010</v>
      </c>
      <c r="E34" s="24">
        <v>2011</v>
      </c>
      <c r="F34" s="24">
        <v>2012</v>
      </c>
      <c r="G34" s="24">
        <v>2013</v>
      </c>
      <c r="H34" s="24">
        <v>2014</v>
      </c>
      <c r="I34" s="24">
        <v>2015</v>
      </c>
      <c r="J34" s="24">
        <v>2016</v>
      </c>
      <c r="K34" s="24">
        <v>2017</v>
      </c>
      <c r="L34" s="24">
        <v>2018</v>
      </c>
      <c r="N34" s="29" t="s">
        <v>2304</v>
      </c>
    </row>
    <row r="35" spans="1:17">
      <c r="A35" s="84" t="s">
        <v>4622</v>
      </c>
      <c r="C35" s="84"/>
      <c r="D35" s="87">
        <f t="shared" ref="D35:G35" si="48">SUM(D36:D43)+SUM(D45:D53)+SUM(D55:D58)+SUM(D60:D72)+SUM(D74:D95)+SUM(D97:D104)+SUM(D106:D125)+SUM(D127:D133)+SUM(D135:D136)+SUM(D138:D155)+SUM(D157:D177)</f>
        <v>414414</v>
      </c>
      <c r="E35" s="87">
        <f t="shared" si="48"/>
        <v>417102</v>
      </c>
      <c r="F35" s="87">
        <f t="shared" si="48"/>
        <v>415406</v>
      </c>
      <c r="G35" s="87">
        <f t="shared" si="48"/>
        <v>418506</v>
      </c>
      <c r="H35" s="87">
        <f>SUM(H36:H43)+SUM(H45:H53)+SUM(H55:H58)+SUM(H60:H72)+SUM(H74:H95)+SUM(H97:H104)+SUM(H106:H125)+SUM(H127:H133)+SUM(H135:H136)+SUM(H138:H155)+SUM(H157:H177)</f>
        <v>405256</v>
      </c>
      <c r="I35" s="87">
        <f>SUM(I36:I43)+SUM(I45:I53)+SUM(I55:I58)+SUM(I60:I72)+SUM(I74:I95)+SUM(I97:I104)+SUM(I106:I125)+SUM(I127:I133)+SUM(I135:I136)+SUM(I138:I155)+SUM(I157:I177)</f>
        <v>411674</v>
      </c>
      <c r="J35" s="87">
        <f>SUM(J36:J43)+SUM(J45:J53)+SUM(J55:J58)+SUM(J60:J72)+SUM(J74:J95)+SUM(J97:J104)+SUM(J106:J125)+SUM(J127:J133)+SUM(J135:J136)+SUM(J138:J155)+SUM(J157:J177)</f>
        <v>392223</v>
      </c>
      <c r="K35" s="87">
        <f>SUM(K36:K43)+SUM(K45:K53)+SUM(K55:K58)+SUM(K60:K72)+SUM(K74:K95)+SUM(K97:K104)+SUM(K106:K125)+SUM(K127:K133)+SUM(K135:K136)+SUM(K138:K155)+SUM(K157:K177)</f>
        <v>406123</v>
      </c>
      <c r="L35" s="87">
        <f>SUM(L36:L43)+SUM(L45:L53)+SUM(L55:L58)+SUM(L60:L72)+SUM(L74:L95)+SUM(L97:L104)+SUM(L106:L125)+SUM(L127:L133)+SUM(L135:L136)+SUM(L138:L155)+SUM(L157:L177)</f>
        <v>418223</v>
      </c>
    </row>
    <row r="36" spans="1:17">
      <c r="A36" s="84" t="s">
        <v>6957</v>
      </c>
      <c r="B36" s="84" t="s">
        <v>13218</v>
      </c>
      <c r="C36" s="72" t="s">
        <v>13451</v>
      </c>
      <c r="D36" s="91">
        <v>68055</v>
      </c>
      <c r="E36" s="93">
        <v>68206</v>
      </c>
      <c r="F36" s="91">
        <v>66983</v>
      </c>
      <c r="G36" s="93">
        <v>67593</v>
      </c>
      <c r="H36" s="48">
        <v>2490</v>
      </c>
      <c r="I36" s="48">
        <v>2591</v>
      </c>
      <c r="J36" s="48">
        <v>2536</v>
      </c>
      <c r="K36" s="48">
        <v>2613</v>
      </c>
      <c r="L36" s="48">
        <v>2673</v>
      </c>
      <c r="N36" s="84" t="s">
        <v>8177</v>
      </c>
      <c r="Q36"/>
    </row>
    <row r="37" spans="1:17">
      <c r="A37" s="84" t="s">
        <v>6959</v>
      </c>
      <c r="B37" s="84" t="s">
        <v>13340</v>
      </c>
      <c r="C37" s="72" t="s">
        <v>13452</v>
      </c>
      <c r="D37" s="91">
        <v>0</v>
      </c>
      <c r="E37" s="93">
        <v>0</v>
      </c>
      <c r="F37" s="91">
        <v>0</v>
      </c>
      <c r="G37" s="93">
        <v>0</v>
      </c>
      <c r="H37" s="48">
        <v>2923</v>
      </c>
      <c r="I37" s="48">
        <v>3075</v>
      </c>
      <c r="J37" s="48">
        <v>3007</v>
      </c>
      <c r="K37" s="48">
        <v>3113</v>
      </c>
      <c r="L37" s="48">
        <v>3233</v>
      </c>
      <c r="N37" s="84" t="s">
        <v>8177</v>
      </c>
      <c r="Q37"/>
    </row>
    <row r="38" spans="1:17">
      <c r="A38" s="84" t="s">
        <v>6961</v>
      </c>
      <c r="B38" s="84" t="s">
        <v>13341</v>
      </c>
      <c r="C38" s="72" t="s">
        <v>13453</v>
      </c>
      <c r="D38" s="91">
        <v>0</v>
      </c>
      <c r="E38" s="93">
        <v>0</v>
      </c>
      <c r="F38" s="91">
        <v>0</v>
      </c>
      <c r="G38" s="93">
        <v>0</v>
      </c>
      <c r="H38" s="48">
        <v>3369</v>
      </c>
      <c r="I38" s="48">
        <v>3486</v>
      </c>
      <c r="J38" s="48">
        <v>3332</v>
      </c>
      <c r="K38" s="48">
        <v>3525</v>
      </c>
      <c r="L38" s="48">
        <v>3618</v>
      </c>
      <c r="N38" s="84" t="s">
        <v>8177</v>
      </c>
      <c r="Q38"/>
    </row>
    <row r="39" spans="1:17">
      <c r="A39" s="84" t="s">
        <v>6963</v>
      </c>
      <c r="B39" s="84" t="s">
        <v>13342</v>
      </c>
      <c r="C39" s="72" t="s">
        <v>13454</v>
      </c>
      <c r="D39" s="91">
        <v>0</v>
      </c>
      <c r="E39" s="93">
        <v>0</v>
      </c>
      <c r="F39" s="91">
        <v>0</v>
      </c>
      <c r="G39" s="93">
        <v>0</v>
      </c>
      <c r="H39" s="48">
        <v>3506</v>
      </c>
      <c r="I39" s="48">
        <v>3593</v>
      </c>
      <c r="J39" s="48">
        <v>3593</v>
      </c>
      <c r="K39" s="48">
        <v>3725</v>
      </c>
      <c r="L39" s="48">
        <v>3861</v>
      </c>
      <c r="N39" s="84" t="s">
        <v>8177</v>
      </c>
      <c r="Q39"/>
    </row>
    <row r="40" spans="1:17">
      <c r="A40" s="84" t="s">
        <v>6965</v>
      </c>
      <c r="B40" s="84" t="s">
        <v>13343</v>
      </c>
      <c r="C40" s="72" t="s">
        <v>13455</v>
      </c>
      <c r="D40" s="91">
        <v>64678</v>
      </c>
      <c r="E40" s="93">
        <v>64933</v>
      </c>
      <c r="F40" s="91">
        <v>65122</v>
      </c>
      <c r="G40" s="93">
        <v>65784</v>
      </c>
      <c r="H40" s="48">
        <v>3549</v>
      </c>
      <c r="I40" s="48">
        <v>3536</v>
      </c>
      <c r="J40" s="48">
        <v>3397</v>
      </c>
      <c r="K40" s="48">
        <v>3487</v>
      </c>
      <c r="L40" s="48">
        <v>3639</v>
      </c>
      <c r="N40" s="84" t="s">
        <v>2898</v>
      </c>
      <c r="Q40"/>
    </row>
    <row r="41" spans="1:17">
      <c r="A41" s="84" t="s">
        <v>6997</v>
      </c>
      <c r="B41" s="84" t="s">
        <v>13344</v>
      </c>
      <c r="C41" s="72" t="s">
        <v>13456</v>
      </c>
      <c r="D41" s="91">
        <v>0</v>
      </c>
      <c r="E41" s="93">
        <v>0</v>
      </c>
      <c r="F41" s="91">
        <v>0</v>
      </c>
      <c r="G41" s="93">
        <v>0</v>
      </c>
      <c r="H41" s="48">
        <v>5807</v>
      </c>
      <c r="I41" s="48">
        <v>6023</v>
      </c>
      <c r="J41" s="48">
        <v>5905</v>
      </c>
      <c r="K41" s="48">
        <v>6152</v>
      </c>
      <c r="L41" s="48">
        <v>6349</v>
      </c>
      <c r="N41" s="84" t="s">
        <v>8177</v>
      </c>
      <c r="Q41"/>
    </row>
    <row r="42" spans="1:17">
      <c r="A42" s="84" t="s">
        <v>6999</v>
      </c>
      <c r="B42" s="84" t="s">
        <v>2343</v>
      </c>
      <c r="C42" s="72" t="s">
        <v>13457</v>
      </c>
      <c r="D42" s="91">
        <v>0</v>
      </c>
      <c r="E42" s="93">
        <v>0</v>
      </c>
      <c r="F42" s="91">
        <v>0</v>
      </c>
      <c r="G42" s="93">
        <v>0</v>
      </c>
      <c r="H42" s="48">
        <v>2309</v>
      </c>
      <c r="I42" s="48">
        <v>2394</v>
      </c>
      <c r="J42" s="48">
        <v>2231</v>
      </c>
      <c r="K42" s="48">
        <v>2333</v>
      </c>
      <c r="L42" s="48">
        <v>2442</v>
      </c>
      <c r="N42" s="84" t="s">
        <v>2897</v>
      </c>
      <c r="Q42"/>
    </row>
    <row r="43" spans="1:17" ht="15.75" thickBot="1">
      <c r="A43" s="72"/>
      <c r="B43" s="94"/>
      <c r="C43" s="72" t="s">
        <v>13457</v>
      </c>
      <c r="D43" s="91">
        <v>0</v>
      </c>
      <c r="E43" s="93">
        <v>0</v>
      </c>
      <c r="F43" s="91">
        <v>0</v>
      </c>
      <c r="G43" s="93">
        <v>0</v>
      </c>
      <c r="H43" s="48">
        <v>1117</v>
      </c>
      <c r="I43" s="48">
        <v>1123</v>
      </c>
      <c r="J43" s="48">
        <v>1102</v>
      </c>
      <c r="K43" s="48">
        <v>1142</v>
      </c>
      <c r="L43" s="48">
        <v>1159</v>
      </c>
      <c r="N43" s="84" t="s">
        <v>2896</v>
      </c>
      <c r="Q43"/>
    </row>
    <row r="44" spans="1:17" ht="15.75" thickBot="1">
      <c r="A44" s="84"/>
      <c r="B44" s="94"/>
      <c r="C44" s="72" t="s">
        <v>13457</v>
      </c>
      <c r="D44" s="95">
        <f t="shared" ref="D44:G44" si="49">D42+D43</f>
        <v>0</v>
      </c>
      <c r="E44" s="95">
        <f t="shared" si="49"/>
        <v>0</v>
      </c>
      <c r="F44" s="95">
        <f t="shared" si="49"/>
        <v>0</v>
      </c>
      <c r="G44" s="95">
        <f t="shared" si="49"/>
        <v>0</v>
      </c>
      <c r="H44" s="95">
        <f>H42+H43</f>
        <v>3426</v>
      </c>
      <c r="I44" s="95">
        <f>I42+I43</f>
        <v>3517</v>
      </c>
      <c r="J44" s="95">
        <f>J42+J43</f>
        <v>3333</v>
      </c>
      <c r="K44" s="95">
        <f>K42+K43</f>
        <v>3475</v>
      </c>
      <c r="L44" s="95">
        <f>L42+L43</f>
        <v>3601</v>
      </c>
      <c r="N44" s="84"/>
      <c r="Q44"/>
    </row>
    <row r="45" spans="1:17">
      <c r="A45" s="84" t="s">
        <v>7001</v>
      </c>
      <c r="B45" s="84" t="s">
        <v>2344</v>
      </c>
      <c r="C45" s="72" t="s">
        <v>13458</v>
      </c>
      <c r="D45" s="91">
        <v>71900</v>
      </c>
      <c r="E45" s="91">
        <v>71851</v>
      </c>
      <c r="F45" s="91">
        <v>70847</v>
      </c>
      <c r="G45" s="91">
        <v>71466</v>
      </c>
      <c r="H45" s="48">
        <v>3615</v>
      </c>
      <c r="I45" s="48">
        <v>3619</v>
      </c>
      <c r="J45" s="48">
        <v>3321</v>
      </c>
      <c r="K45" s="48">
        <v>3372</v>
      </c>
      <c r="L45" s="48">
        <v>3496</v>
      </c>
      <c r="N45" s="84" t="s">
        <v>2896</v>
      </c>
      <c r="Q45"/>
    </row>
    <row r="46" spans="1:17">
      <c r="A46" s="84" t="s">
        <v>7003</v>
      </c>
      <c r="B46" s="84" t="s">
        <v>13345</v>
      </c>
      <c r="C46" s="72" t="s">
        <v>13459</v>
      </c>
      <c r="D46" s="91">
        <v>63694</v>
      </c>
      <c r="E46" s="93">
        <v>64798</v>
      </c>
      <c r="F46" s="91">
        <v>65324</v>
      </c>
      <c r="G46" s="93">
        <v>66038</v>
      </c>
      <c r="H46" s="48">
        <v>3200</v>
      </c>
      <c r="I46" s="48">
        <v>3210</v>
      </c>
      <c r="J46" s="48">
        <v>3049</v>
      </c>
      <c r="K46" s="48">
        <v>3111</v>
      </c>
      <c r="L46" s="48">
        <v>3218</v>
      </c>
      <c r="N46" s="84" t="s">
        <v>1174</v>
      </c>
      <c r="Q46"/>
    </row>
    <row r="47" spans="1:17">
      <c r="A47" s="84" t="s">
        <v>7005</v>
      </c>
      <c r="B47" s="84" t="s">
        <v>13346</v>
      </c>
      <c r="C47" s="72" t="s">
        <v>13460</v>
      </c>
      <c r="D47" s="91">
        <v>0</v>
      </c>
      <c r="E47" s="93">
        <v>0</v>
      </c>
      <c r="F47" s="91">
        <v>0</v>
      </c>
      <c r="G47" s="93">
        <v>0</v>
      </c>
      <c r="H47" s="48">
        <v>3325</v>
      </c>
      <c r="I47" s="48">
        <v>3359</v>
      </c>
      <c r="J47" s="48">
        <v>3261</v>
      </c>
      <c r="K47" s="48">
        <v>3468</v>
      </c>
      <c r="L47" s="48">
        <v>3599</v>
      </c>
      <c r="N47" s="84" t="s">
        <v>1174</v>
      </c>
      <c r="Q47"/>
    </row>
    <row r="48" spans="1:17">
      <c r="A48" s="84" t="s">
        <v>7007</v>
      </c>
      <c r="B48" s="84" t="s">
        <v>13347</v>
      </c>
      <c r="C48" s="72" t="s">
        <v>13461</v>
      </c>
      <c r="D48" s="91">
        <v>0</v>
      </c>
      <c r="E48" s="93">
        <v>0</v>
      </c>
      <c r="F48" s="91">
        <v>0</v>
      </c>
      <c r="G48" s="93">
        <v>0</v>
      </c>
      <c r="H48" s="48">
        <v>3219</v>
      </c>
      <c r="I48" s="48">
        <v>3254</v>
      </c>
      <c r="J48" s="48">
        <v>3036</v>
      </c>
      <c r="K48" s="48">
        <v>3200</v>
      </c>
      <c r="L48" s="48">
        <v>3356</v>
      </c>
      <c r="N48" s="84" t="s">
        <v>1174</v>
      </c>
      <c r="Q48"/>
    </row>
    <row r="49" spans="1:17">
      <c r="A49" s="84" t="s">
        <v>7009</v>
      </c>
      <c r="B49" s="84" t="s">
        <v>13348</v>
      </c>
      <c r="C49" s="72" t="s">
        <v>13462</v>
      </c>
      <c r="D49" s="91">
        <v>0</v>
      </c>
      <c r="E49" s="93">
        <v>0</v>
      </c>
      <c r="F49" s="91">
        <v>0</v>
      </c>
      <c r="G49" s="93">
        <v>0</v>
      </c>
      <c r="H49" s="48">
        <v>3046</v>
      </c>
      <c r="I49" s="48">
        <v>3098</v>
      </c>
      <c r="J49" s="48">
        <v>2887</v>
      </c>
      <c r="K49" s="48">
        <v>2961</v>
      </c>
      <c r="L49" s="48">
        <v>3114</v>
      </c>
      <c r="N49" s="84" t="s">
        <v>1174</v>
      </c>
      <c r="Q49"/>
    </row>
    <row r="50" spans="1:17">
      <c r="A50" s="84" t="s">
        <v>7011</v>
      </c>
      <c r="B50" s="84" t="s">
        <v>13349</v>
      </c>
      <c r="C50" s="72" t="s">
        <v>13463</v>
      </c>
      <c r="D50" s="91">
        <v>0</v>
      </c>
      <c r="E50" s="93">
        <v>0</v>
      </c>
      <c r="F50" s="91">
        <v>0</v>
      </c>
      <c r="G50" s="93">
        <v>0</v>
      </c>
      <c r="H50" s="48">
        <v>2959</v>
      </c>
      <c r="I50" s="48">
        <v>2993</v>
      </c>
      <c r="J50" s="48">
        <v>2810</v>
      </c>
      <c r="K50" s="48">
        <v>2859</v>
      </c>
      <c r="L50" s="48">
        <v>2920</v>
      </c>
      <c r="N50" s="84" t="s">
        <v>1174</v>
      </c>
      <c r="Q50"/>
    </row>
    <row r="51" spans="1:17">
      <c r="A51" s="84" t="s">
        <v>7013</v>
      </c>
      <c r="B51" s="84" t="s">
        <v>1557</v>
      </c>
      <c r="C51" s="72" t="s">
        <v>13464</v>
      </c>
      <c r="D51" s="91">
        <v>0</v>
      </c>
      <c r="E51" s="93">
        <v>0</v>
      </c>
      <c r="F51" s="91">
        <v>0</v>
      </c>
      <c r="G51" s="93">
        <v>0</v>
      </c>
      <c r="H51" s="48">
        <v>3025</v>
      </c>
      <c r="I51" s="48">
        <v>3042</v>
      </c>
      <c r="J51" s="48">
        <v>2952</v>
      </c>
      <c r="K51" s="48">
        <v>3052</v>
      </c>
      <c r="L51" s="48">
        <v>3107</v>
      </c>
      <c r="N51" s="84" t="s">
        <v>8177</v>
      </c>
      <c r="Q51"/>
    </row>
    <row r="52" spans="1:17">
      <c r="A52" s="84" t="s">
        <v>7015</v>
      </c>
      <c r="B52" s="84" t="s">
        <v>13350</v>
      </c>
      <c r="C52" s="72" t="s">
        <v>13465</v>
      </c>
      <c r="D52" s="91">
        <v>0</v>
      </c>
      <c r="E52" s="93">
        <v>0</v>
      </c>
      <c r="F52" s="91">
        <v>0</v>
      </c>
      <c r="G52" s="93">
        <v>0</v>
      </c>
      <c r="H52" s="48">
        <v>2556</v>
      </c>
      <c r="I52" s="48">
        <v>2568</v>
      </c>
      <c r="J52" s="48">
        <v>2430</v>
      </c>
      <c r="K52" s="48">
        <v>2491</v>
      </c>
      <c r="L52" s="48">
        <v>2544</v>
      </c>
      <c r="N52" s="84" t="s">
        <v>1174</v>
      </c>
      <c r="Q52"/>
    </row>
    <row r="53" spans="1:17" ht="15.75" thickBot="1">
      <c r="A53" s="72"/>
      <c r="B53" s="84"/>
      <c r="C53" s="72" t="s">
        <v>13465</v>
      </c>
      <c r="D53" s="91">
        <v>0</v>
      </c>
      <c r="E53" s="93">
        <v>0</v>
      </c>
      <c r="F53" s="91">
        <v>0</v>
      </c>
      <c r="G53" s="93">
        <v>0</v>
      </c>
      <c r="H53" s="48">
        <v>1258</v>
      </c>
      <c r="I53" s="48">
        <v>1257</v>
      </c>
      <c r="J53" s="48">
        <v>1200</v>
      </c>
      <c r="K53" s="48">
        <v>1235</v>
      </c>
      <c r="L53" s="48">
        <v>1271</v>
      </c>
      <c r="N53" s="84" t="s">
        <v>2899</v>
      </c>
      <c r="Q53"/>
    </row>
    <row r="54" spans="1:17" ht="15.75" thickBot="1">
      <c r="A54" s="84"/>
      <c r="B54" s="84"/>
      <c r="C54" s="72" t="s">
        <v>13465</v>
      </c>
      <c r="D54" s="95">
        <f t="shared" ref="D54:G54" si="50">D52+D53</f>
        <v>0</v>
      </c>
      <c r="E54" s="95">
        <f t="shared" si="50"/>
        <v>0</v>
      </c>
      <c r="F54" s="95">
        <f t="shared" si="50"/>
        <v>0</v>
      </c>
      <c r="G54" s="95">
        <f t="shared" si="50"/>
        <v>0</v>
      </c>
      <c r="H54" s="95">
        <f>H52+H53</f>
        <v>3814</v>
      </c>
      <c r="I54" s="95">
        <f>I52+I53</f>
        <v>3825</v>
      </c>
      <c r="J54" s="95">
        <f>J52+J53</f>
        <v>3630</v>
      </c>
      <c r="K54" s="95">
        <f>K52+K53</f>
        <v>3726</v>
      </c>
      <c r="L54" s="95">
        <f>L52+L53</f>
        <v>3815</v>
      </c>
      <c r="N54" s="84"/>
      <c r="Q54"/>
    </row>
    <row r="55" spans="1:17">
      <c r="A55" s="84" t="s">
        <v>7017</v>
      </c>
      <c r="B55" s="84" t="s">
        <v>13351</v>
      </c>
      <c r="C55" s="72" t="s">
        <v>13466</v>
      </c>
      <c r="D55" s="91">
        <v>70366</v>
      </c>
      <c r="E55" s="93">
        <v>71340</v>
      </c>
      <c r="F55" s="91">
        <v>71819</v>
      </c>
      <c r="G55" s="93">
        <v>71720</v>
      </c>
      <c r="H55" s="48">
        <v>2948</v>
      </c>
      <c r="I55" s="48">
        <v>2970</v>
      </c>
      <c r="J55" s="48">
        <v>2914</v>
      </c>
      <c r="K55" s="48">
        <v>3056</v>
      </c>
      <c r="L55" s="48">
        <v>3184</v>
      </c>
      <c r="N55" s="84" t="s">
        <v>2899</v>
      </c>
      <c r="Q55"/>
    </row>
    <row r="56" spans="1:17">
      <c r="A56" s="84" t="s">
        <v>7019</v>
      </c>
      <c r="B56" s="84" t="s">
        <v>13352</v>
      </c>
      <c r="C56" s="72" t="s">
        <v>13467</v>
      </c>
      <c r="D56" s="91">
        <v>0</v>
      </c>
      <c r="E56" s="93">
        <v>0</v>
      </c>
      <c r="F56" s="91">
        <v>0</v>
      </c>
      <c r="G56" s="93">
        <v>0</v>
      </c>
      <c r="H56" s="48">
        <v>3801</v>
      </c>
      <c r="I56" s="48">
        <v>3823</v>
      </c>
      <c r="J56" s="48">
        <v>3656</v>
      </c>
      <c r="K56" s="48">
        <v>3784</v>
      </c>
      <c r="L56" s="48">
        <v>3904</v>
      </c>
      <c r="N56" s="84" t="s">
        <v>1174</v>
      </c>
      <c r="Q56"/>
    </row>
    <row r="57" spans="1:17">
      <c r="A57" s="84" t="s">
        <v>7021</v>
      </c>
      <c r="B57" s="84" t="s">
        <v>13353</v>
      </c>
      <c r="C57" s="72" t="s">
        <v>13468</v>
      </c>
      <c r="D57" s="91">
        <v>0</v>
      </c>
      <c r="E57" s="93">
        <v>0</v>
      </c>
      <c r="F57" s="91">
        <v>0</v>
      </c>
      <c r="G57" s="93">
        <v>0</v>
      </c>
      <c r="H57" s="48">
        <v>1956</v>
      </c>
      <c r="I57" s="48">
        <v>1986</v>
      </c>
      <c r="J57" s="48">
        <v>1850</v>
      </c>
      <c r="K57" s="48">
        <v>1932</v>
      </c>
      <c r="L57" s="48">
        <v>1979</v>
      </c>
      <c r="N57" s="84" t="s">
        <v>1174</v>
      </c>
      <c r="Q57"/>
    </row>
    <row r="58" spans="1:17" ht="15.75" thickBot="1">
      <c r="A58" s="72"/>
      <c r="B58" s="84"/>
      <c r="C58" s="72" t="s">
        <v>13468</v>
      </c>
      <c r="D58" s="91">
        <v>0</v>
      </c>
      <c r="E58" s="93">
        <v>0</v>
      </c>
      <c r="F58" s="91">
        <v>0</v>
      </c>
      <c r="G58" s="93">
        <v>0</v>
      </c>
      <c r="H58" s="48">
        <v>2341</v>
      </c>
      <c r="I58" s="48">
        <v>2345</v>
      </c>
      <c r="J58" s="48">
        <v>2252</v>
      </c>
      <c r="K58" s="48">
        <v>2348</v>
      </c>
      <c r="L58" s="48">
        <v>2380</v>
      </c>
      <c r="N58" s="84" t="s">
        <v>2898</v>
      </c>
      <c r="Q58"/>
    </row>
    <row r="59" spans="1:17" ht="15.75" thickBot="1">
      <c r="A59" s="84"/>
      <c r="B59" s="84"/>
      <c r="C59" s="72" t="s">
        <v>13468</v>
      </c>
      <c r="D59" s="95">
        <f t="shared" ref="D59:G59" si="51">D57+D58</f>
        <v>0</v>
      </c>
      <c r="E59" s="95">
        <f t="shared" si="51"/>
        <v>0</v>
      </c>
      <c r="F59" s="95">
        <f t="shared" si="51"/>
        <v>0</v>
      </c>
      <c r="G59" s="95">
        <f t="shared" si="51"/>
        <v>0</v>
      </c>
      <c r="H59" s="95">
        <f>H57+H58</f>
        <v>4297</v>
      </c>
      <c r="I59" s="95">
        <f>I57+I58</f>
        <v>4331</v>
      </c>
      <c r="J59" s="95">
        <f>J57+J58</f>
        <v>4102</v>
      </c>
      <c r="K59" s="95">
        <f>K57+K58</f>
        <v>4280</v>
      </c>
      <c r="L59" s="95">
        <f>L57+L58</f>
        <v>4359</v>
      </c>
      <c r="N59" s="84"/>
      <c r="Q59"/>
    </row>
    <row r="60" spans="1:17">
      <c r="A60" s="84" t="s">
        <v>7023</v>
      </c>
      <c r="B60" s="84" t="s">
        <v>1558</v>
      </c>
      <c r="C60" s="72" t="s">
        <v>13469</v>
      </c>
      <c r="D60" s="91">
        <v>0</v>
      </c>
      <c r="E60" s="93">
        <v>0</v>
      </c>
      <c r="F60" s="91">
        <v>0</v>
      </c>
      <c r="G60" s="93">
        <v>0</v>
      </c>
      <c r="H60" s="48">
        <v>2646</v>
      </c>
      <c r="I60" s="48">
        <v>2749</v>
      </c>
      <c r="J60" s="48">
        <v>2638</v>
      </c>
      <c r="K60" s="48">
        <v>2733</v>
      </c>
      <c r="L60" s="48">
        <v>2796</v>
      </c>
      <c r="N60" s="84" t="s">
        <v>2899</v>
      </c>
      <c r="Q60"/>
    </row>
    <row r="61" spans="1:17">
      <c r="A61" s="84" t="s">
        <v>7025</v>
      </c>
      <c r="B61" s="84" t="s">
        <v>1559</v>
      </c>
      <c r="C61" s="72" t="s">
        <v>13470</v>
      </c>
      <c r="D61" s="91">
        <v>0</v>
      </c>
      <c r="E61" s="93">
        <v>0</v>
      </c>
      <c r="F61" s="91">
        <v>0</v>
      </c>
      <c r="G61" s="93">
        <v>0</v>
      </c>
      <c r="H61" s="48">
        <v>3704</v>
      </c>
      <c r="I61" s="48">
        <v>3772</v>
      </c>
      <c r="J61" s="48">
        <v>3591</v>
      </c>
      <c r="K61" s="48">
        <v>3712</v>
      </c>
      <c r="L61" s="48">
        <v>3901</v>
      </c>
      <c r="N61" s="84" t="s">
        <v>2899</v>
      </c>
      <c r="Q61"/>
    </row>
    <row r="62" spans="1:17">
      <c r="A62" s="96">
        <v>21</v>
      </c>
      <c r="B62" s="84" t="s">
        <v>1560</v>
      </c>
      <c r="C62" s="72" t="s">
        <v>13471</v>
      </c>
      <c r="D62" s="91">
        <v>0</v>
      </c>
      <c r="E62" s="93">
        <v>0</v>
      </c>
      <c r="F62" s="91">
        <v>0</v>
      </c>
      <c r="G62" s="93">
        <v>0</v>
      </c>
      <c r="H62" s="48">
        <v>3420</v>
      </c>
      <c r="I62" s="48">
        <v>3504</v>
      </c>
      <c r="J62" s="48">
        <v>3092</v>
      </c>
      <c r="K62" s="48">
        <v>3250</v>
      </c>
      <c r="L62" s="48">
        <v>3316</v>
      </c>
      <c r="N62" s="84" t="s">
        <v>2899</v>
      </c>
      <c r="Q62"/>
    </row>
    <row r="63" spans="1:17">
      <c r="A63" s="97">
        <v>22</v>
      </c>
      <c r="B63" s="84" t="s">
        <v>13354</v>
      </c>
      <c r="C63" s="72" t="s">
        <v>13472</v>
      </c>
      <c r="D63" s="91">
        <v>0</v>
      </c>
      <c r="E63" s="93">
        <v>0</v>
      </c>
      <c r="F63" s="91">
        <v>0</v>
      </c>
      <c r="G63" s="93">
        <v>0</v>
      </c>
      <c r="H63" s="48">
        <v>3418</v>
      </c>
      <c r="I63" s="48">
        <v>3508</v>
      </c>
      <c r="J63" s="48">
        <v>2964</v>
      </c>
      <c r="K63" s="48">
        <v>3089</v>
      </c>
      <c r="L63" s="48">
        <v>3240</v>
      </c>
      <c r="N63" s="84" t="s">
        <v>2899</v>
      </c>
      <c r="Q63"/>
    </row>
    <row r="64" spans="1:17">
      <c r="A64" s="97">
        <v>23</v>
      </c>
      <c r="B64" s="84" t="s">
        <v>3270</v>
      </c>
      <c r="C64" s="72" t="s">
        <v>13473</v>
      </c>
      <c r="D64" s="91">
        <v>0</v>
      </c>
      <c r="E64" s="93">
        <v>0</v>
      </c>
      <c r="F64" s="91">
        <v>0</v>
      </c>
      <c r="G64" s="93">
        <v>0</v>
      </c>
      <c r="H64" s="48">
        <v>3489</v>
      </c>
      <c r="I64" s="48">
        <v>3538</v>
      </c>
      <c r="J64" s="48">
        <v>3363</v>
      </c>
      <c r="K64" s="48">
        <v>3401</v>
      </c>
      <c r="L64" s="48">
        <v>3513</v>
      </c>
      <c r="N64" s="84" t="s">
        <v>2899</v>
      </c>
      <c r="Q64"/>
    </row>
    <row r="65" spans="1:17">
      <c r="A65" s="97">
        <v>24</v>
      </c>
      <c r="B65" s="84" t="s">
        <v>13355</v>
      </c>
      <c r="C65" s="72" t="s">
        <v>13474</v>
      </c>
      <c r="D65" s="91">
        <v>0</v>
      </c>
      <c r="E65" s="91">
        <v>0</v>
      </c>
      <c r="F65" s="91">
        <v>0</v>
      </c>
      <c r="G65" s="91">
        <v>0</v>
      </c>
      <c r="H65" s="48">
        <v>3823</v>
      </c>
      <c r="I65" s="48">
        <v>3798</v>
      </c>
      <c r="J65" s="48">
        <v>3649</v>
      </c>
      <c r="K65" s="48">
        <v>3705</v>
      </c>
      <c r="L65" s="48">
        <v>3890</v>
      </c>
      <c r="N65" s="84" t="s">
        <v>2899</v>
      </c>
      <c r="Q65"/>
    </row>
    <row r="66" spans="1:17">
      <c r="A66" s="97">
        <v>25</v>
      </c>
      <c r="B66" s="84" t="s">
        <v>13356</v>
      </c>
      <c r="C66" s="72" t="s">
        <v>13475</v>
      </c>
      <c r="D66" s="91">
        <v>0</v>
      </c>
      <c r="E66" s="91">
        <v>0</v>
      </c>
      <c r="F66" s="91">
        <v>0</v>
      </c>
      <c r="G66" s="91">
        <v>0</v>
      </c>
      <c r="H66" s="48">
        <v>3351</v>
      </c>
      <c r="I66" s="48">
        <v>3374</v>
      </c>
      <c r="J66" s="48">
        <v>3305</v>
      </c>
      <c r="K66" s="48">
        <v>3400</v>
      </c>
      <c r="L66" s="48">
        <v>3452</v>
      </c>
      <c r="N66" s="84" t="s">
        <v>1174</v>
      </c>
      <c r="Q66"/>
    </row>
    <row r="67" spans="1:17">
      <c r="A67" s="97">
        <v>26</v>
      </c>
      <c r="B67" s="84" t="s">
        <v>13357</v>
      </c>
      <c r="C67" s="72" t="s">
        <v>13476</v>
      </c>
      <c r="D67" s="91">
        <v>75721</v>
      </c>
      <c r="E67" s="93">
        <v>75974</v>
      </c>
      <c r="F67" s="91">
        <v>75311</v>
      </c>
      <c r="G67" s="93">
        <v>75905</v>
      </c>
      <c r="H67" s="48">
        <v>3340</v>
      </c>
      <c r="I67" s="48">
        <v>3354</v>
      </c>
      <c r="J67" s="48">
        <v>3167</v>
      </c>
      <c r="K67" s="48">
        <v>3299</v>
      </c>
      <c r="L67" s="48">
        <v>3399</v>
      </c>
      <c r="N67" s="84" t="s">
        <v>2897</v>
      </c>
      <c r="Q67"/>
    </row>
    <row r="68" spans="1:17">
      <c r="A68" s="97">
        <v>27</v>
      </c>
      <c r="B68" s="84" t="s">
        <v>13358</v>
      </c>
      <c r="C68" s="72" t="s">
        <v>13477</v>
      </c>
      <c r="D68" s="91">
        <v>0</v>
      </c>
      <c r="E68" s="91">
        <v>0</v>
      </c>
      <c r="F68" s="91">
        <v>0</v>
      </c>
      <c r="G68" s="91">
        <v>0</v>
      </c>
      <c r="H68" s="48">
        <v>3252</v>
      </c>
      <c r="I68" s="48">
        <v>3390</v>
      </c>
      <c r="J68" s="48">
        <v>3279</v>
      </c>
      <c r="K68" s="48">
        <v>3526</v>
      </c>
      <c r="L68" s="48">
        <v>3716</v>
      </c>
      <c r="N68" s="84" t="s">
        <v>8177</v>
      </c>
      <c r="Q68"/>
    </row>
    <row r="69" spans="1:17">
      <c r="A69" s="97">
        <v>28</v>
      </c>
      <c r="B69" s="84" t="s">
        <v>12504</v>
      </c>
      <c r="C69" s="72" t="s">
        <v>13478</v>
      </c>
      <c r="D69" s="91">
        <v>0</v>
      </c>
      <c r="E69" s="91">
        <v>0</v>
      </c>
      <c r="F69" s="91">
        <v>0</v>
      </c>
      <c r="G69" s="91">
        <v>0</v>
      </c>
      <c r="H69" s="48">
        <v>3332</v>
      </c>
      <c r="I69" s="48">
        <v>3346</v>
      </c>
      <c r="J69" s="48">
        <v>3140</v>
      </c>
      <c r="K69" s="48">
        <v>3224</v>
      </c>
      <c r="L69" s="48">
        <v>3292</v>
      </c>
      <c r="N69" s="84" t="s">
        <v>2898</v>
      </c>
      <c r="Q69"/>
    </row>
    <row r="70" spans="1:17">
      <c r="A70" s="97">
        <v>29</v>
      </c>
      <c r="B70" s="84" t="s">
        <v>13359</v>
      </c>
      <c r="C70" s="72" t="s">
        <v>13479</v>
      </c>
      <c r="D70" s="91">
        <v>0</v>
      </c>
      <c r="E70" s="91">
        <v>0</v>
      </c>
      <c r="F70" s="91">
        <v>0</v>
      </c>
      <c r="G70" s="91">
        <v>0</v>
      </c>
      <c r="H70" s="48">
        <v>3585</v>
      </c>
      <c r="I70" s="48">
        <v>3575</v>
      </c>
      <c r="J70" s="48">
        <v>3412</v>
      </c>
      <c r="K70" s="48">
        <v>3545</v>
      </c>
      <c r="L70" s="48">
        <v>3599</v>
      </c>
      <c r="N70" s="84" t="s">
        <v>2896</v>
      </c>
      <c r="Q70"/>
    </row>
    <row r="71" spans="1:17">
      <c r="A71" s="97">
        <v>30</v>
      </c>
      <c r="B71" s="84" t="s">
        <v>2345</v>
      </c>
      <c r="C71" s="72" t="s">
        <v>13480</v>
      </c>
      <c r="D71" s="91">
        <v>0</v>
      </c>
      <c r="E71" s="91">
        <v>0</v>
      </c>
      <c r="F71" s="91">
        <v>0</v>
      </c>
      <c r="G71" s="91">
        <v>0</v>
      </c>
      <c r="H71" s="48">
        <v>2553</v>
      </c>
      <c r="I71" s="48">
        <v>2556</v>
      </c>
      <c r="J71" s="48">
        <v>2413</v>
      </c>
      <c r="K71" s="48">
        <v>2544</v>
      </c>
      <c r="L71" s="48">
        <v>2662</v>
      </c>
      <c r="N71" s="84" t="s">
        <v>1174</v>
      </c>
      <c r="Q71"/>
    </row>
    <row r="72" spans="1:17" ht="15.75" thickBot="1">
      <c r="A72" s="97"/>
      <c r="B72" s="84"/>
      <c r="C72" s="72" t="s">
        <v>13480</v>
      </c>
      <c r="D72" s="91">
        <v>0</v>
      </c>
      <c r="E72" s="91">
        <v>0</v>
      </c>
      <c r="F72" s="91">
        <v>0</v>
      </c>
      <c r="G72" s="91">
        <v>0</v>
      </c>
      <c r="H72" s="48">
        <v>1095</v>
      </c>
      <c r="I72" s="48">
        <v>1127</v>
      </c>
      <c r="J72" s="48">
        <v>1031</v>
      </c>
      <c r="K72" s="48">
        <v>1056</v>
      </c>
      <c r="L72" s="48">
        <v>1130</v>
      </c>
      <c r="N72" s="84" t="s">
        <v>2898</v>
      </c>
      <c r="Q72"/>
    </row>
    <row r="73" spans="1:17" ht="15.75" thickBot="1">
      <c r="A73" s="97"/>
      <c r="B73" s="84"/>
      <c r="C73" s="72" t="s">
        <v>13480</v>
      </c>
      <c r="D73" s="95">
        <f t="shared" ref="D73:G73" si="52">D71+D72</f>
        <v>0</v>
      </c>
      <c r="E73" s="95">
        <f t="shared" si="52"/>
        <v>0</v>
      </c>
      <c r="F73" s="95">
        <f t="shared" si="52"/>
        <v>0</v>
      </c>
      <c r="G73" s="95">
        <f t="shared" si="52"/>
        <v>0</v>
      </c>
      <c r="H73" s="95">
        <f>H71+H72</f>
        <v>3648</v>
      </c>
      <c r="I73" s="95">
        <f>I71+I72</f>
        <v>3683</v>
      </c>
      <c r="J73" s="95">
        <f>J71+J72</f>
        <v>3444</v>
      </c>
      <c r="K73" s="95">
        <f>K71+K72</f>
        <v>3600</v>
      </c>
      <c r="L73" s="95">
        <f>L71+L72</f>
        <v>3792</v>
      </c>
      <c r="N73" s="84"/>
      <c r="Q73"/>
    </row>
    <row r="74" spans="1:17">
      <c r="A74" s="97">
        <v>31</v>
      </c>
      <c r="B74" s="84" t="s">
        <v>7902</v>
      </c>
      <c r="C74" s="72" t="s">
        <v>13481</v>
      </c>
      <c r="D74" s="91">
        <v>0</v>
      </c>
      <c r="E74" s="91">
        <v>0</v>
      </c>
      <c r="F74" s="91">
        <v>0</v>
      </c>
      <c r="G74" s="91">
        <v>0</v>
      </c>
      <c r="H74" s="48">
        <v>3569</v>
      </c>
      <c r="I74" s="48">
        <v>3643</v>
      </c>
      <c r="J74" s="48">
        <v>3387</v>
      </c>
      <c r="K74" s="48">
        <v>3437</v>
      </c>
      <c r="L74" s="48">
        <v>3560</v>
      </c>
      <c r="N74" s="84" t="s">
        <v>1174</v>
      </c>
      <c r="Q74"/>
    </row>
    <row r="75" spans="1:17">
      <c r="A75" s="97">
        <v>32</v>
      </c>
      <c r="B75" s="84" t="s">
        <v>7903</v>
      </c>
      <c r="C75" s="72" t="s">
        <v>13482</v>
      </c>
      <c r="D75" s="91">
        <v>0</v>
      </c>
      <c r="E75" s="91">
        <v>0</v>
      </c>
      <c r="F75" s="91">
        <v>0</v>
      </c>
      <c r="G75" s="91">
        <v>0</v>
      </c>
      <c r="H75" s="48">
        <v>3240</v>
      </c>
      <c r="I75" s="48">
        <v>3269</v>
      </c>
      <c r="J75" s="48">
        <v>3107</v>
      </c>
      <c r="K75" s="48">
        <v>3172</v>
      </c>
      <c r="L75" s="48">
        <v>3321</v>
      </c>
      <c r="N75" s="84" t="s">
        <v>1174</v>
      </c>
      <c r="Q75"/>
    </row>
    <row r="76" spans="1:17">
      <c r="A76" s="97">
        <v>33</v>
      </c>
      <c r="B76" s="84" t="s">
        <v>7904</v>
      </c>
      <c r="C76" s="72" t="s">
        <v>13483</v>
      </c>
      <c r="D76" s="91">
        <v>0</v>
      </c>
      <c r="E76" s="91">
        <v>0</v>
      </c>
      <c r="F76" s="91">
        <v>0</v>
      </c>
      <c r="G76" s="91">
        <v>0</v>
      </c>
      <c r="H76" s="48">
        <v>3605</v>
      </c>
      <c r="I76" s="48">
        <v>3629</v>
      </c>
      <c r="J76" s="48">
        <v>3504</v>
      </c>
      <c r="K76" s="48">
        <v>3570</v>
      </c>
      <c r="L76" s="48">
        <v>3643</v>
      </c>
      <c r="N76" s="84" t="s">
        <v>2898</v>
      </c>
      <c r="Q76"/>
    </row>
    <row r="77" spans="1:17">
      <c r="A77" s="97">
        <v>34</v>
      </c>
      <c r="B77" s="84" t="s">
        <v>13360</v>
      </c>
      <c r="C77" s="72" t="s">
        <v>13484</v>
      </c>
      <c r="D77" s="91">
        <v>0</v>
      </c>
      <c r="E77" s="91">
        <v>0</v>
      </c>
      <c r="F77" s="91">
        <v>0</v>
      </c>
      <c r="G77" s="91">
        <v>0</v>
      </c>
      <c r="H77" s="48">
        <v>3934</v>
      </c>
      <c r="I77" s="48">
        <v>3983</v>
      </c>
      <c r="J77" s="48">
        <v>3734</v>
      </c>
      <c r="K77" s="48">
        <v>3842</v>
      </c>
      <c r="L77" s="48">
        <v>3880</v>
      </c>
      <c r="N77" s="84" t="s">
        <v>2898</v>
      </c>
      <c r="Q77"/>
    </row>
    <row r="78" spans="1:17">
      <c r="A78" s="97">
        <v>35</v>
      </c>
      <c r="B78" s="84" t="s">
        <v>7905</v>
      </c>
      <c r="C78" s="72" t="s">
        <v>13485</v>
      </c>
      <c r="D78" s="91">
        <v>0</v>
      </c>
      <c r="E78" s="91">
        <v>0</v>
      </c>
      <c r="F78" s="91">
        <v>0</v>
      </c>
      <c r="G78" s="91">
        <v>0</v>
      </c>
      <c r="H78" s="48">
        <v>3554</v>
      </c>
      <c r="I78" s="48">
        <v>3628</v>
      </c>
      <c r="J78" s="48">
        <v>3509</v>
      </c>
      <c r="K78" s="48">
        <v>3592</v>
      </c>
      <c r="L78" s="48">
        <v>3656</v>
      </c>
      <c r="N78" s="84" t="s">
        <v>1174</v>
      </c>
      <c r="Q78"/>
    </row>
    <row r="79" spans="1:17">
      <c r="A79" s="97">
        <v>36</v>
      </c>
      <c r="B79" s="84" t="s">
        <v>7906</v>
      </c>
      <c r="C79" s="72" t="s">
        <v>13486</v>
      </c>
      <c r="D79" s="91">
        <v>0</v>
      </c>
      <c r="E79" s="91">
        <v>0</v>
      </c>
      <c r="F79" s="91">
        <v>0</v>
      </c>
      <c r="G79" s="91">
        <v>0</v>
      </c>
      <c r="H79" s="48">
        <v>3527</v>
      </c>
      <c r="I79" s="48">
        <v>3557</v>
      </c>
      <c r="J79" s="48">
        <v>3410</v>
      </c>
      <c r="K79" s="48">
        <v>3483</v>
      </c>
      <c r="L79" s="48">
        <v>3597</v>
      </c>
      <c r="N79" s="84" t="s">
        <v>2899</v>
      </c>
      <c r="Q79"/>
    </row>
    <row r="80" spans="1:17">
      <c r="A80" s="97">
        <v>37</v>
      </c>
      <c r="B80" s="84" t="s">
        <v>13361</v>
      </c>
      <c r="C80" s="72" t="s">
        <v>13487</v>
      </c>
      <c r="D80" s="91">
        <v>0</v>
      </c>
      <c r="E80" s="91">
        <v>0</v>
      </c>
      <c r="F80" s="91">
        <v>0</v>
      </c>
      <c r="G80" s="91">
        <v>0</v>
      </c>
      <c r="H80" s="48">
        <v>3213</v>
      </c>
      <c r="I80" s="48">
        <v>3230</v>
      </c>
      <c r="J80" s="48">
        <v>3056</v>
      </c>
      <c r="K80" s="48">
        <v>3142</v>
      </c>
      <c r="L80" s="48">
        <v>3201</v>
      </c>
      <c r="N80" s="84" t="s">
        <v>8177</v>
      </c>
      <c r="Q80"/>
    </row>
    <row r="81" spans="1:17">
      <c r="A81" s="97">
        <v>38</v>
      </c>
      <c r="B81" s="84" t="s">
        <v>13362</v>
      </c>
      <c r="C81" s="72" t="s">
        <v>13488</v>
      </c>
      <c r="D81" s="91">
        <v>0</v>
      </c>
      <c r="E81" s="91">
        <v>0</v>
      </c>
      <c r="F81" s="91">
        <v>0</v>
      </c>
      <c r="G81" s="91">
        <v>0</v>
      </c>
      <c r="H81" s="48">
        <v>3790</v>
      </c>
      <c r="I81" s="48">
        <v>3834</v>
      </c>
      <c r="J81" s="48">
        <v>3640</v>
      </c>
      <c r="K81" s="48">
        <v>3692</v>
      </c>
      <c r="L81" s="48">
        <v>3826</v>
      </c>
      <c r="N81" s="84" t="s">
        <v>1174</v>
      </c>
      <c r="Q81"/>
    </row>
    <row r="82" spans="1:17">
      <c r="A82" s="97">
        <v>39</v>
      </c>
      <c r="B82" s="84" t="s">
        <v>7907</v>
      </c>
      <c r="C82" s="72" t="s">
        <v>13489</v>
      </c>
      <c r="D82" s="91">
        <v>0</v>
      </c>
      <c r="E82" s="91">
        <v>0</v>
      </c>
      <c r="F82" s="91">
        <v>0</v>
      </c>
      <c r="G82" s="91">
        <v>0</v>
      </c>
      <c r="H82" s="48">
        <v>2485</v>
      </c>
      <c r="I82" s="48">
        <v>2651</v>
      </c>
      <c r="J82" s="48">
        <v>2500</v>
      </c>
      <c r="K82" s="48">
        <v>2595</v>
      </c>
      <c r="L82" s="48">
        <v>2615</v>
      </c>
      <c r="N82" s="84" t="s">
        <v>8177</v>
      </c>
      <c r="Q82"/>
    </row>
    <row r="83" spans="1:17">
      <c r="A83" s="97">
        <v>40</v>
      </c>
      <c r="B83" s="84" t="s">
        <v>13363</v>
      </c>
      <c r="C83" s="72" t="s">
        <v>13490</v>
      </c>
      <c r="D83" s="91">
        <v>0</v>
      </c>
      <c r="E83" s="91">
        <v>0</v>
      </c>
      <c r="F83" s="91">
        <v>0</v>
      </c>
      <c r="G83" s="91">
        <v>0</v>
      </c>
      <c r="H83" s="48">
        <v>3471</v>
      </c>
      <c r="I83" s="48">
        <v>3609</v>
      </c>
      <c r="J83" s="48">
        <v>3552</v>
      </c>
      <c r="K83" s="48">
        <v>3638</v>
      </c>
      <c r="L83" s="48">
        <v>3721</v>
      </c>
      <c r="N83" s="84" t="s">
        <v>8177</v>
      </c>
      <c r="Q83"/>
    </row>
    <row r="84" spans="1:17">
      <c r="A84" s="96">
        <v>41</v>
      </c>
      <c r="B84" s="84" t="s">
        <v>7908</v>
      </c>
      <c r="C84" s="72" t="s">
        <v>13491</v>
      </c>
      <c r="D84" s="91">
        <v>0</v>
      </c>
      <c r="E84" s="91">
        <v>0</v>
      </c>
      <c r="F84" s="91">
        <v>0</v>
      </c>
      <c r="G84" s="91">
        <v>0</v>
      </c>
      <c r="H84" s="48">
        <v>2660</v>
      </c>
      <c r="I84" s="48">
        <v>2739</v>
      </c>
      <c r="J84" s="48">
        <v>2681</v>
      </c>
      <c r="K84" s="48">
        <v>2734</v>
      </c>
      <c r="L84" s="48">
        <v>2904</v>
      </c>
      <c r="N84" s="84" t="s">
        <v>8177</v>
      </c>
      <c r="Q84"/>
    </row>
    <row r="85" spans="1:17">
      <c r="A85" s="96">
        <v>42</v>
      </c>
      <c r="B85" s="84" t="s">
        <v>7084</v>
      </c>
      <c r="C85" s="72" t="s">
        <v>13492</v>
      </c>
      <c r="D85" s="91">
        <v>0</v>
      </c>
      <c r="E85" s="91">
        <v>0</v>
      </c>
      <c r="F85" s="91">
        <v>0</v>
      </c>
      <c r="G85" s="91">
        <v>0</v>
      </c>
      <c r="H85" s="48">
        <v>3141</v>
      </c>
      <c r="I85" s="48">
        <v>3171</v>
      </c>
      <c r="J85" s="48">
        <v>2993</v>
      </c>
      <c r="K85" s="48">
        <v>2996</v>
      </c>
      <c r="L85" s="48">
        <v>3064</v>
      </c>
      <c r="N85" s="84" t="s">
        <v>2898</v>
      </c>
      <c r="Q85"/>
    </row>
    <row r="86" spans="1:17">
      <c r="A86" s="96">
        <v>43</v>
      </c>
      <c r="B86" s="84" t="s">
        <v>13364</v>
      </c>
      <c r="C86" s="72" t="s">
        <v>13493</v>
      </c>
      <c r="D86" s="91">
        <v>0</v>
      </c>
      <c r="E86" s="91">
        <v>0</v>
      </c>
      <c r="F86" s="91">
        <v>0</v>
      </c>
      <c r="G86" s="91">
        <v>0</v>
      </c>
      <c r="H86" s="48">
        <v>3541</v>
      </c>
      <c r="I86" s="48">
        <v>3624</v>
      </c>
      <c r="J86" s="48">
        <v>3407</v>
      </c>
      <c r="K86" s="48">
        <v>3519</v>
      </c>
      <c r="L86" s="48">
        <v>3583</v>
      </c>
      <c r="N86" s="84" t="s">
        <v>2896</v>
      </c>
      <c r="Q86"/>
    </row>
    <row r="87" spans="1:17">
      <c r="A87" s="96">
        <v>44</v>
      </c>
      <c r="B87" s="84" t="s">
        <v>7909</v>
      </c>
      <c r="C87" s="72" t="s">
        <v>13494</v>
      </c>
      <c r="D87" s="91">
        <v>0</v>
      </c>
      <c r="E87" s="91">
        <v>0</v>
      </c>
      <c r="F87" s="91">
        <v>0</v>
      </c>
      <c r="G87" s="91">
        <v>0</v>
      </c>
      <c r="H87" s="48">
        <v>1292</v>
      </c>
      <c r="I87" s="48">
        <v>1340</v>
      </c>
      <c r="J87" s="48">
        <v>1330</v>
      </c>
      <c r="K87" s="48">
        <v>1454</v>
      </c>
      <c r="L87" s="48">
        <v>1564</v>
      </c>
      <c r="N87" s="84" t="s">
        <v>2896</v>
      </c>
      <c r="Q87"/>
    </row>
    <row r="88" spans="1:17">
      <c r="A88" s="96">
        <v>45</v>
      </c>
      <c r="B88" s="84" t="s">
        <v>13365</v>
      </c>
      <c r="C88" s="72" t="s">
        <v>13495</v>
      </c>
      <c r="D88" s="91">
        <v>0</v>
      </c>
      <c r="E88" s="91">
        <v>0</v>
      </c>
      <c r="F88" s="91">
        <v>0</v>
      </c>
      <c r="G88" s="91">
        <v>0</v>
      </c>
      <c r="H88" s="48">
        <v>3107</v>
      </c>
      <c r="I88" s="48">
        <v>3234</v>
      </c>
      <c r="J88" s="48">
        <v>3135</v>
      </c>
      <c r="K88" s="48">
        <v>3267</v>
      </c>
      <c r="L88" s="48">
        <v>3487</v>
      </c>
      <c r="N88" s="84" t="s">
        <v>2896</v>
      </c>
      <c r="Q88"/>
    </row>
    <row r="89" spans="1:17">
      <c r="A89" s="96">
        <v>46</v>
      </c>
      <c r="B89" s="84" t="s">
        <v>8824</v>
      </c>
      <c r="C89" s="72" t="s">
        <v>13496</v>
      </c>
      <c r="D89" s="91">
        <v>0</v>
      </c>
      <c r="E89" s="91">
        <v>0</v>
      </c>
      <c r="F89" s="91">
        <v>0</v>
      </c>
      <c r="G89" s="91">
        <v>0</v>
      </c>
      <c r="H89" s="48">
        <v>2535</v>
      </c>
      <c r="I89" s="48">
        <v>2616</v>
      </c>
      <c r="J89" s="48">
        <v>2559</v>
      </c>
      <c r="K89" s="48">
        <v>2690</v>
      </c>
      <c r="L89" s="48">
        <v>2765</v>
      </c>
      <c r="N89" s="84" t="s">
        <v>2896</v>
      </c>
      <c r="Q89"/>
    </row>
    <row r="90" spans="1:17">
      <c r="A90" s="96">
        <v>47</v>
      </c>
      <c r="B90" s="84" t="s">
        <v>13639</v>
      </c>
      <c r="C90" s="72" t="s">
        <v>13497</v>
      </c>
      <c r="D90" s="91">
        <v>0</v>
      </c>
      <c r="E90" s="91">
        <v>0</v>
      </c>
      <c r="F90" s="91">
        <v>0</v>
      </c>
      <c r="G90" s="91">
        <v>0</v>
      </c>
      <c r="H90" s="48">
        <v>3819</v>
      </c>
      <c r="I90" s="48">
        <v>3869</v>
      </c>
      <c r="J90" s="48">
        <v>3621</v>
      </c>
      <c r="K90" s="48">
        <v>3782</v>
      </c>
      <c r="L90" s="48">
        <v>3783</v>
      </c>
      <c r="N90" s="84" t="s">
        <v>2896</v>
      </c>
      <c r="Q90"/>
    </row>
    <row r="91" spans="1:17">
      <c r="A91" s="96">
        <v>48</v>
      </c>
      <c r="B91" s="84" t="s">
        <v>8718</v>
      </c>
      <c r="C91" s="72" t="s">
        <v>13498</v>
      </c>
      <c r="D91" s="91">
        <v>0</v>
      </c>
      <c r="E91" s="91">
        <v>0</v>
      </c>
      <c r="F91" s="91">
        <v>0</v>
      </c>
      <c r="G91" s="91">
        <v>0</v>
      </c>
      <c r="H91" s="48">
        <v>3273</v>
      </c>
      <c r="I91" s="48">
        <v>3347</v>
      </c>
      <c r="J91" s="48">
        <v>3212</v>
      </c>
      <c r="K91" s="48">
        <v>3316</v>
      </c>
      <c r="L91" s="48">
        <v>3406</v>
      </c>
      <c r="N91" s="84" t="s">
        <v>2896</v>
      </c>
      <c r="Q91"/>
    </row>
    <row r="92" spans="1:17">
      <c r="A92" s="96">
        <v>49</v>
      </c>
      <c r="B92" s="84" t="s">
        <v>8719</v>
      </c>
      <c r="C92" s="72" t="s">
        <v>13499</v>
      </c>
      <c r="D92" s="91">
        <v>0</v>
      </c>
      <c r="E92" s="91">
        <v>0</v>
      </c>
      <c r="F92" s="91">
        <v>0</v>
      </c>
      <c r="G92" s="91">
        <v>0</v>
      </c>
      <c r="H92" s="48">
        <v>3311</v>
      </c>
      <c r="I92" s="48">
        <v>3286</v>
      </c>
      <c r="J92" s="48">
        <v>3157</v>
      </c>
      <c r="K92" s="48">
        <v>3253</v>
      </c>
      <c r="L92" s="48">
        <v>3356</v>
      </c>
      <c r="N92" s="84" t="s">
        <v>2898</v>
      </c>
      <c r="Q92"/>
    </row>
    <row r="93" spans="1:17">
      <c r="A93" s="96">
        <v>50</v>
      </c>
      <c r="B93" s="84" t="s">
        <v>13366</v>
      </c>
      <c r="C93" s="72" t="s">
        <v>13500</v>
      </c>
      <c r="D93" s="91">
        <v>0</v>
      </c>
      <c r="E93" s="91">
        <v>0</v>
      </c>
      <c r="F93" s="91">
        <v>0</v>
      </c>
      <c r="G93" s="91">
        <v>0</v>
      </c>
      <c r="H93" s="48">
        <v>3354</v>
      </c>
      <c r="I93" s="48">
        <v>3450</v>
      </c>
      <c r="J93" s="48">
        <v>3361</v>
      </c>
      <c r="K93" s="48">
        <v>3505</v>
      </c>
      <c r="L93" s="48">
        <v>3506</v>
      </c>
      <c r="N93" s="84" t="s">
        <v>2896</v>
      </c>
      <c r="Q93"/>
    </row>
    <row r="94" spans="1:17">
      <c r="A94" s="96">
        <v>51</v>
      </c>
      <c r="B94" s="84" t="s">
        <v>13367</v>
      </c>
      <c r="C94" s="72" t="s">
        <v>13501</v>
      </c>
      <c r="D94" s="91">
        <v>0</v>
      </c>
      <c r="E94" s="91">
        <v>0</v>
      </c>
      <c r="F94" s="91">
        <v>0</v>
      </c>
      <c r="G94" s="91">
        <v>0</v>
      </c>
      <c r="H94" s="48">
        <v>2988</v>
      </c>
      <c r="I94" s="48">
        <v>2442</v>
      </c>
      <c r="J94" s="48">
        <v>2430</v>
      </c>
      <c r="K94" s="48">
        <v>2408</v>
      </c>
      <c r="L94" s="48">
        <v>2531</v>
      </c>
      <c r="N94" s="84" t="s">
        <v>1174</v>
      </c>
      <c r="Q94"/>
    </row>
    <row r="95" spans="1:17" ht="15.75" thickBot="1">
      <c r="A95" s="72"/>
      <c r="B95" s="84"/>
      <c r="C95" s="72" t="s">
        <v>13501</v>
      </c>
      <c r="D95" s="91">
        <v>0</v>
      </c>
      <c r="E95" s="91">
        <v>0</v>
      </c>
      <c r="F95" s="91">
        <v>0</v>
      </c>
      <c r="G95" s="91">
        <v>0</v>
      </c>
      <c r="H95" s="48">
        <v>1295</v>
      </c>
      <c r="I95" s="48">
        <v>1294</v>
      </c>
      <c r="J95" s="48">
        <v>1284</v>
      </c>
      <c r="K95" s="48">
        <v>1309</v>
      </c>
      <c r="L95" s="48">
        <v>1342</v>
      </c>
      <c r="N95" s="84" t="s">
        <v>2899</v>
      </c>
      <c r="Q95"/>
    </row>
    <row r="96" spans="1:17" ht="15.75" thickBot="1">
      <c r="A96" s="96"/>
      <c r="B96" s="84"/>
      <c r="C96" s="72" t="s">
        <v>13501</v>
      </c>
      <c r="D96" s="95">
        <f t="shared" ref="D96:G96" si="53">D94+D95</f>
        <v>0</v>
      </c>
      <c r="E96" s="95">
        <f t="shared" si="53"/>
        <v>0</v>
      </c>
      <c r="F96" s="95">
        <f t="shared" si="53"/>
        <v>0</v>
      </c>
      <c r="G96" s="95">
        <f t="shared" si="53"/>
        <v>0</v>
      </c>
      <c r="H96" s="95">
        <f>H94+H95</f>
        <v>4283</v>
      </c>
      <c r="I96" s="95">
        <f>I94+I95</f>
        <v>3736</v>
      </c>
      <c r="J96" s="95">
        <f>J94+J95</f>
        <v>3714</v>
      </c>
      <c r="K96" s="95">
        <f>K94+K95</f>
        <v>3717</v>
      </c>
      <c r="L96" s="95">
        <f>L94+L95</f>
        <v>3873</v>
      </c>
      <c r="N96" s="84"/>
      <c r="Q96"/>
    </row>
    <row r="97" spans="1:17">
      <c r="A97" s="96">
        <v>52</v>
      </c>
      <c r="B97" s="84" t="s">
        <v>13368</v>
      </c>
      <c r="C97" s="72" t="s">
        <v>13502</v>
      </c>
      <c r="D97" s="91">
        <v>0</v>
      </c>
      <c r="E97" s="91">
        <v>0</v>
      </c>
      <c r="F97" s="91">
        <v>0</v>
      </c>
      <c r="G97" s="91">
        <v>0</v>
      </c>
      <c r="H97" s="48">
        <v>3584</v>
      </c>
      <c r="I97" s="48">
        <v>3629</v>
      </c>
      <c r="J97" s="48">
        <v>3477</v>
      </c>
      <c r="K97" s="48">
        <v>3571</v>
      </c>
      <c r="L97" s="48">
        <v>3642</v>
      </c>
      <c r="N97" s="84" t="s">
        <v>2898</v>
      </c>
      <c r="Q97"/>
    </row>
    <row r="98" spans="1:17">
      <c r="A98" s="96">
        <v>53</v>
      </c>
      <c r="B98" s="84" t="s">
        <v>8720</v>
      </c>
      <c r="C98" s="72" t="s">
        <v>13503</v>
      </c>
      <c r="D98" s="91">
        <v>0</v>
      </c>
      <c r="E98" s="91">
        <v>0</v>
      </c>
      <c r="F98" s="91">
        <v>0</v>
      </c>
      <c r="G98" s="91">
        <v>0</v>
      </c>
      <c r="H98" s="48">
        <v>2912</v>
      </c>
      <c r="I98" s="48">
        <v>3054</v>
      </c>
      <c r="J98" s="48">
        <v>3014</v>
      </c>
      <c r="K98" s="48">
        <v>3127</v>
      </c>
      <c r="L98" s="48">
        <v>3209</v>
      </c>
      <c r="N98" s="84" t="s">
        <v>2896</v>
      </c>
      <c r="Q98"/>
    </row>
    <row r="99" spans="1:17">
      <c r="A99" s="96">
        <v>54</v>
      </c>
      <c r="B99" s="84" t="s">
        <v>8721</v>
      </c>
      <c r="C99" s="72" t="s">
        <v>13504</v>
      </c>
      <c r="D99" s="91">
        <v>0</v>
      </c>
      <c r="E99" s="91">
        <v>0</v>
      </c>
      <c r="F99" s="91">
        <v>0</v>
      </c>
      <c r="G99" s="91">
        <v>0</v>
      </c>
      <c r="H99" s="48">
        <v>3214</v>
      </c>
      <c r="I99" s="48">
        <v>3240</v>
      </c>
      <c r="J99" s="48">
        <v>3086</v>
      </c>
      <c r="K99" s="48">
        <v>3206</v>
      </c>
      <c r="L99" s="48">
        <v>3300</v>
      </c>
      <c r="N99" s="84" t="s">
        <v>2897</v>
      </c>
      <c r="Q99"/>
    </row>
    <row r="100" spans="1:17">
      <c r="A100" s="96">
        <v>55</v>
      </c>
      <c r="B100" s="84" t="s">
        <v>8722</v>
      </c>
      <c r="C100" s="72" t="s">
        <v>13505</v>
      </c>
      <c r="D100" s="91">
        <v>0</v>
      </c>
      <c r="E100" s="91">
        <v>0</v>
      </c>
      <c r="F100" s="91">
        <v>0</v>
      </c>
      <c r="G100" s="91">
        <v>0</v>
      </c>
      <c r="H100" s="48">
        <v>3370</v>
      </c>
      <c r="I100" s="48">
        <v>3388</v>
      </c>
      <c r="J100" s="48">
        <v>3219</v>
      </c>
      <c r="K100" s="48">
        <v>3390</v>
      </c>
      <c r="L100" s="48">
        <v>3562</v>
      </c>
      <c r="N100" s="84" t="s">
        <v>2897</v>
      </c>
      <c r="Q100"/>
    </row>
    <row r="101" spans="1:17">
      <c r="A101" s="96">
        <v>56</v>
      </c>
      <c r="B101" s="84" t="s">
        <v>8723</v>
      </c>
      <c r="C101" s="72" t="s">
        <v>13506</v>
      </c>
      <c r="D101" s="91">
        <v>0</v>
      </c>
      <c r="E101" s="91">
        <v>0</v>
      </c>
      <c r="F101" s="91">
        <v>0</v>
      </c>
      <c r="G101" s="91">
        <v>0</v>
      </c>
      <c r="H101" s="48">
        <v>3416</v>
      </c>
      <c r="I101" s="48">
        <v>3548</v>
      </c>
      <c r="J101" s="48">
        <v>3447</v>
      </c>
      <c r="K101" s="48">
        <v>3608</v>
      </c>
      <c r="L101" s="48">
        <v>3739</v>
      </c>
      <c r="N101" s="84" t="s">
        <v>1174</v>
      </c>
      <c r="Q101"/>
    </row>
    <row r="102" spans="1:17">
      <c r="A102" s="96">
        <v>57</v>
      </c>
      <c r="B102" s="84" t="s">
        <v>13369</v>
      </c>
      <c r="C102" s="72" t="s">
        <v>13507</v>
      </c>
      <c r="D102" s="91">
        <v>0</v>
      </c>
      <c r="E102" s="91">
        <v>0</v>
      </c>
      <c r="F102" s="91">
        <v>0</v>
      </c>
      <c r="G102" s="91">
        <v>0</v>
      </c>
      <c r="H102" s="48">
        <v>3287</v>
      </c>
      <c r="I102" s="48">
        <v>3317</v>
      </c>
      <c r="J102" s="48">
        <v>3211</v>
      </c>
      <c r="K102" s="48">
        <v>3275</v>
      </c>
      <c r="L102" s="48">
        <v>3341</v>
      </c>
      <c r="N102" s="84" t="s">
        <v>2898</v>
      </c>
      <c r="Q102"/>
    </row>
    <row r="103" spans="1:17">
      <c r="A103" s="96">
        <v>58</v>
      </c>
      <c r="B103" s="84" t="s">
        <v>8724</v>
      </c>
      <c r="C103" s="72" t="s">
        <v>13508</v>
      </c>
      <c r="D103" s="91">
        <v>0</v>
      </c>
      <c r="E103" s="91">
        <v>0</v>
      </c>
      <c r="F103" s="91">
        <v>0</v>
      </c>
      <c r="G103" s="91">
        <v>0</v>
      </c>
      <c r="H103" s="48">
        <v>608</v>
      </c>
      <c r="I103" s="48">
        <v>635</v>
      </c>
      <c r="J103" s="48">
        <v>615</v>
      </c>
      <c r="K103" s="48">
        <v>632</v>
      </c>
      <c r="L103" s="48">
        <v>636</v>
      </c>
      <c r="N103" s="84" t="s">
        <v>2897</v>
      </c>
      <c r="Q103"/>
    </row>
    <row r="104" spans="1:17" ht="15.75" thickBot="1">
      <c r="A104" s="96"/>
      <c r="B104" s="84"/>
      <c r="C104" s="72" t="s">
        <v>13508</v>
      </c>
      <c r="D104" s="91">
        <v>0</v>
      </c>
      <c r="E104" s="91">
        <v>0</v>
      </c>
      <c r="F104" s="91">
        <v>0</v>
      </c>
      <c r="G104" s="91">
        <v>0</v>
      </c>
      <c r="H104" s="48">
        <v>3176</v>
      </c>
      <c r="I104" s="48">
        <v>3196</v>
      </c>
      <c r="J104" s="48">
        <v>3041</v>
      </c>
      <c r="K104" s="48">
        <v>3156</v>
      </c>
      <c r="L104" s="48">
        <v>3239</v>
      </c>
      <c r="N104" s="84" t="s">
        <v>2899</v>
      </c>
      <c r="Q104"/>
    </row>
    <row r="105" spans="1:17" ht="15.75" thickBot="1">
      <c r="A105" s="96"/>
      <c r="B105" s="84"/>
      <c r="C105" s="72" t="s">
        <v>13508</v>
      </c>
      <c r="D105" s="95">
        <f t="shared" ref="D105:G105" si="54">D103+D104</f>
        <v>0</v>
      </c>
      <c r="E105" s="95">
        <f t="shared" si="54"/>
        <v>0</v>
      </c>
      <c r="F105" s="95">
        <f t="shared" si="54"/>
        <v>0</v>
      </c>
      <c r="G105" s="95">
        <f t="shared" si="54"/>
        <v>0</v>
      </c>
      <c r="H105" s="95">
        <f>H103+H104</f>
        <v>3784</v>
      </c>
      <c r="I105" s="95">
        <f>I103+I104</f>
        <v>3831</v>
      </c>
      <c r="J105" s="95">
        <f>J103+J104</f>
        <v>3656</v>
      </c>
      <c r="K105" s="95">
        <f>K103+K104</f>
        <v>3788</v>
      </c>
      <c r="L105" s="95">
        <f>L103+L104</f>
        <v>3875</v>
      </c>
      <c r="N105" s="84"/>
      <c r="Q105"/>
    </row>
    <row r="106" spans="1:17">
      <c r="A106" s="96">
        <v>59</v>
      </c>
      <c r="B106" s="84" t="s">
        <v>8725</v>
      </c>
      <c r="C106" s="72" t="s">
        <v>13509</v>
      </c>
      <c r="D106" s="91">
        <v>0</v>
      </c>
      <c r="E106" s="91">
        <v>0</v>
      </c>
      <c r="F106" s="91">
        <v>0</v>
      </c>
      <c r="G106" s="91">
        <v>0</v>
      </c>
      <c r="H106" s="48">
        <v>3407</v>
      </c>
      <c r="I106" s="48">
        <v>3433</v>
      </c>
      <c r="J106" s="48">
        <v>3233</v>
      </c>
      <c r="K106" s="48">
        <v>3279</v>
      </c>
      <c r="L106" s="48">
        <v>3338</v>
      </c>
      <c r="N106" s="84" t="s">
        <v>2898</v>
      </c>
      <c r="Q106"/>
    </row>
    <row r="107" spans="1:17">
      <c r="A107" s="96">
        <v>60</v>
      </c>
      <c r="B107" s="84" t="s">
        <v>8726</v>
      </c>
      <c r="C107" s="72" t="s">
        <v>13510</v>
      </c>
      <c r="D107" s="91">
        <v>0</v>
      </c>
      <c r="E107" s="91">
        <v>0</v>
      </c>
      <c r="F107" s="91">
        <v>0</v>
      </c>
      <c r="G107" s="91">
        <v>0</v>
      </c>
      <c r="H107" s="48">
        <v>2525</v>
      </c>
      <c r="I107" s="48">
        <v>2708</v>
      </c>
      <c r="J107" s="48">
        <v>2534</v>
      </c>
      <c r="K107" s="48">
        <v>2778</v>
      </c>
      <c r="L107" s="48">
        <v>2922</v>
      </c>
      <c r="N107" s="84" t="s">
        <v>2897</v>
      </c>
      <c r="Q107"/>
    </row>
    <row r="108" spans="1:17">
      <c r="A108" s="96">
        <v>61</v>
      </c>
      <c r="B108" s="84" t="s">
        <v>8727</v>
      </c>
      <c r="C108" s="72" t="s">
        <v>13511</v>
      </c>
      <c r="D108" s="91">
        <v>0</v>
      </c>
      <c r="E108" s="91">
        <v>0</v>
      </c>
      <c r="F108" s="91">
        <v>0</v>
      </c>
      <c r="G108" s="91">
        <v>0</v>
      </c>
      <c r="H108" s="48">
        <v>2955</v>
      </c>
      <c r="I108" s="48">
        <v>3074</v>
      </c>
      <c r="J108" s="48">
        <v>2936</v>
      </c>
      <c r="K108" s="48">
        <v>3165</v>
      </c>
      <c r="L108" s="48">
        <v>3291</v>
      </c>
      <c r="N108" s="84" t="s">
        <v>2897</v>
      </c>
      <c r="Q108"/>
    </row>
    <row r="109" spans="1:17">
      <c r="A109" s="96">
        <v>62</v>
      </c>
      <c r="B109" s="84" t="s">
        <v>8728</v>
      </c>
      <c r="C109" s="72" t="s">
        <v>13512</v>
      </c>
      <c r="D109" s="91">
        <v>0</v>
      </c>
      <c r="E109" s="91">
        <v>0</v>
      </c>
      <c r="F109" s="91">
        <v>0</v>
      </c>
      <c r="G109" s="91">
        <v>0</v>
      </c>
      <c r="H109" s="48">
        <v>3122</v>
      </c>
      <c r="I109" s="48">
        <v>3162</v>
      </c>
      <c r="J109" s="48">
        <v>2902</v>
      </c>
      <c r="K109" s="48">
        <v>2984</v>
      </c>
      <c r="L109" s="48">
        <v>3076</v>
      </c>
      <c r="N109" s="84" t="s">
        <v>2897</v>
      </c>
      <c r="Q109"/>
    </row>
    <row r="110" spans="1:17">
      <c r="A110" s="96">
        <v>63</v>
      </c>
      <c r="B110" s="84" t="s">
        <v>8729</v>
      </c>
      <c r="C110" s="72" t="s">
        <v>13513</v>
      </c>
      <c r="D110" s="91">
        <v>0</v>
      </c>
      <c r="E110" s="91">
        <v>0</v>
      </c>
      <c r="F110" s="91">
        <v>0</v>
      </c>
      <c r="G110" s="91">
        <v>0</v>
      </c>
      <c r="H110" s="48">
        <v>2979</v>
      </c>
      <c r="I110" s="48">
        <v>2973</v>
      </c>
      <c r="J110" s="48">
        <v>2817</v>
      </c>
      <c r="K110" s="48">
        <v>2935</v>
      </c>
      <c r="L110" s="48">
        <v>3087</v>
      </c>
      <c r="N110" s="84" t="s">
        <v>2897</v>
      </c>
      <c r="Q110"/>
    </row>
    <row r="111" spans="1:17">
      <c r="A111" s="96">
        <v>64</v>
      </c>
      <c r="B111" s="84" t="s">
        <v>8730</v>
      </c>
      <c r="C111" s="72" t="s">
        <v>13514</v>
      </c>
      <c r="D111" s="91">
        <v>0</v>
      </c>
      <c r="E111" s="91">
        <v>0</v>
      </c>
      <c r="F111" s="91">
        <v>0</v>
      </c>
      <c r="G111" s="91">
        <v>0</v>
      </c>
      <c r="H111" s="48">
        <v>3036</v>
      </c>
      <c r="I111" s="48">
        <v>3072</v>
      </c>
      <c r="J111" s="48">
        <v>2956</v>
      </c>
      <c r="K111" s="48">
        <v>3093</v>
      </c>
      <c r="L111" s="48">
        <v>3114</v>
      </c>
      <c r="N111" s="84" t="s">
        <v>2897</v>
      </c>
      <c r="Q111"/>
    </row>
    <row r="112" spans="1:17">
      <c r="A112" s="96">
        <v>65</v>
      </c>
      <c r="B112" s="84" t="s">
        <v>8731</v>
      </c>
      <c r="C112" s="72" t="s">
        <v>13515</v>
      </c>
      <c r="D112" s="91">
        <v>0</v>
      </c>
      <c r="E112" s="91">
        <v>0</v>
      </c>
      <c r="F112" s="91">
        <v>0</v>
      </c>
      <c r="G112" s="91">
        <v>0</v>
      </c>
      <c r="H112" s="48">
        <v>3138</v>
      </c>
      <c r="I112" s="48">
        <v>3191</v>
      </c>
      <c r="J112" s="48">
        <v>3063</v>
      </c>
      <c r="K112" s="48">
        <v>3159</v>
      </c>
      <c r="L112" s="48">
        <v>3200</v>
      </c>
      <c r="N112" s="84" t="s">
        <v>8177</v>
      </c>
      <c r="Q112"/>
    </row>
    <row r="113" spans="1:17">
      <c r="A113" s="96">
        <v>66</v>
      </c>
      <c r="B113" s="98" t="s">
        <v>13370</v>
      </c>
      <c r="C113" s="72" t="s">
        <v>13516</v>
      </c>
      <c r="D113" s="91">
        <v>0</v>
      </c>
      <c r="E113" s="91">
        <v>0</v>
      </c>
      <c r="F113" s="91">
        <v>0</v>
      </c>
      <c r="G113" s="91">
        <v>0</v>
      </c>
      <c r="H113" s="48">
        <v>3097</v>
      </c>
      <c r="I113" s="48">
        <v>3146</v>
      </c>
      <c r="J113" s="48">
        <v>3016</v>
      </c>
      <c r="K113" s="48">
        <v>3152</v>
      </c>
      <c r="L113" s="48">
        <v>3236</v>
      </c>
      <c r="N113" s="98" t="s">
        <v>2897</v>
      </c>
      <c r="Q113"/>
    </row>
    <row r="114" spans="1:17">
      <c r="A114" s="96">
        <v>67</v>
      </c>
      <c r="B114" s="84" t="s">
        <v>8732</v>
      </c>
      <c r="C114" s="72" t="s">
        <v>13517</v>
      </c>
      <c r="D114" s="91">
        <v>0</v>
      </c>
      <c r="E114" s="91">
        <v>0</v>
      </c>
      <c r="F114" s="91">
        <v>0</v>
      </c>
      <c r="G114" s="91">
        <v>0</v>
      </c>
      <c r="H114" s="48">
        <v>3842</v>
      </c>
      <c r="I114" s="48">
        <v>4037</v>
      </c>
      <c r="J114" s="48">
        <v>3904</v>
      </c>
      <c r="K114" s="48">
        <v>4161</v>
      </c>
      <c r="L114" s="48">
        <v>4239</v>
      </c>
      <c r="N114" s="84" t="s">
        <v>2899</v>
      </c>
      <c r="Q114"/>
    </row>
    <row r="115" spans="1:17">
      <c r="A115" s="96">
        <v>68</v>
      </c>
      <c r="B115" s="84" t="s">
        <v>8740</v>
      </c>
      <c r="C115" s="72" t="s">
        <v>13518</v>
      </c>
      <c r="D115" s="91">
        <v>0</v>
      </c>
      <c r="E115" s="91">
        <v>0</v>
      </c>
      <c r="F115" s="91">
        <v>0</v>
      </c>
      <c r="G115" s="91">
        <v>0</v>
      </c>
      <c r="H115" s="48">
        <v>3386</v>
      </c>
      <c r="I115" s="48">
        <v>3565</v>
      </c>
      <c r="J115" s="48">
        <v>3239</v>
      </c>
      <c r="K115" s="48">
        <v>3291</v>
      </c>
      <c r="L115" s="48">
        <v>3497</v>
      </c>
      <c r="N115" s="84" t="s">
        <v>2899</v>
      </c>
      <c r="Q115"/>
    </row>
    <row r="116" spans="1:17">
      <c r="A116" s="96">
        <v>69</v>
      </c>
      <c r="B116" s="84" t="s">
        <v>13371</v>
      </c>
      <c r="C116" s="72" t="s">
        <v>13519</v>
      </c>
      <c r="D116" s="91">
        <v>0</v>
      </c>
      <c r="E116" s="91">
        <v>0</v>
      </c>
      <c r="F116" s="91">
        <v>0</v>
      </c>
      <c r="G116" s="91">
        <v>0</v>
      </c>
      <c r="H116" s="48">
        <v>3407</v>
      </c>
      <c r="I116" s="48">
        <v>3433</v>
      </c>
      <c r="J116" s="48">
        <v>3309</v>
      </c>
      <c r="K116" s="48">
        <v>3424</v>
      </c>
      <c r="L116" s="48">
        <v>3534</v>
      </c>
      <c r="N116" s="84" t="s">
        <v>2897</v>
      </c>
      <c r="Q116"/>
    </row>
    <row r="117" spans="1:17">
      <c r="A117" s="96">
        <v>70</v>
      </c>
      <c r="B117" s="84" t="s">
        <v>8741</v>
      </c>
      <c r="C117" s="72" t="s">
        <v>13520</v>
      </c>
      <c r="D117" s="91">
        <v>0</v>
      </c>
      <c r="E117" s="91">
        <v>0</v>
      </c>
      <c r="F117" s="91">
        <v>0</v>
      </c>
      <c r="G117" s="91">
        <v>0</v>
      </c>
      <c r="H117" s="48">
        <v>3037</v>
      </c>
      <c r="I117" s="48">
        <v>3158</v>
      </c>
      <c r="J117" s="48">
        <v>2903</v>
      </c>
      <c r="K117" s="48">
        <v>2980</v>
      </c>
      <c r="L117" s="48">
        <v>3101</v>
      </c>
      <c r="N117" s="84" t="s">
        <v>2898</v>
      </c>
      <c r="Q117"/>
    </row>
    <row r="118" spans="1:17">
      <c r="A118" s="96">
        <v>71</v>
      </c>
      <c r="B118" s="84" t="s">
        <v>8742</v>
      </c>
      <c r="C118" s="72" t="s">
        <v>13521</v>
      </c>
      <c r="D118" s="91">
        <v>0</v>
      </c>
      <c r="E118" s="91">
        <v>0</v>
      </c>
      <c r="F118" s="91">
        <v>0</v>
      </c>
      <c r="G118" s="91">
        <v>0</v>
      </c>
      <c r="H118" s="48">
        <v>3208</v>
      </c>
      <c r="I118" s="48">
        <v>3237</v>
      </c>
      <c r="J118" s="48">
        <v>2907</v>
      </c>
      <c r="K118" s="48">
        <v>3060</v>
      </c>
      <c r="L118" s="48">
        <v>3178</v>
      </c>
      <c r="N118" s="84" t="s">
        <v>2898</v>
      </c>
      <c r="Q118"/>
    </row>
    <row r="119" spans="1:17">
      <c r="A119" s="96">
        <v>72</v>
      </c>
      <c r="B119" s="84" t="s">
        <v>8743</v>
      </c>
      <c r="C119" s="72" t="s">
        <v>13522</v>
      </c>
      <c r="D119" s="91">
        <v>0</v>
      </c>
      <c r="E119" s="91">
        <v>0</v>
      </c>
      <c r="F119" s="91">
        <v>0</v>
      </c>
      <c r="G119" s="91">
        <v>0</v>
      </c>
      <c r="H119" s="48">
        <v>3042</v>
      </c>
      <c r="I119" s="48">
        <v>3090</v>
      </c>
      <c r="J119" s="48">
        <v>2938</v>
      </c>
      <c r="K119" s="48">
        <v>3030</v>
      </c>
      <c r="L119" s="48">
        <v>3064</v>
      </c>
      <c r="N119" s="84" t="s">
        <v>2898</v>
      </c>
      <c r="Q119"/>
    </row>
    <row r="120" spans="1:17">
      <c r="A120" s="96">
        <v>73</v>
      </c>
      <c r="B120" s="84" t="s">
        <v>8744</v>
      </c>
      <c r="C120" s="72" t="s">
        <v>13523</v>
      </c>
      <c r="D120" s="91">
        <v>0</v>
      </c>
      <c r="E120" s="91">
        <v>0</v>
      </c>
      <c r="F120" s="91">
        <v>0</v>
      </c>
      <c r="G120" s="91">
        <v>0</v>
      </c>
      <c r="H120" s="48">
        <v>3686</v>
      </c>
      <c r="I120" s="48">
        <v>3697</v>
      </c>
      <c r="J120" s="48">
        <v>3455</v>
      </c>
      <c r="K120" s="48">
        <v>3590</v>
      </c>
      <c r="L120" s="48">
        <v>3794</v>
      </c>
      <c r="N120" s="84" t="s">
        <v>2899</v>
      </c>
      <c r="Q120"/>
    </row>
    <row r="121" spans="1:17">
      <c r="A121" s="96">
        <v>74</v>
      </c>
      <c r="B121" s="84" t="s">
        <v>13372</v>
      </c>
      <c r="C121" s="72" t="s">
        <v>13524</v>
      </c>
      <c r="D121" s="91">
        <v>0</v>
      </c>
      <c r="E121" s="91">
        <v>0</v>
      </c>
      <c r="F121" s="91">
        <v>0</v>
      </c>
      <c r="G121" s="91">
        <v>0</v>
      </c>
      <c r="H121" s="48">
        <v>3015</v>
      </c>
      <c r="I121" s="48">
        <v>3100</v>
      </c>
      <c r="J121" s="48">
        <v>3001</v>
      </c>
      <c r="K121" s="48">
        <v>3219</v>
      </c>
      <c r="L121" s="48">
        <v>3329</v>
      </c>
      <c r="N121" s="84" t="s">
        <v>1174</v>
      </c>
      <c r="Q121"/>
    </row>
    <row r="122" spans="1:17">
      <c r="A122" s="96">
        <v>75</v>
      </c>
      <c r="B122" s="84" t="s">
        <v>13373</v>
      </c>
      <c r="C122" s="72" t="s">
        <v>13525</v>
      </c>
      <c r="D122" s="91">
        <v>0</v>
      </c>
      <c r="E122" s="91">
        <v>0</v>
      </c>
      <c r="F122" s="91">
        <v>0</v>
      </c>
      <c r="G122" s="91">
        <v>0</v>
      </c>
      <c r="H122" s="48">
        <v>3340</v>
      </c>
      <c r="I122" s="48">
        <v>3350</v>
      </c>
      <c r="J122" s="48">
        <v>3145</v>
      </c>
      <c r="K122" s="48">
        <v>3290</v>
      </c>
      <c r="L122" s="48">
        <v>3381</v>
      </c>
      <c r="N122" s="84" t="s">
        <v>2898</v>
      </c>
      <c r="Q122"/>
    </row>
    <row r="123" spans="1:17">
      <c r="A123" s="96">
        <v>76</v>
      </c>
      <c r="B123" s="84" t="s">
        <v>8745</v>
      </c>
      <c r="C123" s="72" t="s">
        <v>13526</v>
      </c>
      <c r="D123" s="91">
        <v>0</v>
      </c>
      <c r="E123" s="91">
        <v>0</v>
      </c>
      <c r="F123" s="91">
        <v>0</v>
      </c>
      <c r="G123" s="91">
        <v>0</v>
      </c>
      <c r="H123" s="48">
        <v>3475</v>
      </c>
      <c r="I123" s="48">
        <v>3555</v>
      </c>
      <c r="J123" s="48">
        <v>3458</v>
      </c>
      <c r="K123" s="48">
        <v>3636</v>
      </c>
      <c r="L123" s="48">
        <v>3675</v>
      </c>
      <c r="N123" s="84" t="s">
        <v>8177</v>
      </c>
      <c r="Q123"/>
    </row>
    <row r="124" spans="1:17">
      <c r="A124" s="96">
        <v>77</v>
      </c>
      <c r="B124" s="84" t="s">
        <v>13374</v>
      </c>
      <c r="C124" s="72" t="s">
        <v>13527</v>
      </c>
      <c r="D124" s="91">
        <v>0</v>
      </c>
      <c r="E124" s="91">
        <v>0</v>
      </c>
      <c r="F124" s="91">
        <v>0</v>
      </c>
      <c r="G124" s="91">
        <v>0</v>
      </c>
      <c r="H124" s="48">
        <v>566</v>
      </c>
      <c r="I124" s="48">
        <v>583</v>
      </c>
      <c r="J124" s="48">
        <v>588</v>
      </c>
      <c r="K124" s="48">
        <v>619</v>
      </c>
      <c r="L124" s="48">
        <v>642</v>
      </c>
      <c r="N124" s="84" t="s">
        <v>2897</v>
      </c>
      <c r="Q124"/>
    </row>
    <row r="125" spans="1:17" ht="15.75" thickBot="1">
      <c r="A125" s="72"/>
      <c r="B125" s="84"/>
      <c r="C125" s="72" t="s">
        <v>13527</v>
      </c>
      <c r="D125" s="91">
        <v>0</v>
      </c>
      <c r="E125" s="91">
        <v>0</v>
      </c>
      <c r="F125" s="91">
        <v>0</v>
      </c>
      <c r="G125" s="91">
        <v>0</v>
      </c>
      <c r="H125" s="48">
        <v>2672</v>
      </c>
      <c r="I125" s="48">
        <v>2681</v>
      </c>
      <c r="J125" s="48">
        <v>2548</v>
      </c>
      <c r="K125" s="48">
        <v>2603</v>
      </c>
      <c r="L125" s="48">
        <v>2677</v>
      </c>
      <c r="N125" s="84" t="s">
        <v>2899</v>
      </c>
      <c r="Q125"/>
    </row>
    <row r="126" spans="1:17" ht="15.75" thickBot="1">
      <c r="A126" s="96"/>
      <c r="B126" s="84"/>
      <c r="C126" s="72" t="s">
        <v>13527</v>
      </c>
      <c r="D126" s="95">
        <f t="shared" ref="D126:G126" si="55">D124+D125</f>
        <v>0</v>
      </c>
      <c r="E126" s="95">
        <f t="shared" si="55"/>
        <v>0</v>
      </c>
      <c r="F126" s="95">
        <f t="shared" si="55"/>
        <v>0</v>
      </c>
      <c r="G126" s="95">
        <f t="shared" si="55"/>
        <v>0</v>
      </c>
      <c r="H126" s="95">
        <f>H124+H125</f>
        <v>3238</v>
      </c>
      <c r="I126" s="95">
        <f>I124+I125</f>
        <v>3264</v>
      </c>
      <c r="J126" s="95">
        <f>J124+J125</f>
        <v>3136</v>
      </c>
      <c r="K126" s="95">
        <f>K124+K125</f>
        <v>3222</v>
      </c>
      <c r="L126" s="95">
        <f>L124+L125</f>
        <v>3319</v>
      </c>
      <c r="N126" s="84"/>
      <c r="Q126"/>
    </row>
    <row r="127" spans="1:17">
      <c r="A127" s="96">
        <v>78</v>
      </c>
      <c r="B127" s="84" t="s">
        <v>13375</v>
      </c>
      <c r="C127" s="72" t="s">
        <v>13528</v>
      </c>
      <c r="D127" s="91">
        <v>0</v>
      </c>
      <c r="E127" s="91">
        <v>0</v>
      </c>
      <c r="F127" s="91">
        <v>0</v>
      </c>
      <c r="G127" s="91">
        <v>0</v>
      </c>
      <c r="H127" s="48">
        <v>3616</v>
      </c>
      <c r="I127" s="48">
        <v>3715</v>
      </c>
      <c r="J127" s="48">
        <v>3631</v>
      </c>
      <c r="K127" s="48">
        <v>3769</v>
      </c>
      <c r="L127" s="48">
        <v>3794</v>
      </c>
      <c r="N127" s="84" t="s">
        <v>2896</v>
      </c>
      <c r="Q127"/>
    </row>
    <row r="128" spans="1:17">
      <c r="A128" s="96">
        <v>79</v>
      </c>
      <c r="B128" s="84" t="s">
        <v>8746</v>
      </c>
      <c r="C128" s="72" t="s">
        <v>13529</v>
      </c>
      <c r="D128" s="91">
        <v>0</v>
      </c>
      <c r="E128" s="91">
        <v>0</v>
      </c>
      <c r="F128" s="91">
        <v>0</v>
      </c>
      <c r="G128" s="91">
        <v>0</v>
      </c>
      <c r="H128" s="48">
        <v>2997</v>
      </c>
      <c r="I128" s="48">
        <v>3020</v>
      </c>
      <c r="J128" s="48">
        <v>2792</v>
      </c>
      <c r="K128" s="48">
        <v>2900</v>
      </c>
      <c r="L128" s="48">
        <v>2997</v>
      </c>
      <c r="N128" s="84" t="s">
        <v>1174</v>
      </c>
      <c r="Q128"/>
    </row>
    <row r="129" spans="1:17">
      <c r="A129" s="96">
        <v>80</v>
      </c>
      <c r="B129" s="84" t="s">
        <v>8850</v>
      </c>
      <c r="C129" s="72" t="s">
        <v>13530</v>
      </c>
      <c r="D129" s="91">
        <v>0</v>
      </c>
      <c r="E129" s="91">
        <v>0</v>
      </c>
      <c r="F129" s="91">
        <v>0</v>
      </c>
      <c r="G129" s="91">
        <v>0</v>
      </c>
      <c r="H129" s="48">
        <v>4345</v>
      </c>
      <c r="I129" s="48">
        <v>4485</v>
      </c>
      <c r="J129" s="48">
        <v>4210</v>
      </c>
      <c r="K129" s="48">
        <v>4512</v>
      </c>
      <c r="L129" s="48">
        <v>4694</v>
      </c>
      <c r="N129" s="84" t="s">
        <v>1174</v>
      </c>
      <c r="Q129"/>
    </row>
    <row r="130" spans="1:17">
      <c r="A130" s="96">
        <v>81</v>
      </c>
      <c r="B130" s="84" t="s">
        <v>8851</v>
      </c>
      <c r="C130" s="72" t="s">
        <v>13531</v>
      </c>
      <c r="D130" s="91">
        <v>0</v>
      </c>
      <c r="E130" s="91">
        <v>0</v>
      </c>
      <c r="F130" s="91">
        <v>0</v>
      </c>
      <c r="G130" s="91">
        <v>0</v>
      </c>
      <c r="H130" s="48">
        <v>2955</v>
      </c>
      <c r="I130" s="48">
        <v>3032</v>
      </c>
      <c r="J130" s="48">
        <v>2893</v>
      </c>
      <c r="K130" s="48">
        <v>3015</v>
      </c>
      <c r="L130" s="48">
        <v>3146</v>
      </c>
      <c r="N130" s="84" t="s">
        <v>1174</v>
      </c>
      <c r="Q130"/>
    </row>
    <row r="131" spans="1:17">
      <c r="A131" s="96">
        <v>82</v>
      </c>
      <c r="B131" s="84" t="s">
        <v>8852</v>
      </c>
      <c r="C131" s="72" t="s">
        <v>13532</v>
      </c>
      <c r="D131" s="91">
        <v>0</v>
      </c>
      <c r="E131" s="91">
        <v>0</v>
      </c>
      <c r="F131" s="91">
        <v>0</v>
      </c>
      <c r="G131" s="91">
        <v>0</v>
      </c>
      <c r="H131" s="48">
        <v>2771</v>
      </c>
      <c r="I131" s="48">
        <v>2908</v>
      </c>
      <c r="J131" s="48">
        <v>2831</v>
      </c>
      <c r="K131" s="48">
        <v>2977</v>
      </c>
      <c r="L131" s="48">
        <v>3089</v>
      </c>
      <c r="N131" s="84" t="s">
        <v>2897</v>
      </c>
      <c r="Q131"/>
    </row>
    <row r="132" spans="1:17">
      <c r="A132" s="96">
        <v>83</v>
      </c>
      <c r="B132" s="84" t="s">
        <v>8853</v>
      </c>
      <c r="C132" s="72" t="s">
        <v>13533</v>
      </c>
      <c r="D132" s="91">
        <v>0</v>
      </c>
      <c r="E132" s="91">
        <v>0</v>
      </c>
      <c r="F132" s="91">
        <v>0</v>
      </c>
      <c r="G132" s="91">
        <v>0</v>
      </c>
      <c r="H132" s="48">
        <v>61</v>
      </c>
      <c r="I132" s="48">
        <v>63</v>
      </c>
      <c r="J132" s="48">
        <v>61</v>
      </c>
      <c r="K132" s="48">
        <v>62</v>
      </c>
      <c r="L132" s="48">
        <v>61</v>
      </c>
      <c r="N132" s="84" t="s">
        <v>2897</v>
      </c>
      <c r="Q132"/>
    </row>
    <row r="133" spans="1:17" ht="15.75" thickBot="1">
      <c r="A133" s="72"/>
      <c r="B133" s="84"/>
      <c r="C133" s="72" t="s">
        <v>13533</v>
      </c>
      <c r="D133" s="91">
        <v>0</v>
      </c>
      <c r="E133" s="91">
        <v>0</v>
      </c>
      <c r="F133" s="91">
        <v>0</v>
      </c>
      <c r="G133" s="91">
        <v>0</v>
      </c>
      <c r="H133" s="48">
        <v>2844</v>
      </c>
      <c r="I133" s="48">
        <v>2864</v>
      </c>
      <c r="J133" s="48">
        <v>2703</v>
      </c>
      <c r="K133" s="48">
        <v>2729</v>
      </c>
      <c r="L133" s="48">
        <v>2787</v>
      </c>
      <c r="N133" s="84" t="s">
        <v>2899</v>
      </c>
      <c r="Q133"/>
    </row>
    <row r="134" spans="1:17" ht="15.75" thickBot="1">
      <c r="A134" s="96"/>
      <c r="B134" s="84"/>
      <c r="C134" s="72" t="s">
        <v>13533</v>
      </c>
      <c r="D134" s="95">
        <f t="shared" ref="D134:G134" si="56">D132+D133</f>
        <v>0</v>
      </c>
      <c r="E134" s="95">
        <f t="shared" si="56"/>
        <v>0</v>
      </c>
      <c r="F134" s="95">
        <f t="shared" si="56"/>
        <v>0</v>
      </c>
      <c r="G134" s="95">
        <f t="shared" si="56"/>
        <v>0</v>
      </c>
      <c r="H134" s="95">
        <f>H132+H133</f>
        <v>2905</v>
      </c>
      <c r="I134" s="95">
        <f>I132+I133</f>
        <v>2927</v>
      </c>
      <c r="J134" s="95">
        <f>J132+J133</f>
        <v>2764</v>
      </c>
      <c r="K134" s="95">
        <f>K132+K133</f>
        <v>2791</v>
      </c>
      <c r="L134" s="95">
        <f>L132+L133</f>
        <v>2848</v>
      </c>
      <c r="N134" s="84"/>
      <c r="Q134"/>
    </row>
    <row r="135" spans="1:17">
      <c r="A135" s="96">
        <v>84</v>
      </c>
      <c r="B135" s="84" t="s">
        <v>8854</v>
      </c>
      <c r="C135" s="72" t="s">
        <v>13534</v>
      </c>
      <c r="D135" s="91">
        <v>0</v>
      </c>
      <c r="E135" s="91">
        <v>0</v>
      </c>
      <c r="F135" s="91">
        <v>0</v>
      </c>
      <c r="G135" s="91">
        <v>0</v>
      </c>
      <c r="H135" s="48">
        <v>428</v>
      </c>
      <c r="I135" s="48">
        <v>433</v>
      </c>
      <c r="J135" s="48">
        <v>418</v>
      </c>
      <c r="K135" s="48">
        <v>441</v>
      </c>
      <c r="L135" s="48">
        <v>469</v>
      </c>
      <c r="N135" s="84" t="s">
        <v>1174</v>
      </c>
      <c r="Q135"/>
    </row>
    <row r="136" spans="1:17" ht="15.75" thickBot="1">
      <c r="A136" s="96"/>
      <c r="B136" s="84"/>
      <c r="C136" s="72" t="s">
        <v>13534</v>
      </c>
      <c r="D136" s="91">
        <v>0</v>
      </c>
      <c r="E136" s="91">
        <v>0</v>
      </c>
      <c r="F136" s="91">
        <v>0</v>
      </c>
      <c r="G136" s="91">
        <v>0</v>
      </c>
      <c r="H136" s="48">
        <v>3206</v>
      </c>
      <c r="I136" s="48">
        <v>3227</v>
      </c>
      <c r="J136" s="48">
        <v>3092</v>
      </c>
      <c r="K136" s="48">
        <v>3218</v>
      </c>
      <c r="L136" s="48">
        <v>3258</v>
      </c>
      <c r="N136" s="84" t="s">
        <v>2899</v>
      </c>
      <c r="Q136"/>
    </row>
    <row r="137" spans="1:17" ht="15.75" thickBot="1">
      <c r="A137" s="96"/>
      <c r="B137" s="84"/>
      <c r="C137" s="72" t="s">
        <v>13534</v>
      </c>
      <c r="D137" s="95">
        <f t="shared" ref="D137:G137" si="57">D135+D136</f>
        <v>0</v>
      </c>
      <c r="E137" s="95">
        <f t="shared" si="57"/>
        <v>0</v>
      </c>
      <c r="F137" s="95">
        <f t="shared" si="57"/>
        <v>0</v>
      </c>
      <c r="G137" s="95">
        <f t="shared" si="57"/>
        <v>0</v>
      </c>
      <c r="H137" s="95">
        <f>H135+H136</f>
        <v>3634</v>
      </c>
      <c r="I137" s="95">
        <f>I135+I136</f>
        <v>3660</v>
      </c>
      <c r="J137" s="95">
        <f>J135+J136</f>
        <v>3510</v>
      </c>
      <c r="K137" s="95">
        <f>K135+K136</f>
        <v>3659</v>
      </c>
      <c r="L137" s="95">
        <f>L135+L136</f>
        <v>3727</v>
      </c>
      <c r="N137" s="84"/>
      <c r="Q137"/>
    </row>
    <row r="138" spans="1:17">
      <c r="A138" s="96">
        <v>85</v>
      </c>
      <c r="B138" s="84" t="s">
        <v>8855</v>
      </c>
      <c r="C138" s="72" t="s">
        <v>13535</v>
      </c>
      <c r="D138" s="91">
        <v>0</v>
      </c>
      <c r="E138" s="91">
        <v>0</v>
      </c>
      <c r="F138" s="91">
        <v>0</v>
      </c>
      <c r="G138" s="91">
        <v>0</v>
      </c>
      <c r="H138" s="48">
        <v>3600</v>
      </c>
      <c r="I138" s="48">
        <v>3711</v>
      </c>
      <c r="J138" s="48">
        <v>3608</v>
      </c>
      <c r="K138" s="48">
        <v>3665</v>
      </c>
      <c r="L138" s="48">
        <v>3764</v>
      </c>
      <c r="N138" s="84" t="s">
        <v>2897</v>
      </c>
      <c r="Q138"/>
    </row>
    <row r="139" spans="1:17">
      <c r="A139" s="96">
        <v>86</v>
      </c>
      <c r="B139" s="84" t="s">
        <v>8856</v>
      </c>
      <c r="C139" s="72" t="s">
        <v>13536</v>
      </c>
      <c r="D139" s="91">
        <v>0</v>
      </c>
      <c r="E139" s="91">
        <v>0</v>
      </c>
      <c r="F139" s="91">
        <v>0</v>
      </c>
      <c r="G139" s="91">
        <v>0</v>
      </c>
      <c r="H139" s="48">
        <v>3681</v>
      </c>
      <c r="I139" s="48">
        <v>3677</v>
      </c>
      <c r="J139" s="48">
        <v>3499</v>
      </c>
      <c r="K139" s="48">
        <v>3610</v>
      </c>
      <c r="L139" s="48">
        <v>3659</v>
      </c>
      <c r="N139" s="84" t="s">
        <v>2897</v>
      </c>
      <c r="Q139"/>
    </row>
    <row r="140" spans="1:17">
      <c r="A140" s="96">
        <v>87</v>
      </c>
      <c r="B140" s="84" t="s">
        <v>8857</v>
      </c>
      <c r="C140" s="72" t="s">
        <v>13537</v>
      </c>
      <c r="D140" s="91">
        <v>0</v>
      </c>
      <c r="E140" s="91">
        <v>0</v>
      </c>
      <c r="F140" s="91">
        <v>0</v>
      </c>
      <c r="G140" s="91">
        <v>0</v>
      </c>
      <c r="H140" s="48">
        <v>3344</v>
      </c>
      <c r="I140" s="48">
        <v>3295</v>
      </c>
      <c r="J140" s="48">
        <v>3055</v>
      </c>
      <c r="K140" s="48">
        <v>3086</v>
      </c>
      <c r="L140" s="48">
        <v>3220</v>
      </c>
      <c r="N140" s="84" t="s">
        <v>2897</v>
      </c>
      <c r="Q140"/>
    </row>
    <row r="141" spans="1:17">
      <c r="A141" s="96">
        <v>88</v>
      </c>
      <c r="B141" s="84" t="s">
        <v>8858</v>
      </c>
      <c r="C141" s="72" t="s">
        <v>13538</v>
      </c>
      <c r="D141" s="91">
        <v>0</v>
      </c>
      <c r="E141" s="91">
        <v>0</v>
      </c>
      <c r="F141" s="91">
        <v>0</v>
      </c>
      <c r="G141" s="91">
        <v>0</v>
      </c>
      <c r="H141" s="48">
        <v>3326</v>
      </c>
      <c r="I141" s="48">
        <v>3377</v>
      </c>
      <c r="J141" s="48">
        <v>3256</v>
      </c>
      <c r="K141" s="48">
        <v>3309</v>
      </c>
      <c r="L141" s="48">
        <v>3376</v>
      </c>
      <c r="N141" s="84" t="s">
        <v>2897</v>
      </c>
      <c r="Q141"/>
    </row>
    <row r="142" spans="1:17">
      <c r="A142" s="96">
        <v>89</v>
      </c>
      <c r="B142" s="84" t="s">
        <v>13380</v>
      </c>
      <c r="C142" s="72" t="s">
        <v>13539</v>
      </c>
      <c r="D142" s="91">
        <v>0</v>
      </c>
      <c r="E142" s="91">
        <v>0</v>
      </c>
      <c r="F142" s="91">
        <v>0</v>
      </c>
      <c r="G142" s="91">
        <v>0</v>
      </c>
      <c r="H142" s="48">
        <v>3137</v>
      </c>
      <c r="I142" s="48">
        <v>3196</v>
      </c>
      <c r="J142" s="48">
        <v>2986</v>
      </c>
      <c r="K142" s="48">
        <v>3018</v>
      </c>
      <c r="L142" s="48">
        <v>3105</v>
      </c>
      <c r="N142" s="84" t="s">
        <v>2897</v>
      </c>
      <c r="Q142"/>
    </row>
    <row r="143" spans="1:17">
      <c r="A143" s="96">
        <v>90</v>
      </c>
      <c r="B143" s="84" t="s">
        <v>8860</v>
      </c>
      <c r="C143" s="72" t="s">
        <v>13540</v>
      </c>
      <c r="D143" s="91">
        <v>0</v>
      </c>
      <c r="E143" s="91">
        <v>0</v>
      </c>
      <c r="F143" s="91">
        <v>0</v>
      </c>
      <c r="G143" s="91">
        <v>0</v>
      </c>
      <c r="H143" s="48">
        <v>3610</v>
      </c>
      <c r="I143" s="48">
        <v>3668</v>
      </c>
      <c r="J143" s="48">
        <v>3424</v>
      </c>
      <c r="K143" s="48">
        <v>3496</v>
      </c>
      <c r="L143" s="48">
        <v>3633</v>
      </c>
      <c r="N143" s="84" t="s">
        <v>2898</v>
      </c>
      <c r="Q143"/>
    </row>
    <row r="144" spans="1:17">
      <c r="A144" s="96">
        <v>91</v>
      </c>
      <c r="B144" s="84" t="s">
        <v>8859</v>
      </c>
      <c r="C144" s="72" t="s">
        <v>13541</v>
      </c>
      <c r="D144" s="91">
        <v>0</v>
      </c>
      <c r="E144" s="91">
        <v>0</v>
      </c>
      <c r="F144" s="91">
        <v>0</v>
      </c>
      <c r="G144" s="91">
        <v>0</v>
      </c>
      <c r="H144" s="48">
        <v>3361</v>
      </c>
      <c r="I144" s="48">
        <v>3511</v>
      </c>
      <c r="J144" s="48">
        <v>3401</v>
      </c>
      <c r="K144" s="48">
        <v>3580</v>
      </c>
      <c r="L144" s="48">
        <v>3665</v>
      </c>
      <c r="N144" s="84" t="s">
        <v>2896</v>
      </c>
      <c r="Q144"/>
    </row>
    <row r="145" spans="1:17">
      <c r="A145" s="96">
        <v>92</v>
      </c>
      <c r="B145" s="84" t="s">
        <v>13381</v>
      </c>
      <c r="C145" s="72" t="s">
        <v>13542</v>
      </c>
      <c r="D145" s="91">
        <v>0</v>
      </c>
      <c r="E145" s="91">
        <v>0</v>
      </c>
      <c r="F145" s="91">
        <v>0</v>
      </c>
      <c r="G145" s="91">
        <v>0</v>
      </c>
      <c r="H145" s="48">
        <v>3636</v>
      </c>
      <c r="I145" s="48">
        <v>3693</v>
      </c>
      <c r="J145" s="48">
        <v>3432</v>
      </c>
      <c r="K145" s="48">
        <v>3537</v>
      </c>
      <c r="L145" s="48">
        <v>3715</v>
      </c>
      <c r="N145" s="84" t="s">
        <v>2897</v>
      </c>
      <c r="Q145"/>
    </row>
    <row r="146" spans="1:17">
      <c r="A146" s="96">
        <v>93</v>
      </c>
      <c r="B146" s="84" t="s">
        <v>13382</v>
      </c>
      <c r="C146" s="72" t="s">
        <v>13543</v>
      </c>
      <c r="D146" s="91">
        <v>0</v>
      </c>
      <c r="E146" s="91">
        <v>0</v>
      </c>
      <c r="F146" s="91">
        <v>0</v>
      </c>
      <c r="G146" s="91">
        <v>0</v>
      </c>
      <c r="H146" s="48">
        <v>3145</v>
      </c>
      <c r="I146" s="48">
        <v>3215</v>
      </c>
      <c r="J146" s="48">
        <v>3112</v>
      </c>
      <c r="K146" s="48">
        <v>3261</v>
      </c>
      <c r="L146" s="48">
        <v>3332</v>
      </c>
      <c r="N146" s="84" t="s">
        <v>2897</v>
      </c>
      <c r="Q146"/>
    </row>
    <row r="147" spans="1:17">
      <c r="A147" s="96">
        <v>94</v>
      </c>
      <c r="B147" s="84" t="s">
        <v>13383</v>
      </c>
      <c r="C147" s="72" t="s">
        <v>13544</v>
      </c>
      <c r="D147" s="91">
        <v>0</v>
      </c>
      <c r="E147" s="91">
        <v>0</v>
      </c>
      <c r="F147" s="91">
        <v>0</v>
      </c>
      <c r="G147" s="91">
        <v>0</v>
      </c>
      <c r="H147" s="48">
        <v>3403</v>
      </c>
      <c r="I147" s="48">
        <v>3453</v>
      </c>
      <c r="J147" s="48">
        <v>3323</v>
      </c>
      <c r="K147" s="48">
        <v>3442</v>
      </c>
      <c r="L147" s="48">
        <v>3487</v>
      </c>
      <c r="N147" s="84" t="s">
        <v>2896</v>
      </c>
      <c r="Q147"/>
    </row>
    <row r="148" spans="1:17">
      <c r="A148" s="96">
        <v>95</v>
      </c>
      <c r="B148" s="84" t="s">
        <v>7877</v>
      </c>
      <c r="C148" s="72" t="s">
        <v>13545</v>
      </c>
      <c r="D148" s="91">
        <v>0</v>
      </c>
      <c r="E148" s="91">
        <v>0</v>
      </c>
      <c r="F148" s="91">
        <v>0</v>
      </c>
      <c r="G148" s="91">
        <v>0</v>
      </c>
      <c r="H148" s="48">
        <v>3274</v>
      </c>
      <c r="I148" s="48">
        <v>3385</v>
      </c>
      <c r="J148" s="48">
        <v>3236</v>
      </c>
      <c r="K148" s="48">
        <v>3460</v>
      </c>
      <c r="L148" s="48">
        <v>3577</v>
      </c>
      <c r="N148" s="84" t="s">
        <v>2897</v>
      </c>
      <c r="Q148"/>
    </row>
    <row r="149" spans="1:17">
      <c r="A149" s="96">
        <v>96</v>
      </c>
      <c r="B149" s="84" t="s">
        <v>13384</v>
      </c>
      <c r="C149" s="72" t="s">
        <v>13546</v>
      </c>
      <c r="D149" s="91">
        <v>0</v>
      </c>
      <c r="E149" s="91">
        <v>0</v>
      </c>
      <c r="F149" s="91">
        <v>0</v>
      </c>
      <c r="G149" s="91">
        <v>0</v>
      </c>
      <c r="H149" s="48">
        <v>3426</v>
      </c>
      <c r="I149" s="48">
        <v>3449</v>
      </c>
      <c r="J149" s="48">
        <v>3290</v>
      </c>
      <c r="K149" s="48">
        <v>3391</v>
      </c>
      <c r="L149" s="48">
        <v>3488</v>
      </c>
      <c r="N149" s="84" t="s">
        <v>2896</v>
      </c>
      <c r="Q149"/>
    </row>
    <row r="150" spans="1:17">
      <c r="A150" s="96">
        <v>97</v>
      </c>
      <c r="B150" s="84" t="s">
        <v>13385</v>
      </c>
      <c r="C150" s="72" t="s">
        <v>13547</v>
      </c>
      <c r="D150" s="91">
        <v>0</v>
      </c>
      <c r="E150" s="91">
        <v>0</v>
      </c>
      <c r="F150" s="91">
        <v>0</v>
      </c>
      <c r="G150" s="91">
        <v>0</v>
      </c>
      <c r="H150" s="48">
        <v>3405</v>
      </c>
      <c r="I150" s="48">
        <v>3457</v>
      </c>
      <c r="J150" s="48">
        <v>3305</v>
      </c>
      <c r="K150" s="48">
        <v>3487</v>
      </c>
      <c r="L150" s="48">
        <v>3582</v>
      </c>
      <c r="N150" s="84" t="s">
        <v>8177</v>
      </c>
      <c r="Q150"/>
    </row>
    <row r="151" spans="1:17">
      <c r="A151" s="96">
        <v>98</v>
      </c>
      <c r="B151" s="84" t="s">
        <v>4375</v>
      </c>
      <c r="C151" s="72" t="s">
        <v>13548</v>
      </c>
      <c r="D151" s="91">
        <v>0</v>
      </c>
      <c r="E151" s="91">
        <v>0</v>
      </c>
      <c r="F151" s="91">
        <v>0</v>
      </c>
      <c r="G151" s="91">
        <v>0</v>
      </c>
      <c r="H151" s="48">
        <v>2906</v>
      </c>
      <c r="I151" s="48">
        <v>2941</v>
      </c>
      <c r="J151" s="48">
        <v>2668</v>
      </c>
      <c r="K151" s="48">
        <v>2692</v>
      </c>
      <c r="L151" s="48">
        <v>2722</v>
      </c>
      <c r="N151" s="84" t="s">
        <v>2898</v>
      </c>
      <c r="Q151"/>
    </row>
    <row r="152" spans="1:17">
      <c r="A152" s="96">
        <v>99</v>
      </c>
      <c r="B152" s="84" t="s">
        <v>4377</v>
      </c>
      <c r="C152" s="72" t="s">
        <v>13549</v>
      </c>
      <c r="D152" s="91">
        <v>0</v>
      </c>
      <c r="E152" s="91">
        <v>0</v>
      </c>
      <c r="F152" s="91">
        <v>0</v>
      </c>
      <c r="G152" s="91">
        <v>0</v>
      </c>
      <c r="H152" s="48">
        <v>3118</v>
      </c>
      <c r="I152" s="48">
        <v>3180</v>
      </c>
      <c r="J152" s="48">
        <v>3011</v>
      </c>
      <c r="K152" s="48">
        <v>3131</v>
      </c>
      <c r="L152" s="48">
        <v>3190</v>
      </c>
      <c r="N152" s="84" t="s">
        <v>2898</v>
      </c>
      <c r="Q152"/>
    </row>
    <row r="153" spans="1:17">
      <c r="A153" s="96">
        <v>100</v>
      </c>
      <c r="B153" s="84" t="s">
        <v>13386</v>
      </c>
      <c r="C153" s="72" t="s">
        <v>13550</v>
      </c>
      <c r="D153" s="91">
        <v>0</v>
      </c>
      <c r="E153" s="91">
        <v>0</v>
      </c>
      <c r="F153" s="91">
        <v>0</v>
      </c>
      <c r="G153" s="91">
        <v>0</v>
      </c>
      <c r="H153" s="48">
        <v>3742</v>
      </c>
      <c r="I153" s="48">
        <v>3760</v>
      </c>
      <c r="J153" s="48">
        <v>3591</v>
      </c>
      <c r="K153" s="48">
        <v>3692</v>
      </c>
      <c r="L153" s="48">
        <v>3781</v>
      </c>
      <c r="N153" s="84" t="s">
        <v>2898</v>
      </c>
      <c r="Q153"/>
    </row>
    <row r="154" spans="1:17">
      <c r="A154" s="96">
        <v>101</v>
      </c>
      <c r="B154" s="84" t="s">
        <v>7878</v>
      </c>
      <c r="C154" s="72" t="s">
        <v>13551</v>
      </c>
      <c r="D154" s="91">
        <v>0</v>
      </c>
      <c r="E154" s="91">
        <v>0</v>
      </c>
      <c r="F154" s="91">
        <v>0</v>
      </c>
      <c r="G154" s="91">
        <v>0</v>
      </c>
      <c r="H154" s="48">
        <v>506</v>
      </c>
      <c r="I154" s="48">
        <v>502</v>
      </c>
      <c r="J154" s="48">
        <v>503</v>
      </c>
      <c r="K154" s="48">
        <v>521</v>
      </c>
      <c r="L154" s="48">
        <v>518</v>
      </c>
      <c r="N154" s="84" t="s">
        <v>1174</v>
      </c>
    </row>
    <row r="155" spans="1:17" ht="15.75" thickBot="1">
      <c r="A155" s="72"/>
      <c r="B155" s="84"/>
      <c r="C155" s="72" t="s">
        <v>13551</v>
      </c>
      <c r="D155" s="91">
        <v>0</v>
      </c>
      <c r="E155" s="91">
        <v>0</v>
      </c>
      <c r="F155" s="91">
        <v>0</v>
      </c>
      <c r="G155" s="91">
        <v>0</v>
      </c>
      <c r="H155" s="48">
        <v>3516</v>
      </c>
      <c r="I155" s="48">
        <v>3507</v>
      </c>
      <c r="J155" s="48">
        <v>3344</v>
      </c>
      <c r="K155" s="48">
        <v>3421</v>
      </c>
      <c r="L155" s="48">
        <v>3515</v>
      </c>
      <c r="N155" s="84" t="s">
        <v>2898</v>
      </c>
    </row>
    <row r="156" spans="1:17" ht="15.75" thickBot="1">
      <c r="A156" s="96"/>
      <c r="B156" s="84"/>
      <c r="C156" s="72" t="s">
        <v>13551</v>
      </c>
      <c r="D156" s="95">
        <f t="shared" ref="D156:G156" si="58">D154+D155</f>
        <v>0</v>
      </c>
      <c r="E156" s="95">
        <f t="shared" si="58"/>
        <v>0</v>
      </c>
      <c r="F156" s="95">
        <f t="shared" si="58"/>
        <v>0</v>
      </c>
      <c r="G156" s="95">
        <f t="shared" si="58"/>
        <v>0</v>
      </c>
      <c r="H156" s="95">
        <f>H154+H155</f>
        <v>4022</v>
      </c>
      <c r="I156" s="95">
        <f>I154+I155</f>
        <v>4009</v>
      </c>
      <c r="J156" s="95">
        <f>J154+J155</f>
        <v>3847</v>
      </c>
      <c r="K156" s="95">
        <f>K154+K155</f>
        <v>3942</v>
      </c>
      <c r="L156" s="95">
        <f>L154+L155</f>
        <v>4033</v>
      </c>
      <c r="N156" s="84"/>
    </row>
    <row r="157" spans="1:17">
      <c r="A157" s="96">
        <v>102</v>
      </c>
      <c r="B157" s="84" t="s">
        <v>13387</v>
      </c>
      <c r="C157" s="72" t="s">
        <v>13552</v>
      </c>
      <c r="D157" s="91">
        <v>0</v>
      </c>
      <c r="E157" s="91">
        <v>0</v>
      </c>
      <c r="F157" s="91">
        <v>0</v>
      </c>
      <c r="G157" s="91">
        <v>0</v>
      </c>
      <c r="H157" s="48">
        <v>2783</v>
      </c>
      <c r="I157" s="48">
        <v>2853</v>
      </c>
      <c r="J157" s="48">
        <v>2799</v>
      </c>
      <c r="K157" s="48">
        <v>3060</v>
      </c>
      <c r="L157" s="48">
        <v>3445</v>
      </c>
      <c r="N157" s="84" t="s">
        <v>2897</v>
      </c>
    </row>
    <row r="158" spans="1:17">
      <c r="A158" s="96">
        <v>103</v>
      </c>
      <c r="B158" s="84" t="s">
        <v>7879</v>
      </c>
      <c r="C158" s="72" t="s">
        <v>13553</v>
      </c>
      <c r="D158" s="91">
        <v>0</v>
      </c>
      <c r="E158" s="91">
        <v>0</v>
      </c>
      <c r="F158" s="91">
        <v>0</v>
      </c>
      <c r="G158" s="91">
        <v>0</v>
      </c>
      <c r="H158" s="48">
        <v>3068</v>
      </c>
      <c r="I158" s="48">
        <v>3068</v>
      </c>
      <c r="J158" s="48">
        <v>2967</v>
      </c>
      <c r="K158" s="48">
        <v>3025</v>
      </c>
      <c r="L158" s="48">
        <v>3067</v>
      </c>
      <c r="N158" s="84" t="s">
        <v>2897</v>
      </c>
    </row>
    <row r="159" spans="1:17">
      <c r="A159" s="96">
        <v>104</v>
      </c>
      <c r="B159" s="84" t="s">
        <v>13388</v>
      </c>
      <c r="C159" s="72" t="s">
        <v>13554</v>
      </c>
      <c r="D159" s="91">
        <v>0</v>
      </c>
      <c r="E159" s="91">
        <v>0</v>
      </c>
      <c r="F159" s="91">
        <v>0</v>
      </c>
      <c r="G159" s="91">
        <v>0</v>
      </c>
      <c r="H159" s="48">
        <v>2301</v>
      </c>
      <c r="I159" s="48">
        <v>2405</v>
      </c>
      <c r="J159" s="48">
        <v>2394</v>
      </c>
      <c r="K159" s="48">
        <v>2436</v>
      </c>
      <c r="L159" s="48">
        <v>2426</v>
      </c>
      <c r="N159" s="84" t="s">
        <v>8177</v>
      </c>
    </row>
    <row r="160" spans="1:17">
      <c r="A160" s="96">
        <v>105</v>
      </c>
      <c r="B160" s="84" t="s">
        <v>13389</v>
      </c>
      <c r="C160" s="72" t="s">
        <v>13555</v>
      </c>
      <c r="D160" s="91">
        <v>0</v>
      </c>
      <c r="E160" s="91">
        <v>0</v>
      </c>
      <c r="F160" s="91">
        <v>0</v>
      </c>
      <c r="G160" s="91">
        <v>0</v>
      </c>
      <c r="H160" s="48">
        <v>3454</v>
      </c>
      <c r="I160" s="48">
        <v>3514</v>
      </c>
      <c r="J160" s="48">
        <v>3456</v>
      </c>
      <c r="K160" s="48">
        <v>3593</v>
      </c>
      <c r="L160" s="48">
        <v>3687</v>
      </c>
      <c r="N160" s="84" t="s">
        <v>2897</v>
      </c>
    </row>
    <row r="161" spans="1:14">
      <c r="A161" s="96">
        <v>106</v>
      </c>
      <c r="B161" s="84" t="s">
        <v>13390</v>
      </c>
      <c r="C161" s="72" t="s">
        <v>13556</v>
      </c>
      <c r="D161" s="91">
        <v>0</v>
      </c>
      <c r="E161" s="91">
        <v>0</v>
      </c>
      <c r="F161" s="91">
        <v>0</v>
      </c>
      <c r="G161" s="91">
        <v>0</v>
      </c>
      <c r="H161" s="48">
        <v>3168</v>
      </c>
      <c r="I161" s="48">
        <v>3166</v>
      </c>
      <c r="J161" s="48">
        <v>3085</v>
      </c>
      <c r="K161" s="48">
        <v>3137</v>
      </c>
      <c r="L161" s="48">
        <v>3212</v>
      </c>
      <c r="N161" s="84" t="s">
        <v>8177</v>
      </c>
    </row>
    <row r="162" spans="1:14">
      <c r="A162" s="96">
        <v>107</v>
      </c>
      <c r="B162" s="84" t="s">
        <v>13376</v>
      </c>
      <c r="C162" s="72" t="s">
        <v>13557</v>
      </c>
      <c r="D162" s="91">
        <v>0</v>
      </c>
      <c r="E162" s="91">
        <v>0</v>
      </c>
      <c r="F162" s="91">
        <v>0</v>
      </c>
      <c r="G162" s="91">
        <v>0</v>
      </c>
      <c r="H162" s="48">
        <v>3259</v>
      </c>
      <c r="I162" s="48">
        <v>3262</v>
      </c>
      <c r="J162" s="48">
        <v>3093</v>
      </c>
      <c r="K162" s="48">
        <v>3157</v>
      </c>
      <c r="L162" s="48">
        <v>3208</v>
      </c>
      <c r="N162" s="84" t="s">
        <v>2896</v>
      </c>
    </row>
    <row r="163" spans="1:14">
      <c r="A163" s="96">
        <v>108</v>
      </c>
      <c r="B163" s="84" t="s">
        <v>13377</v>
      </c>
      <c r="C163" s="72" t="s">
        <v>13558</v>
      </c>
      <c r="D163" s="91">
        <v>0</v>
      </c>
      <c r="E163" s="91">
        <v>0</v>
      </c>
      <c r="F163" s="91">
        <v>0</v>
      </c>
      <c r="G163" s="91">
        <v>0</v>
      </c>
      <c r="H163" s="48">
        <v>3171</v>
      </c>
      <c r="I163" s="48">
        <v>3210</v>
      </c>
      <c r="J163" s="48">
        <v>3030</v>
      </c>
      <c r="K163" s="48">
        <v>3085</v>
      </c>
      <c r="L163" s="48">
        <v>3121</v>
      </c>
      <c r="N163" s="84" t="s">
        <v>2896</v>
      </c>
    </row>
    <row r="164" spans="1:14">
      <c r="A164" s="96">
        <v>109</v>
      </c>
      <c r="B164" s="84" t="s">
        <v>13378</v>
      </c>
      <c r="C164" s="72" t="s">
        <v>13559</v>
      </c>
      <c r="D164" s="91">
        <v>0</v>
      </c>
      <c r="E164" s="91">
        <v>0</v>
      </c>
      <c r="F164" s="91">
        <v>0</v>
      </c>
      <c r="G164" s="91">
        <v>0</v>
      </c>
      <c r="H164" s="48">
        <v>3235</v>
      </c>
      <c r="I164" s="48">
        <v>3243</v>
      </c>
      <c r="J164" s="48">
        <v>3012</v>
      </c>
      <c r="K164" s="48">
        <v>3065</v>
      </c>
      <c r="L164" s="48">
        <v>3152</v>
      </c>
      <c r="N164" s="84" t="s">
        <v>2896</v>
      </c>
    </row>
    <row r="165" spans="1:14">
      <c r="A165" s="96">
        <v>110</v>
      </c>
      <c r="B165" s="84" t="s">
        <v>13379</v>
      </c>
      <c r="C165" s="72" t="s">
        <v>13560</v>
      </c>
      <c r="D165" s="91">
        <v>0</v>
      </c>
      <c r="E165" s="91">
        <v>0</v>
      </c>
      <c r="F165" s="91">
        <v>0</v>
      </c>
      <c r="G165" s="91">
        <v>0</v>
      </c>
      <c r="H165" s="48">
        <v>3370</v>
      </c>
      <c r="I165" s="48">
        <v>3390</v>
      </c>
      <c r="J165" s="48">
        <v>3224</v>
      </c>
      <c r="K165" s="48">
        <v>3295</v>
      </c>
      <c r="L165" s="48">
        <v>3372</v>
      </c>
      <c r="N165" s="84" t="s">
        <v>2896</v>
      </c>
    </row>
    <row r="166" spans="1:14">
      <c r="A166" s="96">
        <v>111</v>
      </c>
      <c r="B166" s="84" t="s">
        <v>7077</v>
      </c>
      <c r="C166" s="72" t="s">
        <v>13561</v>
      </c>
      <c r="D166" s="91">
        <v>0</v>
      </c>
      <c r="E166" s="91">
        <v>0</v>
      </c>
      <c r="F166" s="91">
        <v>0</v>
      </c>
      <c r="G166" s="91">
        <v>0</v>
      </c>
      <c r="H166" s="48">
        <v>2979</v>
      </c>
      <c r="I166" s="48">
        <v>3038</v>
      </c>
      <c r="J166" s="48">
        <v>2947</v>
      </c>
      <c r="K166" s="48">
        <v>3045</v>
      </c>
      <c r="L166" s="48">
        <v>3125</v>
      </c>
      <c r="N166" s="84" t="s">
        <v>8177</v>
      </c>
    </row>
    <row r="167" spans="1:14">
      <c r="A167" s="96">
        <v>112</v>
      </c>
      <c r="B167" s="84" t="s">
        <v>7078</v>
      </c>
      <c r="C167" s="72" t="s">
        <v>13562</v>
      </c>
      <c r="D167" s="91">
        <v>0</v>
      </c>
      <c r="E167" s="91">
        <v>0</v>
      </c>
      <c r="F167" s="91">
        <v>0</v>
      </c>
      <c r="G167" s="91">
        <v>0</v>
      </c>
      <c r="H167" s="48">
        <v>3216</v>
      </c>
      <c r="I167" s="48">
        <v>3265</v>
      </c>
      <c r="J167" s="48">
        <v>3072</v>
      </c>
      <c r="K167" s="48">
        <v>3222</v>
      </c>
      <c r="L167" s="48">
        <v>3410</v>
      </c>
      <c r="N167" s="84" t="s">
        <v>2899</v>
      </c>
    </row>
    <row r="168" spans="1:14">
      <c r="A168" s="96">
        <v>113</v>
      </c>
      <c r="B168" s="84" t="s">
        <v>7079</v>
      </c>
      <c r="C168" s="72" t="s">
        <v>13563</v>
      </c>
      <c r="D168" s="91">
        <v>0</v>
      </c>
      <c r="E168" s="91">
        <v>0</v>
      </c>
      <c r="F168" s="91">
        <v>0</v>
      </c>
      <c r="G168" s="91">
        <v>0</v>
      </c>
      <c r="H168" s="48">
        <v>2949</v>
      </c>
      <c r="I168" s="48">
        <v>3040</v>
      </c>
      <c r="J168" s="48">
        <v>3019</v>
      </c>
      <c r="K168" s="48">
        <v>3127</v>
      </c>
      <c r="L168" s="48">
        <v>3166</v>
      </c>
      <c r="N168" s="84" t="s">
        <v>8177</v>
      </c>
    </row>
    <row r="169" spans="1:14">
      <c r="A169" s="96">
        <v>114</v>
      </c>
      <c r="B169" s="84" t="s">
        <v>7080</v>
      </c>
      <c r="C169" s="72" t="s">
        <v>13564</v>
      </c>
      <c r="D169" s="91">
        <v>0</v>
      </c>
      <c r="E169" s="91">
        <v>0</v>
      </c>
      <c r="F169" s="91">
        <v>0</v>
      </c>
      <c r="G169" s="91">
        <v>0</v>
      </c>
      <c r="H169" s="48">
        <v>3051</v>
      </c>
      <c r="I169" s="48">
        <v>3039</v>
      </c>
      <c r="J169" s="48">
        <v>2782</v>
      </c>
      <c r="K169" s="48">
        <v>2901</v>
      </c>
      <c r="L169" s="48">
        <v>2948</v>
      </c>
      <c r="N169" s="84" t="s">
        <v>2896</v>
      </c>
    </row>
    <row r="170" spans="1:14">
      <c r="A170" s="96">
        <v>115</v>
      </c>
      <c r="B170" s="84" t="s">
        <v>7081</v>
      </c>
      <c r="C170" s="72" t="s">
        <v>13565</v>
      </c>
      <c r="D170" s="91">
        <v>0</v>
      </c>
      <c r="E170" s="91">
        <v>0</v>
      </c>
      <c r="F170" s="91">
        <v>0</v>
      </c>
      <c r="G170" s="91">
        <v>0</v>
      </c>
      <c r="H170" s="48">
        <v>3086</v>
      </c>
      <c r="I170" s="48">
        <v>3103</v>
      </c>
      <c r="J170" s="48">
        <v>2903</v>
      </c>
      <c r="K170" s="48">
        <v>2944</v>
      </c>
      <c r="L170" s="48">
        <v>2952</v>
      </c>
      <c r="N170" s="84" t="s">
        <v>2896</v>
      </c>
    </row>
    <row r="171" spans="1:14">
      <c r="A171" s="96">
        <v>116</v>
      </c>
      <c r="B171" s="94" t="s">
        <v>13391</v>
      </c>
      <c r="C171" s="72" t="s">
        <v>13566</v>
      </c>
      <c r="D171" s="91">
        <v>0</v>
      </c>
      <c r="E171" s="91">
        <v>0</v>
      </c>
      <c r="F171" s="91">
        <v>0</v>
      </c>
      <c r="G171" s="91">
        <v>0</v>
      </c>
      <c r="H171" s="48">
        <v>3442</v>
      </c>
      <c r="I171" s="48">
        <v>3647</v>
      </c>
      <c r="J171" s="48">
        <v>3594</v>
      </c>
      <c r="K171" s="48">
        <v>3721</v>
      </c>
      <c r="L171" s="48">
        <v>3855</v>
      </c>
      <c r="N171" s="94" t="s">
        <v>2896</v>
      </c>
    </row>
    <row r="172" spans="1:14">
      <c r="A172" s="96">
        <v>117</v>
      </c>
      <c r="B172" s="84" t="s">
        <v>1548</v>
      </c>
      <c r="C172" s="72" t="s">
        <v>13567</v>
      </c>
      <c r="D172" s="91">
        <v>0</v>
      </c>
      <c r="E172" s="91">
        <v>0</v>
      </c>
      <c r="F172" s="91">
        <v>0</v>
      </c>
      <c r="G172" s="91">
        <v>0</v>
      </c>
      <c r="H172" s="48">
        <v>3977</v>
      </c>
      <c r="I172" s="48">
        <v>4066</v>
      </c>
      <c r="J172" s="48">
        <v>3765</v>
      </c>
      <c r="K172" s="48">
        <v>3920</v>
      </c>
      <c r="L172" s="48">
        <v>4030</v>
      </c>
      <c r="N172" s="84" t="s">
        <v>2899</v>
      </c>
    </row>
    <row r="173" spans="1:14">
      <c r="A173" s="96">
        <v>118</v>
      </c>
      <c r="B173" s="84" t="s">
        <v>13392</v>
      </c>
      <c r="C173" s="72" t="s">
        <v>13568</v>
      </c>
      <c r="D173" s="91">
        <v>0</v>
      </c>
      <c r="E173" s="91">
        <v>0</v>
      </c>
      <c r="F173" s="91">
        <v>0</v>
      </c>
      <c r="G173" s="91">
        <v>0</v>
      </c>
      <c r="H173" s="48">
        <v>3516</v>
      </c>
      <c r="I173" s="48">
        <v>3555</v>
      </c>
      <c r="J173" s="48">
        <v>3368</v>
      </c>
      <c r="K173" s="48">
        <v>3477</v>
      </c>
      <c r="L173" s="48">
        <v>3515</v>
      </c>
      <c r="N173" s="84" t="s">
        <v>2899</v>
      </c>
    </row>
    <row r="174" spans="1:14">
      <c r="A174" s="96">
        <v>119</v>
      </c>
      <c r="B174" s="84" t="s">
        <v>1549</v>
      </c>
      <c r="C174" s="72" t="s">
        <v>13569</v>
      </c>
      <c r="D174" s="91">
        <v>0</v>
      </c>
      <c r="E174" s="91">
        <v>0</v>
      </c>
      <c r="F174" s="91">
        <v>0</v>
      </c>
      <c r="G174" s="91">
        <v>0</v>
      </c>
      <c r="H174" s="48">
        <v>3643</v>
      </c>
      <c r="I174" s="48">
        <v>3650</v>
      </c>
      <c r="J174" s="48">
        <v>3460</v>
      </c>
      <c r="K174" s="48">
        <v>3541</v>
      </c>
      <c r="L174" s="48">
        <v>3627</v>
      </c>
      <c r="N174" s="84" t="s">
        <v>2899</v>
      </c>
    </row>
    <row r="175" spans="1:14">
      <c r="A175" s="96">
        <v>120</v>
      </c>
      <c r="B175" s="84" t="s">
        <v>1550</v>
      </c>
      <c r="C175" s="72" t="s">
        <v>13570</v>
      </c>
      <c r="D175" s="91">
        <v>0</v>
      </c>
      <c r="E175" s="91">
        <v>0</v>
      </c>
      <c r="F175" s="91">
        <v>0</v>
      </c>
      <c r="G175" s="91">
        <v>0</v>
      </c>
      <c r="H175" s="48">
        <v>3594</v>
      </c>
      <c r="I175" s="48">
        <v>3620</v>
      </c>
      <c r="J175" s="48">
        <v>3445</v>
      </c>
      <c r="K175" s="48">
        <v>3677</v>
      </c>
      <c r="L175" s="48">
        <v>3854</v>
      </c>
      <c r="N175" s="84" t="s">
        <v>2899</v>
      </c>
    </row>
    <row r="176" spans="1:14">
      <c r="A176" s="96">
        <v>121</v>
      </c>
      <c r="B176" s="84" t="s">
        <v>7082</v>
      </c>
      <c r="C176" s="72" t="s">
        <v>13571</v>
      </c>
      <c r="D176" s="91">
        <v>0</v>
      </c>
      <c r="E176" s="91">
        <v>0</v>
      </c>
      <c r="F176" s="91">
        <v>0</v>
      </c>
      <c r="G176" s="91">
        <v>0</v>
      </c>
      <c r="H176" s="48">
        <v>3159</v>
      </c>
      <c r="I176" s="48">
        <v>3188</v>
      </c>
      <c r="J176" s="48">
        <v>3022</v>
      </c>
      <c r="K176" s="48">
        <v>3151</v>
      </c>
      <c r="L176" s="48">
        <v>3182</v>
      </c>
      <c r="N176" s="84" t="s">
        <v>8177</v>
      </c>
    </row>
    <row r="177" spans="1:14">
      <c r="A177" s="96">
        <v>122</v>
      </c>
      <c r="B177" s="84" t="s">
        <v>7083</v>
      </c>
      <c r="C177" s="72" t="s">
        <v>13572</v>
      </c>
      <c r="D177" s="91">
        <v>0</v>
      </c>
      <c r="E177" s="91">
        <v>0</v>
      </c>
      <c r="F177" s="91">
        <v>0</v>
      </c>
      <c r="G177" s="91">
        <v>0</v>
      </c>
      <c r="H177" s="48">
        <v>2943</v>
      </c>
      <c r="I177" s="48">
        <v>2995</v>
      </c>
      <c r="J177" s="48">
        <v>2815</v>
      </c>
      <c r="K177" s="48">
        <v>2870</v>
      </c>
      <c r="L177" s="48">
        <v>2939</v>
      </c>
      <c r="N177" s="84" t="s">
        <v>8177</v>
      </c>
    </row>
    <row r="178" spans="1:14">
      <c r="A178" s="96"/>
      <c r="B178" s="84"/>
      <c r="C178" s="84"/>
      <c r="E178" s="4"/>
      <c r="G178" s="4"/>
      <c r="N178" s="84"/>
    </row>
    <row r="179" spans="1:14">
      <c r="A179" s="84" t="s">
        <v>1174</v>
      </c>
      <c r="C179" s="84"/>
      <c r="D179" s="91">
        <f>SUM(D46:D50)+D52+D56+D57+D66+D71+D74+D75+D78+D94+D101+D121+SUM(D128:D130)++D135+D154</f>
        <v>63694</v>
      </c>
      <c r="E179" s="91">
        <f>SUM(E46:E50)+E52+E56+E57+E66+E71+E74+E75+E78+E94+E101+E121+SUM(E128:E130)++E135+E154</f>
        <v>64798</v>
      </c>
      <c r="F179" s="91">
        <f>SUM(F46:F50)+F52+F56+F57+F66+F71+F74+F75+F78+F94+F101+F121+SUM(F128:F130)++F135+F154</f>
        <v>65324</v>
      </c>
      <c r="G179" s="91">
        <f>SUM(G46:G50)+G52+G56+G57+G66+G71+G74+G75+G78+G94+G101+G121+SUM(G128:G130)++G135+G154</f>
        <v>66038</v>
      </c>
      <c r="H179" s="91">
        <f>SUM(H46:H50)+H52+H56+H57+H66+H71+H74+H75+H78++H81+H94+H101+H121+SUM(H128:H130)++H135+H154</f>
        <v>64769</v>
      </c>
      <c r="I179" s="91">
        <f>SUM(I46:I50)+I52+I56+I57+I66+I71+I74+I75+I78++I81+I94+I101+I121+SUM(I128:I130)++I135+I154</f>
        <v>65157</v>
      </c>
      <c r="J179" s="91">
        <f>SUM(J46:J50)+J52+J56+J57+J66+J71+J74+J75+J78++J81+J94+J101+J121+SUM(J128:J130)++J135+J154</f>
        <v>62034</v>
      </c>
      <c r="K179" s="91">
        <f>SUM(K46:K50)+K52+K56+K57+K66+K71+K74+K75+K78++K81+K94+K101+K121+SUM(K128:K130)++K135+K154</f>
        <v>64267</v>
      </c>
      <c r="L179" s="91">
        <f>SUM(L46:L50)+L52+L56+L57+L66+L71+L74+L75+L78++L81+L94+L101+L121+SUM(L128:L130)++L135+L154</f>
        <v>66534</v>
      </c>
      <c r="N179" s="84"/>
    </row>
    <row r="180" spans="1:14">
      <c r="A180" s="84" t="s">
        <v>8177</v>
      </c>
      <c r="B180" s="84"/>
      <c r="C180" s="84"/>
      <c r="D180" s="91">
        <f t="shared" ref="D180:I180" si="59">SUM(D36:D39)+D41+D51+D68+D80+SUM(D82:D84)+D112+D123+D150+D159+D161+D166+D168+D176+D177</f>
        <v>68055</v>
      </c>
      <c r="E180" s="91">
        <f t="shared" si="59"/>
        <v>68206</v>
      </c>
      <c r="F180" s="91">
        <f t="shared" si="59"/>
        <v>66983</v>
      </c>
      <c r="G180" s="91">
        <f t="shared" si="59"/>
        <v>67593</v>
      </c>
      <c r="H180" s="91">
        <f t="shared" si="59"/>
        <v>63718</v>
      </c>
      <c r="I180" s="91">
        <f t="shared" si="59"/>
        <v>65464</v>
      </c>
      <c r="J180" s="91">
        <f t="shared" ref="J180" si="60">SUM(J36:J39)+J41+J51+J68+J80+SUM(J82:J84)+J112+J123+J150+J159+J161+J166+J168+J176+J177</f>
        <v>63501</v>
      </c>
      <c r="K180" s="91">
        <f>SUM(K36:K39)+K41+K51+K68+K80+SUM(K82:K84)+K112+K123+K150+K159+K161+K166+K168+K176+K177</f>
        <v>65863</v>
      </c>
      <c r="L180" s="91">
        <f>SUM(L36:L39)+L41+L51+L68+L80+SUM(L82:L84)+L112+L123+L150+L159+L161+L166+L168+L176+L177</f>
        <v>67505</v>
      </c>
      <c r="N180" s="84"/>
    </row>
    <row r="181" spans="1:14">
      <c r="A181" s="84" t="s">
        <v>2896</v>
      </c>
      <c r="B181" s="84"/>
      <c r="C181" s="84"/>
      <c r="D181" s="91">
        <f>D43+D45+D70+SUM(D86:D91)+D93+D98+D127+SUM(D162:D165)+D144+D149+SUM(D169:D171)</f>
        <v>71900</v>
      </c>
      <c r="E181" s="91">
        <f>E43+E45+E70+SUM(E86:E91)+E93+E98+E127+SUM(E162:E165)+E144+E149+SUM(E169:E171)</f>
        <v>71851</v>
      </c>
      <c r="F181" s="91">
        <f>F43+F45+F70+SUM(F86:F91)+F93+F98+F127+SUM(F162:F165)+F144+F149+SUM(F169:F171)</f>
        <v>70847</v>
      </c>
      <c r="G181" s="91">
        <f>G43+G45+G70+SUM(G86:G91)+G93+G98+G127+SUM(G162:G165)+G144+G149+SUM(G169:G171)</f>
        <v>71466</v>
      </c>
      <c r="H181" s="91">
        <f>H43+H45+H70+SUM(H86:H91)+H93+H98+H127+SUM(H162:H165)+H144+H147+H149+SUM(H169:H171)</f>
        <v>68570</v>
      </c>
      <c r="I181" s="91">
        <f>I43+I45+I70+SUM(I86:I91)+I93+I98+I127+SUM(I162:I165)+I144+I147+I149+SUM(I169:I171)</f>
        <v>69873</v>
      </c>
      <c r="J181" s="91">
        <f>J43+J45+J70+SUM(J86:J91)+J93+J98+J127+SUM(J162:J165)+J144+J147+J149+SUM(J169:J171)</f>
        <v>66757</v>
      </c>
      <c r="K181" s="91">
        <f>K43+K45+K70+SUM(K86:K91)+K93+K98+K127+SUM(K162:K165)+K144+K147+K149+SUM(K169:K171)</f>
        <v>69069</v>
      </c>
      <c r="L181" s="91">
        <f>L43+L45+L70+SUM(L86:L91)+L93+L98+L127+SUM(L162:L165)+L144+L147+L149+SUM(L169:L171)</f>
        <v>70599</v>
      </c>
      <c r="N181" s="84"/>
    </row>
    <row r="182" spans="1:14">
      <c r="A182" s="84" t="s">
        <v>2897</v>
      </c>
      <c r="B182" s="84"/>
      <c r="C182" s="84"/>
      <c r="D182" s="91">
        <f t="shared" ref="D182:I182" si="61">D42+D67+D99+D100+D103+SUM(D107:D111)+D113+D116+D124+D131+D132+SUM(D138:D142)+D145+D146+D148+D157+D158+D160</f>
        <v>75721</v>
      </c>
      <c r="E182" s="91">
        <f t="shared" si="61"/>
        <v>75974</v>
      </c>
      <c r="F182" s="91">
        <f t="shared" si="61"/>
        <v>75311</v>
      </c>
      <c r="G182" s="91">
        <f t="shared" si="61"/>
        <v>75905</v>
      </c>
      <c r="H182" s="91">
        <f t="shared" si="61"/>
        <v>73808</v>
      </c>
      <c r="I182" s="91">
        <f t="shared" si="61"/>
        <v>75117</v>
      </c>
      <c r="J182" s="91">
        <f t="shared" ref="J182" si="62">J42+J67+J99+J100+J103+SUM(J107:J111)+J113+J116+J124+J131+J132+SUM(J138:J142)+J145+J146+J148+J157+J158+J160</f>
        <v>71674</v>
      </c>
      <c r="K182" s="91">
        <f>K42+K67+K99+K100+K103+SUM(K107:K111)+K113+K116+K124+K131+K132+SUM(K138:K142)+K145+K146+K148+K157+K158+K160</f>
        <v>74673</v>
      </c>
      <c r="L182" s="91">
        <f>L42+L67+L99+L100+L103+SUM(L107:L111)+L113+L116+L124+L131+L132+SUM(L138:L142)+L145+L146+L148+L157+L158+L160</f>
        <v>77338</v>
      </c>
      <c r="N182" s="84"/>
    </row>
    <row r="183" spans="1:14" ht="15" customHeight="1">
      <c r="A183" s="84" t="s">
        <v>4620</v>
      </c>
      <c r="D183" s="91">
        <f t="shared" ref="D183:I183" si="63">D40+D58+D69+D72+D76+D77+D85+D92+D97+D102+D106+SUM(D117:D119)+D122+D143+SUM(D151:D153)+D155</f>
        <v>64678</v>
      </c>
      <c r="E183" s="91">
        <f t="shared" si="63"/>
        <v>64933</v>
      </c>
      <c r="F183" s="91">
        <f t="shared" si="63"/>
        <v>65122</v>
      </c>
      <c r="G183" s="91">
        <f t="shared" si="63"/>
        <v>65784</v>
      </c>
      <c r="H183" s="91">
        <f t="shared" si="63"/>
        <v>64105</v>
      </c>
      <c r="I183" s="91">
        <f t="shared" si="63"/>
        <v>64693</v>
      </c>
      <c r="J183" s="91">
        <f t="shared" ref="J183" si="64">J40+J58+J69+J72+J76+J77+J85+J92+J97+J102+J106+SUM(J117:J119)+J122+J143+SUM(J151:J153)+J155</f>
        <v>61060</v>
      </c>
      <c r="K183" s="91">
        <f>K40+K58+K69+K72+K76+K77+K85+K92+K97+K102+K106+SUM(K117:K119)+K122+K143+SUM(K151:K153)+K155</f>
        <v>62693</v>
      </c>
      <c r="L183" s="91">
        <f>L40+L58+L69+L72+L76+L77+L85+L92+L97+L102+L106+SUM(L117:L119)+L122+L143+SUM(L151:L153)+L155</f>
        <v>64270</v>
      </c>
    </row>
    <row r="184" spans="1:14">
      <c r="A184" s="84" t="s">
        <v>2899</v>
      </c>
      <c r="D184" s="87">
        <f t="shared" ref="D184:I184" si="65">D53+D55+SUM(D60:D65)+D79+D95+D104+D114+D115+D120+D125+D133+D136+D167+SUM(D172:D175)</f>
        <v>70366</v>
      </c>
      <c r="E184" s="87">
        <f t="shared" si="65"/>
        <v>71340</v>
      </c>
      <c r="F184" s="87">
        <f t="shared" si="65"/>
        <v>71819</v>
      </c>
      <c r="G184" s="87">
        <f t="shared" si="65"/>
        <v>71720</v>
      </c>
      <c r="H184" s="87">
        <f t="shared" si="65"/>
        <v>70286</v>
      </c>
      <c r="I184" s="87">
        <f t="shared" si="65"/>
        <v>71370</v>
      </c>
      <c r="J184" s="87">
        <f t="shared" ref="J184:K184" si="66">J53+J55+SUM(J60:J65)+J79+J95+J104+J114+J115+J120+J125+J133+J136+J167+SUM(J172:J175)</f>
        <v>67197</v>
      </c>
      <c r="K184" s="87">
        <f t="shared" si="66"/>
        <v>69558</v>
      </c>
      <c r="L184" s="87">
        <f t="shared" ref="L184" si="67">L53+L55+SUM(L60:L65)+L79+L95+L104+L114+L115+L120+L125+L133+L136+L167+SUM(L172:L175)</f>
        <v>71977</v>
      </c>
    </row>
    <row r="186" spans="1:14">
      <c r="A186" s="84" t="s">
        <v>13393</v>
      </c>
      <c r="B186" s="84"/>
      <c r="C186" s="84"/>
    </row>
    <row r="187" spans="1:14">
      <c r="A187" s="96"/>
      <c r="B187" s="84"/>
      <c r="C187" s="84"/>
      <c r="D187" s="91"/>
      <c r="E187" s="91"/>
      <c r="F187" s="91"/>
      <c r="G187" s="91"/>
      <c r="H187" s="91"/>
      <c r="I187" s="91"/>
      <c r="J187" s="91"/>
      <c r="K187" s="91"/>
      <c r="L187" s="91"/>
      <c r="N187" s="84"/>
    </row>
    <row r="188" spans="1:14">
      <c r="A188" s="84"/>
      <c r="B188" s="84"/>
      <c r="C188" s="84"/>
      <c r="D188" s="99"/>
      <c r="E188" s="99"/>
      <c r="F188" s="99"/>
      <c r="G188" s="99"/>
      <c r="H188" s="99"/>
      <c r="I188" s="99"/>
      <c r="J188" s="99"/>
      <c r="K188" s="99"/>
      <c r="L188" s="99"/>
    </row>
    <row r="189" spans="1:14">
      <c r="A189" s="84"/>
      <c r="B189" s="84"/>
      <c r="C189" s="84"/>
      <c r="D189" s="99"/>
      <c r="E189" s="99"/>
      <c r="F189" s="99"/>
      <c r="G189" s="99"/>
      <c r="H189" s="99"/>
      <c r="I189" s="99"/>
      <c r="J189" s="99"/>
      <c r="K189" s="99"/>
      <c r="L189" s="99"/>
    </row>
    <row r="190" spans="1:14">
      <c r="E190" s="42" t="s">
        <v>2303</v>
      </c>
      <c r="F190" s="42"/>
      <c r="G190" s="42"/>
      <c r="H190" s="42"/>
      <c r="I190" s="42"/>
      <c r="J190" s="42"/>
      <c r="K190" s="42"/>
      <c r="L190" s="42"/>
      <c r="M190" s="25"/>
      <c r="N190" s="25" t="s">
        <v>13319</v>
      </c>
    </row>
    <row r="191" spans="1:14">
      <c r="D191" s="24">
        <v>2010</v>
      </c>
      <c r="E191" s="24">
        <v>2011</v>
      </c>
      <c r="F191" s="24">
        <v>2012</v>
      </c>
      <c r="G191" s="24">
        <v>2013</v>
      </c>
      <c r="H191" s="24">
        <v>2014</v>
      </c>
      <c r="I191" s="24">
        <v>2015</v>
      </c>
      <c r="J191" s="24">
        <v>2016</v>
      </c>
      <c r="K191" s="24">
        <v>2017</v>
      </c>
      <c r="L191" s="24">
        <v>2018</v>
      </c>
      <c r="N191" s="29" t="s">
        <v>2304</v>
      </c>
    </row>
    <row r="192" spans="1:14">
      <c r="A192" s="84" t="s">
        <v>1172</v>
      </c>
      <c r="C192" s="84"/>
      <c r="D192" s="87">
        <f t="shared" ref="D192:I192" si="68">SUM(D193:D197)</f>
        <v>1752</v>
      </c>
      <c r="E192" s="87">
        <f t="shared" si="68"/>
        <v>1763</v>
      </c>
      <c r="F192" s="87">
        <f t="shared" si="68"/>
        <v>1721</v>
      </c>
      <c r="G192" s="87">
        <f t="shared" si="68"/>
        <v>1750</v>
      </c>
      <c r="H192" s="87">
        <f t="shared" si="68"/>
        <v>1631</v>
      </c>
      <c r="I192" s="87">
        <f t="shared" si="68"/>
        <v>1637</v>
      </c>
      <c r="J192" s="87">
        <f t="shared" ref="J192:K192" si="69">SUM(J193:J197)</f>
        <v>1651</v>
      </c>
      <c r="K192" s="87">
        <f t="shared" si="69"/>
        <v>1742</v>
      </c>
      <c r="L192" s="87">
        <f t="shared" ref="L192" si="70">SUM(L193:L197)</f>
        <v>1696</v>
      </c>
    </row>
    <row r="193" spans="1:17">
      <c r="A193" s="84" t="s">
        <v>6957</v>
      </c>
      <c r="B193" s="84" t="s">
        <v>4615</v>
      </c>
      <c r="C193" s="4" t="s">
        <v>16365</v>
      </c>
      <c r="D193" s="91">
        <v>1752</v>
      </c>
      <c r="E193" s="91">
        <v>1763</v>
      </c>
      <c r="F193" s="91">
        <v>1721</v>
      </c>
      <c r="G193" s="48">
        <v>1750</v>
      </c>
      <c r="H193" s="48">
        <v>1631</v>
      </c>
      <c r="I193" s="48">
        <v>1637</v>
      </c>
      <c r="J193" s="48">
        <v>1651</v>
      </c>
      <c r="K193" s="30">
        <v>1742</v>
      </c>
      <c r="L193" s="30">
        <v>76</v>
      </c>
      <c r="N193" s="84" t="s">
        <v>2898</v>
      </c>
      <c r="O193" s="4"/>
      <c r="Q193" s="4"/>
    </row>
    <row r="194" spans="1:17">
      <c r="A194" s="84" t="s">
        <v>6959</v>
      </c>
      <c r="B194" s="84" t="s">
        <v>4616</v>
      </c>
      <c r="C194" s="4" t="s">
        <v>16366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66</v>
      </c>
      <c r="N194" s="84" t="s">
        <v>2898</v>
      </c>
      <c r="O194" s="4"/>
      <c r="Q194" s="4"/>
    </row>
    <row r="195" spans="1:17">
      <c r="A195" s="84" t="s">
        <v>6961</v>
      </c>
      <c r="B195" s="84" t="s">
        <v>4617</v>
      </c>
      <c r="C195" s="4" t="s">
        <v>16367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114</v>
      </c>
      <c r="N195" s="84" t="s">
        <v>2898</v>
      </c>
      <c r="O195" s="4"/>
      <c r="Q195" s="4"/>
    </row>
    <row r="196" spans="1:17">
      <c r="A196" s="84" t="s">
        <v>6963</v>
      </c>
      <c r="B196" s="84" t="s">
        <v>4618</v>
      </c>
      <c r="C196" s="4" t="s">
        <v>16368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1338</v>
      </c>
      <c r="N196" s="84" t="s">
        <v>2898</v>
      </c>
      <c r="O196" s="4"/>
      <c r="Q196" s="4"/>
    </row>
    <row r="197" spans="1:17">
      <c r="A197" s="84" t="s">
        <v>6965</v>
      </c>
      <c r="B197" s="84" t="s">
        <v>4619</v>
      </c>
      <c r="C197" s="4" t="s">
        <v>16369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102</v>
      </c>
      <c r="N197" s="84" t="s">
        <v>2898</v>
      </c>
      <c r="O197" s="4"/>
      <c r="Q197" s="4"/>
    </row>
    <row r="198" spans="1:17">
      <c r="D198" s="91"/>
      <c r="E198" s="91"/>
      <c r="F198" s="91"/>
      <c r="G198" s="91"/>
      <c r="H198" s="91"/>
      <c r="I198" s="91"/>
      <c r="J198" s="91"/>
      <c r="K198" s="91"/>
      <c r="L198" s="91"/>
    </row>
    <row r="199" spans="1:17">
      <c r="A199" s="84" t="s">
        <v>4620</v>
      </c>
      <c r="D199" s="87">
        <f t="shared" ref="D199:L199" si="71">SUM(D193:D197)</f>
        <v>1752</v>
      </c>
      <c r="E199" s="87">
        <f t="shared" si="71"/>
        <v>1763</v>
      </c>
      <c r="F199" s="87">
        <f t="shared" si="71"/>
        <v>1721</v>
      </c>
      <c r="G199" s="87">
        <f t="shared" si="71"/>
        <v>1750</v>
      </c>
      <c r="H199" s="87">
        <f t="shared" si="71"/>
        <v>1631</v>
      </c>
      <c r="I199" s="87">
        <f t="shared" si="71"/>
        <v>1637</v>
      </c>
      <c r="J199" s="87">
        <f t="shared" si="71"/>
        <v>1651</v>
      </c>
      <c r="K199" s="87">
        <f t="shared" si="71"/>
        <v>1742</v>
      </c>
      <c r="L199" s="87">
        <f t="shared" si="71"/>
        <v>1696</v>
      </c>
    </row>
    <row r="200" spans="1:17">
      <c r="A200" s="84"/>
      <c r="B200" s="84"/>
      <c r="C200" s="84"/>
      <c r="D200" s="99"/>
      <c r="E200" s="99"/>
      <c r="F200" s="99"/>
      <c r="G200" s="99"/>
      <c r="H200" s="99"/>
      <c r="I200" s="99"/>
      <c r="J200" s="99"/>
      <c r="K200" s="99"/>
      <c r="L200" s="99"/>
    </row>
    <row r="201" spans="1:17">
      <c r="A201" s="84" t="s">
        <v>16370</v>
      </c>
      <c r="B201" s="84"/>
      <c r="C201" s="84"/>
      <c r="D201" s="99"/>
      <c r="E201" s="99"/>
      <c r="F201" s="99"/>
      <c r="G201" s="99"/>
      <c r="H201" s="99"/>
      <c r="I201" s="99"/>
      <c r="J201" s="99"/>
      <c r="K201" s="99"/>
      <c r="L201" s="99"/>
    </row>
    <row r="202" spans="1:17">
      <c r="D202" s="87"/>
      <c r="E202" s="87"/>
      <c r="F202" s="87"/>
      <c r="G202" s="87"/>
      <c r="H202" s="87"/>
      <c r="I202" s="87"/>
      <c r="J202" s="87"/>
      <c r="K202" s="87"/>
      <c r="L202" s="87"/>
    </row>
    <row r="203" spans="1:17" ht="14.25" customHeight="1">
      <c r="A203" s="84"/>
      <c r="D203" s="87"/>
      <c r="E203" s="87"/>
      <c r="F203" s="87"/>
      <c r="G203" s="87"/>
      <c r="H203" s="87"/>
      <c r="I203" s="87"/>
      <c r="J203" s="87"/>
      <c r="K203" s="87"/>
      <c r="L203" s="87"/>
    </row>
    <row r="204" spans="1:17" ht="14.25" customHeight="1">
      <c r="A204" s="84"/>
      <c r="D204" s="87"/>
      <c r="E204" s="87"/>
      <c r="F204" s="87"/>
      <c r="G204" s="87"/>
      <c r="H204" s="87"/>
      <c r="I204" s="87"/>
      <c r="J204" s="87"/>
      <c r="K204" s="87"/>
      <c r="L204" s="87"/>
    </row>
    <row r="205" spans="1:17" ht="15.75" customHeight="1">
      <c r="A205" s="84"/>
      <c r="B205" s="84"/>
      <c r="C205" s="84"/>
      <c r="D205" s="99"/>
      <c r="E205" s="99"/>
      <c r="F205" s="99"/>
      <c r="G205" s="99"/>
      <c r="H205" s="99"/>
      <c r="I205" s="99"/>
      <c r="J205" s="99"/>
      <c r="K205" s="99"/>
      <c r="L205" s="99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4" orientation="portrait" r:id="rId1"/>
  <headerFooter alignWithMargins="0">
    <oddFooter>&amp;C&amp;"Times New Roman,Regular"&amp;8&amp;P of &amp;N</oddFooter>
  </headerFooter>
  <rowBreaks count="3" manualBreakCount="3">
    <brk id="31" max="16383" man="1"/>
    <brk id="112" max="11" man="1"/>
    <brk id="188" max="16383" man="1"/>
  </rowBreaks>
  <ignoredErrors>
    <ignoredError sqref="D199:E199 D192:E192 D4:D6 E4:E6 F4:F6 F192 G4:G6 G199:K199 G192:K192 D9:D28 E9:E28 F9:F28 G9:G28 D3:G3 D7:G8 D184:G184 D35:K35 H179:H184 H3:H6 H7:H28 I184:K184 I3:I28 J3:J28 K3:K28 F198:F199 L3:L199" unlockedFormula="1"/>
    <ignoredError sqref="J180:J183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5"/>
  <sheetViews>
    <sheetView showGridLines="0" zoomScaleNormal="100" workbookViewId="0"/>
  </sheetViews>
  <sheetFormatPr defaultColWidth="12.5703125" defaultRowHeight="15"/>
  <cols>
    <col min="1" max="1" width="4.85546875" style="338" customWidth="1"/>
    <col min="2" max="2" width="35.7109375" style="338" customWidth="1"/>
    <col min="3" max="3" width="11.5703125" style="338" customWidth="1"/>
    <col min="4" max="12" width="10" style="338" customWidth="1"/>
    <col min="13" max="13" width="2.28515625" style="338" customWidth="1"/>
    <col min="14" max="14" width="21.85546875" style="338" customWidth="1"/>
    <col min="15" max="16384" width="12.5703125" style="338"/>
  </cols>
  <sheetData>
    <row r="1" spans="1:14">
      <c r="A1" s="337" t="s">
        <v>7342</v>
      </c>
      <c r="D1" s="339">
        <v>2010</v>
      </c>
      <c r="E1" s="339">
        <v>2011</v>
      </c>
      <c r="F1" s="339">
        <v>2012</v>
      </c>
      <c r="G1" s="339">
        <v>2013</v>
      </c>
      <c r="H1" s="339">
        <v>2014</v>
      </c>
      <c r="I1" s="339">
        <v>2015</v>
      </c>
      <c r="J1" s="339">
        <v>2016</v>
      </c>
      <c r="K1" s="339">
        <v>2017</v>
      </c>
      <c r="L1" s="339">
        <v>2018</v>
      </c>
    </row>
    <row r="3" spans="1:14">
      <c r="A3" s="337" t="s">
        <v>6401</v>
      </c>
      <c r="D3" s="340">
        <f t="shared" ref="D3:I3" si="0">SUM(D19:D42)</f>
        <v>239547</v>
      </c>
      <c r="E3" s="340">
        <f t="shared" si="0"/>
        <v>243641</v>
      </c>
      <c r="F3" s="340">
        <f t="shared" si="0"/>
        <v>246245</v>
      </c>
      <c r="G3" s="340">
        <f t="shared" si="0"/>
        <v>247402</v>
      </c>
      <c r="H3" s="340">
        <f t="shared" si="0"/>
        <v>244767</v>
      </c>
      <c r="I3" s="340">
        <f t="shared" si="0"/>
        <v>239487</v>
      </c>
      <c r="J3" s="340">
        <f t="shared" ref="J3:K3" si="1">SUM(J19:J42)</f>
        <v>234188</v>
      </c>
      <c r="K3" s="340">
        <f t="shared" si="1"/>
        <v>251183</v>
      </c>
      <c r="L3" s="340">
        <f t="shared" ref="L3" si="2">SUM(L19:L42)</f>
        <v>246784</v>
      </c>
    </row>
    <row r="5" spans="1:14">
      <c r="A5" s="337" t="s">
        <v>6402</v>
      </c>
      <c r="D5" s="340">
        <f t="shared" ref="D5:I5" si="3">D3/3</f>
        <v>79849</v>
      </c>
      <c r="E5" s="340">
        <f t="shared" si="3"/>
        <v>81213.666666666672</v>
      </c>
      <c r="F5" s="340">
        <f t="shared" si="3"/>
        <v>82081.666666666672</v>
      </c>
      <c r="G5" s="340">
        <f t="shared" si="3"/>
        <v>82467.333333333328</v>
      </c>
      <c r="H5" s="340">
        <f t="shared" si="3"/>
        <v>81589</v>
      </c>
      <c r="I5" s="340">
        <f t="shared" si="3"/>
        <v>79829</v>
      </c>
      <c r="J5" s="340">
        <f t="shared" ref="J5:K5" si="4">J3/3</f>
        <v>78062.666666666672</v>
      </c>
      <c r="K5" s="340">
        <f t="shared" si="4"/>
        <v>83727.666666666672</v>
      </c>
      <c r="L5" s="340">
        <f t="shared" ref="L5" si="5">L3/3</f>
        <v>82261.333333333328</v>
      </c>
    </row>
    <row r="6" spans="1:14">
      <c r="D6" s="341"/>
      <c r="E6" s="341"/>
      <c r="F6" s="341"/>
      <c r="G6" s="341"/>
      <c r="H6" s="341"/>
      <c r="I6" s="341"/>
      <c r="J6" s="341"/>
      <c r="K6" s="341"/>
      <c r="L6" s="341"/>
    </row>
    <row r="7" spans="1:14">
      <c r="A7" s="337" t="s">
        <v>6403</v>
      </c>
      <c r="D7" s="340">
        <f t="shared" ref="D7:I7" si="6">D19+D20+SUM(D26:D28)+D30+D36+D42</f>
        <v>75646</v>
      </c>
      <c r="E7" s="340">
        <f t="shared" si="6"/>
        <v>76980</v>
      </c>
      <c r="F7" s="340">
        <f t="shared" si="6"/>
        <v>77801</v>
      </c>
      <c r="G7" s="340">
        <f t="shared" si="6"/>
        <v>78232</v>
      </c>
      <c r="H7" s="340">
        <f t="shared" si="6"/>
        <v>77651</v>
      </c>
      <c r="I7" s="340">
        <f t="shared" si="6"/>
        <v>76249</v>
      </c>
      <c r="J7" s="340">
        <f t="shared" ref="J7:K7" si="7">J19+J20+SUM(J26:J28)+J30+J36+J42</f>
        <v>74571</v>
      </c>
      <c r="K7" s="340">
        <f t="shared" si="7"/>
        <v>79802</v>
      </c>
      <c r="L7" s="340">
        <f t="shared" ref="L7" si="8">L19+L20+SUM(L26:L28)+L30+L36+L42</f>
        <v>78797</v>
      </c>
      <c r="N7" s="337" t="s">
        <v>2927</v>
      </c>
    </row>
    <row r="8" spans="1:14">
      <c r="D8" s="341"/>
      <c r="E8" s="341"/>
      <c r="F8" s="341"/>
      <c r="G8" s="341"/>
      <c r="H8" s="341"/>
      <c r="I8" s="341"/>
      <c r="J8" s="341"/>
      <c r="K8" s="341"/>
      <c r="L8" s="341"/>
    </row>
    <row r="9" spans="1:14">
      <c r="A9" s="337" t="s">
        <v>2928</v>
      </c>
      <c r="D9" s="340">
        <f t="shared" ref="D9:I9" si="9">D21+D22+D31+D34+SUM(D37:D39)+D41</f>
        <v>83121</v>
      </c>
      <c r="E9" s="340">
        <f t="shared" si="9"/>
        <v>85107</v>
      </c>
      <c r="F9" s="340">
        <f t="shared" si="9"/>
        <v>86459</v>
      </c>
      <c r="G9" s="340">
        <f t="shared" si="9"/>
        <v>86991</v>
      </c>
      <c r="H9" s="340">
        <f t="shared" si="9"/>
        <v>85454</v>
      </c>
      <c r="I9" s="340">
        <f t="shared" si="9"/>
        <v>82575</v>
      </c>
      <c r="J9" s="340">
        <f t="shared" ref="J9:K9" si="10">J21+J22+J31+J34+SUM(J37:J39)+J41</f>
        <v>80523</v>
      </c>
      <c r="K9" s="340">
        <f t="shared" si="10"/>
        <v>87301</v>
      </c>
      <c r="L9" s="340">
        <f t="shared" ref="L9" si="11">L21+L22+L31+L34+SUM(L37:L39)+L41</f>
        <v>85565</v>
      </c>
      <c r="N9" s="337" t="s">
        <v>2927</v>
      </c>
    </row>
    <row r="10" spans="1:14">
      <c r="D10" s="341"/>
      <c r="E10" s="341"/>
      <c r="F10" s="341"/>
      <c r="G10" s="341"/>
      <c r="H10" s="341"/>
      <c r="I10" s="341"/>
      <c r="J10" s="341"/>
      <c r="K10" s="341"/>
      <c r="L10" s="341"/>
    </row>
    <row r="11" spans="1:14">
      <c r="A11" s="337" t="s">
        <v>2929</v>
      </c>
      <c r="D11" s="340">
        <f t="shared" ref="D11:I11" si="12">SUM(D23:D25)+D29+D32+D33+D35+D40</f>
        <v>80780</v>
      </c>
      <c r="E11" s="340">
        <f t="shared" si="12"/>
        <v>81554</v>
      </c>
      <c r="F11" s="340">
        <f t="shared" si="12"/>
        <v>81985</v>
      </c>
      <c r="G11" s="340">
        <f t="shared" si="12"/>
        <v>82179</v>
      </c>
      <c r="H11" s="340">
        <f t="shared" si="12"/>
        <v>81662</v>
      </c>
      <c r="I11" s="340">
        <f t="shared" si="12"/>
        <v>80663</v>
      </c>
      <c r="J11" s="340">
        <f t="shared" ref="J11:K11" si="13">SUM(J23:J25)+J29+J32+J33+J35+J40</f>
        <v>79094</v>
      </c>
      <c r="K11" s="340">
        <f t="shared" si="13"/>
        <v>84080</v>
      </c>
      <c r="L11" s="340">
        <f t="shared" ref="L11" si="14">SUM(L23:L25)+L29+L32+L33+L35+L40</f>
        <v>82422</v>
      </c>
      <c r="N11" s="337" t="s">
        <v>2927</v>
      </c>
    </row>
    <row r="12" spans="1:14">
      <c r="D12" s="341"/>
      <c r="E12" s="341"/>
      <c r="F12" s="341"/>
      <c r="G12" s="341"/>
      <c r="H12" s="341"/>
      <c r="I12" s="341"/>
      <c r="J12" s="341"/>
      <c r="K12" s="341"/>
      <c r="L12" s="341"/>
    </row>
    <row r="13" spans="1:14">
      <c r="A13" s="337" t="s">
        <v>8697</v>
      </c>
      <c r="D13" s="340">
        <f t="shared" ref="D13:I13" si="15">D7+D9+D11</f>
        <v>239547</v>
      </c>
      <c r="E13" s="340">
        <f t="shared" si="15"/>
        <v>243641</v>
      </c>
      <c r="F13" s="340">
        <f t="shared" si="15"/>
        <v>246245</v>
      </c>
      <c r="G13" s="340">
        <f t="shared" si="15"/>
        <v>247402</v>
      </c>
      <c r="H13" s="340">
        <f t="shared" si="15"/>
        <v>244767</v>
      </c>
      <c r="I13" s="340">
        <f t="shared" si="15"/>
        <v>239487</v>
      </c>
      <c r="J13" s="340">
        <f t="shared" ref="J13:K13" si="16">J7+J9+J11</f>
        <v>234188</v>
      </c>
      <c r="K13" s="340">
        <f t="shared" si="16"/>
        <v>251183</v>
      </c>
      <c r="L13" s="340">
        <f t="shared" ref="L13" si="17">L7+L9+L11</f>
        <v>246784</v>
      </c>
    </row>
    <row r="14" spans="1:14">
      <c r="D14" s="341"/>
      <c r="E14" s="341"/>
      <c r="F14" s="341"/>
      <c r="G14" s="341"/>
      <c r="H14" s="341"/>
      <c r="I14" s="341"/>
      <c r="J14" s="341"/>
      <c r="K14" s="341"/>
      <c r="L14" s="341"/>
    </row>
    <row r="15" spans="1:14">
      <c r="A15" s="337" t="s">
        <v>8698</v>
      </c>
      <c r="D15" s="340">
        <f t="shared" ref="D15:I15" si="18">MAX(D7,D9,D11)-MIN(D7,D9,D11)</f>
        <v>7475</v>
      </c>
      <c r="E15" s="340">
        <f t="shared" si="18"/>
        <v>8127</v>
      </c>
      <c r="F15" s="340">
        <f t="shared" si="18"/>
        <v>8658</v>
      </c>
      <c r="G15" s="340">
        <f t="shared" si="18"/>
        <v>8759</v>
      </c>
      <c r="H15" s="340">
        <f t="shared" si="18"/>
        <v>7803</v>
      </c>
      <c r="I15" s="340">
        <f t="shared" si="18"/>
        <v>6326</v>
      </c>
      <c r="J15" s="340">
        <f t="shared" ref="J15:K15" si="19">MAX(J7,J9,J11)-MIN(J7,J9,J11)</f>
        <v>5952</v>
      </c>
      <c r="K15" s="340">
        <f t="shared" si="19"/>
        <v>7499</v>
      </c>
      <c r="L15" s="340">
        <f t="shared" ref="L15" si="20">MAX(L7,L9,L11)-MIN(L7,L9,L11)</f>
        <v>6768</v>
      </c>
    </row>
    <row r="16" spans="1:14">
      <c r="D16" s="341"/>
      <c r="E16" s="341"/>
      <c r="F16" s="341"/>
      <c r="G16" s="341"/>
      <c r="H16" s="341"/>
      <c r="I16" s="341"/>
      <c r="J16" s="341"/>
      <c r="K16" s="341"/>
      <c r="L16" s="341"/>
    </row>
    <row r="17" spans="1:18">
      <c r="A17" s="337" t="s">
        <v>8701</v>
      </c>
      <c r="D17" s="340">
        <f t="shared" ref="D17:I17" si="21">STDEVP(D7,D9,D11)</f>
        <v>3121.8559650737679</v>
      </c>
      <c r="E17" s="340">
        <f t="shared" si="21"/>
        <v>3326.5499979541701</v>
      </c>
      <c r="F17" s="340">
        <f t="shared" si="21"/>
        <v>3535.2745610804013</v>
      </c>
      <c r="G17" s="340">
        <f t="shared" si="21"/>
        <v>3581.6543973731223</v>
      </c>
      <c r="H17" s="340">
        <f t="shared" si="21"/>
        <v>3185.9795981769876</v>
      </c>
      <c r="I17" s="340">
        <f t="shared" si="21"/>
        <v>2649.0546741557955</v>
      </c>
      <c r="J17" s="340">
        <f t="shared" ref="J17:K17" si="22">STDEVP(J7,J9,J11)</f>
        <v>2536.9683132081532</v>
      </c>
      <c r="K17" s="340">
        <f t="shared" si="22"/>
        <v>3071.5744424570858</v>
      </c>
      <c r="L17" s="340">
        <f t="shared" ref="L17" si="23">STDEVP(L7,L9,L11)</f>
        <v>2765.3590885975168</v>
      </c>
    </row>
    <row r="18" spans="1:18">
      <c r="D18" s="341"/>
      <c r="E18" s="341"/>
      <c r="F18" s="341"/>
      <c r="G18" s="341"/>
      <c r="H18" s="341"/>
      <c r="I18" s="341"/>
      <c r="J18" s="341"/>
      <c r="K18" s="341"/>
      <c r="L18" s="341"/>
    </row>
    <row r="19" spans="1:18">
      <c r="A19" s="337" t="s">
        <v>6957</v>
      </c>
      <c r="B19" s="337" t="s">
        <v>2930</v>
      </c>
      <c r="C19" s="4" t="s">
        <v>679</v>
      </c>
      <c r="D19" s="342">
        <v>10792</v>
      </c>
      <c r="E19" s="342">
        <v>10982</v>
      </c>
      <c r="F19" s="342">
        <v>11064</v>
      </c>
      <c r="G19" s="342">
        <v>11091</v>
      </c>
      <c r="H19" s="30">
        <v>10691</v>
      </c>
      <c r="I19" s="30">
        <v>10338</v>
      </c>
      <c r="J19" s="30">
        <v>10130</v>
      </c>
      <c r="K19" s="30">
        <v>11006</v>
      </c>
      <c r="L19" s="30">
        <v>10895</v>
      </c>
      <c r="N19" s="337" t="s">
        <v>6403</v>
      </c>
      <c r="P19" s="4"/>
      <c r="R19" s="4"/>
    </row>
    <row r="20" spans="1:18">
      <c r="A20" s="337" t="s">
        <v>6959</v>
      </c>
      <c r="B20" s="337" t="s">
        <v>2931</v>
      </c>
      <c r="C20" s="4" t="s">
        <v>680</v>
      </c>
      <c r="D20" s="342">
        <v>10311</v>
      </c>
      <c r="E20" s="342">
        <v>10411</v>
      </c>
      <c r="F20" s="342">
        <v>10477</v>
      </c>
      <c r="G20" s="342">
        <v>10540</v>
      </c>
      <c r="H20" s="30">
        <v>10538</v>
      </c>
      <c r="I20" s="30">
        <v>10444</v>
      </c>
      <c r="J20" s="30">
        <v>10117</v>
      </c>
      <c r="K20" s="30">
        <v>10766</v>
      </c>
      <c r="L20" s="30">
        <v>10561</v>
      </c>
      <c r="N20" s="337" t="s">
        <v>6403</v>
      </c>
      <c r="P20" s="4"/>
      <c r="R20" s="4"/>
    </row>
    <row r="21" spans="1:18">
      <c r="A21" s="337" t="s">
        <v>6961</v>
      </c>
      <c r="B21" s="337" t="s">
        <v>2932</v>
      </c>
      <c r="C21" s="4" t="s">
        <v>681</v>
      </c>
      <c r="D21" s="342">
        <v>10407</v>
      </c>
      <c r="E21" s="342">
        <v>10554</v>
      </c>
      <c r="F21" s="342">
        <v>10690</v>
      </c>
      <c r="G21" s="342">
        <v>10630</v>
      </c>
      <c r="H21" s="30">
        <v>10206</v>
      </c>
      <c r="I21" s="30">
        <v>9889</v>
      </c>
      <c r="J21" s="30">
        <v>9553</v>
      </c>
      <c r="K21" s="30">
        <v>10153</v>
      </c>
      <c r="L21" s="30">
        <v>9761</v>
      </c>
      <c r="N21" s="337" t="s">
        <v>2928</v>
      </c>
      <c r="P21" s="4"/>
      <c r="R21" s="4"/>
    </row>
    <row r="22" spans="1:18">
      <c r="A22" s="337" t="s">
        <v>6963</v>
      </c>
      <c r="B22" s="337" t="s">
        <v>2933</v>
      </c>
      <c r="C22" s="4" t="s">
        <v>682</v>
      </c>
      <c r="D22" s="343">
        <v>10353</v>
      </c>
      <c r="E22" s="343">
        <v>10945</v>
      </c>
      <c r="F22" s="343">
        <v>11170</v>
      </c>
      <c r="G22" s="343">
        <v>11398</v>
      </c>
      <c r="H22" s="30">
        <v>11250</v>
      </c>
      <c r="I22" s="30">
        <v>11038</v>
      </c>
      <c r="J22" s="30">
        <v>10859</v>
      </c>
      <c r="K22" s="30">
        <v>11937</v>
      </c>
      <c r="L22" s="30">
        <v>11808</v>
      </c>
      <c r="N22" s="337" t="s">
        <v>2928</v>
      </c>
      <c r="P22" s="4"/>
      <c r="R22" s="4"/>
    </row>
    <row r="23" spans="1:18">
      <c r="A23" s="337" t="s">
        <v>6965</v>
      </c>
      <c r="B23" s="337" t="s">
        <v>2934</v>
      </c>
      <c r="C23" s="4" t="s">
        <v>683</v>
      </c>
      <c r="D23" s="342">
        <v>9404</v>
      </c>
      <c r="E23" s="342">
        <v>9394</v>
      </c>
      <c r="F23" s="342">
        <v>9440</v>
      </c>
      <c r="G23" s="342">
        <v>9468</v>
      </c>
      <c r="H23" s="31">
        <v>9456</v>
      </c>
      <c r="I23" s="31">
        <v>9325</v>
      </c>
      <c r="J23" s="31">
        <v>9211</v>
      </c>
      <c r="K23" s="31">
        <v>9609</v>
      </c>
      <c r="L23" s="31">
        <v>9504</v>
      </c>
      <c r="N23" s="337" t="s">
        <v>2929</v>
      </c>
      <c r="P23" s="4"/>
      <c r="R23" s="4"/>
    </row>
    <row r="24" spans="1:18">
      <c r="A24" s="337" t="s">
        <v>6997</v>
      </c>
      <c r="B24" s="337" t="s">
        <v>2935</v>
      </c>
      <c r="C24" s="4" t="s">
        <v>684</v>
      </c>
      <c r="D24" s="342">
        <v>9986</v>
      </c>
      <c r="E24" s="342">
        <v>10099</v>
      </c>
      <c r="F24" s="342">
        <v>10174</v>
      </c>
      <c r="G24" s="342">
        <v>10147</v>
      </c>
      <c r="H24" s="31">
        <v>10226</v>
      </c>
      <c r="I24" s="31">
        <v>10186</v>
      </c>
      <c r="J24" s="31">
        <v>9900</v>
      </c>
      <c r="K24" s="31">
        <v>10700</v>
      </c>
      <c r="L24" s="31">
        <v>10577</v>
      </c>
      <c r="N24" s="337" t="s">
        <v>2929</v>
      </c>
      <c r="P24" s="4"/>
      <c r="R24" s="4"/>
    </row>
    <row r="25" spans="1:18">
      <c r="A25" s="337" t="s">
        <v>6999</v>
      </c>
      <c r="B25" s="337" t="s">
        <v>2936</v>
      </c>
      <c r="C25" s="4" t="s">
        <v>685</v>
      </c>
      <c r="D25" s="344">
        <v>10658</v>
      </c>
      <c r="E25" s="344">
        <v>10819</v>
      </c>
      <c r="F25" s="344">
        <v>10929</v>
      </c>
      <c r="G25" s="344">
        <v>10961</v>
      </c>
      <c r="H25" s="31">
        <v>10680</v>
      </c>
      <c r="I25" s="31">
        <v>10437</v>
      </c>
      <c r="J25" s="31">
        <v>10122</v>
      </c>
      <c r="K25" s="31">
        <v>10851</v>
      </c>
      <c r="L25" s="31">
        <v>10535</v>
      </c>
      <c r="N25" s="337" t="s">
        <v>2929</v>
      </c>
      <c r="P25" s="4"/>
      <c r="R25" s="4"/>
    </row>
    <row r="26" spans="1:18">
      <c r="A26" s="337" t="s">
        <v>7001</v>
      </c>
      <c r="B26" s="337" t="s">
        <v>2937</v>
      </c>
      <c r="C26" s="4" t="s">
        <v>686</v>
      </c>
      <c r="D26" s="342">
        <v>10064</v>
      </c>
      <c r="E26" s="342">
        <v>10483</v>
      </c>
      <c r="F26" s="342">
        <v>10719</v>
      </c>
      <c r="G26" s="342">
        <v>11098</v>
      </c>
      <c r="H26" s="30">
        <v>10995</v>
      </c>
      <c r="I26" s="30">
        <v>10764</v>
      </c>
      <c r="J26" s="30">
        <v>10688</v>
      </c>
      <c r="K26" s="30">
        <v>11731</v>
      </c>
      <c r="L26" s="30">
        <v>11843</v>
      </c>
      <c r="N26" s="337" t="s">
        <v>6403</v>
      </c>
      <c r="P26" s="4"/>
      <c r="R26" s="4"/>
    </row>
    <row r="27" spans="1:18">
      <c r="A27" s="337" t="s">
        <v>7003</v>
      </c>
      <c r="B27" s="337" t="s">
        <v>8187</v>
      </c>
      <c r="C27" s="4" t="s">
        <v>687</v>
      </c>
      <c r="D27" s="342">
        <v>6738</v>
      </c>
      <c r="E27" s="342">
        <v>6849</v>
      </c>
      <c r="F27" s="342">
        <v>6877</v>
      </c>
      <c r="G27" s="342">
        <v>6896</v>
      </c>
      <c r="H27" s="30">
        <v>6945</v>
      </c>
      <c r="I27" s="30">
        <v>6880</v>
      </c>
      <c r="J27" s="30">
        <v>6787</v>
      </c>
      <c r="K27" s="30">
        <v>7162</v>
      </c>
      <c r="L27" s="30">
        <v>7116</v>
      </c>
      <c r="N27" s="337" t="s">
        <v>6403</v>
      </c>
      <c r="P27" s="4"/>
      <c r="R27" s="4"/>
    </row>
    <row r="28" spans="1:18">
      <c r="A28" s="337" t="s">
        <v>7005</v>
      </c>
      <c r="B28" s="337" t="s">
        <v>8188</v>
      </c>
      <c r="C28" s="4" t="s">
        <v>688</v>
      </c>
      <c r="D28" s="342">
        <v>9869</v>
      </c>
      <c r="E28" s="342">
        <v>9912</v>
      </c>
      <c r="F28" s="342">
        <v>9979</v>
      </c>
      <c r="G28" s="342">
        <v>9923</v>
      </c>
      <c r="H28" s="30">
        <v>9954</v>
      </c>
      <c r="I28" s="30">
        <v>9825</v>
      </c>
      <c r="J28" s="30">
        <v>9497</v>
      </c>
      <c r="K28" s="30">
        <v>10020</v>
      </c>
      <c r="L28" s="30">
        <v>9767</v>
      </c>
      <c r="N28" s="337" t="s">
        <v>6403</v>
      </c>
      <c r="P28" s="4"/>
      <c r="R28" s="4"/>
    </row>
    <row r="29" spans="1:18">
      <c r="A29" s="337" t="s">
        <v>7007</v>
      </c>
      <c r="B29" s="337" t="s">
        <v>8189</v>
      </c>
      <c r="C29" s="4" t="s">
        <v>689</v>
      </c>
      <c r="D29" s="342">
        <v>10618</v>
      </c>
      <c r="E29" s="342">
        <v>10679</v>
      </c>
      <c r="F29" s="342">
        <v>10637</v>
      </c>
      <c r="G29" s="342">
        <v>10703</v>
      </c>
      <c r="H29" s="31">
        <v>10660</v>
      </c>
      <c r="I29" s="31">
        <v>10562</v>
      </c>
      <c r="J29" s="31">
        <v>10381</v>
      </c>
      <c r="K29" s="31">
        <v>11075</v>
      </c>
      <c r="L29" s="31">
        <v>10885</v>
      </c>
      <c r="N29" s="337" t="s">
        <v>2929</v>
      </c>
      <c r="P29" s="4"/>
      <c r="R29" s="4"/>
    </row>
    <row r="30" spans="1:18">
      <c r="A30" s="337" t="s">
        <v>7009</v>
      </c>
      <c r="B30" s="337" t="s">
        <v>8190</v>
      </c>
      <c r="C30" s="4" t="s">
        <v>690</v>
      </c>
      <c r="D30" s="342">
        <v>7101</v>
      </c>
      <c r="E30" s="342">
        <v>7202</v>
      </c>
      <c r="F30" s="342">
        <v>7307</v>
      </c>
      <c r="G30" s="342">
        <v>7299</v>
      </c>
      <c r="H30" s="30">
        <v>7296</v>
      </c>
      <c r="I30" s="30">
        <v>7198</v>
      </c>
      <c r="J30" s="30">
        <v>6923</v>
      </c>
      <c r="K30" s="30">
        <v>7312</v>
      </c>
      <c r="L30" s="30">
        <v>7209</v>
      </c>
      <c r="N30" s="337" t="s">
        <v>6403</v>
      </c>
      <c r="P30" s="4"/>
      <c r="R30" s="4"/>
    </row>
    <row r="31" spans="1:18">
      <c r="A31" s="337" t="s">
        <v>7011</v>
      </c>
      <c r="B31" s="337" t="s">
        <v>8191</v>
      </c>
      <c r="C31" s="4" t="s">
        <v>691</v>
      </c>
      <c r="D31" s="342">
        <v>10712</v>
      </c>
      <c r="E31" s="342">
        <v>10749</v>
      </c>
      <c r="F31" s="342">
        <v>10853</v>
      </c>
      <c r="G31" s="342">
        <v>10857</v>
      </c>
      <c r="H31" s="30">
        <v>10558</v>
      </c>
      <c r="I31" s="30">
        <v>10343</v>
      </c>
      <c r="J31" s="30">
        <v>9766</v>
      </c>
      <c r="K31" s="30">
        <v>10555</v>
      </c>
      <c r="L31" s="30">
        <v>10285</v>
      </c>
      <c r="N31" s="337" t="s">
        <v>2928</v>
      </c>
      <c r="P31" s="4"/>
      <c r="R31" s="4"/>
    </row>
    <row r="32" spans="1:18">
      <c r="A32" s="337" t="s">
        <v>7013</v>
      </c>
      <c r="B32" s="337" t="s">
        <v>8192</v>
      </c>
      <c r="C32" s="4" t="s">
        <v>692</v>
      </c>
      <c r="D32" s="342">
        <v>10281</v>
      </c>
      <c r="E32" s="342">
        <v>10496</v>
      </c>
      <c r="F32" s="342">
        <v>10575</v>
      </c>
      <c r="G32" s="342">
        <v>10631</v>
      </c>
      <c r="H32" s="31">
        <v>10498</v>
      </c>
      <c r="I32" s="31">
        <v>10312</v>
      </c>
      <c r="J32" s="31">
        <v>10251</v>
      </c>
      <c r="K32" s="31">
        <v>10944</v>
      </c>
      <c r="L32" s="31">
        <v>10662</v>
      </c>
      <c r="N32" s="337" t="s">
        <v>2929</v>
      </c>
      <c r="P32" s="4"/>
      <c r="R32" s="4"/>
    </row>
    <row r="33" spans="1:18">
      <c r="A33" s="337" t="s">
        <v>7015</v>
      </c>
      <c r="B33" s="337" t="s">
        <v>8193</v>
      </c>
      <c r="C33" s="4" t="s">
        <v>693</v>
      </c>
      <c r="D33" s="342">
        <v>9702</v>
      </c>
      <c r="E33" s="342">
        <v>9728</v>
      </c>
      <c r="F33" s="342">
        <v>9762</v>
      </c>
      <c r="G33" s="342">
        <v>9746</v>
      </c>
      <c r="H33" s="31">
        <v>9671</v>
      </c>
      <c r="I33" s="31">
        <v>9639</v>
      </c>
      <c r="J33" s="31">
        <v>9617</v>
      </c>
      <c r="K33" s="31">
        <v>10124</v>
      </c>
      <c r="L33" s="31">
        <v>9911</v>
      </c>
      <c r="N33" s="337" t="s">
        <v>2929</v>
      </c>
      <c r="P33" s="4"/>
      <c r="R33" s="4"/>
    </row>
    <row r="34" spans="1:18">
      <c r="A34" s="337" t="s">
        <v>7017</v>
      </c>
      <c r="B34" s="337" t="s">
        <v>8194</v>
      </c>
      <c r="C34" s="4" t="s">
        <v>694</v>
      </c>
      <c r="D34" s="342">
        <v>10259</v>
      </c>
      <c r="E34" s="342">
        <v>10754</v>
      </c>
      <c r="F34" s="342">
        <v>10980</v>
      </c>
      <c r="G34" s="342">
        <v>11043</v>
      </c>
      <c r="H34" s="30">
        <v>10835</v>
      </c>
      <c r="I34" s="30">
        <v>10385</v>
      </c>
      <c r="J34" s="30">
        <v>10293</v>
      </c>
      <c r="K34" s="30">
        <v>11227</v>
      </c>
      <c r="L34" s="30">
        <v>11080</v>
      </c>
      <c r="N34" s="337" t="s">
        <v>2928</v>
      </c>
      <c r="P34" s="4"/>
      <c r="R34" s="4"/>
    </row>
    <row r="35" spans="1:18">
      <c r="A35" s="337" t="s">
        <v>7019</v>
      </c>
      <c r="B35" s="337" t="s">
        <v>8195</v>
      </c>
      <c r="C35" s="4" t="s">
        <v>695</v>
      </c>
      <c r="D35" s="344">
        <v>9443</v>
      </c>
      <c r="E35" s="344">
        <v>9427</v>
      </c>
      <c r="F35" s="344">
        <v>9376</v>
      </c>
      <c r="G35" s="344">
        <v>9360</v>
      </c>
      <c r="H35" s="31">
        <v>9343</v>
      </c>
      <c r="I35" s="31">
        <v>9351</v>
      </c>
      <c r="J35" s="31">
        <v>9085</v>
      </c>
      <c r="K35" s="31">
        <v>9449</v>
      </c>
      <c r="L35" s="31">
        <v>9212</v>
      </c>
      <c r="N35" s="337" t="s">
        <v>2929</v>
      </c>
      <c r="P35" s="4"/>
      <c r="R35" s="4"/>
    </row>
    <row r="36" spans="1:18">
      <c r="A36" s="337" t="s">
        <v>7021</v>
      </c>
      <c r="B36" s="337" t="s">
        <v>8196</v>
      </c>
      <c r="C36" s="4" t="s">
        <v>696</v>
      </c>
      <c r="D36" s="342">
        <v>10480</v>
      </c>
      <c r="E36" s="342">
        <v>10569</v>
      </c>
      <c r="F36" s="342">
        <v>10670</v>
      </c>
      <c r="G36" s="342">
        <v>10692</v>
      </c>
      <c r="H36" s="30">
        <v>10671</v>
      </c>
      <c r="I36" s="30">
        <v>10531</v>
      </c>
      <c r="J36" s="30">
        <v>10317</v>
      </c>
      <c r="K36" s="30">
        <v>10927</v>
      </c>
      <c r="L36" s="30">
        <v>10644</v>
      </c>
      <c r="N36" s="337" t="s">
        <v>6403</v>
      </c>
      <c r="P36" s="4"/>
      <c r="R36" s="4"/>
    </row>
    <row r="37" spans="1:18">
      <c r="A37" s="337" t="s">
        <v>7023</v>
      </c>
      <c r="B37" s="337" t="s">
        <v>6435</v>
      </c>
      <c r="C37" s="4" t="s">
        <v>697</v>
      </c>
      <c r="D37" s="344">
        <v>10174</v>
      </c>
      <c r="E37" s="344">
        <v>10490</v>
      </c>
      <c r="F37" s="344">
        <v>10769</v>
      </c>
      <c r="G37" s="344">
        <v>10923</v>
      </c>
      <c r="H37" s="30">
        <v>10908</v>
      </c>
      <c r="I37" s="30">
        <v>10487</v>
      </c>
      <c r="J37" s="30">
        <v>10268</v>
      </c>
      <c r="K37" s="30">
        <v>11255</v>
      </c>
      <c r="L37" s="30">
        <v>11007</v>
      </c>
      <c r="N37" s="337" t="s">
        <v>2928</v>
      </c>
      <c r="P37" s="4"/>
      <c r="R37" s="4"/>
    </row>
    <row r="38" spans="1:18">
      <c r="A38" s="337" t="s">
        <v>7025</v>
      </c>
      <c r="B38" s="337" t="s">
        <v>6436</v>
      </c>
      <c r="C38" s="4" t="s">
        <v>698</v>
      </c>
      <c r="D38" s="342">
        <v>10224</v>
      </c>
      <c r="E38" s="342">
        <v>10244</v>
      </c>
      <c r="F38" s="342">
        <v>10313</v>
      </c>
      <c r="G38" s="342">
        <v>10437</v>
      </c>
      <c r="H38" s="30">
        <v>10210</v>
      </c>
      <c r="I38" s="30">
        <v>9707</v>
      </c>
      <c r="J38" s="30">
        <v>9557</v>
      </c>
      <c r="K38" s="30">
        <v>10370</v>
      </c>
      <c r="L38" s="30">
        <v>10198</v>
      </c>
      <c r="N38" s="337" t="s">
        <v>2928</v>
      </c>
      <c r="P38" s="4"/>
      <c r="R38" s="4"/>
    </row>
    <row r="39" spans="1:18">
      <c r="A39" s="337" t="s">
        <v>7570</v>
      </c>
      <c r="B39" s="337" t="s">
        <v>6437</v>
      </c>
      <c r="C39" s="4" t="s">
        <v>699</v>
      </c>
      <c r="D39" s="342">
        <v>10282</v>
      </c>
      <c r="E39" s="342">
        <v>10501</v>
      </c>
      <c r="F39" s="342">
        <v>10703</v>
      </c>
      <c r="G39" s="342">
        <v>10696</v>
      </c>
      <c r="H39" s="30">
        <v>10675</v>
      </c>
      <c r="I39" s="30">
        <v>10340</v>
      </c>
      <c r="J39" s="30">
        <v>10068</v>
      </c>
      <c r="K39" s="30">
        <v>10867</v>
      </c>
      <c r="L39" s="30">
        <v>10776</v>
      </c>
      <c r="N39" s="337" t="s">
        <v>2928</v>
      </c>
      <c r="P39" s="4"/>
      <c r="R39" s="4"/>
    </row>
    <row r="40" spans="1:18">
      <c r="A40" s="337" t="s">
        <v>7572</v>
      </c>
      <c r="B40" s="337" t="s">
        <v>6438</v>
      </c>
      <c r="C40" s="4" t="s">
        <v>700</v>
      </c>
      <c r="D40" s="343">
        <v>10688</v>
      </c>
      <c r="E40" s="343">
        <v>10912</v>
      </c>
      <c r="F40" s="343">
        <v>11092</v>
      </c>
      <c r="G40" s="343">
        <v>11163</v>
      </c>
      <c r="H40" s="31">
        <v>11128</v>
      </c>
      <c r="I40" s="31">
        <v>10851</v>
      </c>
      <c r="J40" s="31">
        <v>10527</v>
      </c>
      <c r="K40" s="31">
        <v>11328</v>
      </c>
      <c r="L40" s="31">
        <v>11136</v>
      </c>
      <c r="N40" s="337" t="s">
        <v>2929</v>
      </c>
      <c r="P40" s="4"/>
      <c r="R40" s="4"/>
    </row>
    <row r="41" spans="1:18">
      <c r="A41" s="337" t="s">
        <v>7573</v>
      </c>
      <c r="B41" s="337" t="s">
        <v>6428</v>
      </c>
      <c r="C41" s="4" t="s">
        <v>701</v>
      </c>
      <c r="D41" s="343">
        <v>10710</v>
      </c>
      <c r="E41" s="343">
        <v>10870</v>
      </c>
      <c r="F41" s="343">
        <v>10981</v>
      </c>
      <c r="G41" s="343">
        <v>11007</v>
      </c>
      <c r="H41" s="31">
        <v>10812</v>
      </c>
      <c r="I41" s="31">
        <v>10386</v>
      </c>
      <c r="J41" s="31">
        <v>10159</v>
      </c>
      <c r="K41" s="31">
        <v>10937</v>
      </c>
      <c r="L41" s="31">
        <v>10650</v>
      </c>
      <c r="N41" s="337" t="s">
        <v>2928</v>
      </c>
      <c r="P41" s="4"/>
      <c r="R41" s="4"/>
    </row>
    <row r="42" spans="1:18">
      <c r="A42" s="337" t="s">
        <v>5798</v>
      </c>
      <c r="B42" s="337" t="s">
        <v>6429</v>
      </c>
      <c r="C42" s="4" t="s">
        <v>702</v>
      </c>
      <c r="D42" s="343">
        <v>10291</v>
      </c>
      <c r="E42" s="343">
        <v>10572</v>
      </c>
      <c r="F42" s="343">
        <v>10708</v>
      </c>
      <c r="G42" s="343">
        <v>10693</v>
      </c>
      <c r="H42" s="30">
        <v>10561</v>
      </c>
      <c r="I42" s="30">
        <v>10269</v>
      </c>
      <c r="J42" s="30">
        <v>10112</v>
      </c>
      <c r="K42" s="30">
        <v>10878</v>
      </c>
      <c r="L42" s="30">
        <v>10762</v>
      </c>
      <c r="N42" s="337" t="s">
        <v>6403</v>
      </c>
      <c r="P42" s="4"/>
      <c r="R42" s="4"/>
    </row>
    <row r="44" spans="1:18">
      <c r="A44" s="337" t="s">
        <v>6430</v>
      </c>
    </row>
    <row r="45" spans="1:18">
      <c r="A45" s="345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5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 E5 F5 G5 D6:D17 E6:E17 F6:F17 G6:G17 H3:H4 H5:H17 I3:I17 J3:J17 K3:K17 L3:L17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49"/>
  <sheetViews>
    <sheetView showGridLines="0" zoomScaleNormal="100" workbookViewId="0"/>
  </sheetViews>
  <sheetFormatPr defaultColWidth="12.5703125" defaultRowHeight="15"/>
  <cols>
    <col min="1" max="1" width="4.85546875" style="543" customWidth="1"/>
    <col min="2" max="2" width="40.7109375" style="543" customWidth="1"/>
    <col min="3" max="3" width="11.7109375" style="543" customWidth="1"/>
    <col min="4" max="12" width="10" style="543" customWidth="1"/>
    <col min="13" max="13" width="2.28515625" style="543" customWidth="1"/>
    <col min="14" max="14" width="29.140625" style="543" customWidth="1"/>
    <col min="15" max="16384" width="12.5703125" style="543"/>
  </cols>
  <sheetData>
    <row r="1" spans="1:14">
      <c r="A1" s="542" t="s">
        <v>8847</v>
      </c>
      <c r="D1" s="544">
        <v>2010</v>
      </c>
      <c r="E1" s="544">
        <v>2011</v>
      </c>
      <c r="F1" s="544">
        <v>2012</v>
      </c>
      <c r="G1" s="544">
        <v>2013</v>
      </c>
      <c r="H1" s="544">
        <v>2014</v>
      </c>
      <c r="I1" s="544">
        <v>2015</v>
      </c>
      <c r="J1" s="544">
        <v>2016</v>
      </c>
      <c r="K1" s="544">
        <v>2017</v>
      </c>
      <c r="L1" s="544">
        <v>2018</v>
      </c>
    </row>
    <row r="3" spans="1:14">
      <c r="A3" s="542" t="s">
        <v>3346</v>
      </c>
      <c r="D3" s="545">
        <f t="shared" ref="D3:I3" si="0">SUM(D5:D10)</f>
        <v>390360</v>
      </c>
      <c r="E3" s="545">
        <f t="shared" si="0"/>
        <v>390370</v>
      </c>
      <c r="F3" s="545">
        <f t="shared" si="0"/>
        <v>390998</v>
      </c>
      <c r="G3" s="545">
        <f t="shared" si="0"/>
        <v>392012</v>
      </c>
      <c r="H3" s="545">
        <f t="shared" si="0"/>
        <v>379590</v>
      </c>
      <c r="I3" s="545">
        <f t="shared" si="0"/>
        <v>379431</v>
      </c>
      <c r="J3" s="545">
        <f t="shared" ref="J3:K3" si="1">SUM(J5:J10)</f>
        <v>373997</v>
      </c>
      <c r="K3" s="545">
        <f t="shared" si="1"/>
        <v>376963</v>
      </c>
      <c r="L3" s="545">
        <f t="shared" ref="L3" si="2">SUM(L5:L10)</f>
        <v>385663</v>
      </c>
    </row>
    <row r="4" spans="1:14">
      <c r="D4" s="546"/>
      <c r="E4" s="546"/>
      <c r="F4" s="546"/>
      <c r="G4" s="546"/>
      <c r="H4" s="546"/>
      <c r="I4" s="546"/>
      <c r="J4" s="546"/>
      <c r="K4" s="546"/>
      <c r="L4" s="546"/>
    </row>
    <row r="5" spans="1:14">
      <c r="A5" s="542" t="s">
        <v>6431</v>
      </c>
      <c r="C5" s="542"/>
      <c r="D5" s="545">
        <f t="shared" ref="D5:I5" si="3">D42</f>
        <v>73780</v>
      </c>
      <c r="E5" s="545">
        <f t="shared" si="3"/>
        <v>73411</v>
      </c>
      <c r="F5" s="545">
        <f t="shared" si="3"/>
        <v>74117</v>
      </c>
      <c r="G5" s="545">
        <f t="shared" si="3"/>
        <v>74503</v>
      </c>
      <c r="H5" s="545">
        <f t="shared" si="3"/>
        <v>68633</v>
      </c>
      <c r="I5" s="545">
        <f t="shared" si="3"/>
        <v>70353</v>
      </c>
      <c r="J5" s="545">
        <f t="shared" ref="J5:K5" si="4">J42</f>
        <v>72052</v>
      </c>
      <c r="K5" s="545">
        <f t="shared" si="4"/>
        <v>72480</v>
      </c>
      <c r="L5" s="545">
        <f t="shared" ref="L5" si="5">L42</f>
        <v>73713</v>
      </c>
      <c r="N5" s="547"/>
    </row>
    <row r="6" spans="1:14">
      <c r="A6" s="542" t="s">
        <v>6432</v>
      </c>
      <c r="C6" s="542"/>
      <c r="D6" s="545">
        <f t="shared" ref="D6:I6" si="6">D84</f>
        <v>53283</v>
      </c>
      <c r="E6" s="545">
        <f t="shared" si="6"/>
        <v>53225</v>
      </c>
      <c r="F6" s="545">
        <f t="shared" si="6"/>
        <v>53014</v>
      </c>
      <c r="G6" s="545">
        <f t="shared" si="6"/>
        <v>53708</v>
      </c>
      <c r="H6" s="545">
        <f t="shared" si="6"/>
        <v>52505</v>
      </c>
      <c r="I6" s="545">
        <f t="shared" si="6"/>
        <v>52222</v>
      </c>
      <c r="J6" s="545">
        <f t="shared" ref="J6:K6" si="7">J84</f>
        <v>52499</v>
      </c>
      <c r="K6" s="545">
        <f t="shared" si="7"/>
        <v>53349</v>
      </c>
      <c r="L6" s="545">
        <f t="shared" ref="L6" si="8">L84</f>
        <v>53078</v>
      </c>
      <c r="N6" s="547"/>
    </row>
    <row r="7" spans="1:14">
      <c r="A7" s="542" t="s">
        <v>6433</v>
      </c>
      <c r="C7" s="542"/>
      <c r="D7" s="545">
        <f t="shared" ref="D7:I7" si="9">D106</f>
        <v>83014</v>
      </c>
      <c r="E7" s="545">
        <f t="shared" si="9"/>
        <v>83854</v>
      </c>
      <c r="F7" s="545">
        <f t="shared" si="9"/>
        <v>84098</v>
      </c>
      <c r="G7" s="545">
        <f t="shared" si="9"/>
        <v>83932</v>
      </c>
      <c r="H7" s="545">
        <f t="shared" si="9"/>
        <v>83519</v>
      </c>
      <c r="I7" s="545">
        <f t="shared" si="9"/>
        <v>81765</v>
      </c>
      <c r="J7" s="545">
        <f t="shared" ref="J7:K7" si="10">J106</f>
        <v>76825</v>
      </c>
      <c r="K7" s="545">
        <f t="shared" si="10"/>
        <v>76334</v>
      </c>
      <c r="L7" s="545">
        <f t="shared" ref="L7" si="11">L106</f>
        <v>81821</v>
      </c>
      <c r="N7" s="547"/>
    </row>
    <row r="8" spans="1:14">
      <c r="A8" s="542" t="s">
        <v>6434</v>
      </c>
      <c r="C8" s="542"/>
      <c r="D8" s="545">
        <f t="shared" ref="D8:I8" si="12">D138</f>
        <v>55619</v>
      </c>
      <c r="E8" s="545">
        <f t="shared" si="12"/>
        <v>55710</v>
      </c>
      <c r="F8" s="545">
        <f t="shared" si="12"/>
        <v>55736</v>
      </c>
      <c r="G8" s="545">
        <f t="shared" si="12"/>
        <v>55510</v>
      </c>
      <c r="H8" s="545">
        <f t="shared" si="12"/>
        <v>54095</v>
      </c>
      <c r="I8" s="545">
        <f t="shared" si="12"/>
        <v>53730</v>
      </c>
      <c r="J8" s="545">
        <f t="shared" ref="J8:K8" si="13">J138</f>
        <v>53024</v>
      </c>
      <c r="K8" s="545">
        <f t="shared" si="13"/>
        <v>52665</v>
      </c>
      <c r="L8" s="545">
        <f t="shared" ref="L8" si="14">L138</f>
        <v>53035</v>
      </c>
      <c r="N8" s="547"/>
    </row>
    <row r="9" spans="1:14">
      <c r="A9" s="542" t="s">
        <v>4644</v>
      </c>
      <c r="C9" s="542"/>
      <c r="D9" s="545">
        <f t="shared" ref="D9:I9" si="15">D172</f>
        <v>41639</v>
      </c>
      <c r="E9" s="545">
        <f t="shared" si="15"/>
        <v>41638</v>
      </c>
      <c r="F9" s="545">
        <f t="shared" si="15"/>
        <v>41610</v>
      </c>
      <c r="G9" s="545">
        <f t="shared" si="15"/>
        <v>41576</v>
      </c>
      <c r="H9" s="545">
        <f t="shared" si="15"/>
        <v>41109</v>
      </c>
      <c r="I9" s="545">
        <f t="shared" si="15"/>
        <v>41083</v>
      </c>
      <c r="J9" s="545">
        <f t="shared" ref="J9:K9" si="16">J172</f>
        <v>40434</v>
      </c>
      <c r="K9" s="545">
        <f t="shared" si="16"/>
        <v>41203</v>
      </c>
      <c r="L9" s="545">
        <f t="shared" ref="L9" si="17">L172</f>
        <v>42005</v>
      </c>
      <c r="N9" s="547"/>
    </row>
    <row r="10" spans="1:14">
      <c r="A10" s="542" t="s">
        <v>4645</v>
      </c>
      <c r="C10" s="542"/>
      <c r="D10" s="545">
        <f t="shared" ref="D10:K10" si="18">D211</f>
        <v>83025</v>
      </c>
      <c r="E10" s="545">
        <f t="shared" si="18"/>
        <v>82532</v>
      </c>
      <c r="F10" s="545">
        <f t="shared" si="18"/>
        <v>82423</v>
      </c>
      <c r="G10" s="545">
        <f t="shared" si="18"/>
        <v>82783</v>
      </c>
      <c r="H10" s="545">
        <f t="shared" si="18"/>
        <v>79729</v>
      </c>
      <c r="I10" s="545">
        <f t="shared" si="18"/>
        <v>80278</v>
      </c>
      <c r="J10" s="545">
        <f t="shared" si="18"/>
        <v>79163</v>
      </c>
      <c r="K10" s="545">
        <f t="shared" si="18"/>
        <v>80932</v>
      </c>
      <c r="L10" s="545">
        <f>L211</f>
        <v>82011</v>
      </c>
      <c r="N10" s="547"/>
    </row>
    <row r="12" spans="1:14">
      <c r="A12" s="542" t="s">
        <v>7122</v>
      </c>
      <c r="D12" s="545">
        <f t="shared" ref="D12:I12" si="19">D3/5</f>
        <v>78072</v>
      </c>
      <c r="E12" s="545">
        <f t="shared" si="19"/>
        <v>78074</v>
      </c>
      <c r="F12" s="545">
        <f t="shared" si="19"/>
        <v>78199.600000000006</v>
      </c>
      <c r="G12" s="545">
        <f t="shared" si="19"/>
        <v>78402.399999999994</v>
      </c>
      <c r="H12" s="545">
        <f t="shared" si="19"/>
        <v>75918</v>
      </c>
      <c r="I12" s="545">
        <f t="shared" si="19"/>
        <v>75886.2</v>
      </c>
      <c r="J12" s="545">
        <f t="shared" ref="J12:K12" si="20">J3/5</f>
        <v>74799.399999999994</v>
      </c>
      <c r="K12" s="545">
        <f t="shared" si="20"/>
        <v>75392.600000000006</v>
      </c>
      <c r="L12" s="545">
        <f t="shared" ref="L12" si="21">L3/5</f>
        <v>77132.600000000006</v>
      </c>
    </row>
    <row r="13" spans="1:14">
      <c r="D13" s="546"/>
      <c r="E13" s="546"/>
      <c r="F13" s="546"/>
      <c r="G13" s="546"/>
      <c r="H13" s="546"/>
      <c r="I13" s="546"/>
      <c r="J13" s="546"/>
      <c r="K13" s="546"/>
      <c r="L13" s="546"/>
    </row>
    <row r="14" spans="1:14">
      <c r="A14" s="542" t="s">
        <v>4646</v>
      </c>
      <c r="D14" s="545">
        <f t="shared" ref="D14:I14" si="22">D99</f>
        <v>53283</v>
      </c>
      <c r="E14" s="545">
        <f t="shared" si="22"/>
        <v>53225</v>
      </c>
      <c r="F14" s="545">
        <f t="shared" si="22"/>
        <v>53014</v>
      </c>
      <c r="G14" s="545">
        <f t="shared" si="22"/>
        <v>53708</v>
      </c>
      <c r="H14" s="545">
        <f t="shared" si="22"/>
        <v>52505</v>
      </c>
      <c r="I14" s="545">
        <f t="shared" si="22"/>
        <v>52222</v>
      </c>
      <c r="J14" s="545">
        <f t="shared" ref="J14:K14" si="23">J99</f>
        <v>52499</v>
      </c>
      <c r="K14" s="545">
        <f t="shared" si="23"/>
        <v>53349</v>
      </c>
      <c r="L14" s="545">
        <f t="shared" ref="L14" si="24">L99</f>
        <v>53078</v>
      </c>
      <c r="N14" s="542" t="s">
        <v>5037</v>
      </c>
    </row>
    <row r="15" spans="1:14" ht="15.75" thickBot="1">
      <c r="D15" s="548">
        <f t="shared" ref="D15:K15" si="25">D233</f>
        <v>15998</v>
      </c>
      <c r="E15" s="548">
        <f t="shared" si="25"/>
        <v>15923</v>
      </c>
      <c r="F15" s="548">
        <f t="shared" si="25"/>
        <v>15841</v>
      </c>
      <c r="G15" s="548">
        <f t="shared" si="25"/>
        <v>15991</v>
      </c>
      <c r="H15" s="548">
        <f t="shared" si="25"/>
        <v>15142</v>
      </c>
      <c r="I15" s="548">
        <f t="shared" si="25"/>
        <v>15407</v>
      </c>
      <c r="J15" s="548">
        <f t="shared" si="25"/>
        <v>15278</v>
      </c>
      <c r="K15" s="548">
        <f t="shared" si="25"/>
        <v>15692</v>
      </c>
      <c r="L15" s="548">
        <f>L233</f>
        <v>16000</v>
      </c>
      <c r="N15" s="542" t="s">
        <v>4647</v>
      </c>
    </row>
    <row r="16" spans="1:14" ht="15.75" thickBot="1">
      <c r="D16" s="548">
        <f t="shared" ref="D16:I16" si="26">D14+D15</f>
        <v>69281</v>
      </c>
      <c r="E16" s="548">
        <f t="shared" si="26"/>
        <v>69148</v>
      </c>
      <c r="F16" s="548">
        <f t="shared" si="26"/>
        <v>68855</v>
      </c>
      <c r="G16" s="548">
        <f t="shared" si="26"/>
        <v>69699</v>
      </c>
      <c r="H16" s="548">
        <f t="shared" si="26"/>
        <v>67647</v>
      </c>
      <c r="I16" s="548">
        <f t="shared" si="26"/>
        <v>67629</v>
      </c>
      <c r="J16" s="548">
        <f t="shared" ref="J16:K16" si="27">J14+J15</f>
        <v>67777</v>
      </c>
      <c r="K16" s="548">
        <f t="shared" si="27"/>
        <v>69041</v>
      </c>
      <c r="L16" s="548">
        <f t="shared" ref="L16" si="28">L14+L15</f>
        <v>69078</v>
      </c>
    </row>
    <row r="17" spans="1:14">
      <c r="D17" s="546"/>
      <c r="E17" s="546"/>
      <c r="F17" s="546"/>
      <c r="G17" s="546"/>
      <c r="H17" s="546"/>
      <c r="I17" s="546"/>
      <c r="J17" s="546"/>
      <c r="K17" s="546"/>
      <c r="L17" s="546"/>
    </row>
    <row r="18" spans="1:14">
      <c r="A18" s="542" t="s">
        <v>4648</v>
      </c>
      <c r="D18" s="545">
        <f t="shared" ref="D18:I18" si="29">D130</f>
        <v>65621</v>
      </c>
      <c r="E18" s="545">
        <f t="shared" si="29"/>
        <v>66322</v>
      </c>
      <c r="F18" s="545">
        <f t="shared" si="29"/>
        <v>66619</v>
      </c>
      <c r="G18" s="545">
        <f t="shared" si="29"/>
        <v>66436</v>
      </c>
      <c r="H18" s="545">
        <f t="shared" si="29"/>
        <v>66146</v>
      </c>
      <c r="I18" s="545">
        <f t="shared" si="29"/>
        <v>64673</v>
      </c>
      <c r="J18" s="545">
        <f t="shared" ref="J18:K18" si="30">J130</f>
        <v>60507</v>
      </c>
      <c r="K18" s="545">
        <f t="shared" si="30"/>
        <v>59942</v>
      </c>
      <c r="L18" s="545">
        <f t="shared" ref="L18" si="31">L130</f>
        <v>64370</v>
      </c>
      <c r="N18" s="542" t="s">
        <v>4649</v>
      </c>
    </row>
    <row r="19" spans="1:14">
      <c r="D19" s="546"/>
      <c r="E19" s="546"/>
      <c r="F19" s="546"/>
      <c r="G19" s="546"/>
      <c r="H19" s="546"/>
      <c r="I19" s="546"/>
      <c r="J19" s="546"/>
      <c r="K19" s="546"/>
      <c r="L19" s="546"/>
    </row>
    <row r="20" spans="1:14">
      <c r="A20" s="542" t="s">
        <v>4650</v>
      </c>
      <c r="D20" s="546">
        <f t="shared" ref="D20:I20" si="32">D75</f>
        <v>8069</v>
      </c>
      <c r="E20" s="546">
        <f t="shared" si="32"/>
        <v>7986</v>
      </c>
      <c r="F20" s="546">
        <f t="shared" si="32"/>
        <v>7959</v>
      </c>
      <c r="G20" s="546">
        <f t="shared" si="32"/>
        <v>8004</v>
      </c>
      <c r="H20" s="546">
        <f t="shared" si="32"/>
        <v>7371</v>
      </c>
      <c r="I20" s="546">
        <f t="shared" si="32"/>
        <v>7565</v>
      </c>
      <c r="J20" s="546">
        <f t="shared" ref="J20:K20" si="33">J75</f>
        <v>7761</v>
      </c>
      <c r="K20" s="546">
        <f t="shared" si="33"/>
        <v>7744</v>
      </c>
      <c r="L20" s="546">
        <f t="shared" ref="L20" si="34">L75</f>
        <v>7808</v>
      </c>
      <c r="N20" s="542" t="s">
        <v>4651</v>
      </c>
    </row>
    <row r="21" spans="1:14" ht="15.75" thickBot="1">
      <c r="A21" s="542"/>
      <c r="D21" s="545">
        <f t="shared" ref="D21:I21" si="35">D165</f>
        <v>55619</v>
      </c>
      <c r="E21" s="545">
        <f t="shared" si="35"/>
        <v>55710</v>
      </c>
      <c r="F21" s="545">
        <f t="shared" si="35"/>
        <v>55736</v>
      </c>
      <c r="G21" s="545">
        <f t="shared" si="35"/>
        <v>55510</v>
      </c>
      <c r="H21" s="545">
        <f t="shared" si="35"/>
        <v>54095</v>
      </c>
      <c r="I21" s="545">
        <f t="shared" si="35"/>
        <v>53730</v>
      </c>
      <c r="J21" s="545">
        <f t="shared" ref="J21:K21" si="36">J165</f>
        <v>53024</v>
      </c>
      <c r="K21" s="545">
        <f t="shared" si="36"/>
        <v>52665</v>
      </c>
      <c r="L21" s="545">
        <f t="shared" ref="L21" si="37">L165</f>
        <v>53035</v>
      </c>
      <c r="N21" s="542" t="s">
        <v>5039</v>
      </c>
    </row>
    <row r="22" spans="1:14" ht="15.75" thickBot="1">
      <c r="A22" s="542"/>
      <c r="D22" s="549">
        <f t="shared" ref="D22:I22" si="38">SUM(D20:D21)</f>
        <v>63688</v>
      </c>
      <c r="E22" s="549">
        <f t="shared" si="38"/>
        <v>63696</v>
      </c>
      <c r="F22" s="549">
        <f t="shared" si="38"/>
        <v>63695</v>
      </c>
      <c r="G22" s="549">
        <f t="shared" si="38"/>
        <v>63514</v>
      </c>
      <c r="H22" s="549">
        <f t="shared" si="38"/>
        <v>61466</v>
      </c>
      <c r="I22" s="549">
        <f t="shared" si="38"/>
        <v>61295</v>
      </c>
      <c r="J22" s="549">
        <f t="shared" ref="J22:K22" si="39">SUM(J20:J21)</f>
        <v>60785</v>
      </c>
      <c r="K22" s="549">
        <f t="shared" si="39"/>
        <v>60409</v>
      </c>
      <c r="L22" s="549">
        <f t="shared" ref="L22" si="40">SUM(L20:L21)</f>
        <v>60843</v>
      </c>
      <c r="N22" s="542"/>
    </row>
    <row r="23" spans="1:14">
      <c r="D23" s="546"/>
      <c r="E23" s="546"/>
      <c r="F23" s="546"/>
      <c r="G23" s="546"/>
      <c r="H23" s="546"/>
      <c r="I23" s="546"/>
      <c r="J23" s="546"/>
      <c r="K23" s="546"/>
      <c r="L23" s="546"/>
    </row>
    <row r="24" spans="1:14">
      <c r="A24" s="542" t="s">
        <v>4652</v>
      </c>
      <c r="D24" s="545">
        <f t="shared" ref="D24:I24" si="41">D76</f>
        <v>6009</v>
      </c>
      <c r="E24" s="545">
        <f t="shared" si="41"/>
        <v>6064</v>
      </c>
      <c r="F24" s="545">
        <f t="shared" si="41"/>
        <v>6102</v>
      </c>
      <c r="G24" s="545">
        <f t="shared" si="41"/>
        <v>6069</v>
      </c>
      <c r="H24" s="545">
        <f t="shared" si="41"/>
        <v>5717</v>
      </c>
      <c r="I24" s="545">
        <f t="shared" si="41"/>
        <v>5861</v>
      </c>
      <c r="J24" s="545">
        <f t="shared" ref="J24:K24" si="42">J76</f>
        <v>5924</v>
      </c>
      <c r="K24" s="545">
        <f t="shared" si="42"/>
        <v>6081</v>
      </c>
      <c r="L24" s="545">
        <f t="shared" ref="L24" si="43">L76</f>
        <v>6093</v>
      </c>
      <c r="N24" s="542" t="s">
        <v>4651</v>
      </c>
    </row>
    <row r="25" spans="1:14">
      <c r="D25" s="545">
        <f t="shared" ref="D25:I25" si="44">D131</f>
        <v>17393</v>
      </c>
      <c r="E25" s="545">
        <f t="shared" si="44"/>
        <v>17532</v>
      </c>
      <c r="F25" s="545">
        <f t="shared" si="44"/>
        <v>17479</v>
      </c>
      <c r="G25" s="545">
        <f t="shared" si="44"/>
        <v>17496</v>
      </c>
      <c r="H25" s="545">
        <f t="shared" si="44"/>
        <v>17373</v>
      </c>
      <c r="I25" s="545">
        <f t="shared" si="44"/>
        <v>17092</v>
      </c>
      <c r="J25" s="545">
        <f t="shared" ref="J25:K25" si="45">J131</f>
        <v>16318</v>
      </c>
      <c r="K25" s="545">
        <f t="shared" si="45"/>
        <v>16392</v>
      </c>
      <c r="L25" s="545">
        <f t="shared" ref="L25" si="46">L131</f>
        <v>17451</v>
      </c>
      <c r="N25" s="542" t="s">
        <v>4649</v>
      </c>
    </row>
    <row r="26" spans="1:14" ht="15.75" thickBot="1">
      <c r="D26" s="548">
        <f t="shared" ref="D26:I26" si="47">D204</f>
        <v>41639</v>
      </c>
      <c r="E26" s="548">
        <f t="shared" si="47"/>
        <v>41638</v>
      </c>
      <c r="F26" s="548">
        <f t="shared" si="47"/>
        <v>41610</v>
      </c>
      <c r="G26" s="548">
        <f t="shared" si="47"/>
        <v>41576</v>
      </c>
      <c r="H26" s="548">
        <f t="shared" si="47"/>
        <v>41109</v>
      </c>
      <c r="I26" s="548">
        <f t="shared" si="47"/>
        <v>41083</v>
      </c>
      <c r="J26" s="548">
        <f t="shared" ref="J26:K26" si="48">J204</f>
        <v>40434</v>
      </c>
      <c r="K26" s="548">
        <f t="shared" si="48"/>
        <v>41203</v>
      </c>
      <c r="L26" s="548">
        <f t="shared" ref="L26" si="49">L204</f>
        <v>42005</v>
      </c>
      <c r="N26" s="542" t="s">
        <v>5040</v>
      </c>
    </row>
    <row r="27" spans="1:14" ht="15.75" thickBot="1">
      <c r="D27" s="548">
        <f t="shared" ref="D27:I27" si="50">SUM(D24:D26)</f>
        <v>65041</v>
      </c>
      <c r="E27" s="548">
        <f t="shared" si="50"/>
        <v>65234</v>
      </c>
      <c r="F27" s="548">
        <f t="shared" si="50"/>
        <v>65191</v>
      </c>
      <c r="G27" s="548">
        <f t="shared" si="50"/>
        <v>65141</v>
      </c>
      <c r="H27" s="548">
        <f t="shared" si="50"/>
        <v>64199</v>
      </c>
      <c r="I27" s="548">
        <f t="shared" si="50"/>
        <v>64036</v>
      </c>
      <c r="J27" s="548">
        <f t="shared" ref="J27:K27" si="51">SUM(J24:J26)</f>
        <v>62676</v>
      </c>
      <c r="K27" s="548">
        <f t="shared" si="51"/>
        <v>63676</v>
      </c>
      <c r="L27" s="548">
        <f t="shared" ref="L27" si="52">SUM(L24:L26)</f>
        <v>65549</v>
      </c>
    </row>
    <row r="28" spans="1:14">
      <c r="D28" s="546"/>
      <c r="E28" s="546"/>
      <c r="F28" s="546"/>
      <c r="G28" s="546"/>
      <c r="H28" s="546"/>
      <c r="I28" s="546"/>
      <c r="J28" s="546"/>
      <c r="K28" s="546"/>
      <c r="L28" s="546"/>
    </row>
    <row r="29" spans="1:14">
      <c r="A29" s="542" t="s">
        <v>4653</v>
      </c>
      <c r="D29" s="545">
        <f t="shared" ref="D29:K29" si="53">D234</f>
        <v>67027</v>
      </c>
      <c r="E29" s="545">
        <f t="shared" si="53"/>
        <v>66609</v>
      </c>
      <c r="F29" s="545">
        <f t="shared" si="53"/>
        <v>66582</v>
      </c>
      <c r="G29" s="545">
        <f t="shared" si="53"/>
        <v>66792</v>
      </c>
      <c r="H29" s="545">
        <f t="shared" si="53"/>
        <v>64587</v>
      </c>
      <c r="I29" s="545">
        <f t="shared" si="53"/>
        <v>64871</v>
      </c>
      <c r="J29" s="545">
        <f t="shared" si="53"/>
        <v>63885</v>
      </c>
      <c r="K29" s="545">
        <f t="shared" si="53"/>
        <v>65240</v>
      </c>
      <c r="L29" s="545">
        <f>L234</f>
        <v>66011</v>
      </c>
      <c r="N29" s="542" t="s">
        <v>4647</v>
      </c>
    </row>
    <row r="30" spans="1:14">
      <c r="D30" s="546"/>
      <c r="E30" s="546"/>
      <c r="F30" s="546"/>
      <c r="G30" s="546"/>
      <c r="H30" s="546"/>
      <c r="I30" s="546"/>
      <c r="J30" s="546"/>
      <c r="K30" s="546"/>
      <c r="L30" s="546"/>
    </row>
    <row r="31" spans="1:14">
      <c r="A31" s="542" t="s">
        <v>4654</v>
      </c>
      <c r="D31" s="545">
        <f t="shared" ref="D31:I31" si="54">D77</f>
        <v>59702</v>
      </c>
      <c r="E31" s="545">
        <f t="shared" si="54"/>
        <v>59361</v>
      </c>
      <c r="F31" s="545">
        <f t="shared" si="54"/>
        <v>60056</v>
      </c>
      <c r="G31" s="545">
        <f t="shared" si="54"/>
        <v>60430</v>
      </c>
      <c r="H31" s="545">
        <f t="shared" si="54"/>
        <v>55545</v>
      </c>
      <c r="I31" s="545">
        <f t="shared" si="54"/>
        <v>56927</v>
      </c>
      <c r="J31" s="545">
        <f t="shared" ref="J31:K31" si="55">J77</f>
        <v>58367</v>
      </c>
      <c r="K31" s="545">
        <f t="shared" si="55"/>
        <v>58655</v>
      </c>
      <c r="L31" s="545">
        <f t="shared" ref="L31" si="56">L77</f>
        <v>59812</v>
      </c>
      <c r="N31" s="542" t="s">
        <v>4651</v>
      </c>
    </row>
    <row r="32" spans="1:14">
      <c r="D32" s="546"/>
      <c r="E32" s="546"/>
      <c r="F32" s="546"/>
      <c r="G32" s="546"/>
      <c r="H32" s="546"/>
      <c r="I32" s="546"/>
      <c r="J32" s="546"/>
      <c r="K32" s="546"/>
      <c r="L32" s="546"/>
    </row>
    <row r="33" spans="1:17">
      <c r="A33" s="542" t="s">
        <v>8697</v>
      </c>
      <c r="D33" s="545">
        <f t="shared" ref="D33:I33" si="57">D16+D18+D22+D27+D29+D31</f>
        <v>390360</v>
      </c>
      <c r="E33" s="545">
        <f t="shared" si="57"/>
        <v>390370</v>
      </c>
      <c r="F33" s="545">
        <f t="shared" si="57"/>
        <v>390998</v>
      </c>
      <c r="G33" s="545">
        <f t="shared" si="57"/>
        <v>392012</v>
      </c>
      <c r="H33" s="545">
        <f t="shared" si="57"/>
        <v>379590</v>
      </c>
      <c r="I33" s="545">
        <f t="shared" si="57"/>
        <v>379431</v>
      </c>
      <c r="J33" s="545">
        <f t="shared" ref="J33:K33" si="58">J16+J18+J22+J27+J29+J31</f>
        <v>373997</v>
      </c>
      <c r="K33" s="545">
        <f t="shared" si="58"/>
        <v>376963</v>
      </c>
      <c r="L33" s="545">
        <f t="shared" ref="L33" si="59">L16+L18+L22+L27+L29+L31</f>
        <v>385663</v>
      </c>
    </row>
    <row r="34" spans="1:17">
      <c r="D34" s="546"/>
      <c r="E34" s="546"/>
      <c r="F34" s="546"/>
      <c r="G34" s="546"/>
      <c r="H34" s="546"/>
      <c r="I34" s="546"/>
      <c r="J34" s="546"/>
      <c r="K34" s="546"/>
      <c r="L34" s="546"/>
    </row>
    <row r="35" spans="1:17">
      <c r="A35" s="542" t="s">
        <v>8698</v>
      </c>
      <c r="D35" s="545">
        <f t="shared" ref="D35:I35" si="60">MAX(D16,D18,D22,D27,D29,D31)-MIN(D16,D18,D22,D27,D29,D31)</f>
        <v>9579</v>
      </c>
      <c r="E35" s="545">
        <f t="shared" si="60"/>
        <v>9787</v>
      </c>
      <c r="F35" s="545">
        <f t="shared" si="60"/>
        <v>8799</v>
      </c>
      <c r="G35" s="545">
        <f t="shared" si="60"/>
        <v>9269</v>
      </c>
      <c r="H35" s="545">
        <f t="shared" si="60"/>
        <v>12102</v>
      </c>
      <c r="I35" s="545">
        <f t="shared" si="60"/>
        <v>10702</v>
      </c>
      <c r="J35" s="545">
        <f t="shared" ref="J35:K35" si="61">MAX(J16,J18,J22,J27,J29,J31)-MIN(J16,J18,J22,J27,J29,J31)</f>
        <v>9410</v>
      </c>
      <c r="K35" s="545">
        <f t="shared" si="61"/>
        <v>10386</v>
      </c>
      <c r="L35" s="545">
        <f t="shared" ref="L35" si="62">MAX(L16,L18,L22,L27,L29,L31)-MIN(L16,L18,L22,L27,L29,L31)</f>
        <v>9266</v>
      </c>
    </row>
    <row r="36" spans="1:17">
      <c r="D36" s="546"/>
      <c r="E36" s="546"/>
      <c r="F36" s="546"/>
      <c r="G36" s="546"/>
      <c r="H36" s="546"/>
      <c r="I36" s="546"/>
      <c r="J36" s="546"/>
      <c r="K36" s="546"/>
      <c r="L36" s="546"/>
    </row>
    <row r="37" spans="1:17">
      <c r="A37" s="542" t="s">
        <v>8701</v>
      </c>
      <c r="D37" s="545">
        <f t="shared" ref="D37:I37" si="63">STDEVP(D16,D18,D22,D27,D29,D31)</f>
        <v>2960.6181786917409</v>
      </c>
      <c r="E37" s="545">
        <f t="shared" si="63"/>
        <v>3029.6629442159988</v>
      </c>
      <c r="F37" s="545">
        <f t="shared" si="63"/>
        <v>2768.9213102257386</v>
      </c>
      <c r="G37" s="545">
        <f t="shared" si="63"/>
        <v>2880.7478002922935</v>
      </c>
      <c r="H37" s="545">
        <f t="shared" si="63"/>
        <v>3936.0920974997525</v>
      </c>
      <c r="I37" s="545">
        <f t="shared" si="63"/>
        <v>3372.6242873070423</v>
      </c>
      <c r="J37" s="545">
        <f t="shared" ref="J37:K37" si="64">STDEVP(J16,J18,J22,J27,J29,J31)</f>
        <v>2989.5157030677879</v>
      </c>
      <c r="K37" s="545">
        <f t="shared" si="64"/>
        <v>3576.1408164233258</v>
      </c>
      <c r="L37" s="545">
        <f t="shared" ref="L37" si="65">STDEVP(L16,L18,L22,L27,L29,L31)</f>
        <v>3146.7329839409986</v>
      </c>
    </row>
    <row r="38" spans="1:17">
      <c r="A38" s="542"/>
      <c r="D38" s="550"/>
      <c r="E38" s="550"/>
      <c r="F38" s="550"/>
      <c r="G38" s="550"/>
      <c r="H38" s="550"/>
      <c r="I38" s="550"/>
      <c r="J38" s="550"/>
      <c r="K38" s="550"/>
      <c r="L38" s="550"/>
    </row>
    <row r="39" spans="1:17">
      <c r="A39" s="542"/>
      <c r="D39" s="550"/>
      <c r="E39" s="550"/>
      <c r="F39" s="550"/>
      <c r="G39" s="550"/>
      <c r="H39" s="550"/>
      <c r="I39" s="550"/>
      <c r="J39" s="550"/>
      <c r="K39" s="550"/>
      <c r="L39" s="550"/>
    </row>
    <row r="40" spans="1:17">
      <c r="E40" s="42" t="s">
        <v>2303</v>
      </c>
      <c r="F40" s="42"/>
      <c r="G40" s="42"/>
      <c r="H40" s="42"/>
      <c r="I40" s="42"/>
      <c r="J40" s="42"/>
      <c r="K40" s="42"/>
      <c r="L40" s="42"/>
      <c r="M40" s="153"/>
      <c r="N40" s="109" t="s">
        <v>13319</v>
      </c>
    </row>
    <row r="41" spans="1:17">
      <c r="D41" s="110">
        <v>2010</v>
      </c>
      <c r="E41" s="110">
        <v>2011</v>
      </c>
      <c r="F41" s="110">
        <v>2012</v>
      </c>
      <c r="G41" s="110">
        <v>2013</v>
      </c>
      <c r="H41" s="110">
        <v>2014</v>
      </c>
      <c r="I41" s="110">
        <v>2015</v>
      </c>
      <c r="J41" s="110">
        <v>2016</v>
      </c>
      <c r="K41" s="110">
        <v>2017</v>
      </c>
      <c r="L41" s="110">
        <v>2018</v>
      </c>
      <c r="M41" s="111"/>
      <c r="N41" s="112" t="s">
        <v>2304</v>
      </c>
    </row>
    <row r="42" spans="1:17">
      <c r="A42" s="542" t="s">
        <v>4655</v>
      </c>
      <c r="C42" s="542"/>
      <c r="D42" s="545">
        <f t="shared" ref="D42:I42" si="66">SUM(D43:D71)+D72+D73</f>
        <v>73780</v>
      </c>
      <c r="E42" s="545">
        <f t="shared" si="66"/>
        <v>73411</v>
      </c>
      <c r="F42" s="545">
        <f t="shared" si="66"/>
        <v>74117</v>
      </c>
      <c r="G42" s="545">
        <f t="shared" si="66"/>
        <v>74503</v>
      </c>
      <c r="H42" s="545">
        <f t="shared" si="66"/>
        <v>68633</v>
      </c>
      <c r="I42" s="545">
        <f t="shared" si="66"/>
        <v>70353</v>
      </c>
      <c r="J42" s="545">
        <f t="shared" ref="J42:K42" si="67">SUM(J43:J71)+J72+J73</f>
        <v>72052</v>
      </c>
      <c r="K42" s="545">
        <f t="shared" si="67"/>
        <v>72480</v>
      </c>
      <c r="L42" s="545">
        <f t="shared" ref="L42" si="68">SUM(L43:L71)+L72+L73</f>
        <v>73713</v>
      </c>
    </row>
    <row r="43" spans="1:17">
      <c r="A43" s="551">
        <v>1</v>
      </c>
      <c r="B43" s="542" t="s">
        <v>4656</v>
      </c>
      <c r="C43" s="4" t="s">
        <v>10096</v>
      </c>
      <c r="D43" s="546">
        <v>3687</v>
      </c>
      <c r="E43" s="546">
        <v>3712</v>
      </c>
      <c r="F43" s="546">
        <v>3770</v>
      </c>
      <c r="G43" s="546">
        <v>3765</v>
      </c>
      <c r="H43" s="48">
        <v>3589</v>
      </c>
      <c r="I43" s="48">
        <v>3652</v>
      </c>
      <c r="J43" s="48">
        <v>3680</v>
      </c>
      <c r="K43" s="48">
        <v>3631</v>
      </c>
      <c r="L43" s="48">
        <v>3637</v>
      </c>
      <c r="N43" s="542" t="s">
        <v>4654</v>
      </c>
      <c r="O43" s="4"/>
      <c r="Q43" s="4"/>
    </row>
    <row r="44" spans="1:17">
      <c r="A44" s="551">
        <v>2</v>
      </c>
      <c r="B44" s="542" t="s">
        <v>4657</v>
      </c>
      <c r="C44" s="4" t="s">
        <v>10097</v>
      </c>
      <c r="D44" s="546">
        <v>2671</v>
      </c>
      <c r="E44" s="546">
        <v>2626</v>
      </c>
      <c r="F44" s="546">
        <v>2629</v>
      </c>
      <c r="G44" s="546">
        <v>2627</v>
      </c>
      <c r="H44" s="48">
        <v>2473</v>
      </c>
      <c r="I44" s="48">
        <v>2512</v>
      </c>
      <c r="J44" s="48">
        <v>2465</v>
      </c>
      <c r="K44" s="48">
        <v>2508</v>
      </c>
      <c r="L44" s="48">
        <v>2528</v>
      </c>
      <c r="N44" s="542" t="s">
        <v>4654</v>
      </c>
      <c r="O44" s="4"/>
      <c r="Q44" s="4"/>
    </row>
    <row r="45" spans="1:17">
      <c r="A45" s="551">
        <v>3</v>
      </c>
      <c r="B45" s="542" t="s">
        <v>4658</v>
      </c>
      <c r="C45" s="4" t="s">
        <v>10098</v>
      </c>
      <c r="D45" s="546">
        <v>1477</v>
      </c>
      <c r="E45" s="546">
        <v>1427</v>
      </c>
      <c r="F45" s="546">
        <v>1430</v>
      </c>
      <c r="G45" s="546">
        <v>1449</v>
      </c>
      <c r="H45" s="48">
        <v>1375</v>
      </c>
      <c r="I45" s="48">
        <v>1376</v>
      </c>
      <c r="J45" s="48">
        <v>1358</v>
      </c>
      <c r="K45" s="48">
        <v>1399</v>
      </c>
      <c r="L45" s="48">
        <v>1504</v>
      </c>
      <c r="N45" s="542" t="s">
        <v>4654</v>
      </c>
      <c r="O45" s="4"/>
      <c r="Q45" s="4"/>
    </row>
    <row r="46" spans="1:17">
      <c r="A46" s="551">
        <v>4</v>
      </c>
      <c r="B46" s="542" t="s">
        <v>4659</v>
      </c>
      <c r="C46" s="4" t="s">
        <v>10099</v>
      </c>
      <c r="D46" s="546">
        <v>3029</v>
      </c>
      <c r="E46" s="546">
        <v>3025</v>
      </c>
      <c r="F46" s="546">
        <v>3033</v>
      </c>
      <c r="G46" s="546">
        <v>3037</v>
      </c>
      <c r="H46" s="48">
        <v>2926</v>
      </c>
      <c r="I46" s="48">
        <v>2963</v>
      </c>
      <c r="J46" s="48">
        <v>2984</v>
      </c>
      <c r="K46" s="48">
        <v>3357</v>
      </c>
      <c r="L46" s="48">
        <v>3491</v>
      </c>
      <c r="N46" s="542" t="s">
        <v>4654</v>
      </c>
      <c r="O46" s="4"/>
      <c r="Q46" s="4"/>
    </row>
    <row r="47" spans="1:17">
      <c r="A47" s="551">
        <v>5</v>
      </c>
      <c r="B47" s="543" t="s">
        <v>5003</v>
      </c>
      <c r="C47" s="4" t="s">
        <v>10100</v>
      </c>
      <c r="D47" s="546">
        <v>2907</v>
      </c>
      <c r="E47" s="546">
        <v>2884</v>
      </c>
      <c r="F47" s="546">
        <v>2992</v>
      </c>
      <c r="G47" s="546">
        <v>3058</v>
      </c>
      <c r="H47" s="48">
        <v>2877</v>
      </c>
      <c r="I47" s="48">
        <v>2921</v>
      </c>
      <c r="J47" s="48">
        <v>3033</v>
      </c>
      <c r="K47" s="48">
        <v>2733</v>
      </c>
      <c r="L47" s="48">
        <v>2798</v>
      </c>
      <c r="N47" s="542" t="s">
        <v>4654</v>
      </c>
      <c r="O47" s="4"/>
      <c r="Q47" s="4"/>
    </row>
    <row r="48" spans="1:17">
      <c r="A48" s="551">
        <v>6</v>
      </c>
      <c r="B48" s="542" t="s">
        <v>7935</v>
      </c>
      <c r="C48" s="4" t="s">
        <v>10101</v>
      </c>
      <c r="D48" s="546">
        <v>1230</v>
      </c>
      <c r="E48" s="546">
        <v>1244</v>
      </c>
      <c r="F48" s="546">
        <v>1238</v>
      </c>
      <c r="G48" s="546">
        <v>1237</v>
      </c>
      <c r="H48" s="48">
        <v>1150</v>
      </c>
      <c r="I48" s="48">
        <v>1190</v>
      </c>
      <c r="J48" s="48">
        <v>1237</v>
      </c>
      <c r="K48" s="48">
        <v>1244</v>
      </c>
      <c r="L48" s="48">
        <v>1227</v>
      </c>
      <c r="N48" s="542" t="s">
        <v>4654</v>
      </c>
      <c r="O48" s="4"/>
      <c r="Q48" s="4"/>
    </row>
    <row r="49" spans="1:17">
      <c r="A49" s="551">
        <v>7</v>
      </c>
      <c r="B49" s="542" t="s">
        <v>4660</v>
      </c>
      <c r="C49" s="4" t="s">
        <v>10102</v>
      </c>
      <c r="D49" s="546">
        <v>1282</v>
      </c>
      <c r="E49" s="546">
        <v>1266</v>
      </c>
      <c r="F49" s="546">
        <v>1270</v>
      </c>
      <c r="G49" s="546">
        <v>1277</v>
      </c>
      <c r="H49" s="48">
        <v>1168</v>
      </c>
      <c r="I49" s="48">
        <v>1207</v>
      </c>
      <c r="J49" s="48">
        <v>1211</v>
      </c>
      <c r="K49" s="48">
        <v>1217</v>
      </c>
      <c r="L49" s="48">
        <v>1238</v>
      </c>
      <c r="N49" s="542" t="s">
        <v>4650</v>
      </c>
      <c r="O49" s="4"/>
      <c r="Q49" s="4"/>
    </row>
    <row r="50" spans="1:17">
      <c r="A50" s="551">
        <v>8</v>
      </c>
      <c r="B50" s="542" t="s">
        <v>4661</v>
      </c>
      <c r="C50" s="4" t="s">
        <v>10103</v>
      </c>
      <c r="D50" s="546">
        <v>1446</v>
      </c>
      <c r="E50" s="546">
        <v>1452</v>
      </c>
      <c r="F50" s="546">
        <v>1475</v>
      </c>
      <c r="G50" s="546">
        <v>1461</v>
      </c>
      <c r="H50" s="48">
        <v>1392</v>
      </c>
      <c r="I50" s="48">
        <v>1400</v>
      </c>
      <c r="J50" s="48">
        <v>1427</v>
      </c>
      <c r="K50" s="48">
        <v>1417</v>
      </c>
      <c r="L50" s="48">
        <v>1434</v>
      </c>
      <c r="N50" s="542" t="s">
        <v>4650</v>
      </c>
      <c r="O50" s="4"/>
      <c r="Q50" s="4"/>
    </row>
    <row r="51" spans="1:17">
      <c r="A51" s="551">
        <v>9</v>
      </c>
      <c r="B51" s="542" t="s">
        <v>4662</v>
      </c>
      <c r="C51" s="4" t="s">
        <v>10104</v>
      </c>
      <c r="D51" s="546">
        <v>1235</v>
      </c>
      <c r="E51" s="546">
        <v>1232</v>
      </c>
      <c r="F51" s="546">
        <v>1223</v>
      </c>
      <c r="G51" s="546">
        <v>1199</v>
      </c>
      <c r="H51" s="48">
        <v>1104</v>
      </c>
      <c r="I51" s="48">
        <v>1128</v>
      </c>
      <c r="J51" s="48">
        <v>1152</v>
      </c>
      <c r="K51" s="48">
        <v>1190</v>
      </c>
      <c r="L51" s="48">
        <v>1200</v>
      </c>
      <c r="N51" s="542" t="s">
        <v>4650</v>
      </c>
      <c r="O51" s="4"/>
      <c r="Q51" s="4"/>
    </row>
    <row r="52" spans="1:17">
      <c r="A52" s="551">
        <v>10</v>
      </c>
      <c r="B52" s="542" t="s">
        <v>4663</v>
      </c>
      <c r="C52" s="4" t="s">
        <v>10105</v>
      </c>
      <c r="D52" s="546">
        <v>2481</v>
      </c>
      <c r="E52" s="546">
        <v>2479</v>
      </c>
      <c r="F52" s="546">
        <v>2503</v>
      </c>
      <c r="G52" s="546">
        <v>2530</v>
      </c>
      <c r="H52" s="48">
        <v>2411</v>
      </c>
      <c r="I52" s="48">
        <v>2481</v>
      </c>
      <c r="J52" s="48">
        <v>2558</v>
      </c>
      <c r="K52" s="48">
        <v>2671</v>
      </c>
      <c r="L52" s="48">
        <v>2808</v>
      </c>
      <c r="N52" s="542" t="s">
        <v>4654</v>
      </c>
      <c r="O52" s="4"/>
      <c r="Q52" s="4"/>
    </row>
    <row r="53" spans="1:17">
      <c r="A53" s="551">
        <v>11</v>
      </c>
      <c r="B53" s="542" t="s">
        <v>6404</v>
      </c>
      <c r="C53" s="4" t="s">
        <v>10106</v>
      </c>
      <c r="D53" s="546">
        <v>2802</v>
      </c>
      <c r="E53" s="546">
        <v>2778</v>
      </c>
      <c r="F53" s="546">
        <v>2835</v>
      </c>
      <c r="G53" s="546">
        <v>2866</v>
      </c>
      <c r="H53" s="48">
        <v>2593</v>
      </c>
      <c r="I53" s="48">
        <v>2657</v>
      </c>
      <c r="J53" s="48">
        <v>2760</v>
      </c>
      <c r="K53" s="48">
        <v>2682</v>
      </c>
      <c r="L53" s="48">
        <v>2724</v>
      </c>
      <c r="N53" s="542" t="s">
        <v>4654</v>
      </c>
      <c r="O53" s="4"/>
      <c r="Q53" s="4"/>
    </row>
    <row r="54" spans="1:17">
      <c r="A54" s="551">
        <v>12</v>
      </c>
      <c r="B54" s="542" t="s">
        <v>6405</v>
      </c>
      <c r="C54" s="4" t="s">
        <v>10107</v>
      </c>
      <c r="D54" s="546">
        <v>2478</v>
      </c>
      <c r="E54" s="546">
        <v>2517</v>
      </c>
      <c r="F54" s="546">
        <v>2490</v>
      </c>
      <c r="G54" s="546">
        <v>2450</v>
      </c>
      <c r="H54" s="48">
        <v>2264</v>
      </c>
      <c r="I54" s="48">
        <v>2323</v>
      </c>
      <c r="J54" s="48">
        <v>2289</v>
      </c>
      <c r="K54" s="48">
        <v>2298</v>
      </c>
      <c r="L54" s="48">
        <v>2364</v>
      </c>
      <c r="N54" s="542" t="s">
        <v>4654</v>
      </c>
      <c r="O54" s="4"/>
      <c r="Q54" s="4"/>
    </row>
    <row r="55" spans="1:17">
      <c r="A55" s="551">
        <v>13</v>
      </c>
      <c r="B55" s="542" t="s">
        <v>6406</v>
      </c>
      <c r="C55" s="4" t="s">
        <v>10108</v>
      </c>
      <c r="D55" s="546">
        <v>1263</v>
      </c>
      <c r="E55" s="546">
        <v>1244</v>
      </c>
      <c r="F55" s="546">
        <v>1308</v>
      </c>
      <c r="G55" s="546">
        <v>1332</v>
      </c>
      <c r="H55" s="48">
        <v>1206</v>
      </c>
      <c r="I55" s="48">
        <v>1234</v>
      </c>
      <c r="J55" s="48">
        <v>1295</v>
      </c>
      <c r="K55" s="48">
        <v>1272</v>
      </c>
      <c r="L55" s="48">
        <v>1273</v>
      </c>
      <c r="N55" s="542" t="s">
        <v>4654</v>
      </c>
      <c r="O55" s="4"/>
      <c r="Q55" s="4"/>
    </row>
    <row r="56" spans="1:17">
      <c r="A56" s="551">
        <v>14</v>
      </c>
      <c r="B56" s="542" t="s">
        <v>6407</v>
      </c>
      <c r="C56" s="4" t="s">
        <v>10109</v>
      </c>
      <c r="D56" s="546">
        <v>2543</v>
      </c>
      <c r="E56" s="546">
        <v>2545</v>
      </c>
      <c r="F56" s="546">
        <v>2570</v>
      </c>
      <c r="G56" s="546">
        <v>2558</v>
      </c>
      <c r="H56" s="48">
        <v>2282</v>
      </c>
      <c r="I56" s="48">
        <v>2350</v>
      </c>
      <c r="J56" s="48">
        <v>2512</v>
      </c>
      <c r="K56" s="48">
        <v>2544</v>
      </c>
      <c r="L56" s="48">
        <v>2643</v>
      </c>
      <c r="N56" s="542" t="s">
        <v>4654</v>
      </c>
      <c r="O56" s="4"/>
      <c r="Q56" s="4"/>
    </row>
    <row r="57" spans="1:17">
      <c r="A57" s="551">
        <v>15</v>
      </c>
      <c r="B57" s="543" t="s">
        <v>6408</v>
      </c>
      <c r="C57" s="4" t="s">
        <v>10110</v>
      </c>
      <c r="D57" s="546">
        <v>1315</v>
      </c>
      <c r="E57" s="546">
        <v>1296</v>
      </c>
      <c r="F57" s="546">
        <v>1295</v>
      </c>
      <c r="G57" s="546">
        <v>1283</v>
      </c>
      <c r="H57" s="48">
        <v>1195</v>
      </c>
      <c r="I57" s="48">
        <v>1207</v>
      </c>
      <c r="J57" s="48">
        <v>1226</v>
      </c>
      <c r="K57" s="48">
        <v>1250</v>
      </c>
      <c r="L57" s="48">
        <v>1283</v>
      </c>
      <c r="N57" s="542" t="s">
        <v>4654</v>
      </c>
      <c r="O57" s="4"/>
      <c r="Q57" s="4"/>
    </row>
    <row r="58" spans="1:17">
      <c r="A58" s="551">
        <v>16</v>
      </c>
      <c r="B58" s="542" t="s">
        <v>6409</v>
      </c>
      <c r="C58" s="4" t="s">
        <v>10111</v>
      </c>
      <c r="D58" s="546">
        <v>4106</v>
      </c>
      <c r="E58" s="546">
        <v>4036</v>
      </c>
      <c r="F58" s="546">
        <v>3991</v>
      </c>
      <c r="G58" s="546">
        <v>4067</v>
      </c>
      <c r="H58" s="48">
        <v>3707</v>
      </c>
      <c r="I58" s="48">
        <v>3830</v>
      </c>
      <c r="J58" s="48">
        <v>3971</v>
      </c>
      <c r="K58" s="48">
        <v>3920</v>
      </c>
      <c r="L58" s="48">
        <v>3936</v>
      </c>
      <c r="N58" s="542" t="s">
        <v>4650</v>
      </c>
      <c r="O58" s="4"/>
      <c r="Q58" s="4"/>
    </row>
    <row r="59" spans="1:17">
      <c r="A59" s="551">
        <v>17</v>
      </c>
      <c r="B59" s="542" t="s">
        <v>6410</v>
      </c>
      <c r="C59" s="4" t="s">
        <v>10112</v>
      </c>
      <c r="D59" s="546">
        <v>1319</v>
      </c>
      <c r="E59" s="546">
        <v>1296</v>
      </c>
      <c r="F59" s="546">
        <v>1251</v>
      </c>
      <c r="G59" s="546">
        <v>1264</v>
      </c>
      <c r="H59" s="48">
        <v>1243</v>
      </c>
      <c r="I59" s="48">
        <v>1260</v>
      </c>
      <c r="J59" s="48">
        <v>1284</v>
      </c>
      <c r="K59" s="48">
        <v>1264</v>
      </c>
      <c r="L59" s="48">
        <v>1244</v>
      </c>
      <c r="N59" s="542" t="s">
        <v>4654</v>
      </c>
      <c r="O59" s="4"/>
      <c r="Q59" s="4"/>
    </row>
    <row r="60" spans="1:17">
      <c r="A60" s="551">
        <v>18</v>
      </c>
      <c r="B60" s="542" t="s">
        <v>6411</v>
      </c>
      <c r="C60" s="4" t="s">
        <v>10113</v>
      </c>
      <c r="D60" s="546">
        <v>3513</v>
      </c>
      <c r="E60" s="546">
        <v>3484</v>
      </c>
      <c r="F60" s="546">
        <v>3567</v>
      </c>
      <c r="G60" s="546">
        <v>3605</v>
      </c>
      <c r="H60" s="48">
        <v>3128</v>
      </c>
      <c r="I60" s="48">
        <v>3233</v>
      </c>
      <c r="J60" s="48">
        <v>3304</v>
      </c>
      <c r="K60" s="48">
        <v>3300</v>
      </c>
      <c r="L60" s="48">
        <v>3343</v>
      </c>
      <c r="N60" s="542" t="s">
        <v>4654</v>
      </c>
      <c r="O60" s="4"/>
      <c r="Q60" s="4"/>
    </row>
    <row r="61" spans="1:17">
      <c r="A61" s="551">
        <v>19</v>
      </c>
      <c r="B61" s="543" t="s">
        <v>6412</v>
      </c>
      <c r="C61" s="4" t="s">
        <v>10114</v>
      </c>
      <c r="D61" s="546">
        <v>3326</v>
      </c>
      <c r="E61" s="546">
        <v>3278</v>
      </c>
      <c r="F61" s="546">
        <v>3414</v>
      </c>
      <c r="G61" s="546">
        <v>3428</v>
      </c>
      <c r="H61" s="48">
        <v>2888</v>
      </c>
      <c r="I61" s="48">
        <v>3043</v>
      </c>
      <c r="J61" s="48">
        <v>3210</v>
      </c>
      <c r="K61" s="48">
        <v>3256</v>
      </c>
      <c r="L61" s="48">
        <v>3358</v>
      </c>
      <c r="N61" s="542" t="s">
        <v>4654</v>
      </c>
      <c r="O61" s="4"/>
      <c r="Q61" s="4"/>
    </row>
    <row r="62" spans="1:17">
      <c r="A62" s="551">
        <v>20</v>
      </c>
      <c r="B62" s="542" t="s">
        <v>6413</v>
      </c>
      <c r="C62" s="4" t="s">
        <v>10115</v>
      </c>
      <c r="D62" s="546">
        <v>2361</v>
      </c>
      <c r="E62" s="546">
        <v>2308</v>
      </c>
      <c r="F62" s="546">
        <v>2294</v>
      </c>
      <c r="G62" s="546">
        <v>2301</v>
      </c>
      <c r="H62" s="48">
        <v>2093</v>
      </c>
      <c r="I62" s="48">
        <v>2134</v>
      </c>
      <c r="J62" s="48">
        <v>2210</v>
      </c>
      <c r="K62" s="48">
        <v>2199</v>
      </c>
      <c r="L62" s="48">
        <v>2230</v>
      </c>
      <c r="N62" s="542" t="s">
        <v>4654</v>
      </c>
      <c r="O62" s="4"/>
      <c r="Q62" s="4"/>
    </row>
    <row r="63" spans="1:17">
      <c r="A63" s="551">
        <v>21</v>
      </c>
      <c r="B63" s="542" t="s">
        <v>6414</v>
      </c>
      <c r="C63" s="4" t="s">
        <v>10116</v>
      </c>
      <c r="D63" s="546">
        <v>4015</v>
      </c>
      <c r="E63" s="546">
        <v>4075</v>
      </c>
      <c r="F63" s="546">
        <v>4201</v>
      </c>
      <c r="G63" s="546">
        <v>4237</v>
      </c>
      <c r="H63" s="48">
        <v>4055</v>
      </c>
      <c r="I63" s="48">
        <v>4134</v>
      </c>
      <c r="J63" s="48">
        <v>4257</v>
      </c>
      <c r="K63" s="48">
        <v>4209</v>
      </c>
      <c r="L63" s="48">
        <v>4215</v>
      </c>
      <c r="N63" s="542" t="s">
        <v>4654</v>
      </c>
      <c r="O63" s="4"/>
      <c r="Q63" s="4"/>
    </row>
    <row r="64" spans="1:17">
      <c r="A64" s="551">
        <v>22</v>
      </c>
      <c r="B64" s="542" t="s">
        <v>8836</v>
      </c>
      <c r="C64" s="4" t="s">
        <v>10117</v>
      </c>
      <c r="D64" s="546">
        <v>3874</v>
      </c>
      <c r="E64" s="546">
        <v>3806</v>
      </c>
      <c r="F64" s="546">
        <v>3803</v>
      </c>
      <c r="G64" s="546">
        <v>3848</v>
      </c>
      <c r="H64" s="48">
        <v>3306</v>
      </c>
      <c r="I64" s="48">
        <v>3428</v>
      </c>
      <c r="J64" s="48">
        <v>3506</v>
      </c>
      <c r="K64" s="48">
        <v>3507</v>
      </c>
      <c r="L64" s="48">
        <v>3597</v>
      </c>
      <c r="N64" s="542" t="s">
        <v>4654</v>
      </c>
      <c r="O64" s="4"/>
      <c r="Q64" s="4"/>
    </row>
    <row r="65" spans="1:17">
      <c r="A65" s="551">
        <v>23</v>
      </c>
      <c r="B65" s="542" t="s">
        <v>6415</v>
      </c>
      <c r="C65" s="4" t="s">
        <v>10118</v>
      </c>
      <c r="D65" s="546">
        <v>4025</v>
      </c>
      <c r="E65" s="546">
        <v>3958</v>
      </c>
      <c r="F65" s="546">
        <v>4061</v>
      </c>
      <c r="G65" s="546">
        <v>4098</v>
      </c>
      <c r="H65" s="48">
        <v>3642</v>
      </c>
      <c r="I65" s="48">
        <v>3818</v>
      </c>
      <c r="J65" s="48">
        <v>3908</v>
      </c>
      <c r="K65" s="48">
        <v>3931</v>
      </c>
      <c r="L65" s="48">
        <v>3988</v>
      </c>
      <c r="N65" s="542" t="s">
        <v>4654</v>
      </c>
      <c r="O65" s="4"/>
      <c r="Q65" s="4"/>
    </row>
    <row r="66" spans="1:17">
      <c r="A66" s="551">
        <v>24</v>
      </c>
      <c r="B66" s="542" t="s">
        <v>6416</v>
      </c>
      <c r="C66" s="4" t="s">
        <v>10119</v>
      </c>
      <c r="D66" s="546">
        <v>2564</v>
      </c>
      <c r="E66" s="546">
        <v>2568</v>
      </c>
      <c r="F66" s="546">
        <v>2594</v>
      </c>
      <c r="G66" s="546">
        <v>2635</v>
      </c>
      <c r="H66" s="48">
        <v>2445</v>
      </c>
      <c r="I66" s="48">
        <v>2475</v>
      </c>
      <c r="J66" s="48">
        <v>2541</v>
      </c>
      <c r="K66" s="48">
        <v>2493</v>
      </c>
      <c r="L66" s="48">
        <v>2524</v>
      </c>
      <c r="N66" s="542" t="s">
        <v>4654</v>
      </c>
      <c r="O66" s="4"/>
      <c r="Q66" s="4"/>
    </row>
    <row r="67" spans="1:17">
      <c r="A67" s="551">
        <v>25</v>
      </c>
      <c r="B67" s="542" t="s">
        <v>6417</v>
      </c>
      <c r="C67" s="4" t="s">
        <v>10120</v>
      </c>
      <c r="D67" s="546">
        <v>1311</v>
      </c>
      <c r="E67" s="546">
        <v>1298</v>
      </c>
      <c r="F67" s="546">
        <v>1299</v>
      </c>
      <c r="G67" s="546">
        <v>1311</v>
      </c>
      <c r="H67" s="48">
        <v>1226</v>
      </c>
      <c r="I67" s="48">
        <v>1247</v>
      </c>
      <c r="J67" s="48">
        <v>1270</v>
      </c>
      <c r="K67" s="48">
        <v>1266</v>
      </c>
      <c r="L67" s="48">
        <v>1276</v>
      </c>
      <c r="N67" s="542" t="s">
        <v>4654</v>
      </c>
      <c r="O67" s="4"/>
      <c r="Q67" s="4"/>
    </row>
    <row r="68" spans="1:17">
      <c r="A68" s="551">
        <v>26</v>
      </c>
      <c r="B68" s="542" t="s">
        <v>6418</v>
      </c>
      <c r="C68" s="4" t="s">
        <v>10121</v>
      </c>
      <c r="D68" s="546">
        <v>1379</v>
      </c>
      <c r="E68" s="546">
        <v>1400</v>
      </c>
      <c r="F68" s="546">
        <v>1398</v>
      </c>
      <c r="G68" s="546">
        <v>1407</v>
      </c>
      <c r="H68" s="48">
        <v>1274</v>
      </c>
      <c r="I68" s="48">
        <v>1300</v>
      </c>
      <c r="J68" s="48">
        <v>1431</v>
      </c>
      <c r="K68" s="48">
        <v>1558</v>
      </c>
      <c r="L68" s="48">
        <v>1626</v>
      </c>
      <c r="N68" s="542" t="s">
        <v>4654</v>
      </c>
      <c r="O68" s="4"/>
      <c r="Q68" s="4"/>
    </row>
    <row r="69" spans="1:17">
      <c r="A69" s="551">
        <v>27</v>
      </c>
      <c r="B69" s="542" t="s">
        <v>6419</v>
      </c>
      <c r="C69" s="4" t="s">
        <v>10122</v>
      </c>
      <c r="D69" s="546">
        <v>1371</v>
      </c>
      <c r="E69" s="546">
        <v>1369</v>
      </c>
      <c r="F69" s="546">
        <v>1367</v>
      </c>
      <c r="G69" s="546">
        <v>1367</v>
      </c>
      <c r="H69" s="48">
        <v>1283</v>
      </c>
      <c r="I69" s="48">
        <v>1315</v>
      </c>
      <c r="J69" s="48">
        <v>1350</v>
      </c>
      <c r="K69" s="48">
        <v>1354</v>
      </c>
      <c r="L69" s="48">
        <v>1386</v>
      </c>
      <c r="N69" s="542" t="s">
        <v>4654</v>
      </c>
      <c r="O69" s="4"/>
      <c r="Q69" s="4"/>
    </row>
    <row r="70" spans="1:17">
      <c r="A70" s="551">
        <v>28</v>
      </c>
      <c r="B70" s="542" t="s">
        <v>6420</v>
      </c>
      <c r="C70" s="4" t="s">
        <v>10123</v>
      </c>
      <c r="D70" s="546">
        <v>1564</v>
      </c>
      <c r="E70" s="546">
        <v>1572</v>
      </c>
      <c r="F70" s="546">
        <v>1573</v>
      </c>
      <c r="G70" s="546">
        <v>1587</v>
      </c>
      <c r="H70" s="48">
        <v>1493</v>
      </c>
      <c r="I70" s="48">
        <v>1545</v>
      </c>
      <c r="J70" s="48">
        <v>1568</v>
      </c>
      <c r="K70" s="48">
        <v>1574</v>
      </c>
      <c r="L70" s="48">
        <v>1548</v>
      </c>
      <c r="N70" s="542" t="s">
        <v>4652</v>
      </c>
      <c r="O70" s="4"/>
      <c r="Q70" s="4"/>
    </row>
    <row r="71" spans="1:17">
      <c r="A71" s="551">
        <v>29</v>
      </c>
      <c r="B71" s="542" t="s">
        <v>6421</v>
      </c>
      <c r="C71" s="4" t="s">
        <v>10124</v>
      </c>
      <c r="D71" s="552">
        <v>1517</v>
      </c>
      <c r="E71" s="552">
        <v>1479</v>
      </c>
      <c r="F71" s="552">
        <v>1454</v>
      </c>
      <c r="G71" s="552">
        <v>1497</v>
      </c>
      <c r="H71" s="48">
        <v>1418</v>
      </c>
      <c r="I71" s="48">
        <v>1438</v>
      </c>
      <c r="J71" s="48">
        <v>1471</v>
      </c>
      <c r="K71" s="48">
        <v>1481</v>
      </c>
      <c r="L71" s="48">
        <v>1491</v>
      </c>
      <c r="N71" s="542" t="s">
        <v>4654</v>
      </c>
      <c r="O71" s="4"/>
      <c r="Q71" s="4"/>
    </row>
    <row r="72" spans="1:17">
      <c r="A72" s="551">
        <v>30</v>
      </c>
      <c r="B72" s="542" t="s">
        <v>6422</v>
      </c>
      <c r="C72" s="4" t="s">
        <v>10125</v>
      </c>
      <c r="D72" s="546">
        <v>1244</v>
      </c>
      <c r="E72" s="546">
        <v>1265</v>
      </c>
      <c r="F72" s="546">
        <v>1260</v>
      </c>
      <c r="G72" s="546">
        <v>1240</v>
      </c>
      <c r="H72" s="48">
        <v>1203</v>
      </c>
      <c r="I72" s="48">
        <v>1236</v>
      </c>
      <c r="J72" s="48">
        <v>1228</v>
      </c>
      <c r="K72" s="48">
        <v>1248</v>
      </c>
      <c r="L72" s="48">
        <v>1254</v>
      </c>
      <c r="N72" s="542" t="s">
        <v>4654</v>
      </c>
      <c r="O72" s="4"/>
      <c r="Q72" s="4"/>
    </row>
    <row r="73" spans="1:17">
      <c r="A73" s="551">
        <v>31</v>
      </c>
      <c r="B73" s="542" t="s">
        <v>6423</v>
      </c>
      <c r="C73" s="4" t="s">
        <v>10126</v>
      </c>
      <c r="D73" s="546">
        <v>4445</v>
      </c>
      <c r="E73" s="546">
        <v>4492</v>
      </c>
      <c r="F73" s="546">
        <v>4529</v>
      </c>
      <c r="G73" s="546">
        <v>4482</v>
      </c>
      <c r="H73" s="48">
        <v>4224</v>
      </c>
      <c r="I73" s="48">
        <v>4316</v>
      </c>
      <c r="J73" s="48">
        <v>4356</v>
      </c>
      <c r="K73" s="48">
        <v>4507</v>
      </c>
      <c r="L73" s="48">
        <v>4545</v>
      </c>
      <c r="N73" s="542" t="s">
        <v>4652</v>
      </c>
      <c r="O73" s="4"/>
      <c r="Q73" s="4"/>
    </row>
    <row r="74" spans="1:17">
      <c r="A74" s="551"/>
      <c r="D74" s="546"/>
      <c r="E74" s="546"/>
      <c r="F74" s="546"/>
      <c r="G74" s="546"/>
      <c r="H74" s="546"/>
      <c r="I74" s="546"/>
      <c r="J74" s="546"/>
      <c r="K74" s="546"/>
      <c r="L74" s="546"/>
    </row>
    <row r="75" spans="1:17">
      <c r="A75" s="542" t="s">
        <v>6424</v>
      </c>
      <c r="D75" s="546">
        <f t="shared" ref="D75:I75" si="69">SUM(D49:D51)+D58</f>
        <v>8069</v>
      </c>
      <c r="E75" s="546">
        <f t="shared" si="69"/>
        <v>7986</v>
      </c>
      <c r="F75" s="546">
        <f t="shared" si="69"/>
        <v>7959</v>
      </c>
      <c r="G75" s="546">
        <f t="shared" si="69"/>
        <v>8004</v>
      </c>
      <c r="H75" s="546">
        <f t="shared" si="69"/>
        <v>7371</v>
      </c>
      <c r="I75" s="546">
        <f t="shared" si="69"/>
        <v>7565</v>
      </c>
      <c r="J75" s="546">
        <f t="shared" ref="J75:K75" si="70">SUM(J49:J51)+J58</f>
        <v>7761</v>
      </c>
      <c r="K75" s="546">
        <f t="shared" si="70"/>
        <v>7744</v>
      </c>
      <c r="L75" s="546">
        <f t="shared" ref="L75" si="71">SUM(L49:L51)+L58</f>
        <v>7808</v>
      </c>
    </row>
    <row r="76" spans="1:17">
      <c r="A76" s="542" t="s">
        <v>6425</v>
      </c>
      <c r="C76" s="542"/>
      <c r="D76" s="545">
        <f t="shared" ref="D76:I76" si="72">D70+D73</f>
        <v>6009</v>
      </c>
      <c r="E76" s="545">
        <f t="shared" si="72"/>
        <v>6064</v>
      </c>
      <c r="F76" s="545">
        <f t="shared" si="72"/>
        <v>6102</v>
      </c>
      <c r="G76" s="545">
        <f t="shared" si="72"/>
        <v>6069</v>
      </c>
      <c r="H76" s="545">
        <f t="shared" si="72"/>
        <v>5717</v>
      </c>
      <c r="I76" s="545">
        <f t="shared" si="72"/>
        <v>5861</v>
      </c>
      <c r="J76" s="545">
        <f t="shared" ref="J76:K76" si="73">J70+J73</f>
        <v>5924</v>
      </c>
      <c r="K76" s="545">
        <f t="shared" si="73"/>
        <v>6081</v>
      </c>
      <c r="L76" s="545">
        <f t="shared" ref="L76" si="74">L70+L73</f>
        <v>6093</v>
      </c>
    </row>
    <row r="77" spans="1:17">
      <c r="A77" s="542" t="s">
        <v>4654</v>
      </c>
      <c r="D77" s="545">
        <f t="shared" ref="D77:I77" si="75">SUM(D43:D48)+SUM(D52:D57)+SUM(D59:D69)+D71+D72</f>
        <v>59702</v>
      </c>
      <c r="E77" s="545">
        <f t="shared" si="75"/>
        <v>59361</v>
      </c>
      <c r="F77" s="545">
        <f t="shared" si="75"/>
        <v>60056</v>
      </c>
      <c r="G77" s="545">
        <f t="shared" si="75"/>
        <v>60430</v>
      </c>
      <c r="H77" s="545">
        <f t="shared" si="75"/>
        <v>55545</v>
      </c>
      <c r="I77" s="545">
        <f t="shared" si="75"/>
        <v>56927</v>
      </c>
      <c r="J77" s="545">
        <f t="shared" ref="J77:K77" si="76">SUM(J43:J48)+SUM(J52:J57)+SUM(J59:J69)+J71+J72</f>
        <v>58367</v>
      </c>
      <c r="K77" s="545">
        <f t="shared" si="76"/>
        <v>58655</v>
      </c>
      <c r="L77" s="545">
        <f t="shared" ref="L77" si="77">SUM(L43:L48)+SUM(L52:L57)+SUM(L59:L69)+L71+L72</f>
        <v>59812</v>
      </c>
    </row>
    <row r="78" spans="1:17">
      <c r="A78" s="542"/>
      <c r="B78" s="542"/>
      <c r="D78" s="553"/>
      <c r="E78" s="553"/>
      <c r="F78" s="553"/>
      <c r="G78" s="553"/>
      <c r="H78" s="553"/>
      <c r="I78" s="553"/>
      <c r="J78" s="553"/>
      <c r="K78" s="553"/>
      <c r="L78" s="553"/>
    </row>
    <row r="79" spans="1:17">
      <c r="A79" s="543" t="s">
        <v>6426</v>
      </c>
      <c r="D79" s="553"/>
      <c r="E79" s="553"/>
      <c r="F79" s="553"/>
      <c r="G79" s="553"/>
      <c r="H79" s="553"/>
      <c r="I79" s="553"/>
      <c r="J79" s="553"/>
      <c r="K79" s="553"/>
      <c r="L79" s="553"/>
    </row>
    <row r="80" spans="1:17">
      <c r="A80" s="542"/>
      <c r="B80" s="542"/>
      <c r="D80" s="553"/>
      <c r="E80" s="553"/>
      <c r="F80" s="553"/>
      <c r="G80" s="553"/>
      <c r="H80" s="553"/>
      <c r="I80" s="553"/>
      <c r="J80" s="553"/>
      <c r="K80" s="553"/>
      <c r="L80" s="553"/>
    </row>
    <row r="81" spans="1:17">
      <c r="A81" s="542"/>
      <c r="B81" s="542"/>
      <c r="D81" s="554"/>
      <c r="E81" s="554"/>
      <c r="F81" s="554"/>
      <c r="G81" s="554"/>
      <c r="H81" s="554"/>
      <c r="I81" s="554"/>
      <c r="J81" s="554"/>
      <c r="K81" s="554"/>
      <c r="L81" s="554"/>
    </row>
    <row r="82" spans="1:17">
      <c r="E82" s="42" t="s">
        <v>2303</v>
      </c>
      <c r="F82" s="42"/>
      <c r="G82" s="42"/>
      <c r="H82" s="42"/>
      <c r="I82" s="42"/>
      <c r="J82" s="42"/>
      <c r="K82" s="42"/>
      <c r="L82" s="42"/>
      <c r="M82" s="153"/>
      <c r="N82" s="109" t="s">
        <v>13319</v>
      </c>
    </row>
    <row r="83" spans="1:17">
      <c r="D83" s="110">
        <v>2010</v>
      </c>
      <c r="E83" s="110">
        <v>2011</v>
      </c>
      <c r="F83" s="110">
        <v>2012</v>
      </c>
      <c r="G83" s="110">
        <v>2013</v>
      </c>
      <c r="H83" s="110">
        <v>2014</v>
      </c>
      <c r="I83" s="110">
        <v>2015</v>
      </c>
      <c r="J83" s="110">
        <v>2016</v>
      </c>
      <c r="K83" s="110">
        <v>2017</v>
      </c>
      <c r="L83" s="110">
        <v>2018</v>
      </c>
      <c r="M83" s="111"/>
      <c r="N83" s="112" t="s">
        <v>2304</v>
      </c>
    </row>
    <row r="84" spans="1:17">
      <c r="A84" s="542" t="s">
        <v>6427</v>
      </c>
      <c r="D84" s="545">
        <f t="shared" ref="D84:I84" si="78">SUM(D85:D97)</f>
        <v>53283</v>
      </c>
      <c r="E84" s="545">
        <f t="shared" si="78"/>
        <v>53225</v>
      </c>
      <c r="F84" s="545">
        <f t="shared" si="78"/>
        <v>53014</v>
      </c>
      <c r="G84" s="545">
        <f t="shared" si="78"/>
        <v>53708</v>
      </c>
      <c r="H84" s="545">
        <f t="shared" si="78"/>
        <v>52505</v>
      </c>
      <c r="I84" s="545">
        <f t="shared" si="78"/>
        <v>52222</v>
      </c>
      <c r="J84" s="545">
        <f t="shared" ref="J84:K84" si="79">SUM(J85:J97)</f>
        <v>52499</v>
      </c>
      <c r="K84" s="545">
        <f t="shared" si="79"/>
        <v>53349</v>
      </c>
      <c r="L84" s="545">
        <f t="shared" ref="L84" si="80">SUM(L85:L97)</f>
        <v>53078</v>
      </c>
    </row>
    <row r="85" spans="1:17">
      <c r="A85" s="551">
        <v>1</v>
      </c>
      <c r="B85" s="542" t="s">
        <v>4640</v>
      </c>
      <c r="C85" s="4" t="s">
        <v>10127</v>
      </c>
      <c r="D85" s="546">
        <v>1846</v>
      </c>
      <c r="E85" s="546">
        <v>1797</v>
      </c>
      <c r="F85" s="546">
        <v>1769</v>
      </c>
      <c r="G85" s="30">
        <v>1827</v>
      </c>
      <c r="H85" s="30">
        <v>1734</v>
      </c>
      <c r="I85" s="30">
        <v>1693</v>
      </c>
      <c r="J85" s="30">
        <v>1665</v>
      </c>
      <c r="K85" s="30">
        <v>1709</v>
      </c>
      <c r="L85" s="30">
        <v>1681</v>
      </c>
      <c r="N85" s="542" t="s">
        <v>4646</v>
      </c>
      <c r="O85" s="4"/>
      <c r="Q85" s="4"/>
    </row>
    <row r="86" spans="1:17">
      <c r="A86" s="551">
        <v>2</v>
      </c>
      <c r="B86" s="542" t="s">
        <v>7725</v>
      </c>
      <c r="C86" s="4" t="s">
        <v>10128</v>
      </c>
      <c r="D86" s="546">
        <v>3010</v>
      </c>
      <c r="E86" s="546">
        <v>3037</v>
      </c>
      <c r="F86" s="546">
        <v>2950</v>
      </c>
      <c r="G86" s="30">
        <v>2972</v>
      </c>
      <c r="H86" s="30">
        <v>2814</v>
      </c>
      <c r="I86" s="30">
        <v>2794</v>
      </c>
      <c r="J86" s="30">
        <v>2792</v>
      </c>
      <c r="K86" s="30">
        <v>2863</v>
      </c>
      <c r="L86" s="30">
        <v>2850</v>
      </c>
      <c r="N86" s="542" t="s">
        <v>4646</v>
      </c>
      <c r="O86" s="4"/>
      <c r="Q86" s="4"/>
    </row>
    <row r="87" spans="1:17">
      <c r="A87" s="551">
        <v>3</v>
      </c>
      <c r="B87" s="542" t="s">
        <v>4641</v>
      </c>
      <c r="C87" s="4" t="s">
        <v>10129</v>
      </c>
      <c r="D87" s="546">
        <v>4852</v>
      </c>
      <c r="E87" s="546">
        <v>4873</v>
      </c>
      <c r="F87" s="546">
        <v>4880</v>
      </c>
      <c r="G87" s="30">
        <v>4914</v>
      </c>
      <c r="H87" s="30">
        <v>4863</v>
      </c>
      <c r="I87" s="30">
        <v>4839</v>
      </c>
      <c r="J87" s="30">
        <v>4948</v>
      </c>
      <c r="K87" s="30">
        <v>5004</v>
      </c>
      <c r="L87" s="30">
        <v>4977</v>
      </c>
      <c r="N87" s="542" t="s">
        <v>4646</v>
      </c>
      <c r="O87" s="4"/>
      <c r="Q87" s="4"/>
    </row>
    <row r="88" spans="1:17">
      <c r="A88" s="551">
        <v>4</v>
      </c>
      <c r="B88" s="542" t="s">
        <v>4642</v>
      </c>
      <c r="C88" s="4" t="s">
        <v>10130</v>
      </c>
      <c r="D88" s="546">
        <v>4818</v>
      </c>
      <c r="E88" s="546">
        <v>4789</v>
      </c>
      <c r="F88" s="546">
        <v>4784</v>
      </c>
      <c r="G88" s="30">
        <v>4836</v>
      </c>
      <c r="H88" s="30">
        <v>4727</v>
      </c>
      <c r="I88" s="30">
        <v>4665</v>
      </c>
      <c r="J88" s="30">
        <v>4728</v>
      </c>
      <c r="K88" s="30">
        <v>4835</v>
      </c>
      <c r="L88" s="30">
        <v>4768</v>
      </c>
      <c r="N88" s="542" t="s">
        <v>4646</v>
      </c>
      <c r="O88" s="4"/>
      <c r="Q88" s="4"/>
    </row>
    <row r="89" spans="1:17">
      <c r="A89" s="551">
        <v>5</v>
      </c>
      <c r="B89" s="542" t="s">
        <v>4643</v>
      </c>
      <c r="C89" s="4" t="s">
        <v>10131</v>
      </c>
      <c r="D89" s="546">
        <v>4243</v>
      </c>
      <c r="E89" s="546">
        <v>4240</v>
      </c>
      <c r="F89" s="546">
        <v>4186</v>
      </c>
      <c r="G89" s="30">
        <v>4215</v>
      </c>
      <c r="H89" s="30">
        <v>4144</v>
      </c>
      <c r="I89" s="30">
        <v>4163</v>
      </c>
      <c r="J89" s="30">
        <v>4156</v>
      </c>
      <c r="K89" s="30">
        <v>4179</v>
      </c>
      <c r="L89" s="30">
        <v>4137</v>
      </c>
      <c r="N89" s="542" t="s">
        <v>4646</v>
      </c>
      <c r="O89" s="4"/>
      <c r="Q89" s="4"/>
    </row>
    <row r="90" spans="1:17">
      <c r="A90" s="551">
        <v>6</v>
      </c>
      <c r="B90" s="542" t="s">
        <v>2938</v>
      </c>
      <c r="C90" s="4" t="s">
        <v>10132</v>
      </c>
      <c r="D90" s="546">
        <v>4345</v>
      </c>
      <c r="E90" s="546">
        <v>4325</v>
      </c>
      <c r="F90" s="546">
        <v>4345</v>
      </c>
      <c r="G90" s="30">
        <v>4469</v>
      </c>
      <c r="H90" s="30">
        <v>4302</v>
      </c>
      <c r="I90" s="30">
        <v>4245</v>
      </c>
      <c r="J90" s="30">
        <v>4243</v>
      </c>
      <c r="K90" s="30">
        <v>4349</v>
      </c>
      <c r="L90" s="30">
        <v>4369</v>
      </c>
      <c r="N90" s="542" t="s">
        <v>4646</v>
      </c>
      <c r="O90" s="4"/>
      <c r="Q90" s="4"/>
    </row>
    <row r="91" spans="1:17">
      <c r="A91" s="551">
        <v>7</v>
      </c>
      <c r="B91" s="542" t="s">
        <v>4692</v>
      </c>
      <c r="C91" s="4" t="s">
        <v>10133</v>
      </c>
      <c r="D91" s="546">
        <v>4295</v>
      </c>
      <c r="E91" s="546">
        <v>4329</v>
      </c>
      <c r="F91" s="546">
        <v>4351</v>
      </c>
      <c r="G91" s="30">
        <v>4342</v>
      </c>
      <c r="H91" s="30">
        <v>4364</v>
      </c>
      <c r="I91" s="30">
        <v>4393</v>
      </c>
      <c r="J91" s="30">
        <v>4455</v>
      </c>
      <c r="K91" s="30">
        <v>4463</v>
      </c>
      <c r="L91" s="30">
        <v>4461</v>
      </c>
      <c r="N91" s="542" t="s">
        <v>4646</v>
      </c>
      <c r="O91" s="4"/>
      <c r="Q91" s="4"/>
    </row>
    <row r="92" spans="1:17">
      <c r="A92" s="551">
        <v>8</v>
      </c>
      <c r="B92" s="542" t="s">
        <v>4693</v>
      </c>
      <c r="C92" s="4" t="s">
        <v>10134</v>
      </c>
      <c r="D92" s="546">
        <v>4356</v>
      </c>
      <c r="E92" s="546">
        <v>4374</v>
      </c>
      <c r="F92" s="546">
        <v>4342</v>
      </c>
      <c r="G92" s="30">
        <v>4452</v>
      </c>
      <c r="H92" s="30">
        <v>4337</v>
      </c>
      <c r="I92" s="30">
        <v>4287</v>
      </c>
      <c r="J92" s="30">
        <v>4275</v>
      </c>
      <c r="K92" s="30">
        <v>4385</v>
      </c>
      <c r="L92" s="30">
        <v>4366</v>
      </c>
      <c r="N92" s="542" t="s">
        <v>4646</v>
      </c>
      <c r="O92" s="4"/>
      <c r="Q92" s="4"/>
    </row>
    <row r="93" spans="1:17">
      <c r="A93" s="551">
        <v>9</v>
      </c>
      <c r="B93" s="542" t="s">
        <v>4694</v>
      </c>
      <c r="C93" s="4" t="s">
        <v>10135</v>
      </c>
      <c r="D93" s="546">
        <v>4338</v>
      </c>
      <c r="E93" s="546">
        <v>4328</v>
      </c>
      <c r="F93" s="546">
        <v>4387</v>
      </c>
      <c r="G93" s="30">
        <v>4467</v>
      </c>
      <c r="H93" s="30">
        <v>4383</v>
      </c>
      <c r="I93" s="30">
        <v>4321</v>
      </c>
      <c r="J93" s="30">
        <v>4331</v>
      </c>
      <c r="K93" s="30">
        <v>4401</v>
      </c>
      <c r="L93" s="30">
        <v>4381</v>
      </c>
      <c r="N93" s="542" t="s">
        <v>4646</v>
      </c>
      <c r="O93" s="4"/>
      <c r="Q93" s="4"/>
    </row>
    <row r="94" spans="1:17">
      <c r="A94" s="551">
        <v>10</v>
      </c>
      <c r="B94" s="542" t="s">
        <v>4695</v>
      </c>
      <c r="C94" s="4" t="s">
        <v>10136</v>
      </c>
      <c r="D94" s="546">
        <v>4680</v>
      </c>
      <c r="E94" s="546">
        <v>4669</v>
      </c>
      <c r="F94" s="546">
        <v>4636</v>
      </c>
      <c r="G94" s="30">
        <v>4620</v>
      </c>
      <c r="H94" s="30">
        <v>4436</v>
      </c>
      <c r="I94" s="30">
        <v>4504</v>
      </c>
      <c r="J94" s="30">
        <v>4554</v>
      </c>
      <c r="K94" s="30">
        <v>4594</v>
      </c>
      <c r="L94" s="30">
        <v>4578</v>
      </c>
      <c r="N94" s="542" t="s">
        <v>4646</v>
      </c>
      <c r="O94" s="4"/>
      <c r="Q94" s="4"/>
    </row>
    <row r="95" spans="1:17">
      <c r="A95" s="551">
        <v>11</v>
      </c>
      <c r="B95" s="542" t="s">
        <v>4696</v>
      </c>
      <c r="C95" s="4" t="s">
        <v>10137</v>
      </c>
      <c r="D95" s="546">
        <v>3937</v>
      </c>
      <c r="E95" s="546">
        <v>3946</v>
      </c>
      <c r="F95" s="546">
        <v>3918</v>
      </c>
      <c r="G95" s="30">
        <v>3991</v>
      </c>
      <c r="H95" s="30">
        <v>3932</v>
      </c>
      <c r="I95" s="30">
        <v>3941</v>
      </c>
      <c r="J95" s="30">
        <v>3934</v>
      </c>
      <c r="K95" s="30">
        <v>3960</v>
      </c>
      <c r="L95" s="30">
        <v>3968</v>
      </c>
      <c r="N95" s="542" t="s">
        <v>4646</v>
      </c>
      <c r="O95" s="4"/>
      <c r="Q95" s="4"/>
    </row>
    <row r="96" spans="1:17">
      <c r="A96" s="551">
        <v>12</v>
      </c>
      <c r="B96" s="542" t="s">
        <v>4697</v>
      </c>
      <c r="C96" s="4" t="s">
        <v>10138</v>
      </c>
      <c r="D96" s="546">
        <v>4287</v>
      </c>
      <c r="E96" s="546">
        <v>4280</v>
      </c>
      <c r="F96" s="546">
        <v>4259</v>
      </c>
      <c r="G96" s="30">
        <v>4315</v>
      </c>
      <c r="H96" s="30">
        <v>4260</v>
      </c>
      <c r="I96" s="30">
        <v>4236</v>
      </c>
      <c r="J96" s="30">
        <v>4295</v>
      </c>
      <c r="K96" s="30">
        <v>4378</v>
      </c>
      <c r="L96" s="30">
        <v>4356</v>
      </c>
      <c r="N96" s="542" t="s">
        <v>4646</v>
      </c>
      <c r="O96" s="4"/>
      <c r="Q96" s="4"/>
    </row>
    <row r="97" spans="1:17">
      <c r="A97" s="551">
        <v>13</v>
      </c>
      <c r="B97" s="542" t="s">
        <v>27</v>
      </c>
      <c r="C97" s="4" t="s">
        <v>10139</v>
      </c>
      <c r="D97" s="546">
        <v>4276</v>
      </c>
      <c r="E97" s="546">
        <v>4238</v>
      </c>
      <c r="F97" s="546">
        <v>4207</v>
      </c>
      <c r="G97" s="30">
        <v>4288</v>
      </c>
      <c r="H97" s="30">
        <v>4209</v>
      </c>
      <c r="I97" s="30">
        <v>4141</v>
      </c>
      <c r="J97" s="30">
        <v>4123</v>
      </c>
      <c r="K97" s="30">
        <v>4229</v>
      </c>
      <c r="L97" s="30">
        <v>4186</v>
      </c>
      <c r="N97" s="542" t="s">
        <v>4646</v>
      </c>
      <c r="O97" s="4"/>
      <c r="Q97" s="4"/>
    </row>
    <row r="98" spans="1:17">
      <c r="D98" s="546"/>
      <c r="E98" s="546"/>
      <c r="F98" s="546"/>
      <c r="G98" s="546"/>
      <c r="H98" s="546"/>
      <c r="I98" s="546"/>
      <c r="J98" s="546"/>
      <c r="K98" s="546"/>
      <c r="L98" s="546"/>
    </row>
    <row r="99" spans="1:17">
      <c r="A99" s="542" t="s">
        <v>28</v>
      </c>
      <c r="D99" s="545">
        <f t="shared" ref="D99:I99" si="81">SUM(D85:D97)</f>
        <v>53283</v>
      </c>
      <c r="E99" s="545">
        <f t="shared" si="81"/>
        <v>53225</v>
      </c>
      <c r="F99" s="545">
        <f t="shared" si="81"/>
        <v>53014</v>
      </c>
      <c r="G99" s="545">
        <f t="shared" si="81"/>
        <v>53708</v>
      </c>
      <c r="H99" s="545">
        <f t="shared" si="81"/>
        <v>52505</v>
      </c>
      <c r="I99" s="545">
        <f t="shared" si="81"/>
        <v>52222</v>
      </c>
      <c r="J99" s="545">
        <f t="shared" ref="J99:K99" si="82">SUM(J85:J97)</f>
        <v>52499</v>
      </c>
      <c r="K99" s="545">
        <f t="shared" si="82"/>
        <v>53349</v>
      </c>
      <c r="L99" s="545">
        <f t="shared" ref="L99" si="83">SUM(L85:L97)</f>
        <v>53078</v>
      </c>
    </row>
    <row r="100" spans="1:17">
      <c r="D100" s="553"/>
      <c r="E100" s="553"/>
      <c r="F100" s="553"/>
      <c r="G100" s="553"/>
      <c r="H100" s="553"/>
      <c r="I100" s="553"/>
      <c r="J100" s="553"/>
      <c r="K100" s="553"/>
      <c r="L100" s="553"/>
    </row>
    <row r="101" spans="1:17">
      <c r="A101" s="543" t="s">
        <v>1387</v>
      </c>
      <c r="D101" s="553"/>
      <c r="E101" s="553"/>
      <c r="F101" s="553"/>
      <c r="G101" s="553"/>
      <c r="H101" s="553"/>
      <c r="I101" s="553"/>
      <c r="J101" s="553"/>
      <c r="K101" s="553"/>
      <c r="L101" s="553"/>
    </row>
    <row r="102" spans="1:17">
      <c r="A102" s="542"/>
      <c r="B102" s="542"/>
      <c r="D102" s="553"/>
      <c r="E102" s="553"/>
      <c r="F102" s="553"/>
      <c r="G102" s="553"/>
      <c r="H102" s="553"/>
      <c r="I102" s="553"/>
      <c r="J102" s="553"/>
      <c r="K102" s="553"/>
      <c r="L102" s="553"/>
    </row>
    <row r="103" spans="1:17">
      <c r="A103" s="542"/>
      <c r="B103" s="542"/>
      <c r="D103" s="554"/>
      <c r="E103" s="554"/>
      <c r="F103" s="554"/>
      <c r="G103" s="554"/>
      <c r="H103" s="554"/>
      <c r="I103" s="554"/>
      <c r="J103" s="554"/>
      <c r="K103" s="554"/>
      <c r="L103" s="554"/>
    </row>
    <row r="104" spans="1:17">
      <c r="E104" s="42" t="s">
        <v>2303</v>
      </c>
      <c r="F104" s="42"/>
      <c r="G104" s="42"/>
      <c r="H104" s="42"/>
      <c r="I104" s="42"/>
      <c r="J104" s="42"/>
      <c r="K104" s="42"/>
      <c r="L104" s="42"/>
      <c r="M104" s="153"/>
      <c r="N104" s="109" t="s">
        <v>13319</v>
      </c>
    </row>
    <row r="105" spans="1:17">
      <c r="D105" s="110">
        <v>2010</v>
      </c>
      <c r="E105" s="110">
        <v>2011</v>
      </c>
      <c r="F105" s="110">
        <v>2012</v>
      </c>
      <c r="G105" s="110">
        <v>2013</v>
      </c>
      <c r="H105" s="110">
        <v>2014</v>
      </c>
      <c r="I105" s="110">
        <v>2015</v>
      </c>
      <c r="J105" s="110">
        <v>2016</v>
      </c>
      <c r="K105" s="110">
        <v>2017</v>
      </c>
      <c r="L105" s="110">
        <v>2018</v>
      </c>
      <c r="M105" s="111"/>
      <c r="N105" s="112" t="s">
        <v>2304</v>
      </c>
    </row>
    <row r="106" spans="1:17">
      <c r="A106" s="542" t="s">
        <v>3065</v>
      </c>
      <c r="D106" s="545">
        <f t="shared" ref="D106:I106" si="84">SUM(D107:D125)+SUM(D126:D128)</f>
        <v>83014</v>
      </c>
      <c r="E106" s="545">
        <f t="shared" si="84"/>
        <v>83854</v>
      </c>
      <c r="F106" s="545">
        <f t="shared" si="84"/>
        <v>84098</v>
      </c>
      <c r="G106" s="545">
        <f t="shared" si="84"/>
        <v>83932</v>
      </c>
      <c r="H106" s="545">
        <f t="shared" si="84"/>
        <v>83519</v>
      </c>
      <c r="I106" s="545">
        <f t="shared" si="84"/>
        <v>81765</v>
      </c>
      <c r="J106" s="545">
        <f t="shared" ref="J106:K106" si="85">SUM(J107:J125)+SUM(J126:J128)</f>
        <v>76825</v>
      </c>
      <c r="K106" s="545">
        <f t="shared" si="85"/>
        <v>76334</v>
      </c>
      <c r="L106" s="545">
        <f t="shared" ref="L106" si="86">SUM(L107:L125)+SUM(L126:L128)</f>
        <v>81821</v>
      </c>
    </row>
    <row r="107" spans="1:17">
      <c r="A107" s="551">
        <v>1</v>
      </c>
      <c r="B107" s="542" t="s">
        <v>3031</v>
      </c>
      <c r="C107" s="4" t="s">
        <v>10140</v>
      </c>
      <c r="D107" s="546">
        <v>4903</v>
      </c>
      <c r="E107" s="546">
        <v>4942</v>
      </c>
      <c r="F107" s="546">
        <v>4922</v>
      </c>
      <c r="G107" s="30">
        <v>4971</v>
      </c>
      <c r="H107" s="30">
        <v>4950</v>
      </c>
      <c r="I107" s="30">
        <v>4819</v>
      </c>
      <c r="J107" s="30">
        <v>4648</v>
      </c>
      <c r="K107" s="30">
        <v>4546</v>
      </c>
      <c r="L107" s="30">
        <v>4761</v>
      </c>
      <c r="N107" s="542" t="s">
        <v>3032</v>
      </c>
      <c r="O107" s="4"/>
      <c r="Q107" s="4"/>
    </row>
    <row r="108" spans="1:17">
      <c r="A108" s="551">
        <v>2</v>
      </c>
      <c r="B108" s="542" t="s">
        <v>3033</v>
      </c>
      <c r="C108" s="4" t="s">
        <v>10141</v>
      </c>
      <c r="D108" s="546">
        <v>4675</v>
      </c>
      <c r="E108" s="546">
        <v>4825</v>
      </c>
      <c r="F108" s="546">
        <v>4932</v>
      </c>
      <c r="G108" s="30">
        <v>4951</v>
      </c>
      <c r="H108" s="30">
        <v>4876</v>
      </c>
      <c r="I108" s="30">
        <v>4913</v>
      </c>
      <c r="J108" s="30">
        <v>4592</v>
      </c>
      <c r="K108" s="30">
        <v>4495</v>
      </c>
      <c r="L108" s="30">
        <v>4795</v>
      </c>
      <c r="N108" s="542" t="s">
        <v>3032</v>
      </c>
      <c r="O108" s="4"/>
      <c r="Q108" s="4"/>
    </row>
    <row r="109" spans="1:17">
      <c r="A109" s="551">
        <v>3</v>
      </c>
      <c r="B109" s="542" t="s">
        <v>3034</v>
      </c>
      <c r="C109" s="4" t="s">
        <v>10142</v>
      </c>
      <c r="D109" s="546">
        <v>4527</v>
      </c>
      <c r="E109" s="546">
        <v>4569</v>
      </c>
      <c r="F109" s="546">
        <v>4549</v>
      </c>
      <c r="G109" s="30">
        <v>4542</v>
      </c>
      <c r="H109" s="30">
        <v>4409</v>
      </c>
      <c r="I109" s="30">
        <v>4340</v>
      </c>
      <c r="J109" s="30">
        <v>3961</v>
      </c>
      <c r="K109" s="30">
        <v>3866</v>
      </c>
      <c r="L109" s="30">
        <v>4100</v>
      </c>
      <c r="N109" s="542" t="s">
        <v>3032</v>
      </c>
      <c r="O109" s="4"/>
      <c r="Q109" s="4"/>
    </row>
    <row r="110" spans="1:17">
      <c r="A110" s="551">
        <v>4</v>
      </c>
      <c r="B110" s="542" t="s">
        <v>6990</v>
      </c>
      <c r="C110" s="4" t="s">
        <v>10143</v>
      </c>
      <c r="D110" s="546">
        <v>3585</v>
      </c>
      <c r="E110" s="546">
        <v>3586</v>
      </c>
      <c r="F110" s="546">
        <v>3620</v>
      </c>
      <c r="G110" s="31">
        <v>3682</v>
      </c>
      <c r="H110" s="31">
        <v>3663</v>
      </c>
      <c r="I110" s="31">
        <v>3593</v>
      </c>
      <c r="J110" s="31">
        <v>3422</v>
      </c>
      <c r="K110" s="31">
        <v>3404</v>
      </c>
      <c r="L110" s="31">
        <v>3661</v>
      </c>
      <c r="N110" s="542" t="s">
        <v>4652</v>
      </c>
      <c r="O110" s="4"/>
      <c r="Q110" s="4"/>
    </row>
    <row r="111" spans="1:17">
      <c r="A111" s="551">
        <v>5</v>
      </c>
      <c r="B111" s="542" t="s">
        <v>3035</v>
      </c>
      <c r="C111" s="4" t="s">
        <v>10144</v>
      </c>
      <c r="D111" s="546">
        <v>1723</v>
      </c>
      <c r="E111" s="546">
        <v>1746</v>
      </c>
      <c r="F111" s="546">
        <v>1755</v>
      </c>
      <c r="G111" s="30">
        <v>1725</v>
      </c>
      <c r="H111" s="30">
        <v>1714</v>
      </c>
      <c r="I111" s="30">
        <v>1690</v>
      </c>
      <c r="J111" s="30">
        <v>1630</v>
      </c>
      <c r="K111" s="30">
        <v>1653</v>
      </c>
      <c r="L111" s="30">
        <v>1772</v>
      </c>
      <c r="N111" s="542" t="s">
        <v>3032</v>
      </c>
      <c r="O111" s="4"/>
      <c r="Q111" s="4"/>
    </row>
    <row r="112" spans="1:17">
      <c r="A112" s="551">
        <v>6</v>
      </c>
      <c r="B112" s="543" t="s">
        <v>7588</v>
      </c>
      <c r="C112" s="4" t="s">
        <v>10145</v>
      </c>
      <c r="D112" s="546">
        <v>4168</v>
      </c>
      <c r="E112" s="546">
        <v>4319</v>
      </c>
      <c r="F112" s="546">
        <v>4375</v>
      </c>
      <c r="G112" s="30">
        <v>4206</v>
      </c>
      <c r="H112" s="30">
        <v>4184</v>
      </c>
      <c r="I112" s="30">
        <v>4012</v>
      </c>
      <c r="J112" s="30">
        <v>3478</v>
      </c>
      <c r="K112" s="30">
        <v>3461</v>
      </c>
      <c r="L112" s="30">
        <v>3812</v>
      </c>
      <c r="N112" s="542" t="s">
        <v>3032</v>
      </c>
      <c r="O112" s="4"/>
      <c r="Q112" s="4"/>
    </row>
    <row r="113" spans="1:17">
      <c r="A113" s="551">
        <v>7</v>
      </c>
      <c r="B113" s="542" t="s">
        <v>3036</v>
      </c>
      <c r="C113" s="4" t="s">
        <v>10146</v>
      </c>
      <c r="D113" s="546">
        <v>4499</v>
      </c>
      <c r="E113" s="546">
        <v>4570</v>
      </c>
      <c r="F113" s="546">
        <v>4498</v>
      </c>
      <c r="G113" s="30">
        <v>4521</v>
      </c>
      <c r="H113" s="30">
        <v>4504</v>
      </c>
      <c r="I113" s="30">
        <v>4476</v>
      </c>
      <c r="J113" s="30">
        <v>4053</v>
      </c>
      <c r="K113" s="30">
        <v>4035</v>
      </c>
      <c r="L113" s="30">
        <v>4303</v>
      </c>
      <c r="N113" s="542" t="s">
        <v>3032</v>
      </c>
      <c r="O113" s="4"/>
      <c r="Q113" s="4"/>
    </row>
    <row r="114" spans="1:17">
      <c r="A114" s="551">
        <v>8</v>
      </c>
      <c r="B114" s="542" t="s">
        <v>3037</v>
      </c>
      <c r="C114" s="4" t="s">
        <v>10147</v>
      </c>
      <c r="D114" s="546">
        <v>4870</v>
      </c>
      <c r="E114" s="546">
        <v>4824</v>
      </c>
      <c r="F114" s="546">
        <v>4821</v>
      </c>
      <c r="G114" s="30">
        <v>4829</v>
      </c>
      <c r="H114" s="30">
        <v>4839</v>
      </c>
      <c r="I114" s="30">
        <v>4748</v>
      </c>
      <c r="J114" s="30">
        <v>4802</v>
      </c>
      <c r="K114" s="30">
        <v>5002</v>
      </c>
      <c r="L114" s="30">
        <v>5703</v>
      </c>
      <c r="N114" s="542" t="s">
        <v>3032</v>
      </c>
      <c r="O114" s="4"/>
      <c r="Q114" s="4"/>
    </row>
    <row r="115" spans="1:17">
      <c r="A115" s="551">
        <v>9</v>
      </c>
      <c r="B115" s="542" t="s">
        <v>3038</v>
      </c>
      <c r="C115" s="4" t="s">
        <v>10148</v>
      </c>
      <c r="D115" s="546">
        <v>4667</v>
      </c>
      <c r="E115" s="546">
        <v>4806</v>
      </c>
      <c r="F115" s="546">
        <v>4797</v>
      </c>
      <c r="G115" s="30">
        <v>4727</v>
      </c>
      <c r="H115" s="30">
        <v>4908</v>
      </c>
      <c r="I115" s="30">
        <v>4592</v>
      </c>
      <c r="J115" s="30">
        <v>4207</v>
      </c>
      <c r="K115" s="30">
        <v>4224</v>
      </c>
      <c r="L115" s="30">
        <v>4614</v>
      </c>
      <c r="N115" s="542" t="s">
        <v>3032</v>
      </c>
      <c r="O115" s="4"/>
      <c r="Q115" s="4"/>
    </row>
    <row r="116" spans="1:17">
      <c r="A116" s="551">
        <v>10</v>
      </c>
      <c r="B116" s="542" t="s">
        <v>3039</v>
      </c>
      <c r="C116" s="4" t="s">
        <v>10149</v>
      </c>
      <c r="D116" s="546">
        <v>1779</v>
      </c>
      <c r="E116" s="546">
        <v>1797</v>
      </c>
      <c r="F116" s="546">
        <v>1792</v>
      </c>
      <c r="G116" s="31">
        <v>1774</v>
      </c>
      <c r="H116" s="31">
        <v>1764</v>
      </c>
      <c r="I116" s="31">
        <v>1750</v>
      </c>
      <c r="J116" s="31">
        <v>1659</v>
      </c>
      <c r="K116" s="31">
        <v>1659</v>
      </c>
      <c r="L116" s="31">
        <v>1747</v>
      </c>
      <c r="N116" s="542" t="s">
        <v>4652</v>
      </c>
      <c r="O116" s="4"/>
      <c r="Q116" s="4"/>
    </row>
    <row r="117" spans="1:17">
      <c r="A117" s="551">
        <v>11</v>
      </c>
      <c r="B117" s="542" t="s">
        <v>3040</v>
      </c>
      <c r="C117" s="4" t="s">
        <v>10150</v>
      </c>
      <c r="D117" s="546">
        <v>4858</v>
      </c>
      <c r="E117" s="546">
        <v>4959</v>
      </c>
      <c r="F117" s="546">
        <v>5023</v>
      </c>
      <c r="G117" s="30">
        <v>5086</v>
      </c>
      <c r="H117" s="30">
        <v>5039</v>
      </c>
      <c r="I117" s="30">
        <v>4961</v>
      </c>
      <c r="J117" s="30">
        <v>4661</v>
      </c>
      <c r="K117" s="30">
        <v>4553</v>
      </c>
      <c r="L117" s="30">
        <v>4875</v>
      </c>
      <c r="N117" s="542" t="s">
        <v>3032</v>
      </c>
      <c r="O117" s="4"/>
      <c r="Q117" s="4"/>
    </row>
    <row r="118" spans="1:17">
      <c r="A118" s="551">
        <v>12</v>
      </c>
      <c r="B118" s="542" t="s">
        <v>3041</v>
      </c>
      <c r="C118" s="4" t="s">
        <v>10151</v>
      </c>
      <c r="D118" s="546">
        <v>1700</v>
      </c>
      <c r="E118" s="546">
        <v>1703</v>
      </c>
      <c r="F118" s="546">
        <v>1683</v>
      </c>
      <c r="G118" s="31">
        <v>1663</v>
      </c>
      <c r="H118" s="31">
        <v>1646</v>
      </c>
      <c r="I118" s="31">
        <v>1642</v>
      </c>
      <c r="J118" s="31">
        <v>1574</v>
      </c>
      <c r="K118" s="31">
        <v>1580</v>
      </c>
      <c r="L118" s="31">
        <v>1650</v>
      </c>
      <c r="N118" s="542" t="s">
        <v>4652</v>
      </c>
      <c r="O118" s="4"/>
      <c r="Q118" s="4"/>
    </row>
    <row r="119" spans="1:17">
      <c r="A119" s="551">
        <v>13</v>
      </c>
      <c r="B119" s="542" t="s">
        <v>3042</v>
      </c>
      <c r="C119" s="4" t="s">
        <v>10152</v>
      </c>
      <c r="D119" s="546">
        <v>1636</v>
      </c>
      <c r="E119" s="546">
        <v>1642</v>
      </c>
      <c r="F119" s="546">
        <v>1654</v>
      </c>
      <c r="G119" s="31">
        <v>1629</v>
      </c>
      <c r="H119" s="31">
        <v>1608</v>
      </c>
      <c r="I119" s="31">
        <v>1578</v>
      </c>
      <c r="J119" s="31">
        <v>1516</v>
      </c>
      <c r="K119" s="31">
        <v>1540</v>
      </c>
      <c r="L119" s="31">
        <v>1629</v>
      </c>
      <c r="N119" s="542" t="s">
        <v>4652</v>
      </c>
      <c r="O119" s="4"/>
      <c r="Q119" s="4"/>
    </row>
    <row r="120" spans="1:17">
      <c r="A120" s="551">
        <v>14</v>
      </c>
      <c r="B120" s="543" t="s">
        <v>3043</v>
      </c>
      <c r="C120" s="4" t="s">
        <v>10153</v>
      </c>
      <c r="D120" s="546">
        <v>3367</v>
      </c>
      <c r="E120" s="546">
        <v>3418</v>
      </c>
      <c r="F120" s="546">
        <v>3386</v>
      </c>
      <c r="G120" s="31">
        <v>3377</v>
      </c>
      <c r="H120" s="31">
        <v>3353</v>
      </c>
      <c r="I120" s="31">
        <v>3265</v>
      </c>
      <c r="J120" s="31">
        <v>2978</v>
      </c>
      <c r="K120" s="31">
        <v>2958</v>
      </c>
      <c r="L120" s="31">
        <v>3131</v>
      </c>
      <c r="N120" s="542" t="s">
        <v>4652</v>
      </c>
      <c r="O120" s="4"/>
      <c r="Q120" s="4"/>
    </row>
    <row r="121" spans="1:17">
      <c r="A121" s="551">
        <v>15</v>
      </c>
      <c r="B121" s="542" t="s">
        <v>3044</v>
      </c>
      <c r="C121" s="4" t="s">
        <v>10154</v>
      </c>
      <c r="D121" s="546">
        <v>1630</v>
      </c>
      <c r="E121" s="546">
        <v>1639</v>
      </c>
      <c r="F121" s="546">
        <v>1629</v>
      </c>
      <c r="G121" s="31">
        <v>1618</v>
      </c>
      <c r="H121" s="31">
        <v>1616</v>
      </c>
      <c r="I121" s="31">
        <v>1604</v>
      </c>
      <c r="J121" s="31">
        <v>1541</v>
      </c>
      <c r="K121" s="31">
        <v>1534</v>
      </c>
      <c r="L121" s="31">
        <v>1600</v>
      </c>
      <c r="N121" s="542" t="s">
        <v>4652</v>
      </c>
      <c r="O121" s="4"/>
      <c r="Q121" s="4"/>
    </row>
    <row r="122" spans="1:17">
      <c r="A122" s="551">
        <v>16</v>
      </c>
      <c r="B122" s="542" t="s">
        <v>3045</v>
      </c>
      <c r="C122" s="4" t="s">
        <v>10155</v>
      </c>
      <c r="D122" s="546">
        <v>4760</v>
      </c>
      <c r="E122" s="546">
        <v>4774</v>
      </c>
      <c r="F122" s="546">
        <v>4873</v>
      </c>
      <c r="G122" s="30">
        <v>4882</v>
      </c>
      <c r="H122" s="30">
        <v>4857</v>
      </c>
      <c r="I122" s="30">
        <v>4741</v>
      </c>
      <c r="J122" s="30">
        <v>4376</v>
      </c>
      <c r="K122" s="30">
        <v>4312</v>
      </c>
      <c r="L122" s="30">
        <v>4589</v>
      </c>
      <c r="N122" s="542" t="s">
        <v>3032</v>
      </c>
      <c r="O122" s="4"/>
      <c r="Q122" s="4"/>
    </row>
    <row r="123" spans="1:17">
      <c r="A123" s="551">
        <v>17</v>
      </c>
      <c r="B123" s="542" t="s">
        <v>3046</v>
      </c>
      <c r="C123" s="4" t="s">
        <v>10156</v>
      </c>
      <c r="D123" s="546">
        <v>4429</v>
      </c>
      <c r="E123" s="546">
        <v>4484</v>
      </c>
      <c r="F123" s="546">
        <v>4572</v>
      </c>
      <c r="G123" s="30">
        <v>4467</v>
      </c>
      <c r="H123" s="30">
        <v>4446</v>
      </c>
      <c r="I123" s="30">
        <v>4273</v>
      </c>
      <c r="J123" s="30">
        <v>3882</v>
      </c>
      <c r="K123" s="30">
        <v>3643</v>
      </c>
      <c r="L123" s="30">
        <v>4070</v>
      </c>
      <c r="N123" s="542" t="s">
        <v>3032</v>
      </c>
      <c r="O123" s="4"/>
      <c r="Q123" s="4"/>
    </row>
    <row r="124" spans="1:17">
      <c r="A124" s="551">
        <v>18</v>
      </c>
      <c r="B124" s="542" t="s">
        <v>29</v>
      </c>
      <c r="C124" s="4" t="s">
        <v>10157</v>
      </c>
      <c r="D124" s="546">
        <v>3696</v>
      </c>
      <c r="E124" s="546">
        <v>3747</v>
      </c>
      <c r="F124" s="546">
        <v>3715</v>
      </c>
      <c r="G124" s="31">
        <v>3753</v>
      </c>
      <c r="H124" s="31">
        <v>3723</v>
      </c>
      <c r="I124" s="31">
        <v>3660</v>
      </c>
      <c r="J124" s="31">
        <v>3628</v>
      </c>
      <c r="K124" s="31">
        <v>3717</v>
      </c>
      <c r="L124" s="31">
        <v>4033</v>
      </c>
      <c r="N124" s="542" t="s">
        <v>4652</v>
      </c>
      <c r="O124" s="4"/>
      <c r="Q124" s="4"/>
    </row>
    <row r="125" spans="1:17">
      <c r="A125" s="551">
        <v>19</v>
      </c>
      <c r="B125" s="542" t="s">
        <v>30</v>
      </c>
      <c r="C125" s="4" t="s">
        <v>10158</v>
      </c>
      <c r="D125" s="546">
        <v>4797</v>
      </c>
      <c r="E125" s="546">
        <v>4791</v>
      </c>
      <c r="F125" s="546">
        <v>4779</v>
      </c>
      <c r="G125" s="30">
        <v>4765</v>
      </c>
      <c r="H125" s="30">
        <v>4712</v>
      </c>
      <c r="I125" s="30">
        <v>4585</v>
      </c>
      <c r="J125" s="30">
        <v>4386</v>
      </c>
      <c r="K125" s="30">
        <v>4343</v>
      </c>
      <c r="L125" s="30">
        <v>4618</v>
      </c>
      <c r="N125" s="542" t="s">
        <v>3032</v>
      </c>
      <c r="O125" s="4"/>
      <c r="Q125" s="4"/>
    </row>
    <row r="126" spans="1:17">
      <c r="A126" s="551">
        <v>20</v>
      </c>
      <c r="B126" s="542" t="s">
        <v>31</v>
      </c>
      <c r="C126" s="4" t="s">
        <v>10159</v>
      </c>
      <c r="D126" s="546">
        <v>4117</v>
      </c>
      <c r="E126" s="546">
        <v>4079</v>
      </c>
      <c r="F126" s="546">
        <v>4050</v>
      </c>
      <c r="G126" s="30">
        <v>4056</v>
      </c>
      <c r="H126" s="30">
        <v>3994</v>
      </c>
      <c r="I126" s="30">
        <v>3950</v>
      </c>
      <c r="J126" s="30">
        <v>3579</v>
      </c>
      <c r="K126" s="30">
        <v>3571</v>
      </c>
      <c r="L126" s="30">
        <v>3716</v>
      </c>
      <c r="N126" s="542" t="s">
        <v>3032</v>
      </c>
      <c r="O126" s="4"/>
      <c r="Q126" s="4"/>
    </row>
    <row r="127" spans="1:17">
      <c r="A127" s="551">
        <v>21</v>
      </c>
      <c r="B127" s="542" t="s">
        <v>32</v>
      </c>
      <c r="C127" s="4" t="s">
        <v>10160</v>
      </c>
      <c r="D127" s="546">
        <v>3752</v>
      </c>
      <c r="E127" s="546">
        <v>3780</v>
      </c>
      <c r="F127" s="546">
        <v>3793</v>
      </c>
      <c r="G127" s="30">
        <v>3815</v>
      </c>
      <c r="H127" s="30">
        <v>3894</v>
      </c>
      <c r="I127" s="30">
        <v>3857</v>
      </c>
      <c r="J127" s="30">
        <v>3736</v>
      </c>
      <c r="K127" s="30">
        <v>3760</v>
      </c>
      <c r="L127" s="30">
        <v>3997</v>
      </c>
      <c r="N127" s="542" t="s">
        <v>3032</v>
      </c>
      <c r="O127" s="4"/>
      <c r="Q127" s="4"/>
    </row>
    <row r="128" spans="1:17">
      <c r="A128" s="551">
        <v>22</v>
      </c>
      <c r="B128" s="542" t="s">
        <v>33</v>
      </c>
      <c r="C128" s="4" t="s">
        <v>10161</v>
      </c>
      <c r="D128" s="546">
        <v>4876</v>
      </c>
      <c r="E128" s="546">
        <v>4854</v>
      </c>
      <c r="F128" s="546">
        <v>4880</v>
      </c>
      <c r="G128" s="30">
        <v>4893</v>
      </c>
      <c r="H128" s="30">
        <v>4820</v>
      </c>
      <c r="I128" s="30">
        <v>4716</v>
      </c>
      <c r="J128" s="30">
        <v>4516</v>
      </c>
      <c r="K128" s="30">
        <v>4478</v>
      </c>
      <c r="L128" s="30">
        <v>4645</v>
      </c>
      <c r="N128" s="542" t="s">
        <v>3032</v>
      </c>
      <c r="O128" s="4"/>
      <c r="Q128" s="4"/>
    </row>
    <row r="129" spans="1:17">
      <c r="A129" s="551"/>
      <c r="B129" s="542"/>
      <c r="D129" s="546"/>
      <c r="E129" s="546"/>
      <c r="F129" s="546"/>
      <c r="G129" s="546"/>
      <c r="H129" s="546"/>
      <c r="I129" s="546"/>
      <c r="J129" s="546"/>
      <c r="K129" s="546"/>
      <c r="L129" s="546"/>
      <c r="N129" s="542"/>
    </row>
    <row r="130" spans="1:17">
      <c r="A130" s="542" t="s">
        <v>3032</v>
      </c>
      <c r="D130" s="545">
        <f t="shared" ref="D130:I130" si="87">SUM(D107:D109)+SUM(D111:D115)+D117+D122+D123+SUM(D125:D128)</f>
        <v>65621</v>
      </c>
      <c r="E130" s="545">
        <f t="shared" si="87"/>
        <v>66322</v>
      </c>
      <c r="F130" s="545">
        <f t="shared" si="87"/>
        <v>66619</v>
      </c>
      <c r="G130" s="545">
        <f t="shared" si="87"/>
        <v>66436</v>
      </c>
      <c r="H130" s="545">
        <f t="shared" si="87"/>
        <v>66146</v>
      </c>
      <c r="I130" s="545">
        <f t="shared" si="87"/>
        <v>64673</v>
      </c>
      <c r="J130" s="545">
        <f t="shared" ref="J130:K130" si="88">SUM(J107:J109)+SUM(J111:J115)+J117+J122+J123+SUM(J125:J128)</f>
        <v>60507</v>
      </c>
      <c r="K130" s="545">
        <f t="shared" si="88"/>
        <v>59942</v>
      </c>
      <c r="L130" s="545">
        <f t="shared" ref="L130" si="89">SUM(L107:L109)+SUM(L111:L115)+L117+L122+L123+SUM(L125:L128)</f>
        <v>64370</v>
      </c>
    </row>
    <row r="131" spans="1:17">
      <c r="A131" s="542" t="s">
        <v>6425</v>
      </c>
      <c r="D131" s="545">
        <f t="shared" ref="D131:I131" si="90">D110+D116+SUM(D118:D121)+D124</f>
        <v>17393</v>
      </c>
      <c r="E131" s="545">
        <f t="shared" si="90"/>
        <v>17532</v>
      </c>
      <c r="F131" s="545">
        <f t="shared" si="90"/>
        <v>17479</v>
      </c>
      <c r="G131" s="545">
        <f t="shared" si="90"/>
        <v>17496</v>
      </c>
      <c r="H131" s="545">
        <f t="shared" si="90"/>
        <v>17373</v>
      </c>
      <c r="I131" s="545">
        <f t="shared" si="90"/>
        <v>17092</v>
      </c>
      <c r="J131" s="545">
        <f t="shared" ref="J131:K131" si="91">J110+J116+SUM(J118:J121)+J124</f>
        <v>16318</v>
      </c>
      <c r="K131" s="545">
        <f t="shared" si="91"/>
        <v>16392</v>
      </c>
      <c r="L131" s="545">
        <f t="shared" ref="L131" si="92">L110+L116+SUM(L118:L121)+L124</f>
        <v>17451</v>
      </c>
    </row>
    <row r="132" spans="1:17">
      <c r="A132" s="542"/>
      <c r="B132" s="542"/>
      <c r="D132" s="553"/>
      <c r="E132" s="553"/>
      <c r="F132" s="553"/>
      <c r="G132" s="553"/>
      <c r="H132" s="553"/>
      <c r="I132" s="553"/>
      <c r="J132" s="553"/>
      <c r="K132" s="553"/>
      <c r="L132" s="553"/>
    </row>
    <row r="133" spans="1:17">
      <c r="A133" s="543" t="s">
        <v>34</v>
      </c>
      <c r="D133" s="553"/>
      <c r="E133" s="553"/>
      <c r="F133" s="553"/>
      <c r="G133" s="553"/>
      <c r="H133" s="553"/>
      <c r="I133" s="553"/>
      <c r="J133" s="553"/>
      <c r="K133" s="553"/>
      <c r="L133" s="553"/>
    </row>
    <row r="134" spans="1:17">
      <c r="A134" s="542"/>
      <c r="B134" s="542"/>
      <c r="C134" s="542"/>
      <c r="D134" s="553"/>
      <c r="E134" s="553"/>
      <c r="F134" s="553"/>
      <c r="G134" s="553"/>
      <c r="H134" s="553"/>
      <c r="I134" s="553"/>
      <c r="J134" s="553"/>
      <c r="K134" s="553"/>
      <c r="L134" s="553"/>
    </row>
    <row r="135" spans="1:17">
      <c r="A135" s="542"/>
      <c r="B135" s="542"/>
      <c r="D135" s="554"/>
      <c r="E135" s="554"/>
      <c r="F135" s="554"/>
      <c r="G135" s="554"/>
      <c r="H135" s="554"/>
      <c r="I135" s="554"/>
      <c r="J135" s="554"/>
      <c r="K135" s="554"/>
      <c r="L135" s="554"/>
    </row>
    <row r="136" spans="1:17">
      <c r="E136" s="42" t="s">
        <v>2303</v>
      </c>
      <c r="F136" s="42"/>
      <c r="G136" s="42"/>
      <c r="H136" s="42"/>
      <c r="I136" s="42"/>
      <c r="J136" s="42"/>
      <c r="K136" s="42"/>
      <c r="L136" s="42"/>
      <c r="M136" s="153"/>
      <c r="N136" s="109" t="s">
        <v>13319</v>
      </c>
    </row>
    <row r="137" spans="1:17">
      <c r="D137" s="110">
        <v>2010</v>
      </c>
      <c r="E137" s="110">
        <v>2011</v>
      </c>
      <c r="F137" s="110">
        <v>2012</v>
      </c>
      <c r="G137" s="110">
        <v>2013</v>
      </c>
      <c r="H137" s="110">
        <v>2014</v>
      </c>
      <c r="I137" s="110">
        <v>2015</v>
      </c>
      <c r="J137" s="110">
        <v>2016</v>
      </c>
      <c r="K137" s="110">
        <v>2017</v>
      </c>
      <c r="L137" s="110">
        <v>2018</v>
      </c>
      <c r="M137" s="111"/>
      <c r="N137" s="112" t="s">
        <v>2304</v>
      </c>
    </row>
    <row r="138" spans="1:17">
      <c r="A138" s="542" t="s">
        <v>35</v>
      </c>
      <c r="D138" s="545">
        <f t="shared" ref="D138:I138" si="93">SUM(D139:D163)</f>
        <v>55619</v>
      </c>
      <c r="E138" s="545">
        <f t="shared" si="93"/>
        <v>55710</v>
      </c>
      <c r="F138" s="545">
        <f t="shared" si="93"/>
        <v>55736</v>
      </c>
      <c r="G138" s="545">
        <f t="shared" si="93"/>
        <v>55510</v>
      </c>
      <c r="H138" s="545">
        <f t="shared" si="93"/>
        <v>54095</v>
      </c>
      <c r="I138" s="545">
        <f t="shared" si="93"/>
        <v>53730</v>
      </c>
      <c r="J138" s="545">
        <f t="shared" ref="J138:K138" si="94">SUM(J139:J163)</f>
        <v>53024</v>
      </c>
      <c r="K138" s="545">
        <f t="shared" si="94"/>
        <v>52665</v>
      </c>
      <c r="L138" s="545">
        <f t="shared" ref="L138" si="95">SUM(L139:L163)</f>
        <v>53035</v>
      </c>
    </row>
    <row r="139" spans="1:17">
      <c r="A139" s="551">
        <v>1</v>
      </c>
      <c r="B139" s="543" t="s">
        <v>36</v>
      </c>
      <c r="C139" s="4" t="s">
        <v>10162</v>
      </c>
      <c r="D139" s="546">
        <v>1263</v>
      </c>
      <c r="E139" s="546">
        <v>1242</v>
      </c>
      <c r="F139" s="546">
        <v>1220</v>
      </c>
      <c r="G139" s="48">
        <v>1220</v>
      </c>
      <c r="H139" s="48">
        <v>1168</v>
      </c>
      <c r="I139" s="48">
        <v>1177</v>
      </c>
      <c r="J139" s="48">
        <v>1170</v>
      </c>
      <c r="K139" s="48">
        <v>1173</v>
      </c>
      <c r="L139" s="48">
        <v>1186</v>
      </c>
      <c r="N139" s="542" t="s">
        <v>4650</v>
      </c>
      <c r="O139" s="4"/>
      <c r="Q139" s="4"/>
    </row>
    <row r="140" spans="1:17">
      <c r="A140" s="551">
        <v>2</v>
      </c>
      <c r="B140" s="542" t="s">
        <v>37</v>
      </c>
      <c r="C140" s="4" t="s">
        <v>10163</v>
      </c>
      <c r="D140" s="546">
        <v>2413</v>
      </c>
      <c r="E140" s="546">
        <v>2413</v>
      </c>
      <c r="F140" s="546">
        <v>2420</v>
      </c>
      <c r="G140" s="48">
        <v>2397</v>
      </c>
      <c r="H140" s="48">
        <v>2333</v>
      </c>
      <c r="I140" s="48">
        <v>2310</v>
      </c>
      <c r="J140" s="48">
        <v>2307</v>
      </c>
      <c r="K140" s="48">
        <v>2264</v>
      </c>
      <c r="L140" s="48">
        <v>2260</v>
      </c>
      <c r="N140" s="542" t="s">
        <v>4650</v>
      </c>
      <c r="O140" s="4"/>
      <c r="Q140" s="4"/>
    </row>
    <row r="141" spans="1:17">
      <c r="A141" s="551">
        <v>3</v>
      </c>
      <c r="B141" s="542" t="s">
        <v>38</v>
      </c>
      <c r="C141" s="4" t="s">
        <v>10164</v>
      </c>
      <c r="D141" s="546">
        <v>1072</v>
      </c>
      <c r="E141" s="546">
        <v>1063</v>
      </c>
      <c r="F141" s="546">
        <v>1079</v>
      </c>
      <c r="G141" s="48">
        <v>1068</v>
      </c>
      <c r="H141" s="48">
        <v>1021</v>
      </c>
      <c r="I141" s="48">
        <v>1046</v>
      </c>
      <c r="J141" s="48">
        <v>1014</v>
      </c>
      <c r="K141" s="48">
        <v>1013</v>
      </c>
      <c r="L141" s="48">
        <v>1022</v>
      </c>
      <c r="N141" s="542" t="s">
        <v>4650</v>
      </c>
      <c r="O141" s="4"/>
      <c r="Q141" s="4"/>
    </row>
    <row r="142" spans="1:17">
      <c r="A142" s="551">
        <v>4</v>
      </c>
      <c r="B142" s="542" t="s">
        <v>39</v>
      </c>
      <c r="C142" s="4" t="s">
        <v>10165</v>
      </c>
      <c r="D142" s="546">
        <v>3934</v>
      </c>
      <c r="E142" s="546">
        <v>3963</v>
      </c>
      <c r="F142" s="546">
        <v>3920</v>
      </c>
      <c r="G142" s="48">
        <v>3940</v>
      </c>
      <c r="H142" s="48">
        <v>3814</v>
      </c>
      <c r="I142" s="48">
        <v>3811</v>
      </c>
      <c r="J142" s="48">
        <v>3777</v>
      </c>
      <c r="K142" s="48">
        <v>3755</v>
      </c>
      <c r="L142" s="48">
        <v>3766</v>
      </c>
      <c r="N142" s="542" t="s">
        <v>4650</v>
      </c>
      <c r="O142" s="4"/>
      <c r="Q142" s="4"/>
    </row>
    <row r="143" spans="1:17">
      <c r="A143" s="551">
        <v>5</v>
      </c>
      <c r="B143" s="542" t="s">
        <v>3066</v>
      </c>
      <c r="C143" s="4" t="s">
        <v>10166</v>
      </c>
      <c r="D143" s="546">
        <v>3261</v>
      </c>
      <c r="E143" s="546">
        <v>3232</v>
      </c>
      <c r="F143" s="546">
        <v>3221</v>
      </c>
      <c r="G143" s="48">
        <v>3236</v>
      </c>
      <c r="H143" s="48">
        <v>3177</v>
      </c>
      <c r="I143" s="48">
        <v>3144</v>
      </c>
      <c r="J143" s="48">
        <v>3129</v>
      </c>
      <c r="K143" s="48">
        <v>3096</v>
      </c>
      <c r="L143" s="48">
        <v>3147</v>
      </c>
      <c r="N143" s="542" t="s">
        <v>4650</v>
      </c>
      <c r="O143" s="4"/>
      <c r="Q143" s="4"/>
    </row>
    <row r="144" spans="1:17">
      <c r="A144" s="551">
        <v>6</v>
      </c>
      <c r="B144" s="542" t="s">
        <v>3067</v>
      </c>
      <c r="C144" s="4" t="s">
        <v>10167</v>
      </c>
      <c r="D144" s="546">
        <v>2215</v>
      </c>
      <c r="E144" s="546">
        <v>2199</v>
      </c>
      <c r="F144" s="546">
        <v>2183</v>
      </c>
      <c r="G144" s="48">
        <v>2162</v>
      </c>
      <c r="H144" s="48">
        <v>2125</v>
      </c>
      <c r="I144" s="48">
        <v>2089</v>
      </c>
      <c r="J144" s="48">
        <v>2007</v>
      </c>
      <c r="K144" s="48">
        <v>1972</v>
      </c>
      <c r="L144" s="48">
        <v>1991</v>
      </c>
      <c r="N144" s="542" t="s">
        <v>4650</v>
      </c>
      <c r="O144" s="4"/>
      <c r="Q144" s="4"/>
    </row>
    <row r="145" spans="1:17">
      <c r="A145" s="551">
        <v>7</v>
      </c>
      <c r="B145" s="542" t="s">
        <v>3068</v>
      </c>
      <c r="C145" s="4" t="s">
        <v>10168</v>
      </c>
      <c r="D145" s="546">
        <v>3242</v>
      </c>
      <c r="E145" s="546">
        <v>3220</v>
      </c>
      <c r="F145" s="546">
        <v>3189</v>
      </c>
      <c r="G145" s="48">
        <v>3168</v>
      </c>
      <c r="H145" s="48">
        <v>3119</v>
      </c>
      <c r="I145" s="48">
        <v>3125</v>
      </c>
      <c r="J145" s="48">
        <v>3053</v>
      </c>
      <c r="K145" s="48">
        <v>3003</v>
      </c>
      <c r="L145" s="48">
        <v>2983</v>
      </c>
      <c r="N145" s="542" t="s">
        <v>4650</v>
      </c>
      <c r="O145" s="4"/>
      <c r="Q145" s="4"/>
    </row>
    <row r="146" spans="1:17">
      <c r="A146" s="551">
        <v>8</v>
      </c>
      <c r="B146" s="542" t="s">
        <v>3069</v>
      </c>
      <c r="C146" s="4" t="s">
        <v>10169</v>
      </c>
      <c r="D146" s="546">
        <v>3388</v>
      </c>
      <c r="E146" s="546">
        <v>3417</v>
      </c>
      <c r="F146" s="546">
        <v>3390</v>
      </c>
      <c r="G146" s="48">
        <v>3356</v>
      </c>
      <c r="H146" s="48">
        <v>3240</v>
      </c>
      <c r="I146" s="48">
        <v>3204</v>
      </c>
      <c r="J146" s="48">
        <v>3208</v>
      </c>
      <c r="K146" s="48">
        <v>3217</v>
      </c>
      <c r="L146" s="48">
        <v>3260</v>
      </c>
      <c r="N146" s="542" t="s">
        <v>4650</v>
      </c>
      <c r="O146" s="4"/>
      <c r="Q146" s="4"/>
    </row>
    <row r="147" spans="1:17">
      <c r="A147" s="551">
        <v>9</v>
      </c>
      <c r="B147" s="542" t="s">
        <v>3070</v>
      </c>
      <c r="C147" s="4" t="s">
        <v>10170</v>
      </c>
      <c r="D147" s="546">
        <v>3043</v>
      </c>
      <c r="E147" s="546">
        <v>3054</v>
      </c>
      <c r="F147" s="546">
        <v>3034</v>
      </c>
      <c r="G147" s="48">
        <v>3048</v>
      </c>
      <c r="H147" s="48">
        <v>2951</v>
      </c>
      <c r="I147" s="48">
        <v>2894</v>
      </c>
      <c r="J147" s="48">
        <v>2832</v>
      </c>
      <c r="K147" s="48">
        <v>2799</v>
      </c>
      <c r="L147" s="48">
        <v>2795</v>
      </c>
      <c r="N147" s="542" t="s">
        <v>4650</v>
      </c>
      <c r="O147" s="4"/>
      <c r="Q147" s="4"/>
    </row>
    <row r="148" spans="1:17">
      <c r="A148" s="551">
        <v>10</v>
      </c>
      <c r="B148" s="542" t="s">
        <v>3071</v>
      </c>
      <c r="C148" s="4" t="s">
        <v>10171</v>
      </c>
      <c r="D148" s="546">
        <v>823</v>
      </c>
      <c r="E148" s="546">
        <v>838</v>
      </c>
      <c r="F148" s="546">
        <v>850</v>
      </c>
      <c r="G148" s="48">
        <v>841</v>
      </c>
      <c r="H148" s="48">
        <v>822</v>
      </c>
      <c r="I148" s="48">
        <v>818</v>
      </c>
      <c r="J148" s="48">
        <v>820</v>
      </c>
      <c r="K148" s="48">
        <v>809</v>
      </c>
      <c r="L148" s="48">
        <v>816</v>
      </c>
      <c r="N148" s="542" t="s">
        <v>4650</v>
      </c>
      <c r="O148" s="4"/>
      <c r="Q148" s="4"/>
    </row>
    <row r="149" spans="1:17">
      <c r="A149" s="551">
        <v>11</v>
      </c>
      <c r="B149" s="542" t="s">
        <v>3072</v>
      </c>
      <c r="C149" s="4" t="s">
        <v>10172</v>
      </c>
      <c r="D149" s="546">
        <v>2026</v>
      </c>
      <c r="E149" s="546">
        <v>2046</v>
      </c>
      <c r="F149" s="546">
        <v>2090</v>
      </c>
      <c r="G149" s="48">
        <v>2065</v>
      </c>
      <c r="H149" s="48">
        <v>2078</v>
      </c>
      <c r="I149" s="48">
        <v>2074</v>
      </c>
      <c r="J149" s="48">
        <v>2033</v>
      </c>
      <c r="K149" s="48">
        <v>2021</v>
      </c>
      <c r="L149" s="48">
        <v>2002</v>
      </c>
      <c r="N149" s="542" t="s">
        <v>4650</v>
      </c>
      <c r="O149" s="4"/>
      <c r="Q149" s="4"/>
    </row>
    <row r="150" spans="1:17">
      <c r="A150" s="551">
        <v>12</v>
      </c>
      <c r="B150" s="542" t="s">
        <v>3073</v>
      </c>
      <c r="C150" s="4" t="s">
        <v>10173</v>
      </c>
      <c r="D150" s="546">
        <v>1188</v>
      </c>
      <c r="E150" s="546">
        <v>1187</v>
      </c>
      <c r="F150" s="546">
        <v>1188</v>
      </c>
      <c r="G150" s="48">
        <v>1181</v>
      </c>
      <c r="H150" s="48">
        <v>1126</v>
      </c>
      <c r="I150" s="48">
        <v>1138</v>
      </c>
      <c r="J150" s="48">
        <v>1114</v>
      </c>
      <c r="K150" s="48">
        <v>1094</v>
      </c>
      <c r="L150" s="48">
        <v>1100</v>
      </c>
      <c r="N150" s="542" t="s">
        <v>4650</v>
      </c>
      <c r="O150" s="4"/>
      <c r="Q150" s="4"/>
    </row>
    <row r="151" spans="1:17">
      <c r="A151" s="551">
        <v>13</v>
      </c>
      <c r="B151" s="542" t="s">
        <v>3074</v>
      </c>
      <c r="C151" s="4" t="s">
        <v>10174</v>
      </c>
      <c r="D151" s="546">
        <v>3416</v>
      </c>
      <c r="E151" s="546">
        <v>3491</v>
      </c>
      <c r="F151" s="546">
        <v>3493</v>
      </c>
      <c r="G151" s="48">
        <v>3412</v>
      </c>
      <c r="H151" s="48">
        <v>3207</v>
      </c>
      <c r="I151" s="48">
        <v>3187</v>
      </c>
      <c r="J151" s="48">
        <v>3169</v>
      </c>
      <c r="K151" s="48">
        <v>3092</v>
      </c>
      <c r="L151" s="48">
        <v>3115</v>
      </c>
      <c r="N151" s="542" t="s">
        <v>4650</v>
      </c>
      <c r="O151" s="4"/>
      <c r="Q151" s="4"/>
    </row>
    <row r="152" spans="1:17">
      <c r="A152" s="551">
        <v>14</v>
      </c>
      <c r="B152" s="542" t="s">
        <v>3075</v>
      </c>
      <c r="C152" s="4" t="s">
        <v>10175</v>
      </c>
      <c r="D152" s="546">
        <v>1078</v>
      </c>
      <c r="E152" s="546">
        <v>1076</v>
      </c>
      <c r="F152" s="546">
        <v>1084</v>
      </c>
      <c r="G152" s="48">
        <v>1081</v>
      </c>
      <c r="H152" s="48">
        <v>1054</v>
      </c>
      <c r="I152" s="48">
        <v>1060</v>
      </c>
      <c r="J152" s="48">
        <v>1028</v>
      </c>
      <c r="K152" s="48">
        <v>1044</v>
      </c>
      <c r="L152" s="48">
        <v>1054</v>
      </c>
      <c r="N152" s="542" t="s">
        <v>4650</v>
      </c>
      <c r="O152" s="4"/>
      <c r="Q152" s="4"/>
    </row>
    <row r="153" spans="1:17">
      <c r="A153" s="551">
        <v>15</v>
      </c>
      <c r="B153" s="542" t="s">
        <v>3076</v>
      </c>
      <c r="C153" s="4" t="s">
        <v>10176</v>
      </c>
      <c r="D153" s="546">
        <v>3233</v>
      </c>
      <c r="E153" s="546">
        <v>3245</v>
      </c>
      <c r="F153" s="546">
        <v>3263</v>
      </c>
      <c r="G153" s="48">
        <v>3222</v>
      </c>
      <c r="H153" s="48">
        <v>3135</v>
      </c>
      <c r="I153" s="48">
        <v>3106</v>
      </c>
      <c r="J153" s="48">
        <v>3063</v>
      </c>
      <c r="K153" s="48">
        <v>3013</v>
      </c>
      <c r="L153" s="48">
        <v>3055</v>
      </c>
      <c r="N153" s="542" t="s">
        <v>4650</v>
      </c>
      <c r="O153" s="4"/>
      <c r="Q153" s="4"/>
    </row>
    <row r="154" spans="1:17">
      <c r="A154" s="551">
        <v>16</v>
      </c>
      <c r="B154" s="542" t="s">
        <v>3077</v>
      </c>
      <c r="C154" s="4" t="s">
        <v>10177</v>
      </c>
      <c r="D154" s="546">
        <v>2108</v>
      </c>
      <c r="E154" s="546">
        <v>2108</v>
      </c>
      <c r="F154" s="546">
        <v>2121</v>
      </c>
      <c r="G154" s="48">
        <v>2124</v>
      </c>
      <c r="H154" s="48">
        <v>2094</v>
      </c>
      <c r="I154" s="48">
        <v>2080</v>
      </c>
      <c r="J154" s="48">
        <v>2025</v>
      </c>
      <c r="K154" s="48">
        <v>2014</v>
      </c>
      <c r="L154" s="48">
        <v>2042</v>
      </c>
      <c r="N154" s="542" t="s">
        <v>4650</v>
      </c>
      <c r="O154" s="4"/>
      <c r="Q154" s="4"/>
    </row>
    <row r="155" spans="1:17">
      <c r="A155" s="551">
        <v>17</v>
      </c>
      <c r="B155" s="542" t="s">
        <v>3078</v>
      </c>
      <c r="C155" s="4" t="s">
        <v>10178</v>
      </c>
      <c r="D155" s="546">
        <v>1911</v>
      </c>
      <c r="E155" s="546">
        <v>1910</v>
      </c>
      <c r="F155" s="546">
        <v>1945</v>
      </c>
      <c r="G155" s="48">
        <v>1964</v>
      </c>
      <c r="H155" s="48">
        <v>1974</v>
      </c>
      <c r="I155" s="48">
        <v>1969</v>
      </c>
      <c r="J155" s="48">
        <v>1935</v>
      </c>
      <c r="K155" s="48">
        <v>1910</v>
      </c>
      <c r="L155" s="48">
        <v>1910</v>
      </c>
      <c r="N155" s="542" t="s">
        <v>4650</v>
      </c>
      <c r="O155" s="4"/>
      <c r="Q155" s="4"/>
    </row>
    <row r="156" spans="1:17">
      <c r="A156" s="551">
        <v>18</v>
      </c>
      <c r="B156" s="542" t="s">
        <v>3079</v>
      </c>
      <c r="C156" s="4" t="s">
        <v>10179</v>
      </c>
      <c r="D156" s="546">
        <v>1989</v>
      </c>
      <c r="E156" s="546">
        <v>1991</v>
      </c>
      <c r="F156" s="546">
        <v>1976</v>
      </c>
      <c r="G156" s="48">
        <v>1970</v>
      </c>
      <c r="H156" s="48">
        <v>1966</v>
      </c>
      <c r="I156" s="48">
        <v>1979</v>
      </c>
      <c r="J156" s="48">
        <v>1956</v>
      </c>
      <c r="K156" s="48">
        <v>2000</v>
      </c>
      <c r="L156" s="48">
        <v>2001</v>
      </c>
      <c r="N156" s="542" t="s">
        <v>4650</v>
      </c>
      <c r="O156" s="4"/>
      <c r="Q156" s="4"/>
    </row>
    <row r="157" spans="1:17">
      <c r="A157" s="551">
        <v>19</v>
      </c>
      <c r="B157" s="542" t="s">
        <v>3080</v>
      </c>
      <c r="C157" s="4" t="s">
        <v>10180</v>
      </c>
      <c r="D157" s="546">
        <v>1200</v>
      </c>
      <c r="E157" s="546">
        <v>1188</v>
      </c>
      <c r="F157" s="546">
        <v>1191</v>
      </c>
      <c r="G157" s="48">
        <v>1196</v>
      </c>
      <c r="H157" s="48">
        <v>1138</v>
      </c>
      <c r="I157" s="48">
        <v>1124</v>
      </c>
      <c r="J157" s="48">
        <v>1092</v>
      </c>
      <c r="K157" s="48">
        <v>1094</v>
      </c>
      <c r="L157" s="48">
        <v>1085</v>
      </c>
      <c r="N157" s="542" t="s">
        <v>4650</v>
      </c>
      <c r="O157" s="4"/>
      <c r="Q157" s="4"/>
    </row>
    <row r="158" spans="1:17">
      <c r="A158" s="551">
        <v>20</v>
      </c>
      <c r="B158" s="542" t="s">
        <v>3081</v>
      </c>
      <c r="C158" s="4" t="s">
        <v>10181</v>
      </c>
      <c r="D158" s="546">
        <v>3454</v>
      </c>
      <c r="E158" s="546">
        <v>3463</v>
      </c>
      <c r="F158" s="546">
        <v>3421</v>
      </c>
      <c r="G158" s="48">
        <v>3383</v>
      </c>
      <c r="H158" s="48">
        <v>3234</v>
      </c>
      <c r="I158" s="48">
        <v>3163</v>
      </c>
      <c r="J158" s="48">
        <v>3124</v>
      </c>
      <c r="K158" s="48">
        <v>3099</v>
      </c>
      <c r="L158" s="48">
        <v>3127</v>
      </c>
      <c r="N158" s="542" t="s">
        <v>4650</v>
      </c>
      <c r="O158" s="4"/>
      <c r="Q158" s="4"/>
    </row>
    <row r="159" spans="1:17">
      <c r="A159" s="551">
        <v>21</v>
      </c>
      <c r="B159" s="542" t="s">
        <v>3082</v>
      </c>
      <c r="C159" s="4" t="s">
        <v>10182</v>
      </c>
      <c r="D159" s="546">
        <v>1076</v>
      </c>
      <c r="E159" s="546">
        <v>1082</v>
      </c>
      <c r="F159" s="546">
        <v>1133</v>
      </c>
      <c r="G159" s="48">
        <v>1122</v>
      </c>
      <c r="H159" s="48">
        <v>1088</v>
      </c>
      <c r="I159" s="48">
        <v>1066</v>
      </c>
      <c r="J159" s="48">
        <v>1065</v>
      </c>
      <c r="K159" s="48">
        <v>1088</v>
      </c>
      <c r="L159" s="48">
        <v>1106</v>
      </c>
      <c r="N159" s="542" t="s">
        <v>4650</v>
      </c>
      <c r="O159" s="4"/>
      <c r="Q159" s="4"/>
    </row>
    <row r="160" spans="1:17">
      <c r="A160" s="551">
        <v>22</v>
      </c>
      <c r="B160" s="542" t="s">
        <v>8435</v>
      </c>
      <c r="C160" s="4" t="s">
        <v>10183</v>
      </c>
      <c r="D160" s="546">
        <v>2806</v>
      </c>
      <c r="E160" s="546">
        <v>2796</v>
      </c>
      <c r="F160" s="546">
        <v>2807</v>
      </c>
      <c r="G160" s="48">
        <v>2778</v>
      </c>
      <c r="H160" s="48">
        <v>2690</v>
      </c>
      <c r="I160" s="48">
        <v>2649</v>
      </c>
      <c r="J160" s="48">
        <v>2635</v>
      </c>
      <c r="K160" s="48">
        <v>2561</v>
      </c>
      <c r="L160" s="48">
        <v>2546</v>
      </c>
      <c r="N160" s="542" t="s">
        <v>4650</v>
      </c>
      <c r="O160" s="4"/>
      <c r="Q160" s="4"/>
    </row>
    <row r="161" spans="1:17">
      <c r="A161" s="551">
        <v>23</v>
      </c>
      <c r="B161" s="542" t="s">
        <v>1363</v>
      </c>
      <c r="C161" s="4" t="s">
        <v>10184</v>
      </c>
      <c r="D161" s="546">
        <v>1329</v>
      </c>
      <c r="E161" s="546">
        <v>1356</v>
      </c>
      <c r="F161" s="546">
        <v>1347</v>
      </c>
      <c r="G161" s="546">
        <v>1331</v>
      </c>
      <c r="H161" s="48">
        <v>1317</v>
      </c>
      <c r="I161" s="48">
        <v>1319</v>
      </c>
      <c r="J161" s="48">
        <v>1328</v>
      </c>
      <c r="K161" s="48">
        <v>1327</v>
      </c>
      <c r="L161" s="48">
        <v>1341</v>
      </c>
      <c r="N161" s="542" t="s">
        <v>4650</v>
      </c>
      <c r="O161" s="4"/>
      <c r="Q161" s="4"/>
    </row>
    <row r="162" spans="1:17">
      <c r="A162" s="551">
        <v>24</v>
      </c>
      <c r="B162" s="542" t="s">
        <v>1364</v>
      </c>
      <c r="C162" s="4" t="s">
        <v>10185</v>
      </c>
      <c r="D162" s="546">
        <v>1859</v>
      </c>
      <c r="E162" s="546">
        <v>1835</v>
      </c>
      <c r="F162" s="546">
        <v>1881</v>
      </c>
      <c r="G162" s="546">
        <v>1971</v>
      </c>
      <c r="H162" s="48">
        <v>1999</v>
      </c>
      <c r="I162" s="48">
        <v>1987</v>
      </c>
      <c r="J162" s="48">
        <v>1942</v>
      </c>
      <c r="K162" s="48">
        <v>2005</v>
      </c>
      <c r="L162" s="48">
        <v>2105</v>
      </c>
      <c r="N162" s="542" t="s">
        <v>4650</v>
      </c>
      <c r="O162" s="4"/>
      <c r="Q162" s="4"/>
    </row>
    <row r="163" spans="1:17">
      <c r="A163" s="551">
        <v>25</v>
      </c>
      <c r="B163" s="542" t="s">
        <v>1365</v>
      </c>
      <c r="C163" s="4" t="s">
        <v>10186</v>
      </c>
      <c r="D163" s="546">
        <v>2292</v>
      </c>
      <c r="E163" s="546">
        <v>2295</v>
      </c>
      <c r="F163" s="546">
        <v>2290</v>
      </c>
      <c r="G163" s="546">
        <v>2274</v>
      </c>
      <c r="H163" s="48">
        <v>2225</v>
      </c>
      <c r="I163" s="48">
        <v>2211</v>
      </c>
      <c r="J163" s="48">
        <v>2198</v>
      </c>
      <c r="K163" s="48">
        <v>2202</v>
      </c>
      <c r="L163" s="48">
        <v>2220</v>
      </c>
      <c r="N163" s="542" t="s">
        <v>4650</v>
      </c>
      <c r="O163" s="4"/>
      <c r="Q163" s="4"/>
    </row>
    <row r="164" spans="1:17">
      <c r="D164" s="546"/>
      <c r="E164" s="546"/>
      <c r="F164" s="546"/>
      <c r="G164" s="546"/>
      <c r="H164" s="546"/>
      <c r="I164" s="546"/>
      <c r="J164" s="546"/>
      <c r="K164" s="546"/>
      <c r="L164" s="546"/>
    </row>
    <row r="165" spans="1:17">
      <c r="A165" s="542" t="s">
        <v>6424</v>
      </c>
      <c r="D165" s="545">
        <f t="shared" ref="D165:I165" si="96">SUM(D139:D163)</f>
        <v>55619</v>
      </c>
      <c r="E165" s="545">
        <f t="shared" si="96"/>
        <v>55710</v>
      </c>
      <c r="F165" s="545">
        <f t="shared" si="96"/>
        <v>55736</v>
      </c>
      <c r="G165" s="545">
        <f t="shared" si="96"/>
        <v>55510</v>
      </c>
      <c r="H165" s="545">
        <f t="shared" si="96"/>
        <v>54095</v>
      </c>
      <c r="I165" s="545">
        <f t="shared" si="96"/>
        <v>53730</v>
      </c>
      <c r="J165" s="545">
        <f t="shared" ref="J165:K165" si="97">SUM(J139:J163)</f>
        <v>53024</v>
      </c>
      <c r="K165" s="545">
        <f t="shared" si="97"/>
        <v>52665</v>
      </c>
      <c r="L165" s="545">
        <f t="shared" ref="L165" si="98">SUM(L139:L163)</f>
        <v>53035</v>
      </c>
    </row>
    <row r="166" spans="1:17">
      <c r="D166" s="553"/>
      <c r="E166" s="553"/>
      <c r="F166" s="553"/>
      <c r="G166" s="553"/>
      <c r="H166" s="553"/>
      <c r="I166" s="553"/>
      <c r="J166" s="553"/>
      <c r="K166" s="553"/>
      <c r="L166" s="553"/>
    </row>
    <row r="167" spans="1:17">
      <c r="A167" s="543" t="s">
        <v>3047</v>
      </c>
      <c r="D167" s="553"/>
      <c r="E167" s="553"/>
      <c r="F167" s="553"/>
      <c r="G167" s="553"/>
      <c r="H167" s="553"/>
      <c r="I167" s="553"/>
      <c r="J167" s="553"/>
      <c r="K167" s="553"/>
      <c r="L167" s="553"/>
    </row>
    <row r="168" spans="1:17">
      <c r="A168" s="542"/>
      <c r="B168" s="542"/>
      <c r="D168" s="553"/>
      <c r="E168" s="553"/>
      <c r="F168" s="553"/>
      <c r="G168" s="553"/>
      <c r="H168" s="553"/>
      <c r="I168" s="553"/>
      <c r="J168" s="553"/>
      <c r="K168" s="553"/>
      <c r="L168" s="553"/>
    </row>
    <row r="169" spans="1:17">
      <c r="A169" s="542"/>
      <c r="B169" s="542"/>
      <c r="D169" s="554"/>
      <c r="E169" s="554"/>
      <c r="F169" s="554"/>
      <c r="G169" s="554"/>
      <c r="H169" s="554"/>
      <c r="I169" s="554"/>
      <c r="J169" s="554"/>
      <c r="K169" s="554"/>
      <c r="L169" s="554"/>
    </row>
    <row r="170" spans="1:17">
      <c r="E170" s="42" t="s">
        <v>2303</v>
      </c>
      <c r="F170" s="42"/>
      <c r="G170" s="42"/>
      <c r="H170" s="42"/>
      <c r="I170" s="42"/>
      <c r="J170" s="42"/>
      <c r="K170" s="42"/>
      <c r="L170" s="42"/>
      <c r="M170" s="153"/>
      <c r="N170" s="109" t="s">
        <v>13319</v>
      </c>
    </row>
    <row r="171" spans="1:17">
      <c r="D171" s="110">
        <v>2010</v>
      </c>
      <c r="E171" s="110">
        <v>2011</v>
      </c>
      <c r="F171" s="110">
        <v>2012</v>
      </c>
      <c r="G171" s="110">
        <v>2013</v>
      </c>
      <c r="H171" s="110">
        <v>2014</v>
      </c>
      <c r="I171" s="110">
        <v>2015</v>
      </c>
      <c r="J171" s="110">
        <v>2016</v>
      </c>
      <c r="K171" s="110">
        <v>2017</v>
      </c>
      <c r="L171" s="110">
        <v>2018</v>
      </c>
      <c r="M171" s="111"/>
      <c r="N171" s="112" t="s">
        <v>2304</v>
      </c>
    </row>
    <row r="172" spans="1:17">
      <c r="A172" s="542" t="s">
        <v>3048</v>
      </c>
      <c r="D172" s="545">
        <f t="shared" ref="D172:I172" si="99">SUM(D173:D202)</f>
        <v>41639</v>
      </c>
      <c r="E172" s="545">
        <f t="shared" si="99"/>
        <v>41638</v>
      </c>
      <c r="F172" s="545">
        <f t="shared" si="99"/>
        <v>41610</v>
      </c>
      <c r="G172" s="545">
        <f t="shared" si="99"/>
        <v>41576</v>
      </c>
      <c r="H172" s="545">
        <f t="shared" si="99"/>
        <v>41109</v>
      </c>
      <c r="I172" s="545">
        <f t="shared" si="99"/>
        <v>41083</v>
      </c>
      <c r="J172" s="545">
        <f t="shared" ref="J172:K172" si="100">SUM(J173:J202)</f>
        <v>40434</v>
      </c>
      <c r="K172" s="545">
        <f t="shared" si="100"/>
        <v>41203</v>
      </c>
      <c r="L172" s="545">
        <f t="shared" ref="L172" si="101">SUM(L173:L202)</f>
        <v>42005</v>
      </c>
    </row>
    <row r="173" spans="1:17">
      <c r="A173" s="551">
        <v>1</v>
      </c>
      <c r="B173" s="542" t="s">
        <v>3049</v>
      </c>
      <c r="C173" s="4" t="s">
        <v>10187</v>
      </c>
      <c r="D173" s="546">
        <v>1707</v>
      </c>
      <c r="E173" s="546">
        <v>1710</v>
      </c>
      <c r="F173" s="546">
        <v>1723</v>
      </c>
      <c r="G173" s="48">
        <v>1705</v>
      </c>
      <c r="H173" s="48">
        <v>1700</v>
      </c>
      <c r="I173" s="48">
        <v>1686</v>
      </c>
      <c r="J173" s="48">
        <v>1638</v>
      </c>
      <c r="K173" s="48">
        <v>1669</v>
      </c>
      <c r="L173" s="48">
        <v>1692</v>
      </c>
      <c r="N173" s="542" t="s">
        <v>4652</v>
      </c>
      <c r="O173" s="4"/>
      <c r="Q173" s="4"/>
    </row>
    <row r="174" spans="1:17">
      <c r="A174" s="551">
        <v>2</v>
      </c>
      <c r="B174" s="542" t="s">
        <v>3050</v>
      </c>
      <c r="C174" s="4" t="s">
        <v>10188</v>
      </c>
      <c r="D174" s="546">
        <v>1092</v>
      </c>
      <c r="E174" s="546">
        <v>1084</v>
      </c>
      <c r="F174" s="546">
        <v>1055</v>
      </c>
      <c r="G174" s="48">
        <v>1071</v>
      </c>
      <c r="H174" s="48">
        <v>1044</v>
      </c>
      <c r="I174" s="48">
        <v>1038</v>
      </c>
      <c r="J174" s="48">
        <v>1018</v>
      </c>
      <c r="K174" s="48">
        <v>991</v>
      </c>
      <c r="L174" s="48">
        <v>1009</v>
      </c>
      <c r="N174" s="542" t="s">
        <v>4652</v>
      </c>
      <c r="O174" s="4"/>
      <c r="Q174" s="4"/>
    </row>
    <row r="175" spans="1:17">
      <c r="A175" s="551">
        <v>3</v>
      </c>
      <c r="B175" s="542" t="s">
        <v>3051</v>
      </c>
      <c r="C175" s="4" t="s">
        <v>10189</v>
      </c>
      <c r="D175" s="546">
        <v>1377</v>
      </c>
      <c r="E175" s="546">
        <v>1370</v>
      </c>
      <c r="F175" s="546">
        <v>1366</v>
      </c>
      <c r="G175" s="48">
        <v>1353</v>
      </c>
      <c r="H175" s="48">
        <v>1339</v>
      </c>
      <c r="I175" s="48">
        <v>1342</v>
      </c>
      <c r="J175" s="48">
        <v>1324</v>
      </c>
      <c r="K175" s="48">
        <v>1366</v>
      </c>
      <c r="L175" s="48">
        <v>1453</v>
      </c>
      <c r="N175" s="542" t="s">
        <v>4652</v>
      </c>
      <c r="O175" s="4"/>
      <c r="Q175" s="4"/>
    </row>
    <row r="176" spans="1:17">
      <c r="A176" s="551">
        <v>4</v>
      </c>
      <c r="B176" s="542" t="s">
        <v>3052</v>
      </c>
      <c r="C176" s="4" t="s">
        <v>10190</v>
      </c>
      <c r="D176" s="546">
        <v>1112</v>
      </c>
      <c r="E176" s="546">
        <v>1125</v>
      </c>
      <c r="F176" s="546">
        <v>1138</v>
      </c>
      <c r="G176" s="48">
        <v>1113</v>
      </c>
      <c r="H176" s="48">
        <v>1098</v>
      </c>
      <c r="I176" s="48">
        <v>1094</v>
      </c>
      <c r="J176" s="48">
        <v>1049</v>
      </c>
      <c r="K176" s="48">
        <v>1033</v>
      </c>
      <c r="L176" s="48">
        <v>1061</v>
      </c>
      <c r="N176" s="542" t="s">
        <v>4652</v>
      </c>
      <c r="O176" s="4"/>
      <c r="Q176" s="4"/>
    </row>
    <row r="177" spans="1:17">
      <c r="A177" s="551">
        <v>5</v>
      </c>
      <c r="B177" s="542" t="s">
        <v>3053</v>
      </c>
      <c r="C177" s="4" t="s">
        <v>10191</v>
      </c>
      <c r="D177" s="546">
        <v>1031</v>
      </c>
      <c r="E177" s="546">
        <v>1031</v>
      </c>
      <c r="F177" s="546">
        <v>1043</v>
      </c>
      <c r="G177" s="48">
        <v>1059</v>
      </c>
      <c r="H177" s="48">
        <v>1058</v>
      </c>
      <c r="I177" s="48">
        <v>1055</v>
      </c>
      <c r="J177" s="48">
        <v>1035</v>
      </c>
      <c r="K177" s="48">
        <v>1063</v>
      </c>
      <c r="L177" s="48">
        <v>1101</v>
      </c>
      <c r="N177" s="542" t="s">
        <v>4652</v>
      </c>
      <c r="O177" s="4"/>
      <c r="Q177" s="4"/>
    </row>
    <row r="178" spans="1:17">
      <c r="A178" s="551">
        <v>6</v>
      </c>
      <c r="B178" s="542" t="s">
        <v>3054</v>
      </c>
      <c r="C178" s="4" t="s">
        <v>10192</v>
      </c>
      <c r="D178" s="546">
        <v>1140</v>
      </c>
      <c r="E178" s="546">
        <v>1151</v>
      </c>
      <c r="F178" s="546">
        <v>1131</v>
      </c>
      <c r="G178" s="48">
        <v>1133</v>
      </c>
      <c r="H178" s="48">
        <v>1122</v>
      </c>
      <c r="I178" s="48">
        <v>1108</v>
      </c>
      <c r="J178" s="48">
        <v>1131</v>
      </c>
      <c r="K178" s="48">
        <v>1134</v>
      </c>
      <c r="L178" s="48">
        <v>1161</v>
      </c>
      <c r="N178" s="542" t="s">
        <v>4652</v>
      </c>
      <c r="O178" s="4"/>
      <c r="Q178" s="4"/>
    </row>
    <row r="179" spans="1:17">
      <c r="A179" s="551">
        <v>7</v>
      </c>
      <c r="B179" s="542" t="s">
        <v>3055</v>
      </c>
      <c r="C179" s="4" t="s">
        <v>10193</v>
      </c>
      <c r="D179" s="546">
        <v>1164</v>
      </c>
      <c r="E179" s="546">
        <v>1163</v>
      </c>
      <c r="F179" s="546">
        <v>1161</v>
      </c>
      <c r="G179" s="48">
        <v>1179</v>
      </c>
      <c r="H179" s="48">
        <v>1171</v>
      </c>
      <c r="I179" s="48">
        <v>1162</v>
      </c>
      <c r="J179" s="48">
        <v>1118</v>
      </c>
      <c r="K179" s="48">
        <v>1159</v>
      </c>
      <c r="L179" s="48">
        <v>1183</v>
      </c>
      <c r="N179" s="542" t="s">
        <v>4652</v>
      </c>
      <c r="O179" s="4"/>
      <c r="Q179" s="4"/>
    </row>
    <row r="180" spans="1:17">
      <c r="A180" s="551">
        <v>8</v>
      </c>
      <c r="B180" s="542" t="s">
        <v>3056</v>
      </c>
      <c r="C180" s="4" t="s">
        <v>10194</v>
      </c>
      <c r="D180" s="546">
        <v>1189</v>
      </c>
      <c r="E180" s="546">
        <v>1177</v>
      </c>
      <c r="F180" s="546">
        <v>1193</v>
      </c>
      <c r="G180" s="48">
        <v>1177</v>
      </c>
      <c r="H180" s="48">
        <v>1188</v>
      </c>
      <c r="I180" s="48">
        <v>1197</v>
      </c>
      <c r="J180" s="48">
        <v>1180</v>
      </c>
      <c r="K180" s="48">
        <v>1182</v>
      </c>
      <c r="L180" s="48">
        <v>1201</v>
      </c>
      <c r="N180" s="542" t="s">
        <v>4652</v>
      </c>
      <c r="O180" s="4"/>
      <c r="Q180" s="4"/>
    </row>
    <row r="181" spans="1:17">
      <c r="A181" s="551">
        <v>9</v>
      </c>
      <c r="B181" s="542" t="s">
        <v>3057</v>
      </c>
      <c r="C181" s="4" t="s">
        <v>10195</v>
      </c>
      <c r="D181" s="546">
        <v>1166</v>
      </c>
      <c r="E181" s="546">
        <v>1151</v>
      </c>
      <c r="F181" s="546">
        <v>1141</v>
      </c>
      <c r="G181" s="48">
        <v>1139</v>
      </c>
      <c r="H181" s="48">
        <v>1135</v>
      </c>
      <c r="I181" s="48">
        <v>1154</v>
      </c>
      <c r="J181" s="48">
        <v>1138</v>
      </c>
      <c r="K181" s="48">
        <v>1157</v>
      </c>
      <c r="L181" s="48">
        <v>1178</v>
      </c>
      <c r="N181" s="542" t="s">
        <v>4652</v>
      </c>
      <c r="O181" s="4"/>
      <c r="Q181" s="4"/>
    </row>
    <row r="182" spans="1:17">
      <c r="A182" s="551">
        <v>10</v>
      </c>
      <c r="B182" s="542" t="s">
        <v>3058</v>
      </c>
      <c r="C182" s="4" t="s">
        <v>10196</v>
      </c>
      <c r="D182" s="546">
        <v>1004</v>
      </c>
      <c r="E182" s="546">
        <v>1025</v>
      </c>
      <c r="F182" s="546">
        <v>1030</v>
      </c>
      <c r="G182" s="48">
        <v>1023</v>
      </c>
      <c r="H182" s="48">
        <v>1004</v>
      </c>
      <c r="I182" s="48">
        <v>1034</v>
      </c>
      <c r="J182" s="48">
        <v>1039</v>
      </c>
      <c r="K182" s="48">
        <v>1073</v>
      </c>
      <c r="L182" s="48">
        <v>1093</v>
      </c>
      <c r="N182" s="542" t="s">
        <v>4652</v>
      </c>
      <c r="O182" s="4"/>
      <c r="Q182" s="4"/>
    </row>
    <row r="183" spans="1:17">
      <c r="A183" s="551">
        <v>11</v>
      </c>
      <c r="B183" s="542" t="s">
        <v>3059</v>
      </c>
      <c r="C183" s="4" t="s">
        <v>10197</v>
      </c>
      <c r="D183" s="546">
        <v>2461</v>
      </c>
      <c r="E183" s="546">
        <v>2450</v>
      </c>
      <c r="F183" s="546">
        <v>2437</v>
      </c>
      <c r="G183" s="48">
        <v>2430</v>
      </c>
      <c r="H183" s="48">
        <v>2428</v>
      </c>
      <c r="I183" s="48">
        <v>2429</v>
      </c>
      <c r="J183" s="48">
        <v>2403</v>
      </c>
      <c r="K183" s="48">
        <v>2487</v>
      </c>
      <c r="L183" s="48">
        <v>2532</v>
      </c>
      <c r="N183" s="542" t="s">
        <v>4652</v>
      </c>
      <c r="O183" s="4"/>
      <c r="Q183" s="4"/>
    </row>
    <row r="184" spans="1:17">
      <c r="A184" s="551">
        <v>12</v>
      </c>
      <c r="B184" s="542" t="s">
        <v>3060</v>
      </c>
      <c r="C184" s="4" t="s">
        <v>10198</v>
      </c>
      <c r="D184" s="546">
        <v>2053</v>
      </c>
      <c r="E184" s="546">
        <v>2030</v>
      </c>
      <c r="F184" s="546">
        <v>2034</v>
      </c>
      <c r="G184" s="48">
        <v>2032</v>
      </c>
      <c r="H184" s="48">
        <v>2019</v>
      </c>
      <c r="I184" s="48">
        <v>2037</v>
      </c>
      <c r="J184" s="48">
        <v>2011</v>
      </c>
      <c r="K184" s="48">
        <v>2057</v>
      </c>
      <c r="L184" s="48">
        <v>2098</v>
      </c>
      <c r="N184" s="542" t="s">
        <v>4652</v>
      </c>
      <c r="Q184" s="4"/>
    </row>
    <row r="185" spans="1:17">
      <c r="A185" s="551">
        <v>13</v>
      </c>
      <c r="B185" s="542" t="s">
        <v>3061</v>
      </c>
      <c r="C185" s="4" t="s">
        <v>10199</v>
      </c>
      <c r="D185" s="546">
        <v>1198</v>
      </c>
      <c r="E185" s="546">
        <v>1205</v>
      </c>
      <c r="F185" s="546">
        <v>1202</v>
      </c>
      <c r="G185" s="48">
        <v>1209</v>
      </c>
      <c r="H185" s="48">
        <v>1192</v>
      </c>
      <c r="I185" s="48">
        <v>1122</v>
      </c>
      <c r="J185" s="48">
        <v>1173</v>
      </c>
      <c r="K185" s="48">
        <v>1160</v>
      </c>
      <c r="L185" s="48">
        <v>1196</v>
      </c>
      <c r="N185" s="542" t="s">
        <v>4652</v>
      </c>
      <c r="Q185" s="4"/>
    </row>
    <row r="186" spans="1:17">
      <c r="A186" s="551">
        <v>14</v>
      </c>
      <c r="B186" s="542" t="s">
        <v>3062</v>
      </c>
      <c r="C186" s="4" t="s">
        <v>10200</v>
      </c>
      <c r="D186" s="546">
        <v>1170</v>
      </c>
      <c r="E186" s="546">
        <v>1183</v>
      </c>
      <c r="F186" s="546">
        <v>1158</v>
      </c>
      <c r="G186" s="48">
        <v>1154</v>
      </c>
      <c r="H186" s="48">
        <v>1123</v>
      </c>
      <c r="I186" s="48">
        <v>1199</v>
      </c>
      <c r="J186" s="48">
        <v>1132</v>
      </c>
      <c r="K186" s="48">
        <v>1192</v>
      </c>
      <c r="L186" s="48">
        <v>1153</v>
      </c>
      <c r="N186" s="542" t="s">
        <v>4652</v>
      </c>
      <c r="O186" s="4"/>
      <c r="Q186" s="4"/>
    </row>
    <row r="187" spans="1:17">
      <c r="A187" s="551">
        <v>15</v>
      </c>
      <c r="B187" s="542" t="s">
        <v>3063</v>
      </c>
      <c r="C187" s="4" t="s">
        <v>10201</v>
      </c>
      <c r="D187" s="546">
        <v>1294</v>
      </c>
      <c r="E187" s="546">
        <v>1273</v>
      </c>
      <c r="F187" s="546">
        <v>1300</v>
      </c>
      <c r="G187" s="48">
        <v>1286</v>
      </c>
      <c r="H187" s="48">
        <v>1259</v>
      </c>
      <c r="I187" s="48">
        <v>1257</v>
      </c>
      <c r="J187" s="48">
        <v>1245</v>
      </c>
      <c r="K187" s="48">
        <v>1265</v>
      </c>
      <c r="L187" s="48">
        <v>1287</v>
      </c>
      <c r="N187" s="542" t="s">
        <v>4652</v>
      </c>
      <c r="O187" s="4"/>
      <c r="Q187" s="4"/>
    </row>
    <row r="188" spans="1:17">
      <c r="A188" s="551">
        <v>16</v>
      </c>
      <c r="B188" s="542" t="s">
        <v>3064</v>
      </c>
      <c r="C188" s="4" t="s">
        <v>10202</v>
      </c>
      <c r="D188" s="546">
        <v>1154</v>
      </c>
      <c r="E188" s="546">
        <v>1147</v>
      </c>
      <c r="F188" s="546">
        <v>1159</v>
      </c>
      <c r="G188" s="48">
        <v>1151</v>
      </c>
      <c r="H188" s="48">
        <v>1149</v>
      </c>
      <c r="I188" s="48">
        <v>1156</v>
      </c>
      <c r="J188" s="48">
        <v>1107</v>
      </c>
      <c r="K188" s="48">
        <v>1196</v>
      </c>
      <c r="L188" s="48">
        <v>1227</v>
      </c>
      <c r="N188" s="542" t="s">
        <v>4652</v>
      </c>
      <c r="O188" s="4"/>
      <c r="Q188" s="4"/>
    </row>
    <row r="189" spans="1:17">
      <c r="A189" s="551">
        <v>17</v>
      </c>
      <c r="B189" s="542" t="s">
        <v>4784</v>
      </c>
      <c r="C189" s="4" t="s">
        <v>10203</v>
      </c>
      <c r="D189" s="546">
        <v>986</v>
      </c>
      <c r="E189" s="546">
        <v>988</v>
      </c>
      <c r="F189" s="546">
        <v>975</v>
      </c>
      <c r="G189" s="48">
        <v>972</v>
      </c>
      <c r="H189" s="48">
        <v>937</v>
      </c>
      <c r="I189" s="48">
        <v>937</v>
      </c>
      <c r="J189" s="48">
        <v>952</v>
      </c>
      <c r="K189" s="48">
        <v>990</v>
      </c>
      <c r="L189" s="48">
        <v>1005</v>
      </c>
      <c r="N189" s="542" t="s">
        <v>4652</v>
      </c>
      <c r="O189" s="4"/>
      <c r="Q189" s="4"/>
    </row>
    <row r="190" spans="1:17">
      <c r="A190" s="551">
        <v>18</v>
      </c>
      <c r="B190" s="542" t="s">
        <v>4785</v>
      </c>
      <c r="C190" s="4" t="s">
        <v>10204</v>
      </c>
      <c r="D190" s="546">
        <v>1030</v>
      </c>
      <c r="E190" s="546">
        <v>1043</v>
      </c>
      <c r="F190" s="546">
        <v>1048</v>
      </c>
      <c r="G190" s="48">
        <v>1050</v>
      </c>
      <c r="H190" s="48">
        <v>1025</v>
      </c>
      <c r="I190" s="48">
        <v>1008</v>
      </c>
      <c r="J190" s="48">
        <v>1004</v>
      </c>
      <c r="K190" s="48">
        <v>1014</v>
      </c>
      <c r="L190" s="48">
        <v>1048</v>
      </c>
      <c r="N190" s="542" t="s">
        <v>4652</v>
      </c>
      <c r="O190" s="4"/>
      <c r="Q190" s="4"/>
    </row>
    <row r="191" spans="1:17">
      <c r="A191" s="551">
        <v>19</v>
      </c>
      <c r="B191" s="542" t="s">
        <v>4786</v>
      </c>
      <c r="C191" s="4" t="s">
        <v>10205</v>
      </c>
      <c r="D191" s="546">
        <v>1076</v>
      </c>
      <c r="E191" s="546">
        <v>1103</v>
      </c>
      <c r="F191" s="546">
        <v>1074</v>
      </c>
      <c r="G191" s="48">
        <v>1071</v>
      </c>
      <c r="H191" s="48">
        <v>1042</v>
      </c>
      <c r="I191" s="48">
        <v>1042</v>
      </c>
      <c r="J191" s="48">
        <v>1061</v>
      </c>
      <c r="K191" s="48">
        <v>1121</v>
      </c>
      <c r="L191" s="48">
        <v>1137</v>
      </c>
      <c r="N191" s="542" t="s">
        <v>4652</v>
      </c>
      <c r="O191" s="4"/>
      <c r="Q191" s="4"/>
    </row>
    <row r="192" spans="1:17">
      <c r="A192" s="551">
        <v>20</v>
      </c>
      <c r="B192" s="542" t="s">
        <v>3017</v>
      </c>
      <c r="C192" s="4" t="s">
        <v>10206</v>
      </c>
      <c r="D192" s="546">
        <v>1243</v>
      </c>
      <c r="E192" s="546">
        <v>1251</v>
      </c>
      <c r="F192" s="546">
        <v>1241</v>
      </c>
      <c r="G192" s="48">
        <v>1237</v>
      </c>
      <c r="H192" s="48">
        <v>1207</v>
      </c>
      <c r="I192" s="48">
        <v>1222</v>
      </c>
      <c r="J192" s="48">
        <v>1230</v>
      </c>
      <c r="K192" s="48">
        <v>1219</v>
      </c>
      <c r="L192" s="48">
        <v>1256</v>
      </c>
      <c r="N192" s="542" t="s">
        <v>4652</v>
      </c>
      <c r="O192" s="4"/>
      <c r="Q192" s="4"/>
    </row>
    <row r="193" spans="1:17">
      <c r="A193" s="551">
        <v>21</v>
      </c>
      <c r="B193" s="542" t="s">
        <v>3018</v>
      </c>
      <c r="C193" s="4" t="s">
        <v>10207</v>
      </c>
      <c r="D193" s="546">
        <v>2108</v>
      </c>
      <c r="E193" s="546">
        <v>2090</v>
      </c>
      <c r="F193" s="546">
        <v>2108</v>
      </c>
      <c r="G193" s="48">
        <v>2116</v>
      </c>
      <c r="H193" s="48">
        <v>2095</v>
      </c>
      <c r="I193" s="48">
        <v>2104</v>
      </c>
      <c r="J193" s="48">
        <v>2052</v>
      </c>
      <c r="K193" s="48">
        <v>2126</v>
      </c>
      <c r="L193" s="48">
        <v>2240</v>
      </c>
      <c r="N193" s="542" t="s">
        <v>4652</v>
      </c>
      <c r="O193" s="4"/>
      <c r="Q193" s="4"/>
    </row>
    <row r="194" spans="1:17">
      <c r="A194" s="551">
        <v>22</v>
      </c>
      <c r="B194" s="542" t="s">
        <v>3019</v>
      </c>
      <c r="C194" s="4" t="s">
        <v>10208</v>
      </c>
      <c r="D194" s="546">
        <v>3325</v>
      </c>
      <c r="E194" s="546">
        <v>3313</v>
      </c>
      <c r="F194" s="546">
        <v>3327</v>
      </c>
      <c r="G194" s="48">
        <v>3316</v>
      </c>
      <c r="H194" s="48">
        <v>3297</v>
      </c>
      <c r="I194" s="48">
        <v>3237</v>
      </c>
      <c r="J194" s="48">
        <v>3178</v>
      </c>
      <c r="K194" s="48">
        <v>3207</v>
      </c>
      <c r="L194" s="48">
        <v>3282</v>
      </c>
      <c r="N194" s="542" t="s">
        <v>4652</v>
      </c>
      <c r="O194" s="4"/>
      <c r="Q194" s="4"/>
    </row>
    <row r="195" spans="1:17">
      <c r="A195" s="551">
        <v>23</v>
      </c>
      <c r="B195" s="542" t="s">
        <v>3020</v>
      </c>
      <c r="C195" s="4" t="s">
        <v>10209</v>
      </c>
      <c r="D195" s="546">
        <v>1126</v>
      </c>
      <c r="E195" s="546">
        <v>1113</v>
      </c>
      <c r="F195" s="546">
        <v>1113</v>
      </c>
      <c r="G195" s="48">
        <v>1112</v>
      </c>
      <c r="H195" s="48">
        <v>1091</v>
      </c>
      <c r="I195" s="48">
        <v>1082</v>
      </c>
      <c r="J195" s="48">
        <v>1025</v>
      </c>
      <c r="K195" s="48">
        <v>1039</v>
      </c>
      <c r="L195" s="48">
        <v>1021</v>
      </c>
      <c r="N195" s="542" t="s">
        <v>4652</v>
      </c>
      <c r="O195" s="4"/>
      <c r="Q195" s="4"/>
    </row>
    <row r="196" spans="1:17">
      <c r="A196" s="551">
        <v>24</v>
      </c>
      <c r="B196" s="542" t="s">
        <v>3021</v>
      </c>
      <c r="C196" s="4" t="s">
        <v>10210</v>
      </c>
      <c r="D196" s="546">
        <v>1900</v>
      </c>
      <c r="E196" s="546">
        <v>1913</v>
      </c>
      <c r="F196" s="546">
        <v>1918</v>
      </c>
      <c r="G196" s="48">
        <v>1938</v>
      </c>
      <c r="H196" s="48">
        <v>1941</v>
      </c>
      <c r="I196" s="48">
        <v>1937</v>
      </c>
      <c r="J196" s="48">
        <v>1905</v>
      </c>
      <c r="K196" s="48">
        <v>1953</v>
      </c>
      <c r="L196" s="48">
        <v>1974</v>
      </c>
      <c r="N196" s="542" t="s">
        <v>4652</v>
      </c>
      <c r="O196" s="4"/>
      <c r="Q196" s="4"/>
    </row>
    <row r="197" spans="1:17">
      <c r="A197" s="551">
        <v>25</v>
      </c>
      <c r="B197" s="542" t="s">
        <v>3022</v>
      </c>
      <c r="C197" s="4" t="s">
        <v>10211</v>
      </c>
      <c r="D197" s="546">
        <v>2338</v>
      </c>
      <c r="E197" s="546">
        <v>2333</v>
      </c>
      <c r="F197" s="546">
        <v>2331</v>
      </c>
      <c r="G197" s="48">
        <v>2326</v>
      </c>
      <c r="H197" s="48">
        <v>2276</v>
      </c>
      <c r="I197" s="48">
        <v>2278</v>
      </c>
      <c r="J197" s="48">
        <v>2163</v>
      </c>
      <c r="K197" s="48">
        <v>2136</v>
      </c>
      <c r="L197" s="48">
        <v>2174</v>
      </c>
      <c r="N197" s="542" t="s">
        <v>4652</v>
      </c>
      <c r="O197" s="4"/>
      <c r="Q197" s="4"/>
    </row>
    <row r="198" spans="1:17">
      <c r="A198" s="551">
        <v>26</v>
      </c>
      <c r="B198" s="542" t="s">
        <v>3023</v>
      </c>
      <c r="C198" s="4" t="s">
        <v>10212</v>
      </c>
      <c r="D198" s="546">
        <v>766</v>
      </c>
      <c r="E198" s="546">
        <v>763</v>
      </c>
      <c r="F198" s="546">
        <v>779</v>
      </c>
      <c r="G198" s="48">
        <v>783</v>
      </c>
      <c r="H198" s="48">
        <v>784</v>
      </c>
      <c r="I198" s="48">
        <v>763</v>
      </c>
      <c r="J198" s="48">
        <v>753</v>
      </c>
      <c r="K198" s="48">
        <v>775</v>
      </c>
      <c r="L198" s="48">
        <v>800</v>
      </c>
      <c r="N198" s="542" t="s">
        <v>4652</v>
      </c>
      <c r="O198" s="4"/>
      <c r="Q198" s="4"/>
    </row>
    <row r="199" spans="1:17">
      <c r="A199" s="551">
        <v>27</v>
      </c>
      <c r="B199" s="542" t="s">
        <v>3024</v>
      </c>
      <c r="C199" s="4" t="s">
        <v>10213</v>
      </c>
      <c r="D199" s="546">
        <v>1091</v>
      </c>
      <c r="E199" s="546">
        <v>1101</v>
      </c>
      <c r="F199" s="546">
        <v>1087</v>
      </c>
      <c r="G199" s="48">
        <v>1106</v>
      </c>
      <c r="H199" s="48">
        <v>1100</v>
      </c>
      <c r="I199" s="48">
        <v>1102</v>
      </c>
      <c r="J199" s="48">
        <v>1077</v>
      </c>
      <c r="K199" s="48">
        <v>1085</v>
      </c>
      <c r="L199" s="48">
        <v>1096</v>
      </c>
      <c r="N199" s="542" t="s">
        <v>4652</v>
      </c>
      <c r="O199" s="4"/>
      <c r="Q199" s="4"/>
    </row>
    <row r="200" spans="1:17">
      <c r="A200" s="551">
        <v>28</v>
      </c>
      <c r="B200" s="542" t="s">
        <v>3025</v>
      </c>
      <c r="C200" s="4" t="s">
        <v>10214</v>
      </c>
      <c r="D200" s="546">
        <v>1235</v>
      </c>
      <c r="E200" s="546">
        <v>1229</v>
      </c>
      <c r="F200" s="546">
        <v>1218</v>
      </c>
      <c r="G200" s="48">
        <v>1208</v>
      </c>
      <c r="H200" s="48">
        <v>1186</v>
      </c>
      <c r="I200" s="48">
        <v>1187</v>
      </c>
      <c r="J200" s="48">
        <v>1203</v>
      </c>
      <c r="K200" s="48">
        <v>1215</v>
      </c>
      <c r="L200" s="48">
        <v>1207</v>
      </c>
      <c r="N200" s="542" t="s">
        <v>4652</v>
      </c>
      <c r="O200" s="4"/>
      <c r="Q200" s="4"/>
    </row>
    <row r="201" spans="1:17">
      <c r="A201" s="551">
        <v>29</v>
      </c>
      <c r="B201" s="542" t="s">
        <v>3026</v>
      </c>
      <c r="C201" s="4" t="s">
        <v>10215</v>
      </c>
      <c r="D201" s="546">
        <v>1027</v>
      </c>
      <c r="E201" s="546">
        <v>1033</v>
      </c>
      <c r="F201" s="546">
        <v>1035</v>
      </c>
      <c r="G201" s="48">
        <v>1035</v>
      </c>
      <c r="H201" s="48">
        <v>1027</v>
      </c>
      <c r="I201" s="48">
        <v>1037</v>
      </c>
      <c r="J201" s="48">
        <v>1009</v>
      </c>
      <c r="K201" s="48">
        <v>1017</v>
      </c>
      <c r="L201" s="48">
        <v>1018</v>
      </c>
      <c r="N201" s="542" t="s">
        <v>4652</v>
      </c>
      <c r="O201" s="4"/>
      <c r="Q201" s="4"/>
    </row>
    <row r="202" spans="1:17">
      <c r="A202" s="551">
        <v>30</v>
      </c>
      <c r="B202" s="542" t="s">
        <v>3027</v>
      </c>
      <c r="C202" s="4" t="s">
        <v>10216</v>
      </c>
      <c r="D202" s="546">
        <v>1076</v>
      </c>
      <c r="E202" s="546">
        <v>1090</v>
      </c>
      <c r="F202" s="546">
        <v>1085</v>
      </c>
      <c r="G202" s="48">
        <v>1092</v>
      </c>
      <c r="H202" s="48">
        <v>1072</v>
      </c>
      <c r="I202" s="48">
        <v>1077</v>
      </c>
      <c r="J202" s="48">
        <v>1081</v>
      </c>
      <c r="K202" s="48">
        <v>1122</v>
      </c>
      <c r="L202" s="48">
        <v>1122</v>
      </c>
      <c r="N202" s="542" t="s">
        <v>4652</v>
      </c>
      <c r="O202" s="4"/>
      <c r="Q202" s="4"/>
    </row>
    <row r="203" spans="1:17">
      <c r="D203" s="546"/>
      <c r="E203" s="546"/>
      <c r="F203" s="546"/>
      <c r="G203" s="546"/>
      <c r="H203" s="546"/>
      <c r="I203" s="546"/>
      <c r="J203" s="546"/>
      <c r="K203" s="546"/>
      <c r="L203" s="546"/>
    </row>
    <row r="204" spans="1:17">
      <c r="A204" s="542" t="s">
        <v>6425</v>
      </c>
      <c r="D204" s="545">
        <f t="shared" ref="D204:I204" si="102">SUM(D173:D202)</f>
        <v>41639</v>
      </c>
      <c r="E204" s="545">
        <f t="shared" si="102"/>
        <v>41638</v>
      </c>
      <c r="F204" s="545">
        <f t="shared" si="102"/>
        <v>41610</v>
      </c>
      <c r="G204" s="545">
        <f t="shared" si="102"/>
        <v>41576</v>
      </c>
      <c r="H204" s="545">
        <f t="shared" si="102"/>
        <v>41109</v>
      </c>
      <c r="I204" s="545">
        <f t="shared" si="102"/>
        <v>41083</v>
      </c>
      <c r="J204" s="545">
        <f t="shared" ref="J204:K204" si="103">SUM(J173:J202)</f>
        <v>40434</v>
      </c>
      <c r="K204" s="545">
        <f t="shared" si="103"/>
        <v>41203</v>
      </c>
      <c r="L204" s="545">
        <f t="shared" ref="L204" si="104">SUM(L173:L202)</f>
        <v>42005</v>
      </c>
    </row>
    <row r="205" spans="1:17">
      <c r="D205" s="553"/>
      <c r="E205" s="553"/>
      <c r="F205" s="553"/>
      <c r="G205" s="553"/>
      <c r="H205" s="553"/>
      <c r="I205" s="553"/>
      <c r="J205" s="553"/>
      <c r="K205" s="553"/>
      <c r="L205" s="553"/>
    </row>
    <row r="206" spans="1:17">
      <c r="A206" s="543" t="s">
        <v>3028</v>
      </c>
      <c r="D206" s="553"/>
      <c r="E206" s="553"/>
      <c r="F206" s="553"/>
      <c r="G206" s="553"/>
      <c r="H206" s="553"/>
      <c r="I206" s="553"/>
      <c r="J206" s="553"/>
      <c r="K206" s="553"/>
      <c r="L206" s="553"/>
    </row>
    <row r="207" spans="1:17">
      <c r="A207" s="542"/>
      <c r="B207" s="542"/>
      <c r="D207" s="553"/>
      <c r="E207" s="553"/>
      <c r="F207" s="553"/>
      <c r="G207" s="553"/>
      <c r="H207" s="553"/>
      <c r="I207" s="553"/>
      <c r="J207" s="553"/>
      <c r="K207" s="553"/>
      <c r="L207" s="553"/>
    </row>
    <row r="208" spans="1:17">
      <c r="A208" s="542"/>
      <c r="B208" s="542"/>
      <c r="D208" s="554"/>
      <c r="E208" s="554"/>
      <c r="F208" s="554"/>
      <c r="G208" s="554"/>
      <c r="H208" s="554"/>
      <c r="I208" s="554"/>
      <c r="J208" s="554"/>
      <c r="K208" s="554"/>
      <c r="L208" s="554"/>
    </row>
    <row r="209" spans="1:14">
      <c r="E209" s="42" t="s">
        <v>2303</v>
      </c>
      <c r="F209" s="42"/>
      <c r="G209" s="42"/>
      <c r="H209" s="42"/>
      <c r="I209" s="42"/>
      <c r="J209" s="42"/>
      <c r="K209" s="42"/>
      <c r="L209" s="42"/>
      <c r="M209" s="153"/>
      <c r="N209" s="109" t="s">
        <v>13319</v>
      </c>
    </row>
    <row r="210" spans="1:14">
      <c r="D210" s="110">
        <v>2010</v>
      </c>
      <c r="E210" s="110">
        <v>2011</v>
      </c>
      <c r="F210" s="110">
        <v>2012</v>
      </c>
      <c r="G210" s="110">
        <v>2013</v>
      </c>
      <c r="H210" s="110">
        <v>2014</v>
      </c>
      <c r="I210" s="110">
        <v>2015</v>
      </c>
      <c r="J210" s="110">
        <v>2016</v>
      </c>
      <c r="K210" s="110">
        <v>2017</v>
      </c>
      <c r="L210" s="110">
        <v>2018</v>
      </c>
      <c r="M210" s="111"/>
      <c r="N210" s="112" t="s">
        <v>2304</v>
      </c>
    </row>
    <row r="211" spans="1:14">
      <c r="A211" s="542" t="s">
        <v>3029</v>
      </c>
      <c r="D211" s="545">
        <f t="shared" ref="D211:K211" si="105">SUM(D212:D216)+SUM(D218:D231)</f>
        <v>83025</v>
      </c>
      <c r="E211" s="545">
        <f t="shared" si="105"/>
        <v>82532</v>
      </c>
      <c r="F211" s="545">
        <f t="shared" si="105"/>
        <v>82423</v>
      </c>
      <c r="G211" s="545">
        <f t="shared" si="105"/>
        <v>82783</v>
      </c>
      <c r="H211" s="545">
        <f t="shared" si="105"/>
        <v>79729</v>
      </c>
      <c r="I211" s="545">
        <f t="shared" si="105"/>
        <v>80278</v>
      </c>
      <c r="J211" s="545">
        <f t="shared" si="105"/>
        <v>79163</v>
      </c>
      <c r="K211" s="545">
        <f t="shared" si="105"/>
        <v>80932</v>
      </c>
      <c r="L211" s="545">
        <f>SUM(L212:L216)+SUM(L218:L231)</f>
        <v>82011</v>
      </c>
    </row>
    <row r="212" spans="1:14">
      <c r="A212" s="551">
        <v>1</v>
      </c>
      <c r="B212" s="543" t="s">
        <v>6441</v>
      </c>
      <c r="D212" s="545">
        <v>67027</v>
      </c>
      <c r="E212" s="545">
        <v>66609</v>
      </c>
      <c r="F212" s="545">
        <v>66582</v>
      </c>
      <c r="G212" s="545">
        <v>66792</v>
      </c>
      <c r="H212" s="545">
        <v>64587</v>
      </c>
      <c r="I212" s="545">
        <v>64871</v>
      </c>
      <c r="J212" s="545">
        <v>63885</v>
      </c>
      <c r="K212" s="545">
        <v>65240</v>
      </c>
      <c r="L212" s="545">
        <v>3267</v>
      </c>
      <c r="N212" s="542" t="s">
        <v>4653</v>
      </c>
    </row>
    <row r="213" spans="1:14">
      <c r="A213" s="551">
        <v>2</v>
      </c>
      <c r="B213" s="543" t="s">
        <v>16631</v>
      </c>
      <c r="D213" s="545">
        <v>0</v>
      </c>
      <c r="E213" s="545">
        <v>0</v>
      </c>
      <c r="F213" s="545">
        <v>0</v>
      </c>
      <c r="G213" s="545">
        <v>0</v>
      </c>
      <c r="H213" s="545">
        <v>0</v>
      </c>
      <c r="I213" s="545">
        <v>0</v>
      </c>
      <c r="J213" s="545">
        <v>0</v>
      </c>
      <c r="K213" s="545">
        <v>0</v>
      </c>
      <c r="L213" s="545">
        <v>5179</v>
      </c>
      <c r="N213" s="542" t="s">
        <v>4653</v>
      </c>
    </row>
    <row r="214" spans="1:14">
      <c r="A214" s="551">
        <v>3</v>
      </c>
      <c r="B214" s="543" t="s">
        <v>16632</v>
      </c>
      <c r="D214" s="545">
        <v>0</v>
      </c>
      <c r="E214" s="545">
        <v>0</v>
      </c>
      <c r="F214" s="545">
        <v>0</v>
      </c>
      <c r="G214" s="545">
        <v>0</v>
      </c>
      <c r="H214" s="545">
        <v>0</v>
      </c>
      <c r="I214" s="545">
        <v>0</v>
      </c>
      <c r="J214" s="545">
        <v>0</v>
      </c>
      <c r="K214" s="545">
        <v>0</v>
      </c>
      <c r="L214" s="545">
        <v>4576</v>
      </c>
      <c r="N214" s="542" t="s">
        <v>4653</v>
      </c>
    </row>
    <row r="215" spans="1:14">
      <c r="A215" s="551">
        <v>4</v>
      </c>
      <c r="B215" s="543" t="s">
        <v>16633</v>
      </c>
      <c r="D215" s="545">
        <v>0</v>
      </c>
      <c r="E215" s="545">
        <v>0</v>
      </c>
      <c r="F215" s="545">
        <v>0</v>
      </c>
      <c r="G215" s="545">
        <v>0</v>
      </c>
      <c r="H215" s="545">
        <v>0</v>
      </c>
      <c r="I215" s="545">
        <v>0</v>
      </c>
      <c r="J215" s="545">
        <v>0</v>
      </c>
      <c r="K215" s="545">
        <v>0</v>
      </c>
      <c r="L215" s="545">
        <v>2054</v>
      </c>
      <c r="N215" s="542" t="s">
        <v>4646</v>
      </c>
    </row>
    <row r="216" spans="1:14" ht="15.75" thickBot="1">
      <c r="D216" s="545">
        <v>0</v>
      </c>
      <c r="E216" s="545">
        <v>0</v>
      </c>
      <c r="F216" s="545">
        <v>0</v>
      </c>
      <c r="G216" s="545">
        <v>0</v>
      </c>
      <c r="H216" s="545">
        <v>0</v>
      </c>
      <c r="I216" s="545">
        <v>0</v>
      </c>
      <c r="J216" s="545">
        <v>0</v>
      </c>
      <c r="K216" s="545">
        <v>0</v>
      </c>
      <c r="L216" s="545">
        <v>3004</v>
      </c>
      <c r="N216" s="542" t="s">
        <v>4653</v>
      </c>
    </row>
    <row r="217" spans="1:14" ht="15.75" thickBot="1">
      <c r="D217" s="555">
        <f t="shared" ref="D217:L217" si="106">D215+D216</f>
        <v>0</v>
      </c>
      <c r="E217" s="555">
        <f t="shared" si="106"/>
        <v>0</v>
      </c>
      <c r="F217" s="555">
        <f t="shared" si="106"/>
        <v>0</v>
      </c>
      <c r="G217" s="555">
        <f t="shared" si="106"/>
        <v>0</v>
      </c>
      <c r="H217" s="555">
        <f t="shared" si="106"/>
        <v>0</v>
      </c>
      <c r="I217" s="555">
        <f t="shared" si="106"/>
        <v>0</v>
      </c>
      <c r="J217" s="555">
        <f t="shared" si="106"/>
        <v>0</v>
      </c>
      <c r="K217" s="555">
        <f t="shared" si="106"/>
        <v>0</v>
      </c>
      <c r="L217" s="555">
        <f t="shared" si="106"/>
        <v>5058</v>
      </c>
      <c r="N217" s="542"/>
    </row>
    <row r="218" spans="1:14">
      <c r="A218" s="551">
        <v>5</v>
      </c>
      <c r="B218" s="543" t="s">
        <v>16634</v>
      </c>
      <c r="D218" s="545">
        <v>0</v>
      </c>
      <c r="E218" s="545">
        <v>0</v>
      </c>
      <c r="F218" s="545">
        <v>0</v>
      </c>
      <c r="G218" s="545">
        <v>0</v>
      </c>
      <c r="H218" s="545">
        <v>0</v>
      </c>
      <c r="I218" s="545">
        <v>0</v>
      </c>
      <c r="J218" s="545">
        <v>0</v>
      </c>
      <c r="K218" s="545">
        <v>0</v>
      </c>
      <c r="L218" s="545">
        <v>4794</v>
      </c>
      <c r="N218" s="542" t="s">
        <v>4653</v>
      </c>
    </row>
    <row r="219" spans="1:14">
      <c r="A219" s="551">
        <v>6</v>
      </c>
      <c r="B219" s="543" t="s">
        <v>16629</v>
      </c>
      <c r="D219" s="545">
        <v>0</v>
      </c>
      <c r="E219" s="545">
        <v>0</v>
      </c>
      <c r="F219" s="545">
        <v>0</v>
      </c>
      <c r="G219" s="545">
        <v>0</v>
      </c>
      <c r="H219" s="545">
        <v>0</v>
      </c>
      <c r="I219" s="545">
        <v>0</v>
      </c>
      <c r="J219" s="545">
        <v>0</v>
      </c>
      <c r="K219" s="545">
        <v>0</v>
      </c>
      <c r="L219" s="545">
        <v>3190</v>
      </c>
      <c r="N219" s="542" t="s">
        <v>4653</v>
      </c>
    </row>
    <row r="220" spans="1:14">
      <c r="A220" s="551">
        <v>7</v>
      </c>
      <c r="B220" s="543" t="s">
        <v>16635</v>
      </c>
      <c r="D220" s="545">
        <v>15998</v>
      </c>
      <c r="E220" s="545">
        <v>15923</v>
      </c>
      <c r="F220" s="545">
        <v>15841</v>
      </c>
      <c r="G220" s="545">
        <v>15991</v>
      </c>
      <c r="H220" s="545">
        <v>15142</v>
      </c>
      <c r="I220" s="545">
        <v>15407</v>
      </c>
      <c r="J220" s="545">
        <v>15278</v>
      </c>
      <c r="K220" s="545">
        <v>15692</v>
      </c>
      <c r="L220" s="545">
        <v>4687</v>
      </c>
      <c r="N220" s="542" t="s">
        <v>4646</v>
      </c>
    </row>
    <row r="221" spans="1:14">
      <c r="A221" s="551">
        <v>8</v>
      </c>
      <c r="B221" s="543" t="s">
        <v>8563</v>
      </c>
      <c r="D221" s="545">
        <v>0</v>
      </c>
      <c r="E221" s="545">
        <v>0</v>
      </c>
      <c r="F221" s="545">
        <v>0</v>
      </c>
      <c r="G221" s="545">
        <v>0</v>
      </c>
      <c r="H221" s="545">
        <v>0</v>
      </c>
      <c r="I221" s="545">
        <v>0</v>
      </c>
      <c r="J221" s="545">
        <v>0</v>
      </c>
      <c r="K221" s="545">
        <v>0</v>
      </c>
      <c r="L221" s="545">
        <v>4556</v>
      </c>
      <c r="N221" s="542" t="s">
        <v>4653</v>
      </c>
    </row>
    <row r="222" spans="1:14">
      <c r="A222" s="551">
        <v>9</v>
      </c>
      <c r="B222" s="543" t="s">
        <v>16636</v>
      </c>
      <c r="D222" s="545">
        <v>0</v>
      </c>
      <c r="E222" s="545">
        <v>0</v>
      </c>
      <c r="F222" s="545">
        <v>0</v>
      </c>
      <c r="G222" s="545">
        <v>0</v>
      </c>
      <c r="H222" s="545">
        <v>0</v>
      </c>
      <c r="I222" s="545">
        <v>0</v>
      </c>
      <c r="J222" s="545">
        <v>0</v>
      </c>
      <c r="K222" s="545">
        <v>0</v>
      </c>
      <c r="L222" s="545">
        <v>5001</v>
      </c>
      <c r="N222" s="542" t="s">
        <v>4653</v>
      </c>
    </row>
    <row r="223" spans="1:14">
      <c r="A223" s="551">
        <v>10</v>
      </c>
      <c r="B223" s="543" t="s">
        <v>16637</v>
      </c>
      <c r="D223" s="545">
        <v>0</v>
      </c>
      <c r="E223" s="545">
        <v>0</v>
      </c>
      <c r="F223" s="545">
        <v>0</v>
      </c>
      <c r="G223" s="545">
        <v>0</v>
      </c>
      <c r="H223" s="545">
        <v>0</v>
      </c>
      <c r="I223" s="545">
        <v>0</v>
      </c>
      <c r="J223" s="545">
        <v>0</v>
      </c>
      <c r="K223" s="545">
        <v>0</v>
      </c>
      <c r="L223" s="545">
        <v>3233</v>
      </c>
      <c r="N223" s="542" t="s">
        <v>4653</v>
      </c>
    </row>
    <row r="224" spans="1:14">
      <c r="A224" s="551">
        <v>11</v>
      </c>
      <c r="B224" s="543" t="s">
        <v>16638</v>
      </c>
      <c r="D224" s="545">
        <v>0</v>
      </c>
      <c r="E224" s="545">
        <v>0</v>
      </c>
      <c r="F224" s="545">
        <v>0</v>
      </c>
      <c r="G224" s="545">
        <v>0</v>
      </c>
      <c r="H224" s="545">
        <v>0</v>
      </c>
      <c r="I224" s="545">
        <v>0</v>
      </c>
      <c r="J224" s="545">
        <v>0</v>
      </c>
      <c r="K224" s="545">
        <v>0</v>
      </c>
      <c r="L224" s="545">
        <v>4919</v>
      </c>
      <c r="N224" s="542" t="s">
        <v>4653</v>
      </c>
    </row>
    <row r="225" spans="1:14">
      <c r="A225" s="551">
        <v>12</v>
      </c>
      <c r="B225" s="543" t="s">
        <v>16639</v>
      </c>
      <c r="D225" s="545">
        <v>0</v>
      </c>
      <c r="E225" s="545">
        <v>0</v>
      </c>
      <c r="F225" s="545">
        <v>0</v>
      </c>
      <c r="G225" s="545">
        <v>0</v>
      </c>
      <c r="H225" s="545">
        <v>0</v>
      </c>
      <c r="I225" s="545">
        <v>0</v>
      </c>
      <c r="J225" s="545">
        <v>0</v>
      </c>
      <c r="K225" s="545">
        <v>0</v>
      </c>
      <c r="L225" s="545">
        <v>4890</v>
      </c>
      <c r="N225" s="542" t="s">
        <v>4653</v>
      </c>
    </row>
    <row r="226" spans="1:14">
      <c r="A226" s="551">
        <v>13</v>
      </c>
      <c r="B226" s="543" t="s">
        <v>16640</v>
      </c>
      <c r="D226" s="545">
        <v>0</v>
      </c>
      <c r="E226" s="545">
        <v>0</v>
      </c>
      <c r="F226" s="545">
        <v>0</v>
      </c>
      <c r="G226" s="545">
        <v>0</v>
      </c>
      <c r="H226" s="545">
        <v>0</v>
      </c>
      <c r="I226" s="545">
        <v>0</v>
      </c>
      <c r="J226" s="545">
        <v>0</v>
      </c>
      <c r="K226" s="545">
        <v>0</v>
      </c>
      <c r="L226" s="545">
        <v>4850</v>
      </c>
      <c r="N226" s="542" t="s">
        <v>4653</v>
      </c>
    </row>
    <row r="227" spans="1:14">
      <c r="A227" s="551">
        <v>14</v>
      </c>
      <c r="B227" s="543" t="s">
        <v>16641</v>
      </c>
      <c r="D227" s="545">
        <v>0</v>
      </c>
      <c r="E227" s="545">
        <v>0</v>
      </c>
      <c r="F227" s="545">
        <v>0</v>
      </c>
      <c r="G227" s="545">
        <v>0</v>
      </c>
      <c r="H227" s="545">
        <v>0</v>
      </c>
      <c r="I227" s="545">
        <v>0</v>
      </c>
      <c r="J227" s="545">
        <v>0</v>
      </c>
      <c r="K227" s="545">
        <v>0</v>
      </c>
      <c r="L227" s="545">
        <v>5132</v>
      </c>
      <c r="N227" s="542" t="s">
        <v>4653</v>
      </c>
    </row>
    <row r="228" spans="1:14">
      <c r="A228" s="551">
        <v>15</v>
      </c>
      <c r="B228" s="543" t="s">
        <v>6550</v>
      </c>
      <c r="D228" s="545">
        <v>0</v>
      </c>
      <c r="E228" s="545">
        <v>0</v>
      </c>
      <c r="F228" s="545">
        <v>0</v>
      </c>
      <c r="G228" s="545">
        <v>0</v>
      </c>
      <c r="H228" s="545">
        <v>0</v>
      </c>
      <c r="I228" s="545">
        <v>0</v>
      </c>
      <c r="J228" s="545">
        <v>0</v>
      </c>
      <c r="K228" s="545">
        <v>0</v>
      </c>
      <c r="L228" s="545">
        <v>4854</v>
      </c>
      <c r="N228" s="542" t="s">
        <v>4653</v>
      </c>
    </row>
    <row r="229" spans="1:14">
      <c r="A229" s="551">
        <v>16</v>
      </c>
      <c r="B229" s="543" t="s">
        <v>8364</v>
      </c>
      <c r="D229" s="545">
        <v>0</v>
      </c>
      <c r="E229" s="545">
        <v>0</v>
      </c>
      <c r="F229" s="545">
        <v>0</v>
      </c>
      <c r="G229" s="545">
        <v>0</v>
      </c>
      <c r="H229" s="545">
        <v>0</v>
      </c>
      <c r="I229" s="545">
        <v>0</v>
      </c>
      <c r="J229" s="545">
        <v>0</v>
      </c>
      <c r="K229" s="545">
        <v>0</v>
      </c>
      <c r="L229" s="545">
        <v>4630</v>
      </c>
      <c r="N229" s="542" t="s">
        <v>4646</v>
      </c>
    </row>
    <row r="230" spans="1:14">
      <c r="A230" s="551">
        <v>17</v>
      </c>
      <c r="B230" s="543" t="s">
        <v>4763</v>
      </c>
      <c r="D230" s="545">
        <v>0</v>
      </c>
      <c r="E230" s="545">
        <v>0</v>
      </c>
      <c r="F230" s="545">
        <v>0</v>
      </c>
      <c r="G230" s="545">
        <v>0</v>
      </c>
      <c r="H230" s="545">
        <v>0</v>
      </c>
      <c r="I230" s="545">
        <v>0</v>
      </c>
      <c r="J230" s="545">
        <v>0</v>
      </c>
      <c r="K230" s="545">
        <v>0</v>
      </c>
      <c r="L230" s="545">
        <v>4629</v>
      </c>
      <c r="N230" s="542" t="s">
        <v>4646</v>
      </c>
    </row>
    <row r="231" spans="1:14">
      <c r="A231" s="551">
        <v>18</v>
      </c>
      <c r="B231" s="543" t="s">
        <v>16630</v>
      </c>
      <c r="D231" s="545">
        <v>0</v>
      </c>
      <c r="E231" s="545">
        <v>0</v>
      </c>
      <c r="F231" s="545">
        <v>0</v>
      </c>
      <c r="G231" s="545">
        <v>0</v>
      </c>
      <c r="H231" s="545">
        <v>0</v>
      </c>
      <c r="I231" s="545">
        <v>0</v>
      </c>
      <c r="J231" s="545">
        <v>0</v>
      </c>
      <c r="K231" s="545">
        <v>0</v>
      </c>
      <c r="L231" s="545">
        <v>4566</v>
      </c>
      <c r="N231" s="542" t="s">
        <v>4653</v>
      </c>
    </row>
    <row r="232" spans="1:14">
      <c r="A232" s="551"/>
      <c r="D232" s="545"/>
      <c r="E232" s="545"/>
      <c r="F232" s="545"/>
      <c r="G232" s="545"/>
      <c r="H232" s="545"/>
      <c r="I232" s="545"/>
      <c r="J232" s="545"/>
      <c r="K232" s="545"/>
      <c r="L232" s="545"/>
      <c r="N232" s="542"/>
    </row>
    <row r="233" spans="1:14">
      <c r="A233" s="542" t="s">
        <v>28</v>
      </c>
      <c r="D233" s="545">
        <f t="shared" ref="D233:K233" si="107">D215+D220+SUM(D229:D230)</f>
        <v>15998</v>
      </c>
      <c r="E233" s="545">
        <f t="shared" si="107"/>
        <v>15923</v>
      </c>
      <c r="F233" s="545">
        <f t="shared" si="107"/>
        <v>15841</v>
      </c>
      <c r="G233" s="545">
        <f t="shared" si="107"/>
        <v>15991</v>
      </c>
      <c r="H233" s="545">
        <f t="shared" si="107"/>
        <v>15142</v>
      </c>
      <c r="I233" s="545">
        <f t="shared" si="107"/>
        <v>15407</v>
      </c>
      <c r="J233" s="545">
        <f t="shared" si="107"/>
        <v>15278</v>
      </c>
      <c r="K233" s="545">
        <f t="shared" si="107"/>
        <v>15692</v>
      </c>
      <c r="L233" s="545">
        <f>L215+L220+SUM(L229:L230)</f>
        <v>16000</v>
      </c>
    </row>
    <row r="234" spans="1:14">
      <c r="A234" s="542" t="s">
        <v>4653</v>
      </c>
      <c r="D234" s="545">
        <f t="shared" ref="D234:K234" si="108">SUM(D212:D214)+D216+SUM(D218:D219)+SUM(D221:D228)+D231</f>
        <v>67027</v>
      </c>
      <c r="E234" s="545">
        <f t="shared" si="108"/>
        <v>66609</v>
      </c>
      <c r="F234" s="545">
        <f t="shared" si="108"/>
        <v>66582</v>
      </c>
      <c r="G234" s="545">
        <f t="shared" si="108"/>
        <v>66792</v>
      </c>
      <c r="H234" s="545">
        <f t="shared" si="108"/>
        <v>64587</v>
      </c>
      <c r="I234" s="545">
        <f t="shared" si="108"/>
        <v>64871</v>
      </c>
      <c r="J234" s="545">
        <f t="shared" si="108"/>
        <v>63885</v>
      </c>
      <c r="K234" s="545">
        <f t="shared" si="108"/>
        <v>65240</v>
      </c>
      <c r="L234" s="545">
        <f>SUM(L212:L214)+L216+SUM(L218:L219)+SUM(L221:L228)+L231</f>
        <v>66011</v>
      </c>
    </row>
    <row r="235" spans="1:14">
      <c r="A235" s="542"/>
      <c r="D235" s="545"/>
      <c r="E235" s="545"/>
      <c r="F235" s="545"/>
      <c r="G235" s="545"/>
      <c r="H235" s="545"/>
      <c r="I235" s="545"/>
      <c r="J235" s="545"/>
      <c r="K235" s="545"/>
      <c r="L235" s="545"/>
    </row>
    <row r="236" spans="1:14">
      <c r="A236" s="543" t="s">
        <v>16628</v>
      </c>
    </row>
    <row r="239" spans="1:14">
      <c r="A239" s="551"/>
    </row>
    <row r="240" spans="1:14">
      <c r="A240" s="551"/>
    </row>
    <row r="241" spans="1:1">
      <c r="A241" s="551"/>
    </row>
    <row r="242" spans="1:1">
      <c r="A242" s="551"/>
    </row>
    <row r="243" spans="1:1">
      <c r="A243" s="551"/>
    </row>
    <row r="244" spans="1:1">
      <c r="A244" s="551"/>
    </row>
    <row r="245" spans="1:1">
      <c r="A245" s="551"/>
    </row>
    <row r="246" spans="1:1">
      <c r="A246" s="551"/>
    </row>
    <row r="247" spans="1:1">
      <c r="A247" s="551"/>
    </row>
    <row r="248" spans="1:1">
      <c r="A248" s="551"/>
    </row>
    <row r="249" spans="1:1">
      <c r="A249" s="551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1" orientation="portrait" horizontalDpi="300" verticalDpi="300" r:id="rId1"/>
  <headerFooter alignWithMargins="0">
    <oddFooter>&amp;C&amp;"Times New Roman,Regular"&amp;8&amp;P of &amp;N</oddFooter>
  </headerFooter>
  <ignoredErrors>
    <ignoredError sqref="D106:E106 D130:D131 D138:E138 D165:E165 D76:D77 D42:E42 D84:E84 D99:E99 D204:E204 D172:E172 D3:D9 E130:E131 E76:E77 E3:E9 F76:F84 F99:F106 F130:F138 F165:F172 F204:F208 F3:F9 G138:K138 G165:K165 G172:K172 G204:K204 G76:G77 G42:K42 G130:G131 G106:K106 G84:K84 G99:K99 G3:G9 D12:D14 E12:E14 F12:F14 G12:G14 H130:H131 H76:H77 H3:H9 H12:H14 I130:I131 I75:I77 I3:I9 J130:J131 J76:J77 J3:J9 K75:K77 K130:K131 K3:K9 D11 E11 F11 G11 H11 I11:I14 J11:J14 K11:K14 D30:D37 E30:E37 F30:F42 G30:G37 H30:H37 I30:I37 J30:J37 K30:K37 D16:D28 E16:E28 F16:F28 G16:G28 H16:H28 I16:I28 J16:J28 K16:K28 D211:L211 L3:L210 L212:L234 D10:K10 D15:K15 D29:K29 D233:K23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GY563"/>
  <sheetViews>
    <sheetView showGridLines="0" topLeftCell="A532" zoomScale="90" zoomScaleNormal="90" workbookViewId="0">
      <selection activeCell="J538" sqref="J538"/>
    </sheetView>
  </sheetViews>
  <sheetFormatPr defaultColWidth="12.5703125" defaultRowHeight="15"/>
  <cols>
    <col min="1" max="1" width="43.42578125" style="193" customWidth="1"/>
    <col min="2" max="7" width="11" style="193" bestFit="1" customWidth="1"/>
    <col min="8" max="10" width="11" style="193" customWidth="1"/>
    <col min="11" max="11" width="12.7109375" style="193" customWidth="1"/>
    <col min="12" max="12" width="2.42578125" style="193" customWidth="1"/>
    <col min="13" max="13" width="12.5703125" style="193" customWidth="1"/>
    <col min="14" max="14" width="12.5703125" style="193"/>
    <col min="15" max="24" width="11.28515625" style="193" customWidth="1"/>
    <col min="25" max="16384" width="12.5703125" style="193"/>
  </cols>
  <sheetData>
    <row r="1" spans="1:26">
      <c r="A1" s="191" t="s">
        <v>12500</v>
      </c>
      <c r="B1" s="192">
        <v>2010</v>
      </c>
      <c r="C1" s="192">
        <v>2011</v>
      </c>
      <c r="D1" s="192">
        <v>2012</v>
      </c>
      <c r="E1" s="192">
        <v>2013</v>
      </c>
      <c r="F1" s="192">
        <v>2014</v>
      </c>
      <c r="G1" s="192">
        <v>2015</v>
      </c>
      <c r="H1" s="192">
        <v>2016</v>
      </c>
      <c r="I1" s="192">
        <v>2017</v>
      </c>
      <c r="J1" s="192">
        <v>2018</v>
      </c>
      <c r="K1" s="192" t="s">
        <v>8695</v>
      </c>
      <c r="L1" s="192"/>
      <c r="N1" s="194" t="s">
        <v>16286</v>
      </c>
      <c r="O1" s="192" t="s">
        <v>8696</v>
      </c>
      <c r="P1" s="192" t="s">
        <v>8696</v>
      </c>
      <c r="Q1" s="192" t="s">
        <v>8696</v>
      </c>
      <c r="R1" s="192" t="s">
        <v>8696</v>
      </c>
      <c r="S1" s="192" t="s">
        <v>8696</v>
      </c>
      <c r="T1" s="192" t="s">
        <v>8696</v>
      </c>
      <c r="U1" s="192" t="s">
        <v>8696</v>
      </c>
      <c r="V1" s="192" t="s">
        <v>8696</v>
      </c>
      <c r="W1" s="192" t="s">
        <v>8696</v>
      </c>
      <c r="X1" s="192"/>
    </row>
    <row r="2" spans="1:26">
      <c r="K2" s="192" t="s">
        <v>16285</v>
      </c>
      <c r="L2" s="192"/>
      <c r="O2" s="192">
        <v>2010</v>
      </c>
      <c r="P2" s="192">
        <v>2011</v>
      </c>
      <c r="Q2" s="192">
        <v>2012</v>
      </c>
      <c r="R2" s="192">
        <v>2013</v>
      </c>
      <c r="S2" s="192">
        <v>2014</v>
      </c>
      <c r="T2" s="192">
        <v>2015</v>
      </c>
      <c r="U2" s="192">
        <v>2016</v>
      </c>
      <c r="V2" s="192">
        <v>2017</v>
      </c>
      <c r="W2" s="192">
        <v>2018</v>
      </c>
      <c r="X2" s="192"/>
    </row>
    <row r="3" spans="1:26">
      <c r="K3" s="192"/>
      <c r="L3" s="192"/>
    </row>
    <row r="4" spans="1:26">
      <c r="A4" s="191" t="str">
        <f>'ISLE OF WIGHT'!A8</f>
        <v>Isle of Wight CC</v>
      </c>
      <c r="B4" s="195">
        <f>'ISLE OF WIGHT'!D8</f>
        <v>110228</v>
      </c>
      <c r="C4" s="195">
        <f>'ISLE OF WIGHT'!E8</f>
        <v>110924</v>
      </c>
      <c r="D4" s="195">
        <f>'ISLE OF WIGHT'!F8</f>
        <v>110900</v>
      </c>
      <c r="E4" s="195">
        <f>'ISLE OF WIGHT'!G8</f>
        <v>111109</v>
      </c>
      <c r="F4" s="195">
        <f>'ISLE OF WIGHT'!H8</f>
        <v>111800</v>
      </c>
      <c r="G4" s="195">
        <f>'ISLE OF WIGHT'!I8</f>
        <v>107572</v>
      </c>
      <c r="H4" s="195">
        <f>'ISLE OF WIGHT'!J8</f>
        <v>105448</v>
      </c>
      <c r="I4" s="195">
        <f>'ISLE OF WIGHT'!K8</f>
        <v>108591</v>
      </c>
      <c r="J4" s="195">
        <f>'ISLE OF WIGHT'!L8</f>
        <v>109938</v>
      </c>
      <c r="K4" s="196">
        <f t="shared" ref="K4:K67" si="0">(J4-B4)/B4</f>
        <v>-2.6309104764669594E-3</v>
      </c>
      <c r="L4" s="196"/>
      <c r="M4" s="195">
        <f t="shared" ref="M4:M67" si="1">J4-$J$544</f>
        <v>32785</v>
      </c>
      <c r="N4" s="196">
        <f t="shared" ref="N4:N67" si="2">(J4-$J$544)/$J$544</f>
        <v>0.4249348696745428</v>
      </c>
      <c r="O4" s="197">
        <v>1</v>
      </c>
      <c r="P4" s="197">
        <v>1</v>
      </c>
      <c r="Q4" s="197">
        <v>1</v>
      </c>
      <c r="R4" s="197">
        <v>1</v>
      </c>
      <c r="S4" s="197">
        <v>1</v>
      </c>
      <c r="T4" s="197">
        <v>1</v>
      </c>
      <c r="U4" s="197">
        <v>1</v>
      </c>
      <c r="V4" s="197">
        <v>1</v>
      </c>
      <c r="W4" s="197">
        <v>1</v>
      </c>
      <c r="X4" s="197"/>
      <c r="Y4" s="197">
        <v>233</v>
      </c>
      <c r="Z4" s="197"/>
    </row>
    <row r="5" spans="1:26">
      <c r="A5" s="191" t="str">
        <f>'MILTON KEYNES'!A9</f>
        <v>Milton Keynes South BC</v>
      </c>
      <c r="B5" s="195">
        <f>'MILTON KEYNES'!D9</f>
        <v>86901</v>
      </c>
      <c r="C5" s="195">
        <f>'MILTON KEYNES'!E9</f>
        <v>85552</v>
      </c>
      <c r="D5" s="195">
        <f>'MILTON KEYNES'!F9</f>
        <v>87302</v>
      </c>
      <c r="E5" s="195">
        <f>'MILTON KEYNES'!G9</f>
        <v>88960</v>
      </c>
      <c r="F5" s="195">
        <f>'MILTON KEYNES'!H9</f>
        <v>90057</v>
      </c>
      <c r="G5" s="195">
        <f>'MILTON KEYNES'!I9</f>
        <v>88033</v>
      </c>
      <c r="H5" s="195">
        <f>'MILTON KEYNES'!J9</f>
        <v>86585</v>
      </c>
      <c r="I5" s="195">
        <f>'MILTON KEYNES'!K9</f>
        <v>90993</v>
      </c>
      <c r="J5" s="195">
        <f>'MILTON KEYNES'!L9</f>
        <v>92011</v>
      </c>
      <c r="K5" s="196">
        <f t="shared" si="0"/>
        <v>5.8802545425254024E-2</v>
      </c>
      <c r="L5" s="196"/>
      <c r="M5" s="195">
        <f t="shared" si="1"/>
        <v>14858</v>
      </c>
      <c r="N5" s="196">
        <f t="shared" si="2"/>
        <v>0.19257838321257761</v>
      </c>
      <c r="O5" s="197">
        <v>4</v>
      </c>
      <c r="P5" s="197">
        <v>9</v>
      </c>
      <c r="Q5" s="197">
        <v>7</v>
      </c>
      <c r="R5" s="197">
        <v>5</v>
      </c>
      <c r="S5" s="197">
        <v>4</v>
      </c>
      <c r="T5" s="197">
        <v>5</v>
      </c>
      <c r="U5" s="197">
        <v>6</v>
      </c>
      <c r="V5" s="197">
        <v>4</v>
      </c>
      <c r="W5" s="197">
        <v>2</v>
      </c>
      <c r="X5" s="197"/>
      <c r="Y5" s="197">
        <v>293</v>
      </c>
      <c r="Z5" s="197"/>
    </row>
    <row r="6" spans="1:26">
      <c r="A6" s="191" t="str">
        <f>CAMBRIDGESHIRE!A25</f>
        <v>North West Cambridgeshire CC</v>
      </c>
      <c r="B6" s="195">
        <f>CAMBRIDGESHIRE!D27</f>
        <v>87358</v>
      </c>
      <c r="C6" s="195">
        <f>CAMBRIDGESHIRE!E27</f>
        <v>89419</v>
      </c>
      <c r="D6" s="195">
        <f>CAMBRIDGESHIRE!F27</f>
        <v>89868</v>
      </c>
      <c r="E6" s="195">
        <f>CAMBRIDGESHIRE!G27</f>
        <v>89803</v>
      </c>
      <c r="F6" s="195">
        <f>CAMBRIDGESHIRE!H27</f>
        <v>91189</v>
      </c>
      <c r="G6" s="195">
        <f>CAMBRIDGESHIRE!I27</f>
        <v>90993</v>
      </c>
      <c r="H6" s="195">
        <f>CAMBRIDGESHIRE!J27</f>
        <v>89991</v>
      </c>
      <c r="I6" s="195">
        <f>CAMBRIDGESHIRE!K27</f>
        <v>92698</v>
      </c>
      <c r="J6" s="195">
        <f>CAMBRIDGESHIRE!L27</f>
        <v>91982</v>
      </c>
      <c r="K6" s="196">
        <f t="shared" si="0"/>
        <v>5.2931614734769566E-2</v>
      </c>
      <c r="L6" s="196"/>
      <c r="M6" s="195">
        <f t="shared" si="1"/>
        <v>14829</v>
      </c>
      <c r="N6" s="196">
        <f t="shared" si="2"/>
        <v>0.19220250670745143</v>
      </c>
      <c r="O6" s="197">
        <v>3</v>
      </c>
      <c r="P6" s="197">
        <v>4</v>
      </c>
      <c r="Q6" s="197">
        <v>4</v>
      </c>
      <c r="R6" s="197">
        <v>4</v>
      </c>
      <c r="S6" s="197">
        <v>3</v>
      </c>
      <c r="T6" s="197">
        <v>2</v>
      </c>
      <c r="U6" s="197">
        <v>2</v>
      </c>
      <c r="V6" s="197">
        <v>2</v>
      </c>
      <c r="W6" s="197">
        <v>3</v>
      </c>
      <c r="X6" s="197"/>
      <c r="Y6" s="197">
        <v>326</v>
      </c>
      <c r="Z6" s="197"/>
    </row>
    <row r="7" spans="1:26">
      <c r="A7" s="191" t="str">
        <f>NEWHAM!A9</f>
        <v>West Ham BC</v>
      </c>
      <c r="B7" s="195">
        <f>NEWHAM!D9</f>
        <v>83572</v>
      </c>
      <c r="C7" s="195">
        <f>NEWHAM!E9</f>
        <v>86400</v>
      </c>
      <c r="D7" s="195">
        <f>NEWHAM!F9</f>
        <v>88062</v>
      </c>
      <c r="E7" s="195">
        <f>NEWHAM!G9</f>
        <v>88744</v>
      </c>
      <c r="F7" s="195">
        <f>NEWHAM!H9</f>
        <v>82393</v>
      </c>
      <c r="G7" s="195">
        <f>NEWHAM!I9</f>
        <v>83345</v>
      </c>
      <c r="H7" s="195">
        <f>NEWHAM!J9</f>
        <v>86902</v>
      </c>
      <c r="I7" s="195">
        <f>NEWHAM!K9</f>
        <v>91076</v>
      </c>
      <c r="J7" s="195">
        <f>NEWHAM!L9</f>
        <v>90695</v>
      </c>
      <c r="K7" s="196">
        <f t="shared" si="0"/>
        <v>8.5231895850284789E-2</v>
      </c>
      <c r="L7" s="196"/>
      <c r="M7" s="195">
        <f t="shared" si="1"/>
        <v>13542</v>
      </c>
      <c r="N7" s="196">
        <f t="shared" si="2"/>
        <v>0.1755213666351276</v>
      </c>
      <c r="O7" s="197">
        <v>11</v>
      </c>
      <c r="P7" s="197">
        <v>6</v>
      </c>
      <c r="Q7" s="197">
        <v>6</v>
      </c>
      <c r="R7" s="197">
        <v>6</v>
      </c>
      <c r="S7" s="197">
        <v>32</v>
      </c>
      <c r="T7" s="197">
        <v>14</v>
      </c>
      <c r="U7" s="197">
        <v>4</v>
      </c>
      <c r="V7" s="197">
        <v>3</v>
      </c>
      <c r="W7" s="197">
        <v>4</v>
      </c>
      <c r="X7" s="197"/>
      <c r="Y7" s="197">
        <v>503</v>
      </c>
      <c r="Z7" s="197"/>
    </row>
    <row r="8" spans="1:26">
      <c r="A8" s="191" t="str">
        <f>LINCOLNSHIRE!A31</f>
        <v>Sleaford and North Hykeham CC</v>
      </c>
      <c r="B8" s="195">
        <f>LINCOLNSHIRE!D33</f>
        <v>84627</v>
      </c>
      <c r="C8" s="195">
        <f>LINCOLNSHIRE!E33</f>
        <v>85561</v>
      </c>
      <c r="D8" s="195">
        <f>LINCOLNSHIRE!F33</f>
        <v>86497</v>
      </c>
      <c r="E8" s="195">
        <f>LINCOLNSHIRE!G33</f>
        <v>87353</v>
      </c>
      <c r="F8" s="195">
        <f>LINCOLNSHIRE!H33</f>
        <v>88214</v>
      </c>
      <c r="G8" s="195">
        <f>LINCOLNSHIRE!I33</f>
        <v>85449</v>
      </c>
      <c r="H8" s="195">
        <f>LINCOLNSHIRE!J33</f>
        <v>86652</v>
      </c>
      <c r="I8" s="195">
        <f>LINCOLNSHIRE!K33</f>
        <v>89167</v>
      </c>
      <c r="J8" s="195">
        <f>LINCOLNSHIRE!L33</f>
        <v>90229</v>
      </c>
      <c r="K8" s="196">
        <f t="shared" si="0"/>
        <v>6.6196367589539978E-2</v>
      </c>
      <c r="L8" s="196"/>
      <c r="M8" s="195">
        <f t="shared" si="1"/>
        <v>13076</v>
      </c>
      <c r="N8" s="196">
        <f t="shared" si="2"/>
        <v>0.16948142003551384</v>
      </c>
      <c r="O8" s="197">
        <v>6</v>
      </c>
      <c r="P8" s="197">
        <v>8</v>
      </c>
      <c r="Q8" s="197">
        <v>8</v>
      </c>
      <c r="R8" s="197">
        <v>8</v>
      </c>
      <c r="S8" s="197">
        <v>6</v>
      </c>
      <c r="T8" s="197">
        <v>6</v>
      </c>
      <c r="U8" s="197">
        <v>5</v>
      </c>
      <c r="V8" s="197">
        <v>6</v>
      </c>
      <c r="W8" s="197">
        <v>5</v>
      </c>
      <c r="X8" s="197"/>
      <c r="Y8" s="197">
        <v>400</v>
      </c>
      <c r="Z8" s="197"/>
    </row>
    <row r="9" spans="1:26">
      <c r="A9" s="191" t="str">
        <f>'MILTON KEYNES'!A7</f>
        <v>Milton Keynes North CC</v>
      </c>
      <c r="B9" s="195">
        <f>'MILTON KEYNES'!D7</f>
        <v>81991</v>
      </c>
      <c r="C9" s="195">
        <f>'MILTON KEYNES'!E7</f>
        <v>81226</v>
      </c>
      <c r="D9" s="195">
        <f>'MILTON KEYNES'!F7</f>
        <v>83919</v>
      </c>
      <c r="E9" s="195">
        <f>'MILTON KEYNES'!G7</f>
        <v>85537</v>
      </c>
      <c r="F9" s="195">
        <f>'MILTON KEYNES'!H7</f>
        <v>87028</v>
      </c>
      <c r="G9" s="195">
        <f>'MILTON KEYNES'!I7</f>
        <v>84679</v>
      </c>
      <c r="H9" s="195">
        <f>'MILTON KEYNES'!J7</f>
        <v>83348</v>
      </c>
      <c r="I9" s="195">
        <f>'MILTON KEYNES'!K7</f>
        <v>87756</v>
      </c>
      <c r="J9" s="195">
        <f>'MILTON KEYNES'!L7</f>
        <v>88630</v>
      </c>
      <c r="K9" s="196">
        <f t="shared" si="0"/>
        <v>8.0972301838006605E-2</v>
      </c>
      <c r="L9" s="196"/>
      <c r="M9" s="195">
        <f t="shared" si="1"/>
        <v>11477</v>
      </c>
      <c r="N9" s="196">
        <f t="shared" si="2"/>
        <v>0.14875636721838426</v>
      </c>
      <c r="O9" s="197">
        <v>20</v>
      </c>
      <c r="P9" s="197">
        <v>31</v>
      </c>
      <c r="Q9" s="197">
        <v>18</v>
      </c>
      <c r="R9" s="197">
        <v>13</v>
      </c>
      <c r="S9" s="197">
        <v>7</v>
      </c>
      <c r="T9" s="197">
        <v>8</v>
      </c>
      <c r="U9" s="197">
        <v>11</v>
      </c>
      <c r="V9" s="197">
        <v>8</v>
      </c>
      <c r="W9" s="197">
        <v>6</v>
      </c>
      <c r="X9" s="197"/>
      <c r="Y9" s="197">
        <v>292</v>
      </c>
      <c r="Z9" s="197"/>
    </row>
    <row r="10" spans="1:26">
      <c r="A10" s="191" t="str">
        <f>'GREATER MANCHESTER'!A55</f>
        <v>Manchester Central BC</v>
      </c>
      <c r="B10" s="195">
        <f>'GREATER MANCHESTER'!D55</f>
        <v>85522</v>
      </c>
      <c r="C10" s="195">
        <f>'GREATER MANCHESTER'!E55</f>
        <v>89519</v>
      </c>
      <c r="D10" s="195">
        <f>'GREATER MANCHESTER'!F55</f>
        <v>91216</v>
      </c>
      <c r="E10" s="195">
        <f>'GREATER MANCHESTER'!G55</f>
        <v>92334</v>
      </c>
      <c r="F10" s="195">
        <f>'GREATER MANCHESTER'!H55</f>
        <v>95373</v>
      </c>
      <c r="G10" s="195">
        <f>'GREATER MANCHESTER'!I55</f>
        <v>89845</v>
      </c>
      <c r="H10" s="195">
        <f>'GREATER MANCHESTER'!J55</f>
        <v>87339</v>
      </c>
      <c r="I10" s="195">
        <f>'GREATER MANCHESTER'!K55</f>
        <v>85370</v>
      </c>
      <c r="J10" s="195">
        <f>'GREATER MANCHESTER'!L55</f>
        <v>88488</v>
      </c>
      <c r="K10" s="196">
        <f t="shared" si="0"/>
        <v>3.4681134678796098E-2</v>
      </c>
      <c r="L10" s="196"/>
      <c r="M10" s="195">
        <f t="shared" si="1"/>
        <v>11335</v>
      </c>
      <c r="N10" s="196">
        <f t="shared" si="2"/>
        <v>0.14691586846914573</v>
      </c>
      <c r="O10" s="197">
        <v>5</v>
      </c>
      <c r="P10" s="197">
        <v>3</v>
      </c>
      <c r="Q10" s="197">
        <v>3</v>
      </c>
      <c r="R10" s="197">
        <v>2</v>
      </c>
      <c r="S10" s="197">
        <v>2</v>
      </c>
      <c r="T10" s="197">
        <v>3</v>
      </c>
      <c r="U10" s="197">
        <v>3</v>
      </c>
      <c r="V10" s="197">
        <v>13</v>
      </c>
      <c r="W10" s="197">
        <v>7</v>
      </c>
      <c r="X10" s="197"/>
      <c r="Y10" s="197">
        <v>278</v>
      </c>
      <c r="Z10" s="197"/>
    </row>
    <row r="11" spans="1:26">
      <c r="A11" s="191" t="str">
        <f>NORTHAMPTONSHIRE!A30</f>
        <v>South Northamptonshire CC</v>
      </c>
      <c r="B11" s="195">
        <f>NORTHAMPTONSHIRE!D32</f>
        <v>82052</v>
      </c>
      <c r="C11" s="195">
        <f>NORTHAMPTONSHIRE!E32</f>
        <v>82956</v>
      </c>
      <c r="D11" s="195">
        <f>NORTHAMPTONSHIRE!F32</f>
        <v>84028</v>
      </c>
      <c r="E11" s="195">
        <f>NORTHAMPTONSHIRE!G32</f>
        <v>85036</v>
      </c>
      <c r="F11" s="195">
        <f>NORTHAMPTONSHIRE!H32</f>
        <v>84178</v>
      </c>
      <c r="G11" s="195">
        <f>NORTHAMPTONSHIRE!I32</f>
        <v>81801</v>
      </c>
      <c r="H11" s="195">
        <f>NORTHAMPTONSHIRE!J32</f>
        <v>84427</v>
      </c>
      <c r="I11" s="195">
        <f>NORTHAMPTONSHIRE!K32</f>
        <v>88813</v>
      </c>
      <c r="J11" s="195">
        <f>NORTHAMPTONSHIRE!L32</f>
        <v>87516</v>
      </c>
      <c r="K11" s="196">
        <f t="shared" si="0"/>
        <v>6.6591917320723448E-2</v>
      </c>
      <c r="L11" s="196"/>
      <c r="M11" s="195">
        <f t="shared" si="1"/>
        <v>10363</v>
      </c>
      <c r="N11" s="196">
        <f t="shared" si="2"/>
        <v>0.13431752491802004</v>
      </c>
      <c r="O11" s="197">
        <v>19</v>
      </c>
      <c r="P11" s="197">
        <v>18</v>
      </c>
      <c r="Q11" s="197">
        <v>17</v>
      </c>
      <c r="R11" s="197">
        <v>15</v>
      </c>
      <c r="S11" s="197">
        <v>18</v>
      </c>
      <c r="T11" s="197">
        <v>26</v>
      </c>
      <c r="U11" s="197">
        <v>8</v>
      </c>
      <c r="V11" s="197">
        <v>7</v>
      </c>
      <c r="W11" s="197">
        <v>8</v>
      </c>
      <c r="X11" s="197"/>
      <c r="Y11" s="197">
        <v>413</v>
      </c>
      <c r="Z11" s="197"/>
    </row>
    <row r="12" spans="1:26">
      <c r="A12" s="191" t="str">
        <f>SUFFOLK!A15</f>
        <v>Bury St Edmunds CC</v>
      </c>
      <c r="B12" s="195">
        <f>SUFFOLK!D17</f>
        <v>84588</v>
      </c>
      <c r="C12" s="195">
        <f>SUFFOLK!E17</f>
        <v>85933</v>
      </c>
      <c r="D12" s="195">
        <f>SUFFOLK!F17</f>
        <v>86034</v>
      </c>
      <c r="E12" s="195">
        <f>SUFFOLK!G17</f>
        <v>86438</v>
      </c>
      <c r="F12" s="195">
        <f>SUFFOLK!H17</f>
        <v>85815</v>
      </c>
      <c r="G12" s="195">
        <f>SUFFOLK!I17</f>
        <v>84966</v>
      </c>
      <c r="H12" s="195">
        <f>SUFFOLK!J17</f>
        <v>83477</v>
      </c>
      <c r="I12" s="195">
        <f>SUFFOLK!K17</f>
        <v>87213</v>
      </c>
      <c r="J12" s="195">
        <f>SUFFOLK!L17</f>
        <v>87190</v>
      </c>
      <c r="K12" s="196">
        <f t="shared" si="0"/>
        <v>3.0760864425213977E-2</v>
      </c>
      <c r="L12" s="196"/>
      <c r="M12" s="195">
        <f t="shared" si="1"/>
        <v>10037</v>
      </c>
      <c r="N12" s="196">
        <f t="shared" si="2"/>
        <v>0.13009215455004991</v>
      </c>
      <c r="O12" s="197">
        <v>8</v>
      </c>
      <c r="P12" s="197">
        <v>7</v>
      </c>
      <c r="Q12" s="197">
        <v>10</v>
      </c>
      <c r="R12" s="197">
        <v>10</v>
      </c>
      <c r="S12" s="197">
        <v>9</v>
      </c>
      <c r="T12" s="197">
        <v>7</v>
      </c>
      <c r="U12" s="197">
        <v>10</v>
      </c>
      <c r="V12" s="197">
        <v>10</v>
      </c>
      <c r="W12" s="197">
        <v>9</v>
      </c>
      <c r="X12" s="197"/>
      <c r="Y12" s="197">
        <v>84</v>
      </c>
      <c r="Z12" s="197"/>
    </row>
    <row r="13" spans="1:26">
      <c r="A13" s="191" t="str">
        <f>BEDFORDSHIRE!A25</f>
        <v>North East Bedfordshire CC</v>
      </c>
      <c r="B13" s="195">
        <f>BEDFORDSHIRE!D27</f>
        <v>77191</v>
      </c>
      <c r="C13" s="195">
        <f>BEDFORDSHIRE!E27</f>
        <v>78350</v>
      </c>
      <c r="D13" s="195">
        <f>BEDFORDSHIRE!F27</f>
        <v>80211</v>
      </c>
      <c r="E13" s="195">
        <f>BEDFORDSHIRE!G27</f>
        <v>81923</v>
      </c>
      <c r="F13" s="195">
        <f>BEDFORDSHIRE!H27</f>
        <v>83603</v>
      </c>
      <c r="G13" s="195">
        <f>BEDFORDSHIRE!I27</f>
        <v>82722</v>
      </c>
      <c r="H13" s="195">
        <f>BEDFORDSHIRE!J27</f>
        <v>83599</v>
      </c>
      <c r="I13" s="195">
        <f>BEDFORDSHIRE!K27</f>
        <v>85543</v>
      </c>
      <c r="J13" s="195">
        <f>BEDFORDSHIRE!L27</f>
        <v>87143</v>
      </c>
      <c r="K13" s="196">
        <f t="shared" si="0"/>
        <v>0.12892694744205932</v>
      </c>
      <c r="L13" s="196"/>
      <c r="M13" s="195">
        <f t="shared" si="1"/>
        <v>9990</v>
      </c>
      <c r="N13" s="196">
        <f t="shared" si="2"/>
        <v>0.12948297538656955</v>
      </c>
      <c r="O13" s="197">
        <v>86</v>
      </c>
      <c r="P13" s="197">
        <v>73</v>
      </c>
      <c r="Q13" s="197">
        <v>45</v>
      </c>
      <c r="R13" s="197">
        <v>37</v>
      </c>
      <c r="S13" s="197">
        <v>21</v>
      </c>
      <c r="T13" s="197">
        <v>16</v>
      </c>
      <c r="U13" s="197">
        <v>9</v>
      </c>
      <c r="V13" s="197">
        <v>12</v>
      </c>
      <c r="W13" s="197">
        <v>10</v>
      </c>
      <c r="X13" s="197"/>
      <c r="Y13" s="197">
        <v>312</v>
      </c>
      <c r="Z13" s="20"/>
    </row>
    <row r="14" spans="1:26">
      <c r="A14" s="191" t="str">
        <f>KENT!A24</f>
        <v>Ashford CC</v>
      </c>
      <c r="B14" s="195">
        <f>KENT!D24</f>
        <v>81088</v>
      </c>
      <c r="C14" s="195">
        <f>KENT!E24</f>
        <v>81947</v>
      </c>
      <c r="D14" s="195">
        <f>KENT!F24</f>
        <v>83339</v>
      </c>
      <c r="E14" s="195">
        <f>KENT!G24</f>
        <v>84643</v>
      </c>
      <c r="F14" s="195">
        <f>KENT!H24</f>
        <v>84941</v>
      </c>
      <c r="G14" s="195">
        <f>KENT!I24</f>
        <v>83940</v>
      </c>
      <c r="H14" s="195">
        <f>KENT!J24</f>
        <v>82527</v>
      </c>
      <c r="I14" s="195">
        <f>KENT!K24</f>
        <v>85127</v>
      </c>
      <c r="J14" s="195">
        <f>KENT!L24</f>
        <v>86621</v>
      </c>
      <c r="K14" s="196">
        <f t="shared" si="0"/>
        <v>6.8234510655090772E-2</v>
      </c>
      <c r="L14" s="196"/>
      <c r="M14" s="195">
        <f t="shared" si="1"/>
        <v>9468</v>
      </c>
      <c r="N14" s="196">
        <f t="shared" si="2"/>
        <v>0.12271719829429835</v>
      </c>
      <c r="O14" s="197">
        <v>27</v>
      </c>
      <c r="P14" s="197">
        <v>26</v>
      </c>
      <c r="Q14" s="197">
        <v>20</v>
      </c>
      <c r="R14" s="197">
        <v>16</v>
      </c>
      <c r="S14" s="197">
        <v>14</v>
      </c>
      <c r="T14" s="197">
        <v>13</v>
      </c>
      <c r="U14" s="197">
        <v>15</v>
      </c>
      <c r="V14" s="197">
        <v>14</v>
      </c>
      <c r="W14" s="197">
        <v>11</v>
      </c>
      <c r="X14" s="197"/>
      <c r="Y14" s="197">
        <v>7</v>
      </c>
      <c r="Z14" s="197"/>
    </row>
    <row r="15" spans="1:26">
      <c r="A15" s="191" t="str">
        <f>REDBRIDGE!A13</f>
        <v>Ilford South BC</v>
      </c>
      <c r="B15" s="195">
        <f>REDBRIDGE!D13</f>
        <v>84599</v>
      </c>
      <c r="C15" s="195">
        <f>REDBRIDGE!E13</f>
        <v>86401</v>
      </c>
      <c r="D15" s="195">
        <f>REDBRIDGE!F13</f>
        <v>88563</v>
      </c>
      <c r="E15" s="195">
        <f>REDBRIDGE!G13</f>
        <v>88125</v>
      </c>
      <c r="F15" s="195">
        <f>REDBRIDGE!H13</f>
        <v>89668</v>
      </c>
      <c r="G15" s="195">
        <f>REDBRIDGE!I13</f>
        <v>88135</v>
      </c>
      <c r="H15" s="195">
        <f>REDBRIDGE!J13</f>
        <v>78212</v>
      </c>
      <c r="I15" s="195">
        <f>REDBRIDGE!K13</f>
        <v>82975</v>
      </c>
      <c r="J15" s="195">
        <f>REDBRIDGE!L13</f>
        <v>86396</v>
      </c>
      <c r="K15" s="196">
        <f t="shared" si="0"/>
        <v>2.1241385831983831E-2</v>
      </c>
      <c r="L15" s="196"/>
      <c r="M15" s="195">
        <f t="shared" si="1"/>
        <v>9243</v>
      </c>
      <c r="N15" s="196">
        <f t="shared" si="2"/>
        <v>0.1198009150648711</v>
      </c>
      <c r="O15" s="197">
        <v>7</v>
      </c>
      <c r="P15" s="197">
        <v>5</v>
      </c>
      <c r="Q15" s="197">
        <v>5</v>
      </c>
      <c r="R15" s="197">
        <v>7</v>
      </c>
      <c r="S15" s="197">
        <v>5</v>
      </c>
      <c r="T15" s="197">
        <v>4</v>
      </c>
      <c r="U15" s="197">
        <v>49</v>
      </c>
      <c r="V15" s="197">
        <v>27</v>
      </c>
      <c r="W15" s="197">
        <v>12</v>
      </c>
      <c r="X15" s="197"/>
      <c r="Y15" s="197">
        <v>231</v>
      </c>
      <c r="Z15" s="197"/>
    </row>
    <row r="16" spans="1:26">
      <c r="A16" s="191" t="str">
        <f>OXFORDSHIRE!A13</f>
        <v>Banbury CC</v>
      </c>
      <c r="B16" s="195">
        <f>OXFORDSHIRE!D13</f>
        <v>83933</v>
      </c>
      <c r="C16" s="195">
        <f>OXFORDSHIRE!E13</f>
        <v>84063</v>
      </c>
      <c r="D16" s="195">
        <f>OXFORDSHIRE!F13</f>
        <v>85313</v>
      </c>
      <c r="E16" s="195">
        <f>OXFORDSHIRE!G13</f>
        <v>86261</v>
      </c>
      <c r="F16" s="195">
        <f>OXFORDSHIRE!H13</f>
        <v>86032</v>
      </c>
      <c r="G16" s="195">
        <f>OXFORDSHIRE!I13</f>
        <v>84437</v>
      </c>
      <c r="H16" s="195">
        <f>OXFORDSHIRE!J13</f>
        <v>85398</v>
      </c>
      <c r="I16" s="195">
        <f>OXFORDSHIRE!K13</f>
        <v>89363</v>
      </c>
      <c r="J16" s="195">
        <f>OXFORDSHIRE!L13</f>
        <v>85795</v>
      </c>
      <c r="K16" s="196">
        <f t="shared" si="0"/>
        <v>2.2184361335827386E-2</v>
      </c>
      <c r="L16" s="196"/>
      <c r="M16" s="195">
        <f t="shared" si="1"/>
        <v>8642</v>
      </c>
      <c r="N16" s="196">
        <f t="shared" si="2"/>
        <v>0.112011198527601</v>
      </c>
      <c r="O16" s="197">
        <v>10</v>
      </c>
      <c r="P16" s="197">
        <v>13</v>
      </c>
      <c r="Q16" s="197">
        <v>11</v>
      </c>
      <c r="R16" s="197">
        <v>11</v>
      </c>
      <c r="S16" s="197">
        <v>8</v>
      </c>
      <c r="T16" s="197">
        <v>9</v>
      </c>
      <c r="U16" s="197">
        <v>7</v>
      </c>
      <c r="V16" s="197">
        <v>5</v>
      </c>
      <c r="W16" s="197">
        <v>13</v>
      </c>
      <c r="X16" s="197"/>
      <c r="Y16" s="197">
        <v>10</v>
      </c>
      <c r="Z16" s="197"/>
    </row>
    <row r="17" spans="1:26">
      <c r="A17" s="191" t="str">
        <f>CROYDON!A9</f>
        <v>Croydon North BC</v>
      </c>
      <c r="B17" s="195">
        <f>CROYDON!D9</f>
        <v>83121</v>
      </c>
      <c r="C17" s="195">
        <f>CROYDON!E9</f>
        <v>85107</v>
      </c>
      <c r="D17" s="195">
        <f>CROYDON!F9</f>
        <v>86459</v>
      </c>
      <c r="E17" s="195">
        <f>CROYDON!G9</f>
        <v>86991</v>
      </c>
      <c r="F17" s="195">
        <f>CROYDON!H9</f>
        <v>85454</v>
      </c>
      <c r="G17" s="195">
        <f>CROYDON!I9</f>
        <v>82575</v>
      </c>
      <c r="H17" s="195">
        <f>CROYDON!J9</f>
        <v>80523</v>
      </c>
      <c r="I17" s="195">
        <f>CROYDON!K9</f>
        <v>87301</v>
      </c>
      <c r="J17" s="195">
        <f>CROYDON!L9</f>
        <v>85565</v>
      </c>
      <c r="K17" s="196">
        <f t="shared" si="0"/>
        <v>2.9402918636686277E-2</v>
      </c>
      <c r="L17" s="196"/>
      <c r="M17" s="195">
        <f t="shared" si="1"/>
        <v>8412</v>
      </c>
      <c r="N17" s="196">
        <f t="shared" si="2"/>
        <v>0.10903010900418648</v>
      </c>
      <c r="O17" s="197">
        <v>12</v>
      </c>
      <c r="P17" s="197">
        <v>11</v>
      </c>
      <c r="Q17" s="197">
        <v>9</v>
      </c>
      <c r="R17" s="197">
        <v>9</v>
      </c>
      <c r="S17" s="197">
        <v>11</v>
      </c>
      <c r="T17" s="197">
        <v>18</v>
      </c>
      <c r="U17" s="197">
        <v>26</v>
      </c>
      <c r="V17" s="197">
        <v>9</v>
      </c>
      <c r="W17" s="197">
        <v>14</v>
      </c>
      <c r="X17" s="197"/>
      <c r="Y17" s="197">
        <v>126</v>
      </c>
      <c r="Z17" s="197"/>
    </row>
    <row r="18" spans="1:26">
      <c r="A18" s="191" t="str">
        <f>KENT!A42</f>
        <v>Folkestone and Hythe CC</v>
      </c>
      <c r="B18" s="195">
        <f>KENT!D44</f>
        <v>77573</v>
      </c>
      <c r="C18" s="195">
        <f>KENT!E44</f>
        <v>84156</v>
      </c>
      <c r="D18" s="195">
        <f>KENT!F44</f>
        <v>84930</v>
      </c>
      <c r="E18" s="195">
        <f>KENT!G44</f>
        <v>85548</v>
      </c>
      <c r="F18" s="195">
        <f>KENT!H44</f>
        <v>84683</v>
      </c>
      <c r="G18" s="195">
        <f>KENT!I44</f>
        <v>82000</v>
      </c>
      <c r="H18" s="195">
        <f>KENT!J44</f>
        <v>81416</v>
      </c>
      <c r="I18" s="195">
        <f>KENT!K44</f>
        <v>83995</v>
      </c>
      <c r="J18" s="195">
        <f>KENT!L44</f>
        <v>85518</v>
      </c>
      <c r="K18" s="196">
        <f t="shared" si="0"/>
        <v>0.10241965632372088</v>
      </c>
      <c r="L18" s="196"/>
      <c r="M18" s="195">
        <f t="shared" si="1"/>
        <v>8365</v>
      </c>
      <c r="N18" s="196">
        <f t="shared" si="2"/>
        <v>0.10842092984070613</v>
      </c>
      <c r="O18" s="197">
        <v>76</v>
      </c>
      <c r="P18" s="197">
        <v>12</v>
      </c>
      <c r="Q18" s="197">
        <v>12</v>
      </c>
      <c r="R18" s="197">
        <v>12</v>
      </c>
      <c r="S18" s="197">
        <v>15</v>
      </c>
      <c r="T18" s="197">
        <v>23</v>
      </c>
      <c r="U18" s="197">
        <v>19</v>
      </c>
      <c r="V18" s="197">
        <v>18</v>
      </c>
      <c r="W18" s="197">
        <v>15</v>
      </c>
      <c r="X18" s="197"/>
      <c r="Y18" s="197">
        <v>175</v>
      </c>
      <c r="Z18" s="197"/>
    </row>
    <row r="19" spans="1:26">
      <c r="A19" s="191" t="str">
        <f>'TOWER HAMLETS'!A9</f>
        <v>Poplar and Limehouse BC</v>
      </c>
      <c r="B19" s="195">
        <f>'TOWER HAMLETS'!D9</f>
        <v>70880</v>
      </c>
      <c r="C19" s="195">
        <f>'TOWER HAMLETS'!E9</f>
        <v>74919</v>
      </c>
      <c r="D19" s="195">
        <f>'TOWER HAMLETS'!F9</f>
        <v>76061</v>
      </c>
      <c r="E19" s="195">
        <f>'TOWER HAMLETS'!G9</f>
        <v>71946</v>
      </c>
      <c r="F19" s="195">
        <f>'TOWER HAMLETS'!H9</f>
        <v>77863</v>
      </c>
      <c r="G19" s="195">
        <f>'TOWER HAMLETS'!I9</f>
        <v>77421</v>
      </c>
      <c r="H19" s="195">
        <f>'TOWER HAMLETS'!J9</f>
        <v>76149</v>
      </c>
      <c r="I19" s="195">
        <f>'TOWER HAMLETS'!K9</f>
        <v>76295</v>
      </c>
      <c r="J19" s="195">
        <f>'TOWER HAMLETS'!L9</f>
        <v>85211</v>
      </c>
      <c r="K19" s="196">
        <f t="shared" si="0"/>
        <v>0.20218679458239278</v>
      </c>
      <c r="L19" s="196"/>
      <c r="M19" s="195">
        <f t="shared" si="1"/>
        <v>8058</v>
      </c>
      <c r="N19" s="196">
        <f t="shared" si="2"/>
        <v>0.10444182338988763</v>
      </c>
      <c r="O19" s="197">
        <v>301</v>
      </c>
      <c r="P19" s="197">
        <v>168</v>
      </c>
      <c r="Q19" s="197">
        <v>152</v>
      </c>
      <c r="R19" s="197">
        <v>302</v>
      </c>
      <c r="S19" s="197">
        <v>106</v>
      </c>
      <c r="T19" s="197">
        <v>85</v>
      </c>
      <c r="U19" s="197">
        <v>94</v>
      </c>
      <c r="V19" s="197">
        <v>144</v>
      </c>
      <c r="W19" s="197">
        <v>16</v>
      </c>
      <c r="X19" s="197"/>
      <c r="Y19" s="197">
        <v>353</v>
      </c>
      <c r="Z19" s="197"/>
    </row>
    <row r="20" spans="1:26">
      <c r="A20" s="191" t="str">
        <f>CAMDEN!A11</f>
        <v>Holborn and St Pancras BC</v>
      </c>
      <c r="B20" s="195">
        <f>CAMDEN!D11</f>
        <v>84266</v>
      </c>
      <c r="C20" s="195">
        <f>CAMDEN!E11</f>
        <v>85243</v>
      </c>
      <c r="D20" s="195">
        <f>CAMDEN!F11</f>
        <v>84406</v>
      </c>
      <c r="E20" s="195">
        <f>CAMDEN!G11</f>
        <v>85400</v>
      </c>
      <c r="F20" s="195">
        <f>CAMDEN!H11</f>
        <v>85179</v>
      </c>
      <c r="G20" s="195">
        <f>CAMDEN!I11</f>
        <v>79479</v>
      </c>
      <c r="H20" s="195">
        <f>CAMDEN!J11</f>
        <v>80921</v>
      </c>
      <c r="I20" s="195">
        <f>CAMDEN!K11</f>
        <v>85850</v>
      </c>
      <c r="J20" s="195">
        <f>CAMDEN!L11</f>
        <v>85057</v>
      </c>
      <c r="K20" s="196">
        <f t="shared" si="0"/>
        <v>9.3869413523841178E-3</v>
      </c>
      <c r="L20" s="196"/>
      <c r="M20" s="195">
        <f t="shared" si="1"/>
        <v>7904</v>
      </c>
      <c r="N20" s="196">
        <f t="shared" si="2"/>
        <v>0.10244578953507964</v>
      </c>
      <c r="O20" s="197">
        <v>9</v>
      </c>
      <c r="P20" s="197">
        <v>10</v>
      </c>
      <c r="Q20" s="197">
        <v>14</v>
      </c>
      <c r="R20" s="197">
        <v>14</v>
      </c>
      <c r="S20" s="197">
        <v>13</v>
      </c>
      <c r="T20" s="197">
        <v>46</v>
      </c>
      <c r="U20" s="197">
        <v>23</v>
      </c>
      <c r="V20" s="197">
        <v>11</v>
      </c>
      <c r="W20" s="197">
        <v>17</v>
      </c>
      <c r="X20" s="197"/>
      <c r="Y20" s="197">
        <v>221</v>
      </c>
      <c r="Z20" s="197"/>
    </row>
    <row r="21" spans="1:26">
      <c r="A21" s="191" t="str">
        <f>CAMBRIDGESHIRE!A35</f>
        <v>South East Cambridgeshire CC</v>
      </c>
      <c r="B21" s="195">
        <f>CAMBRIDGESHIRE!D37</f>
        <v>81144</v>
      </c>
      <c r="C21" s="195">
        <f>CAMBRIDGESHIRE!E37</f>
        <v>82265</v>
      </c>
      <c r="D21" s="195">
        <f>CAMBRIDGESHIRE!F37</f>
        <v>83292</v>
      </c>
      <c r="E21" s="195">
        <f>CAMBRIDGESHIRE!G37</f>
        <v>83675</v>
      </c>
      <c r="F21" s="195">
        <f>CAMBRIDGESHIRE!H37</f>
        <v>84319</v>
      </c>
      <c r="G21" s="195">
        <f>CAMBRIDGESHIRE!I37</f>
        <v>83065</v>
      </c>
      <c r="H21" s="195">
        <f>CAMBRIDGESHIRE!J37</f>
        <v>82557</v>
      </c>
      <c r="I21" s="195">
        <f>CAMBRIDGESHIRE!K37</f>
        <v>84981</v>
      </c>
      <c r="J21" s="195">
        <f>CAMBRIDGESHIRE!L37</f>
        <v>84668</v>
      </c>
      <c r="K21" s="196">
        <f t="shared" si="0"/>
        <v>4.3428965789214236E-2</v>
      </c>
      <c r="L21" s="196"/>
      <c r="M21" s="195">
        <f t="shared" si="1"/>
        <v>7515</v>
      </c>
      <c r="N21" s="196">
        <f t="shared" si="2"/>
        <v>9.7403859862869882E-2</v>
      </c>
      <c r="O21" s="197">
        <v>26</v>
      </c>
      <c r="P21" s="197">
        <v>24</v>
      </c>
      <c r="Q21" s="197">
        <v>22</v>
      </c>
      <c r="R21" s="197">
        <v>23</v>
      </c>
      <c r="S21" s="197">
        <v>17</v>
      </c>
      <c r="T21" s="197">
        <v>15</v>
      </c>
      <c r="U21" s="197">
        <v>14</v>
      </c>
      <c r="V21" s="197">
        <v>15</v>
      </c>
      <c r="W21" s="197">
        <v>18</v>
      </c>
      <c r="X21" s="197"/>
      <c r="Y21" s="197">
        <v>408</v>
      </c>
      <c r="Z21" s="197"/>
    </row>
    <row r="22" spans="1:26">
      <c r="A22" s="191" t="str">
        <f>GLOUCESTERSHIRE!A20</f>
        <v>Gloucester BC</v>
      </c>
      <c r="B22" s="195">
        <f>GLOUCESTERSHIRE!D20</f>
        <v>79972</v>
      </c>
      <c r="C22" s="195">
        <f>GLOUCESTERSHIRE!E20</f>
        <v>80788</v>
      </c>
      <c r="D22" s="195">
        <f>GLOUCESTERSHIRE!F20</f>
        <v>82214</v>
      </c>
      <c r="E22" s="195">
        <f>GLOUCESTERSHIRE!G20</f>
        <v>83183</v>
      </c>
      <c r="F22" s="195">
        <f>GLOUCESTERSHIRE!H20</f>
        <v>82626</v>
      </c>
      <c r="G22" s="195">
        <f>GLOUCESTERSHIRE!I20</f>
        <v>82066</v>
      </c>
      <c r="H22" s="195">
        <f>GLOUCESTERSHIRE!J20</f>
        <v>79129</v>
      </c>
      <c r="I22" s="195">
        <f>GLOUCESTERSHIRE!K20</f>
        <v>80427</v>
      </c>
      <c r="J22" s="195">
        <f>GLOUCESTERSHIRE!L20</f>
        <v>84650</v>
      </c>
      <c r="K22" s="196">
        <f t="shared" si="0"/>
        <v>5.8495473415695491E-2</v>
      </c>
      <c r="L22" s="196"/>
      <c r="M22" s="195">
        <f t="shared" si="1"/>
        <v>7497</v>
      </c>
      <c r="N22" s="196">
        <f t="shared" si="2"/>
        <v>9.7170557204515701E-2</v>
      </c>
      <c r="O22" s="197">
        <v>36</v>
      </c>
      <c r="P22" s="197">
        <v>36</v>
      </c>
      <c r="Q22" s="197">
        <v>29</v>
      </c>
      <c r="R22" s="197">
        <v>27</v>
      </c>
      <c r="S22" s="197">
        <v>28</v>
      </c>
      <c r="T22" s="197">
        <v>22</v>
      </c>
      <c r="U22" s="197">
        <v>35</v>
      </c>
      <c r="V22" s="197">
        <v>59</v>
      </c>
      <c r="W22" s="197">
        <v>19</v>
      </c>
      <c r="X22" s="197"/>
      <c r="Y22" s="197">
        <v>183</v>
      </c>
      <c r="Z22" s="197"/>
    </row>
    <row r="23" spans="1:26">
      <c r="A23" s="191" t="str">
        <f>OXFORDSHIRE!A26</f>
        <v>Wantage CC</v>
      </c>
      <c r="B23" s="195">
        <f>OXFORDSHIRE!D28</f>
        <v>78777</v>
      </c>
      <c r="C23" s="195">
        <f>OXFORDSHIRE!E28</f>
        <v>79775</v>
      </c>
      <c r="D23" s="195">
        <f>OXFORDSHIRE!F28</f>
        <v>80693</v>
      </c>
      <c r="E23" s="195">
        <f>OXFORDSHIRE!G28</f>
        <v>81088</v>
      </c>
      <c r="F23" s="195">
        <f>OXFORDSHIRE!H28</f>
        <v>81946</v>
      </c>
      <c r="G23" s="195">
        <f>OXFORDSHIRE!I28</f>
        <v>84091</v>
      </c>
      <c r="H23" s="195">
        <f>OXFORDSHIRE!J28</f>
        <v>80859</v>
      </c>
      <c r="I23" s="195">
        <f>OXFORDSHIRE!K28</f>
        <v>83636</v>
      </c>
      <c r="J23" s="195">
        <f>OXFORDSHIRE!L28</f>
        <v>84587</v>
      </c>
      <c r="K23" s="196">
        <f t="shared" si="0"/>
        <v>7.3752491209363141E-2</v>
      </c>
      <c r="L23" s="196"/>
      <c r="M23" s="195">
        <f t="shared" si="1"/>
        <v>7434</v>
      </c>
      <c r="N23" s="196">
        <f t="shared" si="2"/>
        <v>9.6353997900276073E-2</v>
      </c>
      <c r="O23" s="197">
        <v>47</v>
      </c>
      <c r="P23" s="197">
        <v>45</v>
      </c>
      <c r="Q23" s="197">
        <v>40</v>
      </c>
      <c r="R23" s="197">
        <v>41</v>
      </c>
      <c r="S23" s="197">
        <v>35</v>
      </c>
      <c r="T23" s="197">
        <v>10</v>
      </c>
      <c r="U23" s="197">
        <v>25</v>
      </c>
      <c r="V23" s="197">
        <v>21</v>
      </c>
      <c r="W23" s="197">
        <v>20</v>
      </c>
      <c r="X23" s="197"/>
      <c r="Y23" s="197">
        <v>486</v>
      </c>
      <c r="Z23" s="197"/>
    </row>
    <row r="24" spans="1:26">
      <c r="A24" s="191" t="str">
        <f>BRISTOL!A13</f>
        <v>Bristol West BC</v>
      </c>
      <c r="B24" s="195">
        <f>BRISTOL!D13</f>
        <v>79633</v>
      </c>
      <c r="C24" s="195">
        <f>BRISTOL!E13</f>
        <v>82503</v>
      </c>
      <c r="D24" s="195">
        <f>BRISTOL!F13</f>
        <v>84587</v>
      </c>
      <c r="E24" s="195">
        <f>BRISTOL!G13</f>
        <v>84462</v>
      </c>
      <c r="F24" s="195">
        <f>BRISTOL!H13</f>
        <v>83116</v>
      </c>
      <c r="G24" s="195">
        <f>BRISTOL!I13</f>
        <v>80566</v>
      </c>
      <c r="H24" s="195">
        <f>BRISTOL!J13</f>
        <v>82067</v>
      </c>
      <c r="I24" s="195">
        <f>BRISTOL!K13</f>
        <v>82955</v>
      </c>
      <c r="J24" s="195">
        <f>BRISTOL!L13</f>
        <v>84571</v>
      </c>
      <c r="K24" s="196">
        <f t="shared" si="0"/>
        <v>6.2009468436452227E-2</v>
      </c>
      <c r="L24" s="196"/>
      <c r="M24" s="195">
        <f t="shared" si="1"/>
        <v>7418</v>
      </c>
      <c r="N24" s="196">
        <f t="shared" si="2"/>
        <v>9.61466177595168E-2</v>
      </c>
      <c r="O24" s="197">
        <v>40</v>
      </c>
      <c r="P24" s="197">
        <v>23</v>
      </c>
      <c r="Q24" s="197">
        <v>13</v>
      </c>
      <c r="R24" s="197">
        <v>17</v>
      </c>
      <c r="S24" s="197">
        <v>24</v>
      </c>
      <c r="T24" s="197">
        <v>34</v>
      </c>
      <c r="U24" s="197">
        <v>16</v>
      </c>
      <c r="V24" s="197">
        <v>28</v>
      </c>
      <c r="W24" s="197">
        <v>21</v>
      </c>
      <c r="X24" s="197"/>
      <c r="Y24" s="197">
        <v>73</v>
      </c>
      <c r="Z24" s="197"/>
    </row>
    <row r="25" spans="1:26">
      <c r="A25" s="191" t="str">
        <f>SOMERSET!A21</f>
        <v>Taunton Deane CC</v>
      </c>
      <c r="B25" s="195">
        <f>SOMERSET!D21</f>
        <v>82281</v>
      </c>
      <c r="C25" s="195">
        <f>SOMERSET!E21</f>
        <v>82882</v>
      </c>
      <c r="D25" s="195">
        <f>SOMERSET!F21</f>
        <v>83723</v>
      </c>
      <c r="E25" s="195">
        <f>SOMERSET!G21</f>
        <v>84162</v>
      </c>
      <c r="F25" s="195">
        <f>SOMERSET!H21</f>
        <v>76989</v>
      </c>
      <c r="G25" s="195">
        <f>SOMERSET!I21</f>
        <v>78505</v>
      </c>
      <c r="H25" s="195">
        <f>SOMERSET!J21</f>
        <v>78187</v>
      </c>
      <c r="I25" s="195">
        <f>SOMERSET!K21</f>
        <v>83150</v>
      </c>
      <c r="J25" s="195">
        <f>SOMERSET!L21</f>
        <v>84295</v>
      </c>
      <c r="K25" s="196">
        <f t="shared" si="0"/>
        <v>2.4477096778114025E-2</v>
      </c>
      <c r="L25" s="196"/>
      <c r="M25" s="195">
        <f t="shared" si="1"/>
        <v>7142</v>
      </c>
      <c r="N25" s="196">
        <f t="shared" si="2"/>
        <v>9.2569310331419394E-2</v>
      </c>
      <c r="O25" s="197">
        <v>18</v>
      </c>
      <c r="P25" s="197">
        <v>20</v>
      </c>
      <c r="Q25" s="197">
        <v>19</v>
      </c>
      <c r="R25" s="197">
        <v>20</v>
      </c>
      <c r="S25" s="197">
        <v>124</v>
      </c>
      <c r="T25" s="197">
        <v>63</v>
      </c>
      <c r="U25" s="197">
        <v>51</v>
      </c>
      <c r="V25" s="197">
        <v>25</v>
      </c>
      <c r="W25" s="197">
        <v>22</v>
      </c>
      <c r="X25" s="197"/>
      <c r="Y25" s="197">
        <v>459</v>
      </c>
      <c r="Z25" s="197"/>
    </row>
    <row r="26" spans="1:26">
      <c r="A26" s="191" t="str">
        <f>'WEST YORKSHIRE'!A37</f>
        <v>Leeds Central BC</v>
      </c>
      <c r="B26" s="195">
        <f>'WEST YORKSHIRE'!D37</f>
        <v>79696</v>
      </c>
      <c r="C26" s="195">
        <f>'WEST YORKSHIRE'!E37</f>
        <v>80912</v>
      </c>
      <c r="D26" s="195">
        <f>'WEST YORKSHIRE'!F37</f>
        <v>79025</v>
      </c>
      <c r="E26" s="195">
        <f>'WEST YORKSHIRE'!G37</f>
        <v>82737</v>
      </c>
      <c r="F26" s="195">
        <f>'WEST YORKSHIRE'!H37</f>
        <v>77542</v>
      </c>
      <c r="G26" s="195">
        <f>'WEST YORKSHIRE'!I37</f>
        <v>73489</v>
      </c>
      <c r="H26" s="195">
        <f>'WEST YORKSHIRE'!J37</f>
        <v>73767</v>
      </c>
      <c r="I26" s="195">
        <f>'WEST YORKSHIRE'!K37</f>
        <v>79095</v>
      </c>
      <c r="J26" s="195">
        <f>'WEST YORKSHIRE'!L37</f>
        <v>84272</v>
      </c>
      <c r="K26" s="196">
        <f t="shared" si="0"/>
        <v>5.7418189118650875E-2</v>
      </c>
      <c r="L26" s="196"/>
      <c r="M26" s="195">
        <f t="shared" si="1"/>
        <v>7119</v>
      </c>
      <c r="N26" s="196">
        <f t="shared" si="2"/>
        <v>9.2271201379077933E-2</v>
      </c>
      <c r="O26" s="197">
        <v>39</v>
      </c>
      <c r="P26" s="197">
        <v>34</v>
      </c>
      <c r="Q26" s="197">
        <v>67</v>
      </c>
      <c r="R26" s="197">
        <v>31</v>
      </c>
      <c r="S26" s="197">
        <v>114</v>
      </c>
      <c r="T26" s="197">
        <v>173</v>
      </c>
      <c r="U26" s="197">
        <v>148</v>
      </c>
      <c r="V26" s="197">
        <v>83</v>
      </c>
      <c r="W26" s="197">
        <v>23</v>
      </c>
      <c r="X26" s="197"/>
      <c r="Y26" s="197">
        <v>248</v>
      </c>
      <c r="Z26" s="197"/>
    </row>
    <row r="27" spans="1:26">
      <c r="A27" s="191" t="str">
        <f>BEDFORDSHIRE!A21</f>
        <v>Mid Bedfordshire CC</v>
      </c>
      <c r="B27" s="195">
        <f>BEDFORDSHIRE!D23</f>
        <v>75914</v>
      </c>
      <c r="C27" s="195">
        <f>BEDFORDSHIRE!E23</f>
        <v>76381</v>
      </c>
      <c r="D27" s="195">
        <f>BEDFORDSHIRE!F23</f>
        <v>77810</v>
      </c>
      <c r="E27" s="195">
        <f>BEDFORDSHIRE!G23</f>
        <v>79072</v>
      </c>
      <c r="F27" s="195">
        <f>BEDFORDSHIRE!H23</f>
        <v>80489</v>
      </c>
      <c r="G27" s="195">
        <f>BEDFORDSHIRE!I23</f>
        <v>80018</v>
      </c>
      <c r="H27" s="195">
        <f>BEDFORDSHIRE!J23</f>
        <v>80069</v>
      </c>
      <c r="I27" s="195">
        <f>BEDFORDSHIRE!K23</f>
        <v>82362</v>
      </c>
      <c r="J27" s="195">
        <f>BEDFORDSHIRE!L23</f>
        <v>84212</v>
      </c>
      <c r="K27" s="196">
        <f t="shared" si="0"/>
        <v>0.10930790104592038</v>
      </c>
      <c r="L27" s="196"/>
      <c r="M27" s="195">
        <f t="shared" si="1"/>
        <v>7059</v>
      </c>
      <c r="N27" s="196">
        <f t="shared" si="2"/>
        <v>9.1493525851230675E-2</v>
      </c>
      <c r="O27" s="197">
        <v>129</v>
      </c>
      <c r="P27" s="197">
        <v>131</v>
      </c>
      <c r="Q27" s="197">
        <v>98</v>
      </c>
      <c r="R27" s="197">
        <v>77</v>
      </c>
      <c r="S27" s="197">
        <v>49</v>
      </c>
      <c r="T27" s="197">
        <v>39</v>
      </c>
      <c r="U27" s="197">
        <v>30</v>
      </c>
      <c r="V27" s="197">
        <v>33</v>
      </c>
      <c r="W27" s="197">
        <v>24</v>
      </c>
      <c r="X27" s="197"/>
      <c r="Y27" s="197">
        <v>284</v>
      </c>
      <c r="Z27" s="197"/>
    </row>
    <row r="28" spans="1:26">
      <c r="A28" s="191" t="str">
        <f>WARRINGTON!A9</f>
        <v>Warrington South BC</v>
      </c>
      <c r="B28" s="195">
        <f>WARRINGTON!D9</f>
        <v>79633</v>
      </c>
      <c r="C28" s="195">
        <f>WARRINGTON!E9</f>
        <v>81212</v>
      </c>
      <c r="D28" s="195">
        <f>WARRINGTON!F9</f>
        <v>82325</v>
      </c>
      <c r="E28" s="195">
        <f>WARRINGTON!G9</f>
        <v>83620</v>
      </c>
      <c r="F28" s="195">
        <f>WARRINGTON!H9</f>
        <v>85530</v>
      </c>
      <c r="G28" s="195">
        <f>WARRINGTON!I9</f>
        <v>84043</v>
      </c>
      <c r="H28" s="195">
        <f>WARRINGTON!J9</f>
        <v>82954</v>
      </c>
      <c r="I28" s="195">
        <f>WARRINGTON!K9</f>
        <v>83650</v>
      </c>
      <c r="J28" s="195">
        <f>WARRINGTON!L9</f>
        <v>83840</v>
      </c>
      <c r="K28" s="196">
        <f t="shared" si="0"/>
        <v>5.2829856968844575E-2</v>
      </c>
      <c r="L28" s="196"/>
      <c r="M28" s="195">
        <f t="shared" si="1"/>
        <v>6687</v>
      </c>
      <c r="N28" s="196">
        <f t="shared" si="2"/>
        <v>8.6671937578577635E-2</v>
      </c>
      <c r="O28" s="197">
        <v>41</v>
      </c>
      <c r="P28" s="197">
        <v>32</v>
      </c>
      <c r="Q28" s="197">
        <v>27</v>
      </c>
      <c r="R28" s="197">
        <v>24</v>
      </c>
      <c r="S28" s="197">
        <v>10</v>
      </c>
      <c r="T28" s="197">
        <v>11</v>
      </c>
      <c r="U28" s="197">
        <v>12</v>
      </c>
      <c r="V28" s="197">
        <v>20</v>
      </c>
      <c r="W28" s="197">
        <v>25</v>
      </c>
      <c r="X28" s="197"/>
      <c r="Y28" s="197">
        <v>489</v>
      </c>
      <c r="Z28" s="197"/>
    </row>
    <row r="29" spans="1:26">
      <c r="A29" s="191" t="str">
        <f>CAMBRIDGESHIRE!A31</f>
        <v>South Cambridgeshire CC</v>
      </c>
      <c r="B29" s="195">
        <f>CAMBRIDGESHIRE!D33</f>
        <v>78612</v>
      </c>
      <c r="C29" s="195">
        <f>CAMBRIDGESHIRE!E33</f>
        <v>80001</v>
      </c>
      <c r="D29" s="195">
        <f>CAMBRIDGESHIRE!F33</f>
        <v>81028</v>
      </c>
      <c r="E29" s="195">
        <f>CAMBRIDGESHIRE!G33</f>
        <v>81086</v>
      </c>
      <c r="F29" s="195">
        <f>CAMBRIDGESHIRE!H33</f>
        <v>82514</v>
      </c>
      <c r="G29" s="195">
        <f>CAMBRIDGESHIRE!I33</f>
        <v>82288</v>
      </c>
      <c r="H29" s="195">
        <f>CAMBRIDGESHIRE!J33</f>
        <v>81368</v>
      </c>
      <c r="I29" s="195">
        <f>CAMBRIDGESHIRE!K33</f>
        <v>83721</v>
      </c>
      <c r="J29" s="195">
        <f>CAMBRIDGESHIRE!L33</f>
        <v>83790</v>
      </c>
      <c r="K29" s="196">
        <f t="shared" si="0"/>
        <v>6.5867806441764612E-2</v>
      </c>
      <c r="L29" s="196"/>
      <c r="M29" s="195">
        <f t="shared" si="1"/>
        <v>6637</v>
      </c>
      <c r="N29" s="196">
        <f t="shared" si="2"/>
        <v>8.6023874638704909E-2</v>
      </c>
      <c r="O29" s="197">
        <v>50</v>
      </c>
      <c r="P29" s="197">
        <v>40</v>
      </c>
      <c r="Q29" s="197">
        <v>38</v>
      </c>
      <c r="R29" s="197">
        <v>42</v>
      </c>
      <c r="S29" s="197">
        <v>30</v>
      </c>
      <c r="T29" s="197">
        <v>19</v>
      </c>
      <c r="U29" s="197">
        <v>20</v>
      </c>
      <c r="V29" s="197">
        <v>19</v>
      </c>
      <c r="W29" s="197">
        <v>26</v>
      </c>
      <c r="X29" s="197"/>
      <c r="Y29" s="197">
        <v>405</v>
      </c>
      <c r="Z29" s="197"/>
    </row>
    <row r="30" spans="1:26">
      <c r="A30" s="191" t="str">
        <f>SOUTHWARK!A7</f>
        <v>Bermondsey and Old Southwark BC</v>
      </c>
      <c r="B30" s="195">
        <f>SOUTHWARK!D7</f>
        <v>75838</v>
      </c>
      <c r="C30" s="195">
        <f>SOUTHWARK!E7</f>
        <v>77186</v>
      </c>
      <c r="D30" s="195">
        <f>SOUTHWARK!F7</f>
        <v>78459</v>
      </c>
      <c r="E30" s="195">
        <f>SOUTHWARK!G7</f>
        <v>79067</v>
      </c>
      <c r="F30" s="195">
        <f>SOUTHWARK!H7</f>
        <v>80467</v>
      </c>
      <c r="G30" s="195">
        <f>SOUTHWARK!I7</f>
        <v>78127</v>
      </c>
      <c r="H30" s="195">
        <f>SOUTHWARK!J7</f>
        <v>80174</v>
      </c>
      <c r="I30" s="195">
        <f>SOUTHWARK!K7</f>
        <v>80084</v>
      </c>
      <c r="J30" s="195">
        <f>SOUTHWARK!L7</f>
        <v>83643</v>
      </c>
      <c r="K30" s="196">
        <f t="shared" si="0"/>
        <v>0.10291674358501016</v>
      </c>
      <c r="L30" s="196"/>
      <c r="M30" s="195">
        <f t="shared" si="1"/>
        <v>6490</v>
      </c>
      <c r="N30" s="196">
        <f t="shared" si="2"/>
        <v>8.4118569595479115E-2</v>
      </c>
      <c r="O30" s="197">
        <v>132</v>
      </c>
      <c r="P30" s="197">
        <v>103</v>
      </c>
      <c r="Q30" s="197">
        <v>79</v>
      </c>
      <c r="R30" s="197">
        <v>79</v>
      </c>
      <c r="S30" s="197">
        <v>51</v>
      </c>
      <c r="T30" s="197">
        <v>70</v>
      </c>
      <c r="U30" s="197">
        <v>29</v>
      </c>
      <c r="V30" s="197">
        <v>65</v>
      </c>
      <c r="W30" s="197">
        <v>27</v>
      </c>
      <c r="X30" s="197"/>
      <c r="Y30" s="197">
        <v>24</v>
      </c>
      <c r="Z30" s="197"/>
    </row>
    <row r="31" spans="1:26">
      <c r="A31" s="191" t="str">
        <f>'WEST SUSSEX'!A23</f>
        <v>Chichester CC</v>
      </c>
      <c r="B31" s="195">
        <f>'WEST SUSSEX'!D23</f>
        <v>81182</v>
      </c>
      <c r="C31" s="195">
        <f>'WEST SUSSEX'!E23</f>
        <v>81804</v>
      </c>
      <c r="D31" s="195">
        <f>'WEST SUSSEX'!F23</f>
        <v>82269</v>
      </c>
      <c r="E31" s="195">
        <f>'WEST SUSSEX'!G23</f>
        <v>83739</v>
      </c>
      <c r="F31" s="195">
        <f>'WEST SUSSEX'!H23</f>
        <v>82316</v>
      </c>
      <c r="G31" s="195">
        <f>'WEST SUSSEX'!I23</f>
        <v>80878</v>
      </c>
      <c r="H31" s="195">
        <f>'WEST SUSSEX'!J23</f>
        <v>78736</v>
      </c>
      <c r="I31" s="195">
        <f>'WEST SUSSEX'!K23</f>
        <v>83147</v>
      </c>
      <c r="J31" s="195">
        <f>'WEST SUSSEX'!L23</f>
        <v>83477</v>
      </c>
      <c r="K31" s="196">
        <f t="shared" si="0"/>
        <v>2.8269813505456876E-2</v>
      </c>
      <c r="L31" s="196"/>
      <c r="M31" s="195">
        <f t="shared" si="1"/>
        <v>6324</v>
      </c>
      <c r="N31" s="196">
        <f t="shared" si="2"/>
        <v>8.1967000635101678E-2</v>
      </c>
      <c r="O31" s="197">
        <v>25</v>
      </c>
      <c r="P31" s="197">
        <v>27</v>
      </c>
      <c r="Q31" s="197">
        <v>28</v>
      </c>
      <c r="R31" s="197">
        <v>22</v>
      </c>
      <c r="S31" s="197">
        <v>33</v>
      </c>
      <c r="T31" s="197">
        <v>31</v>
      </c>
      <c r="U31" s="197">
        <v>41</v>
      </c>
      <c r="V31" s="197">
        <v>26</v>
      </c>
      <c r="W31" s="197">
        <v>28</v>
      </c>
      <c r="X31" s="197"/>
      <c r="Y31" s="197">
        <v>104</v>
      </c>
      <c r="Z31" s="197"/>
    </row>
    <row r="32" spans="1:26">
      <c r="A32" s="191" t="str">
        <f>'WEST SUSSEX'!A35</f>
        <v>Mid Sussex CC</v>
      </c>
      <c r="B32" s="195">
        <f>'WEST SUSSEX'!D35</f>
        <v>75954</v>
      </c>
      <c r="C32" s="195">
        <f>'WEST SUSSEX'!E35</f>
        <v>77044</v>
      </c>
      <c r="D32" s="195">
        <f>'WEST SUSSEX'!F35</f>
        <v>77809</v>
      </c>
      <c r="E32" s="195">
        <f>'WEST SUSSEX'!G35</f>
        <v>78434</v>
      </c>
      <c r="F32" s="195">
        <f>'WEST SUSSEX'!H35</f>
        <v>80545</v>
      </c>
      <c r="G32" s="195">
        <f>'WEST SUSSEX'!I35</f>
        <v>79290</v>
      </c>
      <c r="H32" s="195">
        <f>'WEST SUSSEX'!J35</f>
        <v>79149</v>
      </c>
      <c r="I32" s="195">
        <f>'WEST SUSSEX'!K35</f>
        <v>83553</v>
      </c>
      <c r="J32" s="195">
        <f>'WEST SUSSEX'!L35</f>
        <v>83395</v>
      </c>
      <c r="K32" s="196">
        <f t="shared" si="0"/>
        <v>9.7967190668035914E-2</v>
      </c>
      <c r="L32" s="196"/>
      <c r="M32" s="195">
        <f t="shared" si="1"/>
        <v>6242</v>
      </c>
      <c r="N32" s="196">
        <f t="shared" si="2"/>
        <v>8.0904177413710421E-2</v>
      </c>
      <c r="O32" s="197">
        <v>127</v>
      </c>
      <c r="P32" s="197">
        <v>109</v>
      </c>
      <c r="Q32" s="197">
        <v>99</v>
      </c>
      <c r="R32" s="197">
        <v>94</v>
      </c>
      <c r="S32" s="197">
        <v>48</v>
      </c>
      <c r="T32" s="197">
        <v>48</v>
      </c>
      <c r="U32" s="197">
        <v>34</v>
      </c>
      <c r="V32" s="197">
        <v>22</v>
      </c>
      <c r="W32" s="197">
        <v>29</v>
      </c>
      <c r="X32" s="197"/>
      <c r="Y32" s="197">
        <v>288</v>
      </c>
      <c r="Z32" s="197"/>
    </row>
    <row r="33" spans="1:26">
      <c r="A33" s="191" t="str">
        <f>CAMBRIDGESHIRE!A19</f>
        <v>Huntingdon CC</v>
      </c>
      <c r="B33" s="195">
        <f>CAMBRIDGESHIRE!D19</f>
        <v>80273</v>
      </c>
      <c r="C33" s="195">
        <f>CAMBRIDGESHIRE!E19</f>
        <v>79134</v>
      </c>
      <c r="D33" s="195">
        <f>CAMBRIDGESHIRE!F19</f>
        <v>79193</v>
      </c>
      <c r="E33" s="195">
        <f>CAMBRIDGESHIRE!G19</f>
        <v>80044</v>
      </c>
      <c r="F33" s="195">
        <f>CAMBRIDGESHIRE!H19</f>
        <v>82892</v>
      </c>
      <c r="G33" s="195">
        <f>CAMBRIDGESHIRE!I19</f>
        <v>81475</v>
      </c>
      <c r="H33" s="195">
        <f>CAMBRIDGESHIRE!J19</f>
        <v>81303</v>
      </c>
      <c r="I33" s="195">
        <f>CAMBRIDGESHIRE!K19</f>
        <v>83209</v>
      </c>
      <c r="J33" s="195">
        <f>CAMBRIDGESHIRE!L19</f>
        <v>83371</v>
      </c>
      <c r="K33" s="196">
        <f t="shared" si="0"/>
        <v>3.8593300362512926E-2</v>
      </c>
      <c r="L33" s="196"/>
      <c r="M33" s="195">
        <f t="shared" si="1"/>
        <v>6218</v>
      </c>
      <c r="N33" s="196">
        <f t="shared" si="2"/>
        <v>8.0593107202571512E-2</v>
      </c>
      <c r="O33" s="197">
        <v>31</v>
      </c>
      <c r="P33" s="197">
        <v>56</v>
      </c>
      <c r="Q33" s="197">
        <v>60</v>
      </c>
      <c r="R33" s="197">
        <v>56</v>
      </c>
      <c r="S33" s="197">
        <v>26</v>
      </c>
      <c r="T33" s="197">
        <v>29</v>
      </c>
      <c r="U33" s="197">
        <v>22</v>
      </c>
      <c r="V33" s="197">
        <v>24</v>
      </c>
      <c r="W33" s="197">
        <v>30</v>
      </c>
      <c r="X33" s="197"/>
      <c r="Y33" s="197">
        <v>228</v>
      </c>
      <c r="Z33" s="197"/>
    </row>
    <row r="34" spans="1:26">
      <c r="A34" s="191" t="str">
        <f>CAMBRIDGESHIRE!A21</f>
        <v>North East Cambridgeshire CC</v>
      </c>
      <c r="B34" s="195">
        <f>CAMBRIDGESHIRE!D23</f>
        <v>82787</v>
      </c>
      <c r="C34" s="195">
        <f>CAMBRIDGESHIRE!E23</f>
        <v>83661</v>
      </c>
      <c r="D34" s="195">
        <f>CAMBRIDGESHIRE!F23</f>
        <v>84046</v>
      </c>
      <c r="E34" s="195">
        <f>CAMBRIDGESHIRE!G23</f>
        <v>84338</v>
      </c>
      <c r="F34" s="195">
        <f>CAMBRIDGESHIRE!H23</f>
        <v>82956</v>
      </c>
      <c r="G34" s="195">
        <f>CAMBRIDGESHIRE!I23</f>
        <v>81495</v>
      </c>
      <c r="H34" s="195">
        <f>CAMBRIDGESHIRE!J23</f>
        <v>81779</v>
      </c>
      <c r="I34" s="195">
        <f>CAMBRIDGESHIRE!K23</f>
        <v>83291</v>
      </c>
      <c r="J34" s="195">
        <f>CAMBRIDGESHIRE!L23</f>
        <v>83286</v>
      </c>
      <c r="K34" s="196">
        <f t="shared" si="0"/>
        <v>6.0275163975020236E-3</v>
      </c>
      <c r="L34" s="196"/>
      <c r="M34" s="195">
        <f t="shared" si="1"/>
        <v>6133</v>
      </c>
      <c r="N34" s="196">
        <f t="shared" si="2"/>
        <v>7.9491400204787885E-2</v>
      </c>
      <c r="O34" s="197">
        <v>14</v>
      </c>
      <c r="P34" s="197">
        <v>14</v>
      </c>
      <c r="Q34" s="197">
        <v>15</v>
      </c>
      <c r="R34" s="197">
        <v>18</v>
      </c>
      <c r="S34" s="197">
        <v>25</v>
      </c>
      <c r="T34" s="197">
        <v>28</v>
      </c>
      <c r="U34" s="197">
        <v>18</v>
      </c>
      <c r="V34" s="197">
        <v>23</v>
      </c>
      <c r="W34" s="197">
        <v>31</v>
      </c>
      <c r="X34" s="197"/>
      <c r="Y34" s="197">
        <v>313</v>
      </c>
      <c r="Z34" s="197"/>
    </row>
    <row r="35" spans="1:26">
      <c r="A35" s="191" t="str">
        <f>SOMERSET!A13</f>
        <v>Bridgwater and West Somerset CC</v>
      </c>
      <c r="B35" s="195">
        <f>SOMERSET!D15</f>
        <v>81874</v>
      </c>
      <c r="C35" s="195">
        <f>SOMERSET!E15</f>
        <v>82936</v>
      </c>
      <c r="D35" s="195">
        <f>SOMERSET!F15</f>
        <v>82815</v>
      </c>
      <c r="E35" s="195">
        <f>SOMERSET!G15</f>
        <v>82728</v>
      </c>
      <c r="F35" s="195">
        <f>SOMERSET!H15</f>
        <v>81816</v>
      </c>
      <c r="G35" s="195">
        <f>SOMERSET!I15</f>
        <v>80795</v>
      </c>
      <c r="H35" s="195">
        <f>SOMERSET!J15</f>
        <v>79824</v>
      </c>
      <c r="I35" s="195">
        <f>SOMERSET!K15</f>
        <v>82507</v>
      </c>
      <c r="J35" s="195">
        <f>SOMERSET!L15</f>
        <v>83194</v>
      </c>
      <c r="K35" s="196">
        <f t="shared" si="0"/>
        <v>1.6122334318587096E-2</v>
      </c>
      <c r="L35" s="196"/>
      <c r="M35" s="195">
        <f t="shared" si="1"/>
        <v>6041</v>
      </c>
      <c r="N35" s="196">
        <f t="shared" si="2"/>
        <v>7.8298964395422083E-2</v>
      </c>
      <c r="O35" s="197">
        <v>21</v>
      </c>
      <c r="P35" s="197">
        <v>19</v>
      </c>
      <c r="Q35" s="197">
        <v>24</v>
      </c>
      <c r="R35" s="197">
        <v>32</v>
      </c>
      <c r="S35" s="197">
        <v>36</v>
      </c>
      <c r="T35" s="197">
        <v>32</v>
      </c>
      <c r="U35" s="197">
        <v>33</v>
      </c>
      <c r="V35" s="197">
        <v>31</v>
      </c>
      <c r="W35" s="197">
        <v>32</v>
      </c>
      <c r="X35" s="197"/>
      <c r="Y35" s="197">
        <v>66</v>
      </c>
      <c r="Z35" s="197"/>
    </row>
    <row r="36" spans="1:26">
      <c r="A36" s="191" t="str">
        <f>NORFOLK!A37</f>
        <v>South Norfolk CC</v>
      </c>
      <c r="B36" s="195">
        <f>NORFOLK!D37</f>
        <v>76009</v>
      </c>
      <c r="C36" s="195">
        <f>NORFOLK!E37</f>
        <v>77316</v>
      </c>
      <c r="D36" s="195">
        <f>NORFOLK!F37</f>
        <v>77866</v>
      </c>
      <c r="E36" s="195">
        <f>NORFOLK!G37</f>
        <v>78985</v>
      </c>
      <c r="F36" s="195">
        <f>NORFOLK!H37</f>
        <v>79013</v>
      </c>
      <c r="G36" s="195">
        <f>NORFOLK!I37</f>
        <v>77828</v>
      </c>
      <c r="H36" s="195">
        <f>NORFOLK!J37</f>
        <v>78550</v>
      </c>
      <c r="I36" s="195">
        <f>NORFOLK!K37</f>
        <v>82874</v>
      </c>
      <c r="J36" s="195">
        <f>NORFOLK!L37</f>
        <v>82930</v>
      </c>
      <c r="K36" s="196">
        <f t="shared" si="0"/>
        <v>9.1055006643950054E-2</v>
      </c>
      <c r="L36" s="196"/>
      <c r="M36" s="195">
        <f t="shared" si="1"/>
        <v>5777</v>
      </c>
      <c r="N36" s="196">
        <f t="shared" si="2"/>
        <v>7.4877192072894116E-2</v>
      </c>
      <c r="O36" s="197">
        <v>126</v>
      </c>
      <c r="P36" s="197">
        <v>100</v>
      </c>
      <c r="Q36" s="197">
        <v>96</v>
      </c>
      <c r="R36" s="197">
        <v>80</v>
      </c>
      <c r="S36" s="197">
        <v>75</v>
      </c>
      <c r="T36" s="197">
        <v>75</v>
      </c>
      <c r="U36" s="197">
        <v>42</v>
      </c>
      <c r="V36" s="197">
        <v>29</v>
      </c>
      <c r="W36" s="197">
        <v>33</v>
      </c>
      <c r="X36" s="197"/>
      <c r="Y36" s="197">
        <v>412</v>
      </c>
      <c r="Z36" s="197"/>
    </row>
    <row r="37" spans="1:26">
      <c r="A37" s="191" t="str">
        <f>HOUNSLOW!A7</f>
        <v>Brentford and Isleworth BC</v>
      </c>
      <c r="B37" s="195">
        <f>HOUNSLOW!D7</f>
        <v>82569</v>
      </c>
      <c r="C37" s="195">
        <f>HOUNSLOW!E7</f>
        <v>83332</v>
      </c>
      <c r="D37" s="195">
        <f>HOUNSLOW!F7</f>
        <v>84037</v>
      </c>
      <c r="E37" s="195">
        <f>HOUNSLOW!G7</f>
        <v>84288</v>
      </c>
      <c r="F37" s="195">
        <f>HOUNSLOW!H7</f>
        <v>85342</v>
      </c>
      <c r="G37" s="195">
        <f>HOUNSLOW!I7</f>
        <v>81974</v>
      </c>
      <c r="H37" s="195">
        <f>HOUNSLOW!J7</f>
        <v>80427</v>
      </c>
      <c r="I37" s="195">
        <f>HOUNSLOW!K7</f>
        <v>82482</v>
      </c>
      <c r="J37" s="195">
        <f>HOUNSLOW!L7</f>
        <v>82765</v>
      </c>
      <c r="K37" s="196">
        <f t="shared" si="0"/>
        <v>2.3737722389758869E-3</v>
      </c>
      <c r="L37" s="196"/>
      <c r="M37" s="195">
        <f t="shared" si="1"/>
        <v>5612</v>
      </c>
      <c r="N37" s="196">
        <f t="shared" si="2"/>
        <v>7.2738584371314141E-2</v>
      </c>
      <c r="O37" s="197">
        <v>16</v>
      </c>
      <c r="P37" s="197">
        <v>16</v>
      </c>
      <c r="Q37" s="197">
        <v>16</v>
      </c>
      <c r="R37" s="197">
        <v>19</v>
      </c>
      <c r="S37" s="197">
        <v>12</v>
      </c>
      <c r="T37" s="197">
        <v>24</v>
      </c>
      <c r="U37" s="197">
        <v>27</v>
      </c>
      <c r="V37" s="197">
        <v>32</v>
      </c>
      <c r="W37" s="197">
        <v>34</v>
      </c>
      <c r="X37" s="197"/>
      <c r="Y37" s="197">
        <v>64</v>
      </c>
      <c r="Z37" s="197"/>
    </row>
    <row r="38" spans="1:26">
      <c r="A38" s="191" t="str">
        <f>SOUTHWARK!A9</f>
        <v>Camberwell and Peckham BC</v>
      </c>
      <c r="B38" s="195">
        <f>SOUTHWARK!D9</f>
        <v>76967</v>
      </c>
      <c r="C38" s="195">
        <f>SOUTHWARK!E9</f>
        <v>78605</v>
      </c>
      <c r="D38" s="195">
        <f>SOUTHWARK!F9</f>
        <v>79172</v>
      </c>
      <c r="E38" s="195">
        <f>SOUTHWARK!G9</f>
        <v>79260</v>
      </c>
      <c r="F38" s="195">
        <f>SOUTHWARK!H9</f>
        <v>79764</v>
      </c>
      <c r="G38" s="195">
        <f>SOUTHWARK!I9</f>
        <v>78081</v>
      </c>
      <c r="H38" s="195">
        <f>SOUTHWARK!J9</f>
        <v>80375</v>
      </c>
      <c r="I38" s="195">
        <f>SOUTHWARK!K9</f>
        <v>79947</v>
      </c>
      <c r="J38" s="195">
        <f>SOUTHWARK!L9</f>
        <v>82759</v>
      </c>
      <c r="K38" s="196">
        <f t="shared" si="0"/>
        <v>7.5253030519573327E-2</v>
      </c>
      <c r="L38" s="196"/>
      <c r="M38" s="195">
        <f t="shared" si="1"/>
        <v>5606</v>
      </c>
      <c r="N38" s="196">
        <f t="shared" si="2"/>
        <v>7.2660816818529414E-2</v>
      </c>
      <c r="O38" s="197">
        <v>95</v>
      </c>
      <c r="P38" s="197">
        <v>67</v>
      </c>
      <c r="Q38" s="197">
        <v>61</v>
      </c>
      <c r="R38" s="197">
        <v>72</v>
      </c>
      <c r="S38" s="197">
        <v>60</v>
      </c>
      <c r="T38" s="197">
        <v>71</v>
      </c>
      <c r="U38" s="197">
        <v>28</v>
      </c>
      <c r="V38" s="197">
        <v>70</v>
      </c>
      <c r="W38" s="197">
        <v>35</v>
      </c>
      <c r="X38" s="197"/>
      <c r="Y38" s="197">
        <v>86</v>
      </c>
      <c r="Z38" s="197"/>
    </row>
    <row r="39" spans="1:26">
      <c r="A39" s="191" t="str">
        <f>GLOUCESTERSHIRE!A22</f>
        <v>Stroud CC</v>
      </c>
      <c r="B39" s="195">
        <f>GLOUCESTERSHIRE!D22</f>
        <v>78261</v>
      </c>
      <c r="C39" s="195">
        <f>GLOUCESTERSHIRE!E22</f>
        <v>79135</v>
      </c>
      <c r="D39" s="195">
        <f>GLOUCESTERSHIRE!F22</f>
        <v>80114</v>
      </c>
      <c r="E39" s="195">
        <f>GLOUCESTERSHIRE!G22</f>
        <v>79998</v>
      </c>
      <c r="F39" s="195">
        <f>GLOUCESTERSHIRE!H22</f>
        <v>79226</v>
      </c>
      <c r="G39" s="195">
        <f>GLOUCESTERSHIRE!I22</f>
        <v>78539</v>
      </c>
      <c r="H39" s="195">
        <f>GLOUCESTERSHIRE!J22</f>
        <v>80909</v>
      </c>
      <c r="I39" s="195">
        <f>GLOUCESTERSHIRE!K22</f>
        <v>81849</v>
      </c>
      <c r="J39" s="195">
        <f>GLOUCESTERSHIRE!L22</f>
        <v>82616</v>
      </c>
      <c r="K39" s="196">
        <f t="shared" si="0"/>
        <v>5.5647129477006424E-2</v>
      </c>
      <c r="L39" s="196"/>
      <c r="M39" s="195">
        <f t="shared" si="1"/>
        <v>5463</v>
      </c>
      <c r="N39" s="196">
        <f t="shared" si="2"/>
        <v>7.0807356810493438E-2</v>
      </c>
      <c r="O39" s="197">
        <v>62</v>
      </c>
      <c r="P39" s="197">
        <v>55</v>
      </c>
      <c r="Q39" s="197">
        <v>46</v>
      </c>
      <c r="R39" s="197">
        <v>57</v>
      </c>
      <c r="S39" s="197">
        <v>72</v>
      </c>
      <c r="T39" s="197">
        <v>61</v>
      </c>
      <c r="U39" s="197">
        <v>24</v>
      </c>
      <c r="V39" s="197">
        <v>38</v>
      </c>
      <c r="W39" s="197">
        <v>36</v>
      </c>
      <c r="X39" s="197"/>
      <c r="Y39" s="197">
        <v>451</v>
      </c>
      <c r="Z39" s="197"/>
    </row>
    <row r="40" spans="1:26">
      <c r="A40" s="191" t="str">
        <f>SOMERSET!A17</f>
        <v>Somerton and Frome CC</v>
      </c>
      <c r="B40" s="195">
        <f>SOMERSET!D19</f>
        <v>81566</v>
      </c>
      <c r="C40" s="195">
        <f>SOMERSET!E19</f>
        <v>82150</v>
      </c>
      <c r="D40" s="195">
        <f>SOMERSET!F19</f>
        <v>82370</v>
      </c>
      <c r="E40" s="195">
        <f>SOMERSET!G19</f>
        <v>83174</v>
      </c>
      <c r="F40" s="195">
        <f>SOMERSET!H19</f>
        <v>82650</v>
      </c>
      <c r="G40" s="195">
        <f>SOMERSET!I19</f>
        <v>82166</v>
      </c>
      <c r="H40" s="195">
        <f>SOMERSET!J19</f>
        <v>77797</v>
      </c>
      <c r="I40" s="195">
        <f>SOMERSET!K19</f>
        <v>81932</v>
      </c>
      <c r="J40" s="195">
        <f>SOMERSET!L19</f>
        <v>82487</v>
      </c>
      <c r="K40" s="196">
        <f t="shared" si="0"/>
        <v>1.1291469484834367E-2</v>
      </c>
      <c r="L40" s="196"/>
      <c r="M40" s="195">
        <f t="shared" si="1"/>
        <v>5334</v>
      </c>
      <c r="N40" s="196">
        <f t="shared" si="2"/>
        <v>6.9135354425621812E-2</v>
      </c>
      <c r="O40" s="197">
        <v>23</v>
      </c>
      <c r="P40" s="197">
        <v>25</v>
      </c>
      <c r="Q40" s="197">
        <v>26</v>
      </c>
      <c r="R40" s="197">
        <v>28</v>
      </c>
      <c r="S40" s="197">
        <v>27</v>
      </c>
      <c r="T40" s="197">
        <v>20</v>
      </c>
      <c r="U40" s="197">
        <v>63</v>
      </c>
      <c r="V40" s="197">
        <v>37</v>
      </c>
      <c r="W40" s="197">
        <v>37</v>
      </c>
      <c r="X40" s="197"/>
      <c r="Y40" s="197">
        <v>403</v>
      </c>
      <c r="Z40" s="197"/>
    </row>
    <row r="41" spans="1:26">
      <c r="A41" s="191" t="str">
        <f>BUCKINGHAMSHIRE!A12</f>
        <v>Aylesbury CC</v>
      </c>
      <c r="B41" s="195">
        <f>BUCKINGHAMSHIRE!D14</f>
        <v>78017</v>
      </c>
      <c r="C41" s="195">
        <f>BUCKINGHAMSHIRE!E14</f>
        <v>78750</v>
      </c>
      <c r="D41" s="195">
        <f>BUCKINGHAMSHIRE!F14</f>
        <v>79449</v>
      </c>
      <c r="E41" s="195">
        <f>BUCKINGHAMSHIRE!G14</f>
        <v>80409</v>
      </c>
      <c r="F41" s="195">
        <f>BUCKINGHAMSHIRE!H14</f>
        <v>81728</v>
      </c>
      <c r="G41" s="195">
        <f>BUCKINGHAMSHIRE!I14</f>
        <v>79664</v>
      </c>
      <c r="H41" s="195">
        <f>BUCKINGHAMSHIRE!J14</f>
        <v>77463</v>
      </c>
      <c r="I41" s="195">
        <f>BUCKINGHAMSHIRE!K14</f>
        <v>80946</v>
      </c>
      <c r="J41" s="195">
        <f>BUCKINGHAMSHIRE!L14</f>
        <v>82448</v>
      </c>
      <c r="K41" s="196">
        <f t="shared" si="0"/>
        <v>5.6795313841854982E-2</v>
      </c>
      <c r="L41" s="196"/>
      <c r="M41" s="195">
        <f t="shared" si="1"/>
        <v>5295</v>
      </c>
      <c r="N41" s="196">
        <f t="shared" si="2"/>
        <v>6.8629865332521092E-2</v>
      </c>
      <c r="O41" s="197">
        <v>69</v>
      </c>
      <c r="P41" s="197">
        <v>63</v>
      </c>
      <c r="Q41" s="197">
        <v>56</v>
      </c>
      <c r="R41" s="197">
        <v>50</v>
      </c>
      <c r="S41" s="197">
        <v>38</v>
      </c>
      <c r="T41" s="197">
        <v>42</v>
      </c>
      <c r="U41" s="197">
        <v>67</v>
      </c>
      <c r="V41" s="197">
        <v>45</v>
      </c>
      <c r="W41" s="197">
        <v>38</v>
      </c>
      <c r="X41" s="197"/>
      <c r="Y41" s="197">
        <v>9</v>
      </c>
      <c r="Z41" s="197"/>
    </row>
    <row r="42" spans="1:26">
      <c r="A42" s="191" t="str">
        <f>GLOUCESTERSHIRE!A24</f>
        <v>Tewkesbury CC</v>
      </c>
      <c r="B42" s="195">
        <f>GLOUCESTERSHIRE!D27</f>
        <v>76406</v>
      </c>
      <c r="C42" s="195">
        <f>GLOUCESTERSHIRE!E27</f>
        <v>77206</v>
      </c>
      <c r="D42" s="195">
        <f>GLOUCESTERSHIRE!F27</f>
        <v>77943</v>
      </c>
      <c r="E42" s="195">
        <f>GLOUCESTERSHIRE!G27</f>
        <v>78527</v>
      </c>
      <c r="F42" s="195">
        <f>GLOUCESTERSHIRE!H27</f>
        <v>78438</v>
      </c>
      <c r="G42" s="195">
        <f>GLOUCESTERSHIRE!I27</f>
        <v>77633</v>
      </c>
      <c r="H42" s="195">
        <f>GLOUCESTERSHIRE!J27</f>
        <v>78462</v>
      </c>
      <c r="I42" s="195">
        <f>GLOUCESTERSHIRE!K27</f>
        <v>80456</v>
      </c>
      <c r="J42" s="195">
        <f>GLOUCESTERSHIRE!L27</f>
        <v>82436</v>
      </c>
      <c r="K42" s="196">
        <f t="shared" si="0"/>
        <v>7.8920503625369731E-2</v>
      </c>
      <c r="L42" s="196"/>
      <c r="M42" s="195">
        <f t="shared" si="1"/>
        <v>5283</v>
      </c>
      <c r="N42" s="196">
        <f t="shared" si="2"/>
        <v>6.8474330226951638E-2</v>
      </c>
      <c r="O42" s="197">
        <v>116</v>
      </c>
      <c r="P42" s="197">
        <v>102</v>
      </c>
      <c r="Q42" s="197">
        <v>93</v>
      </c>
      <c r="R42" s="197">
        <v>89</v>
      </c>
      <c r="S42" s="197">
        <v>90</v>
      </c>
      <c r="T42" s="197">
        <v>77</v>
      </c>
      <c r="U42" s="197">
        <v>45</v>
      </c>
      <c r="V42" s="197">
        <v>57</v>
      </c>
      <c r="W42" s="197">
        <v>39</v>
      </c>
      <c r="X42" s="197"/>
      <c r="Y42" s="197">
        <v>461</v>
      </c>
      <c r="Z42" s="197"/>
    </row>
    <row r="43" spans="1:26">
      <c r="A43" s="191" t="str">
        <f>CROYDON!A11</f>
        <v>Croydon South BC</v>
      </c>
      <c r="B43" s="195">
        <f>CROYDON!D11</f>
        <v>80780</v>
      </c>
      <c r="C43" s="195">
        <f>CROYDON!E11</f>
        <v>81554</v>
      </c>
      <c r="D43" s="195">
        <f>CROYDON!F11</f>
        <v>81985</v>
      </c>
      <c r="E43" s="195">
        <f>CROYDON!G11</f>
        <v>82179</v>
      </c>
      <c r="F43" s="195">
        <f>CROYDON!H11</f>
        <v>81662</v>
      </c>
      <c r="G43" s="195">
        <f>CROYDON!I11</f>
        <v>80663</v>
      </c>
      <c r="H43" s="195">
        <f>CROYDON!J11</f>
        <v>79094</v>
      </c>
      <c r="I43" s="195">
        <f>CROYDON!K11</f>
        <v>84080</v>
      </c>
      <c r="J43" s="195">
        <f>CROYDON!L11</f>
        <v>82422</v>
      </c>
      <c r="K43" s="196">
        <f t="shared" si="0"/>
        <v>2.0326813567714781E-2</v>
      </c>
      <c r="L43" s="196"/>
      <c r="M43" s="195">
        <f t="shared" si="1"/>
        <v>5269</v>
      </c>
      <c r="N43" s="196">
        <f t="shared" si="2"/>
        <v>6.8292872603787275E-2</v>
      </c>
      <c r="O43" s="197">
        <v>29</v>
      </c>
      <c r="P43" s="197">
        <v>29</v>
      </c>
      <c r="Q43" s="197">
        <v>31</v>
      </c>
      <c r="R43" s="197">
        <v>33</v>
      </c>
      <c r="S43" s="197">
        <v>39</v>
      </c>
      <c r="T43" s="197">
        <v>33</v>
      </c>
      <c r="U43" s="197">
        <v>36</v>
      </c>
      <c r="V43" s="197">
        <v>17</v>
      </c>
      <c r="W43" s="197">
        <v>40</v>
      </c>
      <c r="X43" s="197"/>
      <c r="Y43" s="197">
        <v>127</v>
      </c>
      <c r="Z43" s="197"/>
    </row>
    <row r="44" spans="1:26">
      <c r="A44" s="191" t="str">
        <f>'WEST SUSSEX'!A31</f>
        <v>Horsham CC</v>
      </c>
      <c r="B44" s="195">
        <f>'WEST SUSSEX'!D33</f>
        <v>76224</v>
      </c>
      <c r="C44" s="195">
        <f>'WEST SUSSEX'!E33</f>
        <v>77001</v>
      </c>
      <c r="D44" s="195">
        <f>'WEST SUSSEX'!F33</f>
        <v>77460</v>
      </c>
      <c r="E44" s="195">
        <f>'WEST SUSSEX'!G33</f>
        <v>78168</v>
      </c>
      <c r="F44" s="195">
        <f>'WEST SUSSEX'!H33</f>
        <v>76483</v>
      </c>
      <c r="G44" s="195">
        <f>'WEST SUSSEX'!I33</f>
        <v>76979</v>
      </c>
      <c r="H44" s="195">
        <f>'WEST SUSSEX'!J33</f>
        <v>77400</v>
      </c>
      <c r="I44" s="195">
        <f>'WEST SUSSEX'!K33</f>
        <v>80984</v>
      </c>
      <c r="J44" s="195">
        <f>'WEST SUSSEX'!L33</f>
        <v>82362</v>
      </c>
      <c r="K44" s="196">
        <f t="shared" si="0"/>
        <v>8.0525818639798491E-2</v>
      </c>
      <c r="L44" s="196"/>
      <c r="M44" s="195">
        <f t="shared" si="1"/>
        <v>5209</v>
      </c>
      <c r="N44" s="196">
        <f t="shared" si="2"/>
        <v>6.7515197075940017E-2</v>
      </c>
      <c r="O44" s="197">
        <v>120</v>
      </c>
      <c r="P44" s="197">
        <v>111</v>
      </c>
      <c r="Q44" s="197">
        <v>110</v>
      </c>
      <c r="R44" s="197">
        <v>103</v>
      </c>
      <c r="S44" s="197">
        <v>137</v>
      </c>
      <c r="T44" s="197">
        <v>96</v>
      </c>
      <c r="U44" s="197">
        <v>70</v>
      </c>
      <c r="V44" s="197">
        <v>44</v>
      </c>
      <c r="W44" s="197">
        <v>41</v>
      </c>
      <c r="X44" s="197"/>
      <c r="Y44" s="197">
        <v>224</v>
      </c>
      <c r="Z44" s="197"/>
    </row>
    <row r="45" spans="1:26">
      <c r="A45" s="191" t="str">
        <f>NEWHAM!A7</f>
        <v>East Ham BC</v>
      </c>
      <c r="B45" s="195">
        <f>NEWHAM!D7</f>
        <v>87809</v>
      </c>
      <c r="C45" s="195">
        <f>NEWHAM!E7</f>
        <v>91531</v>
      </c>
      <c r="D45" s="195">
        <f>NEWHAM!F7</f>
        <v>92126</v>
      </c>
      <c r="E45" s="195">
        <f>NEWHAM!G7</f>
        <v>91194</v>
      </c>
      <c r="F45" s="195">
        <f>NEWHAM!H7</f>
        <v>84108</v>
      </c>
      <c r="G45" s="195">
        <f>NEWHAM!I7</f>
        <v>82616</v>
      </c>
      <c r="H45" s="195">
        <f>NEWHAM!J7</f>
        <v>82810</v>
      </c>
      <c r="I45" s="195">
        <f>NEWHAM!K7</f>
        <v>84377</v>
      </c>
      <c r="J45" s="195">
        <f>NEWHAM!L7</f>
        <v>82302</v>
      </c>
      <c r="K45" s="196">
        <f t="shared" si="0"/>
        <v>-6.2715666958967756E-2</v>
      </c>
      <c r="L45" s="196"/>
      <c r="M45" s="195">
        <f t="shared" si="1"/>
        <v>5149</v>
      </c>
      <c r="N45" s="196">
        <f t="shared" si="2"/>
        <v>6.6737521548092746E-2</v>
      </c>
      <c r="O45" s="197">
        <v>2</v>
      </c>
      <c r="P45" s="197">
        <v>2</v>
      </c>
      <c r="Q45" s="197">
        <v>2</v>
      </c>
      <c r="R45" s="197">
        <v>3</v>
      </c>
      <c r="S45" s="197">
        <v>19</v>
      </c>
      <c r="T45" s="197">
        <v>17</v>
      </c>
      <c r="U45" s="197">
        <v>13</v>
      </c>
      <c r="V45" s="197">
        <v>16</v>
      </c>
      <c r="W45" s="197">
        <v>42</v>
      </c>
      <c r="X45" s="197"/>
      <c r="Y45" s="197">
        <v>150</v>
      </c>
      <c r="Z45" s="197"/>
    </row>
    <row r="46" spans="1:26">
      <c r="A46" s="191" t="str">
        <f>HERTFORDSHIRE!A50</f>
        <v>Watford BC</v>
      </c>
      <c r="B46" s="195">
        <f>HERTFORDSHIRE!D52</f>
        <v>80013</v>
      </c>
      <c r="C46" s="195">
        <f>HERTFORDSHIRE!E52</f>
        <v>80939</v>
      </c>
      <c r="D46" s="195">
        <f>HERTFORDSHIRE!F52</f>
        <v>82204</v>
      </c>
      <c r="E46" s="195">
        <f>HERTFORDSHIRE!G52</f>
        <v>83113</v>
      </c>
      <c r="F46" s="195">
        <f>HERTFORDSHIRE!H52</f>
        <v>84074</v>
      </c>
      <c r="G46" s="195">
        <f>HERTFORDSHIRE!I52</f>
        <v>81964</v>
      </c>
      <c r="H46" s="195">
        <f>HERTFORDSHIRE!J52</f>
        <v>81860</v>
      </c>
      <c r="I46" s="195">
        <f>HERTFORDSHIRE!K52</f>
        <v>82339</v>
      </c>
      <c r="J46" s="195">
        <f>HERTFORDSHIRE!L52</f>
        <v>82280</v>
      </c>
      <c r="K46" s="196">
        <f t="shared" si="0"/>
        <v>2.8332895904415532E-2</v>
      </c>
      <c r="L46" s="196"/>
      <c r="M46" s="195">
        <f t="shared" si="1"/>
        <v>5127</v>
      </c>
      <c r="N46" s="196">
        <f t="shared" si="2"/>
        <v>6.645237385454876E-2</v>
      </c>
      <c r="O46" s="197">
        <v>35</v>
      </c>
      <c r="P46" s="197">
        <v>33</v>
      </c>
      <c r="Q46" s="197">
        <v>30</v>
      </c>
      <c r="R46" s="197">
        <v>29</v>
      </c>
      <c r="S46" s="197">
        <v>20</v>
      </c>
      <c r="T46" s="197">
        <v>25</v>
      </c>
      <c r="U46" s="197">
        <v>17</v>
      </c>
      <c r="V46" s="197">
        <v>34</v>
      </c>
      <c r="W46" s="197">
        <v>43</v>
      </c>
      <c r="X46" s="197"/>
      <c r="Y46" s="197">
        <v>492</v>
      </c>
      <c r="Z46" s="197"/>
    </row>
    <row r="47" spans="1:26">
      <c r="A47" s="191" t="str">
        <f>'TOWER HAMLETS'!A7</f>
        <v>Bethnal Green and Bow BC</v>
      </c>
      <c r="B47" s="195">
        <f>'TOWER HAMLETS'!D7</f>
        <v>76272</v>
      </c>
      <c r="C47" s="195">
        <f>'TOWER HAMLETS'!E7</f>
        <v>79581</v>
      </c>
      <c r="D47" s="195">
        <f>'TOWER HAMLETS'!F7</f>
        <v>79121</v>
      </c>
      <c r="E47" s="195">
        <f>'TOWER HAMLETS'!G7</f>
        <v>73224</v>
      </c>
      <c r="F47" s="195">
        <f>'TOWER HAMLETS'!H7</f>
        <v>79658</v>
      </c>
      <c r="G47" s="195">
        <f>'TOWER HAMLETS'!I7</f>
        <v>75914</v>
      </c>
      <c r="H47" s="195">
        <f>'TOWER HAMLETS'!J7</f>
        <v>75002</v>
      </c>
      <c r="I47" s="195">
        <f>'TOWER HAMLETS'!K7</f>
        <v>75088</v>
      </c>
      <c r="J47" s="195">
        <f>'TOWER HAMLETS'!L7</f>
        <v>82056</v>
      </c>
      <c r="K47" s="196">
        <f t="shared" si="0"/>
        <v>7.5833857772183766E-2</v>
      </c>
      <c r="L47" s="196"/>
      <c r="M47" s="195">
        <f t="shared" si="1"/>
        <v>4903</v>
      </c>
      <c r="N47" s="196">
        <f t="shared" si="2"/>
        <v>6.3549051883918961E-2</v>
      </c>
      <c r="O47" s="197">
        <v>118</v>
      </c>
      <c r="P47" s="197">
        <v>48</v>
      </c>
      <c r="Q47" s="197">
        <v>65</v>
      </c>
      <c r="R47" s="197">
        <v>247</v>
      </c>
      <c r="S47" s="197">
        <v>63</v>
      </c>
      <c r="T47" s="197">
        <v>125</v>
      </c>
      <c r="U47" s="197">
        <v>118</v>
      </c>
      <c r="V47" s="197">
        <v>157</v>
      </c>
      <c r="W47" s="197">
        <v>44</v>
      </c>
      <c r="X47" s="197"/>
      <c r="Y47" s="197">
        <v>26</v>
      </c>
      <c r="Z47" s="197"/>
    </row>
    <row r="48" spans="1:26">
      <c r="A48" s="191" t="str">
        <f>BERKSHIRE!A27</f>
        <v>Newbury CC</v>
      </c>
      <c r="B48" s="195">
        <f>BERKSHIRE!D27</f>
        <v>78468</v>
      </c>
      <c r="C48" s="195">
        <f>BERKSHIRE!E27</f>
        <v>77898</v>
      </c>
      <c r="D48" s="195">
        <f>BERKSHIRE!F27</f>
        <v>77293</v>
      </c>
      <c r="E48" s="195">
        <f>BERKSHIRE!G27</f>
        <v>79351</v>
      </c>
      <c r="F48" s="195">
        <f>BERKSHIRE!H27</f>
        <v>78760</v>
      </c>
      <c r="G48" s="195">
        <f>BERKSHIRE!I27</f>
        <v>77463</v>
      </c>
      <c r="H48" s="195">
        <f>BERKSHIRE!J27</f>
        <v>78963</v>
      </c>
      <c r="I48" s="195">
        <f>BERKSHIRE!K27</f>
        <v>81818</v>
      </c>
      <c r="J48" s="195">
        <f>BERKSHIRE!L27</f>
        <v>82034</v>
      </c>
      <c r="K48" s="196">
        <f t="shared" si="0"/>
        <v>4.5445277055615026E-2</v>
      </c>
      <c r="L48" s="196"/>
      <c r="M48" s="195">
        <f t="shared" si="1"/>
        <v>4881</v>
      </c>
      <c r="N48" s="196">
        <f t="shared" si="2"/>
        <v>6.3263904190374975E-2</v>
      </c>
      <c r="O48" s="197">
        <v>59</v>
      </c>
      <c r="P48" s="197">
        <v>82</v>
      </c>
      <c r="Q48" s="197">
        <v>120</v>
      </c>
      <c r="R48" s="197">
        <v>69</v>
      </c>
      <c r="S48" s="197">
        <v>82</v>
      </c>
      <c r="T48" s="197">
        <v>83</v>
      </c>
      <c r="U48" s="197">
        <v>39</v>
      </c>
      <c r="V48" s="197">
        <v>39</v>
      </c>
      <c r="W48" s="197">
        <v>45</v>
      </c>
      <c r="X48" s="197"/>
      <c r="Y48" s="197">
        <v>301</v>
      </c>
      <c r="Z48" s="197"/>
    </row>
    <row r="49" spans="1:26">
      <c r="A49" s="191" t="str">
        <f>'WEST YORKSHIRE'!A23</f>
        <v>Colne Valley CC</v>
      </c>
      <c r="B49" s="195">
        <f>'WEST YORKSHIRE'!D23</f>
        <v>79925</v>
      </c>
      <c r="C49" s="195">
        <f>'WEST YORKSHIRE'!E23</f>
        <v>80791</v>
      </c>
      <c r="D49" s="195">
        <f>'WEST YORKSHIRE'!F23</f>
        <v>81614</v>
      </c>
      <c r="E49" s="195">
        <f>'WEST YORKSHIRE'!G23</f>
        <v>81961</v>
      </c>
      <c r="F49" s="195">
        <f>'WEST YORKSHIRE'!H23</f>
        <v>82184</v>
      </c>
      <c r="G49" s="195">
        <f>'WEST YORKSHIRE'!I23</f>
        <v>79944</v>
      </c>
      <c r="H49" s="195">
        <f>'WEST YORKSHIRE'!J23</f>
        <v>79979</v>
      </c>
      <c r="I49" s="195">
        <f>'WEST YORKSHIRE'!K23</f>
        <v>82665</v>
      </c>
      <c r="J49" s="195">
        <f>'WEST YORKSHIRE'!L23</f>
        <v>81997</v>
      </c>
      <c r="K49" s="196">
        <f t="shared" si="0"/>
        <v>2.5924304035032843E-2</v>
      </c>
      <c r="L49" s="196"/>
      <c r="M49" s="195">
        <f t="shared" si="1"/>
        <v>4844</v>
      </c>
      <c r="N49" s="196">
        <f t="shared" si="2"/>
        <v>6.2784337614869151E-2</v>
      </c>
      <c r="O49" s="197">
        <v>37</v>
      </c>
      <c r="P49" s="197">
        <v>35</v>
      </c>
      <c r="Q49" s="197">
        <v>36</v>
      </c>
      <c r="R49" s="197">
        <v>36</v>
      </c>
      <c r="S49" s="197">
        <v>34</v>
      </c>
      <c r="T49" s="197">
        <v>40</v>
      </c>
      <c r="U49" s="197">
        <v>32</v>
      </c>
      <c r="V49" s="197">
        <v>30</v>
      </c>
      <c r="W49" s="197">
        <v>46</v>
      </c>
      <c r="X49" s="197"/>
      <c r="Y49" s="197">
        <v>116</v>
      </c>
      <c r="Z49" s="197"/>
    </row>
    <row r="50" spans="1:26">
      <c r="A50" s="191" t="str">
        <f>DEVON!A29</f>
        <v>East Devon CC</v>
      </c>
      <c r="B50" s="195">
        <f>DEVON!D31</f>
        <v>72754</v>
      </c>
      <c r="C50" s="195">
        <f>DEVON!E31</f>
        <v>72406</v>
      </c>
      <c r="D50" s="195">
        <f>DEVON!F31</f>
        <v>72806</v>
      </c>
      <c r="E50" s="195">
        <f>DEVON!G31</f>
        <v>72971</v>
      </c>
      <c r="F50" s="195">
        <f>DEVON!H31</f>
        <v>69334</v>
      </c>
      <c r="G50" s="195">
        <f>DEVON!I31</f>
        <v>72703</v>
      </c>
      <c r="H50" s="195">
        <f>DEVON!J31</f>
        <v>76406</v>
      </c>
      <c r="I50" s="195">
        <f>DEVON!K31</f>
        <v>80359</v>
      </c>
      <c r="J50" s="195">
        <f>DEVON!L31</f>
        <v>81950</v>
      </c>
      <c r="K50" s="196">
        <f t="shared" si="0"/>
        <v>0.12639854853341398</v>
      </c>
      <c r="L50" s="196"/>
      <c r="M50" s="195">
        <f t="shared" si="1"/>
        <v>4797</v>
      </c>
      <c r="N50" s="196">
        <f t="shared" si="2"/>
        <v>6.2175158451388796E-2</v>
      </c>
      <c r="O50" s="197">
        <v>210</v>
      </c>
      <c r="P50" s="197">
        <v>255</v>
      </c>
      <c r="Q50" s="197">
        <v>258</v>
      </c>
      <c r="R50" s="197">
        <v>255</v>
      </c>
      <c r="S50" s="197">
        <v>361</v>
      </c>
      <c r="T50" s="197">
        <v>200</v>
      </c>
      <c r="U50" s="197">
        <v>89</v>
      </c>
      <c r="V50" s="197">
        <v>62</v>
      </c>
      <c r="W50" s="197">
        <v>47</v>
      </c>
      <c r="X50" s="197"/>
      <c r="Y50" s="197">
        <v>149</v>
      </c>
      <c r="Z50" s="197"/>
    </row>
    <row r="51" spans="1:26">
      <c r="A51" s="191" t="str">
        <f>NORTHAMPTONSHIRE!A15</f>
        <v>Corby CC</v>
      </c>
      <c r="B51" s="195">
        <f>NORTHAMPTONSHIRE!D17</f>
        <v>78275</v>
      </c>
      <c r="C51" s="195">
        <f>NORTHAMPTONSHIRE!E17</f>
        <v>79468</v>
      </c>
      <c r="D51" s="195">
        <f>NORTHAMPTONSHIRE!F17</f>
        <v>79788</v>
      </c>
      <c r="E51" s="195">
        <f>NORTHAMPTONSHIRE!G17</f>
        <v>80671</v>
      </c>
      <c r="F51" s="195">
        <f>NORTHAMPTONSHIRE!H17</f>
        <v>79573</v>
      </c>
      <c r="G51" s="195">
        <f>NORTHAMPTONSHIRE!I17</f>
        <v>79553</v>
      </c>
      <c r="H51" s="195">
        <f>NORTHAMPTONSHIRE!J17</f>
        <v>80049</v>
      </c>
      <c r="I51" s="195">
        <f>NORTHAMPTONSHIRE!K17</f>
        <v>81140</v>
      </c>
      <c r="J51" s="195">
        <f>NORTHAMPTONSHIRE!L17</f>
        <v>81941</v>
      </c>
      <c r="K51" s="196">
        <f t="shared" si="0"/>
        <v>4.6834877036090704E-2</v>
      </c>
      <c r="L51" s="196"/>
      <c r="M51" s="195">
        <f t="shared" si="1"/>
        <v>4788</v>
      </c>
      <c r="N51" s="196">
        <f t="shared" si="2"/>
        <v>6.2058507122211712E-2</v>
      </c>
      <c r="O51" s="197">
        <v>61</v>
      </c>
      <c r="P51" s="197">
        <v>51</v>
      </c>
      <c r="Q51" s="197">
        <v>52</v>
      </c>
      <c r="R51" s="197">
        <v>46</v>
      </c>
      <c r="S51" s="197">
        <v>66</v>
      </c>
      <c r="T51" s="197">
        <v>44</v>
      </c>
      <c r="U51" s="197">
        <v>31</v>
      </c>
      <c r="V51" s="197">
        <v>42</v>
      </c>
      <c r="W51" s="197">
        <v>48</v>
      </c>
      <c r="X51" s="197"/>
      <c r="Y51" s="197">
        <v>119</v>
      </c>
      <c r="Z51" s="197"/>
    </row>
    <row r="52" spans="1:26">
      <c r="A52" s="191" t="str">
        <f>'EAST SUSSEX'!A41</f>
        <v>Wealden CC</v>
      </c>
      <c r="B52" s="195">
        <f>'EAST SUSSEX'!D41</f>
        <v>76724</v>
      </c>
      <c r="C52" s="195">
        <f>'EAST SUSSEX'!E41</f>
        <v>77536</v>
      </c>
      <c r="D52" s="195">
        <f>'EAST SUSSEX'!F41</f>
        <v>78574</v>
      </c>
      <c r="E52" s="195">
        <f>'EAST SUSSEX'!G41</f>
        <v>79559</v>
      </c>
      <c r="F52" s="195">
        <f>'EAST SUSSEX'!H41</f>
        <v>78963</v>
      </c>
      <c r="G52" s="195">
        <f>'EAST SUSSEX'!I41</f>
        <v>79263</v>
      </c>
      <c r="H52" s="195">
        <f>'EAST SUSSEX'!J41</f>
        <v>78544</v>
      </c>
      <c r="I52" s="195">
        <f>'EAST SUSSEX'!K41</f>
        <v>81238</v>
      </c>
      <c r="J52" s="195">
        <f>'EAST SUSSEX'!L41</f>
        <v>81821</v>
      </c>
      <c r="K52" s="196">
        <f t="shared" si="0"/>
        <v>6.6432928418747719E-2</v>
      </c>
      <c r="L52" s="196"/>
      <c r="M52" s="195">
        <f t="shared" si="1"/>
        <v>4668</v>
      </c>
      <c r="N52" s="196">
        <f t="shared" si="2"/>
        <v>6.0503156066517183E-2</v>
      </c>
      <c r="O52" s="197">
        <v>104</v>
      </c>
      <c r="P52" s="197">
        <v>91</v>
      </c>
      <c r="Q52" s="197">
        <v>77</v>
      </c>
      <c r="R52" s="197">
        <v>65</v>
      </c>
      <c r="S52" s="197">
        <v>76</v>
      </c>
      <c r="T52" s="197">
        <v>49</v>
      </c>
      <c r="U52" s="197">
        <v>44</v>
      </c>
      <c r="V52" s="197">
        <v>41</v>
      </c>
      <c r="W52" s="197">
        <v>49</v>
      </c>
      <c r="X52" s="197"/>
      <c r="Y52" s="197">
        <v>494</v>
      </c>
      <c r="Z52" s="197"/>
    </row>
    <row r="53" spans="1:26">
      <c r="A53" s="191" t="str">
        <f>MERSEYSIDE!A21</f>
        <v>Knowsley BC</v>
      </c>
      <c r="B53" s="195">
        <f>MERSEYSIDE!D21</f>
        <v>79271</v>
      </c>
      <c r="C53" s="195">
        <f>MERSEYSIDE!E21</f>
        <v>79334</v>
      </c>
      <c r="D53" s="195">
        <f>MERSEYSIDE!F21</f>
        <v>79603</v>
      </c>
      <c r="E53" s="195">
        <f>MERSEYSIDE!G21</f>
        <v>80134</v>
      </c>
      <c r="F53" s="195">
        <f>MERSEYSIDE!H21</f>
        <v>79797</v>
      </c>
      <c r="G53" s="195">
        <f>MERSEYSIDE!I21</f>
        <v>78377</v>
      </c>
      <c r="H53" s="195">
        <f>MERSEYSIDE!J21</f>
        <v>77916</v>
      </c>
      <c r="I53" s="195">
        <f>MERSEYSIDE!K21</f>
        <v>80748</v>
      </c>
      <c r="J53" s="195">
        <f>MERSEYSIDE!L21</f>
        <v>81749</v>
      </c>
      <c r="K53" s="196">
        <f t="shared" si="0"/>
        <v>3.1259855432629838E-2</v>
      </c>
      <c r="L53" s="196"/>
      <c r="M53" s="195">
        <f t="shared" si="1"/>
        <v>4596</v>
      </c>
      <c r="N53" s="196">
        <f t="shared" si="2"/>
        <v>5.9569945433100464E-2</v>
      </c>
      <c r="O53" s="197">
        <v>42</v>
      </c>
      <c r="P53" s="197">
        <v>52</v>
      </c>
      <c r="Q53" s="197">
        <v>55</v>
      </c>
      <c r="R53" s="197">
        <v>53</v>
      </c>
      <c r="S53" s="197">
        <v>57</v>
      </c>
      <c r="T53" s="197">
        <v>64</v>
      </c>
      <c r="U53" s="197">
        <v>61</v>
      </c>
      <c r="V53" s="197">
        <v>51</v>
      </c>
      <c r="W53" s="197">
        <v>50</v>
      </c>
      <c r="X53" s="197"/>
      <c r="Y53" s="197">
        <v>246</v>
      </c>
      <c r="Z53" s="197"/>
    </row>
    <row r="54" spans="1:26">
      <c r="A54" s="191" t="str">
        <f>'WEST YORKSHIRE'!A51</f>
        <v>Normanton, Pontefract and Castleford CC</v>
      </c>
      <c r="B54" s="195">
        <f>'WEST YORKSHIRE'!D51</f>
        <v>82834</v>
      </c>
      <c r="C54" s="195">
        <f>'WEST YORKSHIRE'!E51</f>
        <v>83284</v>
      </c>
      <c r="D54" s="195">
        <f>'WEST YORKSHIRE'!F51</f>
        <v>83308</v>
      </c>
      <c r="E54" s="195">
        <f>'WEST YORKSHIRE'!G51</f>
        <v>82944</v>
      </c>
      <c r="F54" s="195">
        <f>'WEST YORKSHIRE'!H51</f>
        <v>81379</v>
      </c>
      <c r="G54" s="195">
        <f>'WEST YORKSHIRE'!I51</f>
        <v>81799</v>
      </c>
      <c r="H54" s="195">
        <f>'WEST YORKSHIRE'!J51</f>
        <v>78097</v>
      </c>
      <c r="I54" s="195">
        <f>'WEST YORKSHIRE'!K51</f>
        <v>79661</v>
      </c>
      <c r="J54" s="195">
        <f>'WEST YORKSHIRE'!L51</f>
        <v>81589</v>
      </c>
      <c r="K54" s="196">
        <f t="shared" si="0"/>
        <v>-1.503006012024048E-2</v>
      </c>
      <c r="L54" s="196"/>
      <c r="M54" s="195">
        <f t="shared" si="1"/>
        <v>4436</v>
      </c>
      <c r="N54" s="196">
        <f t="shared" si="2"/>
        <v>5.7496144025507755E-2</v>
      </c>
      <c r="O54" s="197">
        <v>13</v>
      </c>
      <c r="P54" s="197">
        <v>17</v>
      </c>
      <c r="Q54" s="197">
        <v>21</v>
      </c>
      <c r="R54" s="197">
        <v>30</v>
      </c>
      <c r="S54" s="197">
        <v>40</v>
      </c>
      <c r="T54" s="197">
        <v>27</v>
      </c>
      <c r="U54" s="197">
        <v>54</v>
      </c>
      <c r="V54" s="197">
        <v>74</v>
      </c>
      <c r="W54" s="197">
        <v>51</v>
      </c>
      <c r="X54" s="197"/>
      <c r="Y54" s="197">
        <v>307</v>
      </c>
      <c r="Z54" s="197"/>
    </row>
    <row r="55" spans="1:26">
      <c r="A55" s="191" t="str">
        <f>ESSEX!A65</f>
        <v>Saffron Walden CC</v>
      </c>
      <c r="B55" s="195">
        <f>ESSEX!D67</f>
        <v>75871</v>
      </c>
      <c r="C55" s="195">
        <f>ESSEX!E67</f>
        <v>77109</v>
      </c>
      <c r="D55" s="195">
        <f>ESSEX!F67</f>
        <v>78390</v>
      </c>
      <c r="E55" s="195">
        <f>ESSEX!G67</f>
        <v>79319</v>
      </c>
      <c r="F55" s="195">
        <f>ESSEX!H67</f>
        <v>80064</v>
      </c>
      <c r="G55" s="195">
        <f>ESSEX!I67</f>
        <v>79565</v>
      </c>
      <c r="H55" s="195">
        <f>ESSEX!J67</f>
        <v>79092</v>
      </c>
      <c r="I55" s="195">
        <f>ESSEX!K67</f>
        <v>81988</v>
      </c>
      <c r="J55" s="195">
        <f>ESSEX!L67</f>
        <v>81581</v>
      </c>
      <c r="K55" s="196">
        <f t="shared" si="0"/>
        <v>7.5259321743485652E-2</v>
      </c>
      <c r="L55" s="196"/>
      <c r="M55" s="195">
        <f t="shared" si="1"/>
        <v>4428</v>
      </c>
      <c r="N55" s="196">
        <f t="shared" si="2"/>
        <v>5.7392453955128125E-2</v>
      </c>
      <c r="O55" s="197">
        <v>130</v>
      </c>
      <c r="P55" s="197">
        <v>106</v>
      </c>
      <c r="Q55" s="197">
        <v>83</v>
      </c>
      <c r="R55" s="197">
        <v>71</v>
      </c>
      <c r="S55" s="197">
        <v>55</v>
      </c>
      <c r="T55" s="197">
        <v>43</v>
      </c>
      <c r="U55" s="197">
        <v>37</v>
      </c>
      <c r="V55" s="197">
        <v>36</v>
      </c>
      <c r="W55" s="197">
        <v>52</v>
      </c>
      <c r="X55" s="197"/>
      <c r="Y55" s="197">
        <v>381</v>
      </c>
      <c r="Z55" s="197"/>
    </row>
    <row r="56" spans="1:26">
      <c r="A56" s="191" t="str">
        <f>'WEST MIDLANDS'!A49</f>
        <v>Meriden CC</v>
      </c>
      <c r="B56" s="195">
        <f>'WEST MIDLANDS'!D49</f>
        <v>82400</v>
      </c>
      <c r="C56" s="195">
        <f>'WEST MIDLANDS'!E49</f>
        <v>83428</v>
      </c>
      <c r="D56" s="195">
        <f>'WEST MIDLANDS'!F49</f>
        <v>81568</v>
      </c>
      <c r="E56" s="195">
        <f>'WEST MIDLANDS'!G49</f>
        <v>82083</v>
      </c>
      <c r="F56" s="195">
        <f>'WEST MIDLANDS'!H49</f>
        <v>82599</v>
      </c>
      <c r="G56" s="195">
        <f>'WEST MIDLANDS'!I49</f>
        <v>80076</v>
      </c>
      <c r="H56" s="195">
        <f>'WEST MIDLANDS'!J49</f>
        <v>78752</v>
      </c>
      <c r="I56" s="195">
        <f>'WEST MIDLANDS'!K49</f>
        <v>82268</v>
      </c>
      <c r="J56" s="195">
        <f>'WEST MIDLANDS'!L49</f>
        <v>81525</v>
      </c>
      <c r="K56" s="196">
        <f t="shared" si="0"/>
        <v>-1.0618932038834952E-2</v>
      </c>
      <c r="L56" s="196"/>
      <c r="M56" s="195">
        <f t="shared" si="1"/>
        <v>4372</v>
      </c>
      <c r="N56" s="196">
        <f t="shared" si="2"/>
        <v>5.6666623462470672E-2</v>
      </c>
      <c r="O56" s="197">
        <v>17</v>
      </c>
      <c r="P56" s="197">
        <v>15</v>
      </c>
      <c r="Q56" s="197">
        <v>37</v>
      </c>
      <c r="R56" s="197">
        <v>35</v>
      </c>
      <c r="S56" s="197">
        <v>29</v>
      </c>
      <c r="T56" s="197">
        <v>37</v>
      </c>
      <c r="U56" s="197">
        <v>40</v>
      </c>
      <c r="V56" s="197">
        <v>35</v>
      </c>
      <c r="W56" s="197">
        <v>53</v>
      </c>
      <c r="X56" s="197"/>
      <c r="Y56" s="197">
        <v>283</v>
      </c>
      <c r="Z56" s="197"/>
    </row>
    <row r="57" spans="1:26">
      <c r="A57" s="191" t="str">
        <f>SOMERSET!A23</f>
        <v>Wells CC</v>
      </c>
      <c r="B57" s="195">
        <f>SOMERSET!D25</f>
        <v>79116</v>
      </c>
      <c r="C57" s="195">
        <f>SOMERSET!E25</f>
        <v>79989</v>
      </c>
      <c r="D57" s="195">
        <f>SOMERSET!F25</f>
        <v>80488</v>
      </c>
      <c r="E57" s="195">
        <f>SOMERSET!G25</f>
        <v>80676</v>
      </c>
      <c r="F57" s="195">
        <f>SOMERSET!H25</f>
        <v>79099</v>
      </c>
      <c r="G57" s="195">
        <f>SOMERSET!I25</f>
        <v>79168</v>
      </c>
      <c r="H57" s="195">
        <f>SOMERSET!J25</f>
        <v>76873</v>
      </c>
      <c r="I57" s="195">
        <f>SOMERSET!K25</f>
        <v>80608</v>
      </c>
      <c r="J57" s="195">
        <f>SOMERSET!L25</f>
        <v>81473</v>
      </c>
      <c r="K57" s="196">
        <f t="shared" si="0"/>
        <v>2.9791698265837503E-2</v>
      </c>
      <c r="L57" s="196"/>
      <c r="M57" s="195">
        <f t="shared" si="1"/>
        <v>4320</v>
      </c>
      <c r="N57" s="196">
        <f t="shared" si="2"/>
        <v>5.5992638005003044E-2</v>
      </c>
      <c r="O57" s="197">
        <v>43</v>
      </c>
      <c r="P57" s="197">
        <v>41</v>
      </c>
      <c r="Q57" s="197">
        <v>41</v>
      </c>
      <c r="R57" s="197">
        <v>45</v>
      </c>
      <c r="S57" s="197">
        <v>73</v>
      </c>
      <c r="T57" s="197">
        <v>51</v>
      </c>
      <c r="U57" s="197">
        <v>83</v>
      </c>
      <c r="V57" s="197">
        <v>53</v>
      </c>
      <c r="W57" s="197">
        <v>54</v>
      </c>
      <c r="X57" s="197"/>
      <c r="Y57" s="197">
        <v>497</v>
      </c>
      <c r="Z57" s="197"/>
    </row>
    <row r="58" spans="1:26">
      <c r="A58" s="191" t="str">
        <f>RICHMOND!A11</f>
        <v>Twickenham BC</v>
      </c>
      <c r="B58" s="195">
        <f>RICHMOND!D11</f>
        <v>78667</v>
      </c>
      <c r="C58" s="195">
        <f>RICHMOND!E11</f>
        <v>79172</v>
      </c>
      <c r="D58" s="195">
        <f>RICHMOND!F11</f>
        <v>79940</v>
      </c>
      <c r="E58" s="195">
        <f>RICHMOND!G11</f>
        <v>80050</v>
      </c>
      <c r="F58" s="195">
        <f>RICHMOND!H11</f>
        <v>80318</v>
      </c>
      <c r="G58" s="195">
        <f>RICHMOND!I11</f>
        <v>77649</v>
      </c>
      <c r="H58" s="195">
        <f>RICHMOND!J11</f>
        <v>78247</v>
      </c>
      <c r="I58" s="195">
        <f>RICHMOND!K11</f>
        <v>80689</v>
      </c>
      <c r="J58" s="195">
        <f>RICHMOND!L11</f>
        <v>81420</v>
      </c>
      <c r="K58" s="196">
        <f t="shared" si="0"/>
        <v>3.4995614425362608E-2</v>
      </c>
      <c r="L58" s="196"/>
      <c r="M58" s="195">
        <f t="shared" si="1"/>
        <v>4267</v>
      </c>
      <c r="N58" s="196">
        <f t="shared" si="2"/>
        <v>5.5305691288737961E-2</v>
      </c>
      <c r="O58" s="197">
        <v>49</v>
      </c>
      <c r="P58" s="197">
        <v>54</v>
      </c>
      <c r="Q58" s="197">
        <v>50</v>
      </c>
      <c r="R58" s="197">
        <v>55</v>
      </c>
      <c r="S58" s="197">
        <v>52</v>
      </c>
      <c r="T58" s="197">
        <v>76</v>
      </c>
      <c r="U58" s="197">
        <v>47</v>
      </c>
      <c r="V58" s="197">
        <v>52</v>
      </c>
      <c r="W58" s="197">
        <v>55</v>
      </c>
      <c r="X58" s="197"/>
      <c r="Y58" s="197">
        <v>476</v>
      </c>
      <c r="Z58" s="197"/>
    </row>
    <row r="59" spans="1:26">
      <c r="A59" s="191" t="str">
        <f>HAMPSHIRE!A27</f>
        <v>Basingstoke BC</v>
      </c>
      <c r="B59" s="195">
        <f>HAMPSHIRE!D27</f>
        <v>75108</v>
      </c>
      <c r="C59" s="195">
        <f>HAMPSHIRE!E27</f>
        <v>75470</v>
      </c>
      <c r="D59" s="195">
        <f>HAMPSHIRE!F27</f>
        <v>76355</v>
      </c>
      <c r="E59" s="195">
        <f>HAMPSHIRE!G27</f>
        <v>78429</v>
      </c>
      <c r="F59" s="195">
        <f>HAMPSHIRE!H27</f>
        <v>81277</v>
      </c>
      <c r="G59" s="195">
        <f>HAMPSHIRE!I27</f>
        <v>79893</v>
      </c>
      <c r="H59" s="195">
        <f>HAMPSHIRE!J27</f>
        <v>78026</v>
      </c>
      <c r="I59" s="195">
        <f>HAMPSHIRE!K27</f>
        <v>80559</v>
      </c>
      <c r="J59" s="195">
        <f>HAMPSHIRE!L27</f>
        <v>81401</v>
      </c>
      <c r="K59" s="196">
        <f t="shared" si="0"/>
        <v>8.3786014805346962E-2</v>
      </c>
      <c r="L59" s="196"/>
      <c r="M59" s="195">
        <f t="shared" si="1"/>
        <v>4248</v>
      </c>
      <c r="N59" s="196">
        <f t="shared" si="2"/>
        <v>5.5059427371586325E-2</v>
      </c>
      <c r="O59" s="197">
        <v>143</v>
      </c>
      <c r="P59" s="197">
        <v>152</v>
      </c>
      <c r="Q59" s="197">
        <v>146</v>
      </c>
      <c r="R59" s="197">
        <v>95</v>
      </c>
      <c r="S59" s="197">
        <v>41</v>
      </c>
      <c r="T59" s="197">
        <v>41</v>
      </c>
      <c r="U59" s="197">
        <v>57</v>
      </c>
      <c r="V59" s="197">
        <v>55</v>
      </c>
      <c r="W59" s="197">
        <v>56</v>
      </c>
      <c r="X59" s="197"/>
      <c r="Y59" s="197">
        <v>16</v>
      </c>
      <c r="Z59" s="197"/>
    </row>
    <row r="60" spans="1:26">
      <c r="A60" s="191" t="str">
        <f>HAVERING!A7</f>
        <v>Hornchurch and Upminster BC</v>
      </c>
      <c r="B60" s="195">
        <f>HAVERING!D7</f>
        <v>78913</v>
      </c>
      <c r="C60" s="195">
        <f>HAVERING!E7</f>
        <v>79568</v>
      </c>
      <c r="D60" s="195">
        <f>HAVERING!F7</f>
        <v>80364</v>
      </c>
      <c r="E60" s="195">
        <f>HAVERING!G7</f>
        <v>80415</v>
      </c>
      <c r="F60" s="195">
        <f>HAVERING!H7</f>
        <v>80252</v>
      </c>
      <c r="G60" s="195">
        <f>HAVERING!I7</f>
        <v>78714</v>
      </c>
      <c r="H60" s="195">
        <f>HAVERING!J7</f>
        <v>78064</v>
      </c>
      <c r="I60" s="195">
        <f>HAVERING!K7</f>
        <v>79806</v>
      </c>
      <c r="J60" s="195">
        <f>HAVERING!L7</f>
        <v>81200</v>
      </c>
      <c r="K60" s="196">
        <f t="shared" si="0"/>
        <v>2.8981283185279993E-2</v>
      </c>
      <c r="L60" s="196"/>
      <c r="M60" s="195">
        <f t="shared" si="1"/>
        <v>4047</v>
      </c>
      <c r="N60" s="196">
        <f t="shared" si="2"/>
        <v>5.2454214353297994E-2</v>
      </c>
      <c r="O60" s="197">
        <v>46</v>
      </c>
      <c r="P60" s="197">
        <v>49</v>
      </c>
      <c r="Q60" s="197">
        <v>42</v>
      </c>
      <c r="R60" s="197">
        <v>49</v>
      </c>
      <c r="S60" s="197">
        <v>54</v>
      </c>
      <c r="T60" s="197">
        <v>57</v>
      </c>
      <c r="U60" s="197">
        <v>55</v>
      </c>
      <c r="V60" s="197">
        <v>72</v>
      </c>
      <c r="W60" s="197">
        <v>57</v>
      </c>
      <c r="X60" s="197"/>
      <c r="Y60" s="197">
        <v>222</v>
      </c>
      <c r="Z60" s="197"/>
    </row>
    <row r="61" spans="1:26">
      <c r="A61" s="191" t="str">
        <f>BRENT!A10</f>
        <v>Brent North BC</v>
      </c>
      <c r="B61" s="195">
        <f>BRENT!D10</f>
        <v>81811</v>
      </c>
      <c r="C61" s="195">
        <f>BRENT!E10</f>
        <v>82648</v>
      </c>
      <c r="D61" s="195">
        <f>BRENT!F10</f>
        <v>83112</v>
      </c>
      <c r="E61" s="195">
        <f>BRENT!G10</f>
        <v>83601</v>
      </c>
      <c r="F61" s="195">
        <f>BRENT!H10</f>
        <v>82482</v>
      </c>
      <c r="G61" s="195">
        <f>BRENT!I10</f>
        <v>80472</v>
      </c>
      <c r="H61" s="195">
        <f>BRENT!J10</f>
        <v>81364</v>
      </c>
      <c r="I61" s="195">
        <f>BRENT!K10</f>
        <v>80808</v>
      </c>
      <c r="J61" s="195">
        <f>BRENT!L10</f>
        <v>81100</v>
      </c>
      <c r="K61" s="196">
        <f t="shared" si="0"/>
        <v>-8.6907628558506797E-3</v>
      </c>
      <c r="L61" s="196"/>
      <c r="M61" s="195">
        <f t="shared" si="1"/>
        <v>3947</v>
      </c>
      <c r="N61" s="196">
        <f t="shared" si="2"/>
        <v>5.1158088473552549E-2</v>
      </c>
      <c r="O61" s="197">
        <v>22</v>
      </c>
      <c r="P61" s="197">
        <v>22</v>
      </c>
      <c r="Q61" s="197">
        <v>23</v>
      </c>
      <c r="R61" s="197">
        <v>25</v>
      </c>
      <c r="S61" s="197">
        <v>31</v>
      </c>
      <c r="T61" s="197">
        <v>35</v>
      </c>
      <c r="U61" s="197">
        <v>21</v>
      </c>
      <c r="V61" s="197">
        <v>49</v>
      </c>
      <c r="W61" s="197">
        <v>58</v>
      </c>
      <c r="X61" s="197"/>
      <c r="Y61" s="197">
        <v>63</v>
      </c>
      <c r="Z61" s="197"/>
    </row>
    <row r="62" spans="1:26">
      <c r="A62" s="191" t="str">
        <f>LEICESTERSHIRE!A19</f>
        <v>Bosworth CC</v>
      </c>
      <c r="B62" s="195">
        <f>LEICESTERSHIRE!D19</f>
        <v>77351</v>
      </c>
      <c r="C62" s="195">
        <f>LEICESTERSHIRE!E19</f>
        <v>77787</v>
      </c>
      <c r="D62" s="195">
        <f>LEICESTERSHIRE!F19</f>
        <v>78400</v>
      </c>
      <c r="E62" s="195">
        <f>LEICESTERSHIRE!G19</f>
        <v>79198</v>
      </c>
      <c r="F62" s="195">
        <f>LEICESTERSHIRE!H19</f>
        <v>79289</v>
      </c>
      <c r="G62" s="195">
        <f>LEICESTERSHIRE!I19</f>
        <v>78512</v>
      </c>
      <c r="H62" s="195">
        <f>LEICESTERSHIRE!J19</f>
        <v>78188</v>
      </c>
      <c r="I62" s="195">
        <f>LEICESTERSHIRE!K19</f>
        <v>79359</v>
      </c>
      <c r="J62" s="195">
        <f>LEICESTERSHIRE!L19</f>
        <v>81097</v>
      </c>
      <c r="K62" s="196">
        <f t="shared" si="0"/>
        <v>4.8428591744127419E-2</v>
      </c>
      <c r="L62" s="196"/>
      <c r="M62" s="195">
        <f t="shared" si="1"/>
        <v>3944</v>
      </c>
      <c r="N62" s="196">
        <f t="shared" si="2"/>
        <v>5.1119204697160185E-2</v>
      </c>
      <c r="O62" s="197">
        <v>79</v>
      </c>
      <c r="P62" s="197">
        <v>87</v>
      </c>
      <c r="Q62" s="197">
        <v>82</v>
      </c>
      <c r="R62" s="197">
        <v>74</v>
      </c>
      <c r="S62" s="197">
        <v>70</v>
      </c>
      <c r="T62" s="197">
        <v>62</v>
      </c>
      <c r="U62" s="197">
        <v>50</v>
      </c>
      <c r="V62" s="197">
        <v>79</v>
      </c>
      <c r="W62" s="197">
        <v>59</v>
      </c>
      <c r="X62" s="197"/>
      <c r="Y62" s="197">
        <v>54</v>
      </c>
      <c r="Z62" s="197"/>
    </row>
    <row r="63" spans="1:26">
      <c r="A63" s="191" t="str">
        <f>KENT!A62</f>
        <v>Sittingbourne and Sheppey CC</v>
      </c>
      <c r="B63" s="195">
        <f>KENT!D62</f>
        <v>75509</v>
      </c>
      <c r="C63" s="195">
        <f>KENT!E62</f>
        <v>74796</v>
      </c>
      <c r="D63" s="195">
        <f>KENT!F62</f>
        <v>75770</v>
      </c>
      <c r="E63" s="195">
        <f>KENT!G62</f>
        <v>76111</v>
      </c>
      <c r="F63" s="195">
        <f>KENT!H62</f>
        <v>76839</v>
      </c>
      <c r="G63" s="195">
        <f>KENT!I62</f>
        <v>72615</v>
      </c>
      <c r="H63" s="195">
        <f>KENT!J62</f>
        <v>75638</v>
      </c>
      <c r="I63" s="195">
        <f>KENT!K62</f>
        <v>79966</v>
      </c>
      <c r="J63" s="195">
        <f>KENT!L62</f>
        <v>81092</v>
      </c>
      <c r="K63" s="196">
        <f t="shared" si="0"/>
        <v>7.3938206041663901E-2</v>
      </c>
      <c r="L63" s="196"/>
      <c r="M63" s="195">
        <f t="shared" si="1"/>
        <v>3939</v>
      </c>
      <c r="N63" s="196">
        <f t="shared" si="2"/>
        <v>5.1054398403172919E-2</v>
      </c>
      <c r="O63" s="197">
        <v>139</v>
      </c>
      <c r="P63" s="197">
        <v>171</v>
      </c>
      <c r="Q63" s="197">
        <v>160</v>
      </c>
      <c r="R63" s="197">
        <v>157</v>
      </c>
      <c r="S63" s="197">
        <v>127</v>
      </c>
      <c r="T63" s="197">
        <v>203</v>
      </c>
      <c r="U63" s="197">
        <v>107</v>
      </c>
      <c r="V63" s="197">
        <v>69</v>
      </c>
      <c r="W63" s="197">
        <v>60</v>
      </c>
      <c r="X63" s="197"/>
      <c r="Y63" s="197">
        <v>398</v>
      </c>
      <c r="Z63" s="197"/>
    </row>
    <row r="64" spans="1:26">
      <c r="A64" s="191" t="str">
        <f>DEVON!A47</f>
        <v>Tiverton and Honiton CC</v>
      </c>
      <c r="B64" s="195">
        <f>DEVON!D49</f>
        <v>76717</v>
      </c>
      <c r="C64" s="195">
        <f>DEVON!E49</f>
        <v>75839</v>
      </c>
      <c r="D64" s="195">
        <f>DEVON!F49</f>
        <v>75975</v>
      </c>
      <c r="E64" s="195">
        <f>DEVON!G49</f>
        <v>76117</v>
      </c>
      <c r="F64" s="195">
        <f>DEVON!H49</f>
        <v>73305</v>
      </c>
      <c r="G64" s="195">
        <f>DEVON!I49</f>
        <v>74722</v>
      </c>
      <c r="H64" s="195">
        <f>DEVON!J49</f>
        <v>75784</v>
      </c>
      <c r="I64" s="195">
        <f>DEVON!K49</f>
        <v>78520</v>
      </c>
      <c r="J64" s="195">
        <f>DEVON!L49</f>
        <v>81085</v>
      </c>
      <c r="K64" s="196">
        <f t="shared" si="0"/>
        <v>5.6936532971831537E-2</v>
      </c>
      <c r="L64" s="196"/>
      <c r="M64" s="195">
        <f t="shared" si="1"/>
        <v>3932</v>
      </c>
      <c r="N64" s="196">
        <f t="shared" si="2"/>
        <v>5.0963669591590738E-2</v>
      </c>
      <c r="O64" s="197">
        <v>106</v>
      </c>
      <c r="P64" s="197">
        <v>144</v>
      </c>
      <c r="Q64" s="197">
        <v>156</v>
      </c>
      <c r="R64" s="197">
        <v>155</v>
      </c>
      <c r="S64" s="197">
        <v>234</v>
      </c>
      <c r="T64" s="197">
        <v>150</v>
      </c>
      <c r="U64" s="197">
        <v>101</v>
      </c>
      <c r="V64" s="197">
        <v>93</v>
      </c>
      <c r="W64" s="197">
        <v>61</v>
      </c>
      <c r="X64" s="197"/>
      <c r="Y64" s="197">
        <v>467</v>
      </c>
      <c r="Z64" s="197"/>
    </row>
    <row r="65" spans="1:26">
      <c r="A65" s="191" t="str">
        <f>SOMERSET!A27</f>
        <v>Yeovil CC</v>
      </c>
      <c r="B65" s="195">
        <f>SOMERSET!D27</f>
        <v>82767</v>
      </c>
      <c r="C65" s="195">
        <f>SOMERSET!E27</f>
        <v>82771</v>
      </c>
      <c r="D65" s="195">
        <f>SOMERSET!F27</f>
        <v>82760</v>
      </c>
      <c r="E65" s="195">
        <f>SOMERSET!G27</f>
        <v>83788</v>
      </c>
      <c r="F65" s="195">
        <f>SOMERSET!H27</f>
        <v>83420</v>
      </c>
      <c r="G65" s="195">
        <f>SOMERSET!I27</f>
        <v>82157</v>
      </c>
      <c r="H65" s="195">
        <f>SOMERSET!J27</f>
        <v>76351</v>
      </c>
      <c r="I65" s="195">
        <f>SOMERSET!K27</f>
        <v>80924</v>
      </c>
      <c r="J65" s="195">
        <f>SOMERSET!L27</f>
        <v>81075</v>
      </c>
      <c r="K65" s="196">
        <f t="shared" si="0"/>
        <v>-2.0442930153321975E-2</v>
      </c>
      <c r="L65" s="196"/>
      <c r="M65" s="195">
        <f t="shared" si="1"/>
        <v>3922</v>
      </c>
      <c r="N65" s="196">
        <f t="shared" si="2"/>
        <v>5.0834057003616193E-2</v>
      </c>
      <c r="O65" s="197">
        <v>15</v>
      </c>
      <c r="P65" s="197">
        <v>21</v>
      </c>
      <c r="Q65" s="197">
        <v>25</v>
      </c>
      <c r="R65" s="197">
        <v>21</v>
      </c>
      <c r="S65" s="197">
        <v>22</v>
      </c>
      <c r="T65" s="197">
        <v>21</v>
      </c>
      <c r="U65" s="197">
        <v>91</v>
      </c>
      <c r="V65" s="197">
        <v>46</v>
      </c>
      <c r="W65" s="197">
        <v>62</v>
      </c>
      <c r="X65" s="197"/>
      <c r="Y65" s="197">
        <v>531</v>
      </c>
      <c r="Z65" s="197"/>
    </row>
    <row r="66" spans="1:26">
      <c r="A66" s="191" t="str">
        <f>HERTFORDSHIRE!A24</f>
        <v>Hertford and Stortford CC</v>
      </c>
      <c r="B66" s="195">
        <f>HERTFORDSHIRE!D24</f>
        <v>78211</v>
      </c>
      <c r="C66" s="195">
        <f>HERTFORDSHIRE!E24</f>
        <v>79255</v>
      </c>
      <c r="D66" s="195">
        <f>HERTFORDSHIRE!F24</f>
        <v>78458</v>
      </c>
      <c r="E66" s="195">
        <f>HERTFORDSHIRE!G24</f>
        <v>79321</v>
      </c>
      <c r="F66" s="195">
        <f>HERTFORDSHIRE!H24</f>
        <v>77195</v>
      </c>
      <c r="G66" s="195">
        <f>HERTFORDSHIRE!I24</f>
        <v>77258</v>
      </c>
      <c r="H66" s="195">
        <f>HERTFORDSHIRE!J24</f>
        <v>77196</v>
      </c>
      <c r="I66" s="195">
        <f>HERTFORDSHIRE!K24</f>
        <v>81240</v>
      </c>
      <c r="J66" s="195">
        <f>HERTFORDSHIRE!L24</f>
        <v>81051</v>
      </c>
      <c r="K66" s="196">
        <f t="shared" si="0"/>
        <v>3.6312027719885946E-2</v>
      </c>
      <c r="L66" s="196"/>
      <c r="M66" s="195">
        <f t="shared" si="1"/>
        <v>3898</v>
      </c>
      <c r="N66" s="196">
        <f t="shared" si="2"/>
        <v>5.0522986792477284E-2</v>
      </c>
      <c r="O66" s="197">
        <v>63</v>
      </c>
      <c r="P66" s="197">
        <v>53</v>
      </c>
      <c r="Q66" s="197">
        <v>80</v>
      </c>
      <c r="R66" s="197">
        <v>70</v>
      </c>
      <c r="S66" s="197">
        <v>121</v>
      </c>
      <c r="T66" s="197">
        <v>86</v>
      </c>
      <c r="U66" s="197">
        <v>74</v>
      </c>
      <c r="V66" s="197">
        <v>40</v>
      </c>
      <c r="W66" s="197">
        <v>63</v>
      </c>
      <c r="X66" s="197"/>
      <c r="Y66" s="197">
        <v>215</v>
      </c>
      <c r="Z66" s="197"/>
    </row>
    <row r="67" spans="1:26">
      <c r="A67" s="191" t="str">
        <f>BRISTOL!A11</f>
        <v>Bristol South BC</v>
      </c>
      <c r="B67" s="195">
        <f>BRISTOL!D11</f>
        <v>78148</v>
      </c>
      <c r="C67" s="195">
        <f>BRISTOL!E11</f>
        <v>78703</v>
      </c>
      <c r="D67" s="195">
        <f>BRISTOL!F11</f>
        <v>79858</v>
      </c>
      <c r="E67" s="195">
        <f>BRISTOL!G11</f>
        <v>80224</v>
      </c>
      <c r="F67" s="195">
        <f>BRISTOL!H11</f>
        <v>80481</v>
      </c>
      <c r="G67" s="195">
        <f>BRISTOL!I11</f>
        <v>79512</v>
      </c>
      <c r="H67" s="195">
        <f>BRISTOL!J11</f>
        <v>78060</v>
      </c>
      <c r="I67" s="195">
        <f>BRISTOL!K11</f>
        <v>80750</v>
      </c>
      <c r="J67" s="195">
        <f>BRISTOL!L11</f>
        <v>80999</v>
      </c>
      <c r="K67" s="196">
        <f t="shared" si="0"/>
        <v>3.6482059681629729E-2</v>
      </c>
      <c r="L67" s="196"/>
      <c r="M67" s="195">
        <f t="shared" si="1"/>
        <v>3846</v>
      </c>
      <c r="N67" s="196">
        <f t="shared" si="2"/>
        <v>4.9849001335009656E-2</v>
      </c>
      <c r="O67" s="197">
        <v>65</v>
      </c>
      <c r="P67" s="197">
        <v>64</v>
      </c>
      <c r="Q67" s="197">
        <v>51</v>
      </c>
      <c r="R67" s="197">
        <v>52</v>
      </c>
      <c r="S67" s="197">
        <v>50</v>
      </c>
      <c r="T67" s="197">
        <v>45</v>
      </c>
      <c r="U67" s="197">
        <v>56</v>
      </c>
      <c r="V67" s="197">
        <v>50</v>
      </c>
      <c r="W67" s="197">
        <v>64</v>
      </c>
      <c r="X67" s="197"/>
      <c r="Y67" s="197">
        <v>72</v>
      </c>
      <c r="Z67" s="197"/>
    </row>
    <row r="68" spans="1:26">
      <c r="A68" s="191" t="str">
        <f>OXFORDSHIRE!A30</f>
        <v>Witney CC</v>
      </c>
      <c r="B68" s="195">
        <f>OXFORDSHIRE!D30</f>
        <v>78141</v>
      </c>
      <c r="C68" s="195">
        <f>OXFORDSHIRE!E30</f>
        <v>78220</v>
      </c>
      <c r="D68" s="195">
        <f>OXFORDSHIRE!F30</f>
        <v>79321</v>
      </c>
      <c r="E68" s="195">
        <f>OXFORDSHIRE!G30</f>
        <v>79653</v>
      </c>
      <c r="F68" s="195">
        <f>OXFORDSHIRE!H30</f>
        <v>79067</v>
      </c>
      <c r="G68" s="195">
        <f>OXFORDSHIRE!I30</f>
        <v>77097</v>
      </c>
      <c r="H68" s="195">
        <f>OXFORDSHIRE!J30</f>
        <v>78455</v>
      </c>
      <c r="I68" s="195">
        <f>OXFORDSHIRE!K30</f>
        <v>80868</v>
      </c>
      <c r="J68" s="195">
        <f>OXFORDSHIRE!L30</f>
        <v>80906</v>
      </c>
      <c r="K68" s="196">
        <f t="shared" ref="K68:K131" si="3">(J68-B68)/B68</f>
        <v>3.5384753202544118E-2</v>
      </c>
      <c r="L68" s="196"/>
      <c r="M68" s="195">
        <f t="shared" ref="M68:M131" si="4">J68-$J$544</f>
        <v>3753</v>
      </c>
      <c r="N68" s="196">
        <f t="shared" ref="N68:N131" si="5">(J68-$J$544)/$J$544</f>
        <v>4.8643604266846399E-2</v>
      </c>
      <c r="O68" s="197">
        <v>66</v>
      </c>
      <c r="P68" s="197">
        <v>78</v>
      </c>
      <c r="Q68" s="197">
        <v>58</v>
      </c>
      <c r="R68" s="197">
        <v>62</v>
      </c>
      <c r="S68" s="197">
        <v>74</v>
      </c>
      <c r="T68" s="197">
        <v>93</v>
      </c>
      <c r="U68" s="197">
        <v>46</v>
      </c>
      <c r="V68" s="197">
        <v>47</v>
      </c>
      <c r="W68" s="197">
        <v>65</v>
      </c>
      <c r="X68" s="197"/>
      <c r="Y68" s="197">
        <v>517</v>
      </c>
      <c r="Z68" s="197"/>
    </row>
    <row r="69" spans="1:26">
      <c r="A69" s="191" t="str">
        <f>HAMPSHIRE!A54</f>
        <v>North West Hampshire CC</v>
      </c>
      <c r="B69" s="195">
        <f>HAMPSHIRE!D56</f>
        <v>76608</v>
      </c>
      <c r="C69" s="195">
        <f>HAMPSHIRE!E56</f>
        <v>77020</v>
      </c>
      <c r="D69" s="195">
        <f>HAMPSHIRE!F56</f>
        <v>77435</v>
      </c>
      <c r="E69" s="195">
        <f>HAMPSHIRE!G56</f>
        <v>78387</v>
      </c>
      <c r="F69" s="195">
        <f>HAMPSHIRE!H56</f>
        <v>79769</v>
      </c>
      <c r="G69" s="195">
        <f>HAMPSHIRE!I56</f>
        <v>78575</v>
      </c>
      <c r="H69" s="195">
        <f>HAMPSHIRE!J56</f>
        <v>78019</v>
      </c>
      <c r="I69" s="195">
        <f>HAMPSHIRE!K56</f>
        <v>80447</v>
      </c>
      <c r="J69" s="195">
        <f>HAMPSHIRE!L56</f>
        <v>80902</v>
      </c>
      <c r="K69" s="196">
        <f t="shared" si="3"/>
        <v>5.6051587301587304E-2</v>
      </c>
      <c r="L69" s="196"/>
      <c r="M69" s="195">
        <f t="shared" si="4"/>
        <v>3749</v>
      </c>
      <c r="N69" s="196">
        <f t="shared" si="5"/>
        <v>4.8591759231656581E-2</v>
      </c>
      <c r="O69" s="197">
        <v>110</v>
      </c>
      <c r="P69" s="197">
        <v>110</v>
      </c>
      <c r="Q69" s="197">
        <v>114</v>
      </c>
      <c r="R69" s="197">
        <v>97</v>
      </c>
      <c r="S69" s="197">
        <v>59</v>
      </c>
      <c r="T69" s="197">
        <v>60</v>
      </c>
      <c r="U69" s="197">
        <v>58</v>
      </c>
      <c r="V69" s="197">
        <v>58</v>
      </c>
      <c r="W69" s="197">
        <v>66</v>
      </c>
      <c r="X69" s="197"/>
      <c r="Y69" s="197">
        <v>328</v>
      </c>
      <c r="Z69" s="197"/>
    </row>
    <row r="70" spans="1:26">
      <c r="A70" s="191" t="str">
        <f>SURREY!A19</f>
        <v>East Surrey CC</v>
      </c>
      <c r="B70" s="195">
        <f>SURREY!D21</f>
        <v>76847</v>
      </c>
      <c r="C70" s="195">
        <f>SURREY!E21</f>
        <v>77145</v>
      </c>
      <c r="D70" s="195">
        <f>SURREY!F21</f>
        <v>77373</v>
      </c>
      <c r="E70" s="195">
        <f>SURREY!G21</f>
        <v>77733</v>
      </c>
      <c r="F70" s="195">
        <f>SURREY!H21</f>
        <v>75386</v>
      </c>
      <c r="G70" s="195">
        <f>SURREY!I21</f>
        <v>76795</v>
      </c>
      <c r="H70" s="195">
        <f>SURREY!J21</f>
        <v>77146</v>
      </c>
      <c r="I70" s="195">
        <f>SURREY!K21</f>
        <v>80583</v>
      </c>
      <c r="J70" s="195">
        <f>SURREY!L21</f>
        <v>80835</v>
      </c>
      <c r="K70" s="196">
        <f t="shared" si="3"/>
        <v>5.1895324475906675E-2</v>
      </c>
      <c r="L70" s="196"/>
      <c r="M70" s="195">
        <f t="shared" si="4"/>
        <v>3682</v>
      </c>
      <c r="N70" s="196">
        <f t="shared" si="5"/>
        <v>4.7723354892227135E-2</v>
      </c>
      <c r="O70" s="197">
        <v>98</v>
      </c>
      <c r="P70" s="197">
        <v>105</v>
      </c>
      <c r="Q70" s="197">
        <v>117</v>
      </c>
      <c r="R70" s="197">
        <v>119</v>
      </c>
      <c r="S70" s="197">
        <v>163</v>
      </c>
      <c r="T70" s="197">
        <v>101</v>
      </c>
      <c r="U70" s="197">
        <v>75</v>
      </c>
      <c r="V70" s="197">
        <v>54</v>
      </c>
      <c r="W70" s="197">
        <v>67</v>
      </c>
      <c r="X70" s="197"/>
      <c r="Y70" s="197">
        <v>152</v>
      </c>
      <c r="Z70" s="197"/>
    </row>
    <row r="71" spans="1:26">
      <c r="A71" s="191" t="str">
        <f>BERKSHIRE!A37</f>
        <v>Slough BC</v>
      </c>
      <c r="B71" s="195">
        <f>BERKSHIRE!D37</f>
        <v>78477</v>
      </c>
      <c r="C71" s="195">
        <f>BERKSHIRE!E37</f>
        <v>81327</v>
      </c>
      <c r="D71" s="195">
        <f>BERKSHIRE!F37</f>
        <v>81937</v>
      </c>
      <c r="E71" s="195">
        <f>BERKSHIRE!G37</f>
        <v>83197</v>
      </c>
      <c r="F71" s="195">
        <f>BERKSHIRE!H37</f>
        <v>84564</v>
      </c>
      <c r="G71" s="195">
        <f>BERKSHIRE!I37</f>
        <v>83990</v>
      </c>
      <c r="H71" s="195">
        <f>BERKSHIRE!J37</f>
        <v>76668</v>
      </c>
      <c r="I71" s="195">
        <f>BERKSHIRE!K37</f>
        <v>80827</v>
      </c>
      <c r="J71" s="195">
        <f>BERKSHIRE!L37</f>
        <v>80679</v>
      </c>
      <c r="K71" s="196">
        <f t="shared" si="3"/>
        <v>2.8059176574028059E-2</v>
      </c>
      <c r="L71" s="196"/>
      <c r="M71" s="195">
        <f t="shared" si="4"/>
        <v>3526</v>
      </c>
      <c r="N71" s="196">
        <f t="shared" si="5"/>
        <v>4.5701398519824243E-2</v>
      </c>
      <c r="O71" s="197">
        <v>56</v>
      </c>
      <c r="P71" s="197">
        <v>30</v>
      </c>
      <c r="Q71" s="197">
        <v>32</v>
      </c>
      <c r="R71" s="197">
        <v>26</v>
      </c>
      <c r="S71" s="197">
        <v>16</v>
      </c>
      <c r="T71" s="197">
        <v>12</v>
      </c>
      <c r="U71" s="197">
        <v>85</v>
      </c>
      <c r="V71" s="197">
        <v>48</v>
      </c>
      <c r="W71" s="197">
        <v>68</v>
      </c>
      <c r="X71" s="197"/>
      <c r="Y71" s="197">
        <v>401</v>
      </c>
      <c r="Z71" s="197"/>
    </row>
    <row r="72" spans="1:26">
      <c r="A72" s="191" t="str">
        <f>SWINDON!A7</f>
        <v>North Swindon CC</v>
      </c>
      <c r="B72" s="195">
        <f>SWINDON!D7</f>
        <v>78583</v>
      </c>
      <c r="C72" s="195">
        <f>SWINDON!E7</f>
        <v>79488</v>
      </c>
      <c r="D72" s="195">
        <f>SWINDON!F7</f>
        <v>80224</v>
      </c>
      <c r="E72" s="195">
        <f>SWINDON!G7</f>
        <v>81183</v>
      </c>
      <c r="F72" s="195">
        <f>SWINDON!H7</f>
        <v>80774</v>
      </c>
      <c r="G72" s="195">
        <f>SWINDON!I7</f>
        <v>80129</v>
      </c>
      <c r="H72" s="195">
        <f>SWINDON!J7</f>
        <v>78158</v>
      </c>
      <c r="I72" s="195">
        <f>SWINDON!K7</f>
        <v>79063</v>
      </c>
      <c r="J72" s="195">
        <f>SWINDON!L7</f>
        <v>80620</v>
      </c>
      <c r="K72" s="196">
        <f t="shared" si="3"/>
        <v>2.5921636995278878E-2</v>
      </c>
      <c r="L72" s="196"/>
      <c r="M72" s="195">
        <f t="shared" si="4"/>
        <v>3467</v>
      </c>
      <c r="N72" s="196">
        <f t="shared" si="5"/>
        <v>4.4936684250774434E-2</v>
      </c>
      <c r="O72" s="197">
        <v>53</v>
      </c>
      <c r="P72" s="197">
        <v>50</v>
      </c>
      <c r="Q72" s="197">
        <v>44</v>
      </c>
      <c r="R72" s="197">
        <v>40</v>
      </c>
      <c r="S72" s="197">
        <v>45</v>
      </c>
      <c r="T72" s="197">
        <v>36</v>
      </c>
      <c r="U72" s="197">
        <v>52</v>
      </c>
      <c r="V72" s="197">
        <v>85</v>
      </c>
      <c r="W72" s="197">
        <v>69</v>
      </c>
      <c r="X72" s="197"/>
      <c r="Y72" s="197">
        <v>322</v>
      </c>
      <c r="Z72" s="197"/>
    </row>
    <row r="73" spans="1:26">
      <c r="A73" s="191" t="str">
        <f>HAMPSHIRE!A31</f>
        <v>Eastleigh BC</v>
      </c>
      <c r="B73" s="195">
        <f>HAMPSHIRE!D31</f>
        <v>77320</v>
      </c>
      <c r="C73" s="195">
        <f>HAMPSHIRE!E31</f>
        <v>78313</v>
      </c>
      <c r="D73" s="195">
        <f>HAMPSHIRE!F31</f>
        <v>79272</v>
      </c>
      <c r="E73" s="195">
        <f>HAMPSHIRE!G31</f>
        <v>79719</v>
      </c>
      <c r="F73" s="195">
        <f>HAMPSHIRE!H31</f>
        <v>80686</v>
      </c>
      <c r="G73" s="195">
        <f>HAMPSHIRE!I31</f>
        <v>79100</v>
      </c>
      <c r="H73" s="195">
        <f>HAMPSHIRE!J31</f>
        <v>77814</v>
      </c>
      <c r="I73" s="195">
        <f>HAMPSHIRE!K31</f>
        <v>78989</v>
      </c>
      <c r="J73" s="195">
        <f>HAMPSHIRE!L31</f>
        <v>80559</v>
      </c>
      <c r="K73" s="196">
        <f t="shared" si="3"/>
        <v>4.1890843248836004E-2</v>
      </c>
      <c r="L73" s="196"/>
      <c r="M73" s="195">
        <f t="shared" si="4"/>
        <v>3406</v>
      </c>
      <c r="N73" s="196">
        <f t="shared" si="5"/>
        <v>4.4146047464129715E-2</v>
      </c>
      <c r="O73" s="197">
        <v>81</v>
      </c>
      <c r="P73" s="197">
        <v>74</v>
      </c>
      <c r="Q73" s="197">
        <v>59</v>
      </c>
      <c r="R73" s="197">
        <v>59</v>
      </c>
      <c r="S73" s="197">
        <v>47</v>
      </c>
      <c r="T73" s="197">
        <v>52</v>
      </c>
      <c r="U73" s="197">
        <v>62</v>
      </c>
      <c r="V73" s="197">
        <v>86</v>
      </c>
      <c r="W73" s="197">
        <v>70</v>
      </c>
      <c r="X73" s="197"/>
      <c r="Y73" s="197">
        <v>156</v>
      </c>
      <c r="Z73" s="197"/>
    </row>
    <row r="74" spans="1:26">
      <c r="A74" s="191" t="str">
        <f>'EAST SUSSEX'!A17</f>
        <v>Bexhill and Battle CC</v>
      </c>
      <c r="B74" s="195">
        <f>'EAST SUSSEX'!D19</f>
        <v>78169</v>
      </c>
      <c r="C74" s="195">
        <f>'EAST SUSSEX'!E19</f>
        <v>78602</v>
      </c>
      <c r="D74" s="195">
        <f>'EAST SUSSEX'!F19</f>
        <v>78902</v>
      </c>
      <c r="E74" s="195">
        <f>'EAST SUSSEX'!G19</f>
        <v>79613</v>
      </c>
      <c r="F74" s="195">
        <f>'EAST SUSSEX'!H19</f>
        <v>76652</v>
      </c>
      <c r="G74" s="195">
        <f>'EAST SUSSEX'!I19</f>
        <v>77532</v>
      </c>
      <c r="H74" s="195">
        <f>'EAST SUSSEX'!J19</f>
        <v>77221</v>
      </c>
      <c r="I74" s="195">
        <f>'EAST SUSSEX'!K19</f>
        <v>79896</v>
      </c>
      <c r="J74" s="195">
        <f>'EAST SUSSEX'!L19</f>
        <v>80474</v>
      </c>
      <c r="K74" s="196">
        <f t="shared" si="3"/>
        <v>2.9487392700431117E-2</v>
      </c>
      <c r="L74" s="196"/>
      <c r="M74" s="195">
        <f t="shared" si="4"/>
        <v>3321</v>
      </c>
      <c r="N74" s="196">
        <f t="shared" si="5"/>
        <v>4.3044340466346094E-2</v>
      </c>
      <c r="O74" s="197">
        <v>64</v>
      </c>
      <c r="P74" s="197">
        <v>68</v>
      </c>
      <c r="Q74" s="197">
        <v>69</v>
      </c>
      <c r="R74" s="197">
        <v>63</v>
      </c>
      <c r="S74" s="197">
        <v>134</v>
      </c>
      <c r="T74" s="197">
        <v>81</v>
      </c>
      <c r="U74" s="197">
        <v>73</v>
      </c>
      <c r="V74" s="197">
        <v>71</v>
      </c>
      <c r="W74" s="197">
        <v>71</v>
      </c>
      <c r="X74" s="197"/>
      <c r="Y74" s="197">
        <v>28</v>
      </c>
      <c r="Z74" s="197"/>
    </row>
    <row r="75" spans="1:26">
      <c r="A75" s="191" t="str">
        <f>HACKNEY!A7</f>
        <v>Hackney North and Stoke Newington BC</v>
      </c>
      <c r="B75" s="195">
        <f>HACKNEY!D7</f>
        <v>72355</v>
      </c>
      <c r="C75" s="195">
        <f>HACKNEY!E7</f>
        <v>74780</v>
      </c>
      <c r="D75" s="195">
        <f>HACKNEY!F7</f>
        <v>76077</v>
      </c>
      <c r="E75" s="195">
        <f>HACKNEY!G7</f>
        <v>77972</v>
      </c>
      <c r="F75" s="195">
        <f>HACKNEY!H7</f>
        <v>78823</v>
      </c>
      <c r="G75" s="195">
        <f>HACKNEY!I7</f>
        <v>79334</v>
      </c>
      <c r="H75" s="195">
        <f>HACKNEY!J7</f>
        <v>75758</v>
      </c>
      <c r="I75" s="195">
        <f>HACKNEY!K7</f>
        <v>77806</v>
      </c>
      <c r="J75" s="195">
        <f>HACKNEY!L7</f>
        <v>80424</v>
      </c>
      <c r="K75" s="196">
        <f t="shared" si="3"/>
        <v>0.11151959090594983</v>
      </c>
      <c r="L75" s="196"/>
      <c r="M75" s="195">
        <f t="shared" si="4"/>
        <v>3271</v>
      </c>
      <c r="N75" s="196">
        <f t="shared" si="5"/>
        <v>4.2396277526473368E-2</v>
      </c>
      <c r="O75" s="197">
        <v>226</v>
      </c>
      <c r="P75" s="197">
        <v>172</v>
      </c>
      <c r="Q75" s="197">
        <v>151</v>
      </c>
      <c r="R75" s="197">
        <v>109</v>
      </c>
      <c r="S75" s="197">
        <v>79</v>
      </c>
      <c r="T75" s="197">
        <v>47</v>
      </c>
      <c r="U75" s="197">
        <v>103</v>
      </c>
      <c r="V75" s="197">
        <v>110</v>
      </c>
      <c r="W75" s="197">
        <v>72</v>
      </c>
      <c r="X75" s="197"/>
      <c r="Y75" s="197">
        <v>191</v>
      </c>
      <c r="Z75" s="197"/>
    </row>
    <row r="76" spans="1:26">
      <c r="A76" s="191" t="str">
        <f>HOUNSLOW!A9</f>
        <v>Feltham and Heston BC</v>
      </c>
      <c r="B76" s="195">
        <f>HOUNSLOW!D9</f>
        <v>80783</v>
      </c>
      <c r="C76" s="195">
        <f>HOUNSLOW!E9</f>
        <v>80437</v>
      </c>
      <c r="D76" s="195">
        <f>HOUNSLOW!F9</f>
        <v>81668</v>
      </c>
      <c r="E76" s="195">
        <f>HOUNSLOW!G9</f>
        <v>82145</v>
      </c>
      <c r="F76" s="195">
        <f>HOUNSLOW!H9</f>
        <v>83308</v>
      </c>
      <c r="G76" s="195">
        <f>HOUNSLOW!I9</f>
        <v>80948</v>
      </c>
      <c r="H76" s="195">
        <f>HOUNSLOW!J9</f>
        <v>79083</v>
      </c>
      <c r="I76" s="195">
        <f>HOUNSLOW!K9</f>
        <v>80378</v>
      </c>
      <c r="J76" s="195">
        <f>HOUNSLOW!L9</f>
        <v>80398</v>
      </c>
      <c r="K76" s="196">
        <f t="shared" si="3"/>
        <v>-4.7658542019979452E-3</v>
      </c>
      <c r="L76" s="196"/>
      <c r="M76" s="195">
        <f t="shared" si="4"/>
        <v>3245</v>
      </c>
      <c r="N76" s="196">
        <f t="shared" si="5"/>
        <v>4.2059284797739557E-2</v>
      </c>
      <c r="O76" s="197">
        <v>28</v>
      </c>
      <c r="P76" s="197">
        <v>38</v>
      </c>
      <c r="Q76" s="197">
        <v>35</v>
      </c>
      <c r="R76" s="197">
        <v>34</v>
      </c>
      <c r="S76" s="197">
        <v>23</v>
      </c>
      <c r="T76" s="197">
        <v>30</v>
      </c>
      <c r="U76" s="197">
        <v>38</v>
      </c>
      <c r="V76" s="197">
        <v>61</v>
      </c>
      <c r="W76" s="197">
        <v>73</v>
      </c>
      <c r="X76" s="197"/>
      <c r="Y76" s="197">
        <v>172</v>
      </c>
      <c r="Z76" s="197"/>
    </row>
    <row r="77" spans="1:26">
      <c r="A77" s="191" t="str">
        <f>LINCOLNSHIRE!A23</f>
        <v>Grantham and Stamford CC</v>
      </c>
      <c r="B77" s="195">
        <f>LINCOLNSHIRE!D23</f>
        <v>77694</v>
      </c>
      <c r="C77" s="195">
        <f>LINCOLNSHIRE!E23</f>
        <v>79118</v>
      </c>
      <c r="D77" s="195">
        <f>LINCOLNSHIRE!F23</f>
        <v>79144</v>
      </c>
      <c r="E77" s="195">
        <f>LINCOLNSHIRE!G23</f>
        <v>80528</v>
      </c>
      <c r="F77" s="195">
        <f>LINCOLNSHIRE!H23</f>
        <v>80750</v>
      </c>
      <c r="G77" s="195">
        <f>LINCOLNSHIRE!I23</f>
        <v>78679</v>
      </c>
      <c r="H77" s="195">
        <f>LINCOLNSHIRE!J23</f>
        <v>77983</v>
      </c>
      <c r="I77" s="195">
        <f>LINCOLNSHIRE!K23</f>
        <v>81105</v>
      </c>
      <c r="J77" s="195">
        <f>LINCOLNSHIRE!L23</f>
        <v>80347</v>
      </c>
      <c r="K77" s="196">
        <f t="shared" si="3"/>
        <v>3.4146780961206782E-2</v>
      </c>
      <c r="L77" s="196"/>
      <c r="M77" s="195">
        <f t="shared" si="4"/>
        <v>3194</v>
      </c>
      <c r="N77" s="196">
        <f t="shared" si="5"/>
        <v>4.1398260599069384E-2</v>
      </c>
      <c r="O77" s="197">
        <v>73</v>
      </c>
      <c r="P77" s="197">
        <v>58</v>
      </c>
      <c r="Q77" s="197">
        <v>63</v>
      </c>
      <c r="R77" s="197">
        <v>47</v>
      </c>
      <c r="S77" s="197">
        <v>46</v>
      </c>
      <c r="T77" s="197">
        <v>58</v>
      </c>
      <c r="U77" s="197">
        <v>60</v>
      </c>
      <c r="V77" s="197">
        <v>43</v>
      </c>
      <c r="W77" s="197">
        <v>74</v>
      </c>
      <c r="X77" s="197"/>
      <c r="Y77" s="197">
        <v>185</v>
      </c>
      <c r="Z77" s="197"/>
    </row>
    <row r="78" spans="1:26">
      <c r="A78" s="191" t="str">
        <f>'NORTH YORKSHIRE'!A17</f>
        <v>Richmond (Yorks) CC</v>
      </c>
      <c r="B78" s="195">
        <f>'NORTH YORKSHIRE'!D19</f>
        <v>81314</v>
      </c>
      <c r="C78" s="195">
        <f>'NORTH YORKSHIRE'!E19</f>
        <v>78902</v>
      </c>
      <c r="D78" s="195">
        <f>'NORTH YORKSHIRE'!F19</f>
        <v>78902</v>
      </c>
      <c r="E78" s="195">
        <f>'NORTH YORKSHIRE'!G19</f>
        <v>79242</v>
      </c>
      <c r="F78" s="195">
        <f>'NORTH YORKSHIRE'!H19</f>
        <v>79763</v>
      </c>
      <c r="G78" s="195">
        <f>'NORTH YORKSHIRE'!I19</f>
        <v>77603</v>
      </c>
      <c r="H78" s="195">
        <f>'NORTH YORKSHIRE'!J19</f>
        <v>76357</v>
      </c>
      <c r="I78" s="195">
        <f>'NORTH YORKSHIRE'!K19</f>
        <v>80137</v>
      </c>
      <c r="J78" s="195">
        <f>'NORTH YORKSHIRE'!L19</f>
        <v>80215</v>
      </c>
      <c r="K78" s="196">
        <f t="shared" si="3"/>
        <v>-1.3515507784637332E-2</v>
      </c>
      <c r="L78" s="196"/>
      <c r="M78" s="195">
        <f t="shared" si="4"/>
        <v>3062</v>
      </c>
      <c r="N78" s="196">
        <f t="shared" si="5"/>
        <v>3.9687374437805401E-2</v>
      </c>
      <c r="O78" s="197">
        <v>24</v>
      </c>
      <c r="P78" s="197">
        <v>59</v>
      </c>
      <c r="Q78" s="197">
        <v>70</v>
      </c>
      <c r="R78" s="197">
        <v>73</v>
      </c>
      <c r="S78" s="197">
        <v>61</v>
      </c>
      <c r="T78" s="197">
        <v>79</v>
      </c>
      <c r="U78" s="197">
        <v>90</v>
      </c>
      <c r="V78" s="197">
        <v>63</v>
      </c>
      <c r="W78" s="197">
        <v>75</v>
      </c>
      <c r="X78" s="197"/>
      <c r="Y78" s="197">
        <v>366</v>
      </c>
      <c r="Z78" s="197"/>
    </row>
    <row r="79" spans="1:26">
      <c r="A79" s="191" t="str">
        <f>NORFOLK!A21</f>
        <v>Mid Norfolk CC</v>
      </c>
      <c r="B79" s="195">
        <f>NORFOLK!D23</f>
        <v>74465</v>
      </c>
      <c r="C79" s="195">
        <f>NORFOLK!E23</f>
        <v>75080</v>
      </c>
      <c r="D79" s="195">
        <f>NORFOLK!F23</f>
        <v>75703</v>
      </c>
      <c r="E79" s="195">
        <f>NORFOLK!G23</f>
        <v>77319</v>
      </c>
      <c r="F79" s="195">
        <f>NORFOLK!H23</f>
        <v>75296</v>
      </c>
      <c r="G79" s="195">
        <f>NORFOLK!I23</f>
        <v>75941</v>
      </c>
      <c r="H79" s="195">
        <f>NORFOLK!J23</f>
        <v>77629</v>
      </c>
      <c r="I79" s="195">
        <f>NORFOLK!K23</f>
        <v>80107</v>
      </c>
      <c r="J79" s="195">
        <f>NORFOLK!L23</f>
        <v>80060</v>
      </c>
      <c r="K79" s="196">
        <f t="shared" si="3"/>
        <v>7.5135969918753778E-2</v>
      </c>
      <c r="L79" s="196"/>
      <c r="M79" s="195">
        <f t="shared" si="4"/>
        <v>2907</v>
      </c>
      <c r="N79" s="196">
        <f t="shared" si="5"/>
        <v>3.7678379324199963E-2</v>
      </c>
      <c r="O79" s="197">
        <v>164</v>
      </c>
      <c r="P79" s="197">
        <v>163</v>
      </c>
      <c r="Q79" s="197">
        <v>162</v>
      </c>
      <c r="R79" s="197">
        <v>130</v>
      </c>
      <c r="S79" s="197">
        <v>167</v>
      </c>
      <c r="T79" s="197">
        <v>123</v>
      </c>
      <c r="U79" s="197">
        <v>65</v>
      </c>
      <c r="V79" s="197">
        <v>64</v>
      </c>
      <c r="W79" s="197">
        <v>76</v>
      </c>
      <c r="X79" s="197"/>
      <c r="Y79" s="197">
        <v>287</v>
      </c>
      <c r="Z79" s="197"/>
    </row>
    <row r="80" spans="1:26">
      <c r="A80" s="191" t="str">
        <f>HERTFORDSHIRE!A37</f>
        <v>South West Hertfordshire CC</v>
      </c>
      <c r="B80" s="195">
        <f>HERTFORDSHIRE!D39</f>
        <v>78044</v>
      </c>
      <c r="C80" s="195">
        <f>HERTFORDSHIRE!E39</f>
        <v>78269</v>
      </c>
      <c r="D80" s="195">
        <f>HERTFORDSHIRE!F39</f>
        <v>78883</v>
      </c>
      <c r="E80" s="195">
        <f>HERTFORDSHIRE!G39</f>
        <v>79568</v>
      </c>
      <c r="F80" s="195">
        <f>HERTFORDSHIRE!H39</f>
        <v>79640</v>
      </c>
      <c r="G80" s="195">
        <f>HERTFORDSHIRE!I39</f>
        <v>78301</v>
      </c>
      <c r="H80" s="195">
        <f>HERTFORDSHIRE!J39</f>
        <v>78233</v>
      </c>
      <c r="I80" s="195">
        <f>HERTFORDSHIRE!K39</f>
        <v>79582</v>
      </c>
      <c r="J80" s="195">
        <f>HERTFORDSHIRE!L39</f>
        <v>79970</v>
      </c>
      <c r="K80" s="196">
        <f t="shared" si="3"/>
        <v>2.4678386551176261E-2</v>
      </c>
      <c r="L80" s="196"/>
      <c r="M80" s="195">
        <f t="shared" si="4"/>
        <v>2817</v>
      </c>
      <c r="N80" s="196">
        <f t="shared" si="5"/>
        <v>3.651186603242907E-2</v>
      </c>
      <c r="O80" s="197">
        <v>68</v>
      </c>
      <c r="P80" s="197">
        <v>76</v>
      </c>
      <c r="Q80" s="197">
        <v>71</v>
      </c>
      <c r="R80" s="197">
        <v>64</v>
      </c>
      <c r="S80" s="197">
        <v>64</v>
      </c>
      <c r="T80" s="197">
        <v>66</v>
      </c>
      <c r="U80" s="197">
        <v>48</v>
      </c>
      <c r="V80" s="197">
        <v>76</v>
      </c>
      <c r="W80" s="197">
        <v>77</v>
      </c>
      <c r="X80" s="197"/>
      <c r="Y80" s="197">
        <v>422</v>
      </c>
      <c r="Z80" s="197"/>
    </row>
    <row r="81" spans="1:26">
      <c r="A81" s="191" t="str">
        <f>'SHROPSHIRE &amp; TELFORD &amp; WREKIN '!A13</f>
        <v>North Shropshire CC</v>
      </c>
      <c r="B81" s="195">
        <f>'SHROPSHIRE &amp; TELFORD &amp; WREKIN '!D13</f>
        <v>78611</v>
      </c>
      <c r="C81" s="195">
        <f>'SHROPSHIRE &amp; TELFORD &amp; WREKIN '!E13</f>
        <v>77673</v>
      </c>
      <c r="D81" s="195">
        <f>'SHROPSHIRE &amp; TELFORD &amp; WREKIN '!F13</f>
        <v>76696</v>
      </c>
      <c r="E81" s="195">
        <f>'SHROPSHIRE &amp; TELFORD &amp; WREKIN '!G13</f>
        <v>79068</v>
      </c>
      <c r="F81" s="195">
        <f>'SHROPSHIRE &amp; TELFORD &amp; WREKIN '!H13</f>
        <v>76317</v>
      </c>
      <c r="G81" s="195">
        <f>'SHROPSHIRE &amp; TELFORD &amp; WREKIN '!I13</f>
        <v>77602</v>
      </c>
      <c r="H81" s="195">
        <f>'SHROPSHIRE &amp; TELFORD &amp; WREKIN '!J13</f>
        <v>77768</v>
      </c>
      <c r="I81" s="195">
        <f>'SHROPSHIRE &amp; TELFORD &amp; WREKIN '!K13</f>
        <v>80507</v>
      </c>
      <c r="J81" s="195">
        <f>'SHROPSHIRE &amp; TELFORD &amp; WREKIN '!L13</f>
        <v>79954</v>
      </c>
      <c r="K81" s="196">
        <f t="shared" si="3"/>
        <v>1.7084123087099768E-2</v>
      </c>
      <c r="L81" s="196"/>
      <c r="M81" s="195">
        <f t="shared" si="4"/>
        <v>2801</v>
      </c>
      <c r="N81" s="196">
        <f t="shared" si="5"/>
        <v>3.6304485891669798E-2</v>
      </c>
      <c r="O81" s="197">
        <v>51</v>
      </c>
      <c r="P81" s="197">
        <v>89</v>
      </c>
      <c r="Q81" s="197">
        <v>136</v>
      </c>
      <c r="R81" s="197">
        <v>78</v>
      </c>
      <c r="S81" s="197">
        <v>142</v>
      </c>
      <c r="T81" s="197">
        <v>80</v>
      </c>
      <c r="U81" s="197">
        <v>64</v>
      </c>
      <c r="V81" s="197">
        <v>56</v>
      </c>
      <c r="W81" s="197">
        <v>78</v>
      </c>
      <c r="X81" s="197"/>
      <c r="Y81" s="197">
        <v>320</v>
      </c>
      <c r="Z81" s="197"/>
    </row>
    <row r="82" spans="1:26">
      <c r="A82" s="191" t="str">
        <f>SUFFOLK!A34</f>
        <v>Waveney CC</v>
      </c>
      <c r="B82" s="195">
        <f>SUFFOLK!D34</f>
        <v>79035</v>
      </c>
      <c r="C82" s="195">
        <f>SUFFOLK!E34</f>
        <v>79132</v>
      </c>
      <c r="D82" s="195">
        <f>SUFFOLK!F34</f>
        <v>79145</v>
      </c>
      <c r="E82" s="195">
        <f>SUFFOLK!G34</f>
        <v>79116</v>
      </c>
      <c r="F82" s="195">
        <f>SUFFOLK!H34</f>
        <v>79732</v>
      </c>
      <c r="G82" s="195">
        <f>SUFFOLK!I34</f>
        <v>78913</v>
      </c>
      <c r="H82" s="195">
        <f>SUFFOLK!J34</f>
        <v>77408</v>
      </c>
      <c r="I82" s="195">
        <f>SUFFOLK!K34</f>
        <v>79168</v>
      </c>
      <c r="J82" s="195">
        <f>SUFFOLK!L34</f>
        <v>79937</v>
      </c>
      <c r="K82" s="196">
        <f t="shared" si="3"/>
        <v>1.1412665274878218E-2</v>
      </c>
      <c r="L82" s="196"/>
      <c r="M82" s="195">
        <f t="shared" si="4"/>
        <v>2784</v>
      </c>
      <c r="N82" s="196">
        <f t="shared" si="5"/>
        <v>3.6084144492113071E-2</v>
      </c>
      <c r="O82" s="197">
        <v>44</v>
      </c>
      <c r="P82" s="197">
        <v>57</v>
      </c>
      <c r="Q82" s="197">
        <v>62</v>
      </c>
      <c r="R82" s="197">
        <v>76</v>
      </c>
      <c r="S82" s="197">
        <v>62</v>
      </c>
      <c r="T82" s="197">
        <v>54</v>
      </c>
      <c r="U82" s="197">
        <v>69</v>
      </c>
      <c r="V82" s="197">
        <v>81</v>
      </c>
      <c r="W82" s="197">
        <v>79</v>
      </c>
      <c r="X82" s="197"/>
      <c r="Y82" s="197">
        <v>493</v>
      </c>
      <c r="Z82" s="197"/>
    </row>
    <row r="83" spans="1:26">
      <c r="A83" s="200" t="str">
        <f>KINGSTON!A7</f>
        <v>Kingston and Surbiton BC</v>
      </c>
      <c r="B83" s="201">
        <f>KINGSTON!D7</f>
        <v>80229</v>
      </c>
      <c r="C83" s="201">
        <f>KINGSTON!E7</f>
        <v>80639</v>
      </c>
      <c r="D83" s="201">
        <f>KINGSTON!F7</f>
        <v>81735</v>
      </c>
      <c r="E83" s="201">
        <f>KINGSTON!G7</f>
        <v>81293</v>
      </c>
      <c r="F83" s="201">
        <f>KINGSTON!H7</f>
        <v>81792</v>
      </c>
      <c r="G83" s="201">
        <f>KINGSTON!I7</f>
        <v>77932</v>
      </c>
      <c r="H83" s="201">
        <f>KINGSTON!J7</f>
        <v>77995</v>
      </c>
      <c r="I83" s="201">
        <f>KINGSTON!K7</f>
        <v>80379</v>
      </c>
      <c r="J83" s="201">
        <f>KINGSTON!L7</f>
        <v>79885</v>
      </c>
      <c r="K83" s="196">
        <f t="shared" si="3"/>
        <v>-4.2877263832280096E-3</v>
      </c>
      <c r="L83" s="196"/>
      <c r="M83" s="195">
        <f t="shared" si="4"/>
        <v>2732</v>
      </c>
      <c r="N83" s="196">
        <f t="shared" si="5"/>
        <v>3.5410159034645443E-2</v>
      </c>
      <c r="O83" s="197">
        <v>33</v>
      </c>
      <c r="P83" s="197">
        <v>37</v>
      </c>
      <c r="Q83" s="197">
        <v>34</v>
      </c>
      <c r="R83" s="197">
        <v>38</v>
      </c>
      <c r="S83" s="197">
        <v>37</v>
      </c>
      <c r="T83" s="197">
        <v>73</v>
      </c>
      <c r="U83" s="197">
        <v>59</v>
      </c>
      <c r="V83" s="197">
        <v>60</v>
      </c>
      <c r="W83" s="197">
        <v>80</v>
      </c>
      <c r="X83" s="197"/>
      <c r="Y83" s="197">
        <v>241</v>
      </c>
      <c r="Z83" s="197"/>
    </row>
    <row r="84" spans="1:26">
      <c r="A84" s="191" t="str">
        <f>'NORTH SOMERSET'!A9</f>
        <v>Weston-Super-Mare CC</v>
      </c>
      <c r="B84" s="195">
        <f>'NORTH SOMERSET'!D9</f>
        <v>78516</v>
      </c>
      <c r="C84" s="195">
        <f>'NORTH SOMERSET'!E9</f>
        <v>78778</v>
      </c>
      <c r="D84" s="195">
        <f>'NORTH SOMERSET'!F9</f>
        <v>79122</v>
      </c>
      <c r="E84" s="195">
        <f>'NORTH SOMERSET'!G9</f>
        <v>80085</v>
      </c>
      <c r="F84" s="195">
        <f>'NORTH SOMERSET'!H9</f>
        <v>78495</v>
      </c>
      <c r="G84" s="195">
        <f>'NORTH SOMERSET'!I9</f>
        <v>78173</v>
      </c>
      <c r="H84" s="195">
        <f>'NORTH SOMERSET'!J9</f>
        <v>75333</v>
      </c>
      <c r="I84" s="195">
        <f>'NORTH SOMERSET'!K9</f>
        <v>80017</v>
      </c>
      <c r="J84" s="195">
        <f>'NORTH SOMERSET'!L9</f>
        <v>79819</v>
      </c>
      <c r="K84" s="196">
        <f t="shared" si="3"/>
        <v>1.6595343624229455E-2</v>
      </c>
      <c r="L84" s="196"/>
      <c r="M84" s="195">
        <f t="shared" si="4"/>
        <v>2666</v>
      </c>
      <c r="N84" s="196">
        <f t="shared" si="5"/>
        <v>3.4554715954013451E-2</v>
      </c>
      <c r="O84" s="197">
        <v>54</v>
      </c>
      <c r="P84" s="197">
        <v>61</v>
      </c>
      <c r="Q84" s="197">
        <v>64</v>
      </c>
      <c r="R84" s="197">
        <v>54</v>
      </c>
      <c r="S84" s="197">
        <v>89</v>
      </c>
      <c r="T84" s="197">
        <v>69</v>
      </c>
      <c r="U84" s="197">
        <v>112</v>
      </c>
      <c r="V84" s="197">
        <v>67</v>
      </c>
      <c r="W84" s="197">
        <v>81</v>
      </c>
      <c r="X84" s="197"/>
      <c r="Y84" s="197">
        <v>509</v>
      </c>
      <c r="Z84" s="197"/>
    </row>
    <row r="85" spans="1:26">
      <c r="A85" s="191" t="str">
        <f>ESSEX!A37</f>
        <v>Chelmsford BC</v>
      </c>
      <c r="B85" s="195">
        <f>ESSEX!D37</f>
        <v>77607</v>
      </c>
      <c r="C85" s="195">
        <f>ESSEX!E37</f>
        <v>77835</v>
      </c>
      <c r="D85" s="195">
        <f>ESSEX!F37</f>
        <v>77801</v>
      </c>
      <c r="E85" s="195">
        <f>ESSEX!G37</f>
        <v>78971</v>
      </c>
      <c r="F85" s="195">
        <f>ESSEX!H37</f>
        <v>78626</v>
      </c>
      <c r="G85" s="195">
        <f>ESSEX!I37</f>
        <v>78673</v>
      </c>
      <c r="H85" s="195">
        <f>ESSEX!J37</f>
        <v>78107</v>
      </c>
      <c r="I85" s="195">
        <f>ESSEX!K37</f>
        <v>79124</v>
      </c>
      <c r="J85" s="195">
        <f>ESSEX!L37</f>
        <v>79793</v>
      </c>
      <c r="K85" s="196">
        <f t="shared" si="3"/>
        <v>2.8167562204440322E-2</v>
      </c>
      <c r="L85" s="196"/>
      <c r="M85" s="195">
        <f t="shared" si="4"/>
        <v>2640</v>
      </c>
      <c r="N85" s="196">
        <f t="shared" si="5"/>
        <v>3.4217723225279641E-2</v>
      </c>
      <c r="O85" s="197">
        <v>75</v>
      </c>
      <c r="P85" s="197">
        <v>84</v>
      </c>
      <c r="Q85" s="197">
        <v>100</v>
      </c>
      <c r="R85" s="197">
        <v>81</v>
      </c>
      <c r="S85" s="197">
        <v>86</v>
      </c>
      <c r="T85" s="197">
        <v>59</v>
      </c>
      <c r="U85" s="197">
        <v>53</v>
      </c>
      <c r="V85" s="197">
        <v>82</v>
      </c>
      <c r="W85" s="197">
        <v>82</v>
      </c>
      <c r="X85" s="197"/>
      <c r="Y85" s="197">
        <v>99</v>
      </c>
      <c r="Z85" s="197"/>
    </row>
    <row r="86" spans="1:26">
      <c r="A86" s="191" t="str">
        <f>CAMDEN!A7</f>
        <v>Hampstead and Kilburn BC</v>
      </c>
      <c r="B86" s="195">
        <f>CAMDEN!D9</f>
        <v>77254</v>
      </c>
      <c r="C86" s="195">
        <f>CAMDEN!E9</f>
        <v>78552</v>
      </c>
      <c r="D86" s="195">
        <f>CAMDEN!F9</f>
        <v>78244</v>
      </c>
      <c r="E86" s="195">
        <f>CAMDEN!G9</f>
        <v>78459</v>
      </c>
      <c r="F86" s="195">
        <f>CAMDEN!H9</f>
        <v>76997</v>
      </c>
      <c r="G86" s="195">
        <f>CAMDEN!I9</f>
        <v>74764</v>
      </c>
      <c r="H86" s="195">
        <f>CAMDEN!J9</f>
        <v>74977</v>
      </c>
      <c r="I86" s="195">
        <f>CAMDEN!K9</f>
        <v>79461</v>
      </c>
      <c r="J86" s="195">
        <f>CAMDEN!L9</f>
        <v>79689</v>
      </c>
      <c r="K86" s="196">
        <f t="shared" si="3"/>
        <v>3.1519403526031012E-2</v>
      </c>
      <c r="L86" s="196"/>
      <c r="M86" s="195">
        <f t="shared" si="4"/>
        <v>2536</v>
      </c>
      <c r="N86" s="196">
        <f t="shared" si="5"/>
        <v>3.2869752310344377E-2</v>
      </c>
      <c r="O86" s="197">
        <v>84</v>
      </c>
      <c r="P86" s="197">
        <v>69</v>
      </c>
      <c r="Q86" s="197">
        <v>85</v>
      </c>
      <c r="R86" s="197">
        <v>92</v>
      </c>
      <c r="S86" s="197">
        <v>123</v>
      </c>
      <c r="T86" s="197">
        <v>149</v>
      </c>
      <c r="U86" s="197">
        <v>119</v>
      </c>
      <c r="V86" s="197">
        <v>78</v>
      </c>
      <c r="W86" s="197">
        <v>83</v>
      </c>
      <c r="X86" s="197"/>
      <c r="Y86" s="197">
        <v>198</v>
      </c>
      <c r="Z86" s="197"/>
    </row>
    <row r="87" spans="1:26">
      <c r="A87" s="191" t="str">
        <f>SURREY!A48</f>
        <v>Surrey Heath CC</v>
      </c>
      <c r="B87" s="195">
        <f>SURREY!D50</f>
        <v>77342</v>
      </c>
      <c r="C87" s="195">
        <f>SURREY!E50</f>
        <v>78453</v>
      </c>
      <c r="D87" s="195">
        <f>SURREY!F50</f>
        <v>79073</v>
      </c>
      <c r="E87" s="195">
        <f>SURREY!G50</f>
        <v>79400</v>
      </c>
      <c r="F87" s="195">
        <f>SURREY!H50</f>
        <v>79513</v>
      </c>
      <c r="G87" s="195">
        <f>SURREY!I50</f>
        <v>77849</v>
      </c>
      <c r="H87" s="195">
        <f>SURREY!J50</f>
        <v>77585</v>
      </c>
      <c r="I87" s="195">
        <f>SURREY!K50</f>
        <v>79973</v>
      </c>
      <c r="J87" s="195">
        <f>SURREY!L50</f>
        <v>79684</v>
      </c>
      <c r="K87" s="196">
        <f t="shared" si="3"/>
        <v>3.0281089188280624E-2</v>
      </c>
      <c r="L87" s="196"/>
      <c r="M87" s="195">
        <f t="shared" si="4"/>
        <v>2531</v>
      </c>
      <c r="N87" s="196">
        <f t="shared" si="5"/>
        <v>3.2804946016357112E-2</v>
      </c>
      <c r="O87" s="197">
        <v>80</v>
      </c>
      <c r="P87" s="197">
        <v>70</v>
      </c>
      <c r="Q87" s="197">
        <v>66</v>
      </c>
      <c r="R87" s="197">
        <v>67</v>
      </c>
      <c r="S87" s="197">
        <v>69</v>
      </c>
      <c r="T87" s="197">
        <v>74</v>
      </c>
      <c r="U87" s="197">
        <v>66</v>
      </c>
      <c r="V87" s="197">
        <v>68</v>
      </c>
      <c r="W87" s="197">
        <v>84</v>
      </c>
      <c r="X87" s="197"/>
      <c r="Y87" s="197">
        <v>454</v>
      </c>
      <c r="Z87" s="197"/>
    </row>
    <row r="88" spans="1:26">
      <c r="A88" s="191" t="str">
        <f>GLOUCESTERSHIRE!A29</f>
        <v>The Cotswolds CC</v>
      </c>
      <c r="B88" s="195">
        <f>GLOUCESTERSHIRE!D31</f>
        <v>77138</v>
      </c>
      <c r="C88" s="195">
        <f>GLOUCESTERSHIRE!E31</f>
        <v>78439</v>
      </c>
      <c r="D88" s="195">
        <f>GLOUCESTERSHIRE!F31</f>
        <v>78415</v>
      </c>
      <c r="E88" s="195">
        <f>GLOUCESTERSHIRE!G31</f>
        <v>78336</v>
      </c>
      <c r="F88" s="195">
        <f>GLOUCESTERSHIRE!H31</f>
        <v>77960</v>
      </c>
      <c r="G88" s="195">
        <f>GLOUCESTERSHIRE!I31</f>
        <v>76863</v>
      </c>
      <c r="H88" s="195">
        <f>GLOUCESTERSHIRE!J31</f>
        <v>76210</v>
      </c>
      <c r="I88" s="195">
        <f>GLOUCESTERSHIRE!K31</f>
        <v>78090</v>
      </c>
      <c r="J88" s="195">
        <f>GLOUCESTERSHIRE!L31</f>
        <v>79617</v>
      </c>
      <c r="K88" s="196">
        <f t="shared" si="3"/>
        <v>3.2137208639062456E-2</v>
      </c>
      <c r="L88" s="196"/>
      <c r="M88" s="195">
        <f t="shared" si="4"/>
        <v>2464</v>
      </c>
      <c r="N88" s="196">
        <f t="shared" si="5"/>
        <v>3.1936541676927666E-2</v>
      </c>
      <c r="O88" s="197">
        <v>90</v>
      </c>
      <c r="P88" s="197">
        <v>71</v>
      </c>
      <c r="Q88" s="197">
        <v>81</v>
      </c>
      <c r="R88" s="197">
        <v>98</v>
      </c>
      <c r="S88" s="197">
        <v>103</v>
      </c>
      <c r="T88" s="197">
        <v>98</v>
      </c>
      <c r="U88" s="197">
        <v>93</v>
      </c>
      <c r="V88" s="197">
        <v>105</v>
      </c>
      <c r="W88" s="197">
        <v>85</v>
      </c>
      <c r="X88" s="197"/>
      <c r="Y88" s="197">
        <v>462</v>
      </c>
      <c r="Z88" s="197"/>
    </row>
    <row r="89" spans="1:26">
      <c r="A89" s="191" t="str">
        <f>BUCKINGHAMSHIRE!A20</f>
        <v>Buckingham CC</v>
      </c>
      <c r="B89" s="195">
        <f>BUCKINGHAMSHIRE!D22</f>
        <v>75076</v>
      </c>
      <c r="C89" s="195">
        <f>BUCKINGHAMSHIRE!E22</f>
        <v>75837</v>
      </c>
      <c r="D89" s="195">
        <f>BUCKINGHAMSHIRE!F22</f>
        <v>76461</v>
      </c>
      <c r="E89" s="195">
        <f>BUCKINGHAMSHIRE!G22</f>
        <v>77641</v>
      </c>
      <c r="F89" s="195">
        <f>BUCKINGHAMSHIRE!H22</f>
        <v>78744</v>
      </c>
      <c r="G89" s="195">
        <f>BUCKINGHAMSHIRE!I22</f>
        <v>77224</v>
      </c>
      <c r="H89" s="195">
        <f>BUCKINGHAMSHIRE!J22</f>
        <v>74882</v>
      </c>
      <c r="I89" s="195">
        <f>BUCKINGHAMSHIRE!K22</f>
        <v>78414</v>
      </c>
      <c r="J89" s="195">
        <f>BUCKINGHAMSHIRE!L22</f>
        <v>79515</v>
      </c>
      <c r="K89" s="196">
        <f t="shared" si="3"/>
        <v>5.9126751558420801E-2</v>
      </c>
      <c r="L89" s="196"/>
      <c r="M89" s="195">
        <f t="shared" si="4"/>
        <v>2362</v>
      </c>
      <c r="N89" s="196">
        <f t="shared" si="5"/>
        <v>3.0614493279587315E-2</v>
      </c>
      <c r="O89" s="197">
        <v>147</v>
      </c>
      <c r="P89" s="197">
        <v>145</v>
      </c>
      <c r="Q89" s="197">
        <v>144</v>
      </c>
      <c r="R89" s="197">
        <v>124</v>
      </c>
      <c r="S89" s="197">
        <v>84</v>
      </c>
      <c r="T89" s="197">
        <v>88</v>
      </c>
      <c r="U89" s="197">
        <v>124</v>
      </c>
      <c r="V89" s="197">
        <v>96</v>
      </c>
      <c r="W89" s="197">
        <v>86</v>
      </c>
      <c r="X89" s="197"/>
      <c r="Y89" s="197">
        <v>79</v>
      </c>
      <c r="Z89" s="197"/>
    </row>
    <row r="90" spans="1:26">
      <c r="A90" s="191" t="str">
        <f>KENT!A58</f>
        <v>Rochester and Strood CC</v>
      </c>
      <c r="B90" s="195">
        <f>KENT!D58</f>
        <v>74269</v>
      </c>
      <c r="C90" s="195">
        <f>KENT!E58</f>
        <v>75001</v>
      </c>
      <c r="D90" s="195">
        <f>KENT!F58</f>
        <v>76334</v>
      </c>
      <c r="E90" s="195">
        <f>KENT!G58</f>
        <v>76707</v>
      </c>
      <c r="F90" s="195">
        <f>KENT!H58</f>
        <v>78852</v>
      </c>
      <c r="G90" s="195">
        <f>KENT!I58</f>
        <v>77119</v>
      </c>
      <c r="H90" s="195">
        <f>KENT!J58</f>
        <v>75317</v>
      </c>
      <c r="I90" s="195">
        <f>KENT!K58</f>
        <v>79084</v>
      </c>
      <c r="J90" s="195">
        <f>KENT!L58</f>
        <v>79484</v>
      </c>
      <c r="K90" s="196">
        <f t="shared" si="3"/>
        <v>7.0217722064387561E-2</v>
      </c>
      <c r="L90" s="196"/>
      <c r="M90" s="195">
        <f t="shared" si="4"/>
        <v>2331</v>
      </c>
      <c r="N90" s="196">
        <f t="shared" si="5"/>
        <v>3.0212694256866228E-2</v>
      </c>
      <c r="O90" s="197">
        <v>168</v>
      </c>
      <c r="P90" s="197">
        <v>167</v>
      </c>
      <c r="Q90" s="197">
        <v>147</v>
      </c>
      <c r="R90" s="197">
        <v>148</v>
      </c>
      <c r="S90" s="197">
        <v>77</v>
      </c>
      <c r="T90" s="197">
        <v>92</v>
      </c>
      <c r="U90" s="197">
        <v>114</v>
      </c>
      <c r="V90" s="197">
        <v>84</v>
      </c>
      <c r="W90" s="197">
        <v>87</v>
      </c>
      <c r="X90" s="197"/>
      <c r="Y90" s="197">
        <v>369</v>
      </c>
      <c r="Z90" s="197"/>
    </row>
    <row r="91" spans="1:26">
      <c r="A91" s="191" t="str">
        <f>'"HUMBERSIDE"'!A25</f>
        <v>East Yorkshire CC</v>
      </c>
      <c r="B91" s="195">
        <f>'"HUMBERSIDE"'!D25</f>
        <v>80513</v>
      </c>
      <c r="C91" s="195">
        <f>'"HUMBERSIDE"'!E25</f>
        <v>80435</v>
      </c>
      <c r="D91" s="195">
        <f>'"HUMBERSIDE"'!F25</f>
        <v>80771</v>
      </c>
      <c r="E91" s="195">
        <f>'"HUMBERSIDE"'!G25</f>
        <v>81234</v>
      </c>
      <c r="F91" s="195">
        <f>'"HUMBERSIDE"'!H25</f>
        <v>80976</v>
      </c>
      <c r="G91" s="195">
        <f>'"HUMBERSIDE"'!I25</f>
        <v>79250</v>
      </c>
      <c r="H91" s="195">
        <f>'"HUMBERSIDE"'!J25</f>
        <v>77061</v>
      </c>
      <c r="I91" s="195">
        <f>'"HUMBERSIDE"'!K25</f>
        <v>78344</v>
      </c>
      <c r="J91" s="195">
        <f>'"HUMBERSIDE"'!L25</f>
        <v>79349</v>
      </c>
      <c r="K91" s="196">
        <f t="shared" si="3"/>
        <v>-1.4457292611131121E-2</v>
      </c>
      <c r="L91" s="196"/>
      <c r="M91" s="195">
        <f t="shared" si="4"/>
        <v>2196</v>
      </c>
      <c r="N91" s="196">
        <f t="shared" si="5"/>
        <v>2.8462924319209881E-2</v>
      </c>
      <c r="O91" s="197">
        <v>30</v>
      </c>
      <c r="P91" s="197">
        <v>39</v>
      </c>
      <c r="Q91" s="197">
        <v>39</v>
      </c>
      <c r="R91" s="197">
        <v>39</v>
      </c>
      <c r="S91" s="197">
        <v>42</v>
      </c>
      <c r="T91" s="197">
        <v>50</v>
      </c>
      <c r="U91" s="197">
        <v>77</v>
      </c>
      <c r="V91" s="197">
        <v>97</v>
      </c>
      <c r="W91" s="197">
        <v>88</v>
      </c>
      <c r="X91" s="197"/>
      <c r="Y91" s="197">
        <v>154</v>
      </c>
      <c r="Z91" s="197"/>
    </row>
    <row r="92" spans="1:26">
      <c r="A92" s="191" t="str">
        <f>'GREATER MANCHESTER'!A49</f>
        <v>Heywood and Middleton CC</v>
      </c>
      <c r="B92" s="195">
        <f>'GREATER MANCHESTER'!D49</f>
        <v>79031</v>
      </c>
      <c r="C92" s="195">
        <f>'GREATER MANCHESTER'!E49</f>
        <v>79636</v>
      </c>
      <c r="D92" s="195">
        <f>'GREATER MANCHESTER'!F49</f>
        <v>79020</v>
      </c>
      <c r="E92" s="195">
        <f>'GREATER MANCHESTER'!G49</f>
        <v>80503</v>
      </c>
      <c r="F92" s="195">
        <f>'GREATER MANCHESTER'!H49</f>
        <v>79885</v>
      </c>
      <c r="G92" s="195">
        <f>'GREATER MANCHESTER'!I49</f>
        <v>80059</v>
      </c>
      <c r="H92" s="195">
        <f>'GREATER MANCHESTER'!J49</f>
        <v>75880</v>
      </c>
      <c r="I92" s="195">
        <f>'GREATER MANCHESTER'!K49</f>
        <v>78625</v>
      </c>
      <c r="J92" s="195">
        <f>'GREATER MANCHESTER'!L49</f>
        <v>79317</v>
      </c>
      <c r="K92" s="196">
        <f t="shared" si="3"/>
        <v>3.6188331161189913E-3</v>
      </c>
      <c r="L92" s="196"/>
      <c r="M92" s="195">
        <f t="shared" si="4"/>
        <v>2164</v>
      </c>
      <c r="N92" s="196">
        <f t="shared" si="5"/>
        <v>2.804816403769134E-2</v>
      </c>
      <c r="O92" s="197">
        <v>45</v>
      </c>
      <c r="P92" s="197">
        <v>46</v>
      </c>
      <c r="Q92" s="197">
        <v>68</v>
      </c>
      <c r="R92" s="197">
        <v>48</v>
      </c>
      <c r="S92" s="197">
        <v>56</v>
      </c>
      <c r="T92" s="197">
        <v>38</v>
      </c>
      <c r="U92" s="197">
        <v>99</v>
      </c>
      <c r="V92" s="197">
        <v>92</v>
      </c>
      <c r="W92" s="197">
        <v>89</v>
      </c>
      <c r="X92" s="197"/>
      <c r="Y92" s="197">
        <v>218</v>
      </c>
      <c r="Z92" s="197"/>
    </row>
    <row r="93" spans="1:26">
      <c r="A93" s="191" t="str">
        <f>SURREY!A23</f>
        <v>Epsom and Ewell BC</v>
      </c>
      <c r="B93" s="195">
        <f>SURREY!D26</f>
        <v>76052</v>
      </c>
      <c r="C93" s="195">
        <f>SURREY!E26</f>
        <v>76916</v>
      </c>
      <c r="D93" s="195">
        <f>SURREY!F26</f>
        <v>77426</v>
      </c>
      <c r="E93" s="195">
        <f>SURREY!G26</f>
        <v>77898</v>
      </c>
      <c r="F93" s="195">
        <f>SURREY!H26</f>
        <v>78503</v>
      </c>
      <c r="G93" s="195">
        <f>SURREY!I26</f>
        <v>77131</v>
      </c>
      <c r="H93" s="195">
        <f>SURREY!J26</f>
        <v>77417</v>
      </c>
      <c r="I93" s="195">
        <f>SURREY!K26</f>
        <v>78984</v>
      </c>
      <c r="J93" s="195">
        <f>SURREY!L26</f>
        <v>79289</v>
      </c>
      <c r="K93" s="196">
        <f t="shared" si="3"/>
        <v>4.2562983222005996E-2</v>
      </c>
      <c r="L93" s="196"/>
      <c r="M93" s="195">
        <f t="shared" si="4"/>
        <v>2136</v>
      </c>
      <c r="N93" s="196">
        <f t="shared" si="5"/>
        <v>2.7685248791362617E-2</v>
      </c>
      <c r="O93" s="197">
        <v>123</v>
      </c>
      <c r="P93" s="197">
        <v>118</v>
      </c>
      <c r="Q93" s="197">
        <v>115</v>
      </c>
      <c r="R93" s="197">
        <v>112</v>
      </c>
      <c r="S93" s="197">
        <v>88</v>
      </c>
      <c r="T93" s="197">
        <v>91</v>
      </c>
      <c r="U93" s="197">
        <v>68</v>
      </c>
      <c r="V93" s="197">
        <v>87</v>
      </c>
      <c r="W93" s="197">
        <v>90</v>
      </c>
      <c r="X93" s="197"/>
      <c r="Y93" s="197">
        <v>165</v>
      </c>
      <c r="Z93" s="197"/>
    </row>
    <row r="94" spans="1:26">
      <c r="A94" s="191" t="str">
        <f>'WEST YORKSHIRE'!A25</f>
        <v>Dewsbury CC</v>
      </c>
      <c r="B94" s="195">
        <f>'WEST YORKSHIRE'!D25</f>
        <v>78610</v>
      </c>
      <c r="C94" s="195">
        <f>'WEST YORKSHIRE'!E25</f>
        <v>79634</v>
      </c>
      <c r="D94" s="195">
        <f>'WEST YORKSHIRE'!F25</f>
        <v>80344</v>
      </c>
      <c r="E94" s="195">
        <f>'WEST YORKSHIRE'!G25</f>
        <v>80999</v>
      </c>
      <c r="F94" s="195">
        <f>'WEST YORKSHIRE'!H25</f>
        <v>80820</v>
      </c>
      <c r="G94" s="195">
        <f>'WEST YORKSHIRE'!I25</f>
        <v>77525</v>
      </c>
      <c r="H94" s="195">
        <f>'WEST YORKSHIRE'!J25</f>
        <v>77065</v>
      </c>
      <c r="I94" s="195">
        <f>'WEST YORKSHIRE'!K25</f>
        <v>80018</v>
      </c>
      <c r="J94" s="195">
        <f>'WEST YORKSHIRE'!L25</f>
        <v>79219</v>
      </c>
      <c r="K94" s="196">
        <f t="shared" si="3"/>
        <v>7.7471059661620659E-3</v>
      </c>
      <c r="L94" s="196"/>
      <c r="M94" s="195">
        <f t="shared" si="4"/>
        <v>2066</v>
      </c>
      <c r="N94" s="196">
        <f t="shared" si="5"/>
        <v>2.6777960675540807E-2</v>
      </c>
      <c r="O94" s="197">
        <v>52</v>
      </c>
      <c r="P94" s="197">
        <v>47</v>
      </c>
      <c r="Q94" s="197">
        <v>43</v>
      </c>
      <c r="R94" s="197">
        <v>43</v>
      </c>
      <c r="S94" s="197">
        <v>43</v>
      </c>
      <c r="T94" s="197">
        <v>82</v>
      </c>
      <c r="U94" s="197">
        <v>76</v>
      </c>
      <c r="V94" s="197">
        <v>66</v>
      </c>
      <c r="W94" s="197">
        <v>91</v>
      </c>
      <c r="X94" s="197"/>
      <c r="Y94" s="197">
        <v>137</v>
      </c>
      <c r="Z94" s="197"/>
    </row>
    <row r="95" spans="1:26">
      <c r="A95" s="191" t="str">
        <f>BEDFORDSHIRE!A29</f>
        <v>South West Bedfordshire CC</v>
      </c>
      <c r="B95" s="195">
        <f>BEDFORDSHIRE!D29</f>
        <v>76111</v>
      </c>
      <c r="C95" s="195">
        <f>BEDFORDSHIRE!E29</f>
        <v>76178</v>
      </c>
      <c r="D95" s="195">
        <f>BEDFORDSHIRE!F29</f>
        <v>77620</v>
      </c>
      <c r="E95" s="195">
        <f>BEDFORDSHIRE!G29</f>
        <v>78690</v>
      </c>
      <c r="F95" s="195">
        <f>BEDFORDSHIRE!H29</f>
        <v>79517</v>
      </c>
      <c r="G95" s="195">
        <f>BEDFORDSHIRE!I29</f>
        <v>78342</v>
      </c>
      <c r="H95" s="195">
        <f>BEDFORDSHIRE!J29</f>
        <v>76959</v>
      </c>
      <c r="I95" s="195">
        <f>BEDFORDSHIRE!K29</f>
        <v>78185</v>
      </c>
      <c r="J95" s="195">
        <f>BEDFORDSHIRE!L29</f>
        <v>79137</v>
      </c>
      <c r="K95" s="196">
        <f t="shared" si="3"/>
        <v>3.9757722274047114E-2</v>
      </c>
      <c r="L95" s="196"/>
      <c r="M95" s="195">
        <f t="shared" si="4"/>
        <v>1984</v>
      </c>
      <c r="N95" s="196">
        <f t="shared" si="5"/>
        <v>2.5715137454149547E-2</v>
      </c>
      <c r="O95" s="197">
        <v>122</v>
      </c>
      <c r="P95" s="197">
        <v>135</v>
      </c>
      <c r="Q95" s="197">
        <v>105</v>
      </c>
      <c r="R95" s="197">
        <v>85</v>
      </c>
      <c r="S95" s="197">
        <v>68</v>
      </c>
      <c r="T95" s="197">
        <v>65</v>
      </c>
      <c r="U95" s="197">
        <v>79</v>
      </c>
      <c r="V95" s="197">
        <v>103</v>
      </c>
      <c r="W95" s="197">
        <v>92</v>
      </c>
      <c r="X95" s="197"/>
      <c r="Y95" s="197">
        <v>420</v>
      </c>
      <c r="Z95" s="197"/>
    </row>
    <row r="96" spans="1:26">
      <c r="A96" s="191" t="str">
        <f>DEVON!A53</f>
        <v>Torridge and West Devon CC</v>
      </c>
      <c r="B96" s="195">
        <f>DEVON!D55</f>
        <v>76574</v>
      </c>
      <c r="C96" s="195">
        <f>DEVON!E55</f>
        <v>77417</v>
      </c>
      <c r="D96" s="195">
        <f>DEVON!F55</f>
        <v>78043</v>
      </c>
      <c r="E96" s="195">
        <f>DEVON!G55</f>
        <v>78842</v>
      </c>
      <c r="F96" s="195">
        <f>DEVON!H55</f>
        <v>78279</v>
      </c>
      <c r="G96" s="195">
        <f>DEVON!I55</f>
        <v>77456</v>
      </c>
      <c r="H96" s="195">
        <f>DEVON!J55</f>
        <v>77004</v>
      </c>
      <c r="I96" s="195">
        <f>DEVON!K55</f>
        <v>78810</v>
      </c>
      <c r="J96" s="195">
        <f>DEVON!L55</f>
        <v>79112</v>
      </c>
      <c r="K96" s="196">
        <f t="shared" si="3"/>
        <v>3.3144409329537439E-2</v>
      </c>
      <c r="L96" s="196"/>
      <c r="M96" s="195">
        <f t="shared" si="4"/>
        <v>1959</v>
      </c>
      <c r="N96" s="196">
        <f t="shared" si="5"/>
        <v>2.5391105984213187E-2</v>
      </c>
      <c r="O96" s="197">
        <v>112</v>
      </c>
      <c r="P96" s="197">
        <v>96</v>
      </c>
      <c r="Q96" s="197">
        <v>89</v>
      </c>
      <c r="R96" s="197">
        <v>82</v>
      </c>
      <c r="S96" s="197">
        <v>94</v>
      </c>
      <c r="T96" s="197">
        <v>84</v>
      </c>
      <c r="U96" s="197">
        <v>78</v>
      </c>
      <c r="V96" s="197">
        <v>90</v>
      </c>
      <c r="W96" s="197">
        <v>93</v>
      </c>
      <c r="X96" s="197"/>
      <c r="Y96" s="197">
        <v>471</v>
      </c>
      <c r="Z96" s="197"/>
    </row>
    <row r="97" spans="1:26">
      <c r="A97" s="191" t="str">
        <f>KENT!A32</f>
        <v>Dartford CC</v>
      </c>
      <c r="B97" s="195">
        <f>KENT!D34</f>
        <v>75085</v>
      </c>
      <c r="C97" s="195">
        <f>KENT!E34</f>
        <v>74756</v>
      </c>
      <c r="D97" s="195">
        <f>KENT!F34</f>
        <v>75366</v>
      </c>
      <c r="E97" s="195">
        <f>KENT!G34</f>
        <v>75686</v>
      </c>
      <c r="F97" s="195">
        <f>KENT!H34</f>
        <v>76164</v>
      </c>
      <c r="G97" s="195">
        <f>KENT!I34</f>
        <v>75265</v>
      </c>
      <c r="H97" s="195">
        <f>KENT!J34</f>
        <v>76911</v>
      </c>
      <c r="I97" s="195">
        <f>KENT!K34</f>
        <v>78086</v>
      </c>
      <c r="J97" s="195">
        <f>KENT!L34</f>
        <v>79107</v>
      </c>
      <c r="K97" s="196">
        <f t="shared" si="3"/>
        <v>5.3565958580275685E-2</v>
      </c>
      <c r="L97" s="196"/>
      <c r="M97" s="195">
        <f t="shared" si="4"/>
        <v>1954</v>
      </c>
      <c r="N97" s="196">
        <f t="shared" si="5"/>
        <v>2.5326299690225915E-2</v>
      </c>
      <c r="O97" s="197">
        <v>145</v>
      </c>
      <c r="P97" s="197">
        <v>173</v>
      </c>
      <c r="Q97" s="197">
        <v>170</v>
      </c>
      <c r="R97" s="197">
        <v>169</v>
      </c>
      <c r="S97" s="197">
        <v>145</v>
      </c>
      <c r="T97" s="197">
        <v>137</v>
      </c>
      <c r="U97" s="197">
        <v>81</v>
      </c>
      <c r="V97" s="197">
        <v>106</v>
      </c>
      <c r="W97" s="197">
        <v>94</v>
      </c>
      <c r="X97" s="197"/>
      <c r="Y97" s="197">
        <v>130</v>
      </c>
      <c r="Z97" s="197"/>
    </row>
    <row r="98" spans="1:26">
      <c r="A98" s="191" t="str">
        <f>'WEST SUSSEX'!A15</f>
        <v>Arundel and South Downs CC</v>
      </c>
      <c r="B98" s="195">
        <f>'WEST SUSSEX'!D19</f>
        <v>76018</v>
      </c>
      <c r="C98" s="195">
        <f>'WEST SUSSEX'!E19</f>
        <v>76697</v>
      </c>
      <c r="D98" s="195">
        <f>'WEST SUSSEX'!F19</f>
        <v>76767</v>
      </c>
      <c r="E98" s="195">
        <f>'WEST SUSSEX'!G19</f>
        <v>76775</v>
      </c>
      <c r="F98" s="195">
        <f>'WEST SUSSEX'!H19</f>
        <v>75497</v>
      </c>
      <c r="G98" s="195">
        <f>'WEST SUSSEX'!I19</f>
        <v>75923</v>
      </c>
      <c r="H98" s="195">
        <f>'WEST SUSSEX'!J19</f>
        <v>75321</v>
      </c>
      <c r="I98" s="195">
        <f>'WEST SUSSEX'!K19</f>
        <v>78196</v>
      </c>
      <c r="J98" s="195">
        <f>'WEST SUSSEX'!L19</f>
        <v>79080</v>
      </c>
      <c r="K98" s="196">
        <f t="shared" si="3"/>
        <v>4.027993369991318E-2</v>
      </c>
      <c r="L98" s="196"/>
      <c r="M98" s="195">
        <f t="shared" si="4"/>
        <v>1927</v>
      </c>
      <c r="N98" s="196">
        <f t="shared" si="5"/>
        <v>2.4976345702694646E-2</v>
      </c>
      <c r="O98" s="197">
        <v>125</v>
      </c>
      <c r="P98" s="197">
        <v>124</v>
      </c>
      <c r="Q98" s="197">
        <v>134</v>
      </c>
      <c r="R98" s="197">
        <v>144</v>
      </c>
      <c r="S98" s="197">
        <v>160</v>
      </c>
      <c r="T98" s="197">
        <v>124</v>
      </c>
      <c r="U98" s="197">
        <v>113</v>
      </c>
      <c r="V98" s="197">
        <v>100</v>
      </c>
      <c r="W98" s="197">
        <v>95</v>
      </c>
      <c r="X98" s="197"/>
      <c r="Y98" s="197">
        <v>5</v>
      </c>
      <c r="Z98" s="197"/>
    </row>
    <row r="99" spans="1:26">
      <c r="A99" s="191" t="str">
        <f>SURREY!A28</f>
        <v>Esher and Walton BC</v>
      </c>
      <c r="B99" s="195">
        <f>SURREY!D28</f>
        <v>75716</v>
      </c>
      <c r="C99" s="195">
        <f>SURREY!E28</f>
        <v>76962</v>
      </c>
      <c r="D99" s="195">
        <f>SURREY!F28</f>
        <v>77537</v>
      </c>
      <c r="E99" s="195">
        <f>SURREY!G28</f>
        <v>77681</v>
      </c>
      <c r="F99" s="195">
        <f>SURREY!H28</f>
        <v>78131</v>
      </c>
      <c r="G99" s="195">
        <f>SURREY!I28</f>
        <v>78216</v>
      </c>
      <c r="H99" s="195">
        <f>SURREY!J28</f>
        <v>78545</v>
      </c>
      <c r="I99" s="195">
        <f>SURREY!K28</f>
        <v>78303</v>
      </c>
      <c r="J99" s="195">
        <f>SURREY!L28</f>
        <v>79010</v>
      </c>
      <c r="K99" s="196">
        <f t="shared" si="3"/>
        <v>4.3504675365840774E-2</v>
      </c>
      <c r="L99" s="196"/>
      <c r="M99" s="195">
        <f t="shared" si="4"/>
        <v>1857</v>
      </c>
      <c r="N99" s="196">
        <f t="shared" si="5"/>
        <v>2.4069057586872836E-2</v>
      </c>
      <c r="O99" s="197">
        <v>135</v>
      </c>
      <c r="P99" s="197">
        <v>115</v>
      </c>
      <c r="Q99" s="197">
        <v>108</v>
      </c>
      <c r="R99" s="197">
        <v>122</v>
      </c>
      <c r="S99" s="197">
        <v>99</v>
      </c>
      <c r="T99" s="197">
        <v>67</v>
      </c>
      <c r="U99" s="197">
        <v>43</v>
      </c>
      <c r="V99" s="197">
        <v>98</v>
      </c>
      <c r="W99" s="197">
        <v>96</v>
      </c>
      <c r="X99" s="197"/>
      <c r="Y99" s="197">
        <v>168</v>
      </c>
      <c r="Z99" s="197"/>
    </row>
    <row r="100" spans="1:26">
      <c r="A100" s="191" t="str">
        <f>BRENT!A8</f>
        <v>Brent Central BC</v>
      </c>
      <c r="B100" s="195">
        <f>BRENT!D8</f>
        <v>72671</v>
      </c>
      <c r="C100" s="195">
        <f>BRENT!E8</f>
        <v>73385</v>
      </c>
      <c r="D100" s="195">
        <f>BRENT!F8</f>
        <v>74779</v>
      </c>
      <c r="E100" s="195">
        <f>BRENT!G8</f>
        <v>76586</v>
      </c>
      <c r="F100" s="195">
        <f>BRENT!H8</f>
        <v>75645</v>
      </c>
      <c r="G100" s="195">
        <f>BRENT!I8</f>
        <v>74187</v>
      </c>
      <c r="H100" s="195">
        <f>BRENT!J8</f>
        <v>74899</v>
      </c>
      <c r="I100" s="195">
        <f>BRENT!K8</f>
        <v>77078</v>
      </c>
      <c r="J100" s="195">
        <f>BRENT!L8</f>
        <v>78959</v>
      </c>
      <c r="K100" s="196">
        <f t="shared" si="3"/>
        <v>8.6526950227738708E-2</v>
      </c>
      <c r="L100" s="196"/>
      <c r="M100" s="195">
        <f t="shared" si="4"/>
        <v>1806</v>
      </c>
      <c r="N100" s="196">
        <f t="shared" si="5"/>
        <v>2.3408033388202663E-2</v>
      </c>
      <c r="O100" s="197">
        <v>214</v>
      </c>
      <c r="P100" s="197">
        <v>214</v>
      </c>
      <c r="Q100" s="197">
        <v>183</v>
      </c>
      <c r="R100" s="197">
        <v>149</v>
      </c>
      <c r="S100" s="197">
        <v>156</v>
      </c>
      <c r="T100" s="197">
        <v>156</v>
      </c>
      <c r="U100" s="197">
        <v>122</v>
      </c>
      <c r="V100" s="197">
        <v>127</v>
      </c>
      <c r="W100" s="197">
        <v>97</v>
      </c>
      <c r="X100" s="197"/>
      <c r="Y100" s="197">
        <v>62</v>
      </c>
      <c r="Z100" s="197"/>
    </row>
    <row r="101" spans="1:26">
      <c r="A101" s="191" t="str">
        <f>LEICESTER!A7</f>
        <v>Leicester East BC</v>
      </c>
      <c r="B101" s="195">
        <f>LEICESTER!D7</f>
        <v>73320</v>
      </c>
      <c r="C101" s="195">
        <f>LEICESTER!E7</f>
        <v>74377</v>
      </c>
      <c r="D101" s="195">
        <f>LEICESTER!F7</f>
        <v>76009</v>
      </c>
      <c r="E101" s="195">
        <f>LEICESTER!G7</f>
        <v>76741</v>
      </c>
      <c r="F101" s="195">
        <f>LEICESTER!H7</f>
        <v>76347</v>
      </c>
      <c r="G101" s="195">
        <f>LEICESTER!I7</f>
        <v>74819</v>
      </c>
      <c r="H101" s="195">
        <f>LEICESTER!J7</f>
        <v>75755</v>
      </c>
      <c r="I101" s="195">
        <f>LEICESTER!K7</f>
        <v>78283</v>
      </c>
      <c r="J101" s="195">
        <f>LEICESTER!L7</f>
        <v>78895</v>
      </c>
      <c r="K101" s="196">
        <f t="shared" si="3"/>
        <v>7.6036552100381891E-2</v>
      </c>
      <c r="L101" s="196"/>
      <c r="M101" s="195">
        <f t="shared" si="4"/>
        <v>1742</v>
      </c>
      <c r="N101" s="196">
        <f t="shared" si="5"/>
        <v>2.257851282516558E-2</v>
      </c>
      <c r="O101" s="197">
        <v>186</v>
      </c>
      <c r="P101" s="197">
        <v>178</v>
      </c>
      <c r="Q101" s="197">
        <v>155</v>
      </c>
      <c r="R101" s="197">
        <v>146</v>
      </c>
      <c r="S101" s="197">
        <v>141</v>
      </c>
      <c r="T101" s="197">
        <v>148</v>
      </c>
      <c r="U101" s="197">
        <v>104</v>
      </c>
      <c r="V101" s="197">
        <v>101</v>
      </c>
      <c r="W101" s="197">
        <v>98</v>
      </c>
      <c r="X101" s="197"/>
      <c r="Y101" s="197">
        <v>253</v>
      </c>
      <c r="Z101" s="197"/>
    </row>
    <row r="102" spans="1:26">
      <c r="A102" s="191" t="str">
        <f>HARINGEY!A7</f>
        <v>Hornsey and Wood Green BC</v>
      </c>
      <c r="B102" s="195">
        <f>HARINGEY!D7</f>
        <v>78505</v>
      </c>
      <c r="C102" s="195">
        <f>HARINGEY!E7</f>
        <v>79878</v>
      </c>
      <c r="D102" s="195">
        <f>HARINGEY!F7</f>
        <v>80028</v>
      </c>
      <c r="E102" s="195">
        <f>HARINGEY!G7</f>
        <v>79729</v>
      </c>
      <c r="F102" s="195">
        <f>HARINGEY!H7</f>
        <v>79596</v>
      </c>
      <c r="G102" s="195">
        <f>HARINGEY!I7</f>
        <v>73292</v>
      </c>
      <c r="H102" s="195">
        <f>HARINGEY!J7</f>
        <v>74641</v>
      </c>
      <c r="I102" s="195">
        <f>HARINGEY!K7</f>
        <v>77736</v>
      </c>
      <c r="J102" s="195">
        <f>HARINGEY!L7</f>
        <v>78887</v>
      </c>
      <c r="K102" s="196">
        <f t="shared" si="3"/>
        <v>4.8659321062352713E-3</v>
      </c>
      <c r="L102" s="196"/>
      <c r="M102" s="195">
        <f t="shared" si="4"/>
        <v>1734</v>
      </c>
      <c r="N102" s="196">
        <f t="shared" si="5"/>
        <v>2.2474822754785944E-2</v>
      </c>
      <c r="O102" s="197">
        <v>55</v>
      </c>
      <c r="P102" s="197">
        <v>42</v>
      </c>
      <c r="Q102" s="197">
        <v>49</v>
      </c>
      <c r="R102" s="197">
        <v>58</v>
      </c>
      <c r="S102" s="197">
        <v>65</v>
      </c>
      <c r="T102" s="197">
        <v>179</v>
      </c>
      <c r="U102" s="197">
        <v>128</v>
      </c>
      <c r="V102" s="197">
        <v>113</v>
      </c>
      <c r="W102" s="197">
        <v>99</v>
      </c>
      <c r="X102" s="197"/>
      <c r="Y102" s="197">
        <v>223</v>
      </c>
      <c r="Z102" s="197"/>
    </row>
    <row r="103" spans="1:26">
      <c r="A103" s="191" t="str">
        <f>'"HUMBERSIDE"'!A15</f>
        <v>Beverley and Holderness CC</v>
      </c>
      <c r="B103" s="195">
        <f>'"HUMBERSIDE"'!D15</f>
        <v>79788</v>
      </c>
      <c r="C103" s="195">
        <f>'"HUMBERSIDE"'!E15</f>
        <v>79775</v>
      </c>
      <c r="D103" s="195">
        <f>'"HUMBERSIDE"'!F15</f>
        <v>80082</v>
      </c>
      <c r="E103" s="195">
        <f>'"HUMBERSIDE"'!G15</f>
        <v>80263</v>
      </c>
      <c r="F103" s="195">
        <f>'"HUMBERSIDE"'!H15</f>
        <v>80289</v>
      </c>
      <c r="G103" s="195">
        <f>'"HUMBERSIDE"'!I15</f>
        <v>79095</v>
      </c>
      <c r="H103" s="195">
        <f>'"HUMBERSIDE"'!J15</f>
        <v>76641</v>
      </c>
      <c r="I103" s="195">
        <f>'"HUMBERSIDE"'!K15</f>
        <v>78290</v>
      </c>
      <c r="J103" s="195">
        <f>'"HUMBERSIDE"'!L15</f>
        <v>78817</v>
      </c>
      <c r="K103" s="196">
        <f t="shared" si="3"/>
        <v>-1.2169749837068231E-2</v>
      </c>
      <c r="L103" s="196"/>
      <c r="M103" s="195">
        <f t="shared" si="4"/>
        <v>1664</v>
      </c>
      <c r="N103" s="196">
        <f t="shared" si="5"/>
        <v>2.1567534638964138E-2</v>
      </c>
      <c r="O103" s="197">
        <v>38</v>
      </c>
      <c r="P103" s="197">
        <v>44</v>
      </c>
      <c r="Q103" s="197">
        <v>47</v>
      </c>
      <c r="R103" s="197">
        <v>51</v>
      </c>
      <c r="S103" s="197">
        <v>53</v>
      </c>
      <c r="T103" s="197">
        <v>53</v>
      </c>
      <c r="U103" s="197">
        <v>86</v>
      </c>
      <c r="V103" s="197">
        <v>99</v>
      </c>
      <c r="W103" s="197">
        <v>100</v>
      </c>
      <c r="X103" s="197"/>
      <c r="Y103" s="197">
        <v>27</v>
      </c>
      <c r="Z103" s="197"/>
    </row>
    <row r="104" spans="1:26">
      <c r="A104" s="191" t="str">
        <f>BERKSHIRE!A44</f>
        <v>Wokingham CC</v>
      </c>
      <c r="B104" s="195">
        <f>BERKSHIRE!D46</f>
        <v>76378</v>
      </c>
      <c r="C104" s="195">
        <f>BERKSHIRE!E46</f>
        <v>75886</v>
      </c>
      <c r="D104" s="195">
        <f>BERKSHIRE!F46</f>
        <v>76369</v>
      </c>
      <c r="E104" s="195">
        <f>BERKSHIRE!G46</f>
        <v>77271</v>
      </c>
      <c r="F104" s="195">
        <f>BERKSHIRE!H46</f>
        <v>77637</v>
      </c>
      <c r="G104" s="195">
        <f>BERKSHIRE!I46</f>
        <v>76129</v>
      </c>
      <c r="H104" s="195">
        <f>BERKSHIRE!J46</f>
        <v>76905</v>
      </c>
      <c r="I104" s="195">
        <f>BERKSHIRE!K46</f>
        <v>79545</v>
      </c>
      <c r="J104" s="195">
        <f>BERKSHIRE!L46</f>
        <v>78846</v>
      </c>
      <c r="K104" s="196">
        <f t="shared" si="3"/>
        <v>3.2312969703317707E-2</v>
      </c>
      <c r="L104" s="196"/>
      <c r="M104" s="195">
        <f t="shared" si="4"/>
        <v>1693</v>
      </c>
      <c r="N104" s="196">
        <f t="shared" si="5"/>
        <v>2.1943411144090316E-2</v>
      </c>
      <c r="O104" s="197">
        <v>117</v>
      </c>
      <c r="P104" s="197">
        <v>143</v>
      </c>
      <c r="Q104" s="197">
        <v>145</v>
      </c>
      <c r="R104" s="197">
        <v>133</v>
      </c>
      <c r="S104" s="197">
        <v>110</v>
      </c>
      <c r="T104" s="197">
        <v>118</v>
      </c>
      <c r="U104" s="197">
        <v>82</v>
      </c>
      <c r="V104" s="197">
        <v>77</v>
      </c>
      <c r="W104" s="197">
        <v>101</v>
      </c>
      <c r="X104" s="197"/>
      <c r="Y104" s="197">
        <v>519</v>
      </c>
      <c r="Z104" s="197"/>
    </row>
    <row r="105" spans="1:26">
      <c r="A105" s="191" t="str">
        <f>CROYDON!A7</f>
        <v>Croydon Central BC</v>
      </c>
      <c r="B105" s="195">
        <f>CROYDON!D7</f>
        <v>75646</v>
      </c>
      <c r="C105" s="195">
        <f>CROYDON!E7</f>
        <v>76980</v>
      </c>
      <c r="D105" s="195">
        <f>CROYDON!F7</f>
        <v>77801</v>
      </c>
      <c r="E105" s="195">
        <f>CROYDON!G7</f>
        <v>78232</v>
      </c>
      <c r="F105" s="195">
        <f>CROYDON!H7</f>
        <v>77651</v>
      </c>
      <c r="G105" s="195">
        <f>CROYDON!I7</f>
        <v>76249</v>
      </c>
      <c r="H105" s="195">
        <f>CROYDON!J7</f>
        <v>74571</v>
      </c>
      <c r="I105" s="195">
        <f>CROYDON!K7</f>
        <v>79802</v>
      </c>
      <c r="J105" s="195">
        <f>CROYDON!L7</f>
        <v>78797</v>
      </c>
      <c r="K105" s="196">
        <f t="shared" si="3"/>
        <v>4.1654548819501362E-2</v>
      </c>
      <c r="L105" s="196"/>
      <c r="M105" s="195">
        <f t="shared" si="4"/>
        <v>1644</v>
      </c>
      <c r="N105" s="196">
        <f t="shared" si="5"/>
        <v>2.1308309463015047E-2</v>
      </c>
      <c r="O105" s="197">
        <v>137</v>
      </c>
      <c r="P105" s="197">
        <v>113</v>
      </c>
      <c r="Q105" s="197">
        <v>101</v>
      </c>
      <c r="R105" s="197">
        <v>102</v>
      </c>
      <c r="S105" s="197">
        <v>108</v>
      </c>
      <c r="T105" s="197">
        <v>113</v>
      </c>
      <c r="U105" s="197">
        <v>133</v>
      </c>
      <c r="V105" s="197">
        <v>73</v>
      </c>
      <c r="W105" s="197">
        <v>102</v>
      </c>
      <c r="X105" s="197"/>
      <c r="Y105" s="197">
        <v>125</v>
      </c>
      <c r="Z105" s="197"/>
    </row>
    <row r="106" spans="1:26">
      <c r="A106" s="191" t="str">
        <f>BERKSHIRE!A19</f>
        <v>Bracknell CC</v>
      </c>
      <c r="B106" s="195">
        <f>BERKSHIRE!D21</f>
        <v>76947</v>
      </c>
      <c r="C106" s="195">
        <f>BERKSHIRE!E21</f>
        <v>77490</v>
      </c>
      <c r="D106" s="195">
        <f>BERKSHIRE!F21</f>
        <v>77445</v>
      </c>
      <c r="E106" s="195">
        <f>BERKSHIRE!G21</f>
        <v>77978</v>
      </c>
      <c r="F106" s="195">
        <f>BERKSHIRE!H21</f>
        <v>78585</v>
      </c>
      <c r="G106" s="195">
        <f>BERKSHIRE!I21</f>
        <v>76287</v>
      </c>
      <c r="H106" s="195">
        <f>BERKSHIRE!J21</f>
        <v>76917</v>
      </c>
      <c r="I106" s="195">
        <f>BERKSHIRE!K21</f>
        <v>78497</v>
      </c>
      <c r="J106" s="195">
        <f>BERKSHIRE!L21</f>
        <v>78709</v>
      </c>
      <c r="K106" s="196">
        <f t="shared" si="3"/>
        <v>2.2898878448802423E-2</v>
      </c>
      <c r="L106" s="196"/>
      <c r="M106" s="195">
        <f t="shared" si="4"/>
        <v>1556</v>
      </c>
      <c r="N106" s="196">
        <f t="shared" si="5"/>
        <v>2.016771868883906E-2</v>
      </c>
      <c r="O106" s="197">
        <v>96</v>
      </c>
      <c r="P106" s="197">
        <v>93</v>
      </c>
      <c r="Q106" s="197">
        <v>113</v>
      </c>
      <c r="R106" s="197">
        <v>108</v>
      </c>
      <c r="S106" s="197">
        <v>87</v>
      </c>
      <c r="T106" s="197">
        <v>112</v>
      </c>
      <c r="U106" s="197">
        <v>80</v>
      </c>
      <c r="V106" s="197">
        <v>94</v>
      </c>
      <c r="W106" s="197">
        <v>103</v>
      </c>
      <c r="X106" s="197"/>
      <c r="Y106" s="197">
        <v>57</v>
      </c>
      <c r="Z106" s="197"/>
    </row>
    <row r="107" spans="1:26">
      <c r="A107" s="191" t="str">
        <f>DERBYSHIRE!A49</f>
        <v>South Derbyshire CC</v>
      </c>
      <c r="B107" s="195">
        <f>DERBYSHIRE!D49</f>
        <v>70443</v>
      </c>
      <c r="C107" s="195">
        <f>DERBYSHIRE!E49</f>
        <v>71326</v>
      </c>
      <c r="D107" s="195">
        <f>DERBYSHIRE!F49</f>
        <v>72354</v>
      </c>
      <c r="E107" s="195">
        <f>DERBYSHIRE!G49</f>
        <v>73346</v>
      </c>
      <c r="F107" s="195">
        <f>DERBYSHIRE!H49</f>
        <v>74205</v>
      </c>
      <c r="G107" s="195">
        <f>DERBYSHIRE!I49</f>
        <v>72972</v>
      </c>
      <c r="H107" s="195">
        <f>DERBYSHIRE!J49</f>
        <v>71577</v>
      </c>
      <c r="I107" s="195">
        <f>DERBYSHIRE!K49</f>
        <v>75362</v>
      </c>
      <c r="J107" s="195">
        <f>DERBYSHIRE!L49</f>
        <v>78689</v>
      </c>
      <c r="K107" s="196">
        <f t="shared" si="3"/>
        <v>0.117059182601536</v>
      </c>
      <c r="L107" s="196"/>
      <c r="M107" s="195">
        <f t="shared" si="4"/>
        <v>1536</v>
      </c>
      <c r="N107" s="196">
        <f t="shared" si="5"/>
        <v>1.9908493512889973E-2</v>
      </c>
      <c r="O107" s="199">
        <v>311</v>
      </c>
      <c r="P107" s="197">
        <v>302</v>
      </c>
      <c r="Q107" s="197">
        <v>279</v>
      </c>
      <c r="R107" s="197">
        <v>243</v>
      </c>
      <c r="S107" s="197">
        <v>201</v>
      </c>
      <c r="T107" s="197">
        <v>187</v>
      </c>
      <c r="U107" s="197">
        <v>214</v>
      </c>
      <c r="V107" s="197">
        <v>153</v>
      </c>
      <c r="W107" s="197">
        <v>104</v>
      </c>
      <c r="X107" s="197"/>
      <c r="Y107" s="197">
        <v>406</v>
      </c>
      <c r="Z107" s="197"/>
    </row>
    <row r="108" spans="1:26">
      <c r="A108" s="191" t="str">
        <f>LEICESTERSHIRE!A39</f>
        <v>South Leicestershire CC</v>
      </c>
      <c r="B108" s="195">
        <f>LEICESTERSHIRE!D41</f>
        <v>77031</v>
      </c>
      <c r="C108" s="195">
        <f>LEICESTERSHIRE!E41</f>
        <v>77412</v>
      </c>
      <c r="D108" s="195">
        <f>LEICESTERSHIRE!F41</f>
        <v>77664</v>
      </c>
      <c r="E108" s="195">
        <f>LEICESTERSHIRE!G41</f>
        <v>78441</v>
      </c>
      <c r="F108" s="195">
        <f>LEICESTERSHIRE!H41</f>
        <v>78173</v>
      </c>
      <c r="G108" s="195">
        <f>LEICESTERSHIRE!I41</f>
        <v>76599</v>
      </c>
      <c r="H108" s="195">
        <f>LEICESTERSHIRE!J41</f>
        <v>75793</v>
      </c>
      <c r="I108" s="195">
        <f>LEICESTERSHIRE!K41</f>
        <v>77681</v>
      </c>
      <c r="J108" s="195">
        <f>LEICESTERSHIRE!L41</f>
        <v>78654</v>
      </c>
      <c r="K108" s="196">
        <f t="shared" si="3"/>
        <v>2.1069439576274485E-2</v>
      </c>
      <c r="L108" s="196"/>
      <c r="M108" s="195">
        <f t="shared" si="4"/>
        <v>1501</v>
      </c>
      <c r="N108" s="196">
        <f t="shared" si="5"/>
        <v>1.9454849454979068E-2</v>
      </c>
      <c r="O108" s="197">
        <v>93</v>
      </c>
      <c r="P108" s="197">
        <v>97</v>
      </c>
      <c r="Q108" s="197">
        <v>103</v>
      </c>
      <c r="R108" s="197">
        <v>93</v>
      </c>
      <c r="S108" s="197">
        <v>95</v>
      </c>
      <c r="T108" s="197">
        <v>102</v>
      </c>
      <c r="U108" s="197">
        <v>100</v>
      </c>
      <c r="V108" s="197">
        <v>109</v>
      </c>
      <c r="W108" s="197">
        <v>105</v>
      </c>
      <c r="X108" s="197"/>
      <c r="Y108" s="197">
        <v>411</v>
      </c>
      <c r="Z108" s="197"/>
    </row>
    <row r="109" spans="1:26">
      <c r="A109" s="191" t="str">
        <f>'SHROPSHIRE &amp; TELFORD &amp; WREKIN '!A15</f>
        <v>Shrewsbury and Atcham CC</v>
      </c>
      <c r="B109" s="195">
        <f>'SHROPSHIRE &amp; TELFORD &amp; WREKIN '!D15</f>
        <v>75076</v>
      </c>
      <c r="C109" s="195">
        <f>'SHROPSHIRE &amp; TELFORD &amp; WREKIN '!E15</f>
        <v>73978</v>
      </c>
      <c r="D109" s="195">
        <f>'SHROPSHIRE &amp; TELFORD &amp; WREKIN '!F15</f>
        <v>74750</v>
      </c>
      <c r="E109" s="195">
        <f>'SHROPSHIRE &amp; TELFORD &amp; WREKIN '!G15</f>
        <v>77266</v>
      </c>
      <c r="F109" s="195">
        <f>'SHROPSHIRE &amp; TELFORD &amp; WREKIN '!H15</f>
        <v>73169</v>
      </c>
      <c r="G109" s="195">
        <f>'SHROPSHIRE &amp; TELFORD &amp; WREKIN '!I15</f>
        <v>74881</v>
      </c>
      <c r="H109" s="195">
        <f>'SHROPSHIRE &amp; TELFORD &amp; WREKIN '!J15</f>
        <v>75528</v>
      </c>
      <c r="I109" s="195">
        <f>'SHROPSHIRE &amp; TELFORD &amp; WREKIN '!K15</f>
        <v>78641</v>
      </c>
      <c r="J109" s="195">
        <f>'SHROPSHIRE &amp; TELFORD &amp; WREKIN '!L15</f>
        <v>78625</v>
      </c>
      <c r="K109" s="196">
        <f t="shared" si="3"/>
        <v>4.7272097607757475E-2</v>
      </c>
      <c r="L109" s="196"/>
      <c r="M109" s="195">
        <f t="shared" si="4"/>
        <v>1472</v>
      </c>
      <c r="N109" s="196">
        <f t="shared" si="5"/>
        <v>1.907897294985289E-2</v>
      </c>
      <c r="O109" s="197">
        <v>148</v>
      </c>
      <c r="P109" s="197">
        <v>188</v>
      </c>
      <c r="Q109" s="197">
        <v>185</v>
      </c>
      <c r="R109" s="197">
        <v>134</v>
      </c>
      <c r="S109" s="197">
        <v>240</v>
      </c>
      <c r="T109" s="197">
        <v>147</v>
      </c>
      <c r="U109" s="197">
        <v>108</v>
      </c>
      <c r="V109" s="197">
        <v>91</v>
      </c>
      <c r="W109" s="197">
        <v>106</v>
      </c>
      <c r="X109" s="197"/>
      <c r="Y109" s="197">
        <v>397</v>
      </c>
      <c r="Z109" s="197"/>
    </row>
    <row r="110" spans="1:26">
      <c r="A110" s="191" t="str">
        <f>CHESHIRE!A17</f>
        <v>Crewe and Nantwich CC</v>
      </c>
      <c r="B110" s="195">
        <f>CHESHIRE!D17</f>
        <v>78469</v>
      </c>
      <c r="C110" s="195">
        <f>CHESHIRE!E17</f>
        <v>78845</v>
      </c>
      <c r="D110" s="195">
        <f>CHESHIRE!F17</f>
        <v>78781</v>
      </c>
      <c r="E110" s="195">
        <f>CHESHIRE!G17</f>
        <v>77756</v>
      </c>
      <c r="F110" s="195">
        <f>CHESHIRE!H17</f>
        <v>76892</v>
      </c>
      <c r="G110" s="195">
        <f>CHESHIRE!I17</f>
        <v>71336</v>
      </c>
      <c r="H110" s="195">
        <f>CHESHIRE!J17</f>
        <v>72239</v>
      </c>
      <c r="I110" s="195">
        <f>CHESHIRE!K17</f>
        <v>78047</v>
      </c>
      <c r="J110" s="195">
        <f>CHESHIRE!L17</f>
        <v>78544</v>
      </c>
      <c r="K110" s="196">
        <f t="shared" si="3"/>
        <v>9.55791459047522E-4</v>
      </c>
      <c r="L110" s="196"/>
      <c r="M110" s="195">
        <f t="shared" si="4"/>
        <v>1391</v>
      </c>
      <c r="N110" s="196">
        <f t="shared" si="5"/>
        <v>1.8029110987259081E-2</v>
      </c>
      <c r="O110" s="197">
        <v>58</v>
      </c>
      <c r="P110" s="197">
        <v>60</v>
      </c>
      <c r="Q110" s="197">
        <v>72</v>
      </c>
      <c r="R110" s="197">
        <v>118</v>
      </c>
      <c r="S110" s="197">
        <v>125</v>
      </c>
      <c r="T110" s="197">
        <v>255</v>
      </c>
      <c r="U110" s="197">
        <v>187</v>
      </c>
      <c r="V110" s="197">
        <v>107</v>
      </c>
      <c r="W110" s="197">
        <v>107</v>
      </c>
      <c r="X110" s="197"/>
      <c r="Y110" s="197">
        <v>124</v>
      </c>
      <c r="Z110" s="197"/>
    </row>
    <row r="111" spans="1:26">
      <c r="A111" s="191" t="str">
        <f>SUFFOLK!A30</f>
        <v>Suffolk Coastal CC</v>
      </c>
      <c r="B111" s="195">
        <f>SUFFOLK!D32</f>
        <v>77142</v>
      </c>
      <c r="C111" s="195">
        <f>SUFFOLK!E32</f>
        <v>76932</v>
      </c>
      <c r="D111" s="195">
        <f>SUFFOLK!F32</f>
        <v>77481</v>
      </c>
      <c r="E111" s="195">
        <f>SUFFOLK!G32</f>
        <v>77909</v>
      </c>
      <c r="F111" s="195">
        <f>SUFFOLK!H32</f>
        <v>75313</v>
      </c>
      <c r="G111" s="195">
        <f>SUFFOLK!I32</f>
        <v>76019</v>
      </c>
      <c r="H111" s="195">
        <f>SUFFOLK!J32</f>
        <v>75678</v>
      </c>
      <c r="I111" s="195">
        <f>SUFFOLK!K32</f>
        <v>77671</v>
      </c>
      <c r="J111" s="195">
        <f>SUFFOLK!L32</f>
        <v>78528</v>
      </c>
      <c r="K111" s="196">
        <f t="shared" si="3"/>
        <v>1.7966866298514426E-2</v>
      </c>
      <c r="L111" s="196"/>
      <c r="M111" s="195">
        <f t="shared" si="4"/>
        <v>1375</v>
      </c>
      <c r="N111" s="196">
        <f t="shared" si="5"/>
        <v>1.7821730846499812E-2</v>
      </c>
      <c r="O111" s="197">
        <v>89</v>
      </c>
      <c r="P111" s="197">
        <v>117</v>
      </c>
      <c r="Q111" s="197">
        <v>109</v>
      </c>
      <c r="R111" s="197">
        <v>111</v>
      </c>
      <c r="S111" s="197">
        <v>166</v>
      </c>
      <c r="T111" s="197">
        <v>121</v>
      </c>
      <c r="U111" s="197">
        <v>106</v>
      </c>
      <c r="V111" s="197">
        <v>114</v>
      </c>
      <c r="W111" s="197">
        <v>108</v>
      </c>
      <c r="X111" s="197"/>
      <c r="Y111" s="197">
        <v>452</v>
      </c>
      <c r="Z111" s="197"/>
    </row>
    <row r="112" spans="1:26">
      <c r="A112" s="191" t="str">
        <f>'SOUTH YORKSHIRE'!A32</f>
        <v>Sheffield Central BC</v>
      </c>
      <c r="B112" s="195">
        <f>'SOUTH YORKSHIRE'!D32</f>
        <v>65515</v>
      </c>
      <c r="C112" s="195">
        <f>'SOUTH YORKSHIRE'!E32</f>
        <v>69975</v>
      </c>
      <c r="D112" s="195">
        <f>'SOUTH YORKSHIRE'!F32</f>
        <v>71652</v>
      </c>
      <c r="E112" s="195">
        <f>'SOUTH YORKSHIRE'!G32</f>
        <v>74020</v>
      </c>
      <c r="F112" s="195">
        <f>'SOUTH YORKSHIRE'!H32</f>
        <v>70842</v>
      </c>
      <c r="G112" s="195">
        <f>'SOUTH YORKSHIRE'!I32</f>
        <v>68091</v>
      </c>
      <c r="H112" s="195">
        <f>'SOUTH YORKSHIRE'!J32</f>
        <v>67917</v>
      </c>
      <c r="I112" s="195">
        <f>'SOUTH YORKSHIRE'!K32</f>
        <v>72703</v>
      </c>
      <c r="J112" s="195">
        <f>'SOUTH YORKSHIRE'!L32</f>
        <v>78490</v>
      </c>
      <c r="K112" s="196">
        <f t="shared" si="3"/>
        <v>0.19804624895062201</v>
      </c>
      <c r="L112" s="196"/>
      <c r="M112" s="195">
        <f t="shared" si="4"/>
        <v>1337</v>
      </c>
      <c r="N112" s="196">
        <f t="shared" si="5"/>
        <v>1.7329203012196544E-2</v>
      </c>
      <c r="O112" s="197">
        <v>449</v>
      </c>
      <c r="P112" s="197">
        <v>341</v>
      </c>
      <c r="Q112" s="197">
        <v>303</v>
      </c>
      <c r="R112" s="197">
        <v>211</v>
      </c>
      <c r="S112" s="197">
        <v>317</v>
      </c>
      <c r="T112" s="197">
        <v>363</v>
      </c>
      <c r="U112" s="197">
        <v>339</v>
      </c>
      <c r="V112" s="197">
        <v>233</v>
      </c>
      <c r="W112" s="197">
        <v>109</v>
      </c>
      <c r="X112" s="197"/>
      <c r="Y112" s="197">
        <v>390</v>
      </c>
      <c r="Z112" s="197"/>
    </row>
    <row r="113" spans="1:26">
      <c r="A113" s="191" t="str">
        <f>LINCOLNSHIRE!A29</f>
        <v>Louth and Horncastle CC</v>
      </c>
      <c r="B113" s="195">
        <f>LINCOLNSHIRE!D29</f>
        <v>77210</v>
      </c>
      <c r="C113" s="195">
        <f>LINCOLNSHIRE!E29</f>
        <v>76233</v>
      </c>
      <c r="D113" s="195">
        <f>LINCOLNSHIRE!F29</f>
        <v>76217</v>
      </c>
      <c r="E113" s="195">
        <f>LINCOLNSHIRE!G29</f>
        <v>73803</v>
      </c>
      <c r="F113" s="195">
        <f>LINCOLNSHIRE!H29</f>
        <v>76866</v>
      </c>
      <c r="G113" s="195">
        <f>LINCOLNSHIRE!I29</f>
        <v>72791</v>
      </c>
      <c r="H113" s="195">
        <f>LINCOLNSHIRE!J29</f>
        <v>74617</v>
      </c>
      <c r="I113" s="195">
        <f>LINCOLNSHIRE!K29</f>
        <v>77337</v>
      </c>
      <c r="J113" s="195">
        <f>LINCOLNSHIRE!L29</f>
        <v>78472</v>
      </c>
      <c r="K113" s="196">
        <f t="shared" si="3"/>
        <v>1.6345033026809997E-2</v>
      </c>
      <c r="L113" s="196"/>
      <c r="M113" s="195">
        <f t="shared" si="4"/>
        <v>1319</v>
      </c>
      <c r="N113" s="196">
        <f t="shared" si="5"/>
        <v>1.7095900353842366E-2</v>
      </c>
      <c r="O113" s="197">
        <v>85</v>
      </c>
      <c r="P113" s="197">
        <v>133</v>
      </c>
      <c r="Q113" s="197">
        <v>149</v>
      </c>
      <c r="R113" s="197">
        <v>220</v>
      </c>
      <c r="S113" s="197">
        <v>126</v>
      </c>
      <c r="T113" s="197">
        <v>194</v>
      </c>
      <c r="U113" s="197">
        <v>131</v>
      </c>
      <c r="V113" s="197">
        <v>122</v>
      </c>
      <c r="W113" s="197">
        <v>110</v>
      </c>
      <c r="X113" s="197"/>
      <c r="Y113" s="197">
        <v>269</v>
      </c>
      <c r="Z113" s="197"/>
    </row>
    <row r="114" spans="1:26">
      <c r="A114" s="191" t="str">
        <f>'NORTH SOMERSET'!A7</f>
        <v>North Somerset CC</v>
      </c>
      <c r="B114" s="195">
        <f>'NORTH SOMERSET'!D7</f>
        <v>77150</v>
      </c>
      <c r="C114" s="195">
        <f>'NORTH SOMERSET'!E7</f>
        <v>78223</v>
      </c>
      <c r="D114" s="195">
        <f>'NORTH SOMERSET'!F7</f>
        <v>78687</v>
      </c>
      <c r="E114" s="195">
        <f>'NORTH SOMERSET'!G7</f>
        <v>79500</v>
      </c>
      <c r="F114" s="195">
        <f>'NORTH SOMERSET'!H7</f>
        <v>79281</v>
      </c>
      <c r="G114" s="195">
        <f>'NORTH SOMERSET'!I7</f>
        <v>78808</v>
      </c>
      <c r="H114" s="195">
        <f>'NORTH SOMERSET'!J7</f>
        <v>75979</v>
      </c>
      <c r="I114" s="195">
        <f>'NORTH SOMERSET'!K7</f>
        <v>79191</v>
      </c>
      <c r="J114" s="195">
        <f>'NORTH SOMERSET'!L7</f>
        <v>78469</v>
      </c>
      <c r="K114" s="196">
        <f t="shared" si="3"/>
        <v>1.7096565132858069E-2</v>
      </c>
      <c r="L114" s="196"/>
      <c r="M114" s="195">
        <f t="shared" si="4"/>
        <v>1316</v>
      </c>
      <c r="N114" s="196">
        <f t="shared" si="5"/>
        <v>1.7057016577450002E-2</v>
      </c>
      <c r="O114" s="197">
        <v>88</v>
      </c>
      <c r="P114" s="197">
        <v>77</v>
      </c>
      <c r="Q114" s="197">
        <v>73</v>
      </c>
      <c r="R114" s="197">
        <v>66</v>
      </c>
      <c r="S114" s="197">
        <v>71</v>
      </c>
      <c r="T114" s="197">
        <v>56</v>
      </c>
      <c r="U114" s="197">
        <v>95</v>
      </c>
      <c r="V114" s="197">
        <v>80</v>
      </c>
      <c r="W114" s="197">
        <v>111</v>
      </c>
      <c r="X114" s="197"/>
      <c r="Y114" s="197">
        <v>321</v>
      </c>
      <c r="Z114" s="197"/>
    </row>
    <row r="115" spans="1:26">
      <c r="A115" s="191" t="str">
        <f>LEICESTERSHIRE!A21</f>
        <v>Charnwood CC</v>
      </c>
      <c r="B115" s="195">
        <f>LEICESTERSHIRE!D24</f>
        <v>74734</v>
      </c>
      <c r="C115" s="195">
        <f>LEICESTERSHIRE!E24</f>
        <v>75454</v>
      </c>
      <c r="D115" s="195">
        <f>LEICESTERSHIRE!F24</f>
        <v>76195</v>
      </c>
      <c r="E115" s="195">
        <f>LEICESTERSHIRE!G24</f>
        <v>76893</v>
      </c>
      <c r="F115" s="195">
        <f>LEICESTERSHIRE!H24</f>
        <v>77143</v>
      </c>
      <c r="G115" s="195">
        <f>LEICESTERSHIRE!I24</f>
        <v>77012</v>
      </c>
      <c r="H115" s="195">
        <f>LEICESTERSHIRE!J24</f>
        <v>75459</v>
      </c>
      <c r="I115" s="195">
        <f>LEICESTERSHIRE!K24</f>
        <v>76800</v>
      </c>
      <c r="J115" s="195">
        <f>LEICESTERSHIRE!L24</f>
        <v>78441</v>
      </c>
      <c r="K115" s="196">
        <f t="shared" si="3"/>
        <v>4.9602590521047984E-2</v>
      </c>
      <c r="L115" s="196"/>
      <c r="M115" s="195">
        <f t="shared" si="4"/>
        <v>1288</v>
      </c>
      <c r="N115" s="196">
        <f t="shared" si="5"/>
        <v>1.6694101331121279E-2</v>
      </c>
      <c r="O115" s="197">
        <v>158</v>
      </c>
      <c r="P115" s="197">
        <v>153</v>
      </c>
      <c r="Q115" s="197">
        <v>150</v>
      </c>
      <c r="R115" s="197">
        <v>140</v>
      </c>
      <c r="S115" s="197">
        <v>122</v>
      </c>
      <c r="T115" s="197">
        <v>97</v>
      </c>
      <c r="U115" s="197">
        <v>109</v>
      </c>
      <c r="V115" s="197">
        <v>135</v>
      </c>
      <c r="W115" s="197">
        <v>112</v>
      </c>
      <c r="X115" s="197"/>
      <c r="Y115" s="197">
        <v>96</v>
      </c>
      <c r="Z115" s="197"/>
    </row>
    <row r="116" spans="1:26">
      <c r="A116" s="191" t="str">
        <f>BARNET!A11</f>
        <v>Hendon BC</v>
      </c>
      <c r="B116" s="195">
        <f>BARNET!D11</f>
        <v>72102</v>
      </c>
      <c r="C116" s="195">
        <f>BARNET!E11</f>
        <v>74329</v>
      </c>
      <c r="D116" s="195">
        <f>BARNET!F11</f>
        <v>74518</v>
      </c>
      <c r="E116" s="195">
        <f>BARNET!G11</f>
        <v>74581</v>
      </c>
      <c r="F116" s="195">
        <f>BARNET!H11</f>
        <v>69979</v>
      </c>
      <c r="G116" s="195">
        <f>BARNET!I11</f>
        <v>71694</v>
      </c>
      <c r="H116" s="195">
        <f>BARNET!J11</f>
        <v>69502</v>
      </c>
      <c r="I116" s="195">
        <f>BARNET!K11</f>
        <v>72782</v>
      </c>
      <c r="J116" s="195">
        <f>BARNET!L11</f>
        <v>78319</v>
      </c>
      <c r="K116" s="196">
        <f t="shared" si="3"/>
        <v>8.6225070039666035E-2</v>
      </c>
      <c r="L116" s="196"/>
      <c r="M116" s="195">
        <f t="shared" si="4"/>
        <v>1166</v>
      </c>
      <c r="N116" s="196">
        <f t="shared" si="5"/>
        <v>1.5112827757831841E-2</v>
      </c>
      <c r="O116" s="197">
        <v>236</v>
      </c>
      <c r="P116" s="197">
        <v>179</v>
      </c>
      <c r="Q116" s="197">
        <v>189</v>
      </c>
      <c r="R116" s="197">
        <v>194</v>
      </c>
      <c r="S116" s="197">
        <v>351</v>
      </c>
      <c r="T116" s="197">
        <v>241</v>
      </c>
      <c r="U116" s="197">
        <v>293</v>
      </c>
      <c r="V116" s="197">
        <v>230</v>
      </c>
      <c r="W116" s="197">
        <v>113</v>
      </c>
      <c r="X116" s="197"/>
      <c r="Y116" s="197">
        <v>212</v>
      </c>
      <c r="Z116" s="197"/>
    </row>
    <row r="117" spans="1:26">
      <c r="A117" s="191" t="str">
        <f>NORTHAMPTONSHIRE!A34</f>
        <v>Wellingborough CC</v>
      </c>
      <c r="B117" s="195">
        <f>NORTHAMPTONSHIRE!D36</f>
        <v>76797</v>
      </c>
      <c r="C117" s="195">
        <f>NORTHAMPTONSHIRE!E36</f>
        <v>76848</v>
      </c>
      <c r="D117" s="195">
        <f>NORTHAMPTONSHIRE!F36</f>
        <v>77289</v>
      </c>
      <c r="E117" s="195">
        <f>NORTHAMPTONSHIRE!G36</f>
        <v>76822</v>
      </c>
      <c r="F117" s="195">
        <f>NORTHAMPTONSHIRE!H36</f>
        <v>73033</v>
      </c>
      <c r="G117" s="195">
        <f>NORTHAMPTONSHIRE!I36</f>
        <v>76125</v>
      </c>
      <c r="H117" s="195">
        <f>NORTHAMPTONSHIRE!J36</f>
        <v>74916</v>
      </c>
      <c r="I117" s="195">
        <f>NORTHAMPTONSHIRE!K36</f>
        <v>78423</v>
      </c>
      <c r="J117" s="195">
        <f>NORTHAMPTONSHIRE!L36</f>
        <v>78313</v>
      </c>
      <c r="K117" s="196">
        <f t="shared" si="3"/>
        <v>1.9740354440928681E-2</v>
      </c>
      <c r="L117" s="196"/>
      <c r="M117" s="195">
        <f t="shared" si="4"/>
        <v>1160</v>
      </c>
      <c r="N117" s="196">
        <f t="shared" si="5"/>
        <v>1.5035060205047114E-2</v>
      </c>
      <c r="O117" s="197">
        <v>101</v>
      </c>
      <c r="P117" s="197">
        <v>120</v>
      </c>
      <c r="Q117" s="197">
        <v>121</v>
      </c>
      <c r="R117" s="197">
        <v>143</v>
      </c>
      <c r="S117" s="197">
        <v>245</v>
      </c>
      <c r="T117" s="197">
        <v>119</v>
      </c>
      <c r="U117" s="197">
        <v>121</v>
      </c>
      <c r="V117" s="197">
        <v>95</v>
      </c>
      <c r="W117" s="197">
        <v>114</v>
      </c>
      <c r="X117" s="197"/>
      <c r="Y117" s="197">
        <v>496</v>
      </c>
      <c r="Z117" s="197"/>
    </row>
    <row r="118" spans="1:26">
      <c r="A118" s="191" t="str">
        <f>BARNET!A7</f>
        <v>Chipping Barnet BC</v>
      </c>
      <c r="B118" s="195">
        <f>BARNET!D7</f>
        <v>73995</v>
      </c>
      <c r="C118" s="195">
        <f>BARNET!E7</f>
        <v>76455</v>
      </c>
      <c r="D118" s="195">
        <f>BARNET!F7</f>
        <v>76697</v>
      </c>
      <c r="E118" s="195">
        <f>BARNET!G7</f>
        <v>77375</v>
      </c>
      <c r="F118" s="195">
        <f>BARNET!H7</f>
        <v>74260</v>
      </c>
      <c r="G118" s="195">
        <f>BARNET!I7</f>
        <v>75124</v>
      </c>
      <c r="H118" s="195">
        <f>BARNET!J7</f>
        <v>72480</v>
      </c>
      <c r="I118" s="195">
        <f>BARNET!K7</f>
        <v>74356</v>
      </c>
      <c r="J118" s="195">
        <f>BARNET!L7</f>
        <v>78295</v>
      </c>
      <c r="K118" s="196">
        <f t="shared" si="3"/>
        <v>5.8112034596932226E-2</v>
      </c>
      <c r="L118" s="196"/>
      <c r="M118" s="195">
        <f t="shared" si="4"/>
        <v>1142</v>
      </c>
      <c r="N118" s="196">
        <f t="shared" si="5"/>
        <v>1.4801757546692934E-2</v>
      </c>
      <c r="O118" s="197">
        <v>173</v>
      </c>
      <c r="P118" s="197">
        <v>129</v>
      </c>
      <c r="Q118" s="197">
        <v>135</v>
      </c>
      <c r="R118" s="197">
        <v>129</v>
      </c>
      <c r="S118" s="197">
        <v>196</v>
      </c>
      <c r="T118" s="197">
        <v>139</v>
      </c>
      <c r="U118" s="197">
        <v>180</v>
      </c>
      <c r="V118" s="197">
        <v>185</v>
      </c>
      <c r="W118" s="197">
        <v>115</v>
      </c>
      <c r="X118" s="197"/>
      <c r="Y118" s="197">
        <v>107</v>
      </c>
      <c r="Z118" s="197"/>
    </row>
    <row r="119" spans="1:26">
      <c r="A119" s="191" t="str">
        <f>'WEST YORKSHIRE'!A27</f>
        <v>Elmet and Rothwell CC</v>
      </c>
      <c r="B119" s="195">
        <f>'WEST YORKSHIRE'!D27</f>
        <v>77858</v>
      </c>
      <c r="C119" s="195">
        <f>'WEST YORKSHIRE'!E27</f>
        <v>77994</v>
      </c>
      <c r="D119" s="195">
        <f>'WEST YORKSHIRE'!F27</f>
        <v>78521</v>
      </c>
      <c r="E119" s="195">
        <f>'WEST YORKSHIRE'!G27</f>
        <v>78781</v>
      </c>
      <c r="F119" s="195">
        <f>'WEST YORKSHIRE'!H27</f>
        <v>77587</v>
      </c>
      <c r="G119" s="195">
        <f>'WEST YORKSHIRE'!I27</f>
        <v>78038</v>
      </c>
      <c r="H119" s="195">
        <f>'WEST YORKSHIRE'!J27</f>
        <v>77287</v>
      </c>
      <c r="I119" s="195">
        <f>'WEST YORKSHIRE'!K27</f>
        <v>78913</v>
      </c>
      <c r="J119" s="195">
        <f>'WEST YORKSHIRE'!L27</f>
        <v>78278</v>
      </c>
      <c r="K119" s="196">
        <f t="shared" si="3"/>
        <v>5.3944360245575277E-3</v>
      </c>
      <c r="L119" s="196"/>
      <c r="M119" s="195">
        <f t="shared" si="4"/>
        <v>1125</v>
      </c>
      <c r="N119" s="196">
        <f t="shared" si="5"/>
        <v>1.4581416147136209E-2</v>
      </c>
      <c r="O119" s="197">
        <v>70</v>
      </c>
      <c r="P119" s="197">
        <v>80</v>
      </c>
      <c r="Q119" s="197">
        <v>78</v>
      </c>
      <c r="R119" s="197">
        <v>84</v>
      </c>
      <c r="S119" s="197">
        <v>112</v>
      </c>
      <c r="T119" s="197">
        <v>72</v>
      </c>
      <c r="U119" s="197">
        <v>71</v>
      </c>
      <c r="V119" s="197">
        <v>89</v>
      </c>
      <c r="W119" s="197">
        <v>116</v>
      </c>
      <c r="X119" s="197"/>
      <c r="Y119" s="197">
        <v>160</v>
      </c>
      <c r="Z119" s="197"/>
    </row>
    <row r="120" spans="1:26">
      <c r="A120" s="191" t="str">
        <f>MERSEYSIDE!A33</f>
        <v>St Helens South and Whiston BC</v>
      </c>
      <c r="B120" s="195">
        <f>MERSEYSIDE!D35</f>
        <v>78705</v>
      </c>
      <c r="C120" s="195">
        <f>MERSEYSIDE!E35</f>
        <v>78612</v>
      </c>
      <c r="D120" s="195">
        <f>MERSEYSIDE!F35</f>
        <v>78613</v>
      </c>
      <c r="E120" s="195">
        <f>MERSEYSIDE!G35</f>
        <v>79142</v>
      </c>
      <c r="F120" s="195">
        <f>MERSEYSIDE!H35</f>
        <v>77397</v>
      </c>
      <c r="G120" s="195">
        <f>MERSEYSIDE!I35</f>
        <v>76626</v>
      </c>
      <c r="H120" s="195">
        <f>MERSEYSIDE!J35</f>
        <v>74885</v>
      </c>
      <c r="I120" s="195">
        <f>MERSEYSIDE!K35</f>
        <v>76918</v>
      </c>
      <c r="J120" s="195">
        <f>MERSEYSIDE!L35</f>
        <v>78271</v>
      </c>
      <c r="K120" s="196">
        <f t="shared" si="3"/>
        <v>-5.5142621180357025E-3</v>
      </c>
      <c r="L120" s="196"/>
      <c r="M120" s="195">
        <f t="shared" si="4"/>
        <v>1118</v>
      </c>
      <c r="N120" s="196">
        <f t="shared" si="5"/>
        <v>1.4490687335554029E-2</v>
      </c>
      <c r="O120" s="197">
        <v>48</v>
      </c>
      <c r="P120" s="197">
        <v>66</v>
      </c>
      <c r="Q120" s="197">
        <v>75</v>
      </c>
      <c r="R120" s="197">
        <v>75</v>
      </c>
      <c r="S120" s="197">
        <v>118</v>
      </c>
      <c r="T120" s="197">
        <v>106</v>
      </c>
      <c r="U120" s="197">
        <v>123</v>
      </c>
      <c r="V120" s="197">
        <v>130</v>
      </c>
      <c r="W120" s="197">
        <v>117</v>
      </c>
      <c r="X120" s="197"/>
      <c r="Y120" s="197">
        <v>434</v>
      </c>
      <c r="Z120" s="197"/>
    </row>
    <row r="121" spans="1:26">
      <c r="A121" s="191" t="str">
        <f>DORSET!A46</f>
        <v>West Dorset CC</v>
      </c>
      <c r="B121" s="195">
        <f>DORSET!D46</f>
        <v>76877</v>
      </c>
      <c r="C121" s="195">
        <f>DORSET!E46</f>
        <v>76779</v>
      </c>
      <c r="D121" s="195">
        <f>DORSET!F46</f>
        <v>77392</v>
      </c>
      <c r="E121" s="195">
        <f>DORSET!G46</f>
        <v>77596</v>
      </c>
      <c r="F121" s="195">
        <f>DORSET!H46</f>
        <v>77578</v>
      </c>
      <c r="G121" s="195">
        <f>DORSET!I46</f>
        <v>77624</v>
      </c>
      <c r="H121" s="195">
        <f>DORSET!J46</f>
        <v>74623</v>
      </c>
      <c r="I121" s="195">
        <f>DORSET!K46</f>
        <v>77474</v>
      </c>
      <c r="J121" s="195">
        <f>DORSET!L46</f>
        <v>78196</v>
      </c>
      <c r="K121" s="196">
        <f t="shared" si="3"/>
        <v>1.7157277209048218E-2</v>
      </c>
      <c r="L121" s="196"/>
      <c r="M121" s="195">
        <f t="shared" si="4"/>
        <v>1043</v>
      </c>
      <c r="N121" s="196">
        <f t="shared" si="5"/>
        <v>1.3518592925744949E-2</v>
      </c>
      <c r="O121" s="197">
        <v>97</v>
      </c>
      <c r="P121" s="197">
        <v>122</v>
      </c>
      <c r="Q121" s="197">
        <v>116</v>
      </c>
      <c r="R121" s="197">
        <v>126</v>
      </c>
      <c r="S121" s="197">
        <v>113</v>
      </c>
      <c r="T121" s="197">
        <v>78</v>
      </c>
      <c r="U121" s="197">
        <v>129</v>
      </c>
      <c r="V121" s="197">
        <v>117</v>
      </c>
      <c r="W121" s="197">
        <v>118</v>
      </c>
      <c r="X121" s="197"/>
      <c r="Y121" s="197">
        <v>502</v>
      </c>
      <c r="Z121" s="197"/>
    </row>
    <row r="122" spans="1:26">
      <c r="A122" s="191" t="str">
        <f>ESSEX!A57</f>
        <v>Rayleigh and Wickford CC</v>
      </c>
      <c r="B122" s="195">
        <f>ESSEX!D59</f>
        <v>75694</v>
      </c>
      <c r="C122" s="195">
        <f>ESSEX!E59</f>
        <v>76089</v>
      </c>
      <c r="D122" s="195">
        <f>ESSEX!F59</f>
        <v>76488</v>
      </c>
      <c r="E122" s="195">
        <f>ESSEX!G59</f>
        <v>77422</v>
      </c>
      <c r="F122" s="195">
        <f>ESSEX!H59</f>
        <v>77646</v>
      </c>
      <c r="G122" s="195">
        <f>ESSEX!I59</f>
        <v>77255</v>
      </c>
      <c r="H122" s="195">
        <f>ESSEX!J59</f>
        <v>75456</v>
      </c>
      <c r="I122" s="195">
        <f>ESSEX!K59</f>
        <v>77782</v>
      </c>
      <c r="J122" s="195">
        <f>ESSEX!L59</f>
        <v>78120</v>
      </c>
      <c r="K122" s="196">
        <f t="shared" si="3"/>
        <v>3.2050096440933235E-2</v>
      </c>
      <c r="L122" s="196"/>
      <c r="M122" s="195">
        <f t="shared" si="4"/>
        <v>967</v>
      </c>
      <c r="N122" s="196">
        <f t="shared" si="5"/>
        <v>1.2533537257138414E-2</v>
      </c>
      <c r="O122" s="197">
        <v>136</v>
      </c>
      <c r="P122" s="197">
        <v>138</v>
      </c>
      <c r="Q122" s="197">
        <v>142</v>
      </c>
      <c r="R122" s="197">
        <v>128</v>
      </c>
      <c r="S122" s="197">
        <v>109</v>
      </c>
      <c r="T122" s="197">
        <v>87</v>
      </c>
      <c r="U122" s="197">
        <v>110</v>
      </c>
      <c r="V122" s="197">
        <v>111</v>
      </c>
      <c r="W122" s="197">
        <v>119</v>
      </c>
      <c r="X122" s="197"/>
      <c r="Y122" s="197">
        <v>359</v>
      </c>
      <c r="Z122" s="197"/>
    </row>
    <row r="123" spans="1:26">
      <c r="A123" s="191" t="str">
        <f>KINGSTON!A9</f>
        <v>Richmond Park BC</v>
      </c>
      <c r="B123" s="195">
        <f>KINGSTON!D11</f>
        <v>75495</v>
      </c>
      <c r="C123" s="195">
        <f>KINGSTON!E11</f>
        <v>76650</v>
      </c>
      <c r="D123" s="195">
        <f>KINGSTON!F11</f>
        <v>76778</v>
      </c>
      <c r="E123" s="195">
        <f>KINGSTON!G11</f>
        <v>76862</v>
      </c>
      <c r="F123" s="195">
        <f>KINGSTON!H11</f>
        <v>76393</v>
      </c>
      <c r="G123" s="195">
        <f>KINGSTON!I11</f>
        <v>74057</v>
      </c>
      <c r="H123" s="195">
        <f>KINGSTON!J11</f>
        <v>74740</v>
      </c>
      <c r="I123" s="195">
        <f>KINGSTON!K11</f>
        <v>77934</v>
      </c>
      <c r="J123" s="195">
        <f>KINGSTON!L11</f>
        <v>78107</v>
      </c>
      <c r="K123" s="196">
        <f t="shared" si="3"/>
        <v>3.4598317769388702E-2</v>
      </c>
      <c r="L123" s="196"/>
      <c r="M123" s="195">
        <f t="shared" si="4"/>
        <v>954</v>
      </c>
      <c r="N123" s="196">
        <f t="shared" si="5"/>
        <v>1.2365040892771507E-2</v>
      </c>
      <c r="O123" s="197">
        <v>140</v>
      </c>
      <c r="P123" s="197">
        <v>125</v>
      </c>
      <c r="Q123" s="197">
        <v>133</v>
      </c>
      <c r="R123" s="197">
        <v>141</v>
      </c>
      <c r="S123" s="197">
        <v>138</v>
      </c>
      <c r="T123" s="197">
        <v>161</v>
      </c>
      <c r="U123" s="197">
        <v>125</v>
      </c>
      <c r="V123" s="197">
        <v>108</v>
      </c>
      <c r="W123" s="197">
        <v>120</v>
      </c>
      <c r="X123" s="197"/>
      <c r="Y123" s="197">
        <v>367</v>
      </c>
      <c r="Z123" s="197"/>
    </row>
    <row r="124" spans="1:26">
      <c r="A124" s="191" t="str">
        <f>'NORTH YORKSHIRE'!A31</f>
        <v>Thirsk and Malton CC</v>
      </c>
      <c r="B124" s="195">
        <f>'NORTH YORKSHIRE'!D34</f>
        <v>76833</v>
      </c>
      <c r="C124" s="195">
        <f>'NORTH YORKSHIRE'!E34</f>
        <v>77230</v>
      </c>
      <c r="D124" s="195">
        <f>'NORTH YORKSHIRE'!F34</f>
        <v>77446</v>
      </c>
      <c r="E124" s="195">
        <f>'NORTH YORKSHIRE'!G34</f>
        <v>77992</v>
      </c>
      <c r="F124" s="195">
        <f>'NORTH YORKSHIRE'!H34</f>
        <v>76782</v>
      </c>
      <c r="G124" s="195">
        <f>'NORTH YORKSHIRE'!I34</f>
        <v>75832</v>
      </c>
      <c r="H124" s="195">
        <f>'NORTH YORKSHIRE'!J34</f>
        <v>74152</v>
      </c>
      <c r="I124" s="195">
        <f>'NORTH YORKSHIRE'!K34</f>
        <v>77766</v>
      </c>
      <c r="J124" s="195">
        <f>'NORTH YORKSHIRE'!L34</f>
        <v>78101</v>
      </c>
      <c r="K124" s="196">
        <f t="shared" si="3"/>
        <v>1.6503325394036417E-2</v>
      </c>
      <c r="L124" s="196"/>
      <c r="M124" s="195">
        <f t="shared" si="4"/>
        <v>948</v>
      </c>
      <c r="N124" s="196">
        <f t="shared" si="5"/>
        <v>1.228727333998678E-2</v>
      </c>
      <c r="O124" s="197">
        <v>100</v>
      </c>
      <c r="P124" s="197">
        <v>101</v>
      </c>
      <c r="Q124" s="197">
        <v>112</v>
      </c>
      <c r="R124" s="197">
        <v>107</v>
      </c>
      <c r="S124" s="197">
        <v>130</v>
      </c>
      <c r="T124" s="197">
        <v>127</v>
      </c>
      <c r="U124" s="197">
        <v>141</v>
      </c>
      <c r="V124" s="197">
        <v>112</v>
      </c>
      <c r="W124" s="197">
        <v>121</v>
      </c>
      <c r="X124" s="197"/>
      <c r="Y124" s="197">
        <v>464</v>
      </c>
      <c r="Z124" s="197"/>
    </row>
    <row r="125" spans="1:26">
      <c r="A125" s="191" t="str">
        <f>HACKNEY!A9</f>
        <v>Hackney South and Shoreditch BC</v>
      </c>
      <c r="B125" s="195">
        <f>HACKNEY!D9</f>
        <v>71245</v>
      </c>
      <c r="C125" s="195">
        <f>HACKNEY!E9</f>
        <v>73778</v>
      </c>
      <c r="D125" s="195">
        <f>HACKNEY!F9</f>
        <v>73955</v>
      </c>
      <c r="E125" s="195">
        <f>HACKNEY!G9</f>
        <v>75881</v>
      </c>
      <c r="F125" s="195">
        <f>HACKNEY!H9</f>
        <v>76608</v>
      </c>
      <c r="G125" s="195">
        <f>HACKNEY!I9</f>
        <v>76821</v>
      </c>
      <c r="H125" s="195">
        <f>HACKNEY!J9</f>
        <v>72586</v>
      </c>
      <c r="I125" s="195">
        <f>HACKNEY!K9</f>
        <v>75477</v>
      </c>
      <c r="J125" s="195">
        <f>HACKNEY!L9</f>
        <v>78027</v>
      </c>
      <c r="K125" s="196">
        <f t="shared" si="3"/>
        <v>9.519264509790161E-2</v>
      </c>
      <c r="L125" s="196"/>
      <c r="M125" s="195">
        <f t="shared" si="4"/>
        <v>874</v>
      </c>
      <c r="N125" s="196">
        <f t="shared" si="5"/>
        <v>1.1328140188975154E-2</v>
      </c>
      <c r="O125" s="197">
        <v>280</v>
      </c>
      <c r="P125" s="197">
        <v>196</v>
      </c>
      <c r="Q125" s="197">
        <v>201</v>
      </c>
      <c r="R125" s="197">
        <v>165</v>
      </c>
      <c r="S125" s="197">
        <v>135</v>
      </c>
      <c r="T125" s="197">
        <v>100</v>
      </c>
      <c r="U125" s="197">
        <v>176</v>
      </c>
      <c r="V125" s="197">
        <v>148</v>
      </c>
      <c r="W125" s="197">
        <v>122</v>
      </c>
      <c r="X125" s="197"/>
      <c r="Y125" s="197">
        <v>192</v>
      </c>
      <c r="Z125" s="197"/>
    </row>
    <row r="126" spans="1:26">
      <c r="A126" s="191" t="str">
        <f>'WEST YORKSHIRE'!A13</f>
        <v>Batley and Spen BC</v>
      </c>
      <c r="B126" s="195">
        <f>'WEST YORKSHIRE'!D13</f>
        <v>76619</v>
      </c>
      <c r="C126" s="195">
        <f>'WEST YORKSHIRE'!E13</f>
        <v>77472</v>
      </c>
      <c r="D126" s="195">
        <f>'WEST YORKSHIRE'!F13</f>
        <v>78225</v>
      </c>
      <c r="E126" s="195">
        <f>'WEST YORKSHIRE'!G13</f>
        <v>78576</v>
      </c>
      <c r="F126" s="195">
        <f>'WEST YORKSHIRE'!H13</f>
        <v>78753</v>
      </c>
      <c r="G126" s="195">
        <f>'WEST YORKSHIRE'!I13</f>
        <v>76694</v>
      </c>
      <c r="H126" s="195">
        <f>'WEST YORKSHIRE'!J13</f>
        <v>75961</v>
      </c>
      <c r="I126" s="195">
        <f>'WEST YORKSHIRE'!K13</f>
        <v>78979</v>
      </c>
      <c r="J126" s="195">
        <f>'WEST YORKSHIRE'!L13</f>
        <v>78013</v>
      </c>
      <c r="K126" s="196">
        <f t="shared" si="3"/>
        <v>1.8193920568005326E-2</v>
      </c>
      <c r="L126" s="196"/>
      <c r="M126" s="195">
        <f t="shared" si="4"/>
        <v>860</v>
      </c>
      <c r="N126" s="196">
        <f t="shared" si="5"/>
        <v>1.1146682565810792E-2</v>
      </c>
      <c r="O126" s="197">
        <v>109</v>
      </c>
      <c r="P126" s="197">
        <v>94</v>
      </c>
      <c r="Q126" s="197">
        <v>86</v>
      </c>
      <c r="R126" s="197">
        <v>86</v>
      </c>
      <c r="S126" s="197">
        <v>83</v>
      </c>
      <c r="T126" s="197">
        <v>103</v>
      </c>
      <c r="U126" s="197">
        <v>96</v>
      </c>
      <c r="V126" s="197">
        <v>88</v>
      </c>
      <c r="W126" s="197">
        <v>123</v>
      </c>
      <c r="X126" s="197"/>
      <c r="Y126" s="197">
        <v>19</v>
      </c>
      <c r="Z126" s="197"/>
    </row>
    <row r="127" spans="1:26">
      <c r="A127" s="191" t="str">
        <f>'GREATER MANCHESTER'!A65</f>
        <v>Rochdale CC</v>
      </c>
      <c r="B127" s="195">
        <f>'GREATER MANCHESTER'!D65</f>
        <v>77471</v>
      </c>
      <c r="C127" s="195">
        <f>'GREATER MANCHESTER'!E65</f>
        <v>77699</v>
      </c>
      <c r="D127" s="195">
        <f>'GREATER MANCHESTER'!F65</f>
        <v>78035</v>
      </c>
      <c r="E127" s="195">
        <f>'GREATER MANCHESTER'!G65</f>
        <v>78320</v>
      </c>
      <c r="F127" s="195">
        <f>'GREATER MANCHESTER'!H65</f>
        <v>77397</v>
      </c>
      <c r="G127" s="195">
        <f>'GREATER MANCHESTER'!I65</f>
        <v>77219</v>
      </c>
      <c r="H127" s="195">
        <f>'GREATER MANCHESTER'!J65</f>
        <v>72530</v>
      </c>
      <c r="I127" s="195">
        <f>'GREATER MANCHESTER'!K65</f>
        <v>76576</v>
      </c>
      <c r="J127" s="195">
        <f>'GREATER MANCHESTER'!L65</f>
        <v>78002</v>
      </c>
      <c r="K127" s="196">
        <f t="shared" si="3"/>
        <v>6.8541776922977629E-3</v>
      </c>
      <c r="L127" s="196"/>
      <c r="M127" s="195">
        <f t="shared" si="4"/>
        <v>849</v>
      </c>
      <c r="N127" s="196">
        <f t="shared" si="5"/>
        <v>1.1004108719038792E-2</v>
      </c>
      <c r="O127" s="197">
        <v>77</v>
      </c>
      <c r="P127" s="197">
        <v>88</v>
      </c>
      <c r="Q127" s="197">
        <v>91</v>
      </c>
      <c r="R127" s="197">
        <v>100</v>
      </c>
      <c r="S127" s="197">
        <v>117</v>
      </c>
      <c r="T127" s="197">
        <v>89</v>
      </c>
      <c r="U127" s="197">
        <v>179</v>
      </c>
      <c r="V127" s="197">
        <v>137</v>
      </c>
      <c r="W127" s="197">
        <v>124</v>
      </c>
      <c r="X127" s="197"/>
      <c r="Y127" s="197">
        <v>368</v>
      </c>
      <c r="Z127" s="197"/>
    </row>
    <row r="128" spans="1:26">
      <c r="A128" s="191" t="str">
        <f>HAMPSHIRE!A33</f>
        <v>Fareham CC</v>
      </c>
      <c r="B128" s="195">
        <f>HAMPSHIRE!D33</f>
        <v>75829</v>
      </c>
      <c r="C128" s="195">
        <f>HAMPSHIRE!E33</f>
        <v>76457</v>
      </c>
      <c r="D128" s="195">
        <f>HAMPSHIRE!F33</f>
        <v>77029</v>
      </c>
      <c r="E128" s="195">
        <f>HAMPSHIRE!G33</f>
        <v>77463</v>
      </c>
      <c r="F128" s="195">
        <f>HAMPSHIRE!H33</f>
        <v>78036</v>
      </c>
      <c r="G128" s="195">
        <f>HAMPSHIRE!I33</f>
        <v>76831</v>
      </c>
      <c r="H128" s="195">
        <f>HAMPSHIRE!J33</f>
        <v>75724</v>
      </c>
      <c r="I128" s="195">
        <f>HAMPSHIRE!K33</f>
        <v>77012</v>
      </c>
      <c r="J128" s="195">
        <f>HAMPSHIRE!L33</f>
        <v>77881</v>
      </c>
      <c r="K128" s="196">
        <f t="shared" si="3"/>
        <v>2.7060886995740416E-2</v>
      </c>
      <c r="L128" s="196"/>
      <c r="M128" s="195">
        <f t="shared" si="4"/>
        <v>728</v>
      </c>
      <c r="N128" s="196">
        <f t="shared" si="5"/>
        <v>9.435796404546809E-3</v>
      </c>
      <c r="O128" s="197">
        <v>133</v>
      </c>
      <c r="P128" s="197">
        <v>128</v>
      </c>
      <c r="Q128" s="197">
        <v>129</v>
      </c>
      <c r="R128" s="197">
        <v>127</v>
      </c>
      <c r="S128" s="197">
        <v>100</v>
      </c>
      <c r="T128" s="197">
        <v>99</v>
      </c>
      <c r="U128" s="197">
        <v>105</v>
      </c>
      <c r="V128" s="197">
        <v>129</v>
      </c>
      <c r="W128" s="197">
        <v>125</v>
      </c>
      <c r="X128" s="197"/>
      <c r="Y128" s="197">
        <v>170</v>
      </c>
      <c r="Z128" s="197"/>
    </row>
    <row r="129" spans="1:26">
      <c r="A129" s="191" t="str">
        <f>ESSEX!A75</f>
        <v>Thurrock BC</v>
      </c>
      <c r="B129" s="195">
        <f>ESSEX!D75</f>
        <v>77723</v>
      </c>
      <c r="C129" s="195">
        <f>ESSEX!E75</f>
        <v>77667</v>
      </c>
      <c r="D129" s="195">
        <f>ESSEX!F75</f>
        <v>77540</v>
      </c>
      <c r="E129" s="195">
        <f>ESSEX!G75</f>
        <v>77207</v>
      </c>
      <c r="F129" s="195">
        <f>ESSEX!H75</f>
        <v>77460</v>
      </c>
      <c r="G129" s="195">
        <f>ESSEX!I75</f>
        <v>76455</v>
      </c>
      <c r="H129" s="195">
        <f>ESSEX!J75</f>
        <v>75935</v>
      </c>
      <c r="I129" s="195">
        <f>ESSEX!K75</f>
        <v>77425</v>
      </c>
      <c r="J129" s="195">
        <f>ESSEX!L75</f>
        <v>77788</v>
      </c>
      <c r="K129" s="196">
        <f t="shared" si="3"/>
        <v>8.3630328216872745E-4</v>
      </c>
      <c r="L129" s="196"/>
      <c r="M129" s="195">
        <f t="shared" si="4"/>
        <v>635</v>
      </c>
      <c r="N129" s="196">
        <f t="shared" si="5"/>
        <v>8.2303993363835488E-3</v>
      </c>
      <c r="O129" s="197">
        <v>72</v>
      </c>
      <c r="P129" s="197">
        <v>90</v>
      </c>
      <c r="Q129" s="197">
        <v>107</v>
      </c>
      <c r="R129" s="197">
        <v>135</v>
      </c>
      <c r="S129" s="197">
        <v>116</v>
      </c>
      <c r="T129" s="197">
        <v>109</v>
      </c>
      <c r="U129" s="197">
        <v>97</v>
      </c>
      <c r="V129" s="197">
        <v>119</v>
      </c>
      <c r="W129" s="197">
        <v>126</v>
      </c>
      <c r="X129" s="197"/>
      <c r="Y129" s="197">
        <v>466</v>
      </c>
      <c r="Z129" s="197"/>
    </row>
    <row r="130" spans="1:26">
      <c r="A130" s="191" t="str">
        <f>LEICESTERSHIRE!A34</f>
        <v>Rutland and Melton CC</v>
      </c>
      <c r="B130" s="195">
        <f>LEICESTERSHIRE!D37</f>
        <v>77096</v>
      </c>
      <c r="C130" s="195">
        <f>LEICESTERSHIRE!E37</f>
        <v>77324</v>
      </c>
      <c r="D130" s="195">
        <f>LEICESTERSHIRE!F37</f>
        <v>77365</v>
      </c>
      <c r="E130" s="195">
        <f>LEICESTERSHIRE!G37</f>
        <v>77819</v>
      </c>
      <c r="F130" s="195">
        <f>LEICESTERSHIRE!H37</f>
        <v>78168</v>
      </c>
      <c r="G130" s="195">
        <f>LEICESTERSHIRE!I37</f>
        <v>77071</v>
      </c>
      <c r="H130" s="195">
        <f>LEICESTERSHIRE!J37</f>
        <v>73995</v>
      </c>
      <c r="I130" s="195">
        <f>LEICESTERSHIRE!K37</f>
        <v>77432</v>
      </c>
      <c r="J130" s="195">
        <f>LEICESTERSHIRE!L37</f>
        <v>77784</v>
      </c>
      <c r="K130" s="196">
        <f t="shared" si="3"/>
        <v>8.9239389851613581E-3</v>
      </c>
      <c r="L130" s="196"/>
      <c r="M130" s="195">
        <f t="shared" si="4"/>
        <v>631</v>
      </c>
      <c r="N130" s="196">
        <f t="shared" si="5"/>
        <v>8.1785543011937325E-3</v>
      </c>
      <c r="O130" s="197">
        <v>91</v>
      </c>
      <c r="P130" s="197">
        <v>99</v>
      </c>
      <c r="Q130" s="197">
        <v>118</v>
      </c>
      <c r="R130" s="197">
        <v>113</v>
      </c>
      <c r="S130" s="197">
        <v>96</v>
      </c>
      <c r="T130" s="197">
        <v>94</v>
      </c>
      <c r="U130" s="197">
        <v>145</v>
      </c>
      <c r="V130" s="197">
        <v>118</v>
      </c>
      <c r="W130" s="197">
        <v>127</v>
      </c>
      <c r="X130" s="197"/>
      <c r="Y130" s="197">
        <v>380</v>
      </c>
      <c r="Z130" s="197"/>
    </row>
    <row r="131" spans="1:26">
      <c r="A131" s="191" t="str">
        <f>LAMBETH!A13</f>
        <v>Vauxhall BC</v>
      </c>
      <c r="B131" s="195">
        <f>LAMBETH!D13</f>
        <v>71781</v>
      </c>
      <c r="C131" s="195">
        <f>LAMBETH!E13</f>
        <v>73274</v>
      </c>
      <c r="D131" s="195">
        <f>LAMBETH!F13</f>
        <v>74006</v>
      </c>
      <c r="E131" s="195">
        <f>LAMBETH!G13</f>
        <v>74009</v>
      </c>
      <c r="F131" s="195">
        <f>LAMBETH!H13</f>
        <v>73878</v>
      </c>
      <c r="G131" s="195">
        <f>LAMBETH!I13</f>
        <v>73708</v>
      </c>
      <c r="H131" s="195">
        <f>LAMBETH!J13</f>
        <v>71358</v>
      </c>
      <c r="I131" s="195">
        <f>LAMBETH!K13</f>
        <v>76234</v>
      </c>
      <c r="J131" s="195">
        <f>LAMBETH!L13</f>
        <v>77735</v>
      </c>
      <c r="K131" s="196">
        <f t="shared" si="3"/>
        <v>8.2946740780986614E-2</v>
      </c>
      <c r="L131" s="196"/>
      <c r="M131" s="195">
        <f t="shared" si="4"/>
        <v>582</v>
      </c>
      <c r="N131" s="196">
        <f t="shared" si="5"/>
        <v>7.5434526201184661E-3</v>
      </c>
      <c r="O131" s="197">
        <v>258</v>
      </c>
      <c r="P131" s="197">
        <v>217</v>
      </c>
      <c r="Q131" s="197">
        <v>198</v>
      </c>
      <c r="R131" s="197">
        <v>212</v>
      </c>
      <c r="S131" s="197">
        <v>211</v>
      </c>
      <c r="T131" s="197">
        <v>170</v>
      </c>
      <c r="U131" s="197">
        <v>221</v>
      </c>
      <c r="V131" s="197">
        <v>145</v>
      </c>
      <c r="W131" s="197">
        <v>128</v>
      </c>
      <c r="X131" s="197"/>
      <c r="Y131" s="197">
        <v>479</v>
      </c>
      <c r="Z131" s="197"/>
    </row>
    <row r="132" spans="1:26">
      <c r="A132" s="191" t="str">
        <f>'WEST YORKSHIRE'!A21</f>
        <v>Calder Valley CC</v>
      </c>
      <c r="B132" s="195">
        <f>'WEST YORKSHIRE'!D21</f>
        <v>77069</v>
      </c>
      <c r="C132" s="195">
        <f>'WEST YORKSHIRE'!E21</f>
        <v>76041</v>
      </c>
      <c r="D132" s="195">
        <f>'WEST YORKSHIRE'!F21</f>
        <v>77224</v>
      </c>
      <c r="E132" s="195">
        <f>'WEST YORKSHIRE'!G21</f>
        <v>77167</v>
      </c>
      <c r="F132" s="195">
        <f>'WEST YORKSHIRE'!H21</f>
        <v>76538</v>
      </c>
      <c r="G132" s="195">
        <f>'WEST YORKSHIRE'!I21</f>
        <v>75049</v>
      </c>
      <c r="H132" s="195">
        <f>'WEST YORKSHIRE'!J21</f>
        <v>75059</v>
      </c>
      <c r="I132" s="195">
        <f>'WEST YORKSHIRE'!K21</f>
        <v>76876</v>
      </c>
      <c r="J132" s="195">
        <f>'WEST YORKSHIRE'!L21</f>
        <v>77674</v>
      </c>
      <c r="K132" s="196">
        <f t="shared" ref="K132:K195" si="6">(J132-B132)/B132</f>
        <v>7.8501083444705386E-3</v>
      </c>
      <c r="L132" s="196"/>
      <c r="M132" s="195">
        <f t="shared" ref="M132:M195" si="7">J132-$J$544</f>
        <v>521</v>
      </c>
      <c r="N132" s="196">
        <f t="shared" ref="N132:N195" si="8">(J132-$J$544)/$J$544</f>
        <v>6.7528158334737472E-3</v>
      </c>
      <c r="O132" s="197">
        <v>92</v>
      </c>
      <c r="P132" s="197">
        <v>140</v>
      </c>
      <c r="Q132" s="197">
        <v>124</v>
      </c>
      <c r="R132" s="197">
        <v>138</v>
      </c>
      <c r="S132" s="197">
        <v>136</v>
      </c>
      <c r="T132" s="197">
        <v>144</v>
      </c>
      <c r="U132" s="197">
        <v>117</v>
      </c>
      <c r="V132" s="197">
        <v>131</v>
      </c>
      <c r="W132" s="197">
        <v>129</v>
      </c>
      <c r="X132" s="197"/>
      <c r="Y132" s="197">
        <v>85</v>
      </c>
      <c r="Z132" s="197"/>
    </row>
    <row r="133" spans="1:26">
      <c r="A133" s="191" t="str">
        <f>KENT!A68</f>
        <v>Tonbridge and Malling CC</v>
      </c>
      <c r="B133" s="195">
        <f>KENT!D70</f>
        <v>71009</v>
      </c>
      <c r="C133" s="195">
        <f>KENT!E70</f>
        <v>71989</v>
      </c>
      <c r="D133" s="195">
        <f>KENT!F70</f>
        <v>72836</v>
      </c>
      <c r="E133" s="195">
        <f>KENT!G70</f>
        <v>73607</v>
      </c>
      <c r="F133" s="195">
        <f>KENT!H70</f>
        <v>70199</v>
      </c>
      <c r="G133" s="195">
        <f>KENT!I70</f>
        <v>72671</v>
      </c>
      <c r="H133" s="195">
        <f>KENT!J70</f>
        <v>73617</v>
      </c>
      <c r="I133" s="195">
        <f>KENT!K70</f>
        <v>76689</v>
      </c>
      <c r="J133" s="195">
        <f>KENT!L70</f>
        <v>77545</v>
      </c>
      <c r="K133" s="196">
        <f t="shared" si="6"/>
        <v>9.2044670393893732E-2</v>
      </c>
      <c r="L133" s="196"/>
      <c r="M133" s="195">
        <f t="shared" si="7"/>
        <v>392</v>
      </c>
      <c r="N133" s="196">
        <f t="shared" si="8"/>
        <v>5.0808134486021285E-3</v>
      </c>
      <c r="O133" s="197">
        <v>293</v>
      </c>
      <c r="P133" s="197">
        <v>273</v>
      </c>
      <c r="Q133" s="197">
        <v>254</v>
      </c>
      <c r="R133" s="197">
        <v>231</v>
      </c>
      <c r="S133" s="197">
        <v>349</v>
      </c>
      <c r="T133" s="197">
        <v>201</v>
      </c>
      <c r="U133" s="197">
        <v>151</v>
      </c>
      <c r="V133" s="197">
        <v>134</v>
      </c>
      <c r="W133" s="197">
        <v>130</v>
      </c>
      <c r="X133" s="197"/>
      <c r="Y133" s="197">
        <v>468</v>
      </c>
      <c r="Z133" s="197"/>
    </row>
    <row r="134" spans="1:26">
      <c r="A134" s="191" t="str">
        <f>SUFFOLK!A19</f>
        <v>Central Suffolk and North Ipswich CC</v>
      </c>
      <c r="B134" s="195">
        <f>SUFFOLK!D22</f>
        <v>76137</v>
      </c>
      <c r="C134" s="195">
        <f>SUFFOLK!E22</f>
        <v>76177</v>
      </c>
      <c r="D134" s="195">
        <f>SUFFOLK!F22</f>
        <v>76553</v>
      </c>
      <c r="E134" s="195">
        <f>SUFFOLK!G22</f>
        <v>76839</v>
      </c>
      <c r="F134" s="195">
        <f>SUFFOLK!H22</f>
        <v>75883</v>
      </c>
      <c r="G134" s="195">
        <f>SUFFOLK!I22</f>
        <v>75504</v>
      </c>
      <c r="H134" s="195">
        <f>SUFFOLK!J22</f>
        <v>74698</v>
      </c>
      <c r="I134" s="195">
        <f>SUFFOLK!K22</f>
        <v>77049</v>
      </c>
      <c r="J134" s="195">
        <f>SUFFOLK!L22</f>
        <v>77487</v>
      </c>
      <c r="K134" s="196">
        <f t="shared" si="6"/>
        <v>1.7731195082548563E-2</v>
      </c>
      <c r="L134" s="196"/>
      <c r="M134" s="195">
        <f t="shared" si="7"/>
        <v>334</v>
      </c>
      <c r="N134" s="196">
        <f t="shared" si="8"/>
        <v>4.3290604383497723E-3</v>
      </c>
      <c r="O134" s="197">
        <v>121</v>
      </c>
      <c r="P134" s="197">
        <v>136</v>
      </c>
      <c r="Q134" s="197">
        <v>140</v>
      </c>
      <c r="R134" s="197">
        <v>142</v>
      </c>
      <c r="S134" s="197">
        <v>150</v>
      </c>
      <c r="T134" s="197">
        <v>133</v>
      </c>
      <c r="U134" s="197">
        <v>126</v>
      </c>
      <c r="V134" s="197">
        <v>128</v>
      </c>
      <c r="W134" s="197">
        <v>131</v>
      </c>
      <c r="X134" s="197"/>
      <c r="Y134" s="197">
        <v>95</v>
      </c>
      <c r="Z134" s="197"/>
    </row>
    <row r="135" spans="1:26">
      <c r="A135" s="191" t="str">
        <f>NOTTINGHAMSHIRE!A15</f>
        <v>Ashfield CC</v>
      </c>
      <c r="B135" s="195">
        <f>NOTTINGHAMSHIRE!D17</f>
        <v>77692</v>
      </c>
      <c r="C135" s="195">
        <f>NOTTINGHAMSHIRE!E17</f>
        <v>77049</v>
      </c>
      <c r="D135" s="195">
        <f>NOTTINGHAMSHIRE!F17</f>
        <v>77862</v>
      </c>
      <c r="E135" s="195">
        <f>NOTTINGHAMSHIRE!G17</f>
        <v>78018</v>
      </c>
      <c r="F135" s="195">
        <f>NOTTINGHAMSHIRE!H17</f>
        <v>74345</v>
      </c>
      <c r="G135" s="195">
        <f>NOTTINGHAMSHIRE!I17</f>
        <v>76203</v>
      </c>
      <c r="H135" s="195">
        <f>NOTTINGHAMSHIRE!J17</f>
        <v>76490</v>
      </c>
      <c r="I135" s="195">
        <f>NOTTINGHAMSHIRE!K17</f>
        <v>77290</v>
      </c>
      <c r="J135" s="195">
        <f>NOTTINGHAMSHIRE!L17</f>
        <v>77478</v>
      </c>
      <c r="K135" s="196">
        <f t="shared" si="6"/>
        <v>-2.7544663543221954E-3</v>
      </c>
      <c r="L135" s="196"/>
      <c r="M135" s="195">
        <f t="shared" si="7"/>
        <v>325</v>
      </c>
      <c r="N135" s="196">
        <f t="shared" si="8"/>
        <v>4.2124091091726825E-3</v>
      </c>
      <c r="O135" s="197">
        <v>74</v>
      </c>
      <c r="P135" s="197">
        <v>108</v>
      </c>
      <c r="Q135" s="197">
        <v>97</v>
      </c>
      <c r="R135" s="197">
        <v>105</v>
      </c>
      <c r="S135" s="197">
        <v>192</v>
      </c>
      <c r="T135" s="197">
        <v>115</v>
      </c>
      <c r="U135" s="197">
        <v>87</v>
      </c>
      <c r="V135" s="197">
        <v>124</v>
      </c>
      <c r="W135" s="197">
        <v>132</v>
      </c>
      <c r="X135" s="197"/>
      <c r="Y135" s="197">
        <v>6</v>
      </c>
      <c r="Z135" s="197"/>
    </row>
    <row r="136" spans="1:26">
      <c r="A136" s="191" t="str">
        <f>NORFOLK!A39</f>
        <v>South West Norfolk CC</v>
      </c>
      <c r="B136" s="195">
        <f>NORFOLK!D41</f>
        <v>74186</v>
      </c>
      <c r="C136" s="195">
        <f>NORFOLK!E41</f>
        <v>75034</v>
      </c>
      <c r="D136" s="195">
        <f>NORFOLK!F41</f>
        <v>75935</v>
      </c>
      <c r="E136" s="195">
        <f>NORFOLK!G41</f>
        <v>77196</v>
      </c>
      <c r="F136" s="195">
        <f>NORFOLK!H41</f>
        <v>75185</v>
      </c>
      <c r="G136" s="195">
        <f>NORFOLK!I41</f>
        <v>75184</v>
      </c>
      <c r="H136" s="195">
        <f>NORFOLK!J41</f>
        <v>76225</v>
      </c>
      <c r="I136" s="195">
        <f>NORFOLK!K41</f>
        <v>77325</v>
      </c>
      <c r="J136" s="195">
        <f>NORFOLK!L41</f>
        <v>77453</v>
      </c>
      <c r="K136" s="196">
        <f t="shared" si="6"/>
        <v>4.403795864448818E-2</v>
      </c>
      <c r="L136" s="196"/>
      <c r="M136" s="195">
        <f t="shared" si="7"/>
        <v>300</v>
      </c>
      <c r="N136" s="196">
        <f t="shared" si="8"/>
        <v>3.8883776392363224E-3</v>
      </c>
      <c r="O136" s="197">
        <v>169</v>
      </c>
      <c r="P136" s="197">
        <v>165</v>
      </c>
      <c r="Q136" s="197">
        <v>158</v>
      </c>
      <c r="R136" s="197">
        <v>136</v>
      </c>
      <c r="S136" s="197">
        <v>169</v>
      </c>
      <c r="T136" s="197">
        <v>138</v>
      </c>
      <c r="U136" s="197">
        <v>92</v>
      </c>
      <c r="V136" s="197">
        <v>123</v>
      </c>
      <c r="W136" s="197">
        <v>133</v>
      </c>
      <c r="X136" s="197"/>
      <c r="Y136" s="197">
        <v>423</v>
      </c>
      <c r="Z136" s="197"/>
    </row>
    <row r="137" spans="1:26">
      <c r="A137" s="191" t="str">
        <f>LEICESTERSHIRE!A26</f>
        <v>Harborough CC</v>
      </c>
      <c r="B137" s="195">
        <f>LEICESTERSHIRE!D28</f>
        <v>78125</v>
      </c>
      <c r="C137" s="195">
        <f>LEICESTERSHIRE!E28</f>
        <v>78753</v>
      </c>
      <c r="D137" s="195">
        <f>LEICESTERSHIRE!F28</f>
        <v>78600</v>
      </c>
      <c r="E137" s="195">
        <f>LEICESTERSHIRE!G28</f>
        <v>79380</v>
      </c>
      <c r="F137" s="195">
        <f>LEICESTERSHIRE!H28</f>
        <v>79769</v>
      </c>
      <c r="G137" s="195">
        <f>LEICESTERSHIRE!I28</f>
        <v>76614</v>
      </c>
      <c r="H137" s="195">
        <f>LEICESTERSHIRE!J28</f>
        <v>74967</v>
      </c>
      <c r="I137" s="195">
        <f>LEICESTERSHIRE!K28</f>
        <v>76542</v>
      </c>
      <c r="J137" s="195">
        <f>LEICESTERSHIRE!L28</f>
        <v>77395</v>
      </c>
      <c r="K137" s="196">
        <f t="shared" si="6"/>
        <v>-9.3439999999999999E-3</v>
      </c>
      <c r="L137" s="196"/>
      <c r="M137" s="195">
        <f t="shared" si="7"/>
        <v>242</v>
      </c>
      <c r="N137" s="196">
        <f t="shared" si="8"/>
        <v>3.1366246289839671E-3</v>
      </c>
      <c r="O137" s="197">
        <v>67</v>
      </c>
      <c r="P137" s="197">
        <v>62</v>
      </c>
      <c r="Q137" s="197">
        <v>76</v>
      </c>
      <c r="R137" s="197">
        <v>68</v>
      </c>
      <c r="S137" s="197">
        <v>58</v>
      </c>
      <c r="T137" s="197">
        <v>107</v>
      </c>
      <c r="U137" s="197">
        <v>120</v>
      </c>
      <c r="V137" s="197">
        <v>138</v>
      </c>
      <c r="W137" s="197">
        <v>134</v>
      </c>
      <c r="X137" s="197"/>
      <c r="Y137" s="197">
        <v>199</v>
      </c>
      <c r="Z137" s="197"/>
    </row>
    <row r="138" spans="1:26">
      <c r="A138" s="191" t="str">
        <f>CORNWALL!A16</f>
        <v>St Austell and Newquay CC</v>
      </c>
      <c r="B138" s="195">
        <f>CORNWALL!D16</f>
        <v>75721</v>
      </c>
      <c r="C138" s="195">
        <f>CORNWALL!E16</f>
        <v>75974</v>
      </c>
      <c r="D138" s="195">
        <f>CORNWALL!F16</f>
        <v>75311</v>
      </c>
      <c r="E138" s="195">
        <f>CORNWALL!G16</f>
        <v>75905</v>
      </c>
      <c r="F138" s="195">
        <f>CORNWALL!H16</f>
        <v>73808</v>
      </c>
      <c r="G138" s="195">
        <f>CORNWALL!I16</f>
        <v>75117</v>
      </c>
      <c r="H138" s="195">
        <f>CORNWALL!J16</f>
        <v>71674</v>
      </c>
      <c r="I138" s="195">
        <f>CORNWALL!K16</f>
        <v>74673</v>
      </c>
      <c r="J138" s="195">
        <f>CORNWALL!L16</f>
        <v>77338</v>
      </c>
      <c r="K138" s="196">
        <f t="shared" si="6"/>
        <v>2.1354710054014077E-2</v>
      </c>
      <c r="L138" s="196"/>
      <c r="M138" s="195">
        <f t="shared" si="7"/>
        <v>185</v>
      </c>
      <c r="N138" s="196">
        <f t="shared" si="8"/>
        <v>2.3978328775290658E-3</v>
      </c>
      <c r="O138" s="197">
        <v>134</v>
      </c>
      <c r="P138" s="197">
        <v>142</v>
      </c>
      <c r="Q138" s="197">
        <v>172</v>
      </c>
      <c r="R138" s="197">
        <v>163</v>
      </c>
      <c r="S138" s="197">
        <v>215</v>
      </c>
      <c r="T138" s="197">
        <v>140</v>
      </c>
      <c r="U138" s="197">
        <v>210</v>
      </c>
      <c r="V138" s="197">
        <v>172</v>
      </c>
      <c r="W138" s="197">
        <v>135</v>
      </c>
      <c r="X138" s="197"/>
      <c r="Y138" s="197">
        <v>432</v>
      </c>
      <c r="Z138" s="197"/>
    </row>
    <row r="139" spans="1:26">
      <c r="A139" s="191" t="str">
        <f>SURREY!A44</f>
        <v>South West Surrey CC</v>
      </c>
      <c r="B139" s="195">
        <f>SURREY!D44</f>
        <v>76719</v>
      </c>
      <c r="C139" s="195">
        <f>SURREY!E44</f>
        <v>76495</v>
      </c>
      <c r="D139" s="195">
        <f>SURREY!F44</f>
        <v>77088</v>
      </c>
      <c r="E139" s="195">
        <f>SURREY!G44</f>
        <v>77711</v>
      </c>
      <c r="F139" s="195">
        <f>SURREY!H44</f>
        <v>78138</v>
      </c>
      <c r="G139" s="195">
        <f>SURREY!I44</f>
        <v>76226</v>
      </c>
      <c r="H139" s="195">
        <f>SURREY!J44</f>
        <v>74494</v>
      </c>
      <c r="I139" s="195">
        <f>SURREY!K44</f>
        <v>77351</v>
      </c>
      <c r="J139" s="195">
        <f>SURREY!L44</f>
        <v>77319</v>
      </c>
      <c r="K139" s="196">
        <f t="shared" si="6"/>
        <v>7.8207484456262466E-3</v>
      </c>
      <c r="L139" s="196"/>
      <c r="M139" s="195">
        <f t="shared" si="7"/>
        <v>166</v>
      </c>
      <c r="N139" s="196">
        <f t="shared" si="8"/>
        <v>2.1515689603774321E-3</v>
      </c>
      <c r="O139" s="197">
        <v>105</v>
      </c>
      <c r="P139" s="197">
        <v>127</v>
      </c>
      <c r="Q139" s="197">
        <v>128</v>
      </c>
      <c r="R139" s="197">
        <v>121</v>
      </c>
      <c r="S139" s="197">
        <v>98</v>
      </c>
      <c r="T139" s="197">
        <v>114</v>
      </c>
      <c r="U139" s="197">
        <v>134</v>
      </c>
      <c r="V139" s="197">
        <v>120</v>
      </c>
      <c r="W139" s="197">
        <v>136</v>
      </c>
      <c r="X139" s="197"/>
      <c r="Y139" s="197">
        <v>424</v>
      </c>
      <c r="Z139" s="197"/>
    </row>
    <row r="140" spans="1:26">
      <c r="A140" s="191" t="str">
        <f>'WEST SUSSEX'!A37</f>
        <v>Worthing West BC</v>
      </c>
      <c r="B140" s="195">
        <f>'WEST SUSSEX'!D39</f>
        <v>73784</v>
      </c>
      <c r="C140" s="195">
        <f>'WEST SUSSEX'!E39</f>
        <v>74468</v>
      </c>
      <c r="D140" s="195">
        <f>'WEST SUSSEX'!F39</f>
        <v>74794</v>
      </c>
      <c r="E140" s="195">
        <f>'WEST SUSSEX'!G39</f>
        <v>75113</v>
      </c>
      <c r="F140" s="195">
        <f>'WEST SUSSEX'!H39</f>
        <v>73157</v>
      </c>
      <c r="G140" s="195">
        <f>'WEST SUSSEX'!I39</f>
        <v>72664</v>
      </c>
      <c r="H140" s="195">
        <f>'WEST SUSSEX'!J39</f>
        <v>73452</v>
      </c>
      <c r="I140" s="195">
        <f>'WEST SUSSEX'!K39</f>
        <v>76622</v>
      </c>
      <c r="J140" s="195">
        <f>'WEST SUSSEX'!L39</f>
        <v>77270</v>
      </c>
      <c r="K140" s="196">
        <f t="shared" si="6"/>
        <v>4.7246015396291877E-2</v>
      </c>
      <c r="L140" s="196"/>
      <c r="M140" s="195">
        <f t="shared" si="7"/>
        <v>117</v>
      </c>
      <c r="N140" s="196">
        <f t="shared" si="8"/>
        <v>1.5164672793021659E-3</v>
      </c>
      <c r="O140" s="197">
        <v>176</v>
      </c>
      <c r="P140" s="197">
        <v>177</v>
      </c>
      <c r="Q140" s="197">
        <v>182</v>
      </c>
      <c r="R140" s="197">
        <v>180</v>
      </c>
      <c r="S140" s="197">
        <v>241</v>
      </c>
      <c r="T140" s="197">
        <v>202</v>
      </c>
      <c r="U140" s="197">
        <v>156</v>
      </c>
      <c r="V140" s="197">
        <v>136</v>
      </c>
      <c r="W140" s="197">
        <v>137</v>
      </c>
      <c r="X140" s="197"/>
      <c r="Y140" s="197">
        <v>526</v>
      </c>
      <c r="Z140" s="197"/>
    </row>
    <row r="141" spans="1:26">
      <c r="A141" s="191" t="str">
        <f>CHESHIRE!A15</f>
        <v>Congleton CC</v>
      </c>
      <c r="B141" s="195">
        <f>CHESHIRE!D15</f>
        <v>74806</v>
      </c>
      <c r="C141" s="195">
        <f>CHESHIRE!E15</f>
        <v>73820</v>
      </c>
      <c r="D141" s="195">
        <f>CHESHIRE!F15</f>
        <v>74083</v>
      </c>
      <c r="E141" s="195">
        <f>CHESHIRE!G15</f>
        <v>74031</v>
      </c>
      <c r="F141" s="195">
        <f>CHESHIRE!H15</f>
        <v>74371</v>
      </c>
      <c r="G141" s="195">
        <f>CHESHIRE!I15</f>
        <v>69960</v>
      </c>
      <c r="H141" s="195">
        <f>CHESHIRE!J15</f>
        <v>71102</v>
      </c>
      <c r="I141" s="195">
        <f>CHESHIRE!K15</f>
        <v>76465</v>
      </c>
      <c r="J141" s="195">
        <f>CHESHIRE!L15</f>
        <v>77258</v>
      </c>
      <c r="K141" s="196">
        <f t="shared" si="6"/>
        <v>3.2778119402186993E-2</v>
      </c>
      <c r="L141" s="196"/>
      <c r="M141" s="195">
        <f t="shared" si="7"/>
        <v>105</v>
      </c>
      <c r="N141" s="196">
        <f t="shared" si="8"/>
        <v>1.3609321737327129E-3</v>
      </c>
      <c r="O141" s="197">
        <v>156</v>
      </c>
      <c r="P141" s="197">
        <v>193</v>
      </c>
      <c r="Q141" s="197">
        <v>195</v>
      </c>
      <c r="R141" s="197">
        <v>210</v>
      </c>
      <c r="S141" s="197">
        <v>187</v>
      </c>
      <c r="T141" s="197">
        <v>293</v>
      </c>
      <c r="U141" s="197">
        <v>227</v>
      </c>
      <c r="V141" s="197">
        <v>139</v>
      </c>
      <c r="W141" s="197">
        <v>138</v>
      </c>
      <c r="X141" s="197"/>
      <c r="Y141" s="197">
        <v>117</v>
      </c>
      <c r="Z141" s="197"/>
    </row>
    <row r="142" spans="1:26">
      <c r="A142" s="191" t="str">
        <f>'TYNE &amp; WEAR'!A34</f>
        <v>North Tyneside BC</v>
      </c>
      <c r="B142" s="195">
        <f>'TYNE &amp; WEAR'!D34</f>
        <v>78389</v>
      </c>
      <c r="C142" s="195">
        <f>'TYNE &amp; WEAR'!E34</f>
        <v>78617</v>
      </c>
      <c r="D142" s="195">
        <f>'TYNE &amp; WEAR'!F34</f>
        <v>79376</v>
      </c>
      <c r="E142" s="195">
        <f>'TYNE &amp; WEAR'!G34</f>
        <v>79681</v>
      </c>
      <c r="F142" s="195">
        <f>'TYNE &amp; WEAR'!H34</f>
        <v>79565</v>
      </c>
      <c r="G142" s="195">
        <f>'TYNE &amp; WEAR'!I34</f>
        <v>78182</v>
      </c>
      <c r="H142" s="195">
        <f>'TYNE &amp; WEAR'!J34</f>
        <v>76427</v>
      </c>
      <c r="I142" s="195">
        <f>'TYNE &amp; WEAR'!K34</f>
        <v>78191</v>
      </c>
      <c r="J142" s="195">
        <f>'TYNE &amp; WEAR'!L34</f>
        <v>77252</v>
      </c>
      <c r="K142" s="196">
        <f t="shared" si="6"/>
        <v>-1.4504586102641952E-2</v>
      </c>
      <c r="L142" s="196"/>
      <c r="M142" s="195">
        <f t="shared" si="7"/>
        <v>99</v>
      </c>
      <c r="N142" s="196">
        <f t="shared" si="8"/>
        <v>1.2831646209479864E-3</v>
      </c>
      <c r="O142" s="197">
        <v>60</v>
      </c>
      <c r="P142" s="197">
        <v>65</v>
      </c>
      <c r="Q142" s="197">
        <v>57</v>
      </c>
      <c r="R142" s="197">
        <v>61</v>
      </c>
      <c r="S142" s="197">
        <v>67</v>
      </c>
      <c r="T142" s="197">
        <v>68</v>
      </c>
      <c r="U142" s="197">
        <v>88</v>
      </c>
      <c r="V142" s="197">
        <v>102</v>
      </c>
      <c r="W142" s="197">
        <v>139</v>
      </c>
      <c r="X142" s="197"/>
      <c r="Y142" s="197">
        <v>324</v>
      </c>
      <c r="Z142" s="197"/>
    </row>
    <row r="143" spans="1:26">
      <c r="A143" s="191" t="str">
        <f>WORCESTERSHIRE!A28</f>
        <v>Wyre Forest CC</v>
      </c>
      <c r="B143" s="195">
        <f>WORCESTERSHIRE!D28</f>
        <v>76774</v>
      </c>
      <c r="C143" s="195">
        <f>WORCESTERSHIRE!E28</f>
        <v>77800</v>
      </c>
      <c r="D143" s="195">
        <f>WORCESTERSHIRE!F28</f>
        <v>77635</v>
      </c>
      <c r="E143" s="195">
        <f>WORCESTERSHIRE!G28</f>
        <v>77314</v>
      </c>
      <c r="F143" s="195">
        <f>WORCESTERSHIRE!H28</f>
        <v>76831</v>
      </c>
      <c r="G143" s="195">
        <f>WORCESTERSHIRE!I28</f>
        <v>77206</v>
      </c>
      <c r="H143" s="195">
        <f>WORCESTERSHIRE!J28</f>
        <v>75226</v>
      </c>
      <c r="I143" s="195">
        <f>WORCESTERSHIRE!K28</f>
        <v>77342</v>
      </c>
      <c r="J143" s="195">
        <f>WORCESTERSHIRE!L28</f>
        <v>77231</v>
      </c>
      <c r="K143" s="196">
        <f t="shared" si="6"/>
        <v>5.9525360147966756E-3</v>
      </c>
      <c r="L143" s="196"/>
      <c r="M143" s="195">
        <f t="shared" si="7"/>
        <v>78</v>
      </c>
      <c r="N143" s="196">
        <f t="shared" si="8"/>
        <v>1.0109781862014439E-3</v>
      </c>
      <c r="O143" s="197">
        <v>102</v>
      </c>
      <c r="P143" s="197">
        <v>86</v>
      </c>
      <c r="Q143" s="197">
        <v>104</v>
      </c>
      <c r="R143" s="197">
        <v>132</v>
      </c>
      <c r="S143" s="197">
        <v>128</v>
      </c>
      <c r="T143" s="197">
        <v>90</v>
      </c>
      <c r="U143" s="197">
        <v>115</v>
      </c>
      <c r="V143" s="197">
        <v>121</v>
      </c>
      <c r="W143" s="197">
        <v>140</v>
      </c>
      <c r="X143" s="197"/>
      <c r="Y143" s="197">
        <v>529</v>
      </c>
      <c r="Z143" s="197"/>
    </row>
    <row r="144" spans="1:26">
      <c r="A144" s="191" t="str">
        <f>NOTTINGHAMSHIRE!A19</f>
        <v>Bassetlaw CC</v>
      </c>
      <c r="B144" s="195">
        <f>NOTTINGHAMSHIRE!D19</f>
        <v>76741</v>
      </c>
      <c r="C144" s="195">
        <f>NOTTINGHAMSHIRE!E19</f>
        <v>78306</v>
      </c>
      <c r="D144" s="195">
        <f>NOTTINGHAMSHIRE!F19</f>
        <v>77724</v>
      </c>
      <c r="E144" s="195">
        <f>NOTTINGHAMSHIRE!G19</f>
        <v>78482</v>
      </c>
      <c r="F144" s="195">
        <f>NOTTINGHAMSHIRE!H19</f>
        <v>77996</v>
      </c>
      <c r="G144" s="195">
        <f>NOTTINGHAMSHIRE!I19</f>
        <v>75910</v>
      </c>
      <c r="H144" s="195">
        <f>NOTTINGHAMSHIRE!J19</f>
        <v>76764</v>
      </c>
      <c r="I144" s="195">
        <f>NOTTINGHAMSHIRE!K19</f>
        <v>77546</v>
      </c>
      <c r="J144" s="195">
        <f>NOTTINGHAMSHIRE!L19</f>
        <v>77184</v>
      </c>
      <c r="K144" s="196">
        <f t="shared" si="6"/>
        <v>5.7726638954405073E-3</v>
      </c>
      <c r="L144" s="196"/>
      <c r="M144" s="195">
        <f t="shared" si="7"/>
        <v>31</v>
      </c>
      <c r="N144" s="196">
        <f t="shared" si="8"/>
        <v>4.0179902272108667E-4</v>
      </c>
      <c r="O144" s="197">
        <v>103</v>
      </c>
      <c r="P144" s="197">
        <v>75</v>
      </c>
      <c r="Q144" s="197">
        <v>102</v>
      </c>
      <c r="R144" s="197">
        <v>91</v>
      </c>
      <c r="S144" s="197">
        <v>101</v>
      </c>
      <c r="T144" s="197">
        <v>126</v>
      </c>
      <c r="U144" s="197">
        <v>84</v>
      </c>
      <c r="V144" s="197">
        <v>116</v>
      </c>
      <c r="W144" s="197">
        <v>141</v>
      </c>
      <c r="X144" s="197"/>
      <c r="Y144" s="197">
        <v>17</v>
      </c>
      <c r="Z144" s="197"/>
    </row>
    <row r="145" spans="1:26">
      <c r="A145" s="191" t="str">
        <f>'NORTH YORKSHIRE'!A27</f>
        <v>Skipton and Ripon CC</v>
      </c>
      <c r="B145" s="195">
        <f>'NORTH YORKSHIRE'!D29</f>
        <v>76654</v>
      </c>
      <c r="C145" s="195">
        <f>'NORTH YORKSHIRE'!E29</f>
        <v>77098</v>
      </c>
      <c r="D145" s="195">
        <f>'NORTH YORKSHIRE'!F29</f>
        <v>77329</v>
      </c>
      <c r="E145" s="195">
        <f>'NORTH YORKSHIRE'!G29</f>
        <v>78008</v>
      </c>
      <c r="F145" s="195">
        <f>'NORTH YORKSHIRE'!H29</f>
        <v>77255</v>
      </c>
      <c r="G145" s="195">
        <f>'NORTH YORKSHIRE'!I29</f>
        <v>76065</v>
      </c>
      <c r="H145" s="195">
        <f>'NORTH YORKSHIRE'!J29</f>
        <v>74270</v>
      </c>
      <c r="I145" s="195">
        <f>'NORTH YORKSHIRE'!K29</f>
        <v>76841</v>
      </c>
      <c r="J145" s="195">
        <f>'NORTH YORKSHIRE'!L29</f>
        <v>77167</v>
      </c>
      <c r="K145" s="196">
        <f t="shared" si="6"/>
        <v>6.6924100503561457E-3</v>
      </c>
      <c r="L145" s="196"/>
      <c r="M145" s="195">
        <f t="shared" si="7"/>
        <v>14</v>
      </c>
      <c r="N145" s="196">
        <f t="shared" si="8"/>
        <v>1.8145762316436171E-4</v>
      </c>
      <c r="O145" s="197">
        <v>107</v>
      </c>
      <c r="P145" s="197">
        <v>107</v>
      </c>
      <c r="Q145" s="197">
        <v>119</v>
      </c>
      <c r="R145" s="197">
        <v>106</v>
      </c>
      <c r="S145" s="197">
        <v>120</v>
      </c>
      <c r="T145" s="197">
        <v>120</v>
      </c>
      <c r="U145" s="197">
        <v>138</v>
      </c>
      <c r="V145" s="197">
        <v>132</v>
      </c>
      <c r="W145" s="197">
        <v>142</v>
      </c>
      <c r="X145" s="197"/>
      <c r="Y145" s="197">
        <v>399</v>
      </c>
      <c r="Z145" s="197"/>
    </row>
    <row r="146" spans="1:26">
      <c r="A146" s="191" t="str">
        <f>'WEST MIDLANDS'!A51</f>
        <v>Solihull BC</v>
      </c>
      <c r="B146" s="195">
        <f>'WEST MIDLANDS'!D51</f>
        <v>76638</v>
      </c>
      <c r="C146" s="195">
        <f>'WEST MIDLANDS'!E51</f>
        <v>77354</v>
      </c>
      <c r="D146" s="195">
        <f>'WEST MIDLANDS'!F51</f>
        <v>75634</v>
      </c>
      <c r="E146" s="195">
        <f>'WEST MIDLANDS'!G51</f>
        <v>77132</v>
      </c>
      <c r="F146" s="195">
        <f>'WEST MIDLANDS'!H51</f>
        <v>78153</v>
      </c>
      <c r="G146" s="195">
        <f>'WEST MIDLANDS'!I51</f>
        <v>76638</v>
      </c>
      <c r="H146" s="195">
        <f>'WEST MIDLANDS'!J51</f>
        <v>75121</v>
      </c>
      <c r="I146" s="195">
        <f>'WEST MIDLANDS'!K51</f>
        <v>78112</v>
      </c>
      <c r="J146" s="195">
        <f>'WEST MIDLANDS'!L51</f>
        <v>77078</v>
      </c>
      <c r="K146" s="196">
        <f t="shared" si="6"/>
        <v>5.7412771732038934E-3</v>
      </c>
      <c r="L146" s="196"/>
      <c r="M146" s="195">
        <f t="shared" si="7"/>
        <v>-75</v>
      </c>
      <c r="N146" s="196">
        <f t="shared" si="8"/>
        <v>-9.7209440980908061E-4</v>
      </c>
      <c r="O146" s="197">
        <v>108</v>
      </c>
      <c r="P146" s="197">
        <v>98</v>
      </c>
      <c r="Q146" s="197">
        <v>164</v>
      </c>
      <c r="R146" s="197">
        <v>139</v>
      </c>
      <c r="S146" s="197">
        <v>97</v>
      </c>
      <c r="T146" s="197">
        <v>105</v>
      </c>
      <c r="U146" s="197">
        <v>116</v>
      </c>
      <c r="V146" s="197">
        <v>104</v>
      </c>
      <c r="W146" s="197">
        <v>143</v>
      </c>
      <c r="X146" s="197"/>
      <c r="Y146" s="197">
        <v>402</v>
      </c>
      <c r="Z146" s="197"/>
    </row>
    <row r="147" spans="1:26">
      <c r="A147" s="191" t="str">
        <f>LANCASHIRE!A57</f>
        <v>Ribble Valley CC</v>
      </c>
      <c r="B147" s="195">
        <f>LANCASHIRE!D59</f>
        <v>77282</v>
      </c>
      <c r="C147" s="195">
        <f>LANCASHIRE!E59</f>
        <v>77437</v>
      </c>
      <c r="D147" s="195">
        <f>LANCASHIRE!F59</f>
        <v>77216</v>
      </c>
      <c r="E147" s="195">
        <f>LANCASHIRE!G59</f>
        <v>77315</v>
      </c>
      <c r="F147" s="195">
        <f>LANCASHIRE!H59</f>
        <v>77362</v>
      </c>
      <c r="G147" s="195">
        <f>LANCASHIRE!I59</f>
        <v>76413</v>
      </c>
      <c r="H147" s="195">
        <f>LANCASHIRE!J59</f>
        <v>75348</v>
      </c>
      <c r="I147" s="195">
        <f>LANCASHIRE!K59</f>
        <v>75365</v>
      </c>
      <c r="J147" s="195">
        <f>LANCASHIRE!L59</f>
        <v>76974</v>
      </c>
      <c r="K147" s="196">
        <f t="shared" si="6"/>
        <v>-3.985404104448643E-3</v>
      </c>
      <c r="L147" s="196"/>
      <c r="M147" s="195">
        <f t="shared" si="7"/>
        <v>-179</v>
      </c>
      <c r="N147" s="196">
        <f t="shared" si="8"/>
        <v>-2.3200653247443391E-3</v>
      </c>
      <c r="O147" s="197">
        <v>82</v>
      </c>
      <c r="P147" s="197">
        <v>95</v>
      </c>
      <c r="Q147" s="197">
        <v>125</v>
      </c>
      <c r="R147" s="197">
        <v>131</v>
      </c>
      <c r="S147" s="197">
        <v>119</v>
      </c>
      <c r="T147" s="197">
        <v>110</v>
      </c>
      <c r="U147" s="197">
        <v>111</v>
      </c>
      <c r="V147" s="197">
        <v>152</v>
      </c>
      <c r="W147" s="197">
        <v>144</v>
      </c>
      <c r="X147" s="197"/>
      <c r="Y147" s="197">
        <v>365</v>
      </c>
      <c r="Z147" s="197"/>
    </row>
    <row r="148" spans="1:26">
      <c r="A148" s="191" t="str">
        <f>'WEST SUSSEX'!A21</f>
        <v>Bognor Regis and Littlehampton CC</v>
      </c>
      <c r="B148" s="195">
        <f>'WEST SUSSEX'!D21</f>
        <v>71033</v>
      </c>
      <c r="C148" s="195">
        <f>'WEST SUSSEX'!E21</f>
        <v>70535</v>
      </c>
      <c r="D148" s="195">
        <f>'WEST SUSSEX'!F21</f>
        <v>70659</v>
      </c>
      <c r="E148" s="195">
        <f>'WEST SUSSEX'!G21</f>
        <v>70161</v>
      </c>
      <c r="F148" s="195">
        <f>'WEST SUSSEX'!H21</f>
        <v>69300</v>
      </c>
      <c r="G148" s="195">
        <f>'WEST SUSSEX'!I21</f>
        <v>71042</v>
      </c>
      <c r="H148" s="195">
        <f>'WEST SUSSEX'!J21</f>
        <v>72190</v>
      </c>
      <c r="I148" s="195">
        <f>'WEST SUSSEX'!K21</f>
        <v>74372</v>
      </c>
      <c r="J148" s="195">
        <f>'WEST SUSSEX'!L21</f>
        <v>76852</v>
      </c>
      <c r="K148" s="196">
        <f t="shared" si="6"/>
        <v>8.1919671138766484E-2</v>
      </c>
      <c r="L148" s="196"/>
      <c r="M148" s="195">
        <f t="shared" si="7"/>
        <v>-301</v>
      </c>
      <c r="N148" s="196">
        <f t="shared" si="8"/>
        <v>-3.901338898033777E-3</v>
      </c>
      <c r="O148" s="197">
        <v>292</v>
      </c>
      <c r="P148" s="197">
        <v>326</v>
      </c>
      <c r="Q148" s="197">
        <v>330</v>
      </c>
      <c r="R148" s="197">
        <v>349</v>
      </c>
      <c r="S148" s="197">
        <v>362</v>
      </c>
      <c r="T148" s="197">
        <v>266</v>
      </c>
      <c r="U148" s="197">
        <v>189</v>
      </c>
      <c r="V148" s="197">
        <v>183</v>
      </c>
      <c r="W148" s="197">
        <v>145</v>
      </c>
      <c r="X148" s="197"/>
      <c r="Y148" s="197">
        <v>47</v>
      </c>
      <c r="Z148" s="197"/>
    </row>
    <row r="149" spans="1:26">
      <c r="A149" s="191" t="str">
        <f>LINCOLNSHIRE!A35</f>
        <v>South Holland and The Deepings CC</v>
      </c>
      <c r="B149" s="195">
        <f>LINCOLNSHIRE!D37</f>
        <v>76529</v>
      </c>
      <c r="C149" s="195">
        <f>LINCOLNSHIRE!E37</f>
        <v>76939</v>
      </c>
      <c r="D149" s="195">
        <f>LINCOLNSHIRE!F37</f>
        <v>76691</v>
      </c>
      <c r="E149" s="195">
        <f>LINCOLNSHIRE!G37</f>
        <v>76709</v>
      </c>
      <c r="F149" s="195">
        <f>LINCOLNSHIRE!H37</f>
        <v>75877</v>
      </c>
      <c r="G149" s="195">
        <f>LINCOLNSHIRE!I37</f>
        <v>75600</v>
      </c>
      <c r="H149" s="195">
        <f>LINCOLNSHIRE!J37</f>
        <v>74332</v>
      </c>
      <c r="I149" s="195">
        <f>LINCOLNSHIRE!K37</f>
        <v>77627</v>
      </c>
      <c r="J149" s="195">
        <f>LINCOLNSHIRE!L37</f>
        <v>76722</v>
      </c>
      <c r="K149" s="196">
        <f t="shared" si="6"/>
        <v>2.5219197951103505E-3</v>
      </c>
      <c r="L149" s="196"/>
      <c r="M149" s="195">
        <f t="shared" si="7"/>
        <v>-431</v>
      </c>
      <c r="N149" s="196">
        <f t="shared" si="8"/>
        <v>-5.5863025417028506E-3</v>
      </c>
      <c r="O149" s="197">
        <v>114</v>
      </c>
      <c r="P149" s="197">
        <v>116</v>
      </c>
      <c r="Q149" s="197">
        <v>137</v>
      </c>
      <c r="R149" s="197">
        <v>147</v>
      </c>
      <c r="S149" s="197">
        <v>151</v>
      </c>
      <c r="T149" s="197">
        <v>130</v>
      </c>
      <c r="U149" s="197">
        <v>136</v>
      </c>
      <c r="V149" s="197">
        <v>115</v>
      </c>
      <c r="W149" s="197">
        <v>146</v>
      </c>
      <c r="X149" s="197"/>
      <c r="Y149" s="197">
        <v>410</v>
      </c>
      <c r="Z149" s="197"/>
    </row>
    <row r="150" spans="1:26">
      <c r="A150" s="191" t="str">
        <f>GLOUCESTERSHIRE!A14</f>
        <v>Cheltenham BC</v>
      </c>
      <c r="B150" s="195">
        <f>GLOUCESTERSHIRE!D14</f>
        <v>78469</v>
      </c>
      <c r="C150" s="195">
        <f>GLOUCESTERSHIRE!E14</f>
        <v>77937</v>
      </c>
      <c r="D150" s="195">
        <f>GLOUCESTERSHIRE!F14</f>
        <v>77929</v>
      </c>
      <c r="E150" s="195">
        <f>GLOUCESTERSHIRE!G14</f>
        <v>77939</v>
      </c>
      <c r="F150" s="195">
        <f>GLOUCESTERSHIRE!H14</f>
        <v>77605</v>
      </c>
      <c r="G150" s="195">
        <f>GLOUCESTERSHIRE!I14</f>
        <v>74891</v>
      </c>
      <c r="H150" s="195">
        <f>GLOUCESTERSHIRE!J14</f>
        <v>77222</v>
      </c>
      <c r="I150" s="195">
        <f>GLOUCESTERSHIRE!K14</f>
        <v>75351</v>
      </c>
      <c r="J150" s="195">
        <f>GLOUCESTERSHIRE!L14</f>
        <v>76708</v>
      </c>
      <c r="K150" s="196">
        <f t="shared" si="6"/>
        <v>-2.2441983458435816E-2</v>
      </c>
      <c r="L150" s="196"/>
      <c r="M150" s="195">
        <f t="shared" si="7"/>
        <v>-445</v>
      </c>
      <c r="N150" s="196">
        <f t="shared" si="8"/>
        <v>-5.7677601648672121E-3</v>
      </c>
      <c r="O150" s="197">
        <v>57</v>
      </c>
      <c r="P150" s="197">
        <v>81</v>
      </c>
      <c r="Q150" s="197">
        <v>94</v>
      </c>
      <c r="R150" s="197">
        <v>110</v>
      </c>
      <c r="S150" s="197">
        <v>111</v>
      </c>
      <c r="T150" s="197">
        <v>146</v>
      </c>
      <c r="U150" s="197">
        <v>72</v>
      </c>
      <c r="V150" s="197">
        <v>154</v>
      </c>
      <c r="W150" s="197">
        <v>147</v>
      </c>
      <c r="X150" s="197"/>
      <c r="Y150" s="197">
        <v>100</v>
      </c>
      <c r="Z150" s="197"/>
    </row>
    <row r="151" spans="1:26">
      <c r="A151" s="191" t="str">
        <f>BUCKINGHAMSHIRE!A16</f>
        <v>Beaconsfield CC</v>
      </c>
      <c r="B151" s="195">
        <f>BUCKINGHAMSHIRE!D18</f>
        <v>74284</v>
      </c>
      <c r="C151" s="195">
        <f>BUCKINGHAMSHIRE!E18</f>
        <v>75320</v>
      </c>
      <c r="D151" s="195">
        <f>BUCKINGHAMSHIRE!F18</f>
        <v>75807</v>
      </c>
      <c r="E151" s="195">
        <f>BUCKINGHAMSHIRE!G18</f>
        <v>75909</v>
      </c>
      <c r="F151" s="195">
        <f>BUCKINGHAMSHIRE!H18</f>
        <v>76771</v>
      </c>
      <c r="G151" s="195">
        <f>BUCKINGHAMSHIRE!I18</f>
        <v>75981</v>
      </c>
      <c r="H151" s="195">
        <f>BUCKINGHAMSHIRE!J18</f>
        <v>73984</v>
      </c>
      <c r="I151" s="195">
        <f>BUCKINGHAMSHIRE!K18</f>
        <v>76717</v>
      </c>
      <c r="J151" s="195">
        <f>BUCKINGHAMSHIRE!L18</f>
        <v>76582</v>
      </c>
      <c r="K151" s="196">
        <f t="shared" si="6"/>
        <v>3.0935329276829467E-2</v>
      </c>
      <c r="L151" s="196"/>
      <c r="M151" s="195">
        <f t="shared" si="7"/>
        <v>-571</v>
      </c>
      <c r="N151" s="196">
        <f t="shared" si="8"/>
        <v>-7.4008787733464672E-3</v>
      </c>
      <c r="O151" s="197">
        <v>167</v>
      </c>
      <c r="P151" s="197">
        <v>154</v>
      </c>
      <c r="Q151" s="197">
        <v>159</v>
      </c>
      <c r="R151" s="197">
        <v>162</v>
      </c>
      <c r="S151" s="197">
        <v>131</v>
      </c>
      <c r="T151" s="197">
        <v>122</v>
      </c>
      <c r="U151" s="197">
        <v>146</v>
      </c>
      <c r="V151" s="197">
        <v>133</v>
      </c>
      <c r="W151" s="197">
        <v>148</v>
      </c>
      <c r="X151" s="197"/>
      <c r="Y151" s="197">
        <v>21</v>
      </c>
      <c r="Z151" s="197"/>
    </row>
    <row r="152" spans="1:26">
      <c r="A152" s="191" t="str">
        <f>ESSEX!A41</f>
        <v>Colchester BC</v>
      </c>
      <c r="B152" s="195">
        <f>ESSEX!D41</f>
        <v>73501</v>
      </c>
      <c r="C152" s="195">
        <f>ESSEX!E41</f>
        <v>73638</v>
      </c>
      <c r="D152" s="195">
        <f>ESSEX!F41</f>
        <v>73928</v>
      </c>
      <c r="E152" s="195">
        <f>ESSEX!G41</f>
        <v>76414</v>
      </c>
      <c r="F152" s="195">
        <f>ESSEX!H41</f>
        <v>72841</v>
      </c>
      <c r="G152" s="195">
        <f>ESSEX!I41</f>
        <v>69819</v>
      </c>
      <c r="H152" s="195">
        <f>ESSEX!J41</f>
        <v>72295</v>
      </c>
      <c r="I152" s="195">
        <f>ESSEX!K41</f>
        <v>79607</v>
      </c>
      <c r="J152" s="195">
        <f>ESSEX!L41</f>
        <v>76556</v>
      </c>
      <c r="K152" s="196">
        <f t="shared" si="6"/>
        <v>4.1564060352920366E-2</v>
      </c>
      <c r="L152" s="196"/>
      <c r="M152" s="195">
        <f t="shared" si="7"/>
        <v>-597</v>
      </c>
      <c r="N152" s="196">
        <f t="shared" si="8"/>
        <v>-7.7378715020802822E-3</v>
      </c>
      <c r="O152" s="197">
        <v>180</v>
      </c>
      <c r="P152" s="197">
        <v>201</v>
      </c>
      <c r="Q152" s="197">
        <v>204</v>
      </c>
      <c r="R152" s="197">
        <v>151</v>
      </c>
      <c r="S152" s="197">
        <v>250</v>
      </c>
      <c r="T152" s="197">
        <v>299</v>
      </c>
      <c r="U152" s="197">
        <v>186</v>
      </c>
      <c r="V152" s="197">
        <v>75</v>
      </c>
      <c r="W152" s="197">
        <v>149</v>
      </c>
      <c r="X152" s="197"/>
      <c r="Y152" s="197">
        <v>115</v>
      </c>
      <c r="Z152" s="197"/>
    </row>
    <row r="153" spans="1:26">
      <c r="A153" s="191" t="str">
        <f>'EAST SUSSEX'!A31</f>
        <v>Hastings and Rye CC</v>
      </c>
      <c r="B153" s="195">
        <f>'EAST SUSSEX'!D33</f>
        <v>77022</v>
      </c>
      <c r="C153" s="195">
        <f>'EAST SUSSEX'!E33</f>
        <v>76422</v>
      </c>
      <c r="D153" s="195">
        <f>'EAST SUSSEX'!F33</f>
        <v>77542</v>
      </c>
      <c r="E153" s="195">
        <f>'EAST SUSSEX'!G33</f>
        <v>78326</v>
      </c>
      <c r="F153" s="195">
        <f>'EAST SUSSEX'!H33</f>
        <v>74126</v>
      </c>
      <c r="G153" s="195">
        <f>'EAST SUSSEX'!I33</f>
        <v>72760</v>
      </c>
      <c r="H153" s="195">
        <f>'EAST SUSSEX'!J33</f>
        <v>71672</v>
      </c>
      <c r="I153" s="195">
        <f>'EAST SUSSEX'!K33</f>
        <v>74924</v>
      </c>
      <c r="J153" s="195">
        <f>'EAST SUSSEX'!L33</f>
        <v>76549</v>
      </c>
      <c r="K153" s="196">
        <f t="shared" si="6"/>
        <v>-6.1411025421308201E-3</v>
      </c>
      <c r="L153" s="196"/>
      <c r="M153" s="195">
        <f t="shared" si="7"/>
        <v>-604</v>
      </c>
      <c r="N153" s="196">
        <f t="shared" si="8"/>
        <v>-7.8286003136624621E-3</v>
      </c>
      <c r="O153" s="197">
        <v>94</v>
      </c>
      <c r="P153" s="197">
        <v>130</v>
      </c>
      <c r="Q153" s="197">
        <v>106</v>
      </c>
      <c r="R153" s="197">
        <v>99</v>
      </c>
      <c r="S153" s="197">
        <v>206</v>
      </c>
      <c r="T153" s="197">
        <v>197</v>
      </c>
      <c r="U153" s="197">
        <v>211</v>
      </c>
      <c r="V153" s="197">
        <v>160</v>
      </c>
      <c r="W153" s="197">
        <v>150</v>
      </c>
      <c r="X153" s="197"/>
      <c r="Y153" s="197">
        <v>206</v>
      </c>
      <c r="Z153" s="197"/>
    </row>
    <row r="154" spans="1:26">
      <c r="A154" s="191" t="str">
        <f>SUFFOLK!A36</f>
        <v>West Suffolk CC</v>
      </c>
      <c r="B154" s="195">
        <f>SUFFOLK!D38</f>
        <v>74161</v>
      </c>
      <c r="C154" s="195">
        <f>SUFFOLK!E38</f>
        <v>76158</v>
      </c>
      <c r="D154" s="195">
        <f>SUFFOLK!F38</f>
        <v>76566</v>
      </c>
      <c r="E154" s="195">
        <f>SUFFOLK!G38</f>
        <v>77193</v>
      </c>
      <c r="F154" s="195">
        <f>SUFFOLK!H38</f>
        <v>76061</v>
      </c>
      <c r="G154" s="195">
        <f>SUFFOLK!I38</f>
        <v>75566</v>
      </c>
      <c r="H154" s="195">
        <f>SUFFOLK!J38</f>
        <v>72809</v>
      </c>
      <c r="I154" s="195">
        <f>SUFFOLK!K38</f>
        <v>77198</v>
      </c>
      <c r="J154" s="195">
        <f>SUFFOLK!L38</f>
        <v>76519</v>
      </c>
      <c r="K154" s="196">
        <f t="shared" si="6"/>
        <v>3.1795687760413152E-2</v>
      </c>
      <c r="L154" s="196"/>
      <c r="M154" s="195">
        <f t="shared" si="7"/>
        <v>-634</v>
      </c>
      <c r="N154" s="196">
        <f t="shared" si="8"/>
        <v>-8.2174380775860943E-3</v>
      </c>
      <c r="O154" s="197">
        <v>170</v>
      </c>
      <c r="P154" s="197">
        <v>137</v>
      </c>
      <c r="Q154" s="197">
        <v>139</v>
      </c>
      <c r="R154" s="197">
        <v>137</v>
      </c>
      <c r="S154" s="197">
        <v>147</v>
      </c>
      <c r="T154" s="197">
        <v>131</v>
      </c>
      <c r="U154" s="197">
        <v>170</v>
      </c>
      <c r="V154" s="197">
        <v>125</v>
      </c>
      <c r="W154" s="197">
        <v>151</v>
      </c>
      <c r="X154" s="197"/>
      <c r="Y154" s="197">
        <v>505</v>
      </c>
      <c r="Z154" s="197"/>
    </row>
    <row r="155" spans="1:26">
      <c r="A155" s="191" t="str">
        <f>'EAST SUSSEX'!A27</f>
        <v>Eastbourne BC</v>
      </c>
      <c r="B155" s="195">
        <f>'EAST SUSSEX'!D29</f>
        <v>77272</v>
      </c>
      <c r="C155" s="195">
        <f>'EAST SUSSEX'!E29</f>
        <v>76978</v>
      </c>
      <c r="D155" s="195">
        <f>'EAST SUSSEX'!F29</f>
        <v>77207</v>
      </c>
      <c r="E155" s="195">
        <f>'EAST SUSSEX'!G29</f>
        <v>78132</v>
      </c>
      <c r="F155" s="195">
        <f>'EAST SUSSEX'!H29</f>
        <v>76352</v>
      </c>
      <c r="G155" s="195">
        <f>'EAST SUSSEX'!I29</f>
        <v>76190</v>
      </c>
      <c r="H155" s="195">
        <f>'EAST SUSSEX'!J29</f>
        <v>74670</v>
      </c>
      <c r="I155" s="195">
        <f>'EAST SUSSEX'!K29</f>
        <v>76426</v>
      </c>
      <c r="J155" s="195">
        <f>'EAST SUSSEX'!L29</f>
        <v>76443</v>
      </c>
      <c r="K155" s="196">
        <f t="shared" si="6"/>
        <v>-1.0728336266694274E-2</v>
      </c>
      <c r="L155" s="196"/>
      <c r="M155" s="195">
        <f t="shared" si="7"/>
        <v>-710</v>
      </c>
      <c r="N155" s="196">
        <f t="shared" si="8"/>
        <v>-9.2024937461926311E-3</v>
      </c>
      <c r="O155" s="197">
        <v>83</v>
      </c>
      <c r="P155" s="197">
        <v>114</v>
      </c>
      <c r="Q155" s="197">
        <v>127</v>
      </c>
      <c r="R155" s="197">
        <v>104</v>
      </c>
      <c r="S155" s="197">
        <v>140</v>
      </c>
      <c r="T155" s="197">
        <v>116</v>
      </c>
      <c r="U155" s="197">
        <v>127</v>
      </c>
      <c r="V155" s="197">
        <v>141</v>
      </c>
      <c r="W155" s="197">
        <v>152</v>
      </c>
      <c r="X155" s="197"/>
      <c r="Y155" s="197">
        <v>155</v>
      </c>
      <c r="Z155" s="197"/>
    </row>
    <row r="156" spans="1:26">
      <c r="A156" s="191" t="str">
        <f>LEICESTERSHIRE!A32</f>
        <v>North West Leicestershire CC</v>
      </c>
      <c r="B156" s="195">
        <f>LEICESTERSHIRE!D32</f>
        <v>71108</v>
      </c>
      <c r="C156" s="195">
        <f>LEICESTERSHIRE!E32</f>
        <v>72022</v>
      </c>
      <c r="D156" s="195">
        <f>LEICESTERSHIRE!F32</f>
        <v>72392</v>
      </c>
      <c r="E156" s="195">
        <f>LEICESTERSHIRE!G32</f>
        <v>72823</v>
      </c>
      <c r="F156" s="195">
        <f>LEICESTERSHIRE!H32</f>
        <v>72678</v>
      </c>
      <c r="G156" s="195">
        <f>LEICESTERSHIRE!I32</f>
        <v>70231</v>
      </c>
      <c r="H156" s="195">
        <f>LEICESTERSHIRE!J32</f>
        <v>71377</v>
      </c>
      <c r="I156" s="195">
        <f>LEICESTERSHIRE!K32</f>
        <v>74767</v>
      </c>
      <c r="J156" s="195">
        <f>LEICESTERSHIRE!L32</f>
        <v>76225</v>
      </c>
      <c r="K156" s="196">
        <f t="shared" si="6"/>
        <v>7.1960960792034651E-2</v>
      </c>
      <c r="L156" s="196"/>
      <c r="M156" s="195">
        <f t="shared" si="7"/>
        <v>-928</v>
      </c>
      <c r="N156" s="196">
        <f t="shared" si="8"/>
        <v>-1.2028048164037691E-2</v>
      </c>
      <c r="O156" s="197">
        <v>288</v>
      </c>
      <c r="P156" s="197">
        <v>270</v>
      </c>
      <c r="Q156" s="197">
        <v>278</v>
      </c>
      <c r="R156" s="197">
        <v>272</v>
      </c>
      <c r="S156" s="197">
        <v>253</v>
      </c>
      <c r="T156" s="197">
        <v>283</v>
      </c>
      <c r="U156" s="197">
        <v>220</v>
      </c>
      <c r="V156" s="197">
        <v>167</v>
      </c>
      <c r="W156" s="197">
        <v>153</v>
      </c>
      <c r="X156" s="197"/>
      <c r="Y156" s="197">
        <v>329</v>
      </c>
      <c r="Z156" s="197"/>
    </row>
    <row r="157" spans="1:26">
      <c r="A157" s="191" t="str">
        <f>NOTTINGHAMSHIRE!A25</f>
        <v>Mansfield CC</v>
      </c>
      <c r="B157" s="195">
        <f>NOTTINGHAMSHIRE!D25</f>
        <v>80247</v>
      </c>
      <c r="C157" s="195">
        <f>NOTTINGHAMSHIRE!E25</f>
        <v>79849</v>
      </c>
      <c r="D157" s="195">
        <f>NOTTINGHAMSHIRE!F25</f>
        <v>79748</v>
      </c>
      <c r="E157" s="195">
        <f>NOTTINGHAMSHIRE!G25</f>
        <v>79714</v>
      </c>
      <c r="F157" s="195">
        <f>NOTTINGHAMSHIRE!H25</f>
        <v>75412</v>
      </c>
      <c r="G157" s="195">
        <f>NOTTINGHAMSHIRE!I25</f>
        <v>77022</v>
      </c>
      <c r="H157" s="195">
        <f>NOTTINGHAMSHIRE!J25</f>
        <v>74066</v>
      </c>
      <c r="I157" s="195">
        <f>NOTTINGHAMSHIRE!K25</f>
        <v>76353</v>
      </c>
      <c r="J157" s="195">
        <f>NOTTINGHAMSHIRE!L25</f>
        <v>76181</v>
      </c>
      <c r="K157" s="196">
        <f t="shared" si="6"/>
        <v>-5.0668560818472964E-2</v>
      </c>
      <c r="L157" s="196"/>
      <c r="M157" s="195">
        <f t="shared" si="7"/>
        <v>-972</v>
      </c>
      <c r="N157" s="196">
        <f t="shared" si="8"/>
        <v>-1.2598343551125685E-2</v>
      </c>
      <c r="O157" s="197">
        <v>32</v>
      </c>
      <c r="P157" s="197">
        <v>43</v>
      </c>
      <c r="Q157" s="197">
        <v>53</v>
      </c>
      <c r="R157" s="197">
        <v>60</v>
      </c>
      <c r="S157" s="197">
        <v>162</v>
      </c>
      <c r="T157" s="197">
        <v>95</v>
      </c>
      <c r="U157" s="197">
        <v>144</v>
      </c>
      <c r="V157" s="197">
        <v>143</v>
      </c>
      <c r="W157" s="197">
        <v>154</v>
      </c>
      <c r="X157" s="197"/>
      <c r="Y157" s="197">
        <v>281</v>
      </c>
      <c r="Z157" s="197"/>
    </row>
    <row r="158" spans="1:26">
      <c r="A158" s="191" t="str">
        <f>'NORTH YORKSHIRE'!A15</f>
        <v>Harrogate and Knaresborough CC</v>
      </c>
      <c r="B158" s="195">
        <f>'NORTH YORKSHIRE'!D15</f>
        <v>74560</v>
      </c>
      <c r="C158" s="195">
        <f>'NORTH YORKSHIRE'!E15</f>
        <v>75044</v>
      </c>
      <c r="D158" s="195">
        <f>'NORTH YORKSHIRE'!F15</f>
        <v>75020</v>
      </c>
      <c r="E158" s="195">
        <f>'NORTH YORKSHIRE'!G15</f>
        <v>76047</v>
      </c>
      <c r="F158" s="195">
        <f>'NORTH YORKSHIRE'!H15</f>
        <v>75563</v>
      </c>
      <c r="G158" s="195">
        <f>'NORTH YORKSHIRE'!I15</f>
        <v>75542</v>
      </c>
      <c r="H158" s="195">
        <f>'NORTH YORKSHIRE'!J15</f>
        <v>74319</v>
      </c>
      <c r="I158" s="195">
        <f>'NORTH YORKSHIRE'!K15</f>
        <v>76417</v>
      </c>
      <c r="J158" s="195">
        <f>'NORTH YORKSHIRE'!L15</f>
        <v>76053</v>
      </c>
      <c r="K158" s="196">
        <f t="shared" si="6"/>
        <v>2.0024141630901288E-2</v>
      </c>
      <c r="L158" s="196"/>
      <c r="M158" s="195">
        <f t="shared" si="7"/>
        <v>-1100</v>
      </c>
      <c r="N158" s="196">
        <f t="shared" si="8"/>
        <v>-1.425738467719985E-2</v>
      </c>
      <c r="O158" s="197">
        <v>162</v>
      </c>
      <c r="P158" s="197">
        <v>164</v>
      </c>
      <c r="Q158" s="197">
        <v>177</v>
      </c>
      <c r="R158" s="197">
        <v>159</v>
      </c>
      <c r="S158" s="197">
        <v>157</v>
      </c>
      <c r="T158" s="197">
        <v>132</v>
      </c>
      <c r="U158" s="197">
        <v>137</v>
      </c>
      <c r="V158" s="197">
        <v>142</v>
      </c>
      <c r="W158" s="197">
        <v>155</v>
      </c>
      <c r="X158" s="197"/>
      <c r="Y158" s="197">
        <v>201</v>
      </c>
      <c r="Z158" s="197"/>
    </row>
    <row r="159" spans="1:26">
      <c r="A159" s="191" t="str">
        <f>'WEST MIDLANDS'!A21</f>
        <v>Birmingham, Hall Green BC</v>
      </c>
      <c r="B159" s="195">
        <f>'WEST MIDLANDS'!D21</f>
        <v>76576</v>
      </c>
      <c r="C159" s="195">
        <f>'WEST MIDLANDS'!E21</f>
        <v>77157</v>
      </c>
      <c r="D159" s="195">
        <f>'WEST MIDLANDS'!F21</f>
        <v>78332</v>
      </c>
      <c r="E159" s="195">
        <f>'WEST MIDLANDS'!G21</f>
        <v>77606</v>
      </c>
      <c r="F159" s="195">
        <f>'WEST MIDLANDS'!H21</f>
        <v>75756</v>
      </c>
      <c r="G159" s="195">
        <f>'WEST MIDLANDS'!I21</f>
        <v>76176</v>
      </c>
      <c r="H159" s="195">
        <f>'WEST MIDLANDS'!J21</f>
        <v>73938</v>
      </c>
      <c r="I159" s="195">
        <f>'WEST MIDLANDS'!K21</f>
        <v>74790</v>
      </c>
      <c r="J159" s="195">
        <f>'WEST MIDLANDS'!L21</f>
        <v>76050</v>
      </c>
      <c r="K159" s="196">
        <f t="shared" si="6"/>
        <v>-6.8689928959465105E-3</v>
      </c>
      <c r="L159" s="196"/>
      <c r="M159" s="195">
        <f t="shared" si="7"/>
        <v>-1103</v>
      </c>
      <c r="N159" s="196">
        <f t="shared" si="8"/>
        <v>-1.4296268453592213E-2</v>
      </c>
      <c r="O159" s="197">
        <v>111</v>
      </c>
      <c r="P159" s="197">
        <v>104</v>
      </c>
      <c r="Q159" s="197">
        <v>84</v>
      </c>
      <c r="R159" s="197">
        <v>125</v>
      </c>
      <c r="S159" s="197">
        <v>153</v>
      </c>
      <c r="T159" s="197">
        <v>117</v>
      </c>
      <c r="U159" s="197">
        <v>147</v>
      </c>
      <c r="V159" s="197">
        <v>166</v>
      </c>
      <c r="W159" s="197">
        <v>156</v>
      </c>
      <c r="X159" s="197"/>
      <c r="Y159" s="197">
        <v>33</v>
      </c>
      <c r="Z159" s="197"/>
    </row>
    <row r="160" spans="1:26">
      <c r="A160" s="191" t="str">
        <f>BUCKINGHAMSHIRE!A26</f>
        <v>Wycombe CC</v>
      </c>
      <c r="B160" s="195">
        <f>BUCKINGHAMSHIRE!D26</f>
        <v>73306</v>
      </c>
      <c r="C160" s="195">
        <f>BUCKINGHAMSHIRE!E26</f>
        <v>73750</v>
      </c>
      <c r="D160" s="195">
        <f>BUCKINGHAMSHIRE!F26</f>
        <v>73326</v>
      </c>
      <c r="E160" s="195">
        <f>BUCKINGHAMSHIRE!G26</f>
        <v>71877</v>
      </c>
      <c r="F160" s="195">
        <f>BUCKINGHAMSHIRE!H26</f>
        <v>76375</v>
      </c>
      <c r="G160" s="195">
        <f>BUCKINGHAMSHIRE!I26</f>
        <v>73956</v>
      </c>
      <c r="H160" s="195">
        <f>BUCKINGHAMSHIRE!J26</f>
        <v>71712</v>
      </c>
      <c r="I160" s="195">
        <f>BUCKINGHAMSHIRE!K26</f>
        <v>75469</v>
      </c>
      <c r="J160" s="195">
        <f>BUCKINGHAMSHIRE!L26</f>
        <v>76046</v>
      </c>
      <c r="K160" s="196">
        <f t="shared" si="6"/>
        <v>3.7377568002619155E-2</v>
      </c>
      <c r="L160" s="196"/>
      <c r="M160" s="195">
        <f t="shared" si="7"/>
        <v>-1107</v>
      </c>
      <c r="N160" s="196">
        <f t="shared" si="8"/>
        <v>-1.4348113488782031E-2</v>
      </c>
      <c r="O160" s="197">
        <v>188</v>
      </c>
      <c r="P160" s="197">
        <v>197</v>
      </c>
      <c r="Q160" s="197">
        <v>230</v>
      </c>
      <c r="R160" s="197">
        <v>307</v>
      </c>
      <c r="S160" s="197">
        <v>139</v>
      </c>
      <c r="T160" s="197">
        <v>164</v>
      </c>
      <c r="U160" s="197">
        <v>209</v>
      </c>
      <c r="V160" s="197">
        <v>149</v>
      </c>
      <c r="W160" s="197">
        <v>157</v>
      </c>
      <c r="X160" s="197"/>
      <c r="Y160" s="197">
        <v>527</v>
      </c>
      <c r="Z160" s="197"/>
    </row>
    <row r="161" spans="1:26">
      <c r="A161" s="191" t="str">
        <f>'TYNE &amp; WEAR'!A40</f>
        <v>Tynemouth BC</v>
      </c>
      <c r="B161" s="195">
        <f>'TYNE &amp; WEAR'!D40</f>
        <v>76445</v>
      </c>
      <c r="C161" s="195">
        <f>'TYNE &amp; WEAR'!E40</f>
        <v>76618</v>
      </c>
      <c r="D161" s="195">
        <f>'TYNE &amp; WEAR'!F40</f>
        <v>77448</v>
      </c>
      <c r="E161" s="195">
        <f>'TYNE &amp; WEAR'!G40</f>
        <v>77798</v>
      </c>
      <c r="F161" s="195">
        <f>'TYNE &amp; WEAR'!H40</f>
        <v>77478</v>
      </c>
      <c r="G161" s="195">
        <f>'TYNE &amp; WEAR'!I40</f>
        <v>76592</v>
      </c>
      <c r="H161" s="195">
        <f>'TYNE &amp; WEAR'!J40</f>
        <v>74618</v>
      </c>
      <c r="I161" s="195">
        <f>'TYNE &amp; WEAR'!K40</f>
        <v>76447</v>
      </c>
      <c r="J161" s="195">
        <f>'TYNE &amp; WEAR'!L40</f>
        <v>75991</v>
      </c>
      <c r="K161" s="196">
        <f t="shared" si="6"/>
        <v>-5.9389103276865718E-3</v>
      </c>
      <c r="L161" s="196"/>
      <c r="M161" s="195">
        <f t="shared" si="7"/>
        <v>-1162</v>
      </c>
      <c r="N161" s="196">
        <f t="shared" si="8"/>
        <v>-1.5060982722642023E-2</v>
      </c>
      <c r="O161" s="197">
        <v>115</v>
      </c>
      <c r="P161" s="197">
        <v>126</v>
      </c>
      <c r="Q161" s="197">
        <v>111</v>
      </c>
      <c r="R161" s="197">
        <v>115</v>
      </c>
      <c r="S161" s="197">
        <v>115</v>
      </c>
      <c r="T161" s="197">
        <v>108</v>
      </c>
      <c r="U161" s="197">
        <v>130</v>
      </c>
      <c r="V161" s="197">
        <v>140</v>
      </c>
      <c r="W161" s="197">
        <v>158</v>
      </c>
      <c r="X161" s="197"/>
      <c r="Y161" s="197">
        <v>477</v>
      </c>
      <c r="Z161" s="197"/>
    </row>
    <row r="162" spans="1:26">
      <c r="A162" s="191" t="str">
        <f>LANCASHIRE!A37</f>
        <v>Chorley CC</v>
      </c>
      <c r="B162" s="195">
        <f>LANCASHIRE!D37</f>
        <v>71204</v>
      </c>
      <c r="C162" s="195">
        <f>LANCASHIRE!E37</f>
        <v>71333</v>
      </c>
      <c r="D162" s="195">
        <f>LANCASHIRE!F37</f>
        <v>72453</v>
      </c>
      <c r="E162" s="195">
        <f>LANCASHIRE!G37</f>
        <v>73562</v>
      </c>
      <c r="F162" s="195">
        <f>LANCASHIRE!H37</f>
        <v>74078</v>
      </c>
      <c r="G162" s="195">
        <f>LANCASHIRE!I37</f>
        <v>72480</v>
      </c>
      <c r="H162" s="195">
        <f>LANCASHIRE!J37</f>
        <v>73323</v>
      </c>
      <c r="I162" s="195">
        <f>LANCASHIRE!K37</f>
        <v>75380</v>
      </c>
      <c r="J162" s="195">
        <f>LANCASHIRE!L37</f>
        <v>75938</v>
      </c>
      <c r="K162" s="196">
        <f t="shared" si="6"/>
        <v>6.6485028930958937E-2</v>
      </c>
      <c r="L162" s="196"/>
      <c r="M162" s="195">
        <f t="shared" si="7"/>
        <v>-1215</v>
      </c>
      <c r="N162" s="196">
        <f t="shared" si="8"/>
        <v>-1.5747929438907106E-2</v>
      </c>
      <c r="O162" s="197">
        <v>283</v>
      </c>
      <c r="P162" s="197">
        <v>301</v>
      </c>
      <c r="Q162" s="197">
        <v>274</v>
      </c>
      <c r="R162" s="197">
        <v>232</v>
      </c>
      <c r="S162" s="197">
        <v>207</v>
      </c>
      <c r="T162" s="197">
        <v>214</v>
      </c>
      <c r="U162" s="197">
        <v>158</v>
      </c>
      <c r="V162" s="197">
        <v>150</v>
      </c>
      <c r="W162" s="197">
        <v>159</v>
      </c>
      <c r="X162" s="197"/>
      <c r="Y162" s="197">
        <v>108</v>
      </c>
      <c r="Z162" s="197"/>
    </row>
    <row r="163" spans="1:26">
      <c r="A163" s="191" t="str">
        <f>NOTTINGHAMSHIRE!A34</f>
        <v>Sherwood CC</v>
      </c>
      <c r="B163" s="195">
        <f>NOTTINGHAMSHIRE!D37</f>
        <v>71671</v>
      </c>
      <c r="C163" s="195">
        <f>NOTTINGHAMSHIRE!E37</f>
        <v>72111</v>
      </c>
      <c r="D163" s="195">
        <f>NOTTINGHAMSHIRE!F37</f>
        <v>72897</v>
      </c>
      <c r="E163" s="195">
        <f>NOTTINGHAMSHIRE!G37</f>
        <v>73124</v>
      </c>
      <c r="F163" s="195">
        <f>NOTTINGHAMSHIRE!H37</f>
        <v>71705</v>
      </c>
      <c r="G163" s="195">
        <f>NOTTINGHAMSHIRE!I37</f>
        <v>71662</v>
      </c>
      <c r="H163" s="195">
        <f>NOTTINGHAMSHIRE!J37</f>
        <v>72051</v>
      </c>
      <c r="I163" s="195">
        <f>NOTTINGHAMSHIRE!K37</f>
        <v>74381</v>
      </c>
      <c r="J163" s="195">
        <f>NOTTINGHAMSHIRE!L37</f>
        <v>75797</v>
      </c>
      <c r="K163" s="196">
        <f t="shared" si="6"/>
        <v>5.7568612130429325E-2</v>
      </c>
      <c r="L163" s="196"/>
      <c r="M163" s="195">
        <f t="shared" si="7"/>
        <v>-1356</v>
      </c>
      <c r="N163" s="196">
        <f t="shared" si="8"/>
        <v>-1.757546692934818E-2</v>
      </c>
      <c r="O163" s="197">
        <v>263</v>
      </c>
      <c r="P163" s="197">
        <v>266</v>
      </c>
      <c r="Q163" s="197">
        <v>252</v>
      </c>
      <c r="R163" s="197">
        <v>251</v>
      </c>
      <c r="S163" s="197">
        <v>295</v>
      </c>
      <c r="T163" s="197">
        <v>243</v>
      </c>
      <c r="U163" s="197">
        <v>195</v>
      </c>
      <c r="V163" s="197">
        <v>182</v>
      </c>
      <c r="W163" s="197">
        <v>160</v>
      </c>
      <c r="X163" s="197"/>
      <c r="Y163" s="197">
        <v>395</v>
      </c>
      <c r="Z163" s="197"/>
    </row>
    <row r="164" spans="1:26">
      <c r="A164" s="191" t="str">
        <f>WORCESTERSHIRE!A16</f>
        <v>Mid Worcestershire CC</v>
      </c>
      <c r="B164" s="195">
        <f>WORCESTERSHIRE!D16</f>
        <v>71858</v>
      </c>
      <c r="C164" s="195">
        <f>WORCESTERSHIRE!E16</f>
        <v>71660</v>
      </c>
      <c r="D164" s="195">
        <f>WORCESTERSHIRE!F16</f>
        <v>72641</v>
      </c>
      <c r="E164" s="195">
        <f>WORCESTERSHIRE!G16</f>
        <v>73227</v>
      </c>
      <c r="F164" s="195">
        <f>WORCESTERSHIRE!H16</f>
        <v>72649</v>
      </c>
      <c r="G164" s="195">
        <f>WORCESTERSHIRE!I16</f>
        <v>71461</v>
      </c>
      <c r="H164" s="195">
        <f>WORCESTERSHIRE!J16</f>
        <v>73420</v>
      </c>
      <c r="I164" s="195">
        <f>WORCESTERSHIRE!K16</f>
        <v>75378</v>
      </c>
      <c r="J164" s="195">
        <f>WORCESTERSHIRE!L16</f>
        <v>75796</v>
      </c>
      <c r="K164" s="196">
        <f t="shared" si="6"/>
        <v>5.4802527206434914E-2</v>
      </c>
      <c r="L164" s="196"/>
      <c r="M164" s="195">
        <f t="shared" si="7"/>
        <v>-1357</v>
      </c>
      <c r="N164" s="196">
        <f t="shared" si="8"/>
        <v>-1.7588428188145634E-2</v>
      </c>
      <c r="O164" s="197">
        <v>256</v>
      </c>
      <c r="P164" s="197">
        <v>291</v>
      </c>
      <c r="Q164" s="197">
        <v>264</v>
      </c>
      <c r="R164" s="197">
        <v>246</v>
      </c>
      <c r="S164" s="197">
        <v>255</v>
      </c>
      <c r="T164" s="197">
        <v>249</v>
      </c>
      <c r="U164" s="197">
        <v>157</v>
      </c>
      <c r="V164" s="197">
        <v>151</v>
      </c>
      <c r="W164" s="197">
        <v>161</v>
      </c>
      <c r="X164" s="197"/>
      <c r="Y164" s="197">
        <v>289</v>
      </c>
      <c r="Z164" s="197"/>
    </row>
    <row r="165" spans="1:26">
      <c r="A165" s="191" t="str">
        <f>NORFOLK!A15</f>
        <v>Broadland CC</v>
      </c>
      <c r="B165" s="195">
        <f>NORFOLK!D17</f>
        <v>71982</v>
      </c>
      <c r="C165" s="195">
        <f>NORFOLK!E17</f>
        <v>73066</v>
      </c>
      <c r="D165" s="195">
        <f>NORFOLK!F17</f>
        <v>73579</v>
      </c>
      <c r="E165" s="195">
        <f>NORFOLK!G17</f>
        <v>74314</v>
      </c>
      <c r="F165" s="195">
        <f>NORFOLK!H17</f>
        <v>73672</v>
      </c>
      <c r="G165" s="195">
        <f>NORFOLK!I17</f>
        <v>71688</v>
      </c>
      <c r="H165" s="195">
        <f>NORFOLK!J17</f>
        <v>72897</v>
      </c>
      <c r="I165" s="195">
        <f>NORFOLK!K17</f>
        <v>75519</v>
      </c>
      <c r="J165" s="195">
        <f>NORFOLK!L17</f>
        <v>75784</v>
      </c>
      <c r="K165" s="196">
        <f t="shared" si="6"/>
        <v>5.2818760245616957E-2</v>
      </c>
      <c r="L165" s="196"/>
      <c r="M165" s="195">
        <f t="shared" si="7"/>
        <v>-1369</v>
      </c>
      <c r="N165" s="196">
        <f t="shared" si="8"/>
        <v>-1.7743963293715085E-2</v>
      </c>
      <c r="O165" s="197">
        <v>246</v>
      </c>
      <c r="P165" s="197">
        <v>224</v>
      </c>
      <c r="Q165" s="197">
        <v>220</v>
      </c>
      <c r="R165" s="197">
        <v>200</v>
      </c>
      <c r="S165" s="197">
        <v>222</v>
      </c>
      <c r="T165" s="197">
        <v>242</v>
      </c>
      <c r="U165" s="197">
        <v>166</v>
      </c>
      <c r="V165" s="197">
        <v>146</v>
      </c>
      <c r="W165" s="197">
        <v>162</v>
      </c>
      <c r="X165" s="197"/>
      <c r="Y165" s="197">
        <v>74</v>
      </c>
      <c r="Z165" s="197"/>
    </row>
    <row r="166" spans="1:26">
      <c r="A166" s="191" t="str">
        <f>'GREATER MANCHESTER'!A67</f>
        <v>Salford and Eccles BC</v>
      </c>
      <c r="B166" s="195">
        <f>'GREATER MANCHESTER'!D67</f>
        <v>74817</v>
      </c>
      <c r="C166" s="195">
        <f>'GREATER MANCHESTER'!E67</f>
        <v>76863</v>
      </c>
      <c r="D166" s="195">
        <f>'GREATER MANCHESTER'!F67</f>
        <v>78217</v>
      </c>
      <c r="E166" s="195">
        <f>'GREATER MANCHESTER'!G67</f>
        <v>78545</v>
      </c>
      <c r="F166" s="195">
        <f>'GREATER MANCHESTER'!H67</f>
        <v>78803</v>
      </c>
      <c r="G166" s="195">
        <f>'GREATER MANCHESTER'!I67</f>
        <v>72464</v>
      </c>
      <c r="H166" s="195">
        <f>'GREATER MANCHESTER'!J67</f>
        <v>74161</v>
      </c>
      <c r="I166" s="195">
        <f>'GREATER MANCHESTER'!K67</f>
        <v>74300</v>
      </c>
      <c r="J166" s="195">
        <f>'GREATER MANCHESTER'!L67</f>
        <v>75775</v>
      </c>
      <c r="K166" s="196">
        <f t="shared" si="6"/>
        <v>1.2804576499993317E-2</v>
      </c>
      <c r="L166" s="196"/>
      <c r="M166" s="195">
        <f t="shared" si="7"/>
        <v>-1378</v>
      </c>
      <c r="N166" s="196">
        <f t="shared" si="8"/>
        <v>-1.7860614622892176E-2</v>
      </c>
      <c r="O166" s="197">
        <v>155</v>
      </c>
      <c r="P166" s="197">
        <v>119</v>
      </c>
      <c r="Q166" s="197">
        <v>87</v>
      </c>
      <c r="R166" s="197">
        <v>87</v>
      </c>
      <c r="S166" s="197">
        <v>80</v>
      </c>
      <c r="T166" s="197">
        <v>216</v>
      </c>
      <c r="U166" s="197">
        <v>140</v>
      </c>
      <c r="V166" s="197">
        <v>187</v>
      </c>
      <c r="W166" s="197">
        <v>163</v>
      </c>
      <c r="X166" s="197"/>
      <c r="Y166" s="197">
        <v>382</v>
      </c>
      <c r="Z166" s="197"/>
    </row>
    <row r="167" spans="1:26">
      <c r="A167" s="191" t="str">
        <f>WILTSHIRE!A15</f>
        <v>South West Wiltshire CC</v>
      </c>
      <c r="B167" s="195">
        <f>WILTSHIRE!D15</f>
        <v>71452</v>
      </c>
      <c r="C167" s="195">
        <f>WILTSHIRE!E15</f>
        <v>72820</v>
      </c>
      <c r="D167" s="195">
        <f>WILTSHIRE!F15</f>
        <v>72682</v>
      </c>
      <c r="E167" s="195">
        <f>WILTSHIRE!G15</f>
        <v>72798</v>
      </c>
      <c r="F167" s="195">
        <f>WILTSHIRE!H15</f>
        <v>72750</v>
      </c>
      <c r="G167" s="195">
        <f>WILTSHIRE!I15</f>
        <v>70765</v>
      </c>
      <c r="H167" s="195">
        <f>WILTSHIRE!J15</f>
        <v>71658</v>
      </c>
      <c r="I167" s="195">
        <f>WILTSHIRE!K15</f>
        <v>74745</v>
      </c>
      <c r="J167" s="195">
        <f>WILTSHIRE!L15</f>
        <v>75628</v>
      </c>
      <c r="K167" s="196">
        <f t="shared" si="6"/>
        <v>5.8444830095728602E-2</v>
      </c>
      <c r="L167" s="196"/>
      <c r="M167" s="195">
        <f t="shared" si="7"/>
        <v>-1525</v>
      </c>
      <c r="N167" s="196">
        <f t="shared" si="8"/>
        <v>-1.9765919666117973E-2</v>
      </c>
      <c r="O167" s="197">
        <v>273</v>
      </c>
      <c r="P167" s="197">
        <v>237</v>
      </c>
      <c r="Q167" s="197">
        <v>263</v>
      </c>
      <c r="R167" s="197">
        <v>273</v>
      </c>
      <c r="S167" s="197">
        <v>251</v>
      </c>
      <c r="T167" s="197">
        <v>271</v>
      </c>
      <c r="U167" s="197">
        <v>212</v>
      </c>
      <c r="V167" s="197">
        <v>168</v>
      </c>
      <c r="W167" s="197">
        <v>164</v>
      </c>
      <c r="X167" s="197"/>
      <c r="Y167" s="197">
        <v>425</v>
      </c>
      <c r="Z167" s="197"/>
    </row>
    <row r="168" spans="1:26">
      <c r="A168" s="191" t="str">
        <f>YORK!A9</f>
        <v>York Outer CC</v>
      </c>
      <c r="B168" s="195">
        <f>YORK!D9</f>
        <v>74797</v>
      </c>
      <c r="C168" s="195">
        <f>YORK!E9</f>
        <v>75125</v>
      </c>
      <c r="D168" s="195">
        <f>YORK!F9</f>
        <v>75483</v>
      </c>
      <c r="E168" s="195">
        <f>YORK!G9</f>
        <v>76025</v>
      </c>
      <c r="F168" s="195">
        <f>YORK!H9</f>
        <v>76677</v>
      </c>
      <c r="G168" s="195">
        <f>YORK!I9</f>
        <v>74638</v>
      </c>
      <c r="H168" s="195">
        <f>YORK!J9</f>
        <v>75778</v>
      </c>
      <c r="I168" s="195">
        <f>YORK!K9</f>
        <v>73331</v>
      </c>
      <c r="J168" s="195">
        <f>YORK!L9</f>
        <v>75489</v>
      </c>
      <c r="K168" s="196">
        <f t="shared" si="6"/>
        <v>9.2517079562014527E-3</v>
      </c>
      <c r="L168" s="196"/>
      <c r="M168" s="195">
        <f t="shared" si="7"/>
        <v>-1664</v>
      </c>
      <c r="N168" s="196">
        <f t="shared" si="8"/>
        <v>-2.1567534638964138E-2</v>
      </c>
      <c r="O168" s="197">
        <v>157</v>
      </c>
      <c r="P168" s="197">
        <v>160</v>
      </c>
      <c r="Q168" s="197">
        <v>168</v>
      </c>
      <c r="R168" s="197">
        <v>161</v>
      </c>
      <c r="S168" s="197">
        <v>133</v>
      </c>
      <c r="T168" s="197">
        <v>152</v>
      </c>
      <c r="U168" s="197">
        <v>102</v>
      </c>
      <c r="V168" s="197">
        <v>212</v>
      </c>
      <c r="W168" s="197">
        <v>165</v>
      </c>
      <c r="X168" s="197"/>
      <c r="Y168" s="197">
        <v>533</v>
      </c>
      <c r="Z168" s="197"/>
    </row>
    <row r="169" spans="1:26">
      <c r="A169" s="191" t="str">
        <f>'WEST YORKSHIRE'!A47</f>
        <v>Morley and Outwood CC</v>
      </c>
      <c r="B169" s="195">
        <f>'WEST YORKSHIRE'!D49</f>
        <v>74487</v>
      </c>
      <c r="C169" s="195">
        <f>'WEST YORKSHIRE'!E49</f>
        <v>75163</v>
      </c>
      <c r="D169" s="195">
        <f>'WEST YORKSHIRE'!F49</f>
        <v>75431</v>
      </c>
      <c r="E169" s="195">
        <f>'WEST YORKSHIRE'!G49</f>
        <v>75721</v>
      </c>
      <c r="F169" s="195">
        <f>'WEST YORKSHIRE'!H49</f>
        <v>74258</v>
      </c>
      <c r="G169" s="195">
        <f>'WEST YORKSHIRE'!I49</f>
        <v>75062</v>
      </c>
      <c r="H169" s="195">
        <f>'WEST YORKSHIRE'!J49</f>
        <v>73256</v>
      </c>
      <c r="I169" s="195">
        <f>'WEST YORKSHIRE'!K49</f>
        <v>75250</v>
      </c>
      <c r="J169" s="195">
        <f>'WEST YORKSHIRE'!L49</f>
        <v>75424</v>
      </c>
      <c r="K169" s="196">
        <f t="shared" si="6"/>
        <v>1.2579376266999611E-2</v>
      </c>
      <c r="L169" s="196"/>
      <c r="M169" s="195">
        <f t="shared" si="7"/>
        <v>-1729</v>
      </c>
      <c r="N169" s="196">
        <f t="shared" si="8"/>
        <v>-2.2410016460798671E-2</v>
      </c>
      <c r="O169" s="197">
        <v>163</v>
      </c>
      <c r="P169" s="197">
        <v>158</v>
      </c>
      <c r="Q169" s="197">
        <v>169</v>
      </c>
      <c r="R169" s="197">
        <v>168</v>
      </c>
      <c r="S169" s="197">
        <v>197</v>
      </c>
      <c r="T169" s="197">
        <v>143</v>
      </c>
      <c r="U169" s="197">
        <v>159</v>
      </c>
      <c r="V169" s="197">
        <v>155</v>
      </c>
      <c r="W169" s="197">
        <v>166</v>
      </c>
      <c r="X169" s="197"/>
      <c r="Y169" s="197">
        <v>297</v>
      </c>
      <c r="Z169" s="197"/>
    </row>
    <row r="170" spans="1:26">
      <c r="A170" s="191" t="str">
        <f>'NORTH YORKSHIRE'!A23</f>
        <v>Selby and Ainsty CC</v>
      </c>
      <c r="B170" s="195">
        <f>'NORTH YORKSHIRE'!D25</f>
        <v>72532</v>
      </c>
      <c r="C170" s="195">
        <f>'NORTH YORKSHIRE'!E25</f>
        <v>73580</v>
      </c>
      <c r="D170" s="195">
        <f>'NORTH YORKSHIRE'!F25</f>
        <v>73486</v>
      </c>
      <c r="E170" s="195">
        <f>'NORTH YORKSHIRE'!G25</f>
        <v>75359</v>
      </c>
      <c r="F170" s="195">
        <f>'NORTH YORKSHIRE'!H25</f>
        <v>75683</v>
      </c>
      <c r="G170" s="195">
        <f>'NORTH YORKSHIRE'!I25</f>
        <v>75453</v>
      </c>
      <c r="H170" s="195">
        <f>'NORTH YORKSHIRE'!J25</f>
        <v>72685</v>
      </c>
      <c r="I170" s="195">
        <f>'NORTH YORKSHIRE'!K25</f>
        <v>74872</v>
      </c>
      <c r="J170" s="195">
        <f>'NORTH YORKSHIRE'!L25</f>
        <v>75424</v>
      </c>
      <c r="K170" s="196">
        <f t="shared" si="6"/>
        <v>3.9872056471626317E-2</v>
      </c>
      <c r="L170" s="196"/>
      <c r="M170" s="195">
        <f t="shared" si="7"/>
        <v>-1729</v>
      </c>
      <c r="N170" s="196">
        <f t="shared" si="8"/>
        <v>-2.2410016460798671E-2</v>
      </c>
      <c r="O170" s="197">
        <v>219</v>
      </c>
      <c r="P170" s="197">
        <v>203</v>
      </c>
      <c r="Q170" s="197">
        <v>223</v>
      </c>
      <c r="R170" s="197">
        <v>176</v>
      </c>
      <c r="S170" s="197">
        <v>155</v>
      </c>
      <c r="T170" s="197">
        <v>134</v>
      </c>
      <c r="U170" s="197">
        <v>173</v>
      </c>
      <c r="V170" s="197">
        <v>162</v>
      </c>
      <c r="W170" s="197">
        <v>167</v>
      </c>
      <c r="X170" s="197"/>
      <c r="Y170" s="197">
        <v>388</v>
      </c>
      <c r="Z170" s="197"/>
    </row>
    <row r="171" spans="1:26">
      <c r="A171" s="191" t="str">
        <f>'GREATER MANCHESTER'!A79</f>
        <v>Wythenshawe and Sale East BC</v>
      </c>
      <c r="B171" s="195">
        <f>'GREATER MANCHESTER'!D81</f>
        <v>75096</v>
      </c>
      <c r="C171" s="195">
        <f>'GREATER MANCHESTER'!E81</f>
        <v>75602</v>
      </c>
      <c r="D171" s="195">
        <f>'GREATER MANCHESTER'!F81</f>
        <v>75205</v>
      </c>
      <c r="E171" s="195">
        <f>'GREATER MANCHESTER'!G81</f>
        <v>75598</v>
      </c>
      <c r="F171" s="195">
        <f>'GREATER MANCHESTER'!H81</f>
        <v>76214</v>
      </c>
      <c r="G171" s="195">
        <f>'GREATER MANCHESTER'!I81</f>
        <v>75772</v>
      </c>
      <c r="H171" s="195">
        <f>'GREATER MANCHESTER'!J81</f>
        <v>75919</v>
      </c>
      <c r="I171" s="195">
        <f>'GREATER MANCHESTER'!K81</f>
        <v>74673</v>
      </c>
      <c r="J171" s="195">
        <f>'GREATER MANCHESTER'!L81</f>
        <v>75373</v>
      </c>
      <c r="K171" s="196">
        <f t="shared" si="6"/>
        <v>3.68861191008842E-3</v>
      </c>
      <c r="L171" s="196"/>
      <c r="M171" s="195">
        <f t="shared" si="7"/>
        <v>-1780</v>
      </c>
      <c r="N171" s="196">
        <f t="shared" si="8"/>
        <v>-2.3071040659468849E-2</v>
      </c>
      <c r="O171" s="197">
        <v>144</v>
      </c>
      <c r="P171" s="197">
        <v>151</v>
      </c>
      <c r="Q171" s="197">
        <v>174</v>
      </c>
      <c r="R171" s="197">
        <v>170</v>
      </c>
      <c r="S171" s="197">
        <v>144</v>
      </c>
      <c r="T171" s="197">
        <v>128</v>
      </c>
      <c r="U171" s="197">
        <v>98</v>
      </c>
      <c r="V171" s="197">
        <v>171</v>
      </c>
      <c r="W171" s="197">
        <v>168</v>
      </c>
      <c r="X171" s="197"/>
      <c r="Y171" s="197">
        <v>530</v>
      </c>
      <c r="Z171" s="197"/>
    </row>
    <row r="172" spans="1:26">
      <c r="A172" s="191" t="str">
        <f>HERTFORDSHIRE!A32</f>
        <v>North East Hertfordshire CC</v>
      </c>
      <c r="B172" s="195">
        <f>HERTFORDSHIRE!D35</f>
        <v>71993</v>
      </c>
      <c r="C172" s="195">
        <f>HERTFORDSHIRE!E35</f>
        <v>72658</v>
      </c>
      <c r="D172" s="195">
        <f>HERTFORDSHIRE!F35</f>
        <v>72729</v>
      </c>
      <c r="E172" s="195">
        <f>HERTFORDSHIRE!G35</f>
        <v>73050</v>
      </c>
      <c r="F172" s="195">
        <f>HERTFORDSHIRE!H35</f>
        <v>72995</v>
      </c>
      <c r="G172" s="195">
        <f>HERTFORDSHIRE!I35</f>
        <v>72520</v>
      </c>
      <c r="H172" s="195">
        <f>HERTFORDSHIRE!J35</f>
        <v>72769</v>
      </c>
      <c r="I172" s="195">
        <f>HERTFORDSHIRE!K35</f>
        <v>74851</v>
      </c>
      <c r="J172" s="195">
        <f>HERTFORDSHIRE!L35</f>
        <v>75356</v>
      </c>
      <c r="K172" s="196">
        <f t="shared" si="6"/>
        <v>4.6712874862833889E-2</v>
      </c>
      <c r="L172" s="196"/>
      <c r="M172" s="195">
        <f t="shared" si="7"/>
        <v>-1797</v>
      </c>
      <c r="N172" s="196">
        <f t="shared" si="8"/>
        <v>-2.3291382059025572E-2</v>
      </c>
      <c r="O172" s="197">
        <v>244</v>
      </c>
      <c r="P172" s="197">
        <v>246</v>
      </c>
      <c r="Q172" s="197">
        <v>260</v>
      </c>
      <c r="R172" s="197">
        <v>253</v>
      </c>
      <c r="S172" s="197">
        <v>246</v>
      </c>
      <c r="T172" s="197">
        <v>211</v>
      </c>
      <c r="U172" s="197">
        <v>171</v>
      </c>
      <c r="V172" s="197">
        <v>165</v>
      </c>
      <c r="W172" s="197">
        <v>169</v>
      </c>
      <c r="X172" s="197"/>
      <c r="Y172" s="197">
        <v>316</v>
      </c>
      <c r="Z172" s="197"/>
    </row>
    <row r="173" spans="1:26">
      <c r="A173" s="191" t="str">
        <f>LEICESTER!A9</f>
        <v>Leicester South BC</v>
      </c>
      <c r="B173" s="195">
        <f>LEICESTER!D9</f>
        <v>77156</v>
      </c>
      <c r="C173" s="195">
        <f>LEICESTER!E9</f>
        <v>78433</v>
      </c>
      <c r="D173" s="195">
        <f>LEICESTER!F9</f>
        <v>80038</v>
      </c>
      <c r="E173" s="195">
        <f>LEICESTER!G9</f>
        <v>78404</v>
      </c>
      <c r="F173" s="195">
        <f>LEICESTER!H9</f>
        <v>77879</v>
      </c>
      <c r="G173" s="195">
        <f>LEICESTER!I9</f>
        <v>70055</v>
      </c>
      <c r="H173" s="195">
        <f>LEICESTER!J9</f>
        <v>72227</v>
      </c>
      <c r="I173" s="195">
        <f>LEICESTER!K9</f>
        <v>74554</v>
      </c>
      <c r="J173" s="195">
        <f>LEICESTER!L9</f>
        <v>75341</v>
      </c>
      <c r="K173" s="196">
        <f t="shared" si="6"/>
        <v>-2.352377002436622E-2</v>
      </c>
      <c r="L173" s="196"/>
      <c r="M173" s="195">
        <f t="shared" si="7"/>
        <v>-1812</v>
      </c>
      <c r="N173" s="196">
        <f t="shared" si="8"/>
        <v>-2.348580094098739E-2</v>
      </c>
      <c r="O173" s="197">
        <v>87</v>
      </c>
      <c r="P173" s="197">
        <v>72</v>
      </c>
      <c r="Q173" s="197">
        <v>48</v>
      </c>
      <c r="R173" s="197">
        <v>96</v>
      </c>
      <c r="S173" s="197">
        <v>105</v>
      </c>
      <c r="T173" s="197">
        <v>288</v>
      </c>
      <c r="U173" s="197">
        <v>188</v>
      </c>
      <c r="V173" s="197">
        <v>175</v>
      </c>
      <c r="W173" s="197">
        <v>170</v>
      </c>
      <c r="X173" s="197"/>
      <c r="Y173" s="197">
        <v>254</v>
      </c>
      <c r="Z173" s="197"/>
    </row>
    <row r="174" spans="1:26">
      <c r="A174" s="191" t="str">
        <f>BARKING!A7</f>
        <v>Barking BC</v>
      </c>
      <c r="B174" s="195">
        <f>BARKING!D7</f>
        <v>73303</v>
      </c>
      <c r="C174" s="195">
        <f>BARKING!E7</f>
        <v>74027</v>
      </c>
      <c r="D174" s="195">
        <f>BARKING!F7</f>
        <v>74824</v>
      </c>
      <c r="E174" s="195">
        <f>BARKING!G7</f>
        <v>75037</v>
      </c>
      <c r="F174" s="195">
        <f>BARKING!H7</f>
        <v>75468</v>
      </c>
      <c r="G174" s="195">
        <f>BARKING!I7</f>
        <v>72011</v>
      </c>
      <c r="H174" s="195">
        <f>BARKING!J7</f>
        <v>72314</v>
      </c>
      <c r="I174" s="195">
        <f>BARKING!K7</f>
        <v>74447</v>
      </c>
      <c r="J174" s="195">
        <f>BARKING!L7</f>
        <v>75267</v>
      </c>
      <c r="K174" s="196">
        <f t="shared" si="6"/>
        <v>2.6792900699834931E-2</v>
      </c>
      <c r="L174" s="196"/>
      <c r="M174" s="195">
        <f t="shared" si="7"/>
        <v>-1886</v>
      </c>
      <c r="N174" s="196">
        <f t="shared" si="8"/>
        <v>-2.4444934091999014E-2</v>
      </c>
      <c r="O174" s="197">
        <v>189</v>
      </c>
      <c r="P174" s="197">
        <v>186</v>
      </c>
      <c r="Q174" s="197">
        <v>181</v>
      </c>
      <c r="R174" s="197">
        <v>183</v>
      </c>
      <c r="S174" s="197">
        <v>161</v>
      </c>
      <c r="T174" s="197">
        <v>232</v>
      </c>
      <c r="U174" s="197">
        <v>185</v>
      </c>
      <c r="V174" s="197">
        <v>179</v>
      </c>
      <c r="W174" s="197">
        <v>171</v>
      </c>
      <c r="X174" s="197"/>
      <c r="Y174" s="197">
        <v>11</v>
      </c>
      <c r="Z174" s="197"/>
    </row>
    <row r="175" spans="1:26">
      <c r="A175" s="191" t="str">
        <f>SUFFOLK!A26</f>
        <v>South Suffolk CC</v>
      </c>
      <c r="B175" s="195">
        <f>SUFFOLK!D28</f>
        <v>72641</v>
      </c>
      <c r="C175" s="195">
        <f>SUFFOLK!E28</f>
        <v>72965</v>
      </c>
      <c r="D175" s="195">
        <f>SUFFOLK!F28</f>
        <v>73235</v>
      </c>
      <c r="E175" s="195">
        <f>SUFFOLK!G28</f>
        <v>73681</v>
      </c>
      <c r="F175" s="195">
        <f>SUFFOLK!H28</f>
        <v>73654</v>
      </c>
      <c r="G175" s="195">
        <f>SUFFOLK!I28</f>
        <v>72455</v>
      </c>
      <c r="H175" s="195">
        <f>SUFFOLK!J28</f>
        <v>71445</v>
      </c>
      <c r="I175" s="195">
        <f>SUFFOLK!K28</f>
        <v>74648</v>
      </c>
      <c r="J175" s="195">
        <f>SUFFOLK!L28</f>
        <v>75255</v>
      </c>
      <c r="K175" s="196">
        <f t="shared" si="6"/>
        <v>3.5985187428587161E-2</v>
      </c>
      <c r="L175" s="196"/>
      <c r="M175" s="195">
        <f t="shared" si="7"/>
        <v>-1898</v>
      </c>
      <c r="N175" s="196">
        <f t="shared" si="8"/>
        <v>-2.4600469197568468E-2</v>
      </c>
      <c r="O175" s="197">
        <v>215</v>
      </c>
      <c r="P175" s="197">
        <v>231</v>
      </c>
      <c r="Q175" s="197">
        <v>234</v>
      </c>
      <c r="R175" s="197">
        <v>225</v>
      </c>
      <c r="S175" s="197">
        <v>224</v>
      </c>
      <c r="T175" s="197">
        <v>217</v>
      </c>
      <c r="U175" s="197">
        <v>217</v>
      </c>
      <c r="V175" s="197">
        <v>173</v>
      </c>
      <c r="W175" s="197">
        <v>172</v>
      </c>
      <c r="X175" s="197"/>
      <c r="Y175" s="197">
        <v>417</v>
      </c>
      <c r="Z175" s="197"/>
    </row>
    <row r="176" spans="1:26">
      <c r="A176" s="191" t="str">
        <f>MERSEYSIDE!A31</f>
        <v>St Helens North BC</v>
      </c>
      <c r="B176" s="195">
        <f>MERSEYSIDE!D31</f>
        <v>75866</v>
      </c>
      <c r="C176" s="195">
        <f>MERSEYSIDE!E31</f>
        <v>75688</v>
      </c>
      <c r="D176" s="195">
        <f>MERSEYSIDE!F31</f>
        <v>76035</v>
      </c>
      <c r="E176" s="195">
        <f>MERSEYSIDE!G31</f>
        <v>76220</v>
      </c>
      <c r="F176" s="195">
        <f>MERSEYSIDE!H31</f>
        <v>74689</v>
      </c>
      <c r="G176" s="195">
        <f>MERSEYSIDE!I31</f>
        <v>74074</v>
      </c>
      <c r="H176" s="195">
        <f>MERSEYSIDE!J31</f>
        <v>72060</v>
      </c>
      <c r="I176" s="195">
        <f>MERSEYSIDE!K31</f>
        <v>73902</v>
      </c>
      <c r="J176" s="195">
        <f>MERSEYSIDE!L31</f>
        <v>75205</v>
      </c>
      <c r="K176" s="196">
        <f t="shared" si="6"/>
        <v>-8.7127303403369098E-3</v>
      </c>
      <c r="L176" s="196"/>
      <c r="M176" s="195">
        <f t="shared" si="7"/>
        <v>-1948</v>
      </c>
      <c r="N176" s="196">
        <f t="shared" si="8"/>
        <v>-2.5248532137441188E-2</v>
      </c>
      <c r="O176" s="197">
        <v>131</v>
      </c>
      <c r="P176" s="197">
        <v>147</v>
      </c>
      <c r="Q176" s="197">
        <v>153</v>
      </c>
      <c r="R176" s="197">
        <v>154</v>
      </c>
      <c r="S176" s="197">
        <v>178</v>
      </c>
      <c r="T176" s="197">
        <v>159</v>
      </c>
      <c r="U176" s="197">
        <v>194</v>
      </c>
      <c r="V176" s="197">
        <v>196</v>
      </c>
      <c r="W176" s="197">
        <v>173</v>
      </c>
      <c r="X176" s="197"/>
      <c r="Y176" s="197">
        <v>433</v>
      </c>
      <c r="Z176" s="197"/>
    </row>
    <row r="177" spans="1:26">
      <c r="A177" s="191" t="str">
        <f>WILTSHIRE!A7</f>
        <v>Chippenham CC</v>
      </c>
      <c r="B177" s="195">
        <f>WILTSHIRE!D7</f>
        <v>71870</v>
      </c>
      <c r="C177" s="195">
        <f>WILTSHIRE!E7</f>
        <v>73312</v>
      </c>
      <c r="D177" s="195">
        <f>WILTSHIRE!F7</f>
        <v>73625</v>
      </c>
      <c r="E177" s="195">
        <f>WILTSHIRE!G7</f>
        <v>73642</v>
      </c>
      <c r="F177" s="195">
        <f>WILTSHIRE!H7</f>
        <v>73846</v>
      </c>
      <c r="G177" s="195">
        <f>WILTSHIRE!I7</f>
        <v>72404</v>
      </c>
      <c r="H177" s="195">
        <f>WILTSHIRE!J7</f>
        <v>72812</v>
      </c>
      <c r="I177" s="195">
        <f>WILTSHIRE!K7</f>
        <v>74534</v>
      </c>
      <c r="J177" s="195">
        <f>WILTSHIRE!L7</f>
        <v>75179</v>
      </c>
      <c r="K177" s="196">
        <f t="shared" si="6"/>
        <v>4.6041463754000277E-2</v>
      </c>
      <c r="L177" s="196"/>
      <c r="M177" s="195">
        <f t="shared" si="7"/>
        <v>-1974</v>
      </c>
      <c r="N177" s="196">
        <f t="shared" si="8"/>
        <v>-2.5585524866175002E-2</v>
      </c>
      <c r="O177" s="197">
        <v>254</v>
      </c>
      <c r="P177" s="197">
        <v>215</v>
      </c>
      <c r="Q177" s="197">
        <v>218</v>
      </c>
      <c r="R177" s="197">
        <v>228</v>
      </c>
      <c r="S177" s="197">
        <v>213</v>
      </c>
      <c r="T177" s="197">
        <v>219</v>
      </c>
      <c r="U177" s="197">
        <v>168</v>
      </c>
      <c r="V177" s="197">
        <v>176</v>
      </c>
      <c r="W177" s="197">
        <v>174</v>
      </c>
      <c r="X177" s="197"/>
      <c r="Y177" s="197">
        <v>106</v>
      </c>
      <c r="Z177" s="197"/>
    </row>
    <row r="178" spans="1:26">
      <c r="A178" s="191" t="str">
        <f>CHESHIRE!A27</f>
        <v>Macclesfield CC</v>
      </c>
      <c r="B178" s="195">
        <f>CHESHIRE!D27</f>
        <v>74595</v>
      </c>
      <c r="C178" s="195">
        <f>CHESHIRE!E27</f>
        <v>73613</v>
      </c>
      <c r="D178" s="195">
        <f>CHESHIRE!F27</f>
        <v>73713</v>
      </c>
      <c r="E178" s="195">
        <f>CHESHIRE!G27</f>
        <v>73463</v>
      </c>
      <c r="F178" s="195">
        <f>CHESHIRE!H27</f>
        <v>73250</v>
      </c>
      <c r="G178" s="195">
        <f>CHESHIRE!I27</f>
        <v>69165</v>
      </c>
      <c r="H178" s="195">
        <f>CHESHIRE!J27</f>
        <v>69582</v>
      </c>
      <c r="I178" s="195">
        <f>CHESHIRE!K27</f>
        <v>74817</v>
      </c>
      <c r="J178" s="195">
        <f>CHESHIRE!L27</f>
        <v>75098</v>
      </c>
      <c r="K178" s="196">
        <f t="shared" si="6"/>
        <v>6.7430792948589046E-3</v>
      </c>
      <c r="L178" s="196"/>
      <c r="M178" s="195">
        <f t="shared" si="7"/>
        <v>-2055</v>
      </c>
      <c r="N178" s="196">
        <f t="shared" si="8"/>
        <v>-2.6635386828768811E-2</v>
      </c>
      <c r="O178" s="197">
        <v>161</v>
      </c>
      <c r="P178" s="197">
        <v>202</v>
      </c>
      <c r="Q178" s="197">
        <v>213</v>
      </c>
      <c r="R178" s="197">
        <v>236</v>
      </c>
      <c r="S178" s="197">
        <v>235</v>
      </c>
      <c r="T178" s="197">
        <v>325</v>
      </c>
      <c r="U178" s="197">
        <v>291</v>
      </c>
      <c r="V178" s="197">
        <v>164</v>
      </c>
      <c r="W178" s="197">
        <v>175</v>
      </c>
      <c r="X178" s="197"/>
      <c r="Y178" s="197">
        <v>273</v>
      </c>
      <c r="Z178" s="197"/>
    </row>
    <row r="179" spans="1:26">
      <c r="A179" s="191" t="str">
        <f>HERTFORDSHIRE!A28</f>
        <v>Hitchin and Harpenden CC</v>
      </c>
      <c r="B179" s="195">
        <f>HERTFORDSHIRE!D30</f>
        <v>73811</v>
      </c>
      <c r="C179" s="195">
        <f>HERTFORDSHIRE!E30</f>
        <v>74189</v>
      </c>
      <c r="D179" s="195">
        <f>HERTFORDSHIRE!F30</f>
        <v>74242</v>
      </c>
      <c r="E179" s="195">
        <f>HERTFORDSHIRE!G30</f>
        <v>74353</v>
      </c>
      <c r="F179" s="195">
        <f>HERTFORDSHIRE!H30</f>
        <v>74626</v>
      </c>
      <c r="G179" s="195">
        <f>HERTFORDSHIRE!I30</f>
        <v>74073</v>
      </c>
      <c r="H179" s="195">
        <f>HERTFORDSHIRE!J30</f>
        <v>73478</v>
      </c>
      <c r="I179" s="195">
        <f>HERTFORDSHIRE!K30</f>
        <v>74928</v>
      </c>
      <c r="J179" s="195">
        <f>HERTFORDSHIRE!L30</f>
        <v>75053</v>
      </c>
      <c r="K179" s="196">
        <f t="shared" si="6"/>
        <v>1.6826760238988769E-2</v>
      </c>
      <c r="L179" s="196"/>
      <c r="M179" s="195">
        <f t="shared" si="7"/>
        <v>-2100</v>
      </c>
      <c r="N179" s="196">
        <f t="shared" si="8"/>
        <v>-2.7218643474654258E-2</v>
      </c>
      <c r="O179" s="197">
        <v>175</v>
      </c>
      <c r="P179" s="197">
        <v>181</v>
      </c>
      <c r="Q179" s="197">
        <v>193</v>
      </c>
      <c r="R179" s="197">
        <v>198</v>
      </c>
      <c r="S179" s="197">
        <v>181</v>
      </c>
      <c r="T179" s="197">
        <v>160</v>
      </c>
      <c r="U179" s="197">
        <v>154</v>
      </c>
      <c r="V179" s="197">
        <v>159</v>
      </c>
      <c r="W179" s="197">
        <v>176</v>
      </c>
      <c r="X179" s="197"/>
      <c r="Y179" s="197">
        <v>220</v>
      </c>
      <c r="Z179" s="197"/>
    </row>
    <row r="180" spans="1:26">
      <c r="A180" s="191" t="str">
        <f>LINCOLNSHIRE!A19</f>
        <v>Gainsborough CC</v>
      </c>
      <c r="B180" s="195">
        <f>LINCOLNSHIRE!D21</f>
        <v>72833</v>
      </c>
      <c r="C180" s="195">
        <f>LINCOLNSHIRE!E21</f>
        <v>73795</v>
      </c>
      <c r="D180" s="195">
        <f>LINCOLNSHIRE!F21</f>
        <v>74076</v>
      </c>
      <c r="E180" s="195">
        <f>LINCOLNSHIRE!G21</f>
        <v>74595</v>
      </c>
      <c r="F180" s="195">
        <f>LINCOLNSHIRE!H21</f>
        <v>75290</v>
      </c>
      <c r="G180" s="195">
        <f>LINCOLNSHIRE!I21</f>
        <v>73691</v>
      </c>
      <c r="H180" s="195">
        <f>LINCOLNSHIRE!J21</f>
        <v>74332</v>
      </c>
      <c r="I180" s="195">
        <f>LINCOLNSHIRE!K21</f>
        <v>74903</v>
      </c>
      <c r="J180" s="195">
        <f>LINCOLNSHIRE!L21</f>
        <v>74980</v>
      </c>
      <c r="K180" s="196">
        <f t="shared" si="6"/>
        <v>2.9478395782131725E-2</v>
      </c>
      <c r="L180" s="196"/>
      <c r="M180" s="195">
        <f t="shared" si="7"/>
        <v>-2173</v>
      </c>
      <c r="N180" s="196">
        <f t="shared" si="8"/>
        <v>-2.8164815366868431E-2</v>
      </c>
      <c r="O180" s="197">
        <v>206</v>
      </c>
      <c r="P180" s="197">
        <v>194</v>
      </c>
      <c r="Q180" s="197">
        <v>196</v>
      </c>
      <c r="R180" s="197">
        <v>193</v>
      </c>
      <c r="S180" s="197">
        <v>168</v>
      </c>
      <c r="T180" s="197">
        <v>171</v>
      </c>
      <c r="U180" s="197">
        <v>135</v>
      </c>
      <c r="V180" s="197">
        <v>161</v>
      </c>
      <c r="W180" s="197">
        <v>177</v>
      </c>
      <c r="X180" s="197"/>
      <c r="Y180" s="197">
        <v>178</v>
      </c>
      <c r="Z180" s="197"/>
    </row>
    <row r="181" spans="1:26">
      <c r="A181" s="191" t="str">
        <f>BERKSHIRE!A23</f>
        <v>Maidenhead CC</v>
      </c>
      <c r="B181" s="195">
        <f>BERKSHIRE!D25</f>
        <v>72568</v>
      </c>
      <c r="C181" s="195">
        <f>BERKSHIRE!E25</f>
        <v>74028</v>
      </c>
      <c r="D181" s="195">
        <f>BERKSHIRE!F25</f>
        <v>74876</v>
      </c>
      <c r="E181" s="195">
        <f>BERKSHIRE!G25</f>
        <v>75199</v>
      </c>
      <c r="F181" s="195">
        <f>BERKSHIRE!H25</f>
        <v>74314</v>
      </c>
      <c r="G181" s="195">
        <f>BERKSHIRE!I25</f>
        <v>73109</v>
      </c>
      <c r="H181" s="195">
        <f>BERKSHIRE!J25</f>
        <v>71834</v>
      </c>
      <c r="I181" s="195">
        <f>BERKSHIRE!K25</f>
        <v>74843</v>
      </c>
      <c r="J181" s="195">
        <f>BERKSHIRE!L25</f>
        <v>74951</v>
      </c>
      <c r="K181" s="196">
        <f t="shared" si="6"/>
        <v>3.283816558262595E-2</v>
      </c>
      <c r="L181" s="196"/>
      <c r="M181" s="195">
        <f t="shared" si="7"/>
        <v>-2202</v>
      </c>
      <c r="N181" s="196">
        <f t="shared" si="8"/>
        <v>-2.8540691871994608E-2</v>
      </c>
      <c r="O181" s="197">
        <v>216</v>
      </c>
      <c r="P181" s="197">
        <v>185</v>
      </c>
      <c r="Q181" s="197">
        <v>180</v>
      </c>
      <c r="R181" s="197">
        <v>178</v>
      </c>
      <c r="S181" s="197">
        <v>194</v>
      </c>
      <c r="T181" s="197">
        <v>184</v>
      </c>
      <c r="U181" s="197">
        <v>204</v>
      </c>
      <c r="V181" s="197">
        <v>163</v>
      </c>
      <c r="W181" s="197">
        <v>178</v>
      </c>
      <c r="X181" s="197"/>
      <c r="Y181" s="197">
        <v>274</v>
      </c>
      <c r="Z181" s="197"/>
    </row>
    <row r="182" spans="1:26">
      <c r="A182" s="191" t="str">
        <f>'GREATER MANCHESTER'!A51</f>
        <v>Leigh CC</v>
      </c>
      <c r="B182" s="195">
        <f>'GREATER MANCHESTER'!D51</f>
        <v>75330</v>
      </c>
      <c r="C182" s="195">
        <f>'GREATER MANCHESTER'!E51</f>
        <v>77001</v>
      </c>
      <c r="D182" s="195">
        <f>'GREATER MANCHESTER'!F51</f>
        <v>77900</v>
      </c>
      <c r="E182" s="195">
        <f>'GREATER MANCHESTER'!G51</f>
        <v>78529</v>
      </c>
      <c r="F182" s="195">
        <f>'GREATER MANCHESTER'!H51</f>
        <v>78661</v>
      </c>
      <c r="G182" s="195">
        <f>'GREATER MANCHESTER'!I51</f>
        <v>74008</v>
      </c>
      <c r="H182" s="195">
        <f>'GREATER MANCHESTER'!J51</f>
        <v>73070</v>
      </c>
      <c r="I182" s="195">
        <f>'GREATER MANCHESTER'!K51</f>
        <v>74448</v>
      </c>
      <c r="J182" s="195">
        <f>'GREATER MANCHESTER'!L51</f>
        <v>74941</v>
      </c>
      <c r="K182" s="196">
        <f t="shared" si="6"/>
        <v>-5.1639453073144825E-3</v>
      </c>
      <c r="L182" s="196"/>
      <c r="M182" s="195">
        <f t="shared" si="7"/>
        <v>-2212</v>
      </c>
      <c r="N182" s="196">
        <f t="shared" si="8"/>
        <v>-2.8670304459969154E-2</v>
      </c>
      <c r="O182" s="197">
        <v>142</v>
      </c>
      <c r="P182" s="197">
        <v>112</v>
      </c>
      <c r="Q182" s="197">
        <v>95</v>
      </c>
      <c r="R182" s="197">
        <v>88</v>
      </c>
      <c r="S182" s="197">
        <v>85</v>
      </c>
      <c r="T182" s="197">
        <v>163</v>
      </c>
      <c r="U182" s="197">
        <v>164</v>
      </c>
      <c r="V182" s="197">
        <v>178</v>
      </c>
      <c r="W182" s="197">
        <v>179</v>
      </c>
      <c r="X182" s="197"/>
      <c r="Y182" s="197">
        <v>256</v>
      </c>
      <c r="Z182" s="197"/>
    </row>
    <row r="183" spans="1:26">
      <c r="A183" s="191" t="str">
        <f>LANCASHIRE!A65</f>
        <v>South Ribble CC</v>
      </c>
      <c r="B183" s="195">
        <f>LANCASHIRE!D68</f>
        <v>75039</v>
      </c>
      <c r="C183" s="195">
        <f>LANCASHIRE!E68</f>
        <v>75116</v>
      </c>
      <c r="D183" s="195">
        <f>LANCASHIRE!F68</f>
        <v>75139</v>
      </c>
      <c r="E183" s="195">
        <f>LANCASHIRE!G68</f>
        <v>74931</v>
      </c>
      <c r="F183" s="195">
        <f>LANCASHIRE!H68</f>
        <v>75535</v>
      </c>
      <c r="G183" s="195">
        <f>LANCASHIRE!I68</f>
        <v>74159</v>
      </c>
      <c r="H183" s="195">
        <f>LANCASHIRE!J68</f>
        <v>72809</v>
      </c>
      <c r="I183" s="195">
        <f>LANCASHIRE!K68</f>
        <v>74363</v>
      </c>
      <c r="J183" s="195">
        <f>LANCASHIRE!L68</f>
        <v>74937</v>
      </c>
      <c r="K183" s="196">
        <f t="shared" si="6"/>
        <v>-1.3592931675528725E-3</v>
      </c>
      <c r="L183" s="196"/>
      <c r="M183" s="195">
        <f t="shared" si="7"/>
        <v>-2216</v>
      </c>
      <c r="N183" s="196">
        <f t="shared" si="8"/>
        <v>-2.8722149495158968E-2</v>
      </c>
      <c r="O183" s="197">
        <v>150</v>
      </c>
      <c r="P183" s="197">
        <v>161</v>
      </c>
      <c r="Q183" s="197">
        <v>175</v>
      </c>
      <c r="R183" s="197">
        <v>186</v>
      </c>
      <c r="S183" s="197">
        <v>159</v>
      </c>
      <c r="T183" s="197">
        <v>157</v>
      </c>
      <c r="U183" s="197">
        <v>169</v>
      </c>
      <c r="V183" s="197">
        <v>184</v>
      </c>
      <c r="W183" s="197">
        <v>180</v>
      </c>
      <c r="X183" s="197"/>
      <c r="Y183" s="197">
        <v>414</v>
      </c>
      <c r="Z183" s="197"/>
    </row>
    <row r="184" spans="1:26">
      <c r="A184" s="191" t="str">
        <f>HAMPSHIRE!A50</f>
        <v>North East Hampshire CC</v>
      </c>
      <c r="B184" s="195">
        <f>HAMPSHIRE!D52</f>
        <v>71580</v>
      </c>
      <c r="C184" s="195">
        <f>HAMPSHIRE!E52</f>
        <v>72548</v>
      </c>
      <c r="D184" s="195">
        <f>HAMPSHIRE!F52</f>
        <v>73449</v>
      </c>
      <c r="E184" s="195">
        <f>HAMPSHIRE!G52</f>
        <v>74191</v>
      </c>
      <c r="F184" s="195">
        <f>HAMPSHIRE!H52</f>
        <v>73543</v>
      </c>
      <c r="G184" s="195">
        <f>HAMPSHIRE!I52</f>
        <v>73362</v>
      </c>
      <c r="H184" s="195">
        <f>HAMPSHIRE!J52</f>
        <v>72046</v>
      </c>
      <c r="I184" s="195">
        <f>HAMPSHIRE!K52</f>
        <v>73965</v>
      </c>
      <c r="J184" s="195">
        <f>HAMPSHIRE!L52</f>
        <v>74912</v>
      </c>
      <c r="K184" s="196">
        <f t="shared" si="6"/>
        <v>4.6549315451243363E-2</v>
      </c>
      <c r="L184" s="196"/>
      <c r="M184" s="195">
        <f t="shared" si="7"/>
        <v>-2241</v>
      </c>
      <c r="N184" s="196">
        <f t="shared" si="8"/>
        <v>-2.9046180965095331E-2</v>
      </c>
      <c r="O184" s="197">
        <v>270</v>
      </c>
      <c r="P184" s="197">
        <v>251</v>
      </c>
      <c r="Q184" s="197">
        <v>225</v>
      </c>
      <c r="R184" s="197">
        <v>203</v>
      </c>
      <c r="S184" s="197">
        <v>229</v>
      </c>
      <c r="T184" s="197">
        <v>176</v>
      </c>
      <c r="U184" s="197">
        <v>196</v>
      </c>
      <c r="V184" s="197">
        <v>195</v>
      </c>
      <c r="W184" s="197">
        <v>181</v>
      </c>
      <c r="X184" s="197"/>
      <c r="Y184" s="197">
        <v>315</v>
      </c>
      <c r="Z184" s="197"/>
    </row>
    <row r="185" spans="1:26">
      <c r="A185" s="191" t="str">
        <f>LAMBETH!A7</f>
        <v>Dulwich and West Norwood BC</v>
      </c>
      <c r="B185" s="195">
        <f>LAMBETH!D9</f>
        <v>70786</v>
      </c>
      <c r="C185" s="195">
        <f>LAMBETH!E9</f>
        <v>71523</v>
      </c>
      <c r="D185" s="195">
        <f>LAMBETH!F9</f>
        <v>71916</v>
      </c>
      <c r="E185" s="195">
        <f>LAMBETH!G9</f>
        <v>71892</v>
      </c>
      <c r="F185" s="195">
        <f>LAMBETH!H9</f>
        <v>72530</v>
      </c>
      <c r="G185" s="195">
        <f>LAMBETH!I9</f>
        <v>72243</v>
      </c>
      <c r="H185" s="195">
        <f>LAMBETH!J9</f>
        <v>72576</v>
      </c>
      <c r="I185" s="195">
        <f>LAMBETH!K9</f>
        <v>73771</v>
      </c>
      <c r="J185" s="195">
        <f>LAMBETH!L9</f>
        <v>74864</v>
      </c>
      <c r="K185" s="196">
        <f t="shared" si="6"/>
        <v>5.761026191619812E-2</v>
      </c>
      <c r="L185" s="196"/>
      <c r="M185" s="195">
        <f t="shared" si="7"/>
        <v>-2289</v>
      </c>
      <c r="N185" s="196">
        <f t="shared" si="8"/>
        <v>-2.9668321387373141E-2</v>
      </c>
      <c r="O185" s="197">
        <v>302</v>
      </c>
      <c r="P185" s="197">
        <v>297</v>
      </c>
      <c r="Q185" s="197">
        <v>296</v>
      </c>
      <c r="R185" s="197">
        <v>304</v>
      </c>
      <c r="S185" s="197">
        <v>259</v>
      </c>
      <c r="T185" s="197">
        <v>223</v>
      </c>
      <c r="U185" s="197">
        <v>177</v>
      </c>
      <c r="V185" s="197">
        <v>201</v>
      </c>
      <c r="W185" s="197">
        <v>182</v>
      </c>
      <c r="X185" s="197"/>
      <c r="Y185" s="197">
        <v>144</v>
      </c>
      <c r="Z185" s="197"/>
    </row>
    <row r="186" spans="1:26">
      <c r="A186" s="191" t="str">
        <f>BARNET!A9</f>
        <v>Finchley and Golders Green BC</v>
      </c>
      <c r="B186" s="195">
        <f>BARNET!D9</f>
        <v>69862</v>
      </c>
      <c r="C186" s="195">
        <f>BARNET!E9</f>
        <v>71595</v>
      </c>
      <c r="D186" s="195">
        <f>BARNET!F9</f>
        <v>70918</v>
      </c>
      <c r="E186" s="195">
        <f>BARNET!G9</f>
        <v>70821</v>
      </c>
      <c r="F186" s="195">
        <f>BARNET!H9</f>
        <v>67340</v>
      </c>
      <c r="G186" s="195">
        <f>BARNET!I9</f>
        <v>68554</v>
      </c>
      <c r="H186" s="195">
        <f>BARNET!J9</f>
        <v>66631</v>
      </c>
      <c r="I186" s="195">
        <f>BARNET!K9</f>
        <v>69535</v>
      </c>
      <c r="J186" s="195">
        <f>BARNET!L9</f>
        <v>74821</v>
      </c>
      <c r="K186" s="196">
        <f t="shared" si="6"/>
        <v>7.0982794652314565E-2</v>
      </c>
      <c r="L186" s="196"/>
      <c r="M186" s="195">
        <f t="shared" si="7"/>
        <v>-2332</v>
      </c>
      <c r="N186" s="196">
        <f t="shared" si="8"/>
        <v>-3.0225655515663682E-2</v>
      </c>
      <c r="O186" s="197">
        <v>325</v>
      </c>
      <c r="P186" s="197">
        <v>294</v>
      </c>
      <c r="Q186" s="197">
        <v>318</v>
      </c>
      <c r="R186" s="197">
        <v>330</v>
      </c>
      <c r="S186" s="197">
        <v>417</v>
      </c>
      <c r="T186" s="197">
        <v>349</v>
      </c>
      <c r="U186" s="197">
        <v>385</v>
      </c>
      <c r="V186" s="197">
        <v>352</v>
      </c>
      <c r="W186" s="197">
        <v>183</v>
      </c>
      <c r="X186" s="197"/>
      <c r="Y186" s="197">
        <v>174</v>
      </c>
      <c r="Z186" s="197"/>
    </row>
    <row r="187" spans="1:26">
      <c r="A187" s="191" t="str">
        <f>'WEST MIDLANDS'!A23</f>
        <v>Birmingham, Hodge Hill BC</v>
      </c>
      <c r="B187" s="195">
        <f>'WEST MIDLANDS'!D23</f>
        <v>75330</v>
      </c>
      <c r="C187" s="195">
        <f>'WEST MIDLANDS'!E23</f>
        <v>75985</v>
      </c>
      <c r="D187" s="195">
        <f>'WEST MIDLANDS'!F23</f>
        <v>77227</v>
      </c>
      <c r="E187" s="195">
        <f>'WEST MIDLANDS'!G23</f>
        <v>76767</v>
      </c>
      <c r="F187" s="195">
        <f>'WEST MIDLANDS'!H23</f>
        <v>74885</v>
      </c>
      <c r="G187" s="195">
        <f>'WEST MIDLANDS'!I23</f>
        <v>75362</v>
      </c>
      <c r="H187" s="195">
        <f>'WEST MIDLANDS'!J23</f>
        <v>73173</v>
      </c>
      <c r="I187" s="195">
        <f>'WEST MIDLANDS'!K23</f>
        <v>73384</v>
      </c>
      <c r="J187" s="195">
        <f>'WEST MIDLANDS'!L23</f>
        <v>74810</v>
      </c>
      <c r="K187" s="196">
        <f t="shared" si="6"/>
        <v>-6.9029603079782294E-3</v>
      </c>
      <c r="L187" s="196"/>
      <c r="M187" s="195">
        <f t="shared" si="7"/>
        <v>-2343</v>
      </c>
      <c r="N187" s="196">
        <f t="shared" si="8"/>
        <v>-3.0368229362435679E-2</v>
      </c>
      <c r="O187" s="197">
        <v>141</v>
      </c>
      <c r="P187" s="197">
        <v>141</v>
      </c>
      <c r="Q187" s="197">
        <v>123</v>
      </c>
      <c r="R187" s="197">
        <v>145</v>
      </c>
      <c r="S187" s="197">
        <v>174</v>
      </c>
      <c r="T187" s="197">
        <v>135</v>
      </c>
      <c r="U187" s="197">
        <v>162</v>
      </c>
      <c r="V187" s="197">
        <v>211</v>
      </c>
      <c r="W187" s="197">
        <v>184</v>
      </c>
      <c r="X187" s="197"/>
      <c r="Y187" s="197">
        <v>34</v>
      </c>
      <c r="Z187" s="197"/>
    </row>
    <row r="188" spans="1:26">
      <c r="A188" s="191" t="str">
        <f>DEVON!A33</f>
        <v>Exeter BC</v>
      </c>
      <c r="B188" s="195">
        <f>DEVON!D33</f>
        <v>75936</v>
      </c>
      <c r="C188" s="195">
        <f>DEVON!E33</f>
        <v>76796</v>
      </c>
      <c r="D188" s="195">
        <f>DEVON!F33</f>
        <v>78036</v>
      </c>
      <c r="E188" s="195">
        <f>DEVON!G33</f>
        <v>77788</v>
      </c>
      <c r="F188" s="195">
        <f>DEVON!H33</f>
        <v>78826</v>
      </c>
      <c r="G188" s="195">
        <f>DEVON!I33</f>
        <v>74040</v>
      </c>
      <c r="H188" s="195">
        <f>DEVON!J33</f>
        <v>71404</v>
      </c>
      <c r="I188" s="195">
        <f>DEVON!K33</f>
        <v>73209</v>
      </c>
      <c r="J188" s="195">
        <f>DEVON!L33</f>
        <v>74767</v>
      </c>
      <c r="K188" s="196">
        <f t="shared" si="6"/>
        <v>-1.5394542772861357E-2</v>
      </c>
      <c r="L188" s="196"/>
      <c r="M188" s="195">
        <f t="shared" si="7"/>
        <v>-2386</v>
      </c>
      <c r="N188" s="196">
        <f t="shared" si="8"/>
        <v>-3.092556349072622E-2</v>
      </c>
      <c r="O188" s="197">
        <v>128</v>
      </c>
      <c r="P188" s="197">
        <v>121</v>
      </c>
      <c r="Q188" s="197">
        <v>90</v>
      </c>
      <c r="R188" s="197">
        <v>116</v>
      </c>
      <c r="S188" s="197">
        <v>78</v>
      </c>
      <c r="T188" s="197">
        <v>162</v>
      </c>
      <c r="U188" s="197">
        <v>219</v>
      </c>
      <c r="V188" s="197">
        <v>215</v>
      </c>
      <c r="W188" s="197">
        <v>185</v>
      </c>
      <c r="X188" s="197"/>
      <c r="Y188" s="197">
        <v>169</v>
      </c>
      <c r="Z188" s="197"/>
    </row>
    <row r="189" spans="1:26">
      <c r="A189" s="191" t="str">
        <f>STOCKTON!A9</f>
        <v>Stockton South BC</v>
      </c>
      <c r="B189" s="195">
        <f>STOCKTON!D9</f>
        <v>73924</v>
      </c>
      <c r="C189" s="195">
        <f>STOCKTON!E9</f>
        <v>74521</v>
      </c>
      <c r="D189" s="195">
        <f>STOCKTON!F9</f>
        <v>74675</v>
      </c>
      <c r="E189" s="195">
        <f>STOCKTON!G9</f>
        <v>75460</v>
      </c>
      <c r="F189" s="195">
        <f>STOCKTON!H9</f>
        <v>75700</v>
      </c>
      <c r="G189" s="195">
        <f>STOCKTON!I9</f>
        <v>73733</v>
      </c>
      <c r="H189" s="195">
        <f>STOCKTON!J9</f>
        <v>73221</v>
      </c>
      <c r="I189" s="195">
        <f>STOCKTON!K9</f>
        <v>74327</v>
      </c>
      <c r="J189" s="195">
        <f>STOCKTON!L9</f>
        <v>74698</v>
      </c>
      <c r="K189" s="196">
        <f t="shared" si="6"/>
        <v>1.0470212650830583E-2</v>
      </c>
      <c r="L189" s="196"/>
      <c r="M189" s="195">
        <f t="shared" si="7"/>
        <v>-2455</v>
      </c>
      <c r="N189" s="196">
        <f t="shared" si="8"/>
        <v>-3.1819890347750575E-2</v>
      </c>
      <c r="O189" s="197">
        <v>174</v>
      </c>
      <c r="P189" s="197">
        <v>175</v>
      </c>
      <c r="Q189" s="197">
        <v>186</v>
      </c>
      <c r="R189" s="197">
        <v>174</v>
      </c>
      <c r="S189" s="197">
        <v>154</v>
      </c>
      <c r="T189" s="197">
        <v>169</v>
      </c>
      <c r="U189" s="197">
        <v>161</v>
      </c>
      <c r="V189" s="197">
        <v>186</v>
      </c>
      <c r="W189" s="197">
        <v>186</v>
      </c>
      <c r="X189" s="197"/>
      <c r="Y189" s="197">
        <v>442</v>
      </c>
      <c r="Z189" s="197"/>
    </row>
    <row r="190" spans="1:26">
      <c r="A190" s="191" t="str">
        <f>DORSET!A35</f>
        <v>North Dorset CC</v>
      </c>
      <c r="B190" s="195">
        <f>DORSET!D37</f>
        <v>74031</v>
      </c>
      <c r="C190" s="195">
        <f>DORSET!E37</f>
        <v>73010</v>
      </c>
      <c r="D190" s="195">
        <f>DORSET!F37</f>
        <v>73935</v>
      </c>
      <c r="E190" s="195">
        <f>DORSET!G37</f>
        <v>74863</v>
      </c>
      <c r="F190" s="195">
        <f>DORSET!H37</f>
        <v>74477</v>
      </c>
      <c r="G190" s="195">
        <f>DORSET!I37</f>
        <v>72591</v>
      </c>
      <c r="H190" s="195">
        <f>DORSET!J37</f>
        <v>70440</v>
      </c>
      <c r="I190" s="195">
        <f>DORSET!K37</f>
        <v>74295</v>
      </c>
      <c r="J190" s="195">
        <f>DORSET!L37</f>
        <v>74687</v>
      </c>
      <c r="K190" s="196">
        <f t="shared" si="6"/>
        <v>8.8611527603301328E-3</v>
      </c>
      <c r="L190" s="196"/>
      <c r="M190" s="195">
        <f t="shared" si="7"/>
        <v>-2466</v>
      </c>
      <c r="N190" s="196">
        <f t="shared" si="8"/>
        <v>-3.1962464194522575E-2</v>
      </c>
      <c r="O190" s="197">
        <v>171</v>
      </c>
      <c r="P190" s="197">
        <v>228</v>
      </c>
      <c r="Q190" s="197">
        <v>203</v>
      </c>
      <c r="R190" s="197">
        <v>187</v>
      </c>
      <c r="S190" s="197">
        <v>185</v>
      </c>
      <c r="T190" s="197">
        <v>204</v>
      </c>
      <c r="U190" s="197">
        <v>252</v>
      </c>
      <c r="V190" s="197">
        <v>188</v>
      </c>
      <c r="W190" s="197">
        <v>187</v>
      </c>
      <c r="X190" s="197"/>
      <c r="Y190" s="197">
        <v>310</v>
      </c>
      <c r="Z190" s="197"/>
    </row>
    <row r="191" spans="1:26">
      <c r="A191" s="191" t="str">
        <f>NORTHAMPTONSHIRE!A19</f>
        <v>Daventry CC</v>
      </c>
      <c r="B191" s="195">
        <f>NORTHAMPTONSHIRE!D22</f>
        <v>71636</v>
      </c>
      <c r="C191" s="195">
        <f>NORTHAMPTONSHIRE!E22</f>
        <v>71903</v>
      </c>
      <c r="D191" s="195">
        <f>NORTHAMPTONSHIRE!F22</f>
        <v>72809</v>
      </c>
      <c r="E191" s="195">
        <f>NORTHAMPTONSHIRE!G22</f>
        <v>73343</v>
      </c>
      <c r="F191" s="195">
        <f>NORTHAMPTONSHIRE!H22</f>
        <v>72128</v>
      </c>
      <c r="G191" s="195">
        <f>NORTHAMPTONSHIRE!I22</f>
        <v>71929</v>
      </c>
      <c r="H191" s="195">
        <f>NORTHAMPTONSHIRE!J22</f>
        <v>71479</v>
      </c>
      <c r="I191" s="195">
        <f>NORTHAMPTONSHIRE!K22</f>
        <v>74289</v>
      </c>
      <c r="J191" s="195">
        <f>NORTHAMPTONSHIRE!L22</f>
        <v>74674</v>
      </c>
      <c r="K191" s="196">
        <f t="shared" si="6"/>
        <v>4.240884471494779E-2</v>
      </c>
      <c r="L191" s="196"/>
      <c r="M191" s="195">
        <f t="shared" si="7"/>
        <v>-2479</v>
      </c>
      <c r="N191" s="196">
        <f t="shared" si="8"/>
        <v>-3.2130960558889476E-2</v>
      </c>
      <c r="O191" s="197">
        <v>267</v>
      </c>
      <c r="P191" s="197">
        <v>280</v>
      </c>
      <c r="Q191" s="197">
        <v>256</v>
      </c>
      <c r="R191" s="197">
        <v>244</v>
      </c>
      <c r="S191" s="197">
        <v>284</v>
      </c>
      <c r="T191" s="197">
        <v>235</v>
      </c>
      <c r="U191" s="197">
        <v>215</v>
      </c>
      <c r="V191" s="197">
        <v>189</v>
      </c>
      <c r="W191" s="197">
        <v>188</v>
      </c>
      <c r="X191" s="197"/>
      <c r="Y191" s="197">
        <v>131</v>
      </c>
      <c r="Z191" s="197"/>
    </row>
    <row r="192" spans="1:26">
      <c r="A192" s="191" t="str">
        <f>'SOUTH YORKSHIRE'!A26</f>
        <v>Rother Valley CC</v>
      </c>
      <c r="B192" s="195">
        <f>'SOUTH YORKSHIRE'!D26</f>
        <v>72168</v>
      </c>
      <c r="C192" s="195">
        <f>'SOUTH YORKSHIRE'!E26</f>
        <v>73068</v>
      </c>
      <c r="D192" s="195">
        <f>'SOUTH YORKSHIRE'!F26</f>
        <v>73220</v>
      </c>
      <c r="E192" s="195">
        <f>'SOUTH YORKSHIRE'!G26</f>
        <v>73755</v>
      </c>
      <c r="F192" s="195">
        <f>'SOUTH YORKSHIRE'!H26</f>
        <v>74189</v>
      </c>
      <c r="G192" s="195">
        <f>'SOUTH YORKSHIRE'!I26</f>
        <v>74259</v>
      </c>
      <c r="H192" s="195">
        <f>'SOUTH YORKSHIRE'!J26</f>
        <v>73511</v>
      </c>
      <c r="I192" s="195">
        <f>'SOUTH YORKSHIRE'!K26</f>
        <v>74387</v>
      </c>
      <c r="J192" s="195">
        <f>'SOUTH YORKSHIRE'!L26</f>
        <v>74654</v>
      </c>
      <c r="K192" s="196">
        <f t="shared" si="6"/>
        <v>3.4447400509921296E-2</v>
      </c>
      <c r="L192" s="196"/>
      <c r="M192" s="195">
        <f t="shared" si="7"/>
        <v>-2499</v>
      </c>
      <c r="N192" s="196">
        <f t="shared" si="8"/>
        <v>-3.2390185734838567E-2</v>
      </c>
      <c r="O192" s="197">
        <v>234</v>
      </c>
      <c r="P192" s="197">
        <v>223</v>
      </c>
      <c r="Q192" s="197">
        <v>236</v>
      </c>
      <c r="R192" s="197">
        <v>222</v>
      </c>
      <c r="S192" s="197">
        <v>204</v>
      </c>
      <c r="T192" s="197">
        <v>155</v>
      </c>
      <c r="U192" s="197">
        <v>153</v>
      </c>
      <c r="V192" s="197">
        <v>181</v>
      </c>
      <c r="W192" s="197">
        <v>189</v>
      </c>
      <c r="X192" s="197"/>
      <c r="Y192" s="197">
        <v>374</v>
      </c>
      <c r="Z192" s="197"/>
    </row>
    <row r="193" spans="1:26">
      <c r="A193" s="191" t="str">
        <f>CAMBRIDGESHIRE!A17</f>
        <v>Cambridge BC</v>
      </c>
      <c r="B193" s="195">
        <f>CAMBRIDGESHIRE!D17</f>
        <v>75612</v>
      </c>
      <c r="C193" s="195">
        <f>CAMBRIDGESHIRE!E17</f>
        <v>75259</v>
      </c>
      <c r="D193" s="195">
        <f>CAMBRIDGESHIRE!F17</f>
        <v>75702</v>
      </c>
      <c r="E193" s="195">
        <f>CAMBRIDGESHIRE!G17</f>
        <v>73612</v>
      </c>
      <c r="F193" s="195">
        <f>CAMBRIDGESHIRE!H17</f>
        <v>76244</v>
      </c>
      <c r="G193" s="195">
        <f>CAMBRIDGESHIRE!I17</f>
        <v>74665</v>
      </c>
      <c r="H193" s="195">
        <f>CAMBRIDGESHIRE!J17</f>
        <v>67266</v>
      </c>
      <c r="I193" s="195">
        <f>CAMBRIDGESHIRE!K17</f>
        <v>71723</v>
      </c>
      <c r="J193" s="195">
        <f>CAMBRIDGESHIRE!L17</f>
        <v>74628</v>
      </c>
      <c r="K193" s="196">
        <f t="shared" si="6"/>
        <v>-1.3013807332169497E-2</v>
      </c>
      <c r="L193" s="196"/>
      <c r="M193" s="195">
        <f t="shared" si="7"/>
        <v>-2525</v>
      </c>
      <c r="N193" s="196">
        <f t="shared" si="8"/>
        <v>-3.2727178463572384E-2</v>
      </c>
      <c r="O193" s="197">
        <v>138</v>
      </c>
      <c r="P193" s="197">
        <v>156</v>
      </c>
      <c r="Q193" s="197">
        <v>163</v>
      </c>
      <c r="R193" s="197">
        <v>230</v>
      </c>
      <c r="S193" s="197">
        <v>143</v>
      </c>
      <c r="T193" s="197">
        <v>151</v>
      </c>
      <c r="U193" s="197">
        <v>367</v>
      </c>
      <c r="V193" s="197">
        <v>267</v>
      </c>
      <c r="W193" s="197">
        <v>190</v>
      </c>
      <c r="X193" s="197"/>
      <c r="Y193" s="197">
        <v>88</v>
      </c>
      <c r="Z193" s="197"/>
    </row>
    <row r="194" spans="1:26">
      <c r="A194" s="191" t="str">
        <f>'SOUTH YORKSHIRE'!A34</f>
        <v>Sheffield, Hallam CC</v>
      </c>
      <c r="B194" s="195">
        <f>'SOUTH YORKSHIRE'!D34</f>
        <v>68863</v>
      </c>
      <c r="C194" s="195">
        <f>'SOUTH YORKSHIRE'!E34</f>
        <v>70032</v>
      </c>
      <c r="D194" s="195">
        <f>'SOUTH YORKSHIRE'!F34</f>
        <v>69795</v>
      </c>
      <c r="E194" s="195">
        <f>'SOUTH YORKSHIRE'!G34</f>
        <v>70430</v>
      </c>
      <c r="F194" s="195">
        <f>'SOUTH YORKSHIRE'!H34</f>
        <v>70296</v>
      </c>
      <c r="G194" s="195">
        <f>'SOUTH YORKSHIRE'!I34</f>
        <v>68794</v>
      </c>
      <c r="H194" s="195">
        <f>'SOUTH YORKSHIRE'!J34</f>
        <v>70415</v>
      </c>
      <c r="I194" s="195">
        <f>'SOUTH YORKSHIRE'!K34</f>
        <v>72821</v>
      </c>
      <c r="J194" s="195">
        <f>'SOUTH YORKSHIRE'!L34</f>
        <v>74626</v>
      </c>
      <c r="K194" s="196">
        <f t="shared" si="6"/>
        <v>8.3687902066421738E-2</v>
      </c>
      <c r="L194" s="196"/>
      <c r="M194" s="195">
        <f t="shared" si="7"/>
        <v>-2527</v>
      </c>
      <c r="N194" s="196">
        <f t="shared" si="8"/>
        <v>-3.2753100981167294E-2</v>
      </c>
      <c r="O194" s="197">
        <v>354</v>
      </c>
      <c r="P194" s="197">
        <v>337</v>
      </c>
      <c r="Q194" s="197">
        <v>355</v>
      </c>
      <c r="R194" s="197">
        <v>335</v>
      </c>
      <c r="S194" s="197">
        <v>344</v>
      </c>
      <c r="T194" s="197">
        <v>341</v>
      </c>
      <c r="U194" s="197">
        <v>255</v>
      </c>
      <c r="V194" s="197">
        <v>227</v>
      </c>
      <c r="W194" s="197">
        <v>191</v>
      </c>
      <c r="X194" s="197"/>
      <c r="Y194" s="197">
        <v>393</v>
      </c>
      <c r="Z194" s="197"/>
    </row>
    <row r="195" spans="1:26">
      <c r="A195" s="191" t="str">
        <f>'WEST SUSSEX'!A27</f>
        <v>East Worthing and Shoreham CC</v>
      </c>
      <c r="B195" s="195">
        <f>'WEST SUSSEX'!D29</f>
        <v>72524</v>
      </c>
      <c r="C195" s="195">
        <f>'WEST SUSSEX'!E29</f>
        <v>72996</v>
      </c>
      <c r="D195" s="195">
        <f>'WEST SUSSEX'!F29</f>
        <v>73670</v>
      </c>
      <c r="E195" s="195">
        <f>'WEST SUSSEX'!G29</f>
        <v>74161</v>
      </c>
      <c r="F195" s="195">
        <f>'WEST SUSSEX'!H29</f>
        <v>73396</v>
      </c>
      <c r="G195" s="195">
        <f>'WEST SUSSEX'!I29</f>
        <v>71647</v>
      </c>
      <c r="H195" s="195">
        <f>'WEST SUSSEX'!J29</f>
        <v>71723</v>
      </c>
      <c r="I195" s="195">
        <f>'WEST SUSSEX'!K29</f>
        <v>74416</v>
      </c>
      <c r="J195" s="195">
        <f>'WEST SUSSEX'!L29</f>
        <v>74605</v>
      </c>
      <c r="K195" s="196">
        <f t="shared" si="6"/>
        <v>2.8693949589101538E-2</v>
      </c>
      <c r="L195" s="196"/>
      <c r="M195" s="195">
        <f t="shared" si="7"/>
        <v>-2548</v>
      </c>
      <c r="N195" s="196">
        <f t="shared" si="8"/>
        <v>-3.3025287415913832E-2</v>
      </c>
      <c r="O195" s="197">
        <v>220</v>
      </c>
      <c r="P195" s="197">
        <v>230</v>
      </c>
      <c r="Q195" s="197">
        <v>215</v>
      </c>
      <c r="R195" s="197">
        <v>205</v>
      </c>
      <c r="S195" s="197">
        <v>233</v>
      </c>
      <c r="T195" s="197">
        <v>245</v>
      </c>
      <c r="U195" s="197">
        <v>208</v>
      </c>
      <c r="V195" s="197">
        <v>180</v>
      </c>
      <c r="W195" s="197">
        <v>192</v>
      </c>
      <c r="X195" s="197"/>
      <c r="Y195" s="197">
        <v>153</v>
      </c>
      <c r="Z195" s="197"/>
    </row>
    <row r="196" spans="1:26">
      <c r="A196" s="191" t="str">
        <f>ESSEX!A29</f>
        <v>Braintree CC</v>
      </c>
      <c r="B196" s="195">
        <f>ESSEX!D29</f>
        <v>70956</v>
      </c>
      <c r="C196" s="195">
        <f>ESSEX!E29</f>
        <v>72064</v>
      </c>
      <c r="D196" s="195">
        <f>ESSEX!F29</f>
        <v>73291</v>
      </c>
      <c r="E196" s="195">
        <f>ESSEX!G29</f>
        <v>74250</v>
      </c>
      <c r="F196" s="195">
        <f>ESSEX!H29</f>
        <v>73673</v>
      </c>
      <c r="G196" s="195">
        <f>ESSEX!I29</f>
        <v>73239</v>
      </c>
      <c r="H196" s="195">
        <f>ESSEX!J29</f>
        <v>72892</v>
      </c>
      <c r="I196" s="195">
        <f>ESSEX!K29</f>
        <v>74932</v>
      </c>
      <c r="J196" s="195">
        <f>ESSEX!L29</f>
        <v>74579</v>
      </c>
      <c r="K196" s="196">
        <f t="shared" ref="K196:K259" si="9">(J196-B196)/B196</f>
        <v>5.1059811714301823E-2</v>
      </c>
      <c r="L196" s="196"/>
      <c r="M196" s="195">
        <f t="shared" ref="M196:M259" si="10">J196-$J$544</f>
        <v>-2574</v>
      </c>
      <c r="N196" s="196">
        <f t="shared" ref="N196:N259" si="11">(J196-$J$544)/$J$544</f>
        <v>-3.3362280144647649E-2</v>
      </c>
      <c r="O196" s="197">
        <v>298</v>
      </c>
      <c r="P196" s="197">
        <v>267</v>
      </c>
      <c r="Q196" s="197">
        <v>233</v>
      </c>
      <c r="R196" s="197">
        <v>201</v>
      </c>
      <c r="S196" s="197">
        <v>221</v>
      </c>
      <c r="T196" s="197">
        <v>181</v>
      </c>
      <c r="U196" s="197">
        <v>167</v>
      </c>
      <c r="V196" s="197">
        <v>158</v>
      </c>
      <c r="W196" s="197">
        <v>193</v>
      </c>
      <c r="X196" s="197"/>
      <c r="Y196" s="197">
        <v>61</v>
      </c>
      <c r="Z196" s="197"/>
    </row>
    <row r="197" spans="1:26">
      <c r="A197" s="191" t="str">
        <f>LEWISHAM!A7</f>
        <v>Lewisham, Deptford BC</v>
      </c>
      <c r="B197" s="195">
        <f>LEWISHAM!D7</f>
        <v>64809</v>
      </c>
      <c r="C197" s="195">
        <f>LEWISHAM!E7</f>
        <v>67590</v>
      </c>
      <c r="D197" s="195">
        <f>LEWISHAM!F7</f>
        <v>68405</v>
      </c>
      <c r="E197" s="195">
        <f>LEWISHAM!G7</f>
        <v>70178</v>
      </c>
      <c r="F197" s="195">
        <f>LEWISHAM!H7</f>
        <v>71651</v>
      </c>
      <c r="G197" s="195">
        <f>LEWISHAM!I7</f>
        <v>69292</v>
      </c>
      <c r="H197" s="195">
        <f>LEWISHAM!J7</f>
        <v>67166</v>
      </c>
      <c r="I197" s="195">
        <f>LEWISHAM!K7</f>
        <v>72220</v>
      </c>
      <c r="J197" s="195">
        <f>LEWISHAM!L7</f>
        <v>74576</v>
      </c>
      <c r="K197" s="196">
        <f t="shared" si="9"/>
        <v>0.15070437747843662</v>
      </c>
      <c r="L197" s="196"/>
      <c r="M197" s="195">
        <f t="shared" si="10"/>
        <v>-2577</v>
      </c>
      <c r="N197" s="196">
        <f t="shared" si="11"/>
        <v>-3.3401163921040013E-2</v>
      </c>
      <c r="O197" s="197">
        <v>469</v>
      </c>
      <c r="P197" s="197">
        <v>405</v>
      </c>
      <c r="Q197" s="197">
        <v>389</v>
      </c>
      <c r="R197" s="197">
        <v>346</v>
      </c>
      <c r="S197" s="197">
        <v>298</v>
      </c>
      <c r="T197" s="197">
        <v>321</v>
      </c>
      <c r="U197" s="197">
        <v>371</v>
      </c>
      <c r="V197" s="197">
        <v>247</v>
      </c>
      <c r="W197" s="197">
        <v>194</v>
      </c>
      <c r="X197" s="197"/>
      <c r="Y197" s="197">
        <v>260</v>
      </c>
      <c r="Z197" s="197"/>
    </row>
    <row r="198" spans="1:26">
      <c r="A198" s="191" t="str">
        <f>'WEST MIDLANDS'!A35</f>
        <v>Coventry North East BC</v>
      </c>
      <c r="B198" s="195">
        <f>'WEST MIDLANDS'!D35</f>
        <v>72490</v>
      </c>
      <c r="C198" s="195">
        <f>'WEST MIDLANDS'!E35</f>
        <v>74870</v>
      </c>
      <c r="D198" s="195">
        <f>'WEST MIDLANDS'!F35</f>
        <v>75971</v>
      </c>
      <c r="E198" s="195">
        <f>'WEST MIDLANDS'!G35</f>
        <v>75887</v>
      </c>
      <c r="F198" s="195">
        <f>'WEST MIDLANDS'!H35</f>
        <v>74993</v>
      </c>
      <c r="G198" s="195">
        <f>'WEST MIDLANDS'!I35</f>
        <v>75079</v>
      </c>
      <c r="H198" s="195">
        <f>'WEST MIDLANDS'!J35</f>
        <v>72135</v>
      </c>
      <c r="I198" s="195">
        <f>'WEST MIDLANDS'!K35</f>
        <v>74723</v>
      </c>
      <c r="J198" s="195">
        <f>'WEST MIDLANDS'!L35</f>
        <v>74507</v>
      </c>
      <c r="K198" s="196">
        <f t="shared" si="9"/>
        <v>2.7824527521037385E-2</v>
      </c>
      <c r="L198" s="196"/>
      <c r="M198" s="195">
        <f t="shared" si="10"/>
        <v>-2646</v>
      </c>
      <c r="N198" s="196">
        <f t="shared" si="11"/>
        <v>-3.4295490778064368E-2</v>
      </c>
      <c r="O198" s="197">
        <v>223</v>
      </c>
      <c r="P198" s="197">
        <v>169</v>
      </c>
      <c r="Q198" s="197">
        <v>157</v>
      </c>
      <c r="R198" s="197">
        <v>164</v>
      </c>
      <c r="S198" s="197">
        <v>172</v>
      </c>
      <c r="T198" s="197">
        <v>142</v>
      </c>
      <c r="U198" s="197">
        <v>192</v>
      </c>
      <c r="V198" s="197">
        <v>169</v>
      </c>
      <c r="W198" s="197">
        <v>195</v>
      </c>
      <c r="X198" s="197"/>
      <c r="Y198" s="197">
        <v>120</v>
      </c>
      <c r="Z198" s="197"/>
    </row>
    <row r="199" spans="1:26">
      <c r="A199" s="191" t="str">
        <f>NOTTINGHAMSHIRE!A27</f>
        <v>Newark CC</v>
      </c>
      <c r="B199" s="195">
        <f>NOTTINGHAMSHIRE!D30</f>
        <v>71650</v>
      </c>
      <c r="C199" s="195">
        <f>NOTTINGHAMSHIRE!E30</f>
        <v>72407</v>
      </c>
      <c r="D199" s="195">
        <f>NOTTINGHAMSHIRE!F30</f>
        <v>72626</v>
      </c>
      <c r="E199" s="195">
        <f>NOTTINGHAMSHIRE!G30</f>
        <v>73061</v>
      </c>
      <c r="F199" s="195">
        <f>NOTTINGHAMSHIRE!H30</f>
        <v>73655</v>
      </c>
      <c r="G199" s="195">
        <f>NOTTINGHAMSHIRE!I30</f>
        <v>72193</v>
      </c>
      <c r="H199" s="195">
        <f>NOTTINGHAMSHIRE!J30</f>
        <v>71783</v>
      </c>
      <c r="I199" s="195">
        <f>NOTTINGHAMSHIRE!K30</f>
        <v>73752</v>
      </c>
      <c r="J199" s="195">
        <f>NOTTINGHAMSHIRE!L30</f>
        <v>74447</v>
      </c>
      <c r="K199" s="196">
        <f t="shared" si="9"/>
        <v>3.9036985345429168E-2</v>
      </c>
      <c r="L199" s="196"/>
      <c r="M199" s="195">
        <f t="shared" si="10"/>
        <v>-2706</v>
      </c>
      <c r="N199" s="196">
        <f t="shared" si="11"/>
        <v>-3.5073166305911632E-2</v>
      </c>
      <c r="O199" s="197">
        <v>264</v>
      </c>
      <c r="P199" s="197">
        <v>254</v>
      </c>
      <c r="Q199" s="197">
        <v>265</v>
      </c>
      <c r="R199" s="197">
        <v>252</v>
      </c>
      <c r="S199" s="197">
        <v>223</v>
      </c>
      <c r="T199" s="197">
        <v>227</v>
      </c>
      <c r="U199" s="197">
        <v>205</v>
      </c>
      <c r="V199" s="197">
        <v>202</v>
      </c>
      <c r="W199" s="197">
        <v>196</v>
      </c>
      <c r="X199" s="197"/>
      <c r="Y199" s="197">
        <v>300</v>
      </c>
      <c r="Z199" s="197"/>
    </row>
    <row r="200" spans="1:26">
      <c r="A200" s="191" t="str">
        <f>MERSEYSIDE!A17</f>
        <v>Garston and Halewood BC</v>
      </c>
      <c r="B200" s="195">
        <f>MERSEYSIDE!D19</f>
        <v>71346</v>
      </c>
      <c r="C200" s="195">
        <f>MERSEYSIDE!E19</f>
        <v>71618</v>
      </c>
      <c r="D200" s="195">
        <f>MERSEYSIDE!F19</f>
        <v>72053</v>
      </c>
      <c r="E200" s="195">
        <f>MERSEYSIDE!G19</f>
        <v>72677</v>
      </c>
      <c r="F200" s="195">
        <f>MERSEYSIDE!H19</f>
        <v>72948</v>
      </c>
      <c r="G200" s="195">
        <f>MERSEYSIDE!I19</f>
        <v>71748</v>
      </c>
      <c r="H200" s="195">
        <f>MERSEYSIDE!J19</f>
        <v>71942</v>
      </c>
      <c r="I200" s="195">
        <f>MERSEYSIDE!K19</f>
        <v>73524</v>
      </c>
      <c r="J200" s="195">
        <f>MERSEYSIDE!L19</f>
        <v>74432</v>
      </c>
      <c r="K200" s="196">
        <f t="shared" si="9"/>
        <v>4.3254001625879515E-2</v>
      </c>
      <c r="L200" s="196"/>
      <c r="M200" s="195">
        <f t="shared" si="10"/>
        <v>-2721</v>
      </c>
      <c r="N200" s="196">
        <f t="shared" si="11"/>
        <v>-3.5267585187873443E-2</v>
      </c>
      <c r="O200" s="197">
        <v>277</v>
      </c>
      <c r="P200" s="197">
        <v>292</v>
      </c>
      <c r="Q200" s="197">
        <v>291</v>
      </c>
      <c r="R200" s="197">
        <v>280</v>
      </c>
      <c r="S200" s="197">
        <v>248</v>
      </c>
      <c r="T200" s="197">
        <v>239</v>
      </c>
      <c r="U200" s="197">
        <v>200</v>
      </c>
      <c r="V200" s="197">
        <v>209</v>
      </c>
      <c r="W200" s="197">
        <v>197</v>
      </c>
      <c r="X200" s="197"/>
      <c r="Y200" s="197">
        <v>179</v>
      </c>
      <c r="Z200" s="197"/>
    </row>
    <row r="201" spans="1:26">
      <c r="A201" s="191" t="str">
        <f>LAMBETH!A11</f>
        <v>Streatham BC</v>
      </c>
      <c r="B201" s="195">
        <f>LAMBETH!D11</f>
        <v>71902</v>
      </c>
      <c r="C201" s="195">
        <f>LAMBETH!E11</f>
        <v>71913</v>
      </c>
      <c r="D201" s="195">
        <f>LAMBETH!F11</f>
        <v>72460</v>
      </c>
      <c r="E201" s="195">
        <f>LAMBETH!G11</f>
        <v>72887</v>
      </c>
      <c r="F201" s="195">
        <f>LAMBETH!H11</f>
        <v>72622</v>
      </c>
      <c r="G201" s="195">
        <f>LAMBETH!I11</f>
        <v>72574</v>
      </c>
      <c r="H201" s="195">
        <f>LAMBETH!J11</f>
        <v>70286</v>
      </c>
      <c r="I201" s="195">
        <f>LAMBETH!K11</f>
        <v>73840</v>
      </c>
      <c r="J201" s="195">
        <f>LAMBETH!L11</f>
        <v>74414</v>
      </c>
      <c r="K201" s="196">
        <f t="shared" si="9"/>
        <v>3.4936441267280467E-2</v>
      </c>
      <c r="L201" s="196"/>
      <c r="M201" s="195">
        <f t="shared" si="10"/>
        <v>-2739</v>
      </c>
      <c r="N201" s="196">
        <f t="shared" si="11"/>
        <v>-3.5500887846227625E-2</v>
      </c>
      <c r="O201" s="197">
        <v>251</v>
      </c>
      <c r="P201" s="197">
        <v>278</v>
      </c>
      <c r="Q201" s="197">
        <v>273</v>
      </c>
      <c r="R201" s="197">
        <v>266</v>
      </c>
      <c r="S201" s="197">
        <v>258</v>
      </c>
      <c r="T201" s="197">
        <v>205</v>
      </c>
      <c r="U201" s="197">
        <v>261</v>
      </c>
      <c r="V201" s="197">
        <v>197</v>
      </c>
      <c r="W201" s="197">
        <v>198</v>
      </c>
      <c r="X201" s="197"/>
      <c r="Y201" s="197">
        <v>449</v>
      </c>
      <c r="Z201" s="197"/>
    </row>
    <row r="202" spans="1:26">
      <c r="A202" s="191" t="str">
        <f>CHESHIRE!A13</f>
        <v>City of Chester CC</v>
      </c>
      <c r="B202" s="195">
        <f>CHESHIRE!D13</f>
        <v>68899</v>
      </c>
      <c r="C202" s="195">
        <f>CHESHIRE!E13</f>
        <v>68280</v>
      </c>
      <c r="D202" s="195">
        <f>CHESHIRE!F13</f>
        <v>68057</v>
      </c>
      <c r="E202" s="195">
        <f>CHESHIRE!G13</f>
        <v>68463</v>
      </c>
      <c r="F202" s="195">
        <f>CHESHIRE!H13</f>
        <v>70641</v>
      </c>
      <c r="G202" s="195">
        <f>CHESHIRE!I13</f>
        <v>70533</v>
      </c>
      <c r="H202" s="195">
        <f>CHESHIRE!J13</f>
        <v>70857</v>
      </c>
      <c r="I202" s="195">
        <f>CHESHIRE!K13</f>
        <v>72255</v>
      </c>
      <c r="J202" s="195">
        <f>CHESHIRE!L13</f>
        <v>74397</v>
      </c>
      <c r="K202" s="196">
        <f t="shared" si="9"/>
        <v>7.9797965137374999E-2</v>
      </c>
      <c r="L202" s="196"/>
      <c r="M202" s="195">
        <f t="shared" si="10"/>
        <v>-2756</v>
      </c>
      <c r="N202" s="196">
        <f t="shared" si="11"/>
        <v>-3.5721229245784351E-2</v>
      </c>
      <c r="O202" s="197">
        <v>352</v>
      </c>
      <c r="P202" s="197">
        <v>386</v>
      </c>
      <c r="Q202" s="197">
        <v>396</v>
      </c>
      <c r="R202" s="197">
        <v>401</v>
      </c>
      <c r="S202" s="197">
        <v>324</v>
      </c>
      <c r="T202" s="197">
        <v>275</v>
      </c>
      <c r="U202" s="197">
        <v>234</v>
      </c>
      <c r="V202" s="197">
        <v>246</v>
      </c>
      <c r="W202" s="197">
        <v>199</v>
      </c>
      <c r="X202" s="197"/>
      <c r="Y202" s="197">
        <v>111</v>
      </c>
      <c r="Z202" s="197"/>
    </row>
    <row r="203" spans="1:26">
      <c r="A203" s="191" t="str">
        <f>DEVON!A51</f>
        <v>Torbay BC</v>
      </c>
      <c r="B203" s="195">
        <f>DEVON!D51</f>
        <v>76253</v>
      </c>
      <c r="C203" s="195">
        <f>DEVON!E51</f>
        <v>76219</v>
      </c>
      <c r="D203" s="195">
        <f>DEVON!F51</f>
        <v>76793</v>
      </c>
      <c r="E203" s="195">
        <f>DEVON!G51</f>
        <v>77769</v>
      </c>
      <c r="F203" s="195">
        <f>DEVON!H51</f>
        <v>78410</v>
      </c>
      <c r="G203" s="195">
        <f>DEVON!I51</f>
        <v>75754</v>
      </c>
      <c r="H203" s="195">
        <f>DEVON!J51</f>
        <v>71459</v>
      </c>
      <c r="I203" s="195">
        <f>DEVON!K51</f>
        <v>73277</v>
      </c>
      <c r="J203" s="195">
        <f>DEVON!L51</f>
        <v>74377</v>
      </c>
      <c r="K203" s="196">
        <f t="shared" si="9"/>
        <v>-2.4602310728758212E-2</v>
      </c>
      <c r="L203" s="196"/>
      <c r="M203" s="195">
        <f t="shared" si="10"/>
        <v>-2776</v>
      </c>
      <c r="N203" s="196">
        <f t="shared" si="11"/>
        <v>-3.5980454421733442E-2</v>
      </c>
      <c r="O203" s="197">
        <v>119</v>
      </c>
      <c r="P203" s="197">
        <v>134</v>
      </c>
      <c r="Q203" s="197">
        <v>132</v>
      </c>
      <c r="R203" s="197">
        <v>117</v>
      </c>
      <c r="S203" s="197">
        <v>92</v>
      </c>
      <c r="T203" s="197">
        <v>129</v>
      </c>
      <c r="U203" s="197">
        <v>216</v>
      </c>
      <c r="V203" s="197">
        <v>214</v>
      </c>
      <c r="W203" s="197">
        <v>200</v>
      </c>
      <c r="X203" s="197"/>
      <c r="Y203" s="197">
        <v>470</v>
      </c>
      <c r="Z203" s="197"/>
    </row>
    <row r="204" spans="1:26">
      <c r="A204" s="191" t="str">
        <f>NOTTINGHAM!A11</f>
        <v>Nottingham South BC</v>
      </c>
      <c r="B204" s="195">
        <f>NOTTINGHAM!D11</f>
        <v>66100</v>
      </c>
      <c r="C204" s="195">
        <f>NOTTINGHAM!E11</f>
        <v>69154</v>
      </c>
      <c r="D204" s="195">
        <f>NOTTINGHAM!F11</f>
        <v>72021</v>
      </c>
      <c r="E204" s="195">
        <f>NOTTINGHAM!G11</f>
        <v>71755</v>
      </c>
      <c r="F204" s="195">
        <f>NOTTINGHAM!H11</f>
        <v>70787</v>
      </c>
      <c r="G204" s="195">
        <f>NOTTINGHAM!I11</f>
        <v>61884</v>
      </c>
      <c r="H204" s="195">
        <f>NOTTINGHAM!J11</f>
        <v>65512</v>
      </c>
      <c r="I204" s="195">
        <f>NOTTINGHAM!K11</f>
        <v>66653</v>
      </c>
      <c r="J204" s="195">
        <f>NOTTINGHAM!L11</f>
        <v>74362</v>
      </c>
      <c r="K204" s="196">
        <f t="shared" si="9"/>
        <v>0.12499243570347958</v>
      </c>
      <c r="L204" s="196"/>
      <c r="M204" s="195">
        <f t="shared" si="10"/>
        <v>-2791</v>
      </c>
      <c r="N204" s="196">
        <f t="shared" si="11"/>
        <v>-3.6174873303695253E-2</v>
      </c>
      <c r="O204" s="197">
        <v>435</v>
      </c>
      <c r="P204" s="197">
        <v>359</v>
      </c>
      <c r="Q204" s="197">
        <v>292</v>
      </c>
      <c r="R204" s="197">
        <v>309</v>
      </c>
      <c r="S204" s="197">
        <v>320</v>
      </c>
      <c r="T204" s="197">
        <v>494</v>
      </c>
      <c r="U204" s="197">
        <v>412</v>
      </c>
      <c r="V204" s="197">
        <v>417</v>
      </c>
      <c r="W204" s="197">
        <v>201</v>
      </c>
      <c r="X204" s="197"/>
      <c r="Y204" s="197">
        <v>338</v>
      </c>
      <c r="Z204" s="197"/>
    </row>
    <row r="205" spans="1:26">
      <c r="A205" s="191" t="str">
        <f>KENT!A36</f>
        <v>Dover CC</v>
      </c>
      <c r="B205" s="195">
        <f>KENT!D36</f>
        <v>71535</v>
      </c>
      <c r="C205" s="195">
        <f>KENT!E36</f>
        <v>71993</v>
      </c>
      <c r="D205" s="195">
        <f>KENT!F36</f>
        <v>72490</v>
      </c>
      <c r="E205" s="195">
        <f>KENT!G36</f>
        <v>72898</v>
      </c>
      <c r="F205" s="195">
        <f>KENT!H36</f>
        <v>73248</v>
      </c>
      <c r="G205" s="195">
        <f>KENT!I36</f>
        <v>72478</v>
      </c>
      <c r="H205" s="195">
        <f>KENT!J36</f>
        <v>72940</v>
      </c>
      <c r="I205" s="195">
        <f>KENT!K36</f>
        <v>74600</v>
      </c>
      <c r="J205" s="195">
        <f>KENT!L36</f>
        <v>74304</v>
      </c>
      <c r="K205" s="196">
        <f t="shared" si="9"/>
        <v>3.8708324596351436E-2</v>
      </c>
      <c r="L205" s="196"/>
      <c r="M205" s="195">
        <f t="shared" si="10"/>
        <v>-2849</v>
      </c>
      <c r="N205" s="196">
        <f t="shared" si="11"/>
        <v>-3.6926626313947608E-2</v>
      </c>
      <c r="O205" s="197">
        <v>271</v>
      </c>
      <c r="P205" s="197">
        <v>272</v>
      </c>
      <c r="Q205" s="197">
        <v>270</v>
      </c>
      <c r="R205" s="197">
        <v>265</v>
      </c>
      <c r="S205" s="197">
        <v>236</v>
      </c>
      <c r="T205" s="197">
        <v>215</v>
      </c>
      <c r="U205" s="197">
        <v>165</v>
      </c>
      <c r="V205" s="197">
        <v>174</v>
      </c>
      <c r="W205" s="197">
        <v>202</v>
      </c>
      <c r="X205" s="197"/>
      <c r="Y205" s="197">
        <v>141</v>
      </c>
      <c r="Z205" s="197"/>
    </row>
    <row r="206" spans="1:26">
      <c r="A206" s="191" t="str">
        <f>OXFORDSHIRE!A21</f>
        <v>Oxford West and Abingdon CC</v>
      </c>
      <c r="B206" s="195">
        <f>OXFORDSHIRE!D24</f>
        <v>77826</v>
      </c>
      <c r="C206" s="195">
        <f>OXFORDSHIRE!E24</f>
        <v>77811</v>
      </c>
      <c r="D206" s="195">
        <f>OXFORDSHIRE!F24</f>
        <v>78649</v>
      </c>
      <c r="E206" s="195">
        <f>OXFORDSHIRE!G24</f>
        <v>78520</v>
      </c>
      <c r="F206" s="195">
        <f>OXFORDSHIRE!H24</f>
        <v>78404</v>
      </c>
      <c r="G206" s="195">
        <f>OXFORDSHIRE!I24</f>
        <v>76677</v>
      </c>
      <c r="H206" s="195">
        <f>OXFORDSHIRE!J24</f>
        <v>73647</v>
      </c>
      <c r="I206" s="195">
        <f>OXFORDSHIRE!K24</f>
        <v>75206</v>
      </c>
      <c r="J206" s="195">
        <f>OXFORDSHIRE!L24</f>
        <v>74248</v>
      </c>
      <c r="K206" s="196">
        <f t="shared" si="9"/>
        <v>-4.5974353043969879E-2</v>
      </c>
      <c r="L206" s="196"/>
      <c r="M206" s="195">
        <f t="shared" si="10"/>
        <v>-2905</v>
      </c>
      <c r="N206" s="196">
        <f t="shared" si="11"/>
        <v>-3.7652456806605054E-2</v>
      </c>
      <c r="O206" s="197">
        <v>71</v>
      </c>
      <c r="P206" s="197">
        <v>85</v>
      </c>
      <c r="Q206" s="197">
        <v>74</v>
      </c>
      <c r="R206" s="197">
        <v>90</v>
      </c>
      <c r="S206" s="197">
        <v>93</v>
      </c>
      <c r="T206" s="197">
        <v>104</v>
      </c>
      <c r="U206" s="197">
        <v>150</v>
      </c>
      <c r="V206" s="197">
        <v>156</v>
      </c>
      <c r="W206" s="197">
        <v>203</v>
      </c>
      <c r="X206" s="197"/>
      <c r="Y206" s="197">
        <v>345</v>
      </c>
      <c r="Z206" s="20"/>
    </row>
    <row r="207" spans="1:26">
      <c r="A207" s="191" t="str">
        <f>'GREATER MANCHESTER'!A75</f>
        <v>Wigan CC</v>
      </c>
      <c r="B207" s="195">
        <f>'GREATER MANCHESTER'!D75</f>
        <v>75035</v>
      </c>
      <c r="C207" s="195">
        <f>'GREATER MANCHESTER'!E75</f>
        <v>76779</v>
      </c>
      <c r="D207" s="195">
        <f>'GREATER MANCHESTER'!F75</f>
        <v>77288</v>
      </c>
      <c r="E207" s="195">
        <f>'GREATER MANCHESTER'!G75</f>
        <v>77675</v>
      </c>
      <c r="F207" s="195">
        <f>'GREATER MANCHESTER'!H75</f>
        <v>77655</v>
      </c>
      <c r="G207" s="195">
        <f>'GREATER MANCHESTER'!I75</f>
        <v>74621</v>
      </c>
      <c r="H207" s="195">
        <f>'GREATER MANCHESTER'!J75</f>
        <v>72733</v>
      </c>
      <c r="I207" s="195">
        <f>'GREATER MANCHESTER'!K75</f>
        <v>73656</v>
      </c>
      <c r="J207" s="195">
        <f>'GREATER MANCHESTER'!L75</f>
        <v>74241</v>
      </c>
      <c r="K207" s="196">
        <f t="shared" si="9"/>
        <v>-1.0581728526687546E-2</v>
      </c>
      <c r="L207" s="196"/>
      <c r="M207" s="195">
        <f t="shared" si="10"/>
        <v>-2912</v>
      </c>
      <c r="N207" s="196">
        <f t="shared" si="11"/>
        <v>-3.7743185618187236E-2</v>
      </c>
      <c r="O207" s="197">
        <v>151</v>
      </c>
      <c r="P207" s="197">
        <v>123</v>
      </c>
      <c r="Q207" s="197">
        <v>122</v>
      </c>
      <c r="R207" s="197">
        <v>123</v>
      </c>
      <c r="S207" s="197">
        <v>107</v>
      </c>
      <c r="T207" s="197">
        <v>153</v>
      </c>
      <c r="U207" s="197">
        <v>172</v>
      </c>
      <c r="V207" s="197">
        <v>206</v>
      </c>
      <c r="W207" s="197">
        <v>204</v>
      </c>
      <c r="X207" s="197"/>
      <c r="Y207" s="197">
        <v>510</v>
      </c>
      <c r="Z207" s="197"/>
    </row>
    <row r="208" spans="1:26">
      <c r="A208" s="191" t="str">
        <f>'SOUTH YORKSHIRE'!A20</f>
        <v>Don Valley CC</v>
      </c>
      <c r="B208" s="195">
        <f>'SOUTH YORKSHIRE'!D20</f>
        <v>72880</v>
      </c>
      <c r="C208" s="195">
        <f>'SOUTH YORKSHIRE'!E20</f>
        <v>73674</v>
      </c>
      <c r="D208" s="195">
        <f>'SOUTH YORKSHIRE'!F20</f>
        <v>73675</v>
      </c>
      <c r="E208" s="195">
        <f>'SOUTH YORKSHIRE'!G20</f>
        <v>74087</v>
      </c>
      <c r="F208" s="195">
        <f>'SOUTH YORKSHIRE'!H20</f>
        <v>72985</v>
      </c>
      <c r="G208" s="195">
        <f>'SOUTH YORKSHIRE'!I20</f>
        <v>68872</v>
      </c>
      <c r="H208" s="195">
        <f>'SOUTH YORKSHIRE'!J20</f>
        <v>70730</v>
      </c>
      <c r="I208" s="195">
        <f>'SOUTH YORKSHIRE'!K20</f>
        <v>72897</v>
      </c>
      <c r="J208" s="195">
        <f>'SOUTH YORKSHIRE'!L20</f>
        <v>74203</v>
      </c>
      <c r="K208" s="196">
        <f t="shared" si="9"/>
        <v>1.8153128430296376E-2</v>
      </c>
      <c r="L208" s="196"/>
      <c r="M208" s="195">
        <f t="shared" si="10"/>
        <v>-2950</v>
      </c>
      <c r="N208" s="196">
        <f t="shared" si="11"/>
        <v>-3.8235713452490508E-2</v>
      </c>
      <c r="O208" s="197">
        <v>202</v>
      </c>
      <c r="P208" s="197">
        <v>199</v>
      </c>
      <c r="Q208" s="197">
        <v>214</v>
      </c>
      <c r="R208" s="197">
        <v>207</v>
      </c>
      <c r="S208" s="197">
        <v>247</v>
      </c>
      <c r="T208" s="197">
        <v>336</v>
      </c>
      <c r="U208" s="197">
        <v>237</v>
      </c>
      <c r="V208" s="197">
        <v>225</v>
      </c>
      <c r="W208" s="197">
        <v>205</v>
      </c>
      <c r="X208" s="197"/>
      <c r="Y208" s="197">
        <v>138</v>
      </c>
      <c r="Z208" s="197"/>
    </row>
    <row r="209" spans="1:26">
      <c r="A209" s="191" t="str">
        <f>YORK!A7</f>
        <v>York Central BC</v>
      </c>
      <c r="B209" s="195">
        <f>YORK!D7</f>
        <v>74013</v>
      </c>
      <c r="C209" s="195">
        <f>YORK!E7</f>
        <v>75656</v>
      </c>
      <c r="D209" s="195">
        <f>YORK!F7</f>
        <v>77027</v>
      </c>
      <c r="E209" s="195">
        <f>YORK!G7</f>
        <v>76028</v>
      </c>
      <c r="F209" s="195">
        <f>YORK!H7</f>
        <v>76753</v>
      </c>
      <c r="G209" s="195">
        <f>YORK!I7</f>
        <v>68502</v>
      </c>
      <c r="H209" s="195">
        <f>YORK!J7</f>
        <v>71586</v>
      </c>
      <c r="I209" s="195">
        <f>YORK!K7</f>
        <v>71822</v>
      </c>
      <c r="J209" s="195">
        <f>YORK!L7</f>
        <v>74181</v>
      </c>
      <c r="K209" s="196">
        <f t="shared" si="9"/>
        <v>2.2698715090592194E-3</v>
      </c>
      <c r="L209" s="196"/>
      <c r="M209" s="195">
        <f t="shared" si="10"/>
        <v>-2972</v>
      </c>
      <c r="N209" s="196">
        <f t="shared" si="11"/>
        <v>-3.85208611460345E-2</v>
      </c>
      <c r="O209" s="197">
        <v>172</v>
      </c>
      <c r="P209" s="197">
        <v>150</v>
      </c>
      <c r="Q209" s="197">
        <v>130</v>
      </c>
      <c r="R209" s="197">
        <v>160</v>
      </c>
      <c r="S209" s="197">
        <v>132</v>
      </c>
      <c r="T209" s="197">
        <v>351</v>
      </c>
      <c r="U209" s="197">
        <v>213</v>
      </c>
      <c r="V209" s="197">
        <v>261</v>
      </c>
      <c r="W209" s="197">
        <v>206</v>
      </c>
      <c r="X209" s="197"/>
      <c r="Y209" s="197">
        <v>532</v>
      </c>
      <c r="Z209" s="197"/>
    </row>
    <row r="210" spans="1:26">
      <c r="A210" s="191" t="str">
        <f>'SOUTH YORKSHIRE'!A40</f>
        <v>Wentworth and Dearne CC</v>
      </c>
      <c r="B210" s="195">
        <f>'SOUTH YORKSHIRE'!D42</f>
        <v>72014</v>
      </c>
      <c r="C210" s="195">
        <f>'SOUTH YORKSHIRE'!E42</f>
        <v>72272</v>
      </c>
      <c r="D210" s="195">
        <f>'SOUTH YORKSHIRE'!F42</f>
        <v>72966</v>
      </c>
      <c r="E210" s="195">
        <f>'SOUTH YORKSHIRE'!G42</f>
        <v>73739</v>
      </c>
      <c r="F210" s="195">
        <f>'SOUTH YORKSHIRE'!H42</f>
        <v>74635</v>
      </c>
      <c r="G210" s="195">
        <f>'SOUTH YORKSHIRE'!I42</f>
        <v>73940</v>
      </c>
      <c r="H210" s="195">
        <f>'SOUTH YORKSHIRE'!J42</f>
        <v>72152</v>
      </c>
      <c r="I210" s="195">
        <f>'SOUTH YORKSHIRE'!K42</f>
        <v>73574</v>
      </c>
      <c r="J210" s="195">
        <f>'SOUTH YORKSHIRE'!L42</f>
        <v>74111</v>
      </c>
      <c r="K210" s="196">
        <f t="shared" si="9"/>
        <v>2.9119337906518179E-2</v>
      </c>
      <c r="L210" s="196"/>
      <c r="M210" s="195">
        <f t="shared" si="10"/>
        <v>-3042</v>
      </c>
      <c r="N210" s="196">
        <f t="shared" si="11"/>
        <v>-3.942814926185631E-2</v>
      </c>
      <c r="O210" s="197">
        <v>241</v>
      </c>
      <c r="P210" s="197">
        <v>258</v>
      </c>
      <c r="Q210" s="197">
        <v>250</v>
      </c>
      <c r="R210" s="197">
        <v>223</v>
      </c>
      <c r="S210" s="197">
        <v>180</v>
      </c>
      <c r="T210" s="197">
        <v>165</v>
      </c>
      <c r="U210" s="197">
        <v>190</v>
      </c>
      <c r="V210" s="197">
        <v>208</v>
      </c>
      <c r="W210" s="197">
        <v>207</v>
      </c>
      <c r="X210" s="197"/>
      <c r="Y210" s="197">
        <v>499</v>
      </c>
      <c r="Z210" s="197"/>
    </row>
    <row r="211" spans="1:26">
      <c r="A211" s="191" t="str">
        <f>SURREY!A52</f>
        <v>Woking CC</v>
      </c>
      <c r="B211" s="195">
        <f>SURREY!D54</f>
        <v>73064</v>
      </c>
      <c r="C211" s="195">
        <f>SURREY!E54</f>
        <v>74328</v>
      </c>
      <c r="D211" s="195">
        <f>SURREY!F54</f>
        <v>73965</v>
      </c>
      <c r="E211" s="195">
        <f>SURREY!G54</f>
        <v>74858</v>
      </c>
      <c r="F211" s="195">
        <f>SURREY!H54</f>
        <v>74247</v>
      </c>
      <c r="G211" s="195">
        <f>SURREY!I54</f>
        <v>72849</v>
      </c>
      <c r="H211" s="195">
        <f>SURREY!J54</f>
        <v>72144</v>
      </c>
      <c r="I211" s="195">
        <f>SURREY!K54</f>
        <v>74252</v>
      </c>
      <c r="J211" s="195">
        <f>SURREY!L54</f>
        <v>74110</v>
      </c>
      <c r="K211" s="196">
        <f t="shared" si="9"/>
        <v>1.4316215920289062E-2</v>
      </c>
      <c r="L211" s="196"/>
      <c r="M211" s="195">
        <f t="shared" si="10"/>
        <v>-3043</v>
      </c>
      <c r="N211" s="196">
        <f t="shared" si="11"/>
        <v>-3.9441110520653765E-2</v>
      </c>
      <c r="O211" s="197">
        <v>197</v>
      </c>
      <c r="P211" s="197">
        <v>180</v>
      </c>
      <c r="Q211" s="197">
        <v>199</v>
      </c>
      <c r="R211" s="197">
        <v>189</v>
      </c>
      <c r="S211" s="197">
        <v>199</v>
      </c>
      <c r="T211" s="197">
        <v>191</v>
      </c>
      <c r="U211" s="197">
        <v>191</v>
      </c>
      <c r="V211" s="197">
        <v>191</v>
      </c>
      <c r="W211" s="197">
        <v>208</v>
      </c>
      <c r="X211" s="197"/>
      <c r="Y211" s="197">
        <v>518</v>
      </c>
      <c r="Z211" s="197"/>
    </row>
    <row r="212" spans="1:26">
      <c r="A212" s="191" t="str">
        <f>DEVON!A37</f>
        <v>North Devon CC</v>
      </c>
      <c r="B212" s="195">
        <f>DEVON!D37</f>
        <v>74408</v>
      </c>
      <c r="C212" s="195">
        <f>DEVON!E37</f>
        <v>75098</v>
      </c>
      <c r="D212" s="195">
        <f>DEVON!F37</f>
        <v>75353</v>
      </c>
      <c r="E212" s="195">
        <f>DEVON!G37</f>
        <v>75744</v>
      </c>
      <c r="F212" s="195">
        <f>DEVON!H37</f>
        <v>74228</v>
      </c>
      <c r="G212" s="195">
        <f>DEVON!I37</f>
        <v>73358</v>
      </c>
      <c r="H212" s="195">
        <f>DEVON!J37</f>
        <v>73240</v>
      </c>
      <c r="I212" s="195">
        <f>DEVON!K37</f>
        <v>75489</v>
      </c>
      <c r="J212" s="195">
        <f>DEVON!L37</f>
        <v>74101</v>
      </c>
      <c r="K212" s="196">
        <f t="shared" si="9"/>
        <v>-4.125900440812816E-3</v>
      </c>
      <c r="L212" s="196"/>
      <c r="M212" s="195">
        <f t="shared" si="10"/>
        <v>-3052</v>
      </c>
      <c r="N212" s="196">
        <f t="shared" si="11"/>
        <v>-3.9557761849830855E-2</v>
      </c>
      <c r="O212" s="197">
        <v>165</v>
      </c>
      <c r="P212" s="197">
        <v>162</v>
      </c>
      <c r="Q212" s="197">
        <v>171</v>
      </c>
      <c r="R212" s="197">
        <v>166</v>
      </c>
      <c r="S212" s="197">
        <v>200</v>
      </c>
      <c r="T212" s="197">
        <v>177</v>
      </c>
      <c r="U212" s="197">
        <v>160</v>
      </c>
      <c r="V212" s="197">
        <v>147</v>
      </c>
      <c r="W212" s="197">
        <v>209</v>
      </c>
      <c r="X212" s="197"/>
      <c r="Y212" s="197">
        <v>309</v>
      </c>
      <c r="Z212" s="197"/>
    </row>
    <row r="213" spans="1:26">
      <c r="A213" s="191" t="str">
        <f>WORCESTERSHIRE!A22</f>
        <v>West Worcestershire CC</v>
      </c>
      <c r="B213" s="195">
        <f>WORCESTERSHIRE!D24</f>
        <v>72688</v>
      </c>
      <c r="C213" s="195">
        <f>WORCESTERSHIRE!E24</f>
        <v>73001</v>
      </c>
      <c r="D213" s="195">
        <f>WORCESTERSHIRE!F24</f>
        <v>73130</v>
      </c>
      <c r="E213" s="195">
        <f>WORCESTERSHIRE!G24</f>
        <v>73938</v>
      </c>
      <c r="F213" s="195">
        <f>WORCESTERSHIRE!H24</f>
        <v>73617</v>
      </c>
      <c r="G213" s="195">
        <f>WORCESTERSHIRE!I24</f>
        <v>72573</v>
      </c>
      <c r="H213" s="195">
        <f>WORCESTERSHIRE!J24</f>
        <v>72674</v>
      </c>
      <c r="I213" s="195">
        <f>WORCESTERSHIRE!K24</f>
        <v>74153</v>
      </c>
      <c r="J213" s="195">
        <f>WORCESTERSHIRE!L24</f>
        <v>74050</v>
      </c>
      <c r="K213" s="196">
        <f t="shared" si="9"/>
        <v>1.8737618313889499E-2</v>
      </c>
      <c r="L213" s="196"/>
      <c r="M213" s="195">
        <f t="shared" si="10"/>
        <v>-3103</v>
      </c>
      <c r="N213" s="196">
        <f t="shared" si="11"/>
        <v>-4.0218786048501029E-2</v>
      </c>
      <c r="O213" s="197">
        <v>212</v>
      </c>
      <c r="P213" s="197">
        <v>229</v>
      </c>
      <c r="Q213" s="197">
        <v>240</v>
      </c>
      <c r="R213" s="197">
        <v>214</v>
      </c>
      <c r="S213" s="197">
        <v>225</v>
      </c>
      <c r="T213" s="197">
        <v>206</v>
      </c>
      <c r="U213" s="197">
        <v>175</v>
      </c>
      <c r="V213" s="197">
        <v>193</v>
      </c>
      <c r="W213" s="197">
        <v>210</v>
      </c>
      <c r="X213" s="197"/>
      <c r="Y213" s="197">
        <v>506</v>
      </c>
      <c r="Z213" s="197"/>
    </row>
    <row r="214" spans="1:26">
      <c r="A214" s="191" t="str">
        <f>'GREATER MANCHESTER'!A57</f>
        <v>Manchester, Gorton BC</v>
      </c>
      <c r="B214" s="195">
        <f>'GREATER MANCHESTER'!D57</f>
        <v>72535</v>
      </c>
      <c r="C214" s="195">
        <f>'GREATER MANCHESTER'!E57</f>
        <v>74681</v>
      </c>
      <c r="D214" s="195">
        <f>'GREATER MANCHESTER'!F57</f>
        <v>76497</v>
      </c>
      <c r="E214" s="195">
        <f>'GREATER MANCHESTER'!G57</f>
        <v>76384</v>
      </c>
      <c r="F214" s="195">
        <f>'GREATER MANCHESTER'!H57</f>
        <v>76807</v>
      </c>
      <c r="G214" s="195">
        <f>'GREATER MANCHESTER'!I57</f>
        <v>72518</v>
      </c>
      <c r="H214" s="195">
        <f>'GREATER MANCHESTER'!J57</f>
        <v>74227</v>
      </c>
      <c r="I214" s="195">
        <f>'GREATER MANCHESTER'!K57</f>
        <v>70873</v>
      </c>
      <c r="J214" s="195">
        <f>'GREATER MANCHESTER'!L57</f>
        <v>73951</v>
      </c>
      <c r="K214" s="196">
        <f t="shared" si="9"/>
        <v>1.9521610257117253E-2</v>
      </c>
      <c r="L214" s="196"/>
      <c r="M214" s="195">
        <f t="shared" si="10"/>
        <v>-3202</v>
      </c>
      <c r="N214" s="196">
        <f t="shared" si="11"/>
        <v>-4.150195066944902E-2</v>
      </c>
      <c r="O214" s="197">
        <v>218</v>
      </c>
      <c r="P214" s="197">
        <v>174</v>
      </c>
      <c r="Q214" s="197">
        <v>141</v>
      </c>
      <c r="R214" s="197">
        <v>152</v>
      </c>
      <c r="S214" s="197">
        <v>129</v>
      </c>
      <c r="T214" s="197">
        <v>212</v>
      </c>
      <c r="U214" s="197">
        <v>139</v>
      </c>
      <c r="V214" s="197">
        <v>299</v>
      </c>
      <c r="W214" s="197">
        <v>211</v>
      </c>
      <c r="X214" s="197"/>
      <c r="Y214" s="197">
        <v>279</v>
      </c>
      <c r="Z214" s="197"/>
    </row>
    <row r="215" spans="1:26">
      <c r="A215" s="191" t="str">
        <f>NOTTINGHAMSHIRE!A32</f>
        <v>Rushcliffe CC</v>
      </c>
      <c r="B215" s="195">
        <f>NOTTINGHAMSHIRE!D32</f>
        <v>72774</v>
      </c>
      <c r="C215" s="195">
        <f>NOTTINGHAMSHIRE!E32</f>
        <v>73430</v>
      </c>
      <c r="D215" s="195">
        <f>NOTTINGHAMSHIRE!F32</f>
        <v>73785</v>
      </c>
      <c r="E215" s="195">
        <f>NOTTINGHAMSHIRE!G32</f>
        <v>74324</v>
      </c>
      <c r="F215" s="195">
        <f>NOTTINGHAMSHIRE!H32</f>
        <v>74197</v>
      </c>
      <c r="G215" s="195">
        <f>NOTTINGHAMSHIRE!I32</f>
        <v>71910</v>
      </c>
      <c r="H215" s="195">
        <f>NOTTINGHAMSHIRE!J32</f>
        <v>71897</v>
      </c>
      <c r="I215" s="195">
        <f>NOTTINGHAMSHIRE!K32</f>
        <v>73282</v>
      </c>
      <c r="J215" s="195">
        <f>NOTTINGHAMSHIRE!L32</f>
        <v>73951</v>
      </c>
      <c r="K215" s="196">
        <f t="shared" si="9"/>
        <v>1.6173358617088521E-2</v>
      </c>
      <c r="L215" s="196"/>
      <c r="M215" s="195">
        <f t="shared" si="10"/>
        <v>-3202</v>
      </c>
      <c r="N215" s="196">
        <f t="shared" si="11"/>
        <v>-4.150195066944902E-2</v>
      </c>
      <c r="O215" s="197">
        <v>209</v>
      </c>
      <c r="P215" s="197">
        <v>211</v>
      </c>
      <c r="Q215" s="197">
        <v>209</v>
      </c>
      <c r="R215" s="197">
        <v>199</v>
      </c>
      <c r="S215" s="197">
        <v>202</v>
      </c>
      <c r="T215" s="197">
        <v>236</v>
      </c>
      <c r="U215" s="197">
        <v>201</v>
      </c>
      <c r="V215" s="197">
        <v>213</v>
      </c>
      <c r="W215" s="197">
        <v>212</v>
      </c>
      <c r="X215" s="197"/>
      <c r="Y215" s="197">
        <v>379</v>
      </c>
      <c r="Z215" s="197"/>
    </row>
    <row r="216" spans="1:26">
      <c r="A216" s="191" t="str">
        <f>LEICESTERSHIRE!A30</f>
        <v>Loughborough CC</v>
      </c>
      <c r="B216" s="195">
        <f>LEICESTERSHIRE!D30</f>
        <v>77464</v>
      </c>
      <c r="C216" s="195">
        <f>LEICESTERSHIRE!E30</f>
        <v>77884</v>
      </c>
      <c r="D216" s="195">
        <f>LEICESTERSHIRE!F30</f>
        <v>78069</v>
      </c>
      <c r="E216" s="195">
        <f>LEICESTERSHIRE!G30</f>
        <v>78274</v>
      </c>
      <c r="F216" s="195">
        <f>LEICESTERSHIRE!H30</f>
        <v>78423</v>
      </c>
      <c r="G216" s="195">
        <f>LEICESTERSHIRE!I30</f>
        <v>69933</v>
      </c>
      <c r="H216" s="195">
        <f>LEICESTERSHIRE!J30</f>
        <v>74069</v>
      </c>
      <c r="I216" s="195">
        <f>LEICESTERSHIRE!K30</f>
        <v>77106</v>
      </c>
      <c r="J216" s="195">
        <f>LEICESTERSHIRE!L30</f>
        <v>73863</v>
      </c>
      <c r="K216" s="196">
        <f t="shared" si="9"/>
        <v>-4.6486109676753075E-2</v>
      </c>
      <c r="L216" s="196"/>
      <c r="M216" s="195">
        <f t="shared" si="10"/>
        <v>-3290</v>
      </c>
      <c r="N216" s="196">
        <f t="shared" si="11"/>
        <v>-4.2642541443625004E-2</v>
      </c>
      <c r="O216" s="197">
        <v>78</v>
      </c>
      <c r="P216" s="197">
        <v>83</v>
      </c>
      <c r="Q216" s="197">
        <v>88</v>
      </c>
      <c r="R216" s="197">
        <v>101</v>
      </c>
      <c r="S216" s="197">
        <v>91</v>
      </c>
      <c r="T216" s="197">
        <v>294</v>
      </c>
      <c r="U216" s="197">
        <v>143</v>
      </c>
      <c r="V216" s="197">
        <v>126</v>
      </c>
      <c r="W216" s="197">
        <v>213</v>
      </c>
      <c r="X216" s="197"/>
      <c r="Y216" s="197">
        <v>268</v>
      </c>
      <c r="Z216" s="197"/>
    </row>
    <row r="217" spans="1:26">
      <c r="A217" s="191" t="str">
        <f>STAFFORDSHIRE!A22</f>
        <v>Cannock Chase CC</v>
      </c>
      <c r="B217" s="195">
        <f>STAFFORDSHIRE!D22</f>
        <v>74828</v>
      </c>
      <c r="C217" s="195">
        <f>STAFFORDSHIRE!E22</f>
        <v>75680</v>
      </c>
      <c r="D217" s="195">
        <f>STAFFORDSHIRE!F22</f>
        <v>75494</v>
      </c>
      <c r="E217" s="195">
        <f>STAFFORDSHIRE!G22</f>
        <v>75539</v>
      </c>
      <c r="F217" s="195">
        <f>STAFFORDSHIRE!H22</f>
        <v>75380</v>
      </c>
      <c r="G217" s="195">
        <f>STAFFORDSHIRE!I22</f>
        <v>74146</v>
      </c>
      <c r="H217" s="195">
        <f>STAFFORDSHIRE!J22</f>
        <v>73470</v>
      </c>
      <c r="I217" s="195">
        <f>STAFFORDSHIRE!K22</f>
        <v>73801</v>
      </c>
      <c r="J217" s="195">
        <f>STAFFORDSHIRE!L22</f>
        <v>73834</v>
      </c>
      <c r="K217" s="196">
        <f t="shared" si="9"/>
        <v>-1.3283797508953867E-2</v>
      </c>
      <c r="L217" s="196"/>
      <c r="M217" s="195">
        <f t="shared" si="10"/>
        <v>-3319</v>
      </c>
      <c r="N217" s="196">
        <f t="shared" si="11"/>
        <v>-4.3018417948751185E-2</v>
      </c>
      <c r="O217" s="197">
        <v>154</v>
      </c>
      <c r="P217" s="197">
        <v>148</v>
      </c>
      <c r="Q217" s="197">
        <v>167</v>
      </c>
      <c r="R217" s="197">
        <v>172</v>
      </c>
      <c r="S217" s="197">
        <v>164</v>
      </c>
      <c r="T217" s="197">
        <v>158</v>
      </c>
      <c r="U217" s="197">
        <v>155</v>
      </c>
      <c r="V217" s="197">
        <v>199</v>
      </c>
      <c r="W217" s="197">
        <v>214</v>
      </c>
      <c r="X217" s="197"/>
      <c r="Y217" s="197">
        <v>89</v>
      </c>
      <c r="Z217" s="197"/>
    </row>
    <row r="218" spans="1:26">
      <c r="A218" s="191" t="str">
        <f>DEVON!A23</f>
        <v>Central Devon CC</v>
      </c>
      <c r="B218" s="195">
        <f>DEVON!D27</f>
        <v>71089</v>
      </c>
      <c r="C218" s="195">
        <f>DEVON!E27</f>
        <v>71563</v>
      </c>
      <c r="D218" s="195">
        <f>DEVON!F27</f>
        <v>72326</v>
      </c>
      <c r="E218" s="195">
        <f>DEVON!G27</f>
        <v>72622</v>
      </c>
      <c r="F218" s="195">
        <f>DEVON!H27</f>
        <v>72295</v>
      </c>
      <c r="G218" s="195">
        <f>DEVON!I27</f>
        <v>71575</v>
      </c>
      <c r="H218" s="195">
        <f>DEVON!J27</f>
        <v>70543</v>
      </c>
      <c r="I218" s="195">
        <f>DEVON!K27</f>
        <v>72214</v>
      </c>
      <c r="J218" s="195">
        <f>DEVON!L27</f>
        <v>73818</v>
      </c>
      <c r="K218" s="196">
        <f t="shared" si="9"/>
        <v>3.8388498923884143E-2</v>
      </c>
      <c r="L218" s="196"/>
      <c r="M218" s="195">
        <f t="shared" si="10"/>
        <v>-3335</v>
      </c>
      <c r="N218" s="196">
        <f t="shared" si="11"/>
        <v>-4.322579808951045E-2</v>
      </c>
      <c r="O218" s="197">
        <v>289</v>
      </c>
      <c r="P218" s="197">
        <v>295</v>
      </c>
      <c r="Q218" s="197">
        <v>282</v>
      </c>
      <c r="R218" s="197">
        <v>283</v>
      </c>
      <c r="S218" s="197">
        <v>275</v>
      </c>
      <c r="T218" s="197">
        <v>247</v>
      </c>
      <c r="U218" s="197">
        <v>248</v>
      </c>
      <c r="V218" s="197">
        <v>248</v>
      </c>
      <c r="W218" s="197">
        <v>215</v>
      </c>
      <c r="X218" s="197"/>
      <c r="Y218" s="197">
        <v>94</v>
      </c>
      <c r="Z218" s="197"/>
    </row>
    <row r="219" spans="1:26">
      <c r="A219" s="191" t="str">
        <f>ESSEX!A43</f>
        <v xml:space="preserve">Epping Forest CC </v>
      </c>
      <c r="B219" s="195">
        <f>ESSEX!D43</f>
        <v>72006</v>
      </c>
      <c r="C219" s="195">
        <f>ESSEX!E43</f>
        <v>72212</v>
      </c>
      <c r="D219" s="195">
        <f>ESSEX!F43</f>
        <v>73041</v>
      </c>
      <c r="E219" s="195">
        <f>ESSEX!G43</f>
        <v>73271</v>
      </c>
      <c r="F219" s="195">
        <f>ESSEX!H43</f>
        <v>72705</v>
      </c>
      <c r="G219" s="195">
        <f>ESSEX!I43</f>
        <v>72843</v>
      </c>
      <c r="H219" s="195">
        <f>ESSEX!J43</f>
        <v>73521</v>
      </c>
      <c r="I219" s="195">
        <f>ESSEX!K43</f>
        <v>74281</v>
      </c>
      <c r="J219" s="195">
        <f>ESSEX!L43</f>
        <v>73817</v>
      </c>
      <c r="K219" s="196">
        <f t="shared" si="9"/>
        <v>2.5150681887620475E-2</v>
      </c>
      <c r="L219" s="196"/>
      <c r="M219" s="195">
        <f t="shared" si="10"/>
        <v>-3336</v>
      </c>
      <c r="N219" s="196">
        <f t="shared" si="11"/>
        <v>-4.3238759348307905E-2</v>
      </c>
      <c r="O219" s="197">
        <v>242</v>
      </c>
      <c r="P219" s="197">
        <v>261</v>
      </c>
      <c r="Q219" s="197">
        <v>246</v>
      </c>
      <c r="R219" s="197">
        <v>245</v>
      </c>
      <c r="S219" s="197">
        <v>252</v>
      </c>
      <c r="T219" s="197">
        <v>192</v>
      </c>
      <c r="U219" s="197">
        <v>152</v>
      </c>
      <c r="V219" s="197">
        <v>190</v>
      </c>
      <c r="W219" s="197">
        <v>216</v>
      </c>
      <c r="X219" s="197"/>
      <c r="Y219" s="197">
        <v>164</v>
      </c>
      <c r="Z219" s="197"/>
    </row>
    <row r="220" spans="1:26">
      <c r="A220" s="191" t="str">
        <f>DORSET!A20</f>
        <v>Bournemouth East BC</v>
      </c>
      <c r="B220" s="195">
        <f>DORSET!D20</f>
        <v>71886</v>
      </c>
      <c r="C220" s="195">
        <f>DORSET!E20</f>
        <v>72961</v>
      </c>
      <c r="D220" s="195">
        <f>DORSET!F20</f>
        <v>73106</v>
      </c>
      <c r="E220" s="195">
        <f>DORSET!G20</f>
        <v>74212</v>
      </c>
      <c r="F220" s="195">
        <f>DORSET!H20</f>
        <v>72386</v>
      </c>
      <c r="G220" s="195">
        <f>DORSET!I20</f>
        <v>71411</v>
      </c>
      <c r="H220" s="195">
        <f>DORSET!J20</f>
        <v>71748</v>
      </c>
      <c r="I220" s="195">
        <f>DORSET!K20</f>
        <v>73835</v>
      </c>
      <c r="J220" s="195">
        <f>DORSET!L20</f>
        <v>73805</v>
      </c>
      <c r="K220" s="196">
        <f t="shared" si="9"/>
        <v>2.6695044932253845E-2</v>
      </c>
      <c r="L220" s="196"/>
      <c r="M220" s="195">
        <f t="shared" si="10"/>
        <v>-3348</v>
      </c>
      <c r="N220" s="196">
        <f t="shared" si="11"/>
        <v>-4.3394294453877359E-2</v>
      </c>
      <c r="O220" s="197">
        <v>253</v>
      </c>
      <c r="P220" s="197">
        <v>232</v>
      </c>
      <c r="Q220" s="197">
        <v>241</v>
      </c>
      <c r="R220" s="197">
        <v>202</v>
      </c>
      <c r="S220" s="197">
        <v>267</v>
      </c>
      <c r="T220" s="197">
        <v>252</v>
      </c>
      <c r="U220" s="197">
        <v>207</v>
      </c>
      <c r="V220" s="197">
        <v>198</v>
      </c>
      <c r="W220" s="197">
        <v>217</v>
      </c>
      <c r="X220" s="197"/>
      <c r="Y220" s="197">
        <v>55</v>
      </c>
      <c r="Z220" s="197"/>
    </row>
    <row r="221" spans="1:26">
      <c r="A221" s="191" t="str">
        <f>ESSEX!A31</f>
        <v>Brentwood and Ongar CC</v>
      </c>
      <c r="B221" s="195">
        <f>ESSEX!D33</f>
        <v>70362</v>
      </c>
      <c r="C221" s="195">
        <f>ESSEX!E33</f>
        <v>71041</v>
      </c>
      <c r="D221" s="195">
        <f>ESSEX!F33</f>
        <v>72291</v>
      </c>
      <c r="E221" s="195">
        <f>ESSEX!G33</f>
        <v>73388</v>
      </c>
      <c r="F221" s="195">
        <f>ESSEX!H33</f>
        <v>73696</v>
      </c>
      <c r="G221" s="195">
        <f>ESSEX!I33</f>
        <v>73925</v>
      </c>
      <c r="H221" s="195">
        <f>ESSEX!J33</f>
        <v>72382</v>
      </c>
      <c r="I221" s="195">
        <f>ESSEX!K33</f>
        <v>74454</v>
      </c>
      <c r="J221" s="195">
        <f>ESSEX!L33</f>
        <v>73780</v>
      </c>
      <c r="K221" s="196">
        <f t="shared" si="9"/>
        <v>4.8577357096159859E-2</v>
      </c>
      <c r="L221" s="196"/>
      <c r="M221" s="195">
        <f t="shared" si="10"/>
        <v>-3373</v>
      </c>
      <c r="N221" s="196">
        <f t="shared" si="11"/>
        <v>-4.3718325923813722E-2</v>
      </c>
      <c r="O221" s="197">
        <v>316</v>
      </c>
      <c r="P221" s="199">
        <v>311</v>
      </c>
      <c r="Q221" s="197">
        <v>284</v>
      </c>
      <c r="R221" s="197">
        <v>240</v>
      </c>
      <c r="S221" s="197">
        <v>219</v>
      </c>
      <c r="T221" s="197">
        <v>166</v>
      </c>
      <c r="U221" s="197">
        <v>182</v>
      </c>
      <c r="V221" s="197">
        <v>177</v>
      </c>
      <c r="W221" s="197">
        <v>218</v>
      </c>
      <c r="X221" s="197"/>
      <c r="Y221" s="197">
        <v>65</v>
      </c>
      <c r="Z221" s="197"/>
    </row>
    <row r="222" spans="1:26">
      <c r="A222" s="191" t="str">
        <f>HERTFORDSHIRE!A22</f>
        <v>Hemel Hempstead CC</v>
      </c>
      <c r="B222" s="195">
        <f>HERTFORDSHIRE!D22</f>
        <v>72682</v>
      </c>
      <c r="C222" s="195">
        <f>HERTFORDSHIRE!E22</f>
        <v>72561</v>
      </c>
      <c r="D222" s="195">
        <f>HERTFORDSHIRE!F22</f>
        <v>73382</v>
      </c>
      <c r="E222" s="195">
        <f>HERTFORDSHIRE!G22</f>
        <v>73848</v>
      </c>
      <c r="F222" s="195">
        <f>HERTFORDSHIRE!H22</f>
        <v>74445</v>
      </c>
      <c r="G222" s="195">
        <f>HERTFORDSHIRE!I22</f>
        <v>72388</v>
      </c>
      <c r="H222" s="195">
        <f>HERTFORDSHIRE!J22</f>
        <v>70695</v>
      </c>
      <c r="I222" s="195">
        <f>HERTFORDSHIRE!K22</f>
        <v>73051</v>
      </c>
      <c r="J222" s="195">
        <f>HERTFORDSHIRE!L22</f>
        <v>73736</v>
      </c>
      <c r="K222" s="196">
        <f t="shared" si="9"/>
        <v>1.4501527200682424E-2</v>
      </c>
      <c r="L222" s="196"/>
      <c r="M222" s="195">
        <f t="shared" si="10"/>
        <v>-3417</v>
      </c>
      <c r="N222" s="196">
        <f t="shared" si="11"/>
        <v>-4.4288621310901714E-2</v>
      </c>
      <c r="O222" s="197">
        <v>213</v>
      </c>
      <c r="P222" s="197">
        <v>250</v>
      </c>
      <c r="Q222" s="197">
        <v>228</v>
      </c>
      <c r="R222" s="197">
        <v>217</v>
      </c>
      <c r="S222" s="197">
        <v>186</v>
      </c>
      <c r="T222" s="197">
        <v>220</v>
      </c>
      <c r="U222" s="197">
        <v>241</v>
      </c>
      <c r="V222" s="197">
        <v>219</v>
      </c>
      <c r="W222" s="197">
        <v>219</v>
      </c>
      <c r="X222" s="197"/>
      <c r="Y222" s="197">
        <v>210</v>
      </c>
      <c r="Z222" s="197"/>
    </row>
    <row r="223" spans="1:26">
      <c r="A223" s="191" t="str">
        <f>HAMPSHIRE!A35</f>
        <v>Gosport BC</v>
      </c>
      <c r="B223" s="195">
        <f>HAMPSHIRE!D37</f>
        <v>72880</v>
      </c>
      <c r="C223" s="195">
        <f>HAMPSHIRE!E37</f>
        <v>72845</v>
      </c>
      <c r="D223" s="195">
        <f>HAMPSHIRE!F37</f>
        <v>73641</v>
      </c>
      <c r="E223" s="195">
        <f>HAMPSHIRE!G37</f>
        <v>74373</v>
      </c>
      <c r="F223" s="195">
        <f>HAMPSHIRE!H37</f>
        <v>74763</v>
      </c>
      <c r="G223" s="195">
        <f>HAMPSHIRE!I37</f>
        <v>73448</v>
      </c>
      <c r="H223" s="195">
        <f>HAMPSHIRE!J37</f>
        <v>72357</v>
      </c>
      <c r="I223" s="195">
        <f>HAMPSHIRE!K37</f>
        <v>73737</v>
      </c>
      <c r="J223" s="195">
        <f>HAMPSHIRE!L37</f>
        <v>73691</v>
      </c>
      <c r="K223" s="196">
        <f t="shared" si="9"/>
        <v>1.112788144895719E-2</v>
      </c>
      <c r="L223" s="196"/>
      <c r="M223" s="195">
        <f t="shared" si="10"/>
        <v>-3462</v>
      </c>
      <c r="N223" s="196">
        <f t="shared" si="11"/>
        <v>-4.4871877956787161E-2</v>
      </c>
      <c r="O223" s="197">
        <v>203</v>
      </c>
      <c r="P223" s="197">
        <v>236</v>
      </c>
      <c r="Q223" s="197">
        <v>217</v>
      </c>
      <c r="R223" s="197">
        <v>197</v>
      </c>
      <c r="S223" s="197">
        <v>176</v>
      </c>
      <c r="T223" s="197">
        <v>174</v>
      </c>
      <c r="U223" s="197">
        <v>183</v>
      </c>
      <c r="V223" s="197">
        <v>203</v>
      </c>
      <c r="W223" s="197">
        <v>220</v>
      </c>
      <c r="X223" s="197"/>
      <c r="Y223" s="197">
        <v>184</v>
      </c>
      <c r="Z223" s="197"/>
    </row>
    <row r="224" spans="1:26">
      <c r="A224" s="191" t="str">
        <f>STAFFORDSHIRE!A20</f>
        <v>Burton CC</v>
      </c>
      <c r="B224" s="195">
        <f>STAFFORDSHIRE!D20</f>
        <v>75081</v>
      </c>
      <c r="C224" s="195">
        <f>STAFFORDSHIRE!E20</f>
        <v>75302</v>
      </c>
      <c r="D224" s="195">
        <f>STAFFORDSHIRE!F20</f>
        <v>75733</v>
      </c>
      <c r="E224" s="195">
        <f>STAFFORDSHIRE!G20</f>
        <v>76230</v>
      </c>
      <c r="F224" s="195">
        <f>STAFFORDSHIRE!H20</f>
        <v>76055</v>
      </c>
      <c r="G224" s="195">
        <f>STAFFORDSHIRE!I20</f>
        <v>75039</v>
      </c>
      <c r="H224" s="195">
        <f>STAFFORDSHIRE!J20</f>
        <v>72542</v>
      </c>
      <c r="I224" s="195">
        <f>STAFFORDSHIRE!K20</f>
        <v>72559</v>
      </c>
      <c r="J224" s="195">
        <f>STAFFORDSHIRE!L20</f>
        <v>73689</v>
      </c>
      <c r="K224" s="196">
        <f t="shared" si="9"/>
        <v>-1.8539976825028968E-2</v>
      </c>
      <c r="L224" s="196"/>
      <c r="M224" s="195">
        <f t="shared" si="10"/>
        <v>-3464</v>
      </c>
      <c r="N224" s="196">
        <f t="shared" si="11"/>
        <v>-4.489780047438207E-2</v>
      </c>
      <c r="O224" s="197">
        <v>146</v>
      </c>
      <c r="P224" s="197">
        <v>155</v>
      </c>
      <c r="Q224" s="197">
        <v>161</v>
      </c>
      <c r="R224" s="197">
        <v>153</v>
      </c>
      <c r="S224" s="197">
        <v>148</v>
      </c>
      <c r="T224" s="197">
        <v>145</v>
      </c>
      <c r="U224" s="197">
        <v>178</v>
      </c>
      <c r="V224" s="197">
        <v>236</v>
      </c>
      <c r="W224" s="197">
        <v>221</v>
      </c>
      <c r="X224" s="197"/>
      <c r="Y224" s="197">
        <v>81</v>
      </c>
      <c r="Z224" s="197"/>
    </row>
    <row r="225" spans="1:26">
      <c r="A225" s="191" t="str">
        <f>SURREY!A34</f>
        <v>Mole Valley CC</v>
      </c>
      <c r="B225" s="195">
        <f>SURREY!D36</f>
        <v>72110</v>
      </c>
      <c r="C225" s="195">
        <f>SURREY!E36</f>
        <v>72568</v>
      </c>
      <c r="D225" s="195">
        <f>SURREY!F36</f>
        <v>73315</v>
      </c>
      <c r="E225" s="195">
        <f>SURREY!G36</f>
        <v>73388</v>
      </c>
      <c r="F225" s="195">
        <f>SURREY!H36</f>
        <v>74032</v>
      </c>
      <c r="G225" s="195">
        <f>SURREY!I36</f>
        <v>72976</v>
      </c>
      <c r="H225" s="195">
        <f>SURREY!J36</f>
        <v>72400</v>
      </c>
      <c r="I225" s="195">
        <f>SURREY!K36</f>
        <v>74224</v>
      </c>
      <c r="J225" s="195">
        <f>SURREY!L36</f>
        <v>73677</v>
      </c>
      <c r="K225" s="196">
        <f t="shared" si="9"/>
        <v>2.1730689224795451E-2</v>
      </c>
      <c r="L225" s="196"/>
      <c r="M225" s="195">
        <f t="shared" si="10"/>
        <v>-3476</v>
      </c>
      <c r="N225" s="196">
        <f t="shared" si="11"/>
        <v>-4.5053335579951524E-2</v>
      </c>
      <c r="O225" s="197">
        <v>235</v>
      </c>
      <c r="P225" s="197">
        <v>249</v>
      </c>
      <c r="Q225" s="197">
        <v>232</v>
      </c>
      <c r="R225" s="197">
        <v>241</v>
      </c>
      <c r="S225" s="197">
        <v>208</v>
      </c>
      <c r="T225" s="197">
        <v>186</v>
      </c>
      <c r="U225" s="197">
        <v>181</v>
      </c>
      <c r="V225" s="197">
        <v>192</v>
      </c>
      <c r="W225" s="197">
        <v>222</v>
      </c>
      <c r="X225" s="197"/>
      <c r="Y225" s="197">
        <v>295</v>
      </c>
      <c r="Z225" s="197"/>
    </row>
    <row r="226" spans="1:26">
      <c r="A226" s="191" t="str">
        <f>GREENWICH!A13</f>
        <v>Greenwich and Woolwich BC</v>
      </c>
      <c r="B226" s="195">
        <f>GREENWICH!D13</f>
        <v>62950</v>
      </c>
      <c r="C226" s="195">
        <f>GREENWICH!E13</f>
        <v>66982</v>
      </c>
      <c r="D226" s="195">
        <f>GREENWICH!F13</f>
        <v>67334</v>
      </c>
      <c r="E226" s="195">
        <f>GREENWICH!G13</f>
        <v>68203</v>
      </c>
      <c r="F226" s="195">
        <f>GREENWICH!H13</f>
        <v>68195</v>
      </c>
      <c r="G226" s="195">
        <f>GREENWICH!I13</f>
        <v>69120</v>
      </c>
      <c r="H226" s="195">
        <f>GREENWICH!J13</f>
        <v>69753</v>
      </c>
      <c r="I226" s="195">
        <f>GREENWICH!K13</f>
        <v>72412</v>
      </c>
      <c r="J226" s="195">
        <f>GREENWICH!L13</f>
        <v>73671</v>
      </c>
      <c r="K226" s="196">
        <f t="shared" si="9"/>
        <v>0.17030976965845909</v>
      </c>
      <c r="L226" s="196"/>
      <c r="M226" s="195">
        <f t="shared" si="10"/>
        <v>-3482</v>
      </c>
      <c r="N226" s="196">
        <f t="shared" si="11"/>
        <v>-4.5131103132736251E-2</v>
      </c>
      <c r="O226" s="197">
        <v>504</v>
      </c>
      <c r="P226" s="197">
        <v>423</v>
      </c>
      <c r="Q226" s="197">
        <v>421</v>
      </c>
      <c r="R226" s="197">
        <v>408</v>
      </c>
      <c r="S226" s="197">
        <v>395</v>
      </c>
      <c r="T226" s="197">
        <v>328</v>
      </c>
      <c r="U226" s="197">
        <v>279</v>
      </c>
      <c r="V226" s="197">
        <v>240</v>
      </c>
      <c r="W226" s="197">
        <v>223</v>
      </c>
      <c r="X226" s="197"/>
      <c r="Y226" s="197">
        <v>189</v>
      </c>
      <c r="Z226" s="197"/>
    </row>
    <row r="227" spans="1:26">
      <c r="A227" s="191" t="str">
        <f>STAFFORDSHIRE!A30</f>
        <v>South Staffordshire CC</v>
      </c>
      <c r="B227" s="195">
        <f>STAFFORDSHIRE!D30</f>
        <v>73630</v>
      </c>
      <c r="C227" s="195">
        <f>STAFFORDSHIRE!E30</f>
        <v>74189</v>
      </c>
      <c r="D227" s="195">
        <f>STAFFORDSHIRE!F30</f>
        <v>74608</v>
      </c>
      <c r="E227" s="195">
        <f>STAFFORDSHIRE!G30</f>
        <v>74945</v>
      </c>
      <c r="F227" s="195">
        <f>STAFFORDSHIRE!H30</f>
        <v>74622</v>
      </c>
      <c r="G227" s="195">
        <f>STAFFORDSHIRE!I30</f>
        <v>71956</v>
      </c>
      <c r="H227" s="195">
        <f>STAFFORDSHIRE!J30</f>
        <v>72132</v>
      </c>
      <c r="I227" s="195">
        <f>STAFFORDSHIRE!K30</f>
        <v>73660</v>
      </c>
      <c r="J227" s="195">
        <f>STAFFORDSHIRE!L30</f>
        <v>73658</v>
      </c>
      <c r="K227" s="196">
        <f t="shared" si="9"/>
        <v>3.802797772647019E-4</v>
      </c>
      <c r="L227" s="196"/>
      <c r="M227" s="195">
        <f t="shared" si="10"/>
        <v>-3495</v>
      </c>
      <c r="N227" s="196">
        <f t="shared" si="11"/>
        <v>-4.529959949710316E-2</v>
      </c>
      <c r="O227" s="197">
        <v>178</v>
      </c>
      <c r="P227" s="197">
        <v>182</v>
      </c>
      <c r="Q227" s="197">
        <v>187</v>
      </c>
      <c r="R227" s="197">
        <v>185</v>
      </c>
      <c r="S227" s="197">
        <v>182</v>
      </c>
      <c r="T227" s="197">
        <v>234</v>
      </c>
      <c r="U227" s="197">
        <v>193</v>
      </c>
      <c r="V227" s="197">
        <v>205</v>
      </c>
      <c r="W227" s="197">
        <v>224</v>
      </c>
      <c r="X227" s="197"/>
      <c r="Y227" s="197">
        <v>416</v>
      </c>
      <c r="Z227" s="197"/>
    </row>
    <row r="228" spans="1:26">
      <c r="A228" s="191" t="str">
        <f>ESSEX!A69</f>
        <v>South Basildon and East Thurrock CC</v>
      </c>
      <c r="B228" s="195">
        <f>ESSEX!D71</f>
        <v>71947</v>
      </c>
      <c r="C228" s="195">
        <f>ESSEX!E71</f>
        <v>71819</v>
      </c>
      <c r="D228" s="195">
        <f>ESSEX!F71</f>
        <v>71897</v>
      </c>
      <c r="E228" s="195">
        <f>ESSEX!G71</f>
        <v>72598</v>
      </c>
      <c r="F228" s="195">
        <f>ESSEX!H71</f>
        <v>72405</v>
      </c>
      <c r="G228" s="195">
        <f>ESSEX!I71</f>
        <v>72379</v>
      </c>
      <c r="H228" s="195">
        <f>ESSEX!J71</f>
        <v>70192</v>
      </c>
      <c r="I228" s="195">
        <f>ESSEX!K71</f>
        <v>71888</v>
      </c>
      <c r="J228" s="195">
        <f>ESSEX!L71</f>
        <v>73617</v>
      </c>
      <c r="K228" s="196">
        <f t="shared" si="9"/>
        <v>2.3211530710106051E-2</v>
      </c>
      <c r="L228" s="196"/>
      <c r="M228" s="195">
        <f t="shared" si="10"/>
        <v>-3536</v>
      </c>
      <c r="N228" s="196">
        <f t="shared" si="11"/>
        <v>-4.5831011107798789E-2</v>
      </c>
      <c r="O228" s="197">
        <v>248</v>
      </c>
      <c r="P228" s="197">
        <v>284</v>
      </c>
      <c r="Q228" s="197">
        <v>298</v>
      </c>
      <c r="R228" s="197">
        <v>284</v>
      </c>
      <c r="S228" s="197">
        <v>265</v>
      </c>
      <c r="T228" s="197">
        <v>221</v>
      </c>
      <c r="U228" s="197">
        <v>265</v>
      </c>
      <c r="V228" s="197">
        <v>256</v>
      </c>
      <c r="W228" s="197">
        <v>225</v>
      </c>
      <c r="X228" s="197"/>
      <c r="Y228" s="197">
        <v>404</v>
      </c>
      <c r="Z228" s="197"/>
    </row>
    <row r="229" spans="1:26">
      <c r="A229" s="191" t="str">
        <f>DURHAM!A13</f>
        <v>City of Durham CC</v>
      </c>
      <c r="B229" s="195">
        <f>DURHAM!D13</f>
        <v>67642</v>
      </c>
      <c r="C229" s="195">
        <f>DURHAM!E13</f>
        <v>72659</v>
      </c>
      <c r="D229" s="195">
        <f>DURHAM!F13</f>
        <v>73567</v>
      </c>
      <c r="E229" s="195">
        <f>DURHAM!G13</f>
        <v>73679</v>
      </c>
      <c r="F229" s="195">
        <f>DURHAM!H13</f>
        <v>73036</v>
      </c>
      <c r="G229" s="195">
        <f>DURHAM!I13</f>
        <v>64614</v>
      </c>
      <c r="H229" s="195">
        <f>DURHAM!J13</f>
        <v>66618</v>
      </c>
      <c r="I229" s="195">
        <f>DURHAM!K13</f>
        <v>68508</v>
      </c>
      <c r="J229" s="195">
        <f>DURHAM!L13</f>
        <v>73538</v>
      </c>
      <c r="K229" s="196">
        <f t="shared" si="9"/>
        <v>8.7164779279146093E-2</v>
      </c>
      <c r="L229" s="196"/>
      <c r="M229" s="195">
        <f t="shared" si="10"/>
        <v>-3615</v>
      </c>
      <c r="N229" s="196">
        <f t="shared" si="11"/>
        <v>-4.6854950552797689E-2</v>
      </c>
      <c r="O229" s="197">
        <v>391</v>
      </c>
      <c r="P229" s="197">
        <v>245</v>
      </c>
      <c r="Q229" s="197">
        <v>221</v>
      </c>
      <c r="R229" s="197">
        <v>226</v>
      </c>
      <c r="S229" s="197">
        <v>244</v>
      </c>
      <c r="T229" s="197">
        <v>450</v>
      </c>
      <c r="U229" s="197">
        <v>387</v>
      </c>
      <c r="V229" s="197">
        <v>376</v>
      </c>
      <c r="W229" s="197">
        <v>226</v>
      </c>
      <c r="X229" s="197"/>
      <c r="Y229" s="197">
        <v>112</v>
      </c>
      <c r="Z229" s="197"/>
    </row>
    <row r="230" spans="1:26">
      <c r="A230" s="191" t="str">
        <f>REDBRIDGE!A11</f>
        <v>Ilford North BC</v>
      </c>
      <c r="B230" s="195">
        <f>REDBRIDGE!D11</f>
        <v>72281</v>
      </c>
      <c r="C230" s="195">
        <f>REDBRIDGE!E11</f>
        <v>72702</v>
      </c>
      <c r="D230" s="195">
        <f>REDBRIDGE!F11</f>
        <v>73513</v>
      </c>
      <c r="E230" s="195">
        <f>REDBRIDGE!G11</f>
        <v>73360</v>
      </c>
      <c r="F230" s="195">
        <f>REDBRIDGE!H11</f>
        <v>74271</v>
      </c>
      <c r="G230" s="195">
        <f>REDBRIDGE!I11</f>
        <v>72947</v>
      </c>
      <c r="H230" s="195">
        <f>REDBRIDGE!J11</f>
        <v>67980</v>
      </c>
      <c r="I230" s="195">
        <f>REDBRIDGE!K11</f>
        <v>71090</v>
      </c>
      <c r="J230" s="195">
        <f>REDBRIDGE!L11</f>
        <v>73538</v>
      </c>
      <c r="K230" s="196">
        <f t="shared" si="9"/>
        <v>1.7390462223820922E-2</v>
      </c>
      <c r="L230" s="196"/>
      <c r="M230" s="195">
        <f t="shared" si="10"/>
        <v>-3615</v>
      </c>
      <c r="N230" s="196">
        <f t="shared" si="11"/>
        <v>-4.6854950552797689E-2</v>
      </c>
      <c r="O230" s="197">
        <v>230</v>
      </c>
      <c r="P230" s="197">
        <v>243</v>
      </c>
      <c r="Q230" s="197">
        <v>222</v>
      </c>
      <c r="R230" s="197">
        <v>242</v>
      </c>
      <c r="S230" s="197">
        <v>195</v>
      </c>
      <c r="T230" s="197">
        <v>188</v>
      </c>
      <c r="U230" s="197">
        <v>338</v>
      </c>
      <c r="V230" s="197">
        <v>289</v>
      </c>
      <c r="W230" s="197">
        <v>227</v>
      </c>
      <c r="X230" s="197"/>
      <c r="Y230" s="197">
        <v>230</v>
      </c>
      <c r="Z230" s="197"/>
    </row>
    <row r="231" spans="1:26">
      <c r="A231" s="191" t="str">
        <f>OXFORDSHIRE!A15</f>
        <v>Henley CC</v>
      </c>
      <c r="B231" s="195">
        <f>OXFORDSHIRE!D17</f>
        <v>73538</v>
      </c>
      <c r="C231" s="195">
        <f>OXFORDSHIRE!E17</f>
        <v>73851</v>
      </c>
      <c r="D231" s="195">
        <f>OXFORDSHIRE!F17</f>
        <v>74259</v>
      </c>
      <c r="E231" s="195">
        <f>OXFORDSHIRE!G17</f>
        <v>74628</v>
      </c>
      <c r="F231" s="195">
        <f>OXFORDSHIRE!H17</f>
        <v>74983</v>
      </c>
      <c r="G231" s="195">
        <f>OXFORDSHIRE!I17</f>
        <v>76376</v>
      </c>
      <c r="H231" s="195">
        <f>OXFORDSHIRE!J17</f>
        <v>72682</v>
      </c>
      <c r="I231" s="195">
        <f>OXFORDSHIRE!K17</f>
        <v>74006</v>
      </c>
      <c r="J231" s="195">
        <f>OXFORDSHIRE!L17</f>
        <v>73509</v>
      </c>
      <c r="K231" s="196">
        <f t="shared" si="9"/>
        <v>-3.9435393945987107E-4</v>
      </c>
      <c r="L231" s="196"/>
      <c r="M231" s="195">
        <f t="shared" si="10"/>
        <v>-3644</v>
      </c>
      <c r="N231" s="196">
        <f t="shared" si="11"/>
        <v>-4.7230827057923863E-2</v>
      </c>
      <c r="O231" s="197">
        <v>179</v>
      </c>
      <c r="P231" s="197">
        <v>192</v>
      </c>
      <c r="Q231" s="197">
        <v>191</v>
      </c>
      <c r="R231" s="197">
        <v>191</v>
      </c>
      <c r="S231" s="197">
        <v>173</v>
      </c>
      <c r="T231" s="197">
        <v>111</v>
      </c>
      <c r="U231" s="197">
        <v>174</v>
      </c>
      <c r="V231" s="197">
        <v>194</v>
      </c>
      <c r="W231" s="197">
        <v>228</v>
      </c>
      <c r="X231" s="197"/>
      <c r="Y231" s="197">
        <v>213</v>
      </c>
      <c r="Z231" s="197"/>
    </row>
    <row r="232" spans="1:26">
      <c r="A232" s="191" t="str">
        <f>HAMPSHIRE!A41</f>
        <v>Meon Valley CC</v>
      </c>
      <c r="B232" s="195">
        <f>HAMPSHIRE!D44</f>
        <v>70306</v>
      </c>
      <c r="C232" s="195">
        <f>HAMPSHIRE!E44</f>
        <v>71291</v>
      </c>
      <c r="D232" s="195">
        <f>HAMPSHIRE!F44</f>
        <v>71559</v>
      </c>
      <c r="E232" s="195">
        <f>HAMPSHIRE!G44</f>
        <v>71977</v>
      </c>
      <c r="F232" s="195">
        <f>HAMPSHIRE!H44</f>
        <v>72236</v>
      </c>
      <c r="G232" s="195">
        <f>HAMPSHIRE!I44</f>
        <v>71718</v>
      </c>
      <c r="H232" s="195">
        <f>HAMPSHIRE!J44</f>
        <v>71131</v>
      </c>
      <c r="I232" s="195">
        <f>HAMPSHIRE!K44</f>
        <v>72935</v>
      </c>
      <c r="J232" s="195">
        <f>HAMPSHIRE!L44</f>
        <v>73491</v>
      </c>
      <c r="K232" s="196">
        <f t="shared" si="9"/>
        <v>4.5301965692828496E-2</v>
      </c>
      <c r="L232" s="196"/>
      <c r="M232" s="195">
        <f t="shared" si="10"/>
        <v>-3662</v>
      </c>
      <c r="N232" s="196">
        <f t="shared" si="11"/>
        <v>-4.7464129716278045E-2</v>
      </c>
      <c r="O232" s="197">
        <v>317</v>
      </c>
      <c r="P232" s="197">
        <v>303</v>
      </c>
      <c r="Q232" s="197">
        <v>306</v>
      </c>
      <c r="R232" s="197">
        <v>301</v>
      </c>
      <c r="S232" s="197">
        <v>277</v>
      </c>
      <c r="T232" s="197">
        <v>240</v>
      </c>
      <c r="U232" s="197">
        <v>225</v>
      </c>
      <c r="V232" s="197">
        <v>224</v>
      </c>
      <c r="W232" s="197">
        <v>229</v>
      </c>
      <c r="X232" s="197"/>
      <c r="Y232" s="197">
        <v>282</v>
      </c>
      <c r="Z232" s="197"/>
    </row>
    <row r="233" spans="1:26">
      <c r="A233" s="191" t="str">
        <f>STAFFORDSHIRE!A24</f>
        <v>Lichfield CC</v>
      </c>
      <c r="B233" s="195">
        <f>STAFFORDSHIRE!D26</f>
        <v>72504</v>
      </c>
      <c r="C233" s="195">
        <f>STAFFORDSHIRE!E26</f>
        <v>73085</v>
      </c>
      <c r="D233" s="195">
        <f>STAFFORDSHIRE!F26</f>
        <v>73444</v>
      </c>
      <c r="E233" s="195">
        <f>STAFFORDSHIRE!G26</f>
        <v>74112</v>
      </c>
      <c r="F233" s="195">
        <f>STAFFORDSHIRE!H26</f>
        <v>74367</v>
      </c>
      <c r="G233" s="195">
        <f>STAFFORDSHIRE!I26</f>
        <v>73786</v>
      </c>
      <c r="H233" s="195">
        <f>STAFFORDSHIRE!J26</f>
        <v>72038</v>
      </c>
      <c r="I233" s="195">
        <f>STAFFORDSHIRE!K26</f>
        <v>73796</v>
      </c>
      <c r="J233" s="195">
        <f>STAFFORDSHIRE!L26</f>
        <v>73486</v>
      </c>
      <c r="K233" s="196">
        <f t="shared" si="9"/>
        <v>1.354408032660267E-2</v>
      </c>
      <c r="L233" s="196"/>
      <c r="M233" s="195">
        <f t="shared" si="10"/>
        <v>-3667</v>
      </c>
      <c r="N233" s="196">
        <f t="shared" si="11"/>
        <v>-4.7528936010265317E-2</v>
      </c>
      <c r="O233" s="197">
        <v>222</v>
      </c>
      <c r="P233" s="197">
        <v>222</v>
      </c>
      <c r="Q233" s="197">
        <v>226</v>
      </c>
      <c r="R233" s="197">
        <v>206</v>
      </c>
      <c r="S233" s="197">
        <v>189</v>
      </c>
      <c r="T233" s="197">
        <v>168</v>
      </c>
      <c r="U233" s="197">
        <v>198</v>
      </c>
      <c r="V233" s="197">
        <v>200</v>
      </c>
      <c r="W233" s="197">
        <v>230</v>
      </c>
      <c r="X233" s="197"/>
      <c r="Y233" s="197">
        <v>262</v>
      </c>
      <c r="Z233" s="197"/>
    </row>
    <row r="234" spans="1:26">
      <c r="A234" s="191" t="str">
        <f>SUFFOLK!A24</f>
        <v>Ipswich BC</v>
      </c>
      <c r="B234" s="195">
        <f>SUFFOLK!D24</f>
        <v>76530</v>
      </c>
      <c r="C234" s="195">
        <f>SUFFOLK!E24</f>
        <v>75195</v>
      </c>
      <c r="D234" s="195">
        <f>SUFFOLK!F24</f>
        <v>76484</v>
      </c>
      <c r="E234" s="195">
        <f>SUFFOLK!G24</f>
        <v>76115</v>
      </c>
      <c r="F234" s="195">
        <f>SUFFOLK!H24</f>
        <v>76092</v>
      </c>
      <c r="G234" s="195">
        <f>SUFFOLK!I24</f>
        <v>73133</v>
      </c>
      <c r="H234" s="195">
        <f>SUFFOLK!J24</f>
        <v>70702</v>
      </c>
      <c r="I234" s="195">
        <f>SUFFOLK!K24</f>
        <v>72589</v>
      </c>
      <c r="J234" s="195">
        <f>SUFFOLK!L24</f>
        <v>73477</v>
      </c>
      <c r="K234" s="196">
        <f t="shared" si="9"/>
        <v>-3.9892852476153144E-2</v>
      </c>
      <c r="L234" s="196"/>
      <c r="M234" s="195">
        <f t="shared" si="10"/>
        <v>-3676</v>
      </c>
      <c r="N234" s="196">
        <f t="shared" si="11"/>
        <v>-4.7645587339442408E-2</v>
      </c>
      <c r="O234" s="197">
        <v>113</v>
      </c>
      <c r="P234" s="197">
        <v>157</v>
      </c>
      <c r="Q234" s="197">
        <v>143</v>
      </c>
      <c r="R234" s="197">
        <v>156</v>
      </c>
      <c r="S234" s="197">
        <v>146</v>
      </c>
      <c r="T234" s="197">
        <v>183</v>
      </c>
      <c r="U234" s="197">
        <v>240</v>
      </c>
      <c r="V234" s="197">
        <v>235</v>
      </c>
      <c r="W234" s="197">
        <v>231</v>
      </c>
      <c r="X234" s="197"/>
      <c r="Y234" s="197">
        <v>232</v>
      </c>
      <c r="Z234" s="197"/>
    </row>
    <row r="235" spans="1:26">
      <c r="A235" s="191" t="str">
        <f>HAMPSHIRE!A29</f>
        <v>East Hampshire CC</v>
      </c>
      <c r="B235" s="195">
        <f>HAMPSHIRE!D29</f>
        <v>71779</v>
      </c>
      <c r="C235" s="195">
        <f>HAMPSHIRE!E29</f>
        <v>72648</v>
      </c>
      <c r="D235" s="195">
        <f>HAMPSHIRE!F29</f>
        <v>72833</v>
      </c>
      <c r="E235" s="195">
        <f>HAMPSHIRE!G29</f>
        <v>72951</v>
      </c>
      <c r="F235" s="195">
        <f>HAMPSHIRE!H29</f>
        <v>71145</v>
      </c>
      <c r="G235" s="195">
        <f>HAMPSHIRE!I29</f>
        <v>71316</v>
      </c>
      <c r="H235" s="195">
        <f>HAMPSHIRE!J29</f>
        <v>70063</v>
      </c>
      <c r="I235" s="195">
        <f>HAMPSHIRE!K29</f>
        <v>72808</v>
      </c>
      <c r="J235" s="195">
        <f>HAMPSHIRE!L29</f>
        <v>73450</v>
      </c>
      <c r="K235" s="196">
        <f t="shared" si="9"/>
        <v>2.3279789353432064E-2</v>
      </c>
      <c r="L235" s="196"/>
      <c r="M235" s="195">
        <f t="shared" si="10"/>
        <v>-3703</v>
      </c>
      <c r="N235" s="196">
        <f t="shared" si="11"/>
        <v>-4.7995541326973673E-2</v>
      </c>
      <c r="O235" s="197">
        <v>259</v>
      </c>
      <c r="P235" s="197">
        <v>247</v>
      </c>
      <c r="Q235" s="197">
        <v>255</v>
      </c>
      <c r="R235" s="197">
        <v>258</v>
      </c>
      <c r="S235" s="197">
        <v>309</v>
      </c>
      <c r="T235" s="197">
        <v>257</v>
      </c>
      <c r="U235" s="197">
        <v>268</v>
      </c>
      <c r="V235" s="197">
        <v>228</v>
      </c>
      <c r="W235" s="197">
        <v>232</v>
      </c>
      <c r="X235" s="197"/>
      <c r="Y235" s="197">
        <v>151</v>
      </c>
      <c r="Z235" s="197"/>
    </row>
    <row r="236" spans="1:26">
      <c r="A236" s="191" t="str">
        <f>'WEST MIDLANDS'!A55</f>
        <v>Sutton Coldfield BC</v>
      </c>
      <c r="B236" s="195">
        <f>'WEST MIDLANDS'!D55</f>
        <v>74877</v>
      </c>
      <c r="C236" s="195">
        <f>'WEST MIDLANDS'!E55</f>
        <v>75031</v>
      </c>
      <c r="D236" s="195">
        <f>'WEST MIDLANDS'!F55</f>
        <v>75567</v>
      </c>
      <c r="E236" s="195">
        <f>'WEST MIDLANDS'!G55</f>
        <v>75060</v>
      </c>
      <c r="F236" s="195">
        <f>'WEST MIDLANDS'!H55</f>
        <v>74855</v>
      </c>
      <c r="G236" s="195">
        <f>'WEST MIDLANDS'!I55</f>
        <v>75341</v>
      </c>
      <c r="H236" s="195">
        <f>'WEST MIDLANDS'!J55</f>
        <v>73172</v>
      </c>
      <c r="I236" s="195">
        <f>'WEST MIDLANDS'!K55</f>
        <v>73419</v>
      </c>
      <c r="J236" s="195">
        <f>'WEST MIDLANDS'!L55</f>
        <v>73443</v>
      </c>
      <c r="K236" s="196">
        <f t="shared" si="9"/>
        <v>-1.915140830962779E-2</v>
      </c>
      <c r="L236" s="196"/>
      <c r="M236" s="195">
        <f t="shared" si="10"/>
        <v>-3710</v>
      </c>
      <c r="N236" s="196">
        <f t="shared" si="11"/>
        <v>-4.8086270138555855E-2</v>
      </c>
      <c r="O236" s="197">
        <v>152</v>
      </c>
      <c r="P236" s="197">
        <v>166</v>
      </c>
      <c r="Q236" s="197">
        <v>166</v>
      </c>
      <c r="R236" s="197">
        <v>182</v>
      </c>
      <c r="S236" s="197">
        <v>175</v>
      </c>
      <c r="T236" s="197">
        <v>136</v>
      </c>
      <c r="U236" s="197">
        <v>163</v>
      </c>
      <c r="V236" s="197">
        <v>210</v>
      </c>
      <c r="W236" s="197">
        <v>233</v>
      </c>
      <c r="X236" s="197"/>
      <c r="Y236" s="197">
        <v>456</v>
      </c>
      <c r="Z236" s="197"/>
    </row>
    <row r="237" spans="1:26">
      <c r="A237" s="191" t="str">
        <f>WARWICKSHIRE!A33</f>
        <v>Warwick and Leamington BC</v>
      </c>
      <c r="B237" s="195">
        <f>WARWICKSHIRE!D33</f>
        <v>67030</v>
      </c>
      <c r="C237" s="195">
        <f>WARWICKSHIRE!E33</f>
        <v>66278</v>
      </c>
      <c r="D237" s="195">
        <f>WARWICKSHIRE!F33</f>
        <v>67261</v>
      </c>
      <c r="E237" s="195">
        <f>WARWICKSHIRE!G33</f>
        <v>69310</v>
      </c>
      <c r="F237" s="195">
        <f>WARWICKSHIRE!H33</f>
        <v>66418</v>
      </c>
      <c r="G237" s="195">
        <f>WARWICKSHIRE!I33</f>
        <v>67444</v>
      </c>
      <c r="H237" s="195">
        <f>WARWICKSHIRE!J33</f>
        <v>67641</v>
      </c>
      <c r="I237" s="195">
        <f>WARWICKSHIRE!K33</f>
        <v>69963</v>
      </c>
      <c r="J237" s="195">
        <f>WARWICKSHIRE!L33</f>
        <v>73439</v>
      </c>
      <c r="K237" s="196">
        <f t="shared" si="9"/>
        <v>9.5613904221990148E-2</v>
      </c>
      <c r="L237" s="196"/>
      <c r="M237" s="195">
        <f t="shared" si="10"/>
        <v>-3714</v>
      </c>
      <c r="N237" s="196">
        <f t="shared" si="11"/>
        <v>-4.8138115173745673E-2</v>
      </c>
      <c r="O237" s="197">
        <v>408</v>
      </c>
      <c r="P237" s="197">
        <v>445</v>
      </c>
      <c r="Q237" s="197">
        <v>423</v>
      </c>
      <c r="R237" s="197">
        <v>378</v>
      </c>
      <c r="S237" s="197">
        <v>443</v>
      </c>
      <c r="T237" s="197">
        <v>381</v>
      </c>
      <c r="U237" s="197">
        <v>350</v>
      </c>
      <c r="V237" s="197">
        <v>340</v>
      </c>
      <c r="W237" s="197">
        <v>234</v>
      </c>
      <c r="X237" s="197"/>
      <c r="Y237" s="197">
        <v>490</v>
      </c>
      <c r="Z237" s="197"/>
    </row>
    <row r="238" spans="1:26">
      <c r="A238" s="191" t="str">
        <f>HAVERING!A9</f>
        <v>Romford BC</v>
      </c>
      <c r="B238" s="195">
        <f>HAVERING!D9</f>
        <v>71306</v>
      </c>
      <c r="C238" s="195">
        <f>HAVERING!E9</f>
        <v>71978</v>
      </c>
      <c r="D238" s="195">
        <f>HAVERING!F9</f>
        <v>72608</v>
      </c>
      <c r="E238" s="195">
        <f>HAVERING!G9</f>
        <v>73129</v>
      </c>
      <c r="F238" s="195">
        <f>HAVERING!H9</f>
        <v>73574</v>
      </c>
      <c r="G238" s="195">
        <f>HAVERING!I9</f>
        <v>71790</v>
      </c>
      <c r="H238" s="195">
        <f>HAVERING!J9</f>
        <v>70953</v>
      </c>
      <c r="I238" s="195">
        <f>HAVERING!K9</f>
        <v>72309</v>
      </c>
      <c r="J238" s="195">
        <f>HAVERING!L9</f>
        <v>73415</v>
      </c>
      <c r="K238" s="196">
        <f t="shared" si="9"/>
        <v>2.9576753709365272E-2</v>
      </c>
      <c r="L238" s="196"/>
      <c r="M238" s="195">
        <f t="shared" si="10"/>
        <v>-3738</v>
      </c>
      <c r="N238" s="196">
        <f t="shared" si="11"/>
        <v>-4.8449185384884581E-2</v>
      </c>
      <c r="O238" s="197">
        <v>278</v>
      </c>
      <c r="P238" s="197">
        <v>274</v>
      </c>
      <c r="Q238" s="197">
        <v>268</v>
      </c>
      <c r="R238" s="197">
        <v>250</v>
      </c>
      <c r="S238" s="197">
        <v>226</v>
      </c>
      <c r="T238" s="197">
        <v>238</v>
      </c>
      <c r="U238" s="197">
        <v>231</v>
      </c>
      <c r="V238" s="197">
        <v>243</v>
      </c>
      <c r="W238" s="197">
        <v>235</v>
      </c>
      <c r="X238" s="197"/>
      <c r="Y238" s="197">
        <v>371</v>
      </c>
      <c r="Z238" s="197"/>
    </row>
    <row r="239" spans="1:26">
      <c r="A239" s="191" t="str">
        <f>'WEST MIDLANDS'!A37</f>
        <v>Coventry North West BC</v>
      </c>
      <c r="B239" s="195">
        <f>'WEST MIDLANDS'!D37</f>
        <v>73030</v>
      </c>
      <c r="C239" s="195">
        <f>'WEST MIDLANDS'!E37</f>
        <v>74180</v>
      </c>
      <c r="D239" s="195">
        <f>'WEST MIDLANDS'!F37</f>
        <v>74754</v>
      </c>
      <c r="E239" s="195">
        <f>'WEST MIDLANDS'!G37</f>
        <v>74563</v>
      </c>
      <c r="F239" s="195">
        <f>'WEST MIDLANDS'!H37</f>
        <v>72487</v>
      </c>
      <c r="G239" s="195">
        <f>'WEST MIDLANDS'!I37</f>
        <v>72485</v>
      </c>
      <c r="H239" s="195">
        <f>'WEST MIDLANDS'!J37</f>
        <v>70716</v>
      </c>
      <c r="I239" s="195">
        <f>'WEST MIDLANDS'!K37</f>
        <v>73685</v>
      </c>
      <c r="J239" s="195">
        <f>'WEST MIDLANDS'!L37</f>
        <v>73384</v>
      </c>
      <c r="K239" s="196">
        <f t="shared" si="9"/>
        <v>4.8473230179378341E-3</v>
      </c>
      <c r="L239" s="196"/>
      <c r="M239" s="195">
        <f t="shared" si="10"/>
        <v>-3769</v>
      </c>
      <c r="N239" s="196">
        <f t="shared" si="11"/>
        <v>-4.8850984407605665E-2</v>
      </c>
      <c r="O239" s="197">
        <v>198</v>
      </c>
      <c r="P239" s="197">
        <v>183</v>
      </c>
      <c r="Q239" s="197">
        <v>184</v>
      </c>
      <c r="R239" s="197">
        <v>195</v>
      </c>
      <c r="S239" s="197">
        <v>261</v>
      </c>
      <c r="T239" s="197">
        <v>213</v>
      </c>
      <c r="U239" s="197">
        <v>238</v>
      </c>
      <c r="V239" s="197">
        <v>204</v>
      </c>
      <c r="W239" s="197">
        <v>236</v>
      </c>
      <c r="X239" s="197"/>
      <c r="Y239" s="197">
        <v>121</v>
      </c>
      <c r="Z239" s="197"/>
    </row>
    <row r="240" spans="1:26">
      <c r="A240" s="191" t="str">
        <f>'GREATER MANCHESTER'!A53</f>
        <v>Makerfield CC</v>
      </c>
      <c r="B240" s="195">
        <f>'GREATER MANCHESTER'!D53</f>
        <v>73447</v>
      </c>
      <c r="C240" s="195">
        <f>'GREATER MANCHESTER'!E53</f>
        <v>74856</v>
      </c>
      <c r="D240" s="195">
        <f>'GREATER MANCHESTER'!F53</f>
        <v>75307</v>
      </c>
      <c r="E240" s="195">
        <f>'GREATER MANCHESTER'!G53</f>
        <v>75725</v>
      </c>
      <c r="F240" s="195">
        <f>'GREATER MANCHESTER'!H53</f>
        <v>75758</v>
      </c>
      <c r="G240" s="195">
        <f>'GREATER MANCHESTER'!I53</f>
        <v>72835</v>
      </c>
      <c r="H240" s="195">
        <f>'GREATER MANCHESTER'!J53</f>
        <v>71857</v>
      </c>
      <c r="I240" s="195">
        <f>'GREATER MANCHESTER'!K53</f>
        <v>72636</v>
      </c>
      <c r="J240" s="195">
        <f>'GREATER MANCHESTER'!L53</f>
        <v>73355</v>
      </c>
      <c r="K240" s="196">
        <f t="shared" si="9"/>
        <v>-1.2526039184718233E-3</v>
      </c>
      <c r="L240" s="196"/>
      <c r="M240" s="195">
        <f t="shared" si="10"/>
        <v>-3798</v>
      </c>
      <c r="N240" s="196">
        <f t="shared" si="11"/>
        <v>-4.9226860912731846E-2</v>
      </c>
      <c r="O240" s="197">
        <v>181</v>
      </c>
      <c r="P240" s="197">
        <v>170</v>
      </c>
      <c r="Q240" s="197">
        <v>173</v>
      </c>
      <c r="R240" s="197">
        <v>167</v>
      </c>
      <c r="S240" s="197">
        <v>152</v>
      </c>
      <c r="T240" s="197">
        <v>193</v>
      </c>
      <c r="U240" s="197">
        <v>203</v>
      </c>
      <c r="V240" s="197">
        <v>234</v>
      </c>
      <c r="W240" s="197">
        <v>237</v>
      </c>
      <c r="X240" s="197"/>
      <c r="Y240" s="197">
        <v>276</v>
      </c>
      <c r="Z240" s="197"/>
    </row>
    <row r="241" spans="1:26">
      <c r="A241" s="191" t="str">
        <f>MERSEYSIDE!A15</f>
        <v>Bootle BC</v>
      </c>
      <c r="B241" s="195">
        <f>MERSEYSIDE!D15</f>
        <v>71995</v>
      </c>
      <c r="C241" s="195">
        <f>MERSEYSIDE!E15</f>
        <v>70824</v>
      </c>
      <c r="D241" s="195">
        <f>MERSEYSIDE!F15</f>
        <v>70303</v>
      </c>
      <c r="E241" s="195">
        <f>MERSEYSIDE!G15</f>
        <v>68025</v>
      </c>
      <c r="F241" s="195">
        <f>MERSEYSIDE!H15</f>
        <v>69457</v>
      </c>
      <c r="G241" s="195">
        <f>MERSEYSIDE!I15</f>
        <v>67761</v>
      </c>
      <c r="H241" s="195">
        <f>MERSEYSIDE!J15</f>
        <v>67611</v>
      </c>
      <c r="I241" s="195">
        <f>MERSEYSIDE!K15</f>
        <v>70372</v>
      </c>
      <c r="J241" s="195">
        <f>MERSEYSIDE!L15</f>
        <v>73285</v>
      </c>
      <c r="K241" s="196">
        <f t="shared" si="9"/>
        <v>1.791791096603931E-2</v>
      </c>
      <c r="L241" s="196"/>
      <c r="M241" s="195">
        <f t="shared" si="10"/>
        <v>-3868</v>
      </c>
      <c r="N241" s="196">
        <f t="shared" si="11"/>
        <v>-5.0134149028553655E-2</v>
      </c>
      <c r="O241" s="197">
        <v>243</v>
      </c>
      <c r="P241" s="197">
        <v>315</v>
      </c>
      <c r="Q241" s="197">
        <v>341</v>
      </c>
      <c r="R241" s="197">
        <v>411</v>
      </c>
      <c r="S241" s="197">
        <v>358</v>
      </c>
      <c r="T241" s="197">
        <v>369</v>
      </c>
      <c r="U241" s="197">
        <v>353</v>
      </c>
      <c r="V241" s="197">
        <v>322</v>
      </c>
      <c r="W241" s="197">
        <v>238</v>
      </c>
      <c r="X241" s="197"/>
      <c r="Y241" s="197">
        <v>52</v>
      </c>
      <c r="Z241" s="197"/>
    </row>
    <row r="242" spans="1:26">
      <c r="A242" s="191" t="str">
        <f>WANDSWORTH!A11</f>
        <v>Tooting BC</v>
      </c>
      <c r="B242" s="195">
        <f>WANDSWORTH!D11</f>
        <v>71993</v>
      </c>
      <c r="C242" s="195">
        <f>WANDSWORTH!E11</f>
        <v>72707</v>
      </c>
      <c r="D242" s="195">
        <f>WANDSWORTH!F11</f>
        <v>72797</v>
      </c>
      <c r="E242" s="195">
        <f>WANDSWORTH!G11</f>
        <v>72538</v>
      </c>
      <c r="F242" s="195">
        <f>WANDSWORTH!H11</f>
        <v>73137</v>
      </c>
      <c r="G242" s="195">
        <f>WANDSWORTH!I11</f>
        <v>70286</v>
      </c>
      <c r="H242" s="195">
        <f>WANDSWORTH!J11</f>
        <v>71428</v>
      </c>
      <c r="I242" s="195">
        <f>WANDSWORTH!K11</f>
        <v>71383</v>
      </c>
      <c r="J242" s="195">
        <f>WANDSWORTH!L11</f>
        <v>73213</v>
      </c>
      <c r="K242" s="196">
        <f t="shared" si="9"/>
        <v>1.6946091981164837E-2</v>
      </c>
      <c r="L242" s="196"/>
      <c r="M242" s="195">
        <f t="shared" si="10"/>
        <v>-3940</v>
      </c>
      <c r="N242" s="196">
        <f t="shared" si="11"/>
        <v>-5.1067359661970374E-2</v>
      </c>
      <c r="O242" s="197">
        <v>245</v>
      </c>
      <c r="P242" s="197">
        <v>242</v>
      </c>
      <c r="Q242" s="197">
        <v>257</v>
      </c>
      <c r="R242" s="197">
        <v>287</v>
      </c>
      <c r="S242" s="197">
        <v>242</v>
      </c>
      <c r="T242" s="197">
        <v>281</v>
      </c>
      <c r="U242" s="197">
        <v>218</v>
      </c>
      <c r="V242" s="197">
        <v>282</v>
      </c>
      <c r="W242" s="197">
        <v>239</v>
      </c>
      <c r="X242" s="197"/>
      <c r="Y242" s="197">
        <v>469</v>
      </c>
      <c r="Z242" s="197"/>
    </row>
    <row r="243" spans="1:26">
      <c r="A243" s="191" t="str">
        <f>BERKSHIRE!A39</f>
        <v>Windsor CC</v>
      </c>
      <c r="B243" s="195">
        <f>BERKSHIRE!D42</f>
        <v>68901</v>
      </c>
      <c r="C243" s="195">
        <f>BERKSHIRE!E42</f>
        <v>70633</v>
      </c>
      <c r="D243" s="195">
        <f>BERKSHIRE!F42</f>
        <v>71645</v>
      </c>
      <c r="E243" s="195">
        <f>BERKSHIRE!G42</f>
        <v>71892</v>
      </c>
      <c r="F243" s="195">
        <f>BERKSHIRE!H42</f>
        <v>72095</v>
      </c>
      <c r="G243" s="195">
        <f>BERKSHIRE!I42</f>
        <v>70005</v>
      </c>
      <c r="H243" s="195">
        <f>BERKSHIRE!J42</f>
        <v>68834</v>
      </c>
      <c r="I243" s="195">
        <f>BERKSHIRE!K42</f>
        <v>72196</v>
      </c>
      <c r="J243" s="195">
        <f>BERKSHIRE!L42</f>
        <v>73136</v>
      </c>
      <c r="K243" s="196">
        <f t="shared" si="9"/>
        <v>6.1465000507975209E-2</v>
      </c>
      <c r="L243" s="196"/>
      <c r="M243" s="195">
        <f t="shared" si="10"/>
        <v>-4017</v>
      </c>
      <c r="N243" s="196">
        <f t="shared" si="11"/>
        <v>-5.2065376589374358E-2</v>
      </c>
      <c r="O243" s="197">
        <v>351</v>
      </c>
      <c r="P243" s="197">
        <v>320</v>
      </c>
      <c r="Q243" s="197">
        <v>304</v>
      </c>
      <c r="R243" s="197">
        <v>305</v>
      </c>
      <c r="S243" s="197">
        <v>285</v>
      </c>
      <c r="T243" s="197">
        <v>291</v>
      </c>
      <c r="U243" s="197">
        <v>314</v>
      </c>
      <c r="V243" s="197">
        <v>250</v>
      </c>
      <c r="W243" s="197">
        <v>240</v>
      </c>
      <c r="X243" s="197"/>
      <c r="Y243" s="197">
        <v>513</v>
      </c>
      <c r="Z243" s="197"/>
    </row>
    <row r="244" spans="1:26">
      <c r="A244" s="191" t="str">
        <f>'GREATER MANCHESTER'!A77</f>
        <v>Worsley and Eccles South CC</v>
      </c>
      <c r="B244" s="195">
        <f>'GREATER MANCHESTER'!D77</f>
        <v>73019</v>
      </c>
      <c r="C244" s="195">
        <f>'GREATER MANCHESTER'!E77</f>
        <v>73409</v>
      </c>
      <c r="D244" s="195">
        <f>'GREATER MANCHESTER'!F77</f>
        <v>73458</v>
      </c>
      <c r="E244" s="195">
        <f>'GREATER MANCHESTER'!G77</f>
        <v>73982</v>
      </c>
      <c r="F244" s="195">
        <f>'GREATER MANCHESTER'!H77</f>
        <v>73975</v>
      </c>
      <c r="G244" s="195">
        <f>'GREATER MANCHESTER'!I77</f>
        <v>71425</v>
      </c>
      <c r="H244" s="195">
        <f>'GREATER MANCHESTER'!J77</f>
        <v>72316</v>
      </c>
      <c r="I244" s="195">
        <f>'GREATER MANCHESTER'!K77</f>
        <v>71927</v>
      </c>
      <c r="J244" s="195">
        <f>'GREATER MANCHESTER'!L77</f>
        <v>73054</v>
      </c>
      <c r="K244" s="196">
        <f t="shared" si="9"/>
        <v>4.7932729837439571E-4</v>
      </c>
      <c r="L244" s="196"/>
      <c r="M244" s="195">
        <f t="shared" si="10"/>
        <v>-4099</v>
      </c>
      <c r="N244" s="196">
        <f t="shared" si="11"/>
        <v>-5.3128199810765622E-2</v>
      </c>
      <c r="O244" s="197">
        <v>199</v>
      </c>
      <c r="P244" s="197">
        <v>212</v>
      </c>
      <c r="Q244" s="197">
        <v>224</v>
      </c>
      <c r="R244" s="197">
        <v>213</v>
      </c>
      <c r="S244" s="197">
        <v>209</v>
      </c>
      <c r="T244" s="197">
        <v>251</v>
      </c>
      <c r="U244" s="197">
        <v>184</v>
      </c>
      <c r="V244" s="197">
        <v>255</v>
      </c>
      <c r="W244" s="197">
        <v>241</v>
      </c>
      <c r="X244" s="197"/>
      <c r="Y244" s="197">
        <v>525</v>
      </c>
      <c r="Z244" s="197"/>
    </row>
    <row r="245" spans="1:26">
      <c r="A245" s="191" t="str">
        <f>DERBYSHIRE!A22</f>
        <v>Bolsover CC</v>
      </c>
      <c r="B245" s="195">
        <f>DERBYSHIRE!D24</f>
        <v>73170</v>
      </c>
      <c r="C245" s="195">
        <f>DERBYSHIRE!E24</f>
        <v>72162</v>
      </c>
      <c r="D245" s="195">
        <f>DERBYSHIRE!F24</f>
        <v>71659</v>
      </c>
      <c r="E245" s="195">
        <f>DERBYSHIRE!G24</f>
        <v>71992</v>
      </c>
      <c r="F245" s="195">
        <f>DERBYSHIRE!H24</f>
        <v>72284</v>
      </c>
      <c r="G245" s="195">
        <f>DERBYSHIRE!I24</f>
        <v>71240</v>
      </c>
      <c r="H245" s="195">
        <f>DERBYSHIRE!J24</f>
        <v>70880</v>
      </c>
      <c r="I245" s="195">
        <f>DERBYSHIRE!K24</f>
        <v>72959</v>
      </c>
      <c r="J245" s="195">
        <f>DERBYSHIRE!L24</f>
        <v>73034</v>
      </c>
      <c r="K245" s="196">
        <f t="shared" si="9"/>
        <v>-1.8586852535192018E-3</v>
      </c>
      <c r="L245" s="196"/>
      <c r="M245" s="195">
        <f t="shared" si="10"/>
        <v>-4119</v>
      </c>
      <c r="N245" s="196">
        <f t="shared" si="11"/>
        <v>-5.3387424986714713E-2</v>
      </c>
      <c r="O245" s="197">
        <v>192</v>
      </c>
      <c r="P245" s="197">
        <v>264</v>
      </c>
      <c r="Q245" s="197">
        <v>302</v>
      </c>
      <c r="R245" s="197">
        <v>300</v>
      </c>
      <c r="S245" s="197">
        <v>276</v>
      </c>
      <c r="T245" s="197">
        <v>260</v>
      </c>
      <c r="U245" s="197">
        <v>232</v>
      </c>
      <c r="V245" s="197">
        <v>221</v>
      </c>
      <c r="W245" s="197">
        <v>242</v>
      </c>
      <c r="X245" s="197"/>
      <c r="Y245" s="197">
        <v>48</v>
      </c>
      <c r="Z245" s="197"/>
    </row>
    <row r="246" spans="1:26">
      <c r="A246" s="191" t="str">
        <f>BERKSHIRE!A33</f>
        <v>Reading West CC</v>
      </c>
      <c r="B246" s="195">
        <f>BERKSHIRE!D35</f>
        <v>71584</v>
      </c>
      <c r="C246" s="195">
        <f>BERKSHIRE!E35</f>
        <v>73216</v>
      </c>
      <c r="D246" s="195">
        <f>BERKSHIRE!F35</f>
        <v>73148</v>
      </c>
      <c r="E246" s="195">
        <f>BERKSHIRE!G35</f>
        <v>73637</v>
      </c>
      <c r="F246" s="195">
        <f>BERKSHIRE!H35</f>
        <v>73720</v>
      </c>
      <c r="G246" s="195">
        <f>BERKSHIRE!I35</f>
        <v>70681</v>
      </c>
      <c r="H246" s="195">
        <f>BERKSHIRE!J35</f>
        <v>69709</v>
      </c>
      <c r="I246" s="195">
        <f>BERKSHIRE!K35</f>
        <v>72272</v>
      </c>
      <c r="J246" s="195">
        <f>BERKSHIRE!L35</f>
        <v>73006</v>
      </c>
      <c r="K246" s="196">
        <f t="shared" si="9"/>
        <v>1.9864774251229324E-2</v>
      </c>
      <c r="L246" s="196"/>
      <c r="M246" s="195">
        <f t="shared" si="10"/>
        <v>-4147</v>
      </c>
      <c r="N246" s="196">
        <f t="shared" si="11"/>
        <v>-5.3750340233043432E-2</v>
      </c>
      <c r="O246" s="197">
        <v>268</v>
      </c>
      <c r="P246" s="197">
        <v>220</v>
      </c>
      <c r="Q246" s="197">
        <v>238</v>
      </c>
      <c r="R246" s="197">
        <v>229</v>
      </c>
      <c r="S246" s="197">
        <v>218</v>
      </c>
      <c r="T246" s="197">
        <v>272</v>
      </c>
      <c r="U246" s="197">
        <v>284</v>
      </c>
      <c r="V246" s="197">
        <v>245</v>
      </c>
      <c r="W246" s="197">
        <v>243</v>
      </c>
      <c r="X246" s="197"/>
      <c r="Y246" s="197">
        <v>361</v>
      </c>
      <c r="Z246" s="197"/>
    </row>
    <row r="247" spans="1:26">
      <c r="A247" s="191" t="str">
        <f>KENT!A26</f>
        <v>Canterbury CC</v>
      </c>
      <c r="B247" s="195">
        <f>KENT!D26</f>
        <v>73637</v>
      </c>
      <c r="C247" s="195">
        <f>KENT!E26</f>
        <v>73779</v>
      </c>
      <c r="D247" s="195">
        <f>KENT!F26</f>
        <v>76030</v>
      </c>
      <c r="E247" s="195">
        <f>KENT!G26</f>
        <v>78826</v>
      </c>
      <c r="F247" s="195">
        <f>KENT!H26</f>
        <v>78781</v>
      </c>
      <c r="G247" s="195">
        <f>KENT!I26</f>
        <v>78850</v>
      </c>
      <c r="H247" s="195">
        <f>KENT!J26</f>
        <v>68695</v>
      </c>
      <c r="I247" s="195">
        <f>KENT!K26</f>
        <v>71009</v>
      </c>
      <c r="J247" s="195">
        <f>KENT!L26</f>
        <v>72949</v>
      </c>
      <c r="K247" s="196">
        <f t="shared" si="9"/>
        <v>-9.3431291334519339E-3</v>
      </c>
      <c r="L247" s="196"/>
      <c r="M247" s="195">
        <f t="shared" si="10"/>
        <v>-4204</v>
      </c>
      <c r="N247" s="196">
        <f t="shared" si="11"/>
        <v>-5.4489131984498333E-2</v>
      </c>
      <c r="O247" s="197">
        <v>177</v>
      </c>
      <c r="P247" s="197">
        <v>195</v>
      </c>
      <c r="Q247" s="197">
        <v>154</v>
      </c>
      <c r="R247" s="197">
        <v>83</v>
      </c>
      <c r="S247" s="197">
        <v>81</v>
      </c>
      <c r="T247" s="197">
        <v>55</v>
      </c>
      <c r="U247" s="197">
        <v>316</v>
      </c>
      <c r="V247" s="197">
        <v>293</v>
      </c>
      <c r="W247" s="197">
        <v>244</v>
      </c>
      <c r="X247" s="197"/>
      <c r="Y247" s="197">
        <v>90</v>
      </c>
      <c r="Z247" s="197"/>
    </row>
    <row r="248" spans="1:26">
      <c r="A248" s="191" t="str">
        <f>SURREY!A30</f>
        <v>Guildford CC</v>
      </c>
      <c r="B248" s="195">
        <f>SURREY!D32</f>
        <v>76836</v>
      </c>
      <c r="C248" s="195">
        <f>SURREY!E32</f>
        <v>77517</v>
      </c>
      <c r="D248" s="195">
        <f>SURREY!F32</f>
        <v>77965</v>
      </c>
      <c r="E248" s="195">
        <f>SURREY!G32</f>
        <v>77817</v>
      </c>
      <c r="F248" s="195">
        <f>SURREY!H32</f>
        <v>77950</v>
      </c>
      <c r="G248" s="195">
        <f>SURREY!I32</f>
        <v>72714</v>
      </c>
      <c r="H248" s="195">
        <f>SURREY!J32</f>
        <v>74077</v>
      </c>
      <c r="I248" s="195">
        <f>SURREY!K32</f>
        <v>74675</v>
      </c>
      <c r="J248" s="195">
        <f>SURREY!L32</f>
        <v>72932</v>
      </c>
      <c r="K248" s="196">
        <f t="shared" si="9"/>
        <v>-5.0809516372533711E-2</v>
      </c>
      <c r="L248" s="196"/>
      <c r="M248" s="195">
        <f t="shared" si="10"/>
        <v>-4221</v>
      </c>
      <c r="N248" s="196">
        <f t="shared" si="11"/>
        <v>-5.470947338405506E-2</v>
      </c>
      <c r="O248" s="197">
        <v>99</v>
      </c>
      <c r="P248" s="197">
        <v>92</v>
      </c>
      <c r="Q248" s="197">
        <v>92</v>
      </c>
      <c r="R248" s="197">
        <v>114</v>
      </c>
      <c r="S248" s="197">
        <v>104</v>
      </c>
      <c r="T248" s="197">
        <v>199</v>
      </c>
      <c r="U248" s="197">
        <v>142</v>
      </c>
      <c r="V248" s="197">
        <v>170</v>
      </c>
      <c r="W248" s="197">
        <v>245</v>
      </c>
      <c r="X248" s="197"/>
      <c r="Y248" s="197">
        <v>190</v>
      </c>
      <c r="Z248" s="197"/>
    </row>
    <row r="249" spans="1:26">
      <c r="A249" s="191" t="str">
        <f>SURREY!A38</f>
        <v>Reigate BC</v>
      </c>
      <c r="B249" s="195">
        <f>SURREY!D38</f>
        <v>71233</v>
      </c>
      <c r="C249" s="195">
        <f>SURREY!E38</f>
        <v>72043</v>
      </c>
      <c r="D249" s="195">
        <f>SURREY!F38</f>
        <v>72438</v>
      </c>
      <c r="E249" s="195">
        <f>SURREY!G38</f>
        <v>72769</v>
      </c>
      <c r="F249" s="195">
        <f>SURREY!H38</f>
        <v>71816</v>
      </c>
      <c r="G249" s="195">
        <f>SURREY!I38</f>
        <v>72786</v>
      </c>
      <c r="H249" s="195">
        <f>SURREY!J38</f>
        <v>71778</v>
      </c>
      <c r="I249" s="195">
        <f>SURREY!K38</f>
        <v>72840</v>
      </c>
      <c r="J249" s="195">
        <f>SURREY!L38</f>
        <v>72855</v>
      </c>
      <c r="K249" s="196">
        <f t="shared" si="9"/>
        <v>2.2770345205171759E-2</v>
      </c>
      <c r="L249" s="196"/>
      <c r="M249" s="195">
        <f t="shared" si="10"/>
        <v>-4298</v>
      </c>
      <c r="N249" s="196">
        <f t="shared" si="11"/>
        <v>-5.5707490311459051E-2</v>
      </c>
      <c r="O249" s="197">
        <v>281</v>
      </c>
      <c r="P249" s="197">
        <v>269</v>
      </c>
      <c r="Q249" s="197">
        <v>276</v>
      </c>
      <c r="R249" s="197">
        <v>275</v>
      </c>
      <c r="S249" s="197">
        <v>291</v>
      </c>
      <c r="T249" s="197">
        <v>195</v>
      </c>
      <c r="U249" s="197">
        <v>206</v>
      </c>
      <c r="V249" s="197">
        <v>226</v>
      </c>
      <c r="W249" s="197">
        <v>246</v>
      </c>
      <c r="X249" s="197"/>
      <c r="Y249" s="197">
        <v>364</v>
      </c>
      <c r="Z249" s="197"/>
    </row>
    <row r="250" spans="1:26">
      <c r="A250" s="191" t="str">
        <f>WANDSWORTH!A7</f>
        <v>Battersea BC</v>
      </c>
      <c r="B250" s="195">
        <f>WANDSWORTH!D7</f>
        <v>71941</v>
      </c>
      <c r="C250" s="195">
        <f>WANDSWORTH!E7</f>
        <v>73028</v>
      </c>
      <c r="D250" s="195">
        <f>WANDSWORTH!F7</f>
        <v>72350</v>
      </c>
      <c r="E250" s="195">
        <f>WANDSWORTH!G7</f>
        <v>71513</v>
      </c>
      <c r="F250" s="195">
        <f>WANDSWORTH!H7</f>
        <v>71409</v>
      </c>
      <c r="G250" s="195">
        <f>WANDSWORTH!I7</f>
        <v>69082</v>
      </c>
      <c r="H250" s="195">
        <f>WANDSWORTH!J7</f>
        <v>69924</v>
      </c>
      <c r="I250" s="195">
        <f>WANDSWORTH!K7</f>
        <v>71401</v>
      </c>
      <c r="J250" s="195">
        <f>WANDSWORTH!L7</f>
        <v>72761</v>
      </c>
      <c r="K250" s="196">
        <f t="shared" si="9"/>
        <v>1.1398229104404998E-2</v>
      </c>
      <c r="L250" s="196"/>
      <c r="M250" s="195">
        <f t="shared" si="10"/>
        <v>-4392</v>
      </c>
      <c r="N250" s="196">
        <f t="shared" si="11"/>
        <v>-5.6925848638419763E-2</v>
      </c>
      <c r="O250" s="197">
        <v>249</v>
      </c>
      <c r="P250" s="197">
        <v>225</v>
      </c>
      <c r="Q250" s="197">
        <v>280</v>
      </c>
      <c r="R250" s="197">
        <v>314</v>
      </c>
      <c r="S250" s="197">
        <v>302</v>
      </c>
      <c r="T250" s="197">
        <v>330</v>
      </c>
      <c r="U250" s="197">
        <v>272</v>
      </c>
      <c r="V250" s="197">
        <v>281</v>
      </c>
      <c r="W250" s="197">
        <v>247</v>
      </c>
      <c r="X250" s="197"/>
      <c r="Y250" s="197">
        <v>20</v>
      </c>
      <c r="Z250" s="197"/>
    </row>
    <row r="251" spans="1:26">
      <c r="A251" s="191" t="str">
        <f>KENT!A72</f>
        <v>Tunbridge Wells CC</v>
      </c>
      <c r="B251" s="195">
        <f>KENT!D72</f>
        <v>72364</v>
      </c>
      <c r="C251" s="195">
        <f>KENT!E72</f>
        <v>73028</v>
      </c>
      <c r="D251" s="195">
        <f>KENT!F72</f>
        <v>72902</v>
      </c>
      <c r="E251" s="195">
        <f>KENT!G72</f>
        <v>73499</v>
      </c>
      <c r="F251" s="195">
        <f>KENT!H72</f>
        <v>73192</v>
      </c>
      <c r="G251" s="195">
        <f>KENT!I72</f>
        <v>71235</v>
      </c>
      <c r="H251" s="195">
        <f>KENT!J72</f>
        <v>69765</v>
      </c>
      <c r="I251" s="195">
        <f>KENT!K72</f>
        <v>73596</v>
      </c>
      <c r="J251" s="195">
        <f>KENT!L72</f>
        <v>72726</v>
      </c>
      <c r="K251" s="196">
        <f t="shared" si="9"/>
        <v>5.0024874246863077E-3</v>
      </c>
      <c r="L251" s="196"/>
      <c r="M251" s="195">
        <f t="shared" si="10"/>
        <v>-4427</v>
      </c>
      <c r="N251" s="196">
        <f t="shared" si="11"/>
        <v>-5.7379492696330671E-2</v>
      </c>
      <c r="O251" s="197">
        <v>225</v>
      </c>
      <c r="P251" s="197">
        <v>226</v>
      </c>
      <c r="Q251" s="197">
        <v>251</v>
      </c>
      <c r="R251" s="197">
        <v>234</v>
      </c>
      <c r="S251" s="197">
        <v>239</v>
      </c>
      <c r="T251" s="197">
        <v>261</v>
      </c>
      <c r="U251" s="197">
        <v>278</v>
      </c>
      <c r="V251" s="197">
        <v>207</v>
      </c>
      <c r="W251" s="197">
        <v>248</v>
      </c>
      <c r="X251" s="197"/>
      <c r="Y251" s="197">
        <v>475</v>
      </c>
      <c r="Z251" s="197"/>
    </row>
    <row r="252" spans="1:26">
      <c r="A252" s="191" t="str">
        <f>WORCESTERSHIRE!A26</f>
        <v>Worcester BC</v>
      </c>
      <c r="B252" s="195">
        <f>WORCESTERSHIRE!D26</f>
        <v>72965</v>
      </c>
      <c r="C252" s="195">
        <f>WORCESTERSHIRE!E26</f>
        <v>73960</v>
      </c>
      <c r="D252" s="195">
        <f>WORCESTERSHIRE!F26</f>
        <v>74513</v>
      </c>
      <c r="E252" s="195">
        <f>WORCESTERSHIRE!G26</f>
        <v>73837</v>
      </c>
      <c r="F252" s="195">
        <f>WORCESTERSHIRE!H26</f>
        <v>72165</v>
      </c>
      <c r="G252" s="195">
        <f>WORCESTERSHIRE!I26</f>
        <v>71580</v>
      </c>
      <c r="H252" s="195">
        <f>WORCESTERSHIRE!J26</f>
        <v>70542</v>
      </c>
      <c r="I252" s="195">
        <f>WORCESTERSHIRE!K26</f>
        <v>72543</v>
      </c>
      <c r="J252" s="195">
        <f>WORCESTERSHIRE!L26</f>
        <v>72702</v>
      </c>
      <c r="K252" s="196">
        <f t="shared" si="9"/>
        <v>-3.6044678955663672E-3</v>
      </c>
      <c r="L252" s="196"/>
      <c r="M252" s="195">
        <f t="shared" si="10"/>
        <v>-4451</v>
      </c>
      <c r="N252" s="196">
        <f t="shared" si="11"/>
        <v>-5.7690562907469572E-2</v>
      </c>
      <c r="O252" s="197">
        <v>200</v>
      </c>
      <c r="P252" s="197">
        <v>189</v>
      </c>
      <c r="Q252" s="197">
        <v>190</v>
      </c>
      <c r="R252" s="197">
        <v>218</v>
      </c>
      <c r="S252" s="197">
        <v>281</v>
      </c>
      <c r="T252" s="197">
        <v>246</v>
      </c>
      <c r="U252" s="197">
        <v>249</v>
      </c>
      <c r="V252" s="197">
        <v>237</v>
      </c>
      <c r="W252" s="197">
        <v>249</v>
      </c>
      <c r="X252" s="197"/>
      <c r="Y252" s="197">
        <v>523</v>
      </c>
      <c r="Z252" s="197"/>
    </row>
    <row r="253" spans="1:26">
      <c r="A253" s="191" t="str">
        <f>'GREATER MANCHESTER'!A39</f>
        <v>Bury South BC</v>
      </c>
      <c r="B253" s="195">
        <f>'GREATER MANCHESTER'!D39</f>
        <v>74313</v>
      </c>
      <c r="C253" s="195">
        <f>'GREATER MANCHESTER'!E39</f>
        <v>75140</v>
      </c>
      <c r="D253" s="195">
        <f>'GREATER MANCHESTER'!F39</f>
        <v>75084</v>
      </c>
      <c r="E253" s="195">
        <f>'GREATER MANCHESTER'!G39</f>
        <v>75070</v>
      </c>
      <c r="F253" s="195">
        <f>'GREATER MANCHESTER'!H39</f>
        <v>74661</v>
      </c>
      <c r="G253" s="195">
        <f>'GREATER MANCHESTER'!I39</f>
        <v>73378</v>
      </c>
      <c r="H253" s="195">
        <f>'GREATER MANCHESTER'!J39</f>
        <v>70085</v>
      </c>
      <c r="I253" s="195">
        <f>'GREATER MANCHESTER'!K39</f>
        <v>71954</v>
      </c>
      <c r="J253" s="195">
        <f>'GREATER MANCHESTER'!L39</f>
        <v>72679</v>
      </c>
      <c r="K253" s="196">
        <f t="shared" si="9"/>
        <v>-2.1988077456165139E-2</v>
      </c>
      <c r="L253" s="196"/>
      <c r="M253" s="195">
        <f t="shared" si="10"/>
        <v>-4474</v>
      </c>
      <c r="N253" s="196">
        <f t="shared" si="11"/>
        <v>-5.7988671859811027E-2</v>
      </c>
      <c r="O253" s="197">
        <v>166</v>
      </c>
      <c r="P253" s="197">
        <v>159</v>
      </c>
      <c r="Q253" s="197">
        <v>176</v>
      </c>
      <c r="R253" s="197">
        <v>181</v>
      </c>
      <c r="S253" s="197">
        <v>179</v>
      </c>
      <c r="T253" s="197">
        <v>175</v>
      </c>
      <c r="U253" s="197">
        <v>267</v>
      </c>
      <c r="V253" s="197">
        <v>254</v>
      </c>
      <c r="W253" s="197">
        <v>250</v>
      </c>
      <c r="X253" s="197"/>
      <c r="Y253" s="197">
        <v>83</v>
      </c>
      <c r="Z253" s="197"/>
    </row>
    <row r="254" spans="1:26">
      <c r="A254" s="191" t="str">
        <f>CHESHIRE!A25</f>
        <v>Halton CC</v>
      </c>
      <c r="B254" s="195">
        <f>CHESHIRE!D25</f>
        <v>69461</v>
      </c>
      <c r="C254" s="195">
        <f>CHESHIRE!E25</f>
        <v>70322</v>
      </c>
      <c r="D254" s="195">
        <f>CHESHIRE!F25</f>
        <v>71509</v>
      </c>
      <c r="E254" s="195">
        <f>CHESHIRE!G25</f>
        <v>71878</v>
      </c>
      <c r="F254" s="195">
        <f>CHESHIRE!H25</f>
        <v>71655</v>
      </c>
      <c r="G254" s="195">
        <f>CHESHIRE!I25</f>
        <v>72190</v>
      </c>
      <c r="H254" s="195">
        <f>CHESHIRE!J25</f>
        <v>70868</v>
      </c>
      <c r="I254" s="195">
        <f>CHESHIRE!K25</f>
        <v>71526</v>
      </c>
      <c r="J254" s="195">
        <f>CHESHIRE!L25</f>
        <v>72668</v>
      </c>
      <c r="K254" s="196">
        <f t="shared" si="9"/>
        <v>4.6169793121319878E-2</v>
      </c>
      <c r="L254" s="196"/>
      <c r="M254" s="195">
        <f t="shared" si="10"/>
        <v>-4485</v>
      </c>
      <c r="N254" s="196">
        <f t="shared" si="11"/>
        <v>-5.8131245706583026E-2</v>
      </c>
      <c r="O254" s="197">
        <v>334</v>
      </c>
      <c r="P254" s="197">
        <v>330</v>
      </c>
      <c r="Q254" s="197">
        <v>309</v>
      </c>
      <c r="R254" s="197">
        <v>306</v>
      </c>
      <c r="S254" s="197">
        <v>297</v>
      </c>
      <c r="T254" s="197">
        <v>228</v>
      </c>
      <c r="U254" s="197">
        <v>233</v>
      </c>
      <c r="V254" s="197">
        <v>275</v>
      </c>
      <c r="W254" s="197">
        <v>251</v>
      </c>
      <c r="X254" s="197"/>
      <c r="Y254" s="197">
        <v>196</v>
      </c>
      <c r="Z254" s="197"/>
    </row>
    <row r="255" spans="1:26">
      <c r="A255" s="191" t="str">
        <f>DORSET!A39</f>
        <v>Poole BC</v>
      </c>
      <c r="B255" s="195">
        <f>DORSET!D39</f>
        <v>72314</v>
      </c>
      <c r="C255" s="195">
        <f>DORSET!E39</f>
        <v>72773</v>
      </c>
      <c r="D255" s="195">
        <f>DORSET!F39</f>
        <v>73130</v>
      </c>
      <c r="E255" s="195">
        <f>DORSET!G39</f>
        <v>72933</v>
      </c>
      <c r="F255" s="195">
        <f>DORSET!H39</f>
        <v>73205</v>
      </c>
      <c r="G255" s="195">
        <f>DORSET!I39</f>
        <v>71469</v>
      </c>
      <c r="H255" s="195">
        <f>DORSET!J39</f>
        <v>69636</v>
      </c>
      <c r="I255" s="195">
        <f>DORSET!K39</f>
        <v>71885</v>
      </c>
      <c r="J255" s="195">
        <f>DORSET!L39</f>
        <v>72665</v>
      </c>
      <c r="K255" s="196">
        <f t="shared" si="9"/>
        <v>4.8538318997704459E-3</v>
      </c>
      <c r="L255" s="196"/>
      <c r="M255" s="195">
        <f t="shared" si="10"/>
        <v>-4488</v>
      </c>
      <c r="N255" s="196">
        <f t="shared" si="11"/>
        <v>-5.817012948297539E-2</v>
      </c>
      <c r="O255" s="197">
        <v>228</v>
      </c>
      <c r="P255" s="197">
        <v>239</v>
      </c>
      <c r="Q255" s="197">
        <v>239</v>
      </c>
      <c r="R255" s="197">
        <v>261</v>
      </c>
      <c r="S255" s="197">
        <v>238</v>
      </c>
      <c r="T255" s="197">
        <v>248</v>
      </c>
      <c r="U255" s="197">
        <v>290</v>
      </c>
      <c r="V255" s="197">
        <v>257</v>
      </c>
      <c r="W255" s="197">
        <v>252</v>
      </c>
      <c r="X255" s="197"/>
      <c r="Y255" s="197">
        <v>352</v>
      </c>
      <c r="Z255" s="197"/>
    </row>
    <row r="256" spans="1:26">
      <c r="A256" s="191" t="str">
        <f>BERKSHIRE!A29</f>
        <v>Reading East BC</v>
      </c>
      <c r="B256" s="195">
        <f>BERKSHIRE!D31</f>
        <v>74855</v>
      </c>
      <c r="C256" s="195">
        <f>BERKSHIRE!E31</f>
        <v>78170</v>
      </c>
      <c r="D256" s="195">
        <f>BERKSHIRE!F31</f>
        <v>79640</v>
      </c>
      <c r="E256" s="195">
        <f>BERKSHIRE!G31</f>
        <v>77722</v>
      </c>
      <c r="F256" s="195">
        <f>BERKSHIRE!H31</f>
        <v>77966</v>
      </c>
      <c r="G256" s="195">
        <f>BERKSHIRE!I31</f>
        <v>70361</v>
      </c>
      <c r="H256" s="195">
        <f>BERKSHIRE!J31</f>
        <v>67846</v>
      </c>
      <c r="I256" s="195">
        <f>BERKSHIRE!K31</f>
        <v>71600</v>
      </c>
      <c r="J256" s="195">
        <f>BERKSHIRE!L31</f>
        <v>72647</v>
      </c>
      <c r="K256" s="196">
        <f t="shared" si="9"/>
        <v>-2.9497027586667557E-2</v>
      </c>
      <c r="L256" s="196"/>
      <c r="M256" s="195">
        <f t="shared" si="10"/>
        <v>-4506</v>
      </c>
      <c r="N256" s="196">
        <f t="shared" si="11"/>
        <v>-5.8403432141329564E-2</v>
      </c>
      <c r="O256" s="197">
        <v>153</v>
      </c>
      <c r="P256" s="197">
        <v>79</v>
      </c>
      <c r="Q256" s="197">
        <v>54</v>
      </c>
      <c r="R256" s="197">
        <v>120</v>
      </c>
      <c r="S256" s="197">
        <v>102</v>
      </c>
      <c r="T256" s="197">
        <v>280</v>
      </c>
      <c r="U256" s="197">
        <v>341</v>
      </c>
      <c r="V256" s="197">
        <v>271</v>
      </c>
      <c r="W256" s="197">
        <v>253</v>
      </c>
      <c r="X256" s="197"/>
      <c r="Y256" s="197">
        <v>360</v>
      </c>
      <c r="Z256" s="197"/>
    </row>
    <row r="257" spans="1:26">
      <c r="A257" s="191" t="str">
        <f>'SOUTH YORKSHIRE'!A18</f>
        <v>Doncaster North CC</v>
      </c>
      <c r="B257" s="195">
        <f>'SOUTH YORKSHIRE'!D18</f>
        <v>72040</v>
      </c>
      <c r="C257" s="195">
        <f>'SOUTH YORKSHIRE'!E18</f>
        <v>72855</v>
      </c>
      <c r="D257" s="195">
        <f>'SOUTH YORKSHIRE'!F18</f>
        <v>73234</v>
      </c>
      <c r="E257" s="195">
        <f>'SOUTH YORKSHIRE'!G18</f>
        <v>74073</v>
      </c>
      <c r="F257" s="195">
        <f>'SOUTH YORKSHIRE'!H18</f>
        <v>72375</v>
      </c>
      <c r="G257" s="195">
        <f>'SOUTH YORKSHIRE'!I18</f>
        <v>68608</v>
      </c>
      <c r="H257" s="195">
        <f>'SOUTH YORKSHIRE'!J18</f>
        <v>70337</v>
      </c>
      <c r="I257" s="195">
        <f>'SOUTH YORKSHIRE'!K18</f>
        <v>71430</v>
      </c>
      <c r="J257" s="195">
        <f>'SOUTH YORKSHIRE'!L18</f>
        <v>72613</v>
      </c>
      <c r="K257" s="196">
        <f t="shared" si="9"/>
        <v>7.9539144919489168E-3</v>
      </c>
      <c r="L257" s="196"/>
      <c r="M257" s="195">
        <f t="shared" si="10"/>
        <v>-4540</v>
      </c>
      <c r="N257" s="196">
        <f t="shared" si="11"/>
        <v>-5.8844114940443018E-2</v>
      </c>
      <c r="O257" s="197">
        <v>239</v>
      </c>
      <c r="P257" s="197">
        <v>235</v>
      </c>
      <c r="Q257" s="197">
        <v>235</v>
      </c>
      <c r="R257" s="197">
        <v>208</v>
      </c>
      <c r="S257" s="197">
        <v>268</v>
      </c>
      <c r="T257" s="197">
        <v>348</v>
      </c>
      <c r="U257" s="197">
        <v>256</v>
      </c>
      <c r="V257" s="197">
        <v>280</v>
      </c>
      <c r="W257" s="197">
        <v>254</v>
      </c>
      <c r="X257" s="197"/>
      <c r="Y257" s="197">
        <v>140</v>
      </c>
      <c r="Z257" s="197"/>
    </row>
    <row r="258" spans="1:26">
      <c r="A258" s="191" t="str">
        <f>'GREATER MANCHESTER'!A41</f>
        <v>Cheadle BC</v>
      </c>
      <c r="B258" s="195">
        <f>'GREATER MANCHESTER'!D41</f>
        <v>71927</v>
      </c>
      <c r="C258" s="195">
        <f>'GREATER MANCHESTER'!E41</f>
        <v>71797</v>
      </c>
      <c r="D258" s="195">
        <f>'GREATER MANCHESTER'!F41</f>
        <v>72422</v>
      </c>
      <c r="E258" s="195">
        <f>'GREATER MANCHESTER'!G41</f>
        <v>72777</v>
      </c>
      <c r="F258" s="195">
        <f>'GREATER MANCHESTER'!H41</f>
        <v>72368</v>
      </c>
      <c r="G258" s="195">
        <f>'GREATER MANCHESTER'!I41</f>
        <v>72936</v>
      </c>
      <c r="H258" s="195">
        <f>'GREATER MANCHESTER'!J41</f>
        <v>70529</v>
      </c>
      <c r="I258" s="195">
        <f>'GREATER MANCHESTER'!K41</f>
        <v>72039</v>
      </c>
      <c r="J258" s="195">
        <f>'GREATER MANCHESTER'!L41</f>
        <v>72568</v>
      </c>
      <c r="K258" s="196">
        <f t="shared" si="9"/>
        <v>8.9118133663297506E-3</v>
      </c>
      <c r="L258" s="196"/>
      <c r="M258" s="195">
        <f t="shared" si="10"/>
        <v>-4585</v>
      </c>
      <c r="N258" s="196">
        <f t="shared" si="11"/>
        <v>-5.9427371586328465E-2</v>
      </c>
      <c r="O258" s="197">
        <v>250</v>
      </c>
      <c r="P258" s="197">
        <v>286</v>
      </c>
      <c r="Q258" s="197">
        <v>277</v>
      </c>
      <c r="R258" s="197">
        <v>274</v>
      </c>
      <c r="S258" s="197">
        <v>269</v>
      </c>
      <c r="T258" s="197">
        <v>189</v>
      </c>
      <c r="U258" s="197">
        <v>250</v>
      </c>
      <c r="V258" s="197">
        <v>251</v>
      </c>
      <c r="W258" s="197">
        <v>255</v>
      </c>
      <c r="X258" s="197"/>
      <c r="Y258" s="197">
        <v>98</v>
      </c>
      <c r="Z258" s="197"/>
    </row>
    <row r="259" spans="1:26">
      <c r="A259" s="191" t="str">
        <f>'"HUMBERSIDE"'!A21</f>
        <v>Cleethorpes CC</v>
      </c>
      <c r="B259" s="195">
        <f>'"HUMBERSIDE"'!D23</f>
        <v>70722</v>
      </c>
      <c r="C259" s="195">
        <f>'"HUMBERSIDE"'!E23</f>
        <v>70895</v>
      </c>
      <c r="D259" s="195">
        <f>'"HUMBERSIDE"'!F23</f>
        <v>71196</v>
      </c>
      <c r="E259" s="195">
        <f>'"HUMBERSIDE"'!G23</f>
        <v>71322</v>
      </c>
      <c r="F259" s="195">
        <f>'"HUMBERSIDE"'!H23</f>
        <v>70976</v>
      </c>
      <c r="G259" s="195">
        <f>'"HUMBERSIDE"'!I23</f>
        <v>68942</v>
      </c>
      <c r="H259" s="195">
        <f>'"HUMBERSIDE"'!J23</f>
        <v>70557</v>
      </c>
      <c r="I259" s="195">
        <f>'"HUMBERSIDE"'!K23</f>
        <v>72947</v>
      </c>
      <c r="J259" s="195">
        <f>'"HUMBERSIDE"'!L23</f>
        <v>72556</v>
      </c>
      <c r="K259" s="196">
        <f t="shared" si="9"/>
        <v>2.5932524532677245E-2</v>
      </c>
      <c r="L259" s="196"/>
      <c r="M259" s="195">
        <f t="shared" si="10"/>
        <v>-4597</v>
      </c>
      <c r="N259" s="196">
        <f t="shared" si="11"/>
        <v>-5.9582906691897919E-2</v>
      </c>
      <c r="O259" s="197">
        <v>303</v>
      </c>
      <c r="P259" s="197">
        <v>312</v>
      </c>
      <c r="Q259" s="197">
        <v>315</v>
      </c>
      <c r="R259" s="197">
        <v>319</v>
      </c>
      <c r="S259" s="197">
        <v>314</v>
      </c>
      <c r="T259" s="197">
        <v>335</v>
      </c>
      <c r="U259" s="197">
        <v>247</v>
      </c>
      <c r="V259" s="197">
        <v>223</v>
      </c>
      <c r="W259" s="197">
        <v>256</v>
      </c>
      <c r="X259" s="197"/>
      <c r="Y259" s="197">
        <v>114</v>
      </c>
      <c r="Z259" s="197"/>
    </row>
    <row r="260" spans="1:26">
      <c r="A260" s="191" t="str">
        <f>HARINGEY!A9</f>
        <v>Tottenham BC</v>
      </c>
      <c r="B260" s="195">
        <f>HARINGEY!D9</f>
        <v>68338</v>
      </c>
      <c r="C260" s="195">
        <f>HARINGEY!E9</f>
        <v>70162</v>
      </c>
      <c r="D260" s="195">
        <f>HARINGEY!F9</f>
        <v>69986</v>
      </c>
      <c r="E260" s="195">
        <f>HARINGEY!G9</f>
        <v>70340</v>
      </c>
      <c r="F260" s="195">
        <f>HARINGEY!H9</f>
        <v>70883</v>
      </c>
      <c r="G260" s="195">
        <f>HARINGEY!I9</f>
        <v>65171</v>
      </c>
      <c r="H260" s="195">
        <f>HARINGEY!J9</f>
        <v>66629</v>
      </c>
      <c r="I260" s="195">
        <f>HARINGEY!K9</f>
        <v>70558</v>
      </c>
      <c r="J260" s="195">
        <f>HARINGEY!L9</f>
        <v>72537</v>
      </c>
      <c r="K260" s="196">
        <f t="shared" ref="K260:K323" si="12">(J260-B260)/B260</f>
        <v>6.1444584272293601E-2</v>
      </c>
      <c r="L260" s="196"/>
      <c r="M260" s="195">
        <f t="shared" ref="M260:M323" si="13">J260-$J$544</f>
        <v>-4616</v>
      </c>
      <c r="N260" s="196">
        <f t="shared" ref="N260:N323" si="14">(J260-$J$544)/$J$544</f>
        <v>-5.9829170609049548E-2</v>
      </c>
      <c r="O260" s="197">
        <v>369</v>
      </c>
      <c r="P260" s="197">
        <v>335</v>
      </c>
      <c r="Q260" s="197">
        <v>346</v>
      </c>
      <c r="R260" s="197">
        <v>341</v>
      </c>
      <c r="S260" s="197">
        <v>315</v>
      </c>
      <c r="T260" s="197">
        <v>435</v>
      </c>
      <c r="U260" s="197">
        <v>386</v>
      </c>
      <c r="V260" s="197">
        <v>312</v>
      </c>
      <c r="W260" s="197">
        <v>257</v>
      </c>
      <c r="X260" s="197"/>
      <c r="Y260" s="197">
        <v>473</v>
      </c>
      <c r="Z260" s="197"/>
    </row>
    <row r="261" spans="1:26">
      <c r="A261" s="191" t="str">
        <f>'WEST SUSSEX'!A25</f>
        <v>Crawley BC</v>
      </c>
      <c r="B261" s="195">
        <f>'WEST SUSSEX'!D25</f>
        <v>72024</v>
      </c>
      <c r="C261" s="195">
        <f>'WEST SUSSEX'!E25</f>
        <v>71793</v>
      </c>
      <c r="D261" s="195">
        <f>'WEST SUSSEX'!F25</f>
        <v>73935</v>
      </c>
      <c r="E261" s="195">
        <f>'WEST SUSSEX'!G25</f>
        <v>74610</v>
      </c>
      <c r="F261" s="195">
        <f>'WEST SUSSEX'!H25</f>
        <v>74369</v>
      </c>
      <c r="G261" s="195">
        <f>'WEST SUSSEX'!I25</f>
        <v>72424</v>
      </c>
      <c r="H261" s="195">
        <f>'WEST SUSSEX'!J25</f>
        <v>70578</v>
      </c>
      <c r="I261" s="195">
        <f>'WEST SUSSEX'!K25</f>
        <v>71455</v>
      </c>
      <c r="J261" s="195">
        <f>'WEST SUSSEX'!L25</f>
        <v>72499</v>
      </c>
      <c r="K261" s="196">
        <f t="shared" si="12"/>
        <v>6.5950238809285794E-3</v>
      </c>
      <c r="L261" s="196"/>
      <c r="M261" s="195">
        <f t="shared" si="13"/>
        <v>-4654</v>
      </c>
      <c r="N261" s="196">
        <f t="shared" si="14"/>
        <v>-6.032169844335282E-2</v>
      </c>
      <c r="O261" s="197">
        <v>240</v>
      </c>
      <c r="P261" s="197">
        <v>288</v>
      </c>
      <c r="Q261" s="197">
        <v>202</v>
      </c>
      <c r="R261" s="197">
        <v>192</v>
      </c>
      <c r="S261" s="197">
        <v>188</v>
      </c>
      <c r="T261" s="197">
        <v>218</v>
      </c>
      <c r="U261" s="197">
        <v>246</v>
      </c>
      <c r="V261" s="197">
        <v>279</v>
      </c>
      <c r="W261" s="197">
        <v>258</v>
      </c>
      <c r="X261" s="197"/>
      <c r="Y261" s="197">
        <v>123</v>
      </c>
      <c r="Z261" s="197"/>
    </row>
    <row r="262" spans="1:26">
      <c r="A262" s="191" t="str">
        <f>OXFORDSHIRE!A19</f>
        <v>Oxford East BC</v>
      </c>
      <c r="B262" s="195">
        <f>OXFORDSHIRE!D19</f>
        <v>80113</v>
      </c>
      <c r="C262" s="195">
        <f>OXFORDSHIRE!E19</f>
        <v>81644</v>
      </c>
      <c r="D262" s="195">
        <f>OXFORDSHIRE!F19</f>
        <v>81848</v>
      </c>
      <c r="E262" s="195">
        <f>OXFORDSHIRE!G19</f>
        <v>80909</v>
      </c>
      <c r="F262" s="195">
        <f>OXFORDSHIRE!H19</f>
        <v>80818</v>
      </c>
      <c r="G262" s="195">
        <f>OXFORDSHIRE!I19</f>
        <v>72738</v>
      </c>
      <c r="H262" s="195">
        <f>OXFORDSHIRE!J19</f>
        <v>70293</v>
      </c>
      <c r="I262" s="195">
        <f>OXFORDSHIRE!K19</f>
        <v>73139</v>
      </c>
      <c r="J262" s="195">
        <f>OXFORDSHIRE!L19</f>
        <v>72492</v>
      </c>
      <c r="K262" s="196">
        <f t="shared" si="12"/>
        <v>-9.5128131514236144E-2</v>
      </c>
      <c r="L262" s="196"/>
      <c r="M262" s="195">
        <f t="shared" si="13"/>
        <v>-4661</v>
      </c>
      <c r="N262" s="196">
        <f t="shared" si="14"/>
        <v>-6.0412427254935001E-2</v>
      </c>
      <c r="O262" s="197">
        <v>34</v>
      </c>
      <c r="P262" s="197">
        <v>28</v>
      </c>
      <c r="Q262" s="197">
        <v>33</v>
      </c>
      <c r="R262" s="197">
        <v>44</v>
      </c>
      <c r="S262" s="197">
        <v>44</v>
      </c>
      <c r="T262" s="197">
        <v>198</v>
      </c>
      <c r="U262" s="197">
        <v>260</v>
      </c>
      <c r="V262" s="197">
        <v>216</v>
      </c>
      <c r="W262" s="197">
        <v>259</v>
      </c>
      <c r="X262" s="72"/>
      <c r="Y262" s="197">
        <v>344</v>
      </c>
      <c r="Z262" s="197"/>
    </row>
    <row r="263" spans="1:26">
      <c r="A263" s="191" t="str">
        <f>HERTFORDSHIRE!A18</f>
        <v>Broxbourne BC</v>
      </c>
      <c r="B263" s="195">
        <f>HERTFORDSHIRE!D20</f>
        <v>71224</v>
      </c>
      <c r="C263" s="195">
        <f>HERTFORDSHIRE!E20</f>
        <v>71872</v>
      </c>
      <c r="D263" s="195">
        <f>HERTFORDSHIRE!F20</f>
        <v>72133</v>
      </c>
      <c r="E263" s="195">
        <f>HERTFORDSHIRE!G20</f>
        <v>72936</v>
      </c>
      <c r="F263" s="195">
        <f>HERTFORDSHIRE!H20</f>
        <v>73563</v>
      </c>
      <c r="G263" s="195">
        <f>HERTFORDSHIRE!I20</f>
        <v>72008</v>
      </c>
      <c r="H263" s="195">
        <f>HERTFORDSHIRE!J20</f>
        <v>70420</v>
      </c>
      <c r="I263" s="195">
        <f>HERTFORDSHIRE!K20</f>
        <v>72358</v>
      </c>
      <c r="J263" s="195">
        <f>HERTFORDSHIRE!L20</f>
        <v>72431</v>
      </c>
      <c r="K263" s="196">
        <f t="shared" si="12"/>
        <v>1.6946534875884534E-2</v>
      </c>
      <c r="L263" s="196"/>
      <c r="M263" s="195">
        <f t="shared" si="13"/>
        <v>-4722</v>
      </c>
      <c r="N263" s="196">
        <f t="shared" si="14"/>
        <v>-6.120306404157972E-2</v>
      </c>
      <c r="O263" s="197">
        <v>282</v>
      </c>
      <c r="P263" s="197">
        <v>281</v>
      </c>
      <c r="Q263" s="197">
        <v>289</v>
      </c>
      <c r="R263" s="197">
        <v>260</v>
      </c>
      <c r="S263" s="197">
        <v>228</v>
      </c>
      <c r="T263" s="197">
        <v>233</v>
      </c>
      <c r="U263" s="197">
        <v>254</v>
      </c>
      <c r="V263" s="197">
        <v>242</v>
      </c>
      <c r="W263" s="197">
        <v>260</v>
      </c>
      <c r="X263" s="197"/>
      <c r="Y263" s="197">
        <v>77</v>
      </c>
      <c r="Z263" s="197"/>
    </row>
    <row r="264" spans="1:26">
      <c r="A264" s="191" t="str">
        <f>HILLINGDON!A9</f>
        <v>Ruislip, Northwood and Pinner BC</v>
      </c>
      <c r="B264" s="195">
        <f>HILLINGDON!D11</f>
        <v>70979</v>
      </c>
      <c r="C264" s="195">
        <f>HILLINGDON!E11</f>
        <v>71706</v>
      </c>
      <c r="D264" s="195">
        <f>HILLINGDON!F11</f>
        <v>72148</v>
      </c>
      <c r="E264" s="195">
        <f>HILLINGDON!G11</f>
        <v>72965</v>
      </c>
      <c r="F264" s="195">
        <f>HILLINGDON!H11</f>
        <v>73491</v>
      </c>
      <c r="G264" s="195">
        <f>HILLINGDON!I11</f>
        <v>73240</v>
      </c>
      <c r="H264" s="195">
        <f>HILLINGDON!J11</f>
        <v>71331</v>
      </c>
      <c r="I264" s="195">
        <f>HILLINGDON!K11</f>
        <v>72458</v>
      </c>
      <c r="J264" s="195">
        <f>HILLINGDON!L11</f>
        <v>72357</v>
      </c>
      <c r="K264" s="196">
        <f t="shared" si="12"/>
        <v>1.9414192930303328E-2</v>
      </c>
      <c r="L264" s="196"/>
      <c r="M264" s="195">
        <f t="shared" si="13"/>
        <v>-4796</v>
      </c>
      <c r="N264" s="196">
        <f t="shared" si="14"/>
        <v>-6.2162197192591341E-2</v>
      </c>
      <c r="O264" s="197">
        <v>295</v>
      </c>
      <c r="P264" s="197">
        <v>290</v>
      </c>
      <c r="Q264" s="197">
        <v>288</v>
      </c>
      <c r="R264" s="197">
        <v>257</v>
      </c>
      <c r="S264" s="197">
        <v>231</v>
      </c>
      <c r="T264" s="197">
        <v>180</v>
      </c>
      <c r="U264" s="197">
        <v>222</v>
      </c>
      <c r="V264" s="197">
        <v>238</v>
      </c>
      <c r="W264" s="197">
        <v>261</v>
      </c>
      <c r="X264" s="197"/>
      <c r="Y264" s="197">
        <v>377</v>
      </c>
      <c r="Z264" s="197"/>
    </row>
    <row r="265" spans="1:26">
      <c r="A265" s="191" t="str">
        <f>'NORTH YORKSHIRE'!A21</f>
        <v>Scarborough and Whitby CC</v>
      </c>
      <c r="B265" s="195">
        <f>'NORTH YORKSHIRE'!D21</f>
        <v>76032</v>
      </c>
      <c r="C265" s="195">
        <f>'NORTH YORKSHIRE'!E21</f>
        <v>76078</v>
      </c>
      <c r="D265" s="195">
        <f>'NORTH YORKSHIRE'!F21</f>
        <v>75613</v>
      </c>
      <c r="E265" s="195">
        <f>'NORTH YORKSHIRE'!G21</f>
        <v>75521</v>
      </c>
      <c r="F265" s="195">
        <f>'NORTH YORKSHIRE'!H21</f>
        <v>74997</v>
      </c>
      <c r="G265" s="195">
        <f>'NORTH YORKSHIRE'!I21</f>
        <v>72763</v>
      </c>
      <c r="H265" s="195">
        <f>'NORTH YORKSHIRE'!J21</f>
        <v>70708</v>
      </c>
      <c r="I265" s="195">
        <f>'NORTH YORKSHIRE'!K21</f>
        <v>71857</v>
      </c>
      <c r="J265" s="195">
        <f>'NORTH YORKSHIRE'!L21</f>
        <v>72357</v>
      </c>
      <c r="K265" s="196">
        <f t="shared" si="12"/>
        <v>-4.8334911616161616E-2</v>
      </c>
      <c r="L265" s="196"/>
      <c r="M265" s="195">
        <f t="shared" si="13"/>
        <v>-4796</v>
      </c>
      <c r="N265" s="196">
        <f t="shared" si="14"/>
        <v>-6.2162197192591341E-2</v>
      </c>
      <c r="O265" s="197">
        <v>124</v>
      </c>
      <c r="P265" s="197">
        <v>139</v>
      </c>
      <c r="Q265" s="197">
        <v>165</v>
      </c>
      <c r="R265" s="197">
        <v>173</v>
      </c>
      <c r="S265" s="197">
        <v>171</v>
      </c>
      <c r="T265" s="197">
        <v>196</v>
      </c>
      <c r="U265" s="197">
        <v>239</v>
      </c>
      <c r="V265" s="197">
        <v>259</v>
      </c>
      <c r="W265" s="197">
        <v>262</v>
      </c>
      <c r="X265" s="197"/>
      <c r="Y265" s="197">
        <v>384</v>
      </c>
      <c r="Z265" s="197"/>
    </row>
    <row r="266" spans="1:26">
      <c r="A266" s="191" t="str">
        <f>DEVON!A41</f>
        <v>Plymouth, Sutton and Devonport BC</v>
      </c>
      <c r="B266" s="195">
        <f>DEVON!D41</f>
        <v>69474</v>
      </c>
      <c r="C266" s="195">
        <f>DEVON!E41</f>
        <v>71236</v>
      </c>
      <c r="D266" s="195">
        <f>DEVON!F41</f>
        <v>67781</v>
      </c>
      <c r="E266" s="195">
        <f>DEVON!G41</f>
        <v>70020</v>
      </c>
      <c r="F266" s="195">
        <f>DEVON!H41</f>
        <v>69069</v>
      </c>
      <c r="G266" s="195">
        <f>DEVON!I41</f>
        <v>65754</v>
      </c>
      <c r="H266" s="195">
        <f>DEVON!J41</f>
        <v>68987</v>
      </c>
      <c r="I266" s="195">
        <f>DEVON!K41</f>
        <v>70530</v>
      </c>
      <c r="J266" s="195">
        <f>DEVON!L41</f>
        <v>72304</v>
      </c>
      <c r="K266" s="196">
        <f t="shared" si="12"/>
        <v>4.0734663327287909E-2</v>
      </c>
      <c r="L266" s="196"/>
      <c r="M266" s="195">
        <f t="shared" si="13"/>
        <v>-4849</v>
      </c>
      <c r="N266" s="196">
        <f t="shared" si="14"/>
        <v>-6.2849143908856431E-2</v>
      </c>
      <c r="O266" s="197">
        <v>333</v>
      </c>
      <c r="P266" s="197">
        <v>305</v>
      </c>
      <c r="Q266" s="197">
        <v>406</v>
      </c>
      <c r="R266" s="197">
        <v>353</v>
      </c>
      <c r="S266" s="197">
        <v>371</v>
      </c>
      <c r="T266" s="197">
        <v>419</v>
      </c>
      <c r="U266" s="197">
        <v>307</v>
      </c>
      <c r="V266" s="197">
        <v>314</v>
      </c>
      <c r="W266" s="197">
        <v>263</v>
      </c>
      <c r="X266" s="197"/>
      <c r="Y266" s="197">
        <v>351</v>
      </c>
      <c r="Z266" s="197"/>
    </row>
    <row r="267" spans="1:26">
      <c r="A267" s="191" t="str">
        <f>HAMPSHIRE!A46</f>
        <v>New Forest East CC</v>
      </c>
      <c r="B267" s="195">
        <f>HAMPSHIRE!D46</f>
        <v>72955</v>
      </c>
      <c r="C267" s="195">
        <f>HAMPSHIRE!E46</f>
        <v>73542</v>
      </c>
      <c r="D267" s="195">
        <f>HAMPSHIRE!F46</f>
        <v>73362</v>
      </c>
      <c r="E267" s="195">
        <f>HAMPSHIRE!G46</f>
        <v>73437</v>
      </c>
      <c r="F267" s="195">
        <f>HAMPSHIRE!H46</f>
        <v>73690</v>
      </c>
      <c r="G267" s="195">
        <f>HAMPSHIRE!I46</f>
        <v>72552</v>
      </c>
      <c r="H267" s="195">
        <f>HAMPSHIRE!J46</f>
        <v>71102</v>
      </c>
      <c r="I267" s="195">
        <f>HAMPSHIRE!K46</f>
        <v>72274</v>
      </c>
      <c r="J267" s="195">
        <f>HAMPSHIRE!L46</f>
        <v>72256</v>
      </c>
      <c r="K267" s="196">
        <f t="shared" si="12"/>
        <v>-9.5812487149612782E-3</v>
      </c>
      <c r="L267" s="196"/>
      <c r="M267" s="195">
        <f t="shared" si="13"/>
        <v>-4897</v>
      </c>
      <c r="N267" s="196">
        <f t="shared" si="14"/>
        <v>-6.3471284331134234E-2</v>
      </c>
      <c r="O267" s="197">
        <v>201</v>
      </c>
      <c r="P267" s="197">
        <v>205</v>
      </c>
      <c r="Q267" s="197">
        <v>229</v>
      </c>
      <c r="R267" s="197">
        <v>237</v>
      </c>
      <c r="S267" s="197">
        <v>220</v>
      </c>
      <c r="T267" s="197">
        <v>208</v>
      </c>
      <c r="U267" s="197">
        <v>228</v>
      </c>
      <c r="V267" s="197">
        <v>244</v>
      </c>
      <c r="W267" s="197">
        <v>264</v>
      </c>
      <c r="X267" s="197"/>
      <c r="Y267" s="197">
        <v>298</v>
      </c>
      <c r="Z267" s="197"/>
    </row>
    <row r="268" spans="1:26">
      <c r="A268" s="191" t="str">
        <f>LANCASHIRE!A72</f>
        <v>Wyre and Preston North CC</v>
      </c>
      <c r="B268" s="195">
        <f>LANCASHIRE!D74</f>
        <v>71364</v>
      </c>
      <c r="C268" s="195">
        <f>LANCASHIRE!E74</f>
        <v>71612</v>
      </c>
      <c r="D268" s="195">
        <f>LANCASHIRE!F74</f>
        <v>71562</v>
      </c>
      <c r="E268" s="195">
        <f>LANCASHIRE!G74</f>
        <v>72107</v>
      </c>
      <c r="F268" s="195">
        <f>LANCASHIRE!H74</f>
        <v>71608</v>
      </c>
      <c r="G268" s="195">
        <f>LANCASHIRE!I74</f>
        <v>69662</v>
      </c>
      <c r="H268" s="195">
        <f>LANCASHIRE!J74</f>
        <v>68872</v>
      </c>
      <c r="I268" s="195">
        <f>LANCASHIRE!K74</f>
        <v>71279</v>
      </c>
      <c r="J268" s="195">
        <f>LANCASHIRE!L74</f>
        <v>72254</v>
      </c>
      <c r="K268" s="196">
        <f t="shared" si="12"/>
        <v>1.2471274031724679E-2</v>
      </c>
      <c r="L268" s="196"/>
      <c r="M268" s="195">
        <f t="shared" si="13"/>
        <v>-4899</v>
      </c>
      <c r="N268" s="196">
        <f t="shared" si="14"/>
        <v>-6.3497206848729143E-2</v>
      </c>
      <c r="O268" s="197">
        <v>276</v>
      </c>
      <c r="P268" s="197">
        <v>293</v>
      </c>
      <c r="Q268" s="197">
        <v>305</v>
      </c>
      <c r="R268" s="197">
        <v>298</v>
      </c>
      <c r="S268" s="197">
        <v>299</v>
      </c>
      <c r="T268" s="197">
        <v>307</v>
      </c>
      <c r="U268" s="197">
        <v>313</v>
      </c>
      <c r="V268" s="197">
        <v>284</v>
      </c>
      <c r="W268" s="197">
        <v>265</v>
      </c>
      <c r="X268" s="197"/>
      <c r="Y268" s="197">
        <v>528</v>
      </c>
      <c r="Z268" s="197"/>
    </row>
    <row r="269" spans="1:26">
      <c r="A269" s="191" t="str">
        <f>HERTFORDSHIRE!A26</f>
        <v>Hertsmere CC</v>
      </c>
      <c r="B269" s="195">
        <f>HERTFORDSHIRE!D26</f>
        <v>69438</v>
      </c>
      <c r="C269" s="195">
        <f>HERTFORDSHIRE!E26</f>
        <v>70772</v>
      </c>
      <c r="D269" s="195">
        <f>HERTFORDSHIRE!F26</f>
        <v>71090</v>
      </c>
      <c r="E269" s="195">
        <f>HERTFORDSHIRE!G26</f>
        <v>73045</v>
      </c>
      <c r="F269" s="195">
        <f>HERTFORDSHIRE!H26</f>
        <v>75100</v>
      </c>
      <c r="G269" s="195">
        <f>HERTFORDSHIRE!I26</f>
        <v>72528</v>
      </c>
      <c r="H269" s="195">
        <f>HERTFORDSHIRE!J26</f>
        <v>69825</v>
      </c>
      <c r="I269" s="195">
        <f>HERTFORDSHIRE!K26</f>
        <v>71816</v>
      </c>
      <c r="J269" s="195">
        <f>HERTFORDSHIRE!L26</f>
        <v>72251</v>
      </c>
      <c r="K269" s="196">
        <f t="shared" si="12"/>
        <v>4.05109594170339E-2</v>
      </c>
      <c r="L269" s="196"/>
      <c r="M269" s="195">
        <f t="shared" si="13"/>
        <v>-4902</v>
      </c>
      <c r="N269" s="196">
        <f t="shared" si="14"/>
        <v>-6.3536090625121514E-2</v>
      </c>
      <c r="O269" s="197">
        <v>336</v>
      </c>
      <c r="P269" s="197">
        <v>316</v>
      </c>
      <c r="Q269" s="197">
        <v>316</v>
      </c>
      <c r="R269" s="197">
        <v>254</v>
      </c>
      <c r="S269" s="197">
        <v>170</v>
      </c>
      <c r="T269" s="197">
        <v>210</v>
      </c>
      <c r="U269" s="197">
        <v>276</v>
      </c>
      <c r="V269" s="197">
        <v>264</v>
      </c>
      <c r="W269" s="197">
        <v>266</v>
      </c>
      <c r="X269" s="197"/>
      <c r="Y269" s="197">
        <v>216</v>
      </c>
      <c r="Z269" s="197"/>
    </row>
    <row r="270" spans="1:26">
      <c r="A270" s="191" t="str">
        <f>'SOUTH YORKSHIRE'!A16</f>
        <v>Doncaster Central BC</v>
      </c>
      <c r="B270" s="195">
        <f>'SOUTH YORKSHIRE'!D16</f>
        <v>73189</v>
      </c>
      <c r="C270" s="195">
        <f>'SOUTH YORKSHIRE'!E16</f>
        <v>73874</v>
      </c>
      <c r="D270" s="195">
        <f>'SOUTH YORKSHIRE'!F16</f>
        <v>73730</v>
      </c>
      <c r="E270" s="195">
        <f>'SOUTH YORKSHIRE'!G16</f>
        <v>73808</v>
      </c>
      <c r="F270" s="195">
        <f>'SOUTH YORKSHIRE'!H16</f>
        <v>71866</v>
      </c>
      <c r="G270" s="195">
        <f>'SOUTH YORKSHIRE'!I16</f>
        <v>68829</v>
      </c>
      <c r="H270" s="195">
        <f>'SOUTH YORKSHIRE'!J16</f>
        <v>70200</v>
      </c>
      <c r="I270" s="195">
        <f>'SOUTH YORKSHIRE'!K16</f>
        <v>70778</v>
      </c>
      <c r="J270" s="195">
        <f>'SOUTH YORKSHIRE'!L16</f>
        <v>72242</v>
      </c>
      <c r="K270" s="196">
        <f t="shared" si="12"/>
        <v>-1.2939102870649961E-2</v>
      </c>
      <c r="L270" s="196"/>
      <c r="M270" s="195">
        <f t="shared" si="13"/>
        <v>-4911</v>
      </c>
      <c r="N270" s="196">
        <f t="shared" si="14"/>
        <v>-6.3652741954298597E-2</v>
      </c>
      <c r="O270" s="197">
        <v>191</v>
      </c>
      <c r="P270" s="197">
        <v>191</v>
      </c>
      <c r="Q270" s="197">
        <v>211</v>
      </c>
      <c r="R270" s="197">
        <v>219</v>
      </c>
      <c r="S270" s="197">
        <v>289</v>
      </c>
      <c r="T270" s="197">
        <v>339</v>
      </c>
      <c r="U270" s="197">
        <v>264</v>
      </c>
      <c r="V270" s="197">
        <v>307</v>
      </c>
      <c r="W270" s="197">
        <v>267</v>
      </c>
      <c r="X270" s="197"/>
      <c r="Y270" s="197">
        <v>139</v>
      </c>
      <c r="Z270" s="197"/>
    </row>
    <row r="271" spans="1:26">
      <c r="A271" s="191" t="str">
        <f>'WEST YORKSHIRE'!A55</f>
        <v>Shipley CC</v>
      </c>
      <c r="B271" s="195">
        <f>'WEST YORKSHIRE'!D55</f>
        <v>67489</v>
      </c>
      <c r="C271" s="195">
        <f>'WEST YORKSHIRE'!E55</f>
        <v>68129</v>
      </c>
      <c r="D271" s="195">
        <f>'WEST YORKSHIRE'!F55</f>
        <v>68944</v>
      </c>
      <c r="E271" s="195">
        <f>'WEST YORKSHIRE'!G55</f>
        <v>70360</v>
      </c>
      <c r="F271" s="195">
        <f>'WEST YORKSHIRE'!H55</f>
        <v>71208</v>
      </c>
      <c r="G271" s="195">
        <f>'WEST YORKSHIRE'!I55</f>
        <v>69248</v>
      </c>
      <c r="H271" s="195">
        <f>'WEST YORKSHIRE'!J55</f>
        <v>69358</v>
      </c>
      <c r="I271" s="195">
        <f>'WEST YORKSHIRE'!K55</f>
        <v>71841</v>
      </c>
      <c r="J271" s="195">
        <f>'WEST YORKSHIRE'!L55</f>
        <v>72244</v>
      </c>
      <c r="K271" s="196">
        <f t="shared" si="12"/>
        <v>7.04559261509283E-2</v>
      </c>
      <c r="L271" s="196"/>
      <c r="M271" s="195">
        <f t="shared" si="13"/>
        <v>-4909</v>
      </c>
      <c r="N271" s="196">
        <f t="shared" si="14"/>
        <v>-6.3626819436703688E-2</v>
      </c>
      <c r="O271" s="197">
        <v>395</v>
      </c>
      <c r="P271" s="197">
        <v>394</v>
      </c>
      <c r="Q271" s="197">
        <v>372</v>
      </c>
      <c r="R271" s="197">
        <v>340</v>
      </c>
      <c r="S271" s="197">
        <v>306</v>
      </c>
      <c r="T271" s="197">
        <v>323</v>
      </c>
      <c r="U271" s="197">
        <v>297</v>
      </c>
      <c r="V271" s="197">
        <v>260</v>
      </c>
      <c r="W271" s="197">
        <v>268</v>
      </c>
      <c r="X271" s="197"/>
      <c r="Y271" s="197">
        <v>396</v>
      </c>
      <c r="Z271" s="197"/>
    </row>
    <row r="272" spans="1:26">
      <c r="A272" s="191" t="str">
        <f>SWINDON!A9</f>
        <v>South Swindon CC</v>
      </c>
      <c r="B272" s="195">
        <f>SWINDON!D9</f>
        <v>72803</v>
      </c>
      <c r="C272" s="195">
        <f>SWINDON!E9</f>
        <v>73449</v>
      </c>
      <c r="D272" s="195">
        <f>SWINDON!F9</f>
        <v>74244</v>
      </c>
      <c r="E272" s="195">
        <f>SWINDON!G9</f>
        <v>74861</v>
      </c>
      <c r="F272" s="195">
        <f>SWINDON!H9</f>
        <v>73832</v>
      </c>
      <c r="G272" s="195">
        <f>SWINDON!I9</f>
        <v>73010</v>
      </c>
      <c r="H272" s="195">
        <f>SWINDON!J9</f>
        <v>70428</v>
      </c>
      <c r="I272" s="195">
        <f>SWINDON!K9</f>
        <v>70936</v>
      </c>
      <c r="J272" s="195">
        <f>SWINDON!L9</f>
        <v>72223</v>
      </c>
      <c r="K272" s="196">
        <f t="shared" si="12"/>
        <v>-7.9667046687636502E-3</v>
      </c>
      <c r="L272" s="196"/>
      <c r="M272" s="195">
        <f t="shared" si="13"/>
        <v>-4930</v>
      </c>
      <c r="N272" s="196">
        <f t="shared" si="14"/>
        <v>-6.389900587145024E-2</v>
      </c>
      <c r="O272" s="197">
        <v>208</v>
      </c>
      <c r="P272" s="197">
        <v>208</v>
      </c>
      <c r="Q272" s="197">
        <v>192</v>
      </c>
      <c r="R272" s="197">
        <v>188</v>
      </c>
      <c r="S272" s="197">
        <v>214</v>
      </c>
      <c r="T272" s="197">
        <v>185</v>
      </c>
      <c r="U272" s="197">
        <v>253</v>
      </c>
      <c r="V272" s="197">
        <v>296</v>
      </c>
      <c r="W272" s="197">
        <v>269</v>
      </c>
      <c r="X272" s="197"/>
      <c r="Y272" s="197">
        <v>418</v>
      </c>
      <c r="Z272" s="197"/>
    </row>
    <row r="273" spans="1:26">
      <c r="A273" s="191" t="str">
        <f>BRISTOL!A9</f>
        <v>Bristol North West BC</v>
      </c>
      <c r="B273" s="195">
        <f>BRISTOL!D9</f>
        <v>73104</v>
      </c>
      <c r="C273" s="195">
        <f>BRISTOL!E9</f>
        <v>73920</v>
      </c>
      <c r="D273" s="195">
        <f>BRISTOL!F9</f>
        <v>74595</v>
      </c>
      <c r="E273" s="195">
        <f>BRISTOL!G9</f>
        <v>74969</v>
      </c>
      <c r="F273" s="195">
        <f>BRISTOL!H9</f>
        <v>74540</v>
      </c>
      <c r="G273" s="195">
        <f>BRISTOL!I9</f>
        <v>73793</v>
      </c>
      <c r="H273" s="195">
        <f>BRISTOL!J9</f>
        <v>71869</v>
      </c>
      <c r="I273" s="195">
        <f>BRISTOL!K9</f>
        <v>72784</v>
      </c>
      <c r="J273" s="195">
        <f>BRISTOL!L9</f>
        <v>72211</v>
      </c>
      <c r="K273" s="196">
        <f t="shared" si="12"/>
        <v>-1.2215473845480411E-2</v>
      </c>
      <c r="L273" s="196"/>
      <c r="M273" s="195">
        <f t="shared" si="13"/>
        <v>-4942</v>
      </c>
      <c r="N273" s="196">
        <f t="shared" si="14"/>
        <v>-6.4054540977019694E-2</v>
      </c>
      <c r="O273" s="197">
        <v>195</v>
      </c>
      <c r="P273" s="197">
        <v>190</v>
      </c>
      <c r="Q273" s="197">
        <v>188</v>
      </c>
      <c r="R273" s="197">
        <v>184</v>
      </c>
      <c r="S273" s="197">
        <v>184</v>
      </c>
      <c r="T273" s="197">
        <v>167</v>
      </c>
      <c r="U273" s="197">
        <v>202</v>
      </c>
      <c r="V273" s="197">
        <v>229</v>
      </c>
      <c r="W273" s="197">
        <v>270</v>
      </c>
      <c r="X273" s="197"/>
      <c r="Y273" s="197">
        <v>71</v>
      </c>
      <c r="Z273" s="197"/>
    </row>
    <row r="274" spans="1:26">
      <c r="A274" s="191" t="str">
        <f>WORCESTERSHIRE!A14</f>
        <v>Bromsgrove CC</v>
      </c>
      <c r="B274" s="195">
        <f>WORCESTERSHIRE!D14</f>
        <v>73430</v>
      </c>
      <c r="C274" s="195">
        <f>WORCESTERSHIRE!E14</f>
        <v>73279</v>
      </c>
      <c r="D274" s="195">
        <f>WORCESTERSHIRE!F14</f>
        <v>73099</v>
      </c>
      <c r="E274" s="195">
        <f>WORCESTERSHIRE!G14</f>
        <v>73892</v>
      </c>
      <c r="F274" s="195">
        <f>WORCESTERSHIRE!H14</f>
        <v>71548</v>
      </c>
      <c r="G274" s="195">
        <f>WORCESTERSHIRE!I14</f>
        <v>72319</v>
      </c>
      <c r="H274" s="195">
        <f>WORCESTERSHIRE!J14</f>
        <v>72042</v>
      </c>
      <c r="I274" s="195">
        <f>WORCESTERSHIRE!K14</f>
        <v>72948</v>
      </c>
      <c r="J274" s="195">
        <f>WORCESTERSHIRE!L14</f>
        <v>72206</v>
      </c>
      <c r="K274" s="196">
        <f t="shared" si="12"/>
        <v>-1.6668936402015524E-2</v>
      </c>
      <c r="L274" s="196"/>
      <c r="M274" s="195">
        <f t="shared" si="13"/>
        <v>-4947</v>
      </c>
      <c r="N274" s="196">
        <f t="shared" si="14"/>
        <v>-6.411934727100696E-2</v>
      </c>
      <c r="O274" s="197">
        <v>182</v>
      </c>
      <c r="P274" s="197">
        <v>216</v>
      </c>
      <c r="Q274" s="197">
        <v>244</v>
      </c>
      <c r="R274" s="197">
        <v>215</v>
      </c>
      <c r="S274" s="197">
        <v>300</v>
      </c>
      <c r="T274" s="197">
        <v>222</v>
      </c>
      <c r="U274" s="197">
        <v>197</v>
      </c>
      <c r="V274" s="197">
        <v>222</v>
      </c>
      <c r="W274" s="197">
        <v>271</v>
      </c>
      <c r="X274" s="197"/>
      <c r="Y274" s="197">
        <v>76</v>
      </c>
      <c r="Z274" s="197"/>
    </row>
    <row r="275" spans="1:26">
      <c r="A275" s="191" t="str">
        <f>ESSEX!A61</f>
        <v>Rochford and Southend East CC</v>
      </c>
      <c r="B275" s="195">
        <f>ESSEX!D63</f>
        <v>71582</v>
      </c>
      <c r="C275" s="195">
        <f>ESSEX!E63</f>
        <v>71131</v>
      </c>
      <c r="D275" s="195">
        <f>ESSEX!F63</f>
        <v>71908</v>
      </c>
      <c r="E275" s="195">
        <f>ESSEX!G63</f>
        <v>72917</v>
      </c>
      <c r="F275" s="195">
        <f>ESSEX!H63</f>
        <v>73498</v>
      </c>
      <c r="G275" s="195">
        <f>ESSEX!I63</f>
        <v>70391</v>
      </c>
      <c r="H275" s="195">
        <f>ESSEX!J63</f>
        <v>69533</v>
      </c>
      <c r="I275" s="195">
        <f>ESSEX!K63</f>
        <v>71552</v>
      </c>
      <c r="J275" s="195">
        <f>ESSEX!L63</f>
        <v>72203</v>
      </c>
      <c r="K275" s="196">
        <f t="shared" si="12"/>
        <v>8.6753653153027292E-3</v>
      </c>
      <c r="L275" s="196"/>
      <c r="M275" s="195">
        <f t="shared" si="13"/>
        <v>-4950</v>
      </c>
      <c r="N275" s="196">
        <f t="shared" si="14"/>
        <v>-6.4158231047399317E-2</v>
      </c>
      <c r="O275" s="197">
        <v>269</v>
      </c>
      <c r="P275" s="197">
        <v>308</v>
      </c>
      <c r="Q275" s="197">
        <v>297</v>
      </c>
      <c r="R275" s="197">
        <v>263</v>
      </c>
      <c r="S275" s="197">
        <v>230</v>
      </c>
      <c r="T275" s="197">
        <v>278</v>
      </c>
      <c r="U275" s="197">
        <v>292</v>
      </c>
      <c r="V275" s="197">
        <v>274</v>
      </c>
      <c r="W275" s="197">
        <v>272</v>
      </c>
      <c r="X275" s="197"/>
      <c r="Y275" s="197">
        <v>370</v>
      </c>
      <c r="Z275" s="197"/>
    </row>
    <row r="276" spans="1:26">
      <c r="A276" s="191" t="str">
        <f>HAMPSHIRE!A23</f>
        <v>Aldershot BC</v>
      </c>
      <c r="B276" s="195">
        <f>HAMPSHIRE!D25</f>
        <v>70596</v>
      </c>
      <c r="C276" s="195">
        <f>HAMPSHIRE!E25</f>
        <v>71908</v>
      </c>
      <c r="D276" s="195">
        <f>HAMPSHIRE!F25</f>
        <v>72325</v>
      </c>
      <c r="E276" s="195">
        <f>HAMPSHIRE!G25</f>
        <v>72403</v>
      </c>
      <c r="F276" s="195">
        <f>HAMPSHIRE!H25</f>
        <v>72640</v>
      </c>
      <c r="G276" s="195">
        <f>HAMPSHIRE!I25</f>
        <v>71292</v>
      </c>
      <c r="H276" s="195">
        <f>HAMPSHIRE!J25</f>
        <v>69903</v>
      </c>
      <c r="I276" s="195">
        <f>HAMPSHIRE!K25</f>
        <v>72769</v>
      </c>
      <c r="J276" s="195">
        <f>HAMPSHIRE!L25</f>
        <v>72138</v>
      </c>
      <c r="K276" s="196">
        <f t="shared" si="12"/>
        <v>2.1842597314295428E-2</v>
      </c>
      <c r="L276" s="196"/>
      <c r="M276" s="195">
        <f t="shared" si="13"/>
        <v>-5015</v>
      </c>
      <c r="N276" s="196">
        <f t="shared" si="14"/>
        <v>-6.5000712869233854E-2</v>
      </c>
      <c r="O276" s="197">
        <v>307</v>
      </c>
      <c r="P276" s="197">
        <v>279</v>
      </c>
      <c r="Q276" s="197">
        <v>283</v>
      </c>
      <c r="R276" s="197">
        <v>291</v>
      </c>
      <c r="S276" s="197">
        <v>256</v>
      </c>
      <c r="T276" s="197">
        <v>258</v>
      </c>
      <c r="U276" s="197">
        <v>274</v>
      </c>
      <c r="V276" s="197">
        <v>231</v>
      </c>
      <c r="W276" s="197">
        <v>273</v>
      </c>
      <c r="X276" s="197"/>
      <c r="Y276" s="197">
        <v>1</v>
      </c>
      <c r="Z276" s="197"/>
    </row>
    <row r="277" spans="1:26">
      <c r="A277" s="191" t="str">
        <f>LANCASHIRE!A70</f>
        <v>West Lancashire CC</v>
      </c>
      <c r="B277" s="195">
        <f>LANCASHIRE!D70</f>
        <v>72347</v>
      </c>
      <c r="C277" s="195">
        <f>LANCASHIRE!E70</f>
        <v>73028</v>
      </c>
      <c r="D277" s="195">
        <f>LANCASHIRE!F70</f>
        <v>73877</v>
      </c>
      <c r="E277" s="195">
        <f>LANCASHIRE!G70</f>
        <v>72352</v>
      </c>
      <c r="F277" s="195">
        <f>LANCASHIRE!H70</f>
        <v>74251</v>
      </c>
      <c r="G277" s="195">
        <f>LANCASHIRE!I70</f>
        <v>69519</v>
      </c>
      <c r="H277" s="195">
        <f>LANCASHIRE!J70</f>
        <v>70260</v>
      </c>
      <c r="I277" s="195">
        <f>LANCASHIRE!K70</f>
        <v>70998</v>
      </c>
      <c r="J277" s="195">
        <f>LANCASHIRE!L70</f>
        <v>72049</v>
      </c>
      <c r="K277" s="196">
        <f t="shared" si="12"/>
        <v>-4.119037416893582E-3</v>
      </c>
      <c r="L277" s="196"/>
      <c r="M277" s="195">
        <f t="shared" si="13"/>
        <v>-5104</v>
      </c>
      <c r="N277" s="196">
        <f t="shared" si="14"/>
        <v>-6.6154264902207299E-2</v>
      </c>
      <c r="O277" s="197">
        <v>227</v>
      </c>
      <c r="P277" s="197">
        <v>227</v>
      </c>
      <c r="Q277" s="197">
        <v>207</v>
      </c>
      <c r="R277" s="197">
        <v>292</v>
      </c>
      <c r="S277" s="197">
        <v>198</v>
      </c>
      <c r="T277" s="197">
        <v>313</v>
      </c>
      <c r="U277" s="197">
        <v>262</v>
      </c>
      <c r="V277" s="197">
        <v>294</v>
      </c>
      <c r="W277" s="197">
        <v>274</v>
      </c>
      <c r="X277" s="197"/>
      <c r="Y277" s="197">
        <v>504</v>
      </c>
      <c r="Z277" s="197"/>
    </row>
    <row r="278" spans="1:26">
      <c r="A278" s="191" t="str">
        <f>'WEST YORKSHIRE'!A31</f>
        <v>Hemsworth CC</v>
      </c>
      <c r="B278" s="195">
        <f>'WEST YORKSHIRE'!D31</f>
        <v>73195</v>
      </c>
      <c r="C278" s="195">
        <f>'WEST YORKSHIRE'!E31</f>
        <v>73487</v>
      </c>
      <c r="D278" s="195">
        <f>'WEST YORKSHIRE'!F31</f>
        <v>73001</v>
      </c>
      <c r="E278" s="195">
        <f>'WEST YORKSHIRE'!G31</f>
        <v>72939</v>
      </c>
      <c r="F278" s="195">
        <f>'WEST YORKSHIRE'!H31</f>
        <v>71719</v>
      </c>
      <c r="G278" s="195">
        <f>'WEST YORKSHIRE'!I31</f>
        <v>72206</v>
      </c>
      <c r="H278" s="195">
        <f>'WEST YORKSHIRE'!J31</f>
        <v>69319</v>
      </c>
      <c r="I278" s="195">
        <f>'WEST YORKSHIRE'!K31</f>
        <v>70367</v>
      </c>
      <c r="J278" s="195">
        <f>'WEST YORKSHIRE'!L31</f>
        <v>72036</v>
      </c>
      <c r="K278" s="196">
        <f t="shared" si="12"/>
        <v>-1.5834414919051847E-2</v>
      </c>
      <c r="L278" s="196"/>
      <c r="M278" s="195">
        <f t="shared" si="13"/>
        <v>-5117</v>
      </c>
      <c r="N278" s="196">
        <f t="shared" si="14"/>
        <v>-6.6322761266574215E-2</v>
      </c>
      <c r="O278" s="197">
        <v>190</v>
      </c>
      <c r="P278" s="197">
        <v>207</v>
      </c>
      <c r="Q278" s="197">
        <v>248</v>
      </c>
      <c r="R278" s="197">
        <v>259</v>
      </c>
      <c r="S278" s="197">
        <v>294</v>
      </c>
      <c r="T278" s="197">
        <v>226</v>
      </c>
      <c r="U278" s="197">
        <v>298</v>
      </c>
      <c r="V278" s="197">
        <v>323</v>
      </c>
      <c r="W278" s="197">
        <v>275</v>
      </c>
      <c r="X278" s="197"/>
      <c r="Y278" s="197">
        <v>211</v>
      </c>
      <c r="Z278" s="197"/>
    </row>
    <row r="279" spans="1:26">
      <c r="A279" s="191" t="str">
        <f>SURREY!A46</f>
        <v>Spelthorne BC</v>
      </c>
      <c r="B279" s="195">
        <f>SURREY!D46</f>
        <v>70962</v>
      </c>
      <c r="C279" s="195">
        <f>SURREY!E46</f>
        <v>71211</v>
      </c>
      <c r="D279" s="195">
        <f>SURREY!F46</f>
        <v>72000</v>
      </c>
      <c r="E279" s="195">
        <f>SURREY!G46</f>
        <v>72547</v>
      </c>
      <c r="F279" s="195">
        <f>SURREY!H46</f>
        <v>72660</v>
      </c>
      <c r="G279" s="195">
        <f>SURREY!I46</f>
        <v>70607</v>
      </c>
      <c r="H279" s="195">
        <f>SURREY!J46</f>
        <v>70299</v>
      </c>
      <c r="I279" s="195">
        <f>SURREY!K46</f>
        <v>71962</v>
      </c>
      <c r="J279" s="195">
        <f>SURREY!L46</f>
        <v>72030</v>
      </c>
      <c r="K279" s="196">
        <f t="shared" si="12"/>
        <v>1.5050308615878921E-2</v>
      </c>
      <c r="L279" s="196"/>
      <c r="M279" s="195">
        <f t="shared" si="13"/>
        <v>-5123</v>
      </c>
      <c r="N279" s="196">
        <f t="shared" si="14"/>
        <v>-6.6400528819358942E-2</v>
      </c>
      <c r="O279" s="197">
        <v>297</v>
      </c>
      <c r="P279" s="197">
        <v>306</v>
      </c>
      <c r="Q279" s="197">
        <v>294</v>
      </c>
      <c r="R279" s="197">
        <v>285</v>
      </c>
      <c r="S279" s="197">
        <v>254</v>
      </c>
      <c r="T279" s="197">
        <v>273</v>
      </c>
      <c r="U279" s="197">
        <v>259</v>
      </c>
      <c r="V279" s="197">
        <v>253</v>
      </c>
      <c r="W279" s="197">
        <v>276</v>
      </c>
      <c r="X279" s="197"/>
      <c r="Y279" s="197">
        <v>430</v>
      </c>
      <c r="Z279" s="197"/>
    </row>
    <row r="280" spans="1:26">
      <c r="A280" s="191" t="str">
        <f>'GREATER MANCHESTER'!A19</f>
        <v>Altrincham and Sale West BC</v>
      </c>
      <c r="B280" s="195">
        <f>'GREATER MANCHESTER'!D19</f>
        <v>71192</v>
      </c>
      <c r="C280" s="195">
        <f>'GREATER MANCHESTER'!E19</f>
        <v>72008</v>
      </c>
      <c r="D280" s="195">
        <f>'GREATER MANCHESTER'!F19</f>
        <v>69755</v>
      </c>
      <c r="E280" s="195">
        <f>'GREATER MANCHESTER'!G19</f>
        <v>69691</v>
      </c>
      <c r="F280" s="195">
        <f>'GREATER MANCHESTER'!H19</f>
        <v>70359</v>
      </c>
      <c r="G280" s="195">
        <f>'GREATER MANCHESTER'!I19</f>
        <v>69788</v>
      </c>
      <c r="H280" s="195">
        <f>'GREATER MANCHESTER'!J19</f>
        <v>69719</v>
      </c>
      <c r="I280" s="195">
        <f>'GREATER MANCHESTER'!K19</f>
        <v>71058</v>
      </c>
      <c r="J280" s="195">
        <f>'GREATER MANCHESTER'!L19</f>
        <v>71993</v>
      </c>
      <c r="K280" s="196">
        <f t="shared" si="12"/>
        <v>1.1251264186987303E-2</v>
      </c>
      <c r="L280" s="196"/>
      <c r="M280" s="195">
        <f t="shared" si="13"/>
        <v>-5160</v>
      </c>
      <c r="N280" s="196">
        <f t="shared" si="14"/>
        <v>-6.6880095394864753E-2</v>
      </c>
      <c r="O280" s="197">
        <v>285</v>
      </c>
      <c r="P280" s="197">
        <v>271</v>
      </c>
      <c r="Q280" s="197">
        <v>357</v>
      </c>
      <c r="R280" s="197">
        <v>368</v>
      </c>
      <c r="S280" s="197">
        <v>341</v>
      </c>
      <c r="T280" s="197">
        <v>302</v>
      </c>
      <c r="U280" s="197">
        <v>282</v>
      </c>
      <c r="V280" s="197">
        <v>292</v>
      </c>
      <c r="W280" s="197">
        <v>277</v>
      </c>
      <c r="X280" s="197"/>
      <c r="Y280" s="197">
        <v>3</v>
      </c>
      <c r="Z280" s="197"/>
    </row>
    <row r="281" spans="1:26">
      <c r="A281" s="191" t="str">
        <f>CORNWALL!A22</f>
        <v>Truro and Falmouth CC</v>
      </c>
      <c r="B281" s="195">
        <f>CORNWALL!D22</f>
        <v>70366</v>
      </c>
      <c r="C281" s="195">
        <f>CORNWALL!E22</f>
        <v>71340</v>
      </c>
      <c r="D281" s="195">
        <f>CORNWALL!F22</f>
        <v>71819</v>
      </c>
      <c r="E281" s="195">
        <f>CORNWALL!G22</f>
        <v>71720</v>
      </c>
      <c r="F281" s="195">
        <f>CORNWALL!H22</f>
        <v>70286</v>
      </c>
      <c r="G281" s="195">
        <f>CORNWALL!I22</f>
        <v>71370</v>
      </c>
      <c r="H281" s="195">
        <f>CORNWALL!J22</f>
        <v>67197</v>
      </c>
      <c r="I281" s="195">
        <f>CORNWALL!K22</f>
        <v>69558</v>
      </c>
      <c r="J281" s="195">
        <f>CORNWALL!L22</f>
        <v>71977</v>
      </c>
      <c r="K281" s="196">
        <f t="shared" si="12"/>
        <v>2.2894579768638262E-2</v>
      </c>
      <c r="L281" s="196"/>
      <c r="M281" s="195">
        <f t="shared" si="13"/>
        <v>-5176</v>
      </c>
      <c r="N281" s="196">
        <f t="shared" si="14"/>
        <v>-6.7087475535624025E-2</v>
      </c>
      <c r="O281" s="197">
        <v>315</v>
      </c>
      <c r="P281" s="197">
        <v>300</v>
      </c>
      <c r="Q281" s="197">
        <v>300</v>
      </c>
      <c r="R281" s="197">
        <v>310</v>
      </c>
      <c r="S281" s="197">
        <v>346</v>
      </c>
      <c r="T281" s="197">
        <v>254</v>
      </c>
      <c r="U281" s="197">
        <v>369</v>
      </c>
      <c r="V281" s="197">
        <v>350</v>
      </c>
      <c r="W281" s="197">
        <v>278</v>
      </c>
      <c r="X281" s="197"/>
      <c r="Y281" s="197">
        <v>474</v>
      </c>
      <c r="Z281" s="197"/>
    </row>
    <row r="282" spans="1:26">
      <c r="A282" s="191" t="str">
        <f>HAMPSHIRE!A39</f>
        <v>Havant BC</v>
      </c>
      <c r="B282" s="195">
        <f>HAMPSHIRE!D39</f>
        <v>70004</v>
      </c>
      <c r="C282" s="195">
        <f>HAMPSHIRE!E39</f>
        <v>70568</v>
      </c>
      <c r="D282" s="195">
        <f>HAMPSHIRE!F39</f>
        <v>70748</v>
      </c>
      <c r="E282" s="195">
        <f>HAMPSHIRE!G39</f>
        <v>71137</v>
      </c>
      <c r="F282" s="195">
        <f>HAMPSHIRE!H39</f>
        <v>71276</v>
      </c>
      <c r="G282" s="195">
        <f>HAMPSHIRE!I39</f>
        <v>70371</v>
      </c>
      <c r="H282" s="195">
        <f>HAMPSHIRE!J39</f>
        <v>69712</v>
      </c>
      <c r="I282" s="195">
        <f>HAMPSHIRE!K39</f>
        <v>71493</v>
      </c>
      <c r="J282" s="195">
        <f>HAMPSHIRE!L39</f>
        <v>71961</v>
      </c>
      <c r="K282" s="196">
        <f t="shared" si="12"/>
        <v>2.7955545397405863E-2</v>
      </c>
      <c r="L282" s="196"/>
      <c r="M282" s="195">
        <f t="shared" si="13"/>
        <v>-5192</v>
      </c>
      <c r="N282" s="196">
        <f t="shared" si="14"/>
        <v>-6.7294855676383297E-2</v>
      </c>
      <c r="O282" s="197">
        <v>323</v>
      </c>
      <c r="P282" s="197">
        <v>324</v>
      </c>
      <c r="Q282" s="197">
        <v>325</v>
      </c>
      <c r="R282" s="197">
        <v>323</v>
      </c>
      <c r="S282" s="197">
        <v>304</v>
      </c>
      <c r="T282" s="197">
        <v>279</v>
      </c>
      <c r="U282" s="197">
        <v>283</v>
      </c>
      <c r="V282" s="197">
        <v>276</v>
      </c>
      <c r="W282" s="197">
        <v>279</v>
      </c>
      <c r="X282" s="197"/>
      <c r="Y282" s="197">
        <v>207</v>
      </c>
      <c r="Z282" s="197"/>
    </row>
    <row r="283" spans="1:26">
      <c r="A283" s="191" t="str">
        <f>KENT!A50</f>
        <v>Maidstone and The Weald CC</v>
      </c>
      <c r="B283" s="195">
        <f>KENT!D52</f>
        <v>71199</v>
      </c>
      <c r="C283" s="195">
        <f>KENT!E52</f>
        <v>70576</v>
      </c>
      <c r="D283" s="195">
        <f>KENT!F52</f>
        <v>72972</v>
      </c>
      <c r="E283" s="195">
        <f>KENT!G52</f>
        <v>73791</v>
      </c>
      <c r="F283" s="195">
        <f>KENT!H52</f>
        <v>68826</v>
      </c>
      <c r="G283" s="195">
        <f>KENT!I52</f>
        <v>69815</v>
      </c>
      <c r="H283" s="195">
        <f>KENT!J52</f>
        <v>68787</v>
      </c>
      <c r="I283" s="195">
        <f>KENT!K52</f>
        <v>72713</v>
      </c>
      <c r="J283" s="195">
        <f>KENT!L52</f>
        <v>71956</v>
      </c>
      <c r="K283" s="196">
        <f t="shared" si="12"/>
        <v>1.0632171800165733E-2</v>
      </c>
      <c r="L283" s="196"/>
      <c r="M283" s="195">
        <f t="shared" si="13"/>
        <v>-5197</v>
      </c>
      <c r="N283" s="196">
        <f t="shared" si="14"/>
        <v>-6.7359661970370563E-2</v>
      </c>
      <c r="O283" s="197">
        <v>284</v>
      </c>
      <c r="P283" s="197">
        <v>323</v>
      </c>
      <c r="Q283" s="197">
        <v>249</v>
      </c>
      <c r="R283" s="197">
        <v>221</v>
      </c>
      <c r="S283" s="197">
        <v>374</v>
      </c>
      <c r="T283" s="197">
        <v>300</v>
      </c>
      <c r="U283" s="197">
        <v>315</v>
      </c>
      <c r="V283" s="197">
        <v>232</v>
      </c>
      <c r="W283" s="197">
        <v>280</v>
      </c>
      <c r="X283" s="197"/>
      <c r="Y283" s="197">
        <v>275</v>
      </c>
      <c r="Z283" s="197"/>
    </row>
    <row r="284" spans="1:26">
      <c r="A284" s="191" t="str">
        <f>KENT!A46</f>
        <v>Gillingham and Rainham BC</v>
      </c>
      <c r="B284" s="195">
        <f>KENT!D46</f>
        <v>71302</v>
      </c>
      <c r="C284" s="195">
        <f>KENT!E46</f>
        <v>71109</v>
      </c>
      <c r="D284" s="195">
        <f>KENT!F46</f>
        <v>72004</v>
      </c>
      <c r="E284" s="195">
        <f>KENT!G46</f>
        <v>72528</v>
      </c>
      <c r="F284" s="195">
        <f>KENT!H46</f>
        <v>73724</v>
      </c>
      <c r="G284" s="195">
        <f>KENT!I46</f>
        <v>70984</v>
      </c>
      <c r="H284" s="195">
        <f>KENT!J46</f>
        <v>68890</v>
      </c>
      <c r="I284" s="195">
        <f>KENT!K46</f>
        <v>71819</v>
      </c>
      <c r="J284" s="195">
        <f>KENT!L46</f>
        <v>71936</v>
      </c>
      <c r="K284" s="196">
        <f t="shared" si="12"/>
        <v>8.8917561919721749E-3</v>
      </c>
      <c r="L284" s="196"/>
      <c r="M284" s="195">
        <f t="shared" si="13"/>
        <v>-5217</v>
      </c>
      <c r="N284" s="196">
        <f t="shared" si="14"/>
        <v>-6.7618887146319653E-2</v>
      </c>
      <c r="O284" s="197">
        <v>279</v>
      </c>
      <c r="P284" s="197">
        <v>309</v>
      </c>
      <c r="Q284" s="197">
        <v>293</v>
      </c>
      <c r="R284" s="197">
        <v>288</v>
      </c>
      <c r="S284" s="197">
        <v>217</v>
      </c>
      <c r="T284" s="197">
        <v>267</v>
      </c>
      <c r="U284" s="197">
        <v>312</v>
      </c>
      <c r="V284" s="197">
        <v>262</v>
      </c>
      <c r="W284" s="197">
        <v>281</v>
      </c>
      <c r="X284" s="197"/>
      <c r="Y284" s="197">
        <v>182</v>
      </c>
      <c r="Z284" s="197"/>
    </row>
    <row r="285" spans="1:26">
      <c r="A285" s="191" t="str">
        <f>DORSET!A22</f>
        <v>Bournemouth West BC</v>
      </c>
      <c r="B285" s="195">
        <f>DORSET!D24</f>
        <v>70913</v>
      </c>
      <c r="C285" s="195">
        <f>DORSET!E24</f>
        <v>72714</v>
      </c>
      <c r="D285" s="195">
        <f>DORSET!F24</f>
        <v>73181</v>
      </c>
      <c r="E285" s="195">
        <f>DORSET!G24</f>
        <v>73159</v>
      </c>
      <c r="F285" s="195">
        <f>DORSET!H24</f>
        <v>72092</v>
      </c>
      <c r="G285" s="195">
        <f>DORSET!I24</f>
        <v>69141</v>
      </c>
      <c r="H285" s="195">
        <f>DORSET!J24</f>
        <v>70999</v>
      </c>
      <c r="I285" s="195">
        <f>DORSET!K24</f>
        <v>71979</v>
      </c>
      <c r="J285" s="195">
        <f>DORSET!L24</f>
        <v>71920</v>
      </c>
      <c r="K285" s="196">
        <f t="shared" si="12"/>
        <v>1.4200499203249051E-2</v>
      </c>
      <c r="L285" s="196"/>
      <c r="M285" s="195">
        <f t="shared" si="13"/>
        <v>-5233</v>
      </c>
      <c r="N285" s="196">
        <f t="shared" si="14"/>
        <v>-6.7826267287078926E-2</v>
      </c>
      <c r="O285" s="197">
        <v>300</v>
      </c>
      <c r="P285" s="197">
        <v>241</v>
      </c>
      <c r="Q285" s="197">
        <v>237</v>
      </c>
      <c r="R285" s="197">
        <v>249</v>
      </c>
      <c r="S285" s="197">
        <v>286</v>
      </c>
      <c r="T285" s="197">
        <v>327</v>
      </c>
      <c r="U285" s="197">
        <v>229</v>
      </c>
      <c r="V285" s="197">
        <v>252</v>
      </c>
      <c r="W285" s="197">
        <v>282</v>
      </c>
      <c r="X285" s="197"/>
      <c r="Y285" s="197">
        <v>56</v>
      </c>
      <c r="Z285" s="197"/>
    </row>
    <row r="286" spans="1:26">
      <c r="A286" s="191" t="str">
        <f>'GREATER MANCHESTER'!A33</f>
        <v>Bolton West CC</v>
      </c>
      <c r="B286" s="195">
        <f>'GREATER MANCHESTER'!D35</f>
        <v>71061</v>
      </c>
      <c r="C286" s="195">
        <f>'GREATER MANCHESTER'!E35</f>
        <v>71454</v>
      </c>
      <c r="D286" s="195">
        <f>'GREATER MANCHESTER'!F35</f>
        <v>71690</v>
      </c>
      <c r="E286" s="195">
        <f>'GREATER MANCHESTER'!G35</f>
        <v>72324</v>
      </c>
      <c r="F286" s="195">
        <f>'GREATER MANCHESTER'!H35</f>
        <v>72639</v>
      </c>
      <c r="G286" s="195">
        <f>'GREATER MANCHESTER'!I35</f>
        <v>71458</v>
      </c>
      <c r="H286" s="195">
        <f>'GREATER MANCHESTER'!J35</f>
        <v>69720</v>
      </c>
      <c r="I286" s="195">
        <f>'GREATER MANCHESTER'!K35</f>
        <v>71240</v>
      </c>
      <c r="J286" s="195">
        <f>'GREATER MANCHESTER'!L35</f>
        <v>71889</v>
      </c>
      <c r="K286" s="196">
        <f t="shared" si="12"/>
        <v>1.1651960991261029E-2</v>
      </c>
      <c r="L286" s="196"/>
      <c r="M286" s="195">
        <f t="shared" si="13"/>
        <v>-5264</v>
      </c>
      <c r="N286" s="196">
        <f t="shared" si="14"/>
        <v>-6.8228066309800009E-2</v>
      </c>
      <c r="O286" s="197">
        <v>290</v>
      </c>
      <c r="P286" s="197">
        <v>298</v>
      </c>
      <c r="Q286" s="197">
        <v>301</v>
      </c>
      <c r="R286" s="197">
        <v>293</v>
      </c>
      <c r="S286" s="197">
        <v>257</v>
      </c>
      <c r="T286" s="197">
        <v>250</v>
      </c>
      <c r="U286" s="197">
        <v>281</v>
      </c>
      <c r="V286" s="197">
        <v>286</v>
      </c>
      <c r="W286" s="197">
        <v>283</v>
      </c>
      <c r="X286" s="197"/>
      <c r="Y286" s="197">
        <v>51</v>
      </c>
      <c r="Z286" s="197"/>
    </row>
    <row r="287" spans="1:26">
      <c r="A287" s="191" t="str">
        <f>DERBYSHIRE!A38</f>
        <v>High Peak CC</v>
      </c>
      <c r="B287" s="195">
        <f>DERBYSHIRE!D38</f>
        <v>71685</v>
      </c>
      <c r="C287" s="195">
        <f>DERBYSHIRE!E38</f>
        <v>72178</v>
      </c>
      <c r="D287" s="195">
        <f>DERBYSHIRE!F38</f>
        <v>72211</v>
      </c>
      <c r="E287" s="195">
        <f>DERBYSHIRE!G38</f>
        <v>72226</v>
      </c>
      <c r="F287" s="195">
        <f>DERBYSHIRE!H38</f>
        <v>72226</v>
      </c>
      <c r="G287" s="195">
        <f>DERBYSHIRE!I38</f>
        <v>71263</v>
      </c>
      <c r="H287" s="195">
        <f>DERBYSHIRE!J38</f>
        <v>71130</v>
      </c>
      <c r="I287" s="195">
        <f>DERBYSHIRE!K38</f>
        <v>72415</v>
      </c>
      <c r="J287" s="195">
        <f>DERBYSHIRE!L38</f>
        <v>71880</v>
      </c>
      <c r="K287" s="196">
        <f t="shared" si="12"/>
        <v>2.7202343586524378E-3</v>
      </c>
      <c r="L287" s="196"/>
      <c r="M287" s="195">
        <f t="shared" si="13"/>
        <v>-5273</v>
      </c>
      <c r="N287" s="196">
        <f t="shared" si="14"/>
        <v>-6.8344717638977093E-2</v>
      </c>
      <c r="O287" s="197">
        <v>262</v>
      </c>
      <c r="P287" s="197">
        <v>263</v>
      </c>
      <c r="Q287" s="197">
        <v>287</v>
      </c>
      <c r="R287" s="197">
        <v>296</v>
      </c>
      <c r="S287" s="197">
        <v>279</v>
      </c>
      <c r="T287" s="197">
        <v>259</v>
      </c>
      <c r="U287" s="197">
        <v>226</v>
      </c>
      <c r="V287" s="197">
        <v>239</v>
      </c>
      <c r="W287" s="197">
        <v>284</v>
      </c>
      <c r="X287" s="197"/>
      <c r="Y287" s="197">
        <v>219</v>
      </c>
      <c r="Z287" s="197"/>
    </row>
    <row r="288" spans="1:26">
      <c r="A288" s="191" t="str">
        <f>HERTFORDSHIRE!A41</f>
        <v>St Albans CC</v>
      </c>
      <c r="B288" s="195">
        <f>HERTFORDSHIRE!D43</f>
        <v>69836</v>
      </c>
      <c r="C288" s="195">
        <f>HERTFORDSHIRE!E43</f>
        <v>70298</v>
      </c>
      <c r="D288" s="195">
        <f>HERTFORDSHIRE!F43</f>
        <v>70790</v>
      </c>
      <c r="E288" s="195">
        <f>HERTFORDSHIRE!G43</f>
        <v>71220</v>
      </c>
      <c r="F288" s="195">
        <f>HERTFORDSHIRE!H43</f>
        <v>71887</v>
      </c>
      <c r="G288" s="195">
        <f>HERTFORDSHIRE!I43</f>
        <v>71320</v>
      </c>
      <c r="H288" s="195">
        <f>HERTFORDSHIRE!J43</f>
        <v>70192</v>
      </c>
      <c r="I288" s="195">
        <f>HERTFORDSHIRE!K43</f>
        <v>71861</v>
      </c>
      <c r="J288" s="195">
        <f>HERTFORDSHIRE!L43</f>
        <v>71856</v>
      </c>
      <c r="K288" s="196">
        <f t="shared" si="12"/>
        <v>2.8924909788647687E-2</v>
      </c>
      <c r="L288" s="196"/>
      <c r="M288" s="195">
        <f t="shared" si="13"/>
        <v>-5297</v>
      </c>
      <c r="N288" s="196">
        <f t="shared" si="14"/>
        <v>-6.8655787850116001E-2</v>
      </c>
      <c r="O288" s="197">
        <v>327</v>
      </c>
      <c r="P288" s="197">
        <v>331</v>
      </c>
      <c r="Q288" s="197">
        <v>322</v>
      </c>
      <c r="R288" s="197">
        <v>321</v>
      </c>
      <c r="S288" s="197">
        <v>288</v>
      </c>
      <c r="T288" s="197">
        <v>256</v>
      </c>
      <c r="U288" s="197">
        <v>266</v>
      </c>
      <c r="V288" s="197">
        <v>258</v>
      </c>
      <c r="W288" s="197">
        <v>285</v>
      </c>
      <c r="X288" s="197"/>
      <c r="Y288" s="197">
        <v>431</v>
      </c>
      <c r="Z288" s="197"/>
    </row>
    <row r="289" spans="1:26">
      <c r="A289" s="191" t="str">
        <f>STAFFORDSHIRE!A53</f>
        <v>Tamworth CC</v>
      </c>
      <c r="B289" s="195">
        <f>STAFFORDSHIRE!D55</f>
        <v>71967</v>
      </c>
      <c r="C289" s="195">
        <f>STAFFORDSHIRE!E55</f>
        <v>72544</v>
      </c>
      <c r="D289" s="195">
        <f>STAFFORDSHIRE!F55</f>
        <v>72261</v>
      </c>
      <c r="E289" s="195">
        <f>STAFFORDSHIRE!G55</f>
        <v>72847</v>
      </c>
      <c r="F289" s="195">
        <f>STAFFORDSHIRE!H55</f>
        <v>72142</v>
      </c>
      <c r="G289" s="195">
        <f>STAFFORDSHIRE!I55</f>
        <v>71148</v>
      </c>
      <c r="H289" s="195">
        <f>STAFFORDSHIRE!J55</f>
        <v>70997</v>
      </c>
      <c r="I289" s="195">
        <f>STAFFORDSHIRE!K55</f>
        <v>71605</v>
      </c>
      <c r="J289" s="195">
        <f>STAFFORDSHIRE!L55</f>
        <v>71818</v>
      </c>
      <c r="K289" s="196">
        <f t="shared" si="12"/>
        <v>-2.070393374741201E-3</v>
      </c>
      <c r="L289" s="196"/>
      <c r="M289" s="195">
        <f t="shared" si="13"/>
        <v>-5335</v>
      </c>
      <c r="N289" s="196">
        <f t="shared" si="14"/>
        <v>-6.9148315684419273E-2</v>
      </c>
      <c r="O289" s="197">
        <v>247</v>
      </c>
      <c r="P289" s="197">
        <v>252</v>
      </c>
      <c r="Q289" s="197">
        <v>286</v>
      </c>
      <c r="R289" s="197">
        <v>270</v>
      </c>
      <c r="S289" s="197">
        <v>282</v>
      </c>
      <c r="T289" s="197">
        <v>262</v>
      </c>
      <c r="U289" s="197">
        <v>230</v>
      </c>
      <c r="V289" s="197">
        <v>270</v>
      </c>
      <c r="W289" s="197">
        <v>286</v>
      </c>
      <c r="X289" s="197"/>
      <c r="Y289" s="197">
        <v>457</v>
      </c>
      <c r="Z289" s="197"/>
    </row>
    <row r="290" spans="1:26">
      <c r="A290" s="191" t="str">
        <f>HERTFORDSHIRE!A54</f>
        <v>Welwyn Hatfield CC</v>
      </c>
      <c r="B290" s="195">
        <f>HERTFORDSHIRE!D56</f>
        <v>71731</v>
      </c>
      <c r="C290" s="195">
        <f>HERTFORDSHIRE!E56</f>
        <v>71766</v>
      </c>
      <c r="D290" s="195">
        <f>HERTFORDSHIRE!F56</f>
        <v>73008</v>
      </c>
      <c r="E290" s="195">
        <f>HERTFORDSHIRE!G56</f>
        <v>73730</v>
      </c>
      <c r="F290" s="195">
        <f>HERTFORDSHIRE!H56</f>
        <v>73868</v>
      </c>
      <c r="G290" s="195">
        <f>HERTFORDSHIRE!I56</f>
        <v>71136</v>
      </c>
      <c r="H290" s="195">
        <f>HERTFORDSHIRE!J56</f>
        <v>69042</v>
      </c>
      <c r="I290" s="195">
        <f>HERTFORDSHIRE!K56</f>
        <v>71467</v>
      </c>
      <c r="J290" s="195">
        <f>HERTFORDSHIRE!L56</f>
        <v>71749</v>
      </c>
      <c r="K290" s="196">
        <f t="shared" si="12"/>
        <v>2.5093753049588042E-4</v>
      </c>
      <c r="L290" s="196"/>
      <c r="M290" s="195">
        <f t="shared" si="13"/>
        <v>-5404</v>
      </c>
      <c r="N290" s="196">
        <f t="shared" si="14"/>
        <v>-7.0042642541443628E-2</v>
      </c>
      <c r="O290" s="197">
        <v>260</v>
      </c>
      <c r="P290" s="197">
        <v>289</v>
      </c>
      <c r="Q290" s="197">
        <v>247</v>
      </c>
      <c r="R290" s="197">
        <v>224</v>
      </c>
      <c r="S290" s="197">
        <v>212</v>
      </c>
      <c r="T290" s="197">
        <v>263</v>
      </c>
      <c r="U290" s="197">
        <v>306</v>
      </c>
      <c r="V290" s="197">
        <v>278</v>
      </c>
      <c r="W290" s="197">
        <v>287</v>
      </c>
      <c r="X290" s="197"/>
      <c r="Y290" s="197">
        <v>498</v>
      </c>
      <c r="Z290" s="197"/>
    </row>
    <row r="291" spans="1:26">
      <c r="A291" s="191" t="str">
        <f>SURREY!A40</f>
        <v>Runnymede and Weybridge CC</v>
      </c>
      <c r="B291" s="195">
        <f>SURREY!D42</f>
        <v>72455</v>
      </c>
      <c r="C291" s="195">
        <f>SURREY!E42</f>
        <v>73680</v>
      </c>
      <c r="D291" s="195">
        <f>SURREY!F42</f>
        <v>74053</v>
      </c>
      <c r="E291" s="195">
        <f>SURREY!G42</f>
        <v>74459</v>
      </c>
      <c r="F291" s="195">
        <f>SURREY!H42</f>
        <v>75344</v>
      </c>
      <c r="G291" s="195">
        <f>SURREY!I42</f>
        <v>71388</v>
      </c>
      <c r="H291" s="195">
        <f>SURREY!J42</f>
        <v>70639</v>
      </c>
      <c r="I291" s="195">
        <f>SURREY!K42</f>
        <v>73078</v>
      </c>
      <c r="J291" s="195">
        <f>SURREY!L42</f>
        <v>71694</v>
      </c>
      <c r="K291" s="196">
        <f t="shared" si="12"/>
        <v>-1.0503070871575461E-2</v>
      </c>
      <c r="L291" s="196"/>
      <c r="M291" s="195">
        <f t="shared" si="13"/>
        <v>-5459</v>
      </c>
      <c r="N291" s="196">
        <f t="shared" si="14"/>
        <v>-7.075551177530362E-2</v>
      </c>
      <c r="O291" s="197">
        <v>224</v>
      </c>
      <c r="P291" s="197">
        <v>198</v>
      </c>
      <c r="Q291" s="197">
        <v>197</v>
      </c>
      <c r="R291" s="197">
        <v>196</v>
      </c>
      <c r="S291" s="197">
        <v>165</v>
      </c>
      <c r="T291" s="197">
        <v>253</v>
      </c>
      <c r="U291" s="197">
        <v>244</v>
      </c>
      <c r="V291" s="197">
        <v>218</v>
      </c>
      <c r="W291" s="197">
        <v>288</v>
      </c>
      <c r="X291" s="197"/>
      <c r="Y291" s="197">
        <v>378</v>
      </c>
      <c r="Z291" s="197"/>
    </row>
    <row r="292" spans="1:26">
      <c r="A292" s="191" t="str">
        <f>HILLINGDON!A7</f>
        <v>Hayes and Harlington BC</v>
      </c>
      <c r="B292" s="195">
        <f>HILLINGDON!D7</f>
        <v>69811</v>
      </c>
      <c r="C292" s="195">
        <f>HILLINGDON!E7</f>
        <v>70589</v>
      </c>
      <c r="D292" s="195">
        <f>HILLINGDON!F7</f>
        <v>71849</v>
      </c>
      <c r="E292" s="195">
        <f>HILLINGDON!G7</f>
        <v>73191</v>
      </c>
      <c r="F292" s="195">
        <f>HILLINGDON!H7</f>
        <v>74347</v>
      </c>
      <c r="G292" s="195">
        <f>HILLINGDON!I7</f>
        <v>75090</v>
      </c>
      <c r="H292" s="195">
        <f>HILLINGDON!J7</f>
        <v>69700</v>
      </c>
      <c r="I292" s="195">
        <f>HILLINGDON!K7</f>
        <v>71756</v>
      </c>
      <c r="J292" s="195">
        <f>HILLINGDON!L7</f>
        <v>71666</v>
      </c>
      <c r="K292" s="196">
        <f t="shared" si="12"/>
        <v>2.657174370801163E-2</v>
      </c>
      <c r="L292" s="196"/>
      <c r="M292" s="195">
        <f t="shared" si="13"/>
        <v>-5487</v>
      </c>
      <c r="N292" s="196">
        <f t="shared" si="14"/>
        <v>-7.1118427021632347E-2</v>
      </c>
      <c r="O292" s="197">
        <v>328</v>
      </c>
      <c r="P292" s="197">
        <v>322</v>
      </c>
      <c r="Q292" s="197">
        <v>299</v>
      </c>
      <c r="R292" s="197">
        <v>248</v>
      </c>
      <c r="S292" s="197">
        <v>191</v>
      </c>
      <c r="T292" s="197">
        <v>141</v>
      </c>
      <c r="U292" s="197">
        <v>286</v>
      </c>
      <c r="V292" s="197">
        <v>266</v>
      </c>
      <c r="W292" s="197">
        <v>289</v>
      </c>
      <c r="X292" s="197"/>
      <c r="Y292" s="197">
        <v>208</v>
      </c>
      <c r="Z292" s="197"/>
    </row>
    <row r="293" spans="1:26">
      <c r="A293" s="191" t="str">
        <f>LANCASHIRE!A61</f>
        <v>Rossendale and Darwen BC</v>
      </c>
      <c r="B293" s="195">
        <f>LANCASHIRE!D63</f>
        <v>73092</v>
      </c>
      <c r="C293" s="195">
        <f>LANCASHIRE!E63</f>
        <v>73443</v>
      </c>
      <c r="D293" s="195">
        <f>LANCASHIRE!F63</f>
        <v>73958</v>
      </c>
      <c r="E293" s="195">
        <f>LANCASHIRE!G63</f>
        <v>74185</v>
      </c>
      <c r="F293" s="195">
        <f>LANCASHIRE!H63</f>
        <v>74134</v>
      </c>
      <c r="G293" s="195">
        <f>LANCASHIRE!I63</f>
        <v>73137</v>
      </c>
      <c r="H293" s="195">
        <f>LANCASHIRE!J63</f>
        <v>70738</v>
      </c>
      <c r="I293" s="195">
        <f>LANCASHIRE!K63</f>
        <v>72406</v>
      </c>
      <c r="J293" s="195">
        <f>LANCASHIRE!L63</f>
        <v>71616</v>
      </c>
      <c r="K293" s="196">
        <f t="shared" si="12"/>
        <v>-2.0193728451814153E-2</v>
      </c>
      <c r="L293" s="196"/>
      <c r="M293" s="195">
        <f t="shared" si="13"/>
        <v>-5537</v>
      </c>
      <c r="N293" s="196">
        <f t="shared" si="14"/>
        <v>-7.1766489961505059E-2</v>
      </c>
      <c r="O293" s="197">
        <v>196</v>
      </c>
      <c r="P293" s="197">
        <v>209</v>
      </c>
      <c r="Q293" s="197">
        <v>200</v>
      </c>
      <c r="R293" s="197">
        <v>204</v>
      </c>
      <c r="S293" s="197">
        <v>205</v>
      </c>
      <c r="T293" s="197">
        <v>182</v>
      </c>
      <c r="U293" s="197">
        <v>236</v>
      </c>
      <c r="V293" s="197">
        <v>241</v>
      </c>
      <c r="W293" s="197">
        <v>290</v>
      </c>
      <c r="X293" s="197"/>
      <c r="Y293" s="197">
        <v>373</v>
      </c>
      <c r="Z293" s="197"/>
    </row>
    <row r="294" spans="1:26">
      <c r="A294" s="191" t="str">
        <f>WILTSHIRE!A13</f>
        <v>Salisbury CC</v>
      </c>
      <c r="B294" s="195">
        <f>WILTSHIRE!D13</f>
        <v>67080</v>
      </c>
      <c r="C294" s="195">
        <f>WILTSHIRE!E13</f>
        <v>68731</v>
      </c>
      <c r="D294" s="195">
        <f>WILTSHIRE!F13</f>
        <v>68757</v>
      </c>
      <c r="E294" s="195">
        <f>WILTSHIRE!G13</f>
        <v>69442</v>
      </c>
      <c r="F294" s="195">
        <f>WILTSHIRE!H13</f>
        <v>69448</v>
      </c>
      <c r="G294" s="195">
        <f>WILTSHIRE!I13</f>
        <v>67122</v>
      </c>
      <c r="H294" s="195">
        <f>WILTSHIRE!J13</f>
        <v>68261</v>
      </c>
      <c r="I294" s="195">
        <f>WILTSHIRE!K13</f>
        <v>70247</v>
      </c>
      <c r="J294" s="195">
        <f>WILTSHIRE!L13</f>
        <v>71614</v>
      </c>
      <c r="K294" s="196">
        <f t="shared" si="12"/>
        <v>6.7590936195587356E-2</v>
      </c>
      <c r="L294" s="196"/>
      <c r="M294" s="195">
        <f t="shared" si="13"/>
        <v>-5539</v>
      </c>
      <c r="N294" s="196">
        <f t="shared" si="14"/>
        <v>-7.1792412479099968E-2</v>
      </c>
      <c r="O294" s="197">
        <v>407</v>
      </c>
      <c r="P294" s="197">
        <v>374</v>
      </c>
      <c r="Q294" s="197">
        <v>379</v>
      </c>
      <c r="R294" s="197">
        <v>373</v>
      </c>
      <c r="S294" s="197">
        <v>359</v>
      </c>
      <c r="T294" s="197">
        <v>390</v>
      </c>
      <c r="U294" s="197">
        <v>331</v>
      </c>
      <c r="V294" s="197">
        <v>330</v>
      </c>
      <c r="W294" s="197">
        <v>291</v>
      </c>
      <c r="X294" s="197"/>
      <c r="Y294" s="197">
        <v>383</v>
      </c>
      <c r="Z294" s="197"/>
    </row>
    <row r="295" spans="1:26">
      <c r="A295" s="191" t="str">
        <f>KENT!A48</f>
        <v>Gravesham CC</v>
      </c>
      <c r="B295" s="195">
        <f>KENT!D48</f>
        <v>69898</v>
      </c>
      <c r="C295" s="195">
        <f>KENT!E48</f>
        <v>70412</v>
      </c>
      <c r="D295" s="195">
        <f>KENT!F48</f>
        <v>71521</v>
      </c>
      <c r="E295" s="195">
        <f>KENT!G48</f>
        <v>72182</v>
      </c>
      <c r="F295" s="195">
        <f>KENT!H48</f>
        <v>72466</v>
      </c>
      <c r="G295" s="195">
        <f>KENT!I48</f>
        <v>70140</v>
      </c>
      <c r="H295" s="195">
        <f>KENT!J48</f>
        <v>70477</v>
      </c>
      <c r="I295" s="195">
        <f>KENT!K48</f>
        <v>73088</v>
      </c>
      <c r="J295" s="195">
        <f>KENT!L48</f>
        <v>71601</v>
      </c>
      <c r="K295" s="196">
        <f t="shared" si="12"/>
        <v>2.4364073364044753E-2</v>
      </c>
      <c r="L295" s="196"/>
      <c r="M295" s="195">
        <f t="shared" si="13"/>
        <v>-5552</v>
      </c>
      <c r="N295" s="196">
        <f t="shared" si="14"/>
        <v>-7.1960908843466884E-2</v>
      </c>
      <c r="O295" s="197">
        <v>324</v>
      </c>
      <c r="P295" s="197">
        <v>329</v>
      </c>
      <c r="Q295" s="197">
        <v>308</v>
      </c>
      <c r="R295" s="197">
        <v>297</v>
      </c>
      <c r="S295" s="197">
        <v>263</v>
      </c>
      <c r="T295" s="197">
        <v>286</v>
      </c>
      <c r="U295" s="197">
        <v>251</v>
      </c>
      <c r="V295" s="197">
        <v>217</v>
      </c>
      <c r="W295" s="197">
        <v>292</v>
      </c>
      <c r="X295" s="197"/>
      <c r="Y295" s="197">
        <v>186</v>
      </c>
      <c r="Z295" s="197"/>
    </row>
    <row r="296" spans="1:26">
      <c r="A296" s="191" t="str">
        <f>EALING!A9</f>
        <v>Ealing North BC</v>
      </c>
      <c r="B296" s="195">
        <f>EALING!D9</f>
        <v>72876</v>
      </c>
      <c r="C296" s="195">
        <f>EALING!E9</f>
        <v>73105</v>
      </c>
      <c r="D296" s="195">
        <f>EALING!F9</f>
        <v>73596</v>
      </c>
      <c r="E296" s="195">
        <f>EALING!G9</f>
        <v>72748</v>
      </c>
      <c r="F296" s="195">
        <f>EALING!H9</f>
        <v>73566</v>
      </c>
      <c r="G296" s="195">
        <f>EALING!I9</f>
        <v>72537</v>
      </c>
      <c r="H296" s="195">
        <f>EALING!J9</f>
        <v>73703</v>
      </c>
      <c r="I296" s="195">
        <f>EALING!K9</f>
        <v>72972</v>
      </c>
      <c r="J296" s="195">
        <f>EALING!L9</f>
        <v>71599</v>
      </c>
      <c r="K296" s="196">
        <f t="shared" si="12"/>
        <v>-1.7522915637521268E-2</v>
      </c>
      <c r="L296" s="196"/>
      <c r="M296" s="195">
        <f t="shared" si="13"/>
        <v>-5554</v>
      </c>
      <c r="N296" s="196">
        <f t="shared" si="14"/>
        <v>-7.1986831361061793E-2</v>
      </c>
      <c r="O296" s="197">
        <v>204</v>
      </c>
      <c r="P296" s="197">
        <v>221</v>
      </c>
      <c r="Q296" s="197">
        <v>219</v>
      </c>
      <c r="R296" s="197">
        <v>276</v>
      </c>
      <c r="S296" s="197">
        <v>227</v>
      </c>
      <c r="T296" s="197">
        <v>209</v>
      </c>
      <c r="U296" s="197">
        <v>149</v>
      </c>
      <c r="V296" s="197">
        <v>220</v>
      </c>
      <c r="W296" s="197">
        <v>293</v>
      </c>
      <c r="X296" s="197"/>
      <c r="Y296" s="197">
        <v>146</v>
      </c>
      <c r="Z296" s="197"/>
    </row>
    <row r="297" spans="1:26">
      <c r="A297" s="191" t="str">
        <f>HARROW!A7</f>
        <v>Harrow East BC</v>
      </c>
      <c r="B297" s="195">
        <f>HARROW!D7</f>
        <v>71533</v>
      </c>
      <c r="C297" s="195">
        <f>HARROW!E7</f>
        <v>72537</v>
      </c>
      <c r="D297" s="195">
        <f>HARROW!F7</f>
        <v>72465</v>
      </c>
      <c r="E297" s="195">
        <f>HARROW!G7</f>
        <v>71564</v>
      </c>
      <c r="F297" s="195">
        <f>HARROW!H7</f>
        <v>72390</v>
      </c>
      <c r="G297" s="195">
        <f>HARROW!I7</f>
        <v>69382</v>
      </c>
      <c r="H297" s="195">
        <f>HARROW!J7</f>
        <v>69864</v>
      </c>
      <c r="I297" s="195">
        <f>HARROW!K7</f>
        <v>70779</v>
      </c>
      <c r="J297" s="195">
        <f>HARROW!L7</f>
        <v>71585</v>
      </c>
      <c r="K297" s="196">
        <f t="shared" si="12"/>
        <v>7.2693721778759458E-4</v>
      </c>
      <c r="L297" s="196"/>
      <c r="M297" s="195">
        <f t="shared" si="13"/>
        <v>-5568</v>
      </c>
      <c r="N297" s="196">
        <f t="shared" si="14"/>
        <v>-7.2168288984226142E-2</v>
      </c>
      <c r="O297" s="197">
        <v>272</v>
      </c>
      <c r="P297" s="197">
        <v>253</v>
      </c>
      <c r="Q297" s="197">
        <v>272</v>
      </c>
      <c r="R297" s="197">
        <v>313</v>
      </c>
      <c r="S297" s="197">
        <v>266</v>
      </c>
      <c r="T297" s="197">
        <v>317</v>
      </c>
      <c r="U297" s="197">
        <v>275</v>
      </c>
      <c r="V297" s="197">
        <v>306</v>
      </c>
      <c r="W297" s="197">
        <v>294</v>
      </c>
      <c r="X297" s="197"/>
      <c r="Y297" s="197">
        <v>202</v>
      </c>
      <c r="Z297" s="197"/>
    </row>
    <row r="298" spans="1:26">
      <c r="A298" s="191" t="str">
        <f>DURHAM!A21</f>
        <v>North West Durham CC</v>
      </c>
      <c r="B298" s="195">
        <f>DURHAM!D21</f>
        <v>70167</v>
      </c>
      <c r="C298" s="195">
        <f>DURHAM!E21</f>
        <v>72760</v>
      </c>
      <c r="D298" s="195">
        <f>DURHAM!F21</f>
        <v>72615</v>
      </c>
      <c r="E298" s="195">
        <f>DURHAM!G21</f>
        <v>72742</v>
      </c>
      <c r="F298" s="195">
        <f>DURHAM!H21</f>
        <v>71776</v>
      </c>
      <c r="G298" s="195">
        <f>DURHAM!I21</f>
        <v>68615</v>
      </c>
      <c r="H298" s="195">
        <f>DURHAM!J21</f>
        <v>69094</v>
      </c>
      <c r="I298" s="195">
        <f>DURHAM!K21</f>
        <v>71244</v>
      </c>
      <c r="J298" s="195">
        <f>DURHAM!L21</f>
        <v>71567</v>
      </c>
      <c r="K298" s="196">
        <f t="shared" si="12"/>
        <v>1.9952399276012941E-2</v>
      </c>
      <c r="L298" s="196"/>
      <c r="M298" s="195">
        <f t="shared" si="13"/>
        <v>-5586</v>
      </c>
      <c r="N298" s="196">
        <f t="shared" si="14"/>
        <v>-7.2401591642580324E-2</v>
      </c>
      <c r="O298" s="197">
        <v>319</v>
      </c>
      <c r="P298" s="197">
        <v>240</v>
      </c>
      <c r="Q298" s="197">
        <v>266</v>
      </c>
      <c r="R298" s="197">
        <v>278</v>
      </c>
      <c r="S298" s="197">
        <v>292</v>
      </c>
      <c r="T298" s="197">
        <v>347</v>
      </c>
      <c r="U298" s="197">
        <v>305</v>
      </c>
      <c r="V298" s="197">
        <v>285</v>
      </c>
      <c r="W298" s="197">
        <v>295</v>
      </c>
      <c r="X298" s="197"/>
      <c r="Y298" s="197">
        <v>327</v>
      </c>
      <c r="Z298" s="197"/>
    </row>
    <row r="299" spans="1:26">
      <c r="A299" s="191" t="str">
        <f>DERBYSHIRE!A45</f>
        <v>North East Derbyshire CC</v>
      </c>
      <c r="B299" s="195">
        <f>DERBYSHIRE!D47</f>
        <v>71637</v>
      </c>
      <c r="C299" s="195">
        <f>DERBYSHIRE!E47</f>
        <v>72374</v>
      </c>
      <c r="D299" s="195">
        <f>DERBYSHIRE!F47</f>
        <v>72731</v>
      </c>
      <c r="E299" s="195">
        <f>DERBYSHIRE!G47</f>
        <v>72871</v>
      </c>
      <c r="F299" s="195">
        <f>DERBYSHIRE!H47</f>
        <v>72912</v>
      </c>
      <c r="G299" s="195">
        <f>DERBYSHIRE!I47</f>
        <v>70940</v>
      </c>
      <c r="H299" s="195">
        <f>DERBYSHIRE!J47</f>
        <v>70640</v>
      </c>
      <c r="I299" s="195">
        <f>DERBYSHIRE!K47</f>
        <v>71630</v>
      </c>
      <c r="J299" s="195">
        <f>DERBYSHIRE!L47</f>
        <v>71563</v>
      </c>
      <c r="K299" s="196">
        <f t="shared" si="12"/>
        <v>-1.0329857475885366E-3</v>
      </c>
      <c r="L299" s="196"/>
      <c r="M299" s="195">
        <f t="shared" si="13"/>
        <v>-5590</v>
      </c>
      <c r="N299" s="196">
        <f t="shared" si="14"/>
        <v>-7.2453436677770142E-2</v>
      </c>
      <c r="O299" s="197">
        <v>266</v>
      </c>
      <c r="P299" s="197">
        <v>257</v>
      </c>
      <c r="Q299" s="197">
        <v>259</v>
      </c>
      <c r="R299" s="197">
        <v>268</v>
      </c>
      <c r="S299" s="197">
        <v>249</v>
      </c>
      <c r="T299" s="197">
        <v>268</v>
      </c>
      <c r="U299" s="197">
        <v>243</v>
      </c>
      <c r="V299" s="197">
        <v>269</v>
      </c>
      <c r="W299" s="197">
        <v>296</v>
      </c>
      <c r="X299" s="197"/>
      <c r="Y299" s="197">
        <v>314</v>
      </c>
      <c r="Z299" s="197"/>
    </row>
    <row r="300" spans="1:26">
      <c r="A300" s="191" t="str">
        <f>KENT!A54</f>
        <v>North Thanet CC</v>
      </c>
      <c r="B300" s="195">
        <f>KENT!D56</f>
        <v>68568</v>
      </c>
      <c r="C300" s="195">
        <f>KENT!E56</f>
        <v>67110</v>
      </c>
      <c r="D300" s="195">
        <f>KENT!F56</f>
        <v>67673</v>
      </c>
      <c r="E300" s="195">
        <f>KENT!G56</f>
        <v>70194</v>
      </c>
      <c r="F300" s="195">
        <f>KENT!H56</f>
        <v>71142</v>
      </c>
      <c r="G300" s="195">
        <f>KENT!I56</f>
        <v>69864</v>
      </c>
      <c r="H300" s="195">
        <f>KENT!J56</f>
        <v>69780</v>
      </c>
      <c r="I300" s="195">
        <f>KENT!K56</f>
        <v>71070</v>
      </c>
      <c r="J300" s="195">
        <f>KENT!L56</f>
        <v>71552</v>
      </c>
      <c r="K300" s="196">
        <f t="shared" si="12"/>
        <v>4.3518842608797105E-2</v>
      </c>
      <c r="L300" s="196"/>
      <c r="M300" s="195">
        <f t="shared" si="13"/>
        <v>-5601</v>
      </c>
      <c r="N300" s="196">
        <f t="shared" si="14"/>
        <v>-7.2596010524542148E-2</v>
      </c>
      <c r="O300" s="197">
        <v>365</v>
      </c>
      <c r="P300" s="197">
        <v>418</v>
      </c>
      <c r="Q300" s="197">
        <v>412</v>
      </c>
      <c r="R300" s="197">
        <v>345</v>
      </c>
      <c r="S300" s="197">
        <v>310</v>
      </c>
      <c r="T300" s="197">
        <v>298</v>
      </c>
      <c r="U300" s="197">
        <v>277</v>
      </c>
      <c r="V300" s="197">
        <v>291</v>
      </c>
      <c r="W300" s="197">
        <v>297</v>
      </c>
      <c r="X300" s="197"/>
      <c r="Y300" s="197">
        <v>323</v>
      </c>
      <c r="Z300" s="197"/>
    </row>
    <row r="301" spans="1:26">
      <c r="A301" s="191" t="str">
        <f>'SOUTH YORKSHIRE'!A22</f>
        <v>Penistone and Stocksbridge CC</v>
      </c>
      <c r="B301" s="195">
        <f>'SOUTH YORKSHIRE'!D24</f>
        <v>68628</v>
      </c>
      <c r="C301" s="195">
        <f>'SOUTH YORKSHIRE'!E24</f>
        <v>69133</v>
      </c>
      <c r="D301" s="195">
        <f>'SOUTH YORKSHIRE'!F24</f>
        <v>69555</v>
      </c>
      <c r="E301" s="195">
        <f>'SOUTH YORKSHIRE'!G24</f>
        <v>70172</v>
      </c>
      <c r="F301" s="195">
        <f>'SOUTH YORKSHIRE'!H24</f>
        <v>70188</v>
      </c>
      <c r="G301" s="195">
        <f>'SOUTH YORKSHIRE'!I24</f>
        <v>69919</v>
      </c>
      <c r="H301" s="195">
        <f>'SOUTH YORKSHIRE'!J24</f>
        <v>68579</v>
      </c>
      <c r="I301" s="195">
        <f>'SOUTH YORKSHIRE'!K24</f>
        <v>70872</v>
      </c>
      <c r="J301" s="195">
        <f>'SOUTH YORKSHIRE'!L24</f>
        <v>71531</v>
      </c>
      <c r="K301" s="196">
        <f t="shared" si="12"/>
        <v>4.2300518738707236E-2</v>
      </c>
      <c r="L301" s="196"/>
      <c r="M301" s="195">
        <f t="shared" si="13"/>
        <v>-5622</v>
      </c>
      <c r="N301" s="196">
        <f t="shared" si="14"/>
        <v>-7.2868196959288686E-2</v>
      </c>
      <c r="O301" s="197">
        <v>364</v>
      </c>
      <c r="P301" s="197">
        <v>362</v>
      </c>
      <c r="Q301" s="197">
        <v>363</v>
      </c>
      <c r="R301" s="197">
        <v>347</v>
      </c>
      <c r="S301" s="197">
        <v>350</v>
      </c>
      <c r="T301" s="197">
        <v>295</v>
      </c>
      <c r="U301" s="197">
        <v>321</v>
      </c>
      <c r="V301" s="197">
        <v>300</v>
      </c>
      <c r="W301" s="197">
        <v>298</v>
      </c>
      <c r="X301" s="197"/>
      <c r="Y301" s="197">
        <v>347</v>
      </c>
      <c r="Z301" s="197"/>
    </row>
    <row r="302" spans="1:26">
      <c r="A302" s="191" t="str">
        <f>CHESHIRE!A19</f>
        <v>Eddisbury CC</v>
      </c>
      <c r="B302" s="195">
        <f>CHESHIRE!D21</f>
        <v>67296</v>
      </c>
      <c r="C302" s="195">
        <f>CHESHIRE!E21</f>
        <v>65914</v>
      </c>
      <c r="D302" s="195">
        <f>CHESHIRE!F21</f>
        <v>65360</v>
      </c>
      <c r="E302" s="195">
        <f>CHESHIRE!G21</f>
        <v>66374</v>
      </c>
      <c r="F302" s="195">
        <f>CHESHIRE!H21</f>
        <v>66731</v>
      </c>
      <c r="G302" s="195">
        <f>CHESHIRE!I21</f>
        <v>67465</v>
      </c>
      <c r="H302" s="195">
        <f>CHESHIRE!J21</f>
        <v>67635</v>
      </c>
      <c r="I302" s="195">
        <f>CHESHIRE!K21</f>
        <v>69757</v>
      </c>
      <c r="J302" s="195">
        <f>CHESHIRE!L21</f>
        <v>71468</v>
      </c>
      <c r="K302" s="196">
        <f t="shared" si="12"/>
        <v>6.1994769377080358E-2</v>
      </c>
      <c r="L302" s="196"/>
      <c r="M302" s="195">
        <f t="shared" si="13"/>
        <v>-5685</v>
      </c>
      <c r="N302" s="196">
        <f t="shared" si="14"/>
        <v>-7.3684756263528314E-2</v>
      </c>
      <c r="O302" s="197">
        <v>401</v>
      </c>
      <c r="P302" s="197">
        <v>456</v>
      </c>
      <c r="Q302" s="197">
        <v>469</v>
      </c>
      <c r="R302" s="197">
        <v>455</v>
      </c>
      <c r="S302" s="197">
        <v>437</v>
      </c>
      <c r="T302" s="197">
        <v>379</v>
      </c>
      <c r="U302" s="197">
        <v>352</v>
      </c>
      <c r="V302" s="197">
        <v>344</v>
      </c>
      <c r="W302" s="197">
        <v>299</v>
      </c>
      <c r="X302" s="197"/>
      <c r="Y302" s="197">
        <v>157</v>
      </c>
      <c r="Z302" s="197"/>
    </row>
    <row r="303" spans="1:26">
      <c r="A303" s="191" t="str">
        <f>NOTTINGHAMSHIRE!A21</f>
        <v>Broxtowe CC</v>
      </c>
      <c r="B303" s="195">
        <f>NOTTINGHAMSHIRE!D21</f>
        <v>71440</v>
      </c>
      <c r="C303" s="195">
        <f>NOTTINGHAMSHIRE!E21</f>
        <v>71961</v>
      </c>
      <c r="D303" s="195">
        <f>NOTTINGHAMSHIRE!F21</f>
        <v>72333</v>
      </c>
      <c r="E303" s="195">
        <f>NOTTINGHAMSHIRE!G21</f>
        <v>71656</v>
      </c>
      <c r="F303" s="195">
        <f>NOTTINGHAMSHIRE!H21</f>
        <v>69080</v>
      </c>
      <c r="G303" s="195">
        <f>NOTTINGHAMSHIRE!I21</f>
        <v>69648</v>
      </c>
      <c r="H303" s="195">
        <f>NOTTINGHAMSHIRE!J21</f>
        <v>69699</v>
      </c>
      <c r="I303" s="195">
        <f>NOTTINGHAMSHIRE!K21</f>
        <v>71566</v>
      </c>
      <c r="J303" s="195">
        <f>NOTTINGHAMSHIRE!L21</f>
        <v>71464</v>
      </c>
      <c r="K303" s="196">
        <f t="shared" si="12"/>
        <v>3.3594624860022396E-4</v>
      </c>
      <c r="L303" s="196"/>
      <c r="M303" s="195">
        <f t="shared" si="13"/>
        <v>-5689</v>
      </c>
      <c r="N303" s="196">
        <f t="shared" si="14"/>
        <v>-7.3736601298718132E-2</v>
      </c>
      <c r="O303" s="197">
        <v>274</v>
      </c>
      <c r="P303" s="197">
        <v>275</v>
      </c>
      <c r="Q303" s="197">
        <v>281</v>
      </c>
      <c r="R303" s="199">
        <v>311</v>
      </c>
      <c r="S303" s="197">
        <v>369</v>
      </c>
      <c r="T303" s="197">
        <v>308</v>
      </c>
      <c r="U303" s="197">
        <v>287</v>
      </c>
      <c r="V303" s="197">
        <v>273</v>
      </c>
      <c r="W303" s="197">
        <v>300</v>
      </c>
      <c r="X303" s="197"/>
      <c r="Y303" s="197">
        <v>78</v>
      </c>
      <c r="Z303" s="197"/>
    </row>
    <row r="304" spans="1:26">
      <c r="A304" s="191" t="str">
        <f>'GREATER MANCHESTER'!A69</f>
        <v>Stalybridge and Hyde CC</v>
      </c>
      <c r="B304" s="195">
        <f>'GREATER MANCHESTER'!D69</f>
        <v>69058</v>
      </c>
      <c r="C304" s="195">
        <f>'GREATER MANCHESTER'!E69</f>
        <v>70691</v>
      </c>
      <c r="D304" s="195">
        <f>'GREATER MANCHESTER'!F69</f>
        <v>70003</v>
      </c>
      <c r="E304" s="195">
        <f>'GREATER MANCHESTER'!G69</f>
        <v>70034</v>
      </c>
      <c r="F304" s="195">
        <f>'GREATER MANCHESTER'!H69</f>
        <v>71513</v>
      </c>
      <c r="G304" s="195">
        <f>'GREATER MANCHESTER'!I69</f>
        <v>70181</v>
      </c>
      <c r="H304" s="195">
        <f>'GREATER MANCHESTER'!J69</f>
        <v>69177</v>
      </c>
      <c r="I304" s="195">
        <f>'GREATER MANCHESTER'!K69</f>
        <v>70800</v>
      </c>
      <c r="J304" s="195">
        <f>'GREATER MANCHESTER'!L69</f>
        <v>71432</v>
      </c>
      <c r="K304" s="196">
        <f t="shared" si="12"/>
        <v>3.4376900576327148E-2</v>
      </c>
      <c r="L304" s="196"/>
      <c r="M304" s="195">
        <f t="shared" si="13"/>
        <v>-5721</v>
      </c>
      <c r="N304" s="196">
        <f t="shared" si="14"/>
        <v>-7.4151361580236677E-2</v>
      </c>
      <c r="O304" s="197">
        <v>348</v>
      </c>
      <c r="P304" s="197">
        <v>319</v>
      </c>
      <c r="Q304" s="197">
        <v>344</v>
      </c>
      <c r="R304" s="197">
        <v>352</v>
      </c>
      <c r="S304" s="197">
        <v>301</v>
      </c>
      <c r="T304" s="197">
        <v>284</v>
      </c>
      <c r="U304" s="197">
        <v>304</v>
      </c>
      <c r="V304" s="197">
        <v>303</v>
      </c>
      <c r="W304" s="197">
        <v>301</v>
      </c>
      <c r="X304" s="197"/>
      <c r="Y304" s="197">
        <v>438</v>
      </c>
      <c r="Z304" s="197"/>
    </row>
    <row r="305" spans="1:26">
      <c r="A305" s="191" t="str">
        <f>'TYNE &amp; WEAR'!A38</f>
        <v>Sunderland Central BC</v>
      </c>
      <c r="B305" s="195">
        <f>'TYNE &amp; WEAR'!D38</f>
        <v>74668</v>
      </c>
      <c r="C305" s="195">
        <f>'TYNE &amp; WEAR'!E38</f>
        <v>76292</v>
      </c>
      <c r="D305" s="195">
        <f>'TYNE &amp; WEAR'!F38</f>
        <v>77216</v>
      </c>
      <c r="E305" s="195">
        <f>'TYNE &amp; WEAR'!G38</f>
        <v>75346</v>
      </c>
      <c r="F305" s="195">
        <f>'TYNE &amp; WEAR'!H38</f>
        <v>74366</v>
      </c>
      <c r="G305" s="195">
        <f>'TYNE &amp; WEAR'!I38</f>
        <v>72238</v>
      </c>
      <c r="H305" s="195">
        <f>'TYNE &amp; WEAR'!J38</f>
        <v>71232</v>
      </c>
      <c r="I305" s="195">
        <f>'TYNE &amp; WEAR'!K38</f>
        <v>70478</v>
      </c>
      <c r="J305" s="195">
        <f>'TYNE &amp; WEAR'!L38</f>
        <v>71432</v>
      </c>
      <c r="K305" s="196">
        <f t="shared" si="12"/>
        <v>-4.3338511812289066E-2</v>
      </c>
      <c r="L305" s="196"/>
      <c r="M305" s="195">
        <f t="shared" si="13"/>
        <v>-5721</v>
      </c>
      <c r="N305" s="196">
        <f t="shared" si="14"/>
        <v>-7.4151361580236677E-2</v>
      </c>
      <c r="O305" s="197">
        <v>160</v>
      </c>
      <c r="P305" s="197">
        <v>132</v>
      </c>
      <c r="Q305" s="197">
        <v>126</v>
      </c>
      <c r="R305" s="197">
        <v>177</v>
      </c>
      <c r="S305" s="197">
        <v>190</v>
      </c>
      <c r="T305" s="197">
        <v>224</v>
      </c>
      <c r="U305" s="197">
        <v>224</v>
      </c>
      <c r="V305" s="197">
        <v>316</v>
      </c>
      <c r="W305" s="197">
        <v>302</v>
      </c>
      <c r="X305" s="197"/>
      <c r="Y305" s="197">
        <v>453</v>
      </c>
      <c r="Z305" s="197"/>
    </row>
    <row r="306" spans="1:26">
      <c r="A306" s="191" t="str">
        <f>'SOUTH YORKSHIRE'!A30</f>
        <v>Sheffield, Brightside and Hillsborough BC</v>
      </c>
      <c r="B306" s="195">
        <f>'SOUTH YORKSHIRE'!D30</f>
        <v>68194</v>
      </c>
      <c r="C306" s="195">
        <f>'SOUTH YORKSHIRE'!E30</f>
        <v>69206</v>
      </c>
      <c r="D306" s="195">
        <f>'SOUTH YORKSHIRE'!F30</f>
        <v>69954</v>
      </c>
      <c r="E306" s="195">
        <f>'SOUTH YORKSHIRE'!G30</f>
        <v>71442</v>
      </c>
      <c r="F306" s="195">
        <f>'SOUTH YORKSHIRE'!H30</f>
        <v>70422</v>
      </c>
      <c r="G306" s="195">
        <f>'SOUTH YORKSHIRE'!I30</f>
        <v>69679</v>
      </c>
      <c r="H306" s="195">
        <f>'SOUTH YORKSHIRE'!J30</f>
        <v>67717</v>
      </c>
      <c r="I306" s="195">
        <f>'SOUTH YORKSHIRE'!K30</f>
        <v>70095</v>
      </c>
      <c r="J306" s="195">
        <f>'SOUTH YORKSHIRE'!L30</f>
        <v>71359</v>
      </c>
      <c r="K306" s="196">
        <f t="shared" si="12"/>
        <v>4.6411707774877554E-2</v>
      </c>
      <c r="L306" s="196"/>
      <c r="M306" s="195">
        <f t="shared" si="13"/>
        <v>-5794</v>
      </c>
      <c r="N306" s="196">
        <f t="shared" si="14"/>
        <v>-7.509753347245085E-2</v>
      </c>
      <c r="O306" s="197">
        <v>373</v>
      </c>
      <c r="P306" s="197">
        <v>358</v>
      </c>
      <c r="Q306" s="197">
        <v>347</v>
      </c>
      <c r="R306" s="197">
        <v>318</v>
      </c>
      <c r="S306" s="197">
        <v>335</v>
      </c>
      <c r="T306" s="197">
        <v>306</v>
      </c>
      <c r="U306" s="197">
        <v>345</v>
      </c>
      <c r="V306" s="197">
        <v>332</v>
      </c>
      <c r="W306" s="197">
        <v>303</v>
      </c>
      <c r="X306" s="197"/>
      <c r="Y306" s="197">
        <v>392</v>
      </c>
      <c r="Z306" s="197"/>
    </row>
    <row r="307" spans="1:26">
      <c r="A307" s="191" t="str">
        <f>'GREATER MANCHESTER'!A59</f>
        <v>Manchester, Withington BC</v>
      </c>
      <c r="B307" s="195">
        <f>'GREATER MANCHESTER'!D59</f>
        <v>72514</v>
      </c>
      <c r="C307" s="195">
        <f>'GREATER MANCHESTER'!E59</f>
        <v>73656</v>
      </c>
      <c r="D307" s="195">
        <f>'GREATER MANCHESTER'!F59</f>
        <v>74964</v>
      </c>
      <c r="E307" s="195">
        <f>'GREATER MANCHESTER'!G59</f>
        <v>75170</v>
      </c>
      <c r="F307" s="195">
        <f>'GREATER MANCHESTER'!H59</f>
        <v>75560</v>
      </c>
      <c r="G307" s="195">
        <f>'GREATER MANCHESTER'!I59</f>
        <v>74396</v>
      </c>
      <c r="H307" s="195">
        <f>'GREATER MANCHESTER'!J59</f>
        <v>74616</v>
      </c>
      <c r="I307" s="195">
        <f>'GREATER MANCHESTER'!K59</f>
        <v>69707</v>
      </c>
      <c r="J307" s="195">
        <f>'GREATER MANCHESTER'!L59</f>
        <v>71330</v>
      </c>
      <c r="K307" s="196">
        <f t="shared" si="12"/>
        <v>-1.632788151253551E-2</v>
      </c>
      <c r="L307" s="196"/>
      <c r="M307" s="195">
        <f t="shared" si="13"/>
        <v>-5823</v>
      </c>
      <c r="N307" s="196">
        <f t="shared" si="14"/>
        <v>-7.5473409977577025E-2</v>
      </c>
      <c r="O307" s="197">
        <v>221</v>
      </c>
      <c r="P307" s="197">
        <v>200</v>
      </c>
      <c r="Q307" s="197">
        <v>179</v>
      </c>
      <c r="R307" s="197">
        <v>179</v>
      </c>
      <c r="S307" s="197">
        <v>158</v>
      </c>
      <c r="T307" s="197">
        <v>154</v>
      </c>
      <c r="U307" s="197">
        <v>132</v>
      </c>
      <c r="V307" s="197">
        <v>345</v>
      </c>
      <c r="W307" s="197">
        <v>304</v>
      </c>
      <c r="X307" s="197"/>
      <c r="Y307" s="197">
        <v>280</v>
      </c>
      <c r="Z307" s="197"/>
    </row>
    <row r="308" spans="1:26">
      <c r="A308" s="191" t="str">
        <f>HAMPSHIRE!A66</f>
        <v>Winchester CC</v>
      </c>
      <c r="B308" s="195">
        <f>HAMPSHIRE!D68</f>
        <v>73339</v>
      </c>
      <c r="C308" s="195">
        <f>HAMPSHIRE!E68</f>
        <v>74138</v>
      </c>
      <c r="D308" s="195">
        <f>HAMPSHIRE!F68</f>
        <v>74999</v>
      </c>
      <c r="E308" s="195">
        <f>HAMPSHIRE!G68</f>
        <v>75444</v>
      </c>
      <c r="F308" s="195">
        <f>HAMPSHIRE!H68</f>
        <v>75906</v>
      </c>
      <c r="G308" s="195">
        <f>HAMPSHIRE!I68</f>
        <v>73497</v>
      </c>
      <c r="H308" s="195">
        <f>HAMPSHIRE!J68</f>
        <v>70041</v>
      </c>
      <c r="I308" s="195">
        <f>HAMPSHIRE!K68</f>
        <v>71136</v>
      </c>
      <c r="J308" s="195">
        <f>HAMPSHIRE!L68</f>
        <v>71328</v>
      </c>
      <c r="K308" s="196">
        <f t="shared" si="12"/>
        <v>-2.7420608407532146E-2</v>
      </c>
      <c r="L308" s="196"/>
      <c r="M308" s="195">
        <f t="shared" si="13"/>
        <v>-5825</v>
      </c>
      <c r="N308" s="196">
        <f t="shared" si="14"/>
        <v>-7.5499332495171934E-2</v>
      </c>
      <c r="O308" s="197">
        <v>185</v>
      </c>
      <c r="P308" s="197">
        <v>184</v>
      </c>
      <c r="Q308" s="197">
        <v>178</v>
      </c>
      <c r="R308" s="197">
        <v>175</v>
      </c>
      <c r="S308" s="197">
        <v>149</v>
      </c>
      <c r="T308" s="197">
        <v>172</v>
      </c>
      <c r="U308" s="197">
        <v>269</v>
      </c>
      <c r="V308" s="197">
        <v>288</v>
      </c>
      <c r="W308" s="197">
        <v>305</v>
      </c>
      <c r="X308" s="197"/>
      <c r="Y308" s="197">
        <v>512</v>
      </c>
      <c r="Z308" s="197"/>
    </row>
    <row r="309" spans="1:26">
      <c r="A309" s="191" t="str">
        <f>NORFOLK!A33</f>
        <v>Norwich South BC</v>
      </c>
      <c r="B309" s="195">
        <f>NORFOLK!D35</f>
        <v>72538</v>
      </c>
      <c r="C309" s="195">
        <f>NORFOLK!E35</f>
        <v>73569</v>
      </c>
      <c r="D309" s="195">
        <f>NORFOLK!F35</f>
        <v>73735</v>
      </c>
      <c r="E309" s="195">
        <f>NORFOLK!G35</f>
        <v>72744</v>
      </c>
      <c r="F309" s="195">
        <f>NORFOLK!H35</f>
        <v>73220</v>
      </c>
      <c r="G309" s="195">
        <f>NORFOLK!I35</f>
        <v>69606</v>
      </c>
      <c r="H309" s="195">
        <f>NORFOLK!J35</f>
        <v>68963</v>
      </c>
      <c r="I309" s="195">
        <f>NORFOLK!K35</f>
        <v>69361</v>
      </c>
      <c r="J309" s="195">
        <f>NORFOLK!L35</f>
        <v>71321</v>
      </c>
      <c r="K309" s="196">
        <f t="shared" si="12"/>
        <v>-1.6777413217899585E-2</v>
      </c>
      <c r="L309" s="196"/>
      <c r="M309" s="195">
        <f t="shared" si="13"/>
        <v>-5832</v>
      </c>
      <c r="N309" s="196">
        <f t="shared" si="14"/>
        <v>-7.5590061306754108E-2</v>
      </c>
      <c r="O309" s="197">
        <v>217</v>
      </c>
      <c r="P309" s="197">
        <v>204</v>
      </c>
      <c r="Q309" s="197">
        <v>210</v>
      </c>
      <c r="R309" s="197">
        <v>277</v>
      </c>
      <c r="S309" s="197">
        <v>237</v>
      </c>
      <c r="T309" s="197">
        <v>309</v>
      </c>
      <c r="U309" s="197">
        <v>309</v>
      </c>
      <c r="V309" s="197">
        <v>354</v>
      </c>
      <c r="W309" s="197">
        <v>306</v>
      </c>
      <c r="X309" s="197"/>
      <c r="Y309" s="197">
        <v>335</v>
      </c>
      <c r="Z309" s="197"/>
    </row>
    <row r="310" spans="1:26">
      <c r="A310" s="191" t="str">
        <f>PORTSMOUTH!A9</f>
        <v>Portsmouth South BC</v>
      </c>
      <c r="B310" s="195">
        <f>PORTSMOUTH!D9</f>
        <v>69456</v>
      </c>
      <c r="C310" s="195">
        <f>PORTSMOUTH!E9</f>
        <v>71947</v>
      </c>
      <c r="D310" s="195">
        <f>PORTSMOUTH!F9</f>
        <v>72447</v>
      </c>
      <c r="E310" s="195">
        <f>PORTSMOUTH!G9</f>
        <v>70923</v>
      </c>
      <c r="F310" s="195">
        <f>PORTSMOUTH!H9</f>
        <v>70562</v>
      </c>
      <c r="G310" s="195">
        <f>PORTSMOUTH!I9</f>
        <v>68792</v>
      </c>
      <c r="H310" s="195">
        <f>PORTSMOUTH!J9</f>
        <v>64577</v>
      </c>
      <c r="I310" s="195">
        <f>PORTSMOUTH!K9</f>
        <v>68741</v>
      </c>
      <c r="J310" s="195">
        <f>PORTSMOUTH!L9</f>
        <v>71266</v>
      </c>
      <c r="K310" s="196">
        <f t="shared" si="12"/>
        <v>2.6059663671964984E-2</v>
      </c>
      <c r="L310" s="196"/>
      <c r="M310" s="195">
        <f t="shared" si="13"/>
        <v>-5887</v>
      </c>
      <c r="N310" s="196">
        <f t="shared" si="14"/>
        <v>-7.63029305406141E-2</v>
      </c>
      <c r="O310" s="197">
        <v>335</v>
      </c>
      <c r="P310" s="197">
        <v>277</v>
      </c>
      <c r="Q310" s="197">
        <v>275</v>
      </c>
      <c r="R310" s="197">
        <v>326</v>
      </c>
      <c r="S310" s="197">
        <v>327</v>
      </c>
      <c r="T310" s="197">
        <v>342</v>
      </c>
      <c r="U310" s="197">
        <v>429</v>
      </c>
      <c r="V310" s="197">
        <v>369</v>
      </c>
      <c r="W310" s="197">
        <v>307</v>
      </c>
      <c r="X310" s="197"/>
      <c r="Y310" s="197">
        <v>355</v>
      </c>
      <c r="Z310" s="197"/>
    </row>
    <row r="311" spans="1:26">
      <c r="A311" s="191" t="str">
        <f>'MIDD &amp; R &amp; C'!A13</f>
        <v>Middlesbrough South and East Cleveland CC</v>
      </c>
      <c r="B311" s="195">
        <f>'MIDD &amp; R &amp; C'!D15</f>
        <v>73123</v>
      </c>
      <c r="C311" s="195">
        <f>'MIDD &amp; R &amp; C'!E15</f>
        <v>72876</v>
      </c>
      <c r="D311" s="195">
        <f>'MIDD &amp; R &amp; C'!F15</f>
        <v>72691</v>
      </c>
      <c r="E311" s="195">
        <f>'MIDD &amp; R &amp; C'!G15</f>
        <v>72965</v>
      </c>
      <c r="F311" s="195">
        <f>'MIDD &amp; R &amp; C'!H15</f>
        <v>72500</v>
      </c>
      <c r="G311" s="195">
        <f>'MIDD &amp; R &amp; C'!I15</f>
        <v>71050</v>
      </c>
      <c r="H311" s="195">
        <f>'MIDD &amp; R &amp; C'!J15</f>
        <v>68970</v>
      </c>
      <c r="I311" s="195">
        <f>'MIDD &amp; R &amp; C'!K15</f>
        <v>71079</v>
      </c>
      <c r="J311" s="195">
        <f>'MIDD &amp; R &amp; C'!L15</f>
        <v>71264</v>
      </c>
      <c r="K311" s="196">
        <f t="shared" si="12"/>
        <v>-2.5422917549881706E-2</v>
      </c>
      <c r="L311" s="196"/>
      <c r="M311" s="195">
        <f t="shared" si="13"/>
        <v>-5889</v>
      </c>
      <c r="N311" s="196">
        <f t="shared" si="14"/>
        <v>-7.6328853058209009E-2</v>
      </c>
      <c r="O311" s="197">
        <v>194</v>
      </c>
      <c r="P311" s="197">
        <v>233</v>
      </c>
      <c r="Q311" s="197">
        <v>262</v>
      </c>
      <c r="R311" s="197">
        <v>256</v>
      </c>
      <c r="S311" s="197">
        <v>260</v>
      </c>
      <c r="T311" s="197">
        <v>264</v>
      </c>
      <c r="U311" s="197">
        <v>308</v>
      </c>
      <c r="V311" s="197">
        <v>290</v>
      </c>
      <c r="W311" s="197">
        <v>308</v>
      </c>
      <c r="X311" s="197"/>
      <c r="Y311" s="197">
        <v>291</v>
      </c>
      <c r="Z311" s="197"/>
    </row>
    <row r="312" spans="1:26">
      <c r="A312" s="191" t="str">
        <f>BUCKINGHAMSHIRE!A24</f>
        <v>Chesham and Amersham CC</v>
      </c>
      <c r="B312" s="195">
        <f>BUCKINGHAMSHIRE!D24</f>
        <v>70021</v>
      </c>
      <c r="C312" s="195">
        <f>BUCKINGHAMSHIRE!E24</f>
        <v>70723</v>
      </c>
      <c r="D312" s="195">
        <f>BUCKINGHAMSHIRE!F24</f>
        <v>71302</v>
      </c>
      <c r="E312" s="195">
        <f>BUCKINGHAMSHIRE!G24</f>
        <v>71912</v>
      </c>
      <c r="F312" s="195">
        <f>BUCKINGHAMSHIRE!H24</f>
        <v>72319</v>
      </c>
      <c r="G312" s="195">
        <f>BUCKINGHAMSHIRE!I24</f>
        <v>72231</v>
      </c>
      <c r="H312" s="195">
        <f>BUCKINGHAMSHIRE!J24</f>
        <v>68560</v>
      </c>
      <c r="I312" s="195">
        <f>BUCKINGHAMSHIRE!K24</f>
        <v>70675</v>
      </c>
      <c r="J312" s="195">
        <f>BUCKINGHAMSHIRE!L24</f>
        <v>71259</v>
      </c>
      <c r="K312" s="196">
        <f t="shared" si="12"/>
        <v>1.7680410162665486E-2</v>
      </c>
      <c r="L312" s="196"/>
      <c r="M312" s="195">
        <f t="shared" si="13"/>
        <v>-5894</v>
      </c>
      <c r="N312" s="196">
        <f t="shared" si="14"/>
        <v>-7.6393659352196289E-2</v>
      </c>
      <c r="O312" s="197">
        <v>322</v>
      </c>
      <c r="P312" s="197">
        <v>318</v>
      </c>
      <c r="Q312" s="197">
        <v>310</v>
      </c>
      <c r="R312" s="197">
        <v>303</v>
      </c>
      <c r="S312" s="197">
        <v>273</v>
      </c>
      <c r="T312" s="197">
        <v>225</v>
      </c>
      <c r="U312" s="197">
        <v>322</v>
      </c>
      <c r="V312" s="197">
        <v>310</v>
      </c>
      <c r="W312" s="197">
        <v>309</v>
      </c>
      <c r="X312" s="197"/>
      <c r="Y312" s="197">
        <v>102</v>
      </c>
      <c r="Z312" s="197"/>
    </row>
    <row r="313" spans="1:26">
      <c r="A313" s="191" t="str">
        <f>WARWICKSHIRE!A27</f>
        <v>Rugby CC</v>
      </c>
      <c r="B313" s="195">
        <f>WARWICKSHIRE!D29</f>
        <v>68759</v>
      </c>
      <c r="C313" s="195">
        <f>WARWICKSHIRE!E29</f>
        <v>69932</v>
      </c>
      <c r="D313" s="195">
        <f>WARWICKSHIRE!F29</f>
        <v>69771</v>
      </c>
      <c r="E313" s="195">
        <f>WARWICKSHIRE!G29</f>
        <v>70401</v>
      </c>
      <c r="F313" s="195">
        <f>WARWICKSHIRE!H29</f>
        <v>70672</v>
      </c>
      <c r="G313" s="195">
        <f>WARWICKSHIRE!I29</f>
        <v>70555</v>
      </c>
      <c r="H313" s="195">
        <f>WARWICKSHIRE!J29</f>
        <v>68478</v>
      </c>
      <c r="I313" s="195">
        <f>WARWICKSHIRE!K29</f>
        <v>70751</v>
      </c>
      <c r="J313" s="195">
        <f>WARWICKSHIRE!L29</f>
        <v>71252</v>
      </c>
      <c r="K313" s="196">
        <f t="shared" si="12"/>
        <v>3.6257071801509617E-2</v>
      </c>
      <c r="L313" s="196"/>
      <c r="M313" s="195">
        <f t="shared" si="13"/>
        <v>-5901</v>
      </c>
      <c r="N313" s="196">
        <f t="shared" si="14"/>
        <v>-7.6484388163778463E-2</v>
      </c>
      <c r="O313" s="197">
        <v>360</v>
      </c>
      <c r="P313" s="197">
        <v>342</v>
      </c>
      <c r="Q313" s="197">
        <v>356</v>
      </c>
      <c r="R313" s="197">
        <v>339</v>
      </c>
      <c r="S313" s="197">
        <v>323</v>
      </c>
      <c r="T313" s="197">
        <v>274</v>
      </c>
      <c r="U313" s="197">
        <v>324</v>
      </c>
      <c r="V313" s="197">
        <v>308</v>
      </c>
      <c r="W313" s="197">
        <v>310</v>
      </c>
      <c r="X313" s="197"/>
      <c r="Y313" s="197">
        <v>376</v>
      </c>
      <c r="Z313" s="197"/>
    </row>
    <row r="314" spans="1:26">
      <c r="A314" s="191" t="str">
        <f>NORFOLK!A27</f>
        <v>North West Norfolk CC</v>
      </c>
      <c r="B314" s="195">
        <f>NORFOLK!D27</f>
        <v>73397</v>
      </c>
      <c r="C314" s="195">
        <f>NORFOLK!E27</f>
        <v>73269</v>
      </c>
      <c r="D314" s="195">
        <f>NORFOLK!F27</f>
        <v>73415</v>
      </c>
      <c r="E314" s="195">
        <f>NORFOLK!G27</f>
        <v>73663</v>
      </c>
      <c r="F314" s="195">
        <f>NORFOLK!H27</f>
        <v>72137</v>
      </c>
      <c r="G314" s="195">
        <f>NORFOLK!I27</f>
        <v>70892</v>
      </c>
      <c r="H314" s="195">
        <f>NORFOLK!J27</f>
        <v>70679</v>
      </c>
      <c r="I314" s="195">
        <f>NORFOLK!K27</f>
        <v>70789</v>
      </c>
      <c r="J314" s="195">
        <f>NORFOLK!L27</f>
        <v>71241</v>
      </c>
      <c r="K314" s="196">
        <f t="shared" si="12"/>
        <v>-2.9374497595269562E-2</v>
      </c>
      <c r="L314" s="196"/>
      <c r="M314" s="195">
        <f t="shared" si="13"/>
        <v>-5912</v>
      </c>
      <c r="N314" s="196">
        <f t="shared" si="14"/>
        <v>-7.662696201055047E-2</v>
      </c>
      <c r="O314" s="197">
        <v>183</v>
      </c>
      <c r="P314" s="197">
        <v>218</v>
      </c>
      <c r="Q314" s="197">
        <v>227</v>
      </c>
      <c r="R314" s="197">
        <v>227</v>
      </c>
      <c r="S314" s="197">
        <v>283</v>
      </c>
      <c r="T314" s="197">
        <v>269</v>
      </c>
      <c r="U314" s="197">
        <v>242</v>
      </c>
      <c r="V314" s="197">
        <v>304</v>
      </c>
      <c r="W314" s="199">
        <v>311</v>
      </c>
      <c r="X314" s="197"/>
      <c r="Y314" s="197">
        <v>330</v>
      </c>
      <c r="Z314" s="197"/>
    </row>
    <row r="315" spans="1:26">
      <c r="A315" s="191" t="str">
        <f>DORSET!A41</f>
        <v>South Dorset CC</v>
      </c>
      <c r="B315" s="195">
        <f>DORSET!D44</f>
        <v>73168</v>
      </c>
      <c r="C315" s="195">
        <f>DORSET!E44</f>
        <v>73499</v>
      </c>
      <c r="D315" s="195">
        <f>DORSET!F44</f>
        <v>73101</v>
      </c>
      <c r="E315" s="195">
        <f>DORSET!G44</f>
        <v>72915</v>
      </c>
      <c r="F315" s="195">
        <f>DORSET!H44</f>
        <v>71158</v>
      </c>
      <c r="G315" s="195">
        <f>DORSET!I44</f>
        <v>70486</v>
      </c>
      <c r="H315" s="195">
        <f>DORSET!J44</f>
        <v>68211</v>
      </c>
      <c r="I315" s="195">
        <f>DORSET!K44</f>
        <v>71155</v>
      </c>
      <c r="J315" s="195">
        <f>DORSET!L44</f>
        <v>71224</v>
      </c>
      <c r="K315" s="196">
        <f t="shared" si="12"/>
        <v>-2.6568991909031271E-2</v>
      </c>
      <c r="L315" s="196"/>
      <c r="M315" s="195">
        <f t="shared" si="13"/>
        <v>-5929</v>
      </c>
      <c r="N315" s="196">
        <f t="shared" si="14"/>
        <v>-7.684730341010719E-2</v>
      </c>
      <c r="O315" s="197">
        <v>193</v>
      </c>
      <c r="P315" s="197">
        <v>206</v>
      </c>
      <c r="Q315" s="197">
        <v>242</v>
      </c>
      <c r="R315" s="197">
        <v>264</v>
      </c>
      <c r="S315" s="197">
        <v>308</v>
      </c>
      <c r="T315" s="197">
        <v>276</v>
      </c>
      <c r="U315" s="197">
        <v>332</v>
      </c>
      <c r="V315" s="197">
        <v>287</v>
      </c>
      <c r="W315" s="197">
        <v>312</v>
      </c>
      <c r="X315" s="197"/>
      <c r="Y315" s="197">
        <v>407</v>
      </c>
      <c r="Z315" s="197"/>
    </row>
    <row r="316" spans="1:26">
      <c r="A316" s="191" t="str">
        <f>LEWISHAM!A11</f>
        <v>Lewisham West and Penge BC</v>
      </c>
      <c r="B316" s="195">
        <f>LEWISHAM!D13</f>
        <v>68352</v>
      </c>
      <c r="C316" s="195">
        <f>LEWISHAM!E13</f>
        <v>69399</v>
      </c>
      <c r="D316" s="195">
        <f>LEWISHAM!F13</f>
        <v>69936</v>
      </c>
      <c r="E316" s="195">
        <f>LEWISHAM!G13</f>
        <v>70001</v>
      </c>
      <c r="F316" s="195">
        <f>LEWISHAM!H13</f>
        <v>70298</v>
      </c>
      <c r="G316" s="195">
        <f>LEWISHAM!I13</f>
        <v>69534</v>
      </c>
      <c r="H316" s="195">
        <f>LEWISHAM!J13</f>
        <v>67653</v>
      </c>
      <c r="I316" s="195">
        <f>LEWISHAM!K13</f>
        <v>70281</v>
      </c>
      <c r="J316" s="195">
        <f>LEWISHAM!L13</f>
        <v>71150</v>
      </c>
      <c r="K316" s="196">
        <f t="shared" si="12"/>
        <v>4.093515917602996E-2</v>
      </c>
      <c r="L316" s="196"/>
      <c r="M316" s="195">
        <f t="shared" si="13"/>
        <v>-6003</v>
      </c>
      <c r="N316" s="196">
        <f t="shared" si="14"/>
        <v>-7.7806436561118811E-2</v>
      </c>
      <c r="O316" s="197">
        <v>368</v>
      </c>
      <c r="P316" s="197">
        <v>354</v>
      </c>
      <c r="Q316" s="197">
        <v>350</v>
      </c>
      <c r="R316" s="197">
        <v>354</v>
      </c>
      <c r="S316" s="197">
        <v>343</v>
      </c>
      <c r="T316" s="199">
        <v>311</v>
      </c>
      <c r="U316" s="197">
        <v>349</v>
      </c>
      <c r="V316" s="197">
        <v>327</v>
      </c>
      <c r="W316" s="197">
        <v>313</v>
      </c>
      <c r="X316" s="197"/>
      <c r="Y316" s="197">
        <v>259</v>
      </c>
      <c r="Z316" s="197"/>
    </row>
    <row r="317" spans="1:26">
      <c r="A317" s="191" t="str">
        <f>'EAST SUSSEX'!A35</f>
        <v>Hove BC</v>
      </c>
      <c r="B317" s="195">
        <f>'EAST SUSSEX'!D35</f>
        <v>70598</v>
      </c>
      <c r="C317" s="195">
        <f>'EAST SUSSEX'!E35</f>
        <v>71181</v>
      </c>
      <c r="D317" s="195">
        <f>'EAST SUSSEX'!F35</f>
        <v>71281</v>
      </c>
      <c r="E317" s="195">
        <f>'EAST SUSSEX'!G35</f>
        <v>72923</v>
      </c>
      <c r="F317" s="195">
        <f>'EAST SUSSEX'!H35</f>
        <v>72001</v>
      </c>
      <c r="G317" s="195">
        <f>'EAST SUSSEX'!I35</f>
        <v>69184</v>
      </c>
      <c r="H317" s="195">
        <f>'EAST SUSSEX'!J35</f>
        <v>68545</v>
      </c>
      <c r="I317" s="195">
        <f>'EAST SUSSEX'!K35</f>
        <v>70557</v>
      </c>
      <c r="J317" s="195">
        <f>'EAST SUSSEX'!L35</f>
        <v>71145</v>
      </c>
      <c r="K317" s="196">
        <f t="shared" si="12"/>
        <v>7.7480948468795149E-3</v>
      </c>
      <c r="L317" s="196"/>
      <c r="M317" s="195">
        <f t="shared" si="13"/>
        <v>-6008</v>
      </c>
      <c r="N317" s="196">
        <f t="shared" si="14"/>
        <v>-7.787124285510609E-2</v>
      </c>
      <c r="O317" s="197">
        <v>306</v>
      </c>
      <c r="P317" s="197">
        <v>307</v>
      </c>
      <c r="Q317" s="199">
        <v>311</v>
      </c>
      <c r="R317" s="197">
        <v>262</v>
      </c>
      <c r="S317" s="197">
        <v>287</v>
      </c>
      <c r="T317" s="197">
        <v>324</v>
      </c>
      <c r="U317" s="197">
        <v>323</v>
      </c>
      <c r="V317" s="197">
        <v>313</v>
      </c>
      <c r="W317" s="197">
        <v>314</v>
      </c>
      <c r="X317" s="197"/>
      <c r="Y317" s="197">
        <v>226</v>
      </c>
      <c r="Z317" s="197"/>
    </row>
    <row r="318" spans="1:26">
      <c r="A318" s="191" t="str">
        <f>'GREATER MANCHESTER'!A25</f>
        <v>Blackley and Broughton BC</v>
      </c>
      <c r="B318" s="195">
        <f>'GREATER MANCHESTER'!D27</f>
        <v>68825</v>
      </c>
      <c r="C318" s="195">
        <f>'GREATER MANCHESTER'!E27</f>
        <v>69006</v>
      </c>
      <c r="D318" s="195">
        <f>'GREATER MANCHESTER'!F27</f>
        <v>71529</v>
      </c>
      <c r="E318" s="195">
        <f>'GREATER MANCHESTER'!G27</f>
        <v>72658</v>
      </c>
      <c r="F318" s="195">
        <f>'GREATER MANCHESTER'!H27</f>
        <v>73083</v>
      </c>
      <c r="G318" s="195">
        <f>'GREATER MANCHESTER'!I27</f>
        <v>71654</v>
      </c>
      <c r="H318" s="195">
        <f>'GREATER MANCHESTER'!J27</f>
        <v>72003</v>
      </c>
      <c r="I318" s="195">
        <f>'GREATER MANCHESTER'!K27</f>
        <v>70321</v>
      </c>
      <c r="J318" s="195">
        <f>'GREATER MANCHESTER'!L27</f>
        <v>71059</v>
      </c>
      <c r="K318" s="196">
        <f t="shared" si="12"/>
        <v>3.2459135488557937E-2</v>
      </c>
      <c r="L318" s="196"/>
      <c r="M318" s="195">
        <f t="shared" si="13"/>
        <v>-6094</v>
      </c>
      <c r="N318" s="196">
        <f t="shared" si="14"/>
        <v>-7.8985911111687165E-2</v>
      </c>
      <c r="O318" s="197">
        <v>356</v>
      </c>
      <c r="P318" s="197">
        <v>369</v>
      </c>
      <c r="Q318" s="197">
        <v>307</v>
      </c>
      <c r="R318" s="197">
        <v>282</v>
      </c>
      <c r="S318" s="197">
        <v>243</v>
      </c>
      <c r="T318" s="197">
        <v>244</v>
      </c>
      <c r="U318" s="197">
        <v>199</v>
      </c>
      <c r="V318" s="197">
        <v>324</v>
      </c>
      <c r="W318" s="197">
        <v>315</v>
      </c>
      <c r="X318" s="197"/>
      <c r="Y318" s="197">
        <v>42</v>
      </c>
      <c r="Z318" s="197"/>
    </row>
    <row r="319" spans="1:26">
      <c r="A319" s="191" t="str">
        <f>ISLINGTON!A7</f>
        <v>Islington North BC</v>
      </c>
      <c r="B319" s="195">
        <f>ISLINGTON!D7</f>
        <v>66472</v>
      </c>
      <c r="C319" s="195">
        <f>ISLINGTON!E7</f>
        <v>68777</v>
      </c>
      <c r="D319" s="195">
        <f>ISLINGTON!F7</f>
        <v>69416</v>
      </c>
      <c r="E319" s="195">
        <f>ISLINGTON!G7</f>
        <v>69886</v>
      </c>
      <c r="F319" s="195">
        <f>ISLINGTON!H7</f>
        <v>70382</v>
      </c>
      <c r="G319" s="195">
        <f>ISLINGTON!I7</f>
        <v>68969</v>
      </c>
      <c r="H319" s="195">
        <f>ISLINGTON!J7</f>
        <v>69208</v>
      </c>
      <c r="I319" s="195">
        <f>ISLINGTON!K7</f>
        <v>71596</v>
      </c>
      <c r="J319" s="195">
        <f>ISLINGTON!L7</f>
        <v>71051</v>
      </c>
      <c r="K319" s="196">
        <f t="shared" si="12"/>
        <v>6.8886147550848473E-2</v>
      </c>
      <c r="L319" s="196"/>
      <c r="M319" s="195">
        <f t="shared" si="13"/>
        <v>-6102</v>
      </c>
      <c r="N319" s="196">
        <f t="shared" si="14"/>
        <v>-7.9089601182066802E-2</v>
      </c>
      <c r="O319" s="197">
        <v>424</v>
      </c>
      <c r="P319" s="197">
        <v>373</v>
      </c>
      <c r="Q319" s="197">
        <v>367</v>
      </c>
      <c r="R319" s="197">
        <v>361</v>
      </c>
      <c r="S319" s="197">
        <v>339</v>
      </c>
      <c r="T319" s="197">
        <v>333</v>
      </c>
      <c r="U319" s="197">
        <v>303</v>
      </c>
      <c r="V319" s="197">
        <v>272</v>
      </c>
      <c r="W319" s="197">
        <v>316</v>
      </c>
      <c r="X319" s="197"/>
      <c r="Y319" s="197">
        <v>234</v>
      </c>
      <c r="Z319" s="197"/>
    </row>
    <row r="320" spans="1:26">
      <c r="A320" s="191" t="str">
        <f>WARWICKSHIRE!A31</f>
        <v>Stratford-on-Avon CC</v>
      </c>
      <c r="B320" s="195">
        <f>WARWICKSHIRE!D31</f>
        <v>69366</v>
      </c>
      <c r="C320" s="195">
        <f>WARWICKSHIRE!E31</f>
        <v>69108</v>
      </c>
      <c r="D320" s="195">
        <f>WARWICKSHIRE!F31</f>
        <v>69946</v>
      </c>
      <c r="E320" s="195">
        <f>WARWICKSHIRE!G31</f>
        <v>70529</v>
      </c>
      <c r="F320" s="195">
        <f>WARWICKSHIRE!H31</f>
        <v>70830</v>
      </c>
      <c r="G320" s="195">
        <f>WARWICKSHIRE!I31</f>
        <v>70006</v>
      </c>
      <c r="H320" s="195">
        <f>WARWICKSHIRE!J31</f>
        <v>69211</v>
      </c>
      <c r="I320" s="195">
        <f>WARWICKSHIRE!K31</f>
        <v>71331</v>
      </c>
      <c r="J320" s="195">
        <f>WARWICKSHIRE!L31</f>
        <v>71031</v>
      </c>
      <c r="K320" s="196">
        <f t="shared" si="12"/>
        <v>2.4003113917481188E-2</v>
      </c>
      <c r="L320" s="196"/>
      <c r="M320" s="195">
        <f t="shared" si="13"/>
        <v>-6122</v>
      </c>
      <c r="N320" s="196">
        <f t="shared" si="14"/>
        <v>-7.9348826358015892E-2</v>
      </c>
      <c r="O320" s="197">
        <v>339</v>
      </c>
      <c r="P320" s="197">
        <v>364</v>
      </c>
      <c r="Q320" s="197">
        <v>348</v>
      </c>
      <c r="R320" s="197">
        <v>334</v>
      </c>
      <c r="S320" s="197">
        <v>318</v>
      </c>
      <c r="T320" s="197">
        <v>290</v>
      </c>
      <c r="U320" s="197">
        <v>302</v>
      </c>
      <c r="V320" s="197">
        <v>283</v>
      </c>
      <c r="W320" s="197">
        <v>317</v>
      </c>
      <c r="X320" s="197"/>
      <c r="Y320" s="197">
        <v>448</v>
      </c>
      <c r="Z320" s="197"/>
    </row>
    <row r="321" spans="1:26">
      <c r="A321" s="191" t="str">
        <f>DERBYSHIRE!A36</f>
        <v>Erewash CC</v>
      </c>
      <c r="B321" s="195">
        <f>DERBYSHIRE!D36</f>
        <v>69599</v>
      </c>
      <c r="C321" s="195">
        <f>DERBYSHIRE!E36</f>
        <v>70022</v>
      </c>
      <c r="D321" s="195">
        <f>DERBYSHIRE!F36</f>
        <v>70899</v>
      </c>
      <c r="E321" s="195">
        <f>DERBYSHIRE!G36</f>
        <v>71149</v>
      </c>
      <c r="F321" s="195">
        <f>DERBYSHIRE!H36</f>
        <v>70792</v>
      </c>
      <c r="G321" s="195">
        <f>DERBYSHIRE!I36</f>
        <v>70836</v>
      </c>
      <c r="H321" s="195">
        <f>DERBYSHIRE!J36</f>
        <v>70299</v>
      </c>
      <c r="I321" s="195">
        <f>DERBYSHIRE!K36</f>
        <v>71476</v>
      </c>
      <c r="J321" s="195">
        <f>DERBYSHIRE!L36</f>
        <v>71029</v>
      </c>
      <c r="K321" s="196">
        <f t="shared" si="12"/>
        <v>2.0546272216554834E-2</v>
      </c>
      <c r="L321" s="196"/>
      <c r="M321" s="195">
        <f t="shared" si="13"/>
        <v>-6124</v>
      </c>
      <c r="N321" s="196">
        <f t="shared" si="14"/>
        <v>-7.9374748875610801E-2</v>
      </c>
      <c r="O321" s="197">
        <v>332</v>
      </c>
      <c r="P321" s="197">
        <v>338</v>
      </c>
      <c r="Q321" s="197">
        <v>319</v>
      </c>
      <c r="R321" s="197">
        <v>322</v>
      </c>
      <c r="S321" s="197">
        <v>319</v>
      </c>
      <c r="T321" s="197">
        <v>270</v>
      </c>
      <c r="U321" s="197">
        <v>258</v>
      </c>
      <c r="V321" s="197">
        <v>277</v>
      </c>
      <c r="W321" s="197">
        <v>318</v>
      </c>
      <c r="X321" s="197"/>
      <c r="Y321" s="197">
        <v>166</v>
      </c>
      <c r="Z321" s="197"/>
    </row>
    <row r="322" spans="1:26">
      <c r="A322" s="191" t="str">
        <f>ESSEX!A49</f>
        <v>Harwich and North Essex CC</v>
      </c>
      <c r="B322" s="195">
        <f>ESSEX!D51</f>
        <v>70681</v>
      </c>
      <c r="C322" s="195">
        <f>ESSEX!E51</f>
        <v>71087</v>
      </c>
      <c r="D322" s="195">
        <f>ESSEX!F51</f>
        <v>71223</v>
      </c>
      <c r="E322" s="195">
        <f>ESSEX!G51</f>
        <v>71616</v>
      </c>
      <c r="F322" s="195">
        <f>ESSEX!H51</f>
        <v>71190</v>
      </c>
      <c r="G322" s="195">
        <f>ESSEX!I51</f>
        <v>67494</v>
      </c>
      <c r="H322" s="195">
        <f>ESSEX!J51</f>
        <v>68440</v>
      </c>
      <c r="I322" s="195">
        <f>ESSEX!K51</f>
        <v>70497</v>
      </c>
      <c r="J322" s="195">
        <f>ESSEX!L51</f>
        <v>70984</v>
      </c>
      <c r="K322" s="196">
        <f t="shared" si="12"/>
        <v>4.2868663431473806E-3</v>
      </c>
      <c r="L322" s="196"/>
      <c r="M322" s="195">
        <f t="shared" si="13"/>
        <v>-6169</v>
      </c>
      <c r="N322" s="196">
        <f t="shared" si="14"/>
        <v>-7.9958005521496248E-2</v>
      </c>
      <c r="O322" s="197">
        <v>304</v>
      </c>
      <c r="P322" s="197">
        <v>310</v>
      </c>
      <c r="Q322" s="197">
        <v>313</v>
      </c>
      <c r="R322" s="197">
        <v>312</v>
      </c>
      <c r="S322" s="197">
        <v>307</v>
      </c>
      <c r="T322" s="197">
        <v>378</v>
      </c>
      <c r="U322" s="197">
        <v>327</v>
      </c>
      <c r="V322" s="197">
        <v>315</v>
      </c>
      <c r="W322" s="197">
        <v>319</v>
      </c>
      <c r="X322" s="197"/>
      <c r="Y322" s="197">
        <v>205</v>
      </c>
      <c r="Z322" s="197"/>
    </row>
    <row r="323" spans="1:26">
      <c r="A323" s="191" t="str">
        <f>ESSEX!A53</f>
        <v>Maldon CC</v>
      </c>
      <c r="B323" s="195">
        <f>ESSEX!D55</f>
        <v>68872</v>
      </c>
      <c r="C323" s="195">
        <f>ESSEX!E55</f>
        <v>69539</v>
      </c>
      <c r="D323" s="195">
        <f>ESSEX!F55</f>
        <v>68941</v>
      </c>
      <c r="E323" s="195">
        <f>ESSEX!G55</f>
        <v>69015</v>
      </c>
      <c r="F323" s="195">
        <f>ESSEX!H55</f>
        <v>69084</v>
      </c>
      <c r="G323" s="195">
        <f>ESSEX!I55</f>
        <v>68624</v>
      </c>
      <c r="H323" s="195">
        <f>ESSEX!J55</f>
        <v>68924</v>
      </c>
      <c r="I323" s="195">
        <f>ESSEX!K55</f>
        <v>70447</v>
      </c>
      <c r="J323" s="195">
        <f>ESSEX!L55</f>
        <v>70981</v>
      </c>
      <c r="K323" s="196">
        <f t="shared" si="12"/>
        <v>3.0622023463816934E-2</v>
      </c>
      <c r="L323" s="196"/>
      <c r="M323" s="195">
        <f t="shared" si="13"/>
        <v>-6172</v>
      </c>
      <c r="N323" s="196">
        <f t="shared" si="14"/>
        <v>-7.9996889297888604E-2</v>
      </c>
      <c r="O323" s="197">
        <v>353</v>
      </c>
      <c r="P323" s="197">
        <v>352</v>
      </c>
      <c r="Q323" s="197">
        <v>373</v>
      </c>
      <c r="R323" s="197">
        <v>389</v>
      </c>
      <c r="S323" s="197">
        <v>368</v>
      </c>
      <c r="T323" s="197">
        <v>346</v>
      </c>
      <c r="U323" s="197">
        <v>310</v>
      </c>
      <c r="V323" s="197">
        <v>319</v>
      </c>
      <c r="W323" s="197">
        <v>320</v>
      </c>
      <c r="X323" s="72"/>
      <c r="Y323" s="197">
        <v>277</v>
      </c>
      <c r="Z323" s="20"/>
    </row>
    <row r="324" spans="1:26">
      <c r="A324" s="191" t="str">
        <f>'WEST MIDLANDS'!A33</f>
        <v>Birmingham, Yardley BC</v>
      </c>
      <c r="B324" s="195">
        <f>'WEST MIDLANDS'!D33</f>
        <v>72732</v>
      </c>
      <c r="C324" s="195">
        <f>'WEST MIDLANDS'!E33</f>
        <v>73261</v>
      </c>
      <c r="D324" s="195">
        <f>'WEST MIDLANDS'!F33</f>
        <v>74128</v>
      </c>
      <c r="E324" s="195">
        <f>'WEST MIDLANDS'!G33</f>
        <v>73494</v>
      </c>
      <c r="F324" s="195">
        <f>'WEST MIDLANDS'!H33</f>
        <v>71818</v>
      </c>
      <c r="G324" s="195">
        <f>'WEST MIDLANDS'!I33</f>
        <v>72179</v>
      </c>
      <c r="H324" s="195">
        <f>'WEST MIDLANDS'!J33</f>
        <v>69911</v>
      </c>
      <c r="I324" s="195">
        <f>'WEST MIDLANDS'!K33</f>
        <v>70235</v>
      </c>
      <c r="J324" s="195">
        <f>'WEST MIDLANDS'!L33</f>
        <v>70980</v>
      </c>
      <c r="K324" s="196">
        <f t="shared" ref="K324:K387" si="15">(J324-B324)/B324</f>
        <v>-2.4088434251773636E-2</v>
      </c>
      <c r="L324" s="196"/>
      <c r="M324" s="195">
        <f t="shared" ref="M324:M387" si="16">J324-$J$544</f>
        <v>-6173</v>
      </c>
      <c r="N324" s="196">
        <f t="shared" ref="N324:N387" si="17">(J324-$J$544)/$J$544</f>
        <v>-8.0009850556686066E-2</v>
      </c>
      <c r="O324" s="197">
        <v>211</v>
      </c>
      <c r="P324" s="197">
        <v>219</v>
      </c>
      <c r="Q324" s="197">
        <v>194</v>
      </c>
      <c r="R324" s="197">
        <v>235</v>
      </c>
      <c r="S324" s="197">
        <v>290</v>
      </c>
      <c r="T324" s="197">
        <v>229</v>
      </c>
      <c r="U324" s="197">
        <v>273</v>
      </c>
      <c r="V324" s="197">
        <v>331</v>
      </c>
      <c r="W324" s="197">
        <v>321</v>
      </c>
      <c r="X324" s="197"/>
      <c r="Y324" s="197">
        <v>39</v>
      </c>
      <c r="Z324" s="197"/>
    </row>
    <row r="325" spans="1:26">
      <c r="A325" s="191" t="str">
        <f>'GREATER MANCHESTER'!A63</f>
        <v>Oldham West and Royton BC</v>
      </c>
      <c r="B325" s="195">
        <f>'GREATER MANCHESTER'!D63</f>
        <v>72066</v>
      </c>
      <c r="C325" s="195">
        <f>'GREATER MANCHESTER'!E63</f>
        <v>72402</v>
      </c>
      <c r="D325" s="195">
        <f>'GREATER MANCHESTER'!F63</f>
        <v>71968</v>
      </c>
      <c r="E325" s="195">
        <f>'GREATER MANCHESTER'!G63</f>
        <v>72544</v>
      </c>
      <c r="F325" s="195">
        <f>'GREATER MANCHESTER'!H63</f>
        <v>72437</v>
      </c>
      <c r="G325" s="195">
        <f>'GREATER MANCHESTER'!I63</f>
        <v>70440</v>
      </c>
      <c r="H325" s="195">
        <f>'GREATER MANCHESTER'!J63</f>
        <v>69456</v>
      </c>
      <c r="I325" s="195">
        <f>'GREATER MANCHESTER'!K63</f>
        <v>70917</v>
      </c>
      <c r="J325" s="195">
        <f>'GREATER MANCHESTER'!L63</f>
        <v>70945</v>
      </c>
      <c r="K325" s="196">
        <f t="shared" si="15"/>
        <v>-1.5555185524380429E-2</v>
      </c>
      <c r="L325" s="196"/>
      <c r="M325" s="195">
        <f t="shared" si="16"/>
        <v>-6208</v>
      </c>
      <c r="N325" s="196">
        <f t="shared" si="17"/>
        <v>-8.0463494614596967E-2</v>
      </c>
      <c r="O325" s="197">
        <v>238</v>
      </c>
      <c r="P325" s="197">
        <v>256</v>
      </c>
      <c r="Q325" s="197">
        <v>295</v>
      </c>
      <c r="R325" s="197">
        <v>286</v>
      </c>
      <c r="S325" s="197">
        <v>264</v>
      </c>
      <c r="T325" s="197">
        <v>277</v>
      </c>
      <c r="U325" s="197">
        <v>294</v>
      </c>
      <c r="V325" s="197">
        <v>297</v>
      </c>
      <c r="W325" s="197">
        <v>322</v>
      </c>
      <c r="X325" s="197"/>
      <c r="Y325" s="197">
        <v>342</v>
      </c>
      <c r="Z325" s="197"/>
    </row>
    <row r="326" spans="1:26">
      <c r="A326" s="191" t="str">
        <f>DERBYSHIRE!A26</f>
        <v>Chesterfield BC</v>
      </c>
      <c r="B326" s="195">
        <f>DERBYSHIRE!D26</f>
        <v>72077</v>
      </c>
      <c r="C326" s="195">
        <f>DERBYSHIRE!E26</f>
        <v>72866</v>
      </c>
      <c r="D326" s="195">
        <f>DERBYSHIRE!F26</f>
        <v>72611</v>
      </c>
      <c r="E326" s="195">
        <f>DERBYSHIRE!G26</f>
        <v>73542</v>
      </c>
      <c r="F326" s="195">
        <f>DERBYSHIRE!H26</f>
        <v>72368</v>
      </c>
      <c r="G326" s="195">
        <f>DERBYSHIRE!I26</f>
        <v>70046</v>
      </c>
      <c r="H326" s="195">
        <f>DERBYSHIRE!J26</f>
        <v>71297</v>
      </c>
      <c r="I326" s="195">
        <f>DERBYSHIRE!K26</f>
        <v>71818</v>
      </c>
      <c r="J326" s="195">
        <f>DERBYSHIRE!L26</f>
        <v>70942</v>
      </c>
      <c r="K326" s="196">
        <f t="shared" si="15"/>
        <v>-1.5747048295572792E-2</v>
      </c>
      <c r="L326" s="196"/>
      <c r="M326" s="195">
        <f t="shared" si="16"/>
        <v>-6211</v>
      </c>
      <c r="N326" s="196">
        <f t="shared" si="17"/>
        <v>-8.0502378390989338E-2</v>
      </c>
      <c r="O326" s="197">
        <v>237</v>
      </c>
      <c r="P326" s="197">
        <v>234</v>
      </c>
      <c r="Q326" s="197">
        <v>267</v>
      </c>
      <c r="R326" s="197">
        <v>233</v>
      </c>
      <c r="S326" s="197">
        <v>270</v>
      </c>
      <c r="T326" s="197">
        <v>289</v>
      </c>
      <c r="U326" s="197">
        <v>223</v>
      </c>
      <c r="V326" s="197">
        <v>263</v>
      </c>
      <c r="W326" s="197">
        <v>323</v>
      </c>
      <c r="X326" s="197"/>
      <c r="Y326" s="197">
        <v>103</v>
      </c>
      <c r="Z326" s="197"/>
    </row>
    <row r="327" spans="1:26">
      <c r="A327" s="191" t="str">
        <f>SUTTON!A7</f>
        <v>Carshalton and Wallington BC</v>
      </c>
      <c r="B327" s="195">
        <f>SUTTON!D7</f>
        <v>66634</v>
      </c>
      <c r="C327" s="195">
        <f>SUTTON!E7</f>
        <v>67044</v>
      </c>
      <c r="D327" s="195">
        <f>SUTTON!F7</f>
        <v>68700</v>
      </c>
      <c r="E327" s="195">
        <f>SUTTON!G7</f>
        <v>69666</v>
      </c>
      <c r="F327" s="195">
        <f>SUTTON!H7</f>
        <v>70384</v>
      </c>
      <c r="G327" s="195">
        <f>SUTTON!I7</f>
        <v>70002</v>
      </c>
      <c r="H327" s="195">
        <f>SUTTON!J7</f>
        <v>68304</v>
      </c>
      <c r="I327" s="195">
        <f>SUTTON!K7</f>
        <v>70258</v>
      </c>
      <c r="J327" s="195">
        <f>SUTTON!L7</f>
        <v>70937</v>
      </c>
      <c r="K327" s="196">
        <f t="shared" si="15"/>
        <v>6.4576642554851876E-2</v>
      </c>
      <c r="L327" s="196"/>
      <c r="M327" s="195">
        <f t="shared" si="16"/>
        <v>-6216</v>
      </c>
      <c r="N327" s="196">
        <f t="shared" si="17"/>
        <v>-8.0567184684976603E-2</v>
      </c>
      <c r="O327" s="197">
        <v>423</v>
      </c>
      <c r="P327" s="197">
        <v>420</v>
      </c>
      <c r="Q327" s="197">
        <v>381</v>
      </c>
      <c r="R327" s="197">
        <v>369</v>
      </c>
      <c r="S327" s="197">
        <v>338</v>
      </c>
      <c r="T327" s="197">
        <v>292</v>
      </c>
      <c r="U327" s="197">
        <v>328</v>
      </c>
      <c r="V327" s="197">
        <v>329</v>
      </c>
      <c r="W327" s="197">
        <v>324</v>
      </c>
      <c r="X327" s="197"/>
      <c r="Y327" s="197">
        <v>92</v>
      </c>
      <c r="Z327" s="197"/>
    </row>
    <row r="328" spans="1:26">
      <c r="A328" s="191" t="str">
        <f>'GREATER MANCHESTER'!A61</f>
        <v>Oldham East and Saddleworth CC</v>
      </c>
      <c r="B328" s="195">
        <f>'GREATER MANCHESTER'!D61</f>
        <v>72307</v>
      </c>
      <c r="C328" s="195">
        <f>'GREATER MANCHESTER'!E61</f>
        <v>72249</v>
      </c>
      <c r="D328" s="195">
        <f>'GREATER MANCHESTER'!F61</f>
        <v>71211</v>
      </c>
      <c r="E328" s="195">
        <f>'GREATER MANCHESTER'!G61</f>
        <v>72260</v>
      </c>
      <c r="F328" s="195">
        <f>'GREATER MANCHESTER'!H61</f>
        <v>72168</v>
      </c>
      <c r="G328" s="195">
        <f>'GREATER MANCHESTER'!I61</f>
        <v>70237</v>
      </c>
      <c r="H328" s="195">
        <f>'GREATER MANCHESTER'!J61</f>
        <v>69222</v>
      </c>
      <c r="I328" s="195">
        <f>'GREATER MANCHESTER'!K61</f>
        <v>70446</v>
      </c>
      <c r="J328" s="195">
        <f>'GREATER MANCHESTER'!L61</f>
        <v>70897</v>
      </c>
      <c r="K328" s="196">
        <f t="shared" si="15"/>
        <v>-1.9500186703915252E-2</v>
      </c>
      <c r="L328" s="196"/>
      <c r="M328" s="195">
        <f t="shared" si="16"/>
        <v>-6256</v>
      </c>
      <c r="N328" s="196">
        <f t="shared" si="17"/>
        <v>-8.1085635036874784E-2</v>
      </c>
      <c r="O328" s="197">
        <v>229</v>
      </c>
      <c r="P328" s="197">
        <v>259</v>
      </c>
      <c r="Q328" s="197">
        <v>314</v>
      </c>
      <c r="R328" s="197">
        <v>295</v>
      </c>
      <c r="S328" s="197">
        <v>280</v>
      </c>
      <c r="T328" s="197">
        <v>282</v>
      </c>
      <c r="U328" s="197">
        <v>301</v>
      </c>
      <c r="V328" s="197">
        <v>320</v>
      </c>
      <c r="W328" s="197">
        <v>325</v>
      </c>
      <c r="X328" s="197"/>
      <c r="Y328" s="197">
        <v>341</v>
      </c>
      <c r="Z328" s="197"/>
    </row>
    <row r="329" spans="1:26">
      <c r="A329" s="191" t="str">
        <f>KENT!A64</f>
        <v>South Thanet CC</v>
      </c>
      <c r="B329" s="195">
        <f>KENT!D66</f>
        <v>70367</v>
      </c>
      <c r="C329" s="195">
        <f>KENT!E66</f>
        <v>67970</v>
      </c>
      <c r="D329" s="195">
        <f>KENT!F66</f>
        <v>67991</v>
      </c>
      <c r="E329" s="195">
        <f>KENT!G66</f>
        <v>69337</v>
      </c>
      <c r="F329" s="195">
        <f>KENT!H66</f>
        <v>71212</v>
      </c>
      <c r="G329" s="195">
        <f>KENT!I66</f>
        <v>68983</v>
      </c>
      <c r="H329" s="195">
        <f>KENT!J66</f>
        <v>70012</v>
      </c>
      <c r="I329" s="195">
        <f>KENT!K66</f>
        <v>70413</v>
      </c>
      <c r="J329" s="195">
        <f>KENT!L66</f>
        <v>70891</v>
      </c>
      <c r="K329" s="196">
        <f t="shared" si="15"/>
        <v>7.4466724458908291E-3</v>
      </c>
      <c r="L329" s="196"/>
      <c r="M329" s="195">
        <f t="shared" si="16"/>
        <v>-6262</v>
      </c>
      <c r="N329" s="196">
        <f t="shared" si="17"/>
        <v>-8.1163402589659511E-2</v>
      </c>
      <c r="O329" s="197">
        <v>314</v>
      </c>
      <c r="P329" s="197">
        <v>395</v>
      </c>
      <c r="Q329" s="197">
        <v>400</v>
      </c>
      <c r="R329" s="197">
        <v>376</v>
      </c>
      <c r="S329" s="197">
        <v>305</v>
      </c>
      <c r="T329" s="197">
        <v>332</v>
      </c>
      <c r="U329" s="197">
        <v>271</v>
      </c>
      <c r="V329" s="197">
        <v>321</v>
      </c>
      <c r="W329" s="197">
        <v>326</v>
      </c>
      <c r="X329" s="197"/>
      <c r="Y329" s="197">
        <v>419</v>
      </c>
      <c r="Z329" s="197"/>
    </row>
    <row r="330" spans="1:26">
      <c r="A330" s="191" t="str">
        <f>NOTTINGHAMSHIRE!A23</f>
        <v>Gedling CC</v>
      </c>
      <c r="B330" s="195">
        <f>NOTTINGHAMSHIRE!D23</f>
        <v>70989</v>
      </c>
      <c r="C330" s="195">
        <f>NOTTINGHAMSHIRE!E23</f>
        <v>70886</v>
      </c>
      <c r="D330" s="195">
        <f>NOTTINGHAMSHIRE!F23</f>
        <v>70420</v>
      </c>
      <c r="E330" s="195">
        <f>NOTTINGHAMSHIRE!G23</f>
        <v>71511</v>
      </c>
      <c r="F330" s="195">
        <f>NOTTINGHAMSHIRE!H23</f>
        <v>68307</v>
      </c>
      <c r="G330" s="195">
        <f>NOTTINGHAMSHIRE!I23</f>
        <v>68950</v>
      </c>
      <c r="H330" s="195">
        <f>NOTTINGHAMSHIRE!J23</f>
        <v>68900</v>
      </c>
      <c r="I330" s="195">
        <f>NOTTINGHAMSHIRE!K23</f>
        <v>70782</v>
      </c>
      <c r="J330" s="195">
        <f>NOTTINGHAMSHIRE!L23</f>
        <v>70818</v>
      </c>
      <c r="K330" s="196">
        <f t="shared" si="15"/>
        <v>-2.4088239022947216E-3</v>
      </c>
      <c r="L330" s="196"/>
      <c r="M330" s="195">
        <f t="shared" si="16"/>
        <v>-6335</v>
      </c>
      <c r="N330" s="196">
        <f t="shared" si="17"/>
        <v>-8.2109574481873684E-2</v>
      </c>
      <c r="O330" s="197">
        <v>294</v>
      </c>
      <c r="P330" s="197">
        <v>313</v>
      </c>
      <c r="Q330" s="197">
        <v>334</v>
      </c>
      <c r="R330" s="197">
        <v>315</v>
      </c>
      <c r="S330" s="197">
        <v>393</v>
      </c>
      <c r="T330" s="197">
        <v>334</v>
      </c>
      <c r="U330" s="199">
        <v>311</v>
      </c>
      <c r="V330" s="197">
        <v>305</v>
      </c>
      <c r="W330" s="197">
        <v>327</v>
      </c>
      <c r="X330" s="197"/>
      <c r="Y330" s="197">
        <v>181</v>
      </c>
      <c r="Z330" s="197"/>
    </row>
    <row r="331" spans="1:26">
      <c r="A331" s="191" t="str">
        <f>PORTSMOUTH!A7</f>
        <v>Portsmouth North BC</v>
      </c>
      <c r="B331" s="195">
        <f>PORTSMOUTH!D7</f>
        <v>70464</v>
      </c>
      <c r="C331" s="195">
        <f>PORTSMOUTH!E7</f>
        <v>71798</v>
      </c>
      <c r="D331" s="195">
        <f>PORTSMOUTH!F7</f>
        <v>72474</v>
      </c>
      <c r="E331" s="195">
        <f>PORTSMOUTH!G7</f>
        <v>72724</v>
      </c>
      <c r="F331" s="195">
        <f>PORTSMOUTH!H7</f>
        <v>72330</v>
      </c>
      <c r="G331" s="195">
        <f>PORTSMOUTH!I7</f>
        <v>72909</v>
      </c>
      <c r="H331" s="195">
        <f>PORTSMOUTH!J7</f>
        <v>70315</v>
      </c>
      <c r="I331" s="195">
        <f>PORTSMOUTH!K7</f>
        <v>70879</v>
      </c>
      <c r="J331" s="195">
        <f>PORTSMOUTH!L7</f>
        <v>70748</v>
      </c>
      <c r="K331" s="196">
        <f t="shared" si="15"/>
        <v>4.0304268846503176E-3</v>
      </c>
      <c r="L331" s="196"/>
      <c r="M331" s="195">
        <f t="shared" si="16"/>
        <v>-6405</v>
      </c>
      <c r="N331" s="196">
        <f t="shared" si="17"/>
        <v>-8.3016862597695487E-2</v>
      </c>
      <c r="O331" s="197">
        <v>310</v>
      </c>
      <c r="P331" s="197">
        <v>285</v>
      </c>
      <c r="Q331" s="197">
        <v>271</v>
      </c>
      <c r="R331" s="197">
        <v>279</v>
      </c>
      <c r="S331" s="197">
        <v>272</v>
      </c>
      <c r="T331" s="197">
        <v>190</v>
      </c>
      <c r="U331" s="197">
        <v>257</v>
      </c>
      <c r="V331" s="197">
        <v>298</v>
      </c>
      <c r="W331" s="197">
        <v>328</v>
      </c>
      <c r="X331" s="197"/>
      <c r="Y331" s="197">
        <v>354</v>
      </c>
      <c r="Z331" s="197"/>
    </row>
    <row r="332" spans="1:26">
      <c r="A332" s="191" t="str">
        <f>STAFFORDSHIRE!A42</f>
        <v>Stoke-on-Trent North BC</v>
      </c>
      <c r="B332" s="195">
        <f>STAFFORDSHIRE!D44</f>
        <v>72245</v>
      </c>
      <c r="C332" s="195">
        <f>STAFFORDSHIRE!E44</f>
        <v>72225</v>
      </c>
      <c r="D332" s="195">
        <f>STAFFORDSHIRE!F44</f>
        <v>72285</v>
      </c>
      <c r="E332" s="195">
        <f>STAFFORDSHIRE!G44</f>
        <v>72280</v>
      </c>
      <c r="F332" s="195">
        <f>STAFFORDSHIRE!H44</f>
        <v>72333</v>
      </c>
      <c r="G332" s="195">
        <f>STAFFORDSHIRE!I44</f>
        <v>71047</v>
      </c>
      <c r="H332" s="195">
        <f>STAFFORDSHIRE!J44</f>
        <v>69709</v>
      </c>
      <c r="I332" s="195">
        <f>STAFFORDSHIRE!K44</f>
        <v>69037</v>
      </c>
      <c r="J332" s="195">
        <f>STAFFORDSHIRE!L44</f>
        <v>70742</v>
      </c>
      <c r="K332" s="196">
        <f t="shared" si="15"/>
        <v>-2.0804207903661154E-2</v>
      </c>
      <c r="L332" s="196"/>
      <c r="M332" s="195">
        <f t="shared" si="16"/>
        <v>-6411</v>
      </c>
      <c r="N332" s="196">
        <f t="shared" si="17"/>
        <v>-8.3094630150480214E-2</v>
      </c>
      <c r="O332" s="197">
        <v>232</v>
      </c>
      <c r="P332" s="197">
        <v>260</v>
      </c>
      <c r="Q332" s="197">
        <v>285</v>
      </c>
      <c r="R332" s="197">
        <v>294</v>
      </c>
      <c r="S332" s="197">
        <v>271</v>
      </c>
      <c r="T332" s="197">
        <v>265</v>
      </c>
      <c r="U332" s="197">
        <v>285</v>
      </c>
      <c r="V332" s="197">
        <v>362</v>
      </c>
      <c r="W332" s="197">
        <v>329</v>
      </c>
      <c r="X332" s="197"/>
      <c r="Y332" s="197">
        <v>444</v>
      </c>
      <c r="Z332" s="197"/>
    </row>
    <row r="333" spans="1:26">
      <c r="A333" s="191" t="str">
        <f>DEVON!A35</f>
        <v>Newton Abbot CC</v>
      </c>
      <c r="B333" s="195">
        <f>DEVON!D35</f>
        <v>69406</v>
      </c>
      <c r="C333" s="195">
        <f>DEVON!E35</f>
        <v>69600</v>
      </c>
      <c r="D333" s="195">
        <f>DEVON!F35</f>
        <v>69921</v>
      </c>
      <c r="E333" s="195">
        <f>DEVON!G35</f>
        <v>70170</v>
      </c>
      <c r="F333" s="195">
        <f>DEVON!H35</f>
        <v>70554</v>
      </c>
      <c r="G333" s="195">
        <f>DEVON!I35</f>
        <v>69320</v>
      </c>
      <c r="H333" s="195">
        <f>DEVON!J35</f>
        <v>67896</v>
      </c>
      <c r="I333" s="195">
        <f>DEVON!K35</f>
        <v>69813</v>
      </c>
      <c r="J333" s="195">
        <f>DEVON!L35</f>
        <v>70724</v>
      </c>
      <c r="K333" s="196">
        <f t="shared" si="15"/>
        <v>1.8989712704953463E-2</v>
      </c>
      <c r="L333" s="196"/>
      <c r="M333" s="195">
        <f t="shared" si="16"/>
        <v>-6429</v>
      </c>
      <c r="N333" s="196">
        <f t="shared" si="17"/>
        <v>-8.3327932808834396E-2</v>
      </c>
      <c r="O333" s="197">
        <v>337</v>
      </c>
      <c r="P333" s="197">
        <v>351</v>
      </c>
      <c r="Q333" s="197">
        <v>351</v>
      </c>
      <c r="R333" s="197">
        <v>348</v>
      </c>
      <c r="S333" s="197">
        <v>329</v>
      </c>
      <c r="T333" s="197">
        <v>320</v>
      </c>
      <c r="U333" s="197">
        <v>340</v>
      </c>
      <c r="V333" s="197">
        <v>342</v>
      </c>
      <c r="W333" s="197">
        <v>330</v>
      </c>
      <c r="X333" s="197"/>
      <c r="Y333" s="197">
        <v>306</v>
      </c>
      <c r="Z333" s="197"/>
    </row>
    <row r="334" spans="1:26">
      <c r="A334" s="191" t="str">
        <f>'EAST SUSSEX'!A25</f>
        <v>Brighton, Pavilion BC</v>
      </c>
      <c r="B334" s="195">
        <f>'EAST SUSSEX'!D25</f>
        <v>72234</v>
      </c>
      <c r="C334" s="195">
        <f>'EAST SUSSEX'!E25</f>
        <v>73430</v>
      </c>
      <c r="D334" s="195">
        <f>'EAST SUSSEX'!F25</f>
        <v>73803</v>
      </c>
      <c r="E334" s="195">
        <f>'EAST SUSSEX'!G25</f>
        <v>75540</v>
      </c>
      <c r="F334" s="195">
        <f>'EAST SUSSEX'!H25</f>
        <v>73889</v>
      </c>
      <c r="G334" s="195">
        <f>'EAST SUSSEX'!I25</f>
        <v>66386</v>
      </c>
      <c r="H334" s="195">
        <f>'EAST SUSSEX'!J25</f>
        <v>67700</v>
      </c>
      <c r="I334" s="195">
        <f>'EAST SUSSEX'!K25</f>
        <v>68326</v>
      </c>
      <c r="J334" s="195">
        <f>'EAST SUSSEX'!L25</f>
        <v>70700</v>
      </c>
      <c r="K334" s="196">
        <f t="shared" si="15"/>
        <v>-2.1236536810920064E-2</v>
      </c>
      <c r="L334" s="196"/>
      <c r="M334" s="195">
        <f t="shared" si="16"/>
        <v>-6453</v>
      </c>
      <c r="N334" s="196">
        <f t="shared" si="17"/>
        <v>-8.3639003019973304E-2</v>
      </c>
      <c r="O334" s="197">
        <v>233</v>
      </c>
      <c r="P334" s="197">
        <v>210</v>
      </c>
      <c r="Q334" s="197">
        <v>208</v>
      </c>
      <c r="R334" s="197">
        <v>171</v>
      </c>
      <c r="S334" s="197">
        <v>210</v>
      </c>
      <c r="T334" s="197">
        <v>409</v>
      </c>
      <c r="U334" s="197">
        <v>347</v>
      </c>
      <c r="V334" s="197">
        <v>379</v>
      </c>
      <c r="W334" s="197">
        <v>331</v>
      </c>
      <c r="X334" s="197"/>
      <c r="Y334" s="197">
        <v>69</v>
      </c>
      <c r="Z334" s="197"/>
    </row>
    <row r="335" spans="1:26">
      <c r="A335" s="191" t="str">
        <f>KENT!A60</f>
        <v>Sevenoaks CC</v>
      </c>
      <c r="B335" s="195">
        <f>KENT!D60</f>
        <v>70079</v>
      </c>
      <c r="C335" s="195">
        <f>KENT!E60</f>
        <v>69925</v>
      </c>
      <c r="D335" s="195">
        <f>KENT!F60</f>
        <v>70533</v>
      </c>
      <c r="E335" s="195">
        <f>KENT!G60</f>
        <v>70689</v>
      </c>
      <c r="F335" s="195">
        <f>KENT!H60</f>
        <v>69071</v>
      </c>
      <c r="G335" s="195">
        <f>KENT!I60</f>
        <v>69158</v>
      </c>
      <c r="H335" s="195">
        <f>KENT!J60</f>
        <v>69288</v>
      </c>
      <c r="I335" s="195">
        <f>KENT!K60</f>
        <v>70289</v>
      </c>
      <c r="J335" s="195">
        <f>KENT!L60</f>
        <v>70620</v>
      </c>
      <c r="K335" s="196">
        <f t="shared" si="15"/>
        <v>7.7198590162530856E-3</v>
      </c>
      <c r="L335" s="196"/>
      <c r="M335" s="195">
        <f t="shared" si="16"/>
        <v>-6533</v>
      </c>
      <c r="N335" s="196">
        <f t="shared" si="17"/>
        <v>-8.4675903723769652E-2</v>
      </c>
      <c r="O335" s="197">
        <v>320</v>
      </c>
      <c r="P335" s="197">
        <v>343</v>
      </c>
      <c r="Q335" s="197">
        <v>332</v>
      </c>
      <c r="R335" s="197">
        <v>333</v>
      </c>
      <c r="S335" s="197">
        <v>370</v>
      </c>
      <c r="T335" s="197">
        <v>326</v>
      </c>
      <c r="U335" s="197">
        <v>300</v>
      </c>
      <c r="V335" s="197">
        <v>326</v>
      </c>
      <c r="W335" s="197">
        <v>332</v>
      </c>
      <c r="X335" s="197"/>
      <c r="Y335" s="197">
        <v>389</v>
      </c>
      <c r="Z335" s="197"/>
    </row>
    <row r="336" spans="1:26">
      <c r="A336" s="191" t="str">
        <f>'GREATER MANCHESTER'!A73</f>
        <v>Stretford and Urmston BC</v>
      </c>
      <c r="B336" s="195">
        <f>'GREATER MANCHESTER'!D73</f>
        <v>70056</v>
      </c>
      <c r="C336" s="195">
        <f>'GREATER MANCHESTER'!E73</f>
        <v>70520</v>
      </c>
      <c r="D336" s="195">
        <f>'GREATER MANCHESTER'!F73</f>
        <v>66507</v>
      </c>
      <c r="E336" s="195">
        <f>'GREATER MANCHESTER'!G73</f>
        <v>66984</v>
      </c>
      <c r="F336" s="195">
        <f>'GREATER MANCHESTER'!H73</f>
        <v>67417</v>
      </c>
      <c r="G336" s="195">
        <f>'GREATER MANCHESTER'!I73</f>
        <v>66634</v>
      </c>
      <c r="H336" s="195">
        <f>'GREATER MANCHESTER'!J73</f>
        <v>67424</v>
      </c>
      <c r="I336" s="195">
        <f>'GREATER MANCHESTER'!K73</f>
        <v>69001</v>
      </c>
      <c r="J336" s="195">
        <f>'GREATER MANCHESTER'!L73</f>
        <v>70615</v>
      </c>
      <c r="K336" s="196">
        <f t="shared" si="15"/>
        <v>7.9793308210574405E-3</v>
      </c>
      <c r="L336" s="196"/>
      <c r="M336" s="195">
        <f t="shared" si="16"/>
        <v>-6538</v>
      </c>
      <c r="N336" s="196">
        <f t="shared" si="17"/>
        <v>-8.4740710017756918E-2</v>
      </c>
      <c r="O336" s="197">
        <v>321</v>
      </c>
      <c r="P336" s="197">
        <v>328</v>
      </c>
      <c r="Q336" s="197">
        <v>447</v>
      </c>
      <c r="R336" s="197">
        <v>443</v>
      </c>
      <c r="S336" s="197">
        <v>414</v>
      </c>
      <c r="T336" s="197">
        <v>401</v>
      </c>
      <c r="U336" s="197">
        <v>362</v>
      </c>
      <c r="V336" s="197">
        <v>364</v>
      </c>
      <c r="W336" s="197">
        <v>333</v>
      </c>
      <c r="X336" s="197"/>
      <c r="Y336" s="197">
        <v>450</v>
      </c>
      <c r="Z336" s="197"/>
    </row>
    <row r="337" spans="1:26">
      <c r="A337" s="191" t="str">
        <f>'WEST MIDLANDS'!A27</f>
        <v>Birmingham, Northfield BC</v>
      </c>
      <c r="B337" s="195">
        <f>'WEST MIDLANDS'!D27</f>
        <v>71866</v>
      </c>
      <c r="C337" s="195">
        <f>'WEST MIDLANDS'!E27</f>
        <v>72190</v>
      </c>
      <c r="D337" s="195">
        <f>'WEST MIDLANDS'!F27</f>
        <v>73071</v>
      </c>
      <c r="E337" s="195">
        <f>'WEST MIDLANDS'!G27</f>
        <v>72659</v>
      </c>
      <c r="F337" s="195">
        <f>'WEST MIDLANDS'!H27</f>
        <v>71315</v>
      </c>
      <c r="G337" s="195">
        <f>'WEST MIDLANDS'!I27</f>
        <v>71803</v>
      </c>
      <c r="H337" s="195">
        <f>'WEST MIDLANDS'!J27</f>
        <v>69377</v>
      </c>
      <c r="I337" s="195">
        <f>'WEST MIDLANDS'!K27</f>
        <v>70001</v>
      </c>
      <c r="J337" s="195">
        <f>'WEST MIDLANDS'!L27</f>
        <v>70614</v>
      </c>
      <c r="K337" s="196">
        <f t="shared" si="15"/>
        <v>-1.7421311886010073E-2</v>
      </c>
      <c r="L337" s="196"/>
      <c r="M337" s="195">
        <f t="shared" si="16"/>
        <v>-6539</v>
      </c>
      <c r="N337" s="196">
        <f t="shared" si="17"/>
        <v>-8.4753671276554379E-2</v>
      </c>
      <c r="O337" s="197">
        <v>255</v>
      </c>
      <c r="P337" s="197">
        <v>262</v>
      </c>
      <c r="Q337" s="197">
        <v>245</v>
      </c>
      <c r="R337" s="197">
        <v>281</v>
      </c>
      <c r="S337" s="197">
        <v>303</v>
      </c>
      <c r="T337" s="197">
        <v>237</v>
      </c>
      <c r="U337" s="197">
        <v>296</v>
      </c>
      <c r="V337" s="197">
        <v>338</v>
      </c>
      <c r="W337" s="197">
        <v>334</v>
      </c>
      <c r="X337" s="197"/>
      <c r="Y337" s="197">
        <v>36</v>
      </c>
      <c r="Z337" s="197"/>
    </row>
    <row r="338" spans="1:26">
      <c r="A338" s="191" t="str">
        <f>'WEST YORKSHIRE'!A35</f>
        <v>Keighley CC</v>
      </c>
      <c r="B338" s="195">
        <f>'WEST YORKSHIRE'!D35</f>
        <v>65277</v>
      </c>
      <c r="C338" s="195">
        <f>'WEST YORKSHIRE'!E35</f>
        <v>66967</v>
      </c>
      <c r="D338" s="195">
        <f>'WEST YORKSHIRE'!F35</f>
        <v>67406</v>
      </c>
      <c r="E338" s="195">
        <f>'WEST YORKSHIRE'!G35</f>
        <v>69031</v>
      </c>
      <c r="F338" s="195">
        <f>'WEST YORKSHIRE'!H35</f>
        <v>69807</v>
      </c>
      <c r="G338" s="195">
        <f>'WEST YORKSHIRE'!I35</f>
        <v>67391</v>
      </c>
      <c r="H338" s="195">
        <f>'WEST YORKSHIRE'!J35</f>
        <v>67409</v>
      </c>
      <c r="I338" s="195">
        <f>'WEST YORKSHIRE'!K35</f>
        <v>70088</v>
      </c>
      <c r="J338" s="195">
        <f>'WEST YORKSHIRE'!L35</f>
        <v>70602</v>
      </c>
      <c r="K338" s="196">
        <f t="shared" si="15"/>
        <v>8.1575440047796308E-2</v>
      </c>
      <c r="L338" s="196"/>
      <c r="M338" s="195">
        <f t="shared" si="16"/>
        <v>-6551</v>
      </c>
      <c r="N338" s="196">
        <f t="shared" si="17"/>
        <v>-8.4909206382123834E-2</v>
      </c>
      <c r="O338" s="197">
        <v>456</v>
      </c>
      <c r="P338" s="197">
        <v>424</v>
      </c>
      <c r="Q338" s="197">
        <v>418</v>
      </c>
      <c r="R338" s="197">
        <v>387</v>
      </c>
      <c r="S338" s="197">
        <v>352</v>
      </c>
      <c r="T338" s="197">
        <v>382</v>
      </c>
      <c r="U338" s="197">
        <v>363</v>
      </c>
      <c r="V338" s="197">
        <v>333</v>
      </c>
      <c r="W338" s="197">
        <v>335</v>
      </c>
      <c r="X338" s="197"/>
      <c r="Y338" s="197">
        <v>237</v>
      </c>
      <c r="Z338" s="197"/>
    </row>
    <row r="339" spans="1:26">
      <c r="A339" s="191" t="str">
        <f>CORNWALL!A14</f>
        <v>South East Cornwall CC</v>
      </c>
      <c r="B339" s="195">
        <f>CORNWALL!D14</f>
        <v>71900</v>
      </c>
      <c r="C339" s="195">
        <f>CORNWALL!E14</f>
        <v>71851</v>
      </c>
      <c r="D339" s="195">
        <f>CORNWALL!F14</f>
        <v>70847</v>
      </c>
      <c r="E339" s="195">
        <f>CORNWALL!G14</f>
        <v>71466</v>
      </c>
      <c r="F339" s="195">
        <f>CORNWALL!H14</f>
        <v>68570</v>
      </c>
      <c r="G339" s="195">
        <f>CORNWALL!I14</f>
        <v>69873</v>
      </c>
      <c r="H339" s="195">
        <f>CORNWALL!J14</f>
        <v>66757</v>
      </c>
      <c r="I339" s="195">
        <f>CORNWALL!K14</f>
        <v>69069</v>
      </c>
      <c r="J339" s="195">
        <f>CORNWALL!L14</f>
        <v>70599</v>
      </c>
      <c r="K339" s="196">
        <f t="shared" si="15"/>
        <v>-1.8094575799721836E-2</v>
      </c>
      <c r="L339" s="196"/>
      <c r="M339" s="195">
        <f t="shared" si="16"/>
        <v>-6554</v>
      </c>
      <c r="N339" s="196">
        <f t="shared" si="17"/>
        <v>-8.494809015851619E-2</v>
      </c>
      <c r="O339" s="197">
        <v>252</v>
      </c>
      <c r="P339" s="197">
        <v>282</v>
      </c>
      <c r="Q339" s="197">
        <v>320</v>
      </c>
      <c r="R339" s="197">
        <v>317</v>
      </c>
      <c r="S339" s="197">
        <v>383</v>
      </c>
      <c r="T339" s="197">
        <v>296</v>
      </c>
      <c r="U339" s="197">
        <v>380</v>
      </c>
      <c r="V339" s="197">
        <v>360</v>
      </c>
      <c r="W339" s="197">
        <v>336</v>
      </c>
      <c r="X339" s="197"/>
      <c r="Y339" s="197">
        <v>409</v>
      </c>
      <c r="Z339" s="197"/>
    </row>
    <row r="340" spans="1:26">
      <c r="A340" s="191" t="str">
        <f>NORTHAMPTONSHIRE!A24</f>
        <v>Kettering CC</v>
      </c>
      <c r="B340" s="195">
        <f>NORTHAMPTONSHIRE!D24</f>
        <v>68786</v>
      </c>
      <c r="C340" s="195">
        <f>NORTHAMPTONSHIRE!E24</f>
        <v>69610</v>
      </c>
      <c r="D340" s="195">
        <f>NORTHAMPTONSHIRE!F24</f>
        <v>69842</v>
      </c>
      <c r="E340" s="195">
        <f>NORTHAMPTONSHIRE!G24</f>
        <v>70826</v>
      </c>
      <c r="F340" s="195">
        <f>NORTHAMPTONSHIRE!H24</f>
        <v>70431</v>
      </c>
      <c r="G340" s="195">
        <f>NORTHAMPTONSHIRE!I24</f>
        <v>69424</v>
      </c>
      <c r="H340" s="195">
        <f>NORTHAMPTONSHIRE!J24</f>
        <v>68279</v>
      </c>
      <c r="I340" s="195">
        <f>NORTHAMPTONSHIRE!K24</f>
        <v>69982</v>
      </c>
      <c r="J340" s="195">
        <f>NORTHAMPTONSHIRE!L24</f>
        <v>70589</v>
      </c>
      <c r="K340" s="196">
        <f t="shared" si="15"/>
        <v>2.6211729130927806E-2</v>
      </c>
      <c r="L340" s="196"/>
      <c r="M340" s="195">
        <f t="shared" si="16"/>
        <v>-6564</v>
      </c>
      <c r="N340" s="196">
        <f t="shared" si="17"/>
        <v>-8.5077702746490735E-2</v>
      </c>
      <c r="O340" s="197">
        <v>358</v>
      </c>
      <c r="P340" s="197">
        <v>350</v>
      </c>
      <c r="Q340" s="197">
        <v>354</v>
      </c>
      <c r="R340" s="197">
        <v>329</v>
      </c>
      <c r="S340" s="197">
        <v>333</v>
      </c>
      <c r="T340" s="197">
        <v>315</v>
      </c>
      <c r="U340" s="197">
        <v>330</v>
      </c>
      <c r="V340" s="197">
        <v>339</v>
      </c>
      <c r="W340" s="197">
        <v>337</v>
      </c>
      <c r="X340" s="197"/>
      <c r="Y340" s="197">
        <v>240</v>
      </c>
      <c r="Z340" s="197"/>
    </row>
    <row r="341" spans="1:26">
      <c r="A341" s="191" t="str">
        <f>GLOUCESTERSHIRE!A16</f>
        <v>Forest of Dean CC</v>
      </c>
      <c r="B341" s="195">
        <f>GLOUCESTERSHIRE!D18</f>
        <v>68839</v>
      </c>
      <c r="C341" s="195">
        <f>GLOUCESTERSHIRE!E18</f>
        <v>68703</v>
      </c>
      <c r="D341" s="195">
        <f>GLOUCESTERSHIRE!F18</f>
        <v>69421</v>
      </c>
      <c r="E341" s="195">
        <f>GLOUCESTERSHIRE!G18</f>
        <v>69906</v>
      </c>
      <c r="F341" s="195">
        <f>GLOUCESTERSHIRE!H18</f>
        <v>69766</v>
      </c>
      <c r="G341" s="195">
        <f>GLOUCESTERSHIRE!I18</f>
        <v>68830</v>
      </c>
      <c r="H341" s="195">
        <f>GLOUCESTERSHIRE!J18</f>
        <v>68590</v>
      </c>
      <c r="I341" s="195">
        <f>GLOUCESTERSHIRE!K18</f>
        <v>71778</v>
      </c>
      <c r="J341" s="195">
        <f>GLOUCESTERSHIRE!L18</f>
        <v>70562</v>
      </c>
      <c r="K341" s="196">
        <f t="shared" si="15"/>
        <v>2.5029416464504132E-2</v>
      </c>
      <c r="L341" s="196"/>
      <c r="M341" s="195">
        <f t="shared" si="16"/>
        <v>-6591</v>
      </c>
      <c r="N341" s="196">
        <f t="shared" si="17"/>
        <v>-8.5427656734022014E-2</v>
      </c>
      <c r="O341" s="197">
        <v>355</v>
      </c>
      <c r="P341" s="197">
        <v>375</v>
      </c>
      <c r="Q341" s="197">
        <v>366</v>
      </c>
      <c r="R341" s="197">
        <v>359</v>
      </c>
      <c r="S341" s="197">
        <v>354</v>
      </c>
      <c r="T341" s="197">
        <v>338</v>
      </c>
      <c r="U341" s="197">
        <v>320</v>
      </c>
      <c r="V341" s="197">
        <v>265</v>
      </c>
      <c r="W341" s="197">
        <v>338</v>
      </c>
      <c r="X341" s="197"/>
      <c r="Y341" s="197">
        <v>176</v>
      </c>
      <c r="Z341" s="197"/>
    </row>
    <row r="342" spans="1:26">
      <c r="A342" s="191" t="str">
        <f>WARRINGTON!A7</f>
        <v>Warrington North BC</v>
      </c>
      <c r="B342" s="195">
        <f>WARRINGTON!D7</f>
        <v>70953</v>
      </c>
      <c r="C342" s="195">
        <f>WARRINGTON!E7</f>
        <v>71836</v>
      </c>
      <c r="D342" s="195">
        <f>WARRINGTON!F7</f>
        <v>72097</v>
      </c>
      <c r="E342" s="195">
        <f>WARRINGTON!G7</f>
        <v>72450</v>
      </c>
      <c r="F342" s="195">
        <f>WARRINGTON!H7</f>
        <v>73741</v>
      </c>
      <c r="G342" s="195">
        <f>WARRINGTON!I7</f>
        <v>72030</v>
      </c>
      <c r="H342" s="195">
        <f>WARRINGTON!J7</f>
        <v>70035</v>
      </c>
      <c r="I342" s="195">
        <f>WARRINGTON!K7</f>
        <v>70469</v>
      </c>
      <c r="J342" s="195">
        <f>WARRINGTON!L7</f>
        <v>70559</v>
      </c>
      <c r="K342" s="196">
        <f t="shared" si="15"/>
        <v>-5.5529716854819389E-3</v>
      </c>
      <c r="L342" s="196"/>
      <c r="M342" s="195">
        <f t="shared" si="16"/>
        <v>-6594</v>
      </c>
      <c r="N342" s="196">
        <f t="shared" si="17"/>
        <v>-8.5466540510414371E-2</v>
      </c>
      <c r="O342" s="197">
        <v>299</v>
      </c>
      <c r="P342" s="197">
        <v>283</v>
      </c>
      <c r="Q342" s="197">
        <v>290</v>
      </c>
      <c r="R342" s="197">
        <v>289</v>
      </c>
      <c r="S342" s="197">
        <v>216</v>
      </c>
      <c r="T342" s="197">
        <v>231</v>
      </c>
      <c r="U342" s="197">
        <v>270</v>
      </c>
      <c r="V342" s="197">
        <v>317</v>
      </c>
      <c r="W342" s="197">
        <v>339</v>
      </c>
      <c r="X342" s="197"/>
      <c r="Y342" s="197">
        <v>488</v>
      </c>
      <c r="Z342" s="197"/>
    </row>
    <row r="343" spans="1:26">
      <c r="A343" s="191" t="str">
        <f>STAFFORDSHIRE!A32</f>
        <v>Stafford CC</v>
      </c>
      <c r="B343" s="195">
        <f>STAFFORDSHIRE!D34</f>
        <v>70512</v>
      </c>
      <c r="C343" s="195">
        <f>STAFFORDSHIRE!E34</f>
        <v>69832</v>
      </c>
      <c r="D343" s="195">
        <f>STAFFORDSHIRE!F34</f>
        <v>69749</v>
      </c>
      <c r="E343" s="195">
        <f>STAFFORDSHIRE!G34</f>
        <v>69897</v>
      </c>
      <c r="F343" s="195">
        <f>STAFFORDSHIRE!H34</f>
        <v>68415</v>
      </c>
      <c r="G343" s="195">
        <f>STAFFORDSHIRE!I34</f>
        <v>67372</v>
      </c>
      <c r="H343" s="195">
        <f>STAFFORDSHIRE!J34</f>
        <v>67805</v>
      </c>
      <c r="I343" s="195">
        <f>STAFFORDSHIRE!K34</f>
        <v>70015</v>
      </c>
      <c r="J343" s="195">
        <f>STAFFORDSHIRE!L34</f>
        <v>70533</v>
      </c>
      <c r="K343" s="196">
        <f t="shared" si="15"/>
        <v>2.9782164737916951E-4</v>
      </c>
      <c r="L343" s="196"/>
      <c r="M343" s="195">
        <f t="shared" si="16"/>
        <v>-6620</v>
      </c>
      <c r="N343" s="196">
        <f t="shared" si="17"/>
        <v>-8.5803533239148189E-2</v>
      </c>
      <c r="O343" s="197">
        <v>309</v>
      </c>
      <c r="P343" s="197">
        <v>344</v>
      </c>
      <c r="Q343" s="197">
        <v>358</v>
      </c>
      <c r="R343" s="197">
        <v>360</v>
      </c>
      <c r="S343" s="197">
        <v>388</v>
      </c>
      <c r="T343" s="197">
        <v>383</v>
      </c>
      <c r="U343" s="197">
        <v>343</v>
      </c>
      <c r="V343" s="197">
        <v>337</v>
      </c>
      <c r="W343" s="197">
        <v>340</v>
      </c>
      <c r="X343" s="197"/>
      <c r="Y343" s="197">
        <v>436</v>
      </c>
      <c r="Z343" s="197"/>
    </row>
    <row r="344" spans="1:26">
      <c r="A344" s="191" t="str">
        <f>'WEST YORKSHIRE'!A53</f>
        <v>Pudsey BC</v>
      </c>
      <c r="B344" s="195">
        <f>'WEST YORKSHIRE'!D53</f>
        <v>69207</v>
      </c>
      <c r="C344" s="195">
        <f>'WEST YORKSHIRE'!E53</f>
        <v>69738</v>
      </c>
      <c r="D344" s="195">
        <f>'WEST YORKSHIRE'!F53</f>
        <v>69657</v>
      </c>
      <c r="E344" s="195">
        <f>'WEST YORKSHIRE'!G53</f>
        <v>69991</v>
      </c>
      <c r="F344" s="195">
        <f>'WEST YORKSHIRE'!H53</f>
        <v>69102</v>
      </c>
      <c r="G344" s="195">
        <f>'WEST YORKSHIRE'!I53</f>
        <v>69338</v>
      </c>
      <c r="H344" s="195">
        <f>'WEST YORKSHIRE'!J53</f>
        <v>68624</v>
      </c>
      <c r="I344" s="195">
        <f>'WEST YORKSHIRE'!K53</f>
        <v>70863</v>
      </c>
      <c r="J344" s="195">
        <f>'WEST YORKSHIRE'!L53</f>
        <v>70517</v>
      </c>
      <c r="K344" s="196">
        <f t="shared" si="15"/>
        <v>1.8928721083127428E-2</v>
      </c>
      <c r="L344" s="196"/>
      <c r="M344" s="195">
        <f t="shared" si="16"/>
        <v>-6636</v>
      </c>
      <c r="N344" s="196">
        <f t="shared" si="17"/>
        <v>-8.6010913379907461E-2</v>
      </c>
      <c r="O344" s="197">
        <v>343</v>
      </c>
      <c r="P344" s="197">
        <v>346</v>
      </c>
      <c r="Q344" s="197">
        <v>361</v>
      </c>
      <c r="R344" s="197">
        <v>355</v>
      </c>
      <c r="S344" s="197">
        <v>367</v>
      </c>
      <c r="T344" s="197">
        <v>319</v>
      </c>
      <c r="U344" s="197">
        <v>319</v>
      </c>
      <c r="V344" s="197">
        <v>301</v>
      </c>
      <c r="W344" s="197">
        <v>341</v>
      </c>
      <c r="X344" s="197"/>
      <c r="Y344" s="197">
        <v>357</v>
      </c>
      <c r="Z344" s="197"/>
    </row>
    <row r="345" spans="1:26">
      <c r="A345" s="191" t="str">
        <f>WILTSHIRE!A11</f>
        <v>North Wiltshire CC</v>
      </c>
      <c r="B345" s="195">
        <f>WILTSHIRE!D11</f>
        <v>65762</v>
      </c>
      <c r="C345" s="195">
        <f>WILTSHIRE!E11</f>
        <v>67154</v>
      </c>
      <c r="D345" s="195">
        <f>WILTSHIRE!F11</f>
        <v>66986</v>
      </c>
      <c r="E345" s="195">
        <f>WILTSHIRE!G11</f>
        <v>67313</v>
      </c>
      <c r="F345" s="195">
        <f>WILTSHIRE!H11</f>
        <v>67648</v>
      </c>
      <c r="G345" s="195">
        <f>WILTSHIRE!I11</f>
        <v>65506</v>
      </c>
      <c r="H345" s="195">
        <f>WILTSHIRE!J11</f>
        <v>66692</v>
      </c>
      <c r="I345" s="195">
        <f>WILTSHIRE!K11</f>
        <v>69032</v>
      </c>
      <c r="J345" s="195">
        <f>WILTSHIRE!L11</f>
        <v>70473</v>
      </c>
      <c r="K345" s="196">
        <f t="shared" si="15"/>
        <v>7.1637115659499401E-2</v>
      </c>
      <c r="L345" s="196"/>
      <c r="M345" s="195">
        <f t="shared" si="16"/>
        <v>-6680</v>
      </c>
      <c r="N345" s="196">
        <f t="shared" si="17"/>
        <v>-8.6581208766995446E-2</v>
      </c>
      <c r="O345" s="197">
        <v>443</v>
      </c>
      <c r="P345" s="197">
        <v>417</v>
      </c>
      <c r="Q345" s="197">
        <v>433</v>
      </c>
      <c r="R345" s="197">
        <v>435</v>
      </c>
      <c r="S345" s="197">
        <v>407</v>
      </c>
      <c r="T345" s="197">
        <v>424</v>
      </c>
      <c r="U345" s="197">
        <v>383</v>
      </c>
      <c r="V345" s="197">
        <v>363</v>
      </c>
      <c r="W345" s="197">
        <v>342</v>
      </c>
      <c r="X345" s="197"/>
      <c r="Y345" s="197">
        <v>331</v>
      </c>
      <c r="Z345" s="197"/>
    </row>
    <row r="346" spans="1:26">
      <c r="A346" s="191" t="str">
        <f>CAMBRIDGESHIRE!A29</f>
        <v>Peterborough BC</v>
      </c>
      <c r="B346" s="195">
        <f>CAMBRIDGESHIRE!D29</f>
        <v>69732</v>
      </c>
      <c r="C346" s="195">
        <f>CAMBRIDGESHIRE!E29</f>
        <v>72787</v>
      </c>
      <c r="D346" s="195">
        <f>CAMBRIDGESHIRE!F29</f>
        <v>73721</v>
      </c>
      <c r="E346" s="195">
        <f>CAMBRIDGESHIRE!G29</f>
        <v>73416</v>
      </c>
      <c r="F346" s="195">
        <f>CAMBRIDGESHIRE!H29</f>
        <v>72301</v>
      </c>
      <c r="G346" s="195">
        <f>CAMBRIDGESHIRE!I29</f>
        <v>72040</v>
      </c>
      <c r="H346" s="195">
        <f>CAMBRIDGESHIRE!J29</f>
        <v>70623</v>
      </c>
      <c r="I346" s="195">
        <f>CAMBRIDGESHIRE!K29</f>
        <v>72207</v>
      </c>
      <c r="J346" s="195">
        <f>CAMBRIDGESHIRE!L29</f>
        <v>70424</v>
      </c>
      <c r="K346" s="196">
        <f t="shared" si="15"/>
        <v>9.9237079102850907E-3</v>
      </c>
      <c r="L346" s="196"/>
      <c r="M346" s="195">
        <f t="shared" si="16"/>
        <v>-6729</v>
      </c>
      <c r="N346" s="196">
        <f t="shared" si="17"/>
        <v>-8.7216310448070711E-2</v>
      </c>
      <c r="O346" s="197">
        <v>330</v>
      </c>
      <c r="P346" s="197">
        <v>238</v>
      </c>
      <c r="Q346" s="197">
        <v>212</v>
      </c>
      <c r="R346" s="197">
        <v>238</v>
      </c>
      <c r="S346" s="197">
        <v>274</v>
      </c>
      <c r="T346" s="197">
        <v>230</v>
      </c>
      <c r="U346" s="197">
        <v>245</v>
      </c>
      <c r="V346" s="197">
        <v>249</v>
      </c>
      <c r="W346" s="197">
        <v>343</v>
      </c>
      <c r="X346" s="197"/>
      <c r="Y346" s="197">
        <v>349</v>
      </c>
      <c r="Z346" s="197"/>
    </row>
    <row r="347" spans="1:26">
      <c r="A347" s="191" t="str">
        <f>BRISTOL!A7</f>
        <v>Bristol East BC</v>
      </c>
      <c r="B347" s="195">
        <f>BRISTOL!D7</f>
        <v>68999</v>
      </c>
      <c r="C347" s="195">
        <f>BRISTOL!E7</f>
        <v>69347</v>
      </c>
      <c r="D347" s="195">
        <f>BRISTOL!F7</f>
        <v>70455</v>
      </c>
      <c r="E347" s="195">
        <f>BRISTOL!G7</f>
        <v>69989</v>
      </c>
      <c r="F347" s="195">
        <f>BRISTOL!H7</f>
        <v>70605</v>
      </c>
      <c r="G347" s="195">
        <f>BRISTOL!I7</f>
        <v>69738</v>
      </c>
      <c r="H347" s="195">
        <f>BRISTOL!J7</f>
        <v>68199</v>
      </c>
      <c r="I347" s="195">
        <f>BRISTOL!K7</f>
        <v>70066</v>
      </c>
      <c r="J347" s="195">
        <f>BRISTOL!L7</f>
        <v>70366</v>
      </c>
      <c r="K347" s="196">
        <f t="shared" si="15"/>
        <v>1.98118813316135E-2</v>
      </c>
      <c r="L347" s="196"/>
      <c r="M347" s="195">
        <f t="shared" si="16"/>
        <v>-6787</v>
      </c>
      <c r="N347" s="196">
        <f t="shared" si="17"/>
        <v>-8.7968063458323073E-2</v>
      </c>
      <c r="O347" s="197">
        <v>350</v>
      </c>
      <c r="P347" s="197">
        <v>356</v>
      </c>
      <c r="Q347" s="197">
        <v>333</v>
      </c>
      <c r="R347" s="197">
        <v>356</v>
      </c>
      <c r="S347" s="197">
        <v>326</v>
      </c>
      <c r="T347" s="197">
        <v>304</v>
      </c>
      <c r="U347" s="197">
        <v>335</v>
      </c>
      <c r="V347" s="197">
        <v>334</v>
      </c>
      <c r="W347" s="197">
        <v>344</v>
      </c>
      <c r="X347" s="197"/>
      <c r="Y347" s="197">
        <v>70</v>
      </c>
      <c r="Z347" s="197"/>
    </row>
    <row r="348" spans="1:26">
      <c r="A348" s="191" t="str">
        <f>BEDFORDSHIRE!A13</f>
        <v>Bedford BC</v>
      </c>
      <c r="B348" s="195">
        <f>BEDFORDSHIRE!D13</f>
        <v>68692</v>
      </c>
      <c r="C348" s="195">
        <f>BEDFORDSHIRE!E13</f>
        <v>69019</v>
      </c>
      <c r="D348" s="195">
        <f>BEDFORDSHIRE!F13</f>
        <v>69938</v>
      </c>
      <c r="E348" s="195">
        <f>BEDFORDSHIRE!G13</f>
        <v>69782</v>
      </c>
      <c r="F348" s="195">
        <f>BEDFORDSHIRE!H13</f>
        <v>70766</v>
      </c>
      <c r="G348" s="195">
        <f>BEDFORDSHIRE!I13</f>
        <v>67998</v>
      </c>
      <c r="H348" s="195">
        <f>BEDFORDSHIRE!J13</f>
        <v>70259</v>
      </c>
      <c r="I348" s="195">
        <f>BEDFORDSHIRE!K13</f>
        <v>70465</v>
      </c>
      <c r="J348" s="195">
        <f>BEDFORDSHIRE!L13</f>
        <v>70364</v>
      </c>
      <c r="K348" s="196">
        <f t="shared" si="15"/>
        <v>2.434053456006522E-2</v>
      </c>
      <c r="L348" s="196"/>
      <c r="M348" s="195">
        <f t="shared" si="16"/>
        <v>-6789</v>
      </c>
      <c r="N348" s="196">
        <f t="shared" si="17"/>
        <v>-8.7993985975917982E-2</v>
      </c>
      <c r="O348" s="197">
        <v>362</v>
      </c>
      <c r="P348" s="197">
        <v>367</v>
      </c>
      <c r="Q348" s="197">
        <v>349</v>
      </c>
      <c r="R348" s="197">
        <v>365</v>
      </c>
      <c r="S348" s="197">
        <v>321</v>
      </c>
      <c r="T348" s="197">
        <v>366</v>
      </c>
      <c r="U348" s="197">
        <v>263</v>
      </c>
      <c r="V348" s="197">
        <v>318</v>
      </c>
      <c r="W348" s="197">
        <v>345</v>
      </c>
      <c r="X348" s="197"/>
      <c r="Y348" s="197">
        <v>23</v>
      </c>
      <c r="Z348" s="197"/>
    </row>
    <row r="349" spans="1:26">
      <c r="A349" s="191" t="str">
        <f>'WEST YORKSHIRE'!A15</f>
        <v>Bradford East BC</v>
      </c>
      <c r="B349" s="195">
        <f>'WEST YORKSHIRE'!D15</f>
        <v>64382</v>
      </c>
      <c r="C349" s="195">
        <f>'WEST YORKSHIRE'!E15</f>
        <v>66718</v>
      </c>
      <c r="D349" s="195">
        <f>'WEST YORKSHIRE'!F15</f>
        <v>67719</v>
      </c>
      <c r="E349" s="195">
        <f>'WEST YORKSHIRE'!G15</f>
        <v>69105</v>
      </c>
      <c r="F349" s="195">
        <f>'WEST YORKSHIRE'!H15</f>
        <v>68759</v>
      </c>
      <c r="G349" s="195">
        <f>'WEST YORKSHIRE'!I15</f>
        <v>64628</v>
      </c>
      <c r="H349" s="195">
        <f>'WEST YORKSHIRE'!J15</f>
        <v>64952</v>
      </c>
      <c r="I349" s="195">
        <f>'WEST YORKSHIRE'!K15</f>
        <v>68649</v>
      </c>
      <c r="J349" s="195">
        <f>'WEST YORKSHIRE'!L15</f>
        <v>70315</v>
      </c>
      <c r="K349" s="196">
        <f t="shared" si="15"/>
        <v>9.2153086266347731E-2</v>
      </c>
      <c r="L349" s="196"/>
      <c r="M349" s="195">
        <f t="shared" si="16"/>
        <v>-6838</v>
      </c>
      <c r="N349" s="196">
        <f t="shared" si="17"/>
        <v>-8.8629087656993247E-2</v>
      </c>
      <c r="O349" s="197">
        <v>478</v>
      </c>
      <c r="P349" s="197">
        <v>430</v>
      </c>
      <c r="Q349" s="197">
        <v>410</v>
      </c>
      <c r="R349" s="197">
        <v>382</v>
      </c>
      <c r="S349" s="197">
        <v>377</v>
      </c>
      <c r="T349" s="197">
        <v>449</v>
      </c>
      <c r="U349" s="197">
        <v>419</v>
      </c>
      <c r="V349" s="197">
        <v>372</v>
      </c>
      <c r="W349" s="197">
        <v>346</v>
      </c>
      <c r="X349" s="197"/>
      <c r="Y349" s="197">
        <v>58</v>
      </c>
      <c r="Z349" s="197"/>
    </row>
    <row r="350" spans="1:26">
      <c r="A350" s="191" t="str">
        <f>HAMMERSMITH!A11</f>
        <v>Hammersmith BC</v>
      </c>
      <c r="B350" s="195">
        <f>HAMMERSMITH!D11</f>
        <v>69774</v>
      </c>
      <c r="C350" s="195">
        <f>HAMMERSMITH!E11</f>
        <v>70008</v>
      </c>
      <c r="D350" s="195">
        <f>HAMMERSMITH!F11</f>
        <v>70769</v>
      </c>
      <c r="E350" s="195">
        <f>HAMMERSMITH!G11</f>
        <v>70814</v>
      </c>
      <c r="F350" s="195">
        <f>HAMMERSMITH!H11</f>
        <v>70860</v>
      </c>
      <c r="G350" s="195">
        <f>HAMMERSMITH!I11</f>
        <v>69449</v>
      </c>
      <c r="H350" s="195">
        <f>HAMMERSMITH!J11</f>
        <v>67526</v>
      </c>
      <c r="I350" s="195">
        <f>HAMMERSMITH!K11</f>
        <v>70277</v>
      </c>
      <c r="J350" s="195">
        <f>HAMMERSMITH!L11</f>
        <v>70233</v>
      </c>
      <c r="K350" s="196">
        <f t="shared" si="15"/>
        <v>6.5783816321265797E-3</v>
      </c>
      <c r="L350" s="196"/>
      <c r="M350" s="195">
        <f t="shared" si="16"/>
        <v>-6920</v>
      </c>
      <c r="N350" s="196">
        <f t="shared" si="17"/>
        <v>-8.9691910878384504E-2</v>
      </c>
      <c r="O350" s="197">
        <v>329</v>
      </c>
      <c r="P350" s="197">
        <v>340</v>
      </c>
      <c r="Q350" s="197">
        <v>323</v>
      </c>
      <c r="R350" s="197">
        <v>331</v>
      </c>
      <c r="S350" s="197">
        <v>316</v>
      </c>
      <c r="T350" s="197">
        <v>314</v>
      </c>
      <c r="U350" s="197">
        <v>359</v>
      </c>
      <c r="V350" s="197">
        <v>328</v>
      </c>
      <c r="W350" s="197">
        <v>347</v>
      </c>
      <c r="X350" s="197"/>
      <c r="Y350" s="197">
        <v>197</v>
      </c>
      <c r="Z350" s="197"/>
    </row>
    <row r="351" spans="1:26">
      <c r="A351" s="191" t="str">
        <f>WILTSHIRE!A9</f>
        <v>Devizes CC</v>
      </c>
      <c r="B351" s="195">
        <f>WILTSHIRE!D9</f>
        <v>66972</v>
      </c>
      <c r="C351" s="195">
        <f>WILTSHIRE!E9</f>
        <v>68846</v>
      </c>
      <c r="D351" s="195">
        <f>WILTSHIRE!F9</f>
        <v>68569</v>
      </c>
      <c r="E351" s="195">
        <f>WILTSHIRE!G9</f>
        <v>68795</v>
      </c>
      <c r="F351" s="195">
        <f>WILTSHIRE!H9</f>
        <v>68473</v>
      </c>
      <c r="G351" s="195">
        <f>WILTSHIRE!I9</f>
        <v>66399</v>
      </c>
      <c r="H351" s="195">
        <f>WILTSHIRE!J9</f>
        <v>67301</v>
      </c>
      <c r="I351" s="195">
        <f>WILTSHIRE!K9</f>
        <v>69598</v>
      </c>
      <c r="J351" s="195">
        <f>WILTSHIRE!L9</f>
        <v>70199</v>
      </c>
      <c r="K351" s="196">
        <f t="shared" si="15"/>
        <v>4.8184315833482649E-2</v>
      </c>
      <c r="L351" s="196"/>
      <c r="M351" s="195">
        <f t="shared" si="16"/>
        <v>-6954</v>
      </c>
      <c r="N351" s="196">
        <f t="shared" si="17"/>
        <v>-9.0132593677497957E-2</v>
      </c>
      <c r="O351" s="197">
        <v>412</v>
      </c>
      <c r="P351" s="197">
        <v>372</v>
      </c>
      <c r="Q351" s="197">
        <v>384</v>
      </c>
      <c r="R351" s="197">
        <v>393</v>
      </c>
      <c r="S351" s="197">
        <v>387</v>
      </c>
      <c r="T351" s="197">
        <v>408</v>
      </c>
      <c r="U351" s="197">
        <v>365</v>
      </c>
      <c r="V351" s="197">
        <v>348</v>
      </c>
      <c r="W351" s="197">
        <v>348</v>
      </c>
      <c r="X351" s="197"/>
      <c r="Y351" s="197">
        <v>136</v>
      </c>
      <c r="Z351" s="197"/>
    </row>
    <row r="352" spans="1:26">
      <c r="A352" s="191" t="str">
        <f>'WEST MIDLANDS'!A31</f>
        <v>Birmingham, Selly Oak BC</v>
      </c>
      <c r="B352" s="195">
        <f>'WEST MIDLANDS'!D31</f>
        <v>75048</v>
      </c>
      <c r="C352" s="195">
        <f>'WEST MIDLANDS'!E31</f>
        <v>75668</v>
      </c>
      <c r="D352" s="195">
        <f>'WEST MIDLANDS'!F31</f>
        <v>76884</v>
      </c>
      <c r="E352" s="195">
        <f>'WEST MIDLANDS'!G31</f>
        <v>76416</v>
      </c>
      <c r="F352" s="195">
        <f>'WEST MIDLANDS'!H31</f>
        <v>74339</v>
      </c>
      <c r="G352" s="195">
        <f>'WEST MIDLANDS'!I31</f>
        <v>73353</v>
      </c>
      <c r="H352" s="195">
        <f>'WEST MIDLANDS'!J31</f>
        <v>68460</v>
      </c>
      <c r="I352" s="195">
        <f>'WEST MIDLANDS'!K31</f>
        <v>68514</v>
      </c>
      <c r="J352" s="195">
        <f>'WEST MIDLANDS'!L31</f>
        <v>70191</v>
      </c>
      <c r="K352" s="196">
        <f t="shared" si="15"/>
        <v>-6.4718580108730411E-2</v>
      </c>
      <c r="L352" s="196"/>
      <c r="M352" s="195">
        <f t="shared" si="16"/>
        <v>-6962</v>
      </c>
      <c r="N352" s="196">
        <f t="shared" si="17"/>
        <v>-9.0236283747877594E-2</v>
      </c>
      <c r="O352" s="197">
        <v>149</v>
      </c>
      <c r="P352" s="197">
        <v>149</v>
      </c>
      <c r="Q352" s="197">
        <v>131</v>
      </c>
      <c r="R352" s="197">
        <v>150</v>
      </c>
      <c r="S352" s="197">
        <v>193</v>
      </c>
      <c r="T352" s="197">
        <v>178</v>
      </c>
      <c r="U352" s="197">
        <v>325</v>
      </c>
      <c r="V352" s="197">
        <v>375</v>
      </c>
      <c r="W352" s="197">
        <v>349</v>
      </c>
      <c r="X352" s="197"/>
      <c r="Y352" s="197">
        <v>38</v>
      </c>
      <c r="Z352" s="197"/>
    </row>
    <row r="353" spans="1:26">
      <c r="A353" s="191" t="str">
        <f>CHESHIRE!A33</f>
        <v>Weaver Vale CC</v>
      </c>
      <c r="B353" s="195">
        <f>CHESHIRE!D35</f>
        <v>66859</v>
      </c>
      <c r="C353" s="195">
        <f>CHESHIRE!E35</f>
        <v>66008</v>
      </c>
      <c r="D353" s="195">
        <f>CHESHIRE!F35</f>
        <v>65455</v>
      </c>
      <c r="E353" s="195">
        <f>CHESHIRE!G35</f>
        <v>66195</v>
      </c>
      <c r="F353" s="195">
        <f>CHESHIRE!H35</f>
        <v>66666</v>
      </c>
      <c r="G353" s="195">
        <f>CHESHIRE!I35</f>
        <v>67500</v>
      </c>
      <c r="H353" s="195">
        <f>CHESHIRE!J35</f>
        <v>67134</v>
      </c>
      <c r="I353" s="195">
        <f>CHESHIRE!K35</f>
        <v>68324</v>
      </c>
      <c r="J353" s="195">
        <f>CHESHIRE!L35</f>
        <v>70129</v>
      </c>
      <c r="K353" s="196">
        <f t="shared" si="15"/>
        <v>4.8908897829761142E-2</v>
      </c>
      <c r="L353" s="196"/>
      <c r="M353" s="195">
        <f t="shared" si="16"/>
        <v>-7024</v>
      </c>
      <c r="N353" s="196">
        <f t="shared" si="17"/>
        <v>-9.1039881793319774E-2</v>
      </c>
      <c r="O353" s="197">
        <v>418</v>
      </c>
      <c r="P353" s="197">
        <v>452</v>
      </c>
      <c r="Q353" s="197">
        <v>465</v>
      </c>
      <c r="R353" s="197">
        <v>458</v>
      </c>
      <c r="S353" s="197">
        <v>440</v>
      </c>
      <c r="T353" s="197">
        <v>377</v>
      </c>
      <c r="U353" s="197">
        <v>372</v>
      </c>
      <c r="V353" s="197">
        <v>380</v>
      </c>
      <c r="W353" s="197">
        <v>350</v>
      </c>
      <c r="X353" s="197"/>
      <c r="Y353" s="197">
        <v>495</v>
      </c>
      <c r="Z353" s="197"/>
    </row>
    <row r="354" spans="1:26">
      <c r="A354" s="191" t="str">
        <f>SUTTON!A9</f>
        <v>Sutton and Cheam BC</v>
      </c>
      <c r="B354" s="195">
        <f>SUTTON!D9</f>
        <v>66250</v>
      </c>
      <c r="C354" s="195">
        <f>SUTTON!E9</f>
        <v>66571</v>
      </c>
      <c r="D354" s="195">
        <f>SUTTON!F9</f>
        <v>68784</v>
      </c>
      <c r="E354" s="195">
        <f>SUTTON!G9</f>
        <v>69402</v>
      </c>
      <c r="F354" s="195">
        <f>SUTTON!H9</f>
        <v>69638</v>
      </c>
      <c r="G354" s="195">
        <f>SUTTON!I9</f>
        <v>69082</v>
      </c>
      <c r="H354" s="195">
        <f>SUTTON!J9</f>
        <v>67700</v>
      </c>
      <c r="I354" s="195">
        <f>SUTTON!K9</f>
        <v>69578</v>
      </c>
      <c r="J354" s="195">
        <f>SUTTON!L9</f>
        <v>70119</v>
      </c>
      <c r="K354" s="196">
        <f t="shared" si="15"/>
        <v>5.8400000000000001E-2</v>
      </c>
      <c r="L354" s="196"/>
      <c r="M354" s="195">
        <f t="shared" si="16"/>
        <v>-7034</v>
      </c>
      <c r="N354" s="196">
        <f t="shared" si="17"/>
        <v>-9.1169494381294305E-2</v>
      </c>
      <c r="O354" s="197">
        <v>431</v>
      </c>
      <c r="P354" s="197">
        <v>438</v>
      </c>
      <c r="Q354" s="197">
        <v>378</v>
      </c>
      <c r="R354" s="197">
        <v>374</v>
      </c>
      <c r="S354" s="197">
        <v>355</v>
      </c>
      <c r="T354" s="197">
        <v>331</v>
      </c>
      <c r="U354" s="197">
        <v>348</v>
      </c>
      <c r="V354" s="197">
        <v>349</v>
      </c>
      <c r="W354" s="197">
        <v>351</v>
      </c>
      <c r="X354" s="197"/>
      <c r="Y354" s="197">
        <v>455</v>
      </c>
      <c r="Z354" s="197"/>
    </row>
    <row r="355" spans="1:26">
      <c r="A355" s="191" t="str">
        <f>'BATH &amp; NE SOMERSET'!A9</f>
        <v>North East Somerset CC</v>
      </c>
      <c r="B355" s="195">
        <f>'BATH &amp; NE SOMERSET'!D9</f>
        <v>68024</v>
      </c>
      <c r="C355" s="195">
        <f>'BATH &amp; NE SOMERSET'!E9</f>
        <v>68546</v>
      </c>
      <c r="D355" s="195">
        <f>'BATH &amp; NE SOMERSET'!F9</f>
        <v>68022</v>
      </c>
      <c r="E355" s="195">
        <f>'BATH &amp; NE SOMERSET'!G9</f>
        <v>69096</v>
      </c>
      <c r="F355" s="195">
        <f>'BATH &amp; NE SOMERSET'!H9</f>
        <v>69108</v>
      </c>
      <c r="G355" s="195">
        <f>'BATH &amp; NE SOMERSET'!I9</f>
        <v>68221</v>
      </c>
      <c r="H355" s="195">
        <f>'BATH &amp; NE SOMERSET'!J9</f>
        <v>68441</v>
      </c>
      <c r="I355" s="195">
        <f>'BATH &amp; NE SOMERSET'!K9</f>
        <v>69893</v>
      </c>
      <c r="J355" s="195">
        <f>'BATH &amp; NE SOMERSET'!L9</f>
        <v>70070</v>
      </c>
      <c r="K355" s="196">
        <f t="shared" si="15"/>
        <v>3.0077619663648126E-2</v>
      </c>
      <c r="L355" s="196"/>
      <c r="M355" s="195">
        <f t="shared" si="16"/>
        <v>-7083</v>
      </c>
      <c r="N355" s="196">
        <f t="shared" si="17"/>
        <v>-9.1804596062369584E-2</v>
      </c>
      <c r="O355" s="197">
        <v>379</v>
      </c>
      <c r="P355" s="197">
        <v>380</v>
      </c>
      <c r="Q355" s="197">
        <v>399</v>
      </c>
      <c r="R355" s="197">
        <v>383</v>
      </c>
      <c r="S355" s="197">
        <v>366</v>
      </c>
      <c r="T355" s="197">
        <v>357</v>
      </c>
      <c r="U355" s="197">
        <v>326</v>
      </c>
      <c r="V355" s="197">
        <v>341</v>
      </c>
      <c r="W355" s="197">
        <v>352</v>
      </c>
      <c r="X355" s="197"/>
      <c r="Y355" s="197">
        <v>317</v>
      </c>
      <c r="Z355" s="197"/>
    </row>
    <row r="356" spans="1:26">
      <c r="A356" s="191" t="str">
        <f>DEVON!A43</f>
        <v>South West Devon CC</v>
      </c>
      <c r="B356" s="195">
        <f>DEVON!D45</f>
        <v>70414</v>
      </c>
      <c r="C356" s="195">
        <f>DEVON!E45</f>
        <v>70756</v>
      </c>
      <c r="D356" s="195">
        <f>DEVON!F45</f>
        <v>70730</v>
      </c>
      <c r="E356" s="195">
        <f>DEVON!G45</f>
        <v>70330</v>
      </c>
      <c r="F356" s="195">
        <f>DEVON!H45</f>
        <v>70230</v>
      </c>
      <c r="G356" s="195">
        <f>DEVON!I45</f>
        <v>69267</v>
      </c>
      <c r="H356" s="195">
        <f>DEVON!J45</f>
        <v>68665</v>
      </c>
      <c r="I356" s="195">
        <f>DEVON!K45</f>
        <v>70061</v>
      </c>
      <c r="J356" s="195">
        <f>DEVON!L45</f>
        <v>70039</v>
      </c>
      <c r="K356" s="196">
        <f t="shared" si="15"/>
        <v>-5.3256454682307497E-3</v>
      </c>
      <c r="L356" s="196"/>
      <c r="M356" s="195">
        <f t="shared" si="16"/>
        <v>-7114</v>
      </c>
      <c r="N356" s="196">
        <f t="shared" si="17"/>
        <v>-9.2206395085090667E-2</v>
      </c>
      <c r="O356" s="197">
        <v>313</v>
      </c>
      <c r="P356" s="197">
        <v>317</v>
      </c>
      <c r="Q356" s="197">
        <v>327</v>
      </c>
      <c r="R356" s="197">
        <v>342</v>
      </c>
      <c r="S356" s="197">
        <v>348</v>
      </c>
      <c r="T356" s="197">
        <v>322</v>
      </c>
      <c r="U356" s="197">
        <v>318</v>
      </c>
      <c r="V356" s="197">
        <v>335</v>
      </c>
      <c r="W356" s="197">
        <v>353</v>
      </c>
      <c r="X356" s="197"/>
      <c r="Y356" s="197">
        <v>421</v>
      </c>
      <c r="Z356" s="197"/>
    </row>
    <row r="357" spans="1:26">
      <c r="A357" s="191" t="str">
        <f>HARTLEPOOL!A7</f>
        <v>Hartlepool BC</v>
      </c>
      <c r="B357" s="195">
        <f>HARTLEPOOL!D7</f>
        <v>69284</v>
      </c>
      <c r="C357" s="195">
        <f>HARTLEPOOL!E7</f>
        <v>70010</v>
      </c>
      <c r="D357" s="195">
        <f>HARTLEPOOL!F7</f>
        <v>70203</v>
      </c>
      <c r="E357" s="195">
        <f>HARTLEPOOL!G7</f>
        <v>70426</v>
      </c>
      <c r="F357" s="195">
        <f>HARTLEPOOL!H7</f>
        <v>70463</v>
      </c>
      <c r="G357" s="195">
        <f>HARTLEPOOL!I7</f>
        <v>68796</v>
      </c>
      <c r="H357" s="195">
        <f>HARTLEPOOL!J7</f>
        <v>68201</v>
      </c>
      <c r="I357" s="195">
        <f>HARTLEPOOL!K7</f>
        <v>68801</v>
      </c>
      <c r="J357" s="195">
        <f>HARTLEPOOL!L7</f>
        <v>70032</v>
      </c>
      <c r="K357" s="196">
        <f t="shared" si="15"/>
        <v>1.0796143409733849E-2</v>
      </c>
      <c r="L357" s="196"/>
      <c r="M357" s="195">
        <f t="shared" si="16"/>
        <v>-7121</v>
      </c>
      <c r="N357" s="196">
        <f t="shared" si="17"/>
        <v>-9.2297123896672842E-2</v>
      </c>
      <c r="O357" s="197">
        <v>341</v>
      </c>
      <c r="P357" s="197">
        <v>339</v>
      </c>
      <c r="Q357" s="197">
        <v>342</v>
      </c>
      <c r="R357" s="197">
        <v>336</v>
      </c>
      <c r="S357" s="197">
        <v>332</v>
      </c>
      <c r="T357" s="197">
        <v>340</v>
      </c>
      <c r="U357" s="197">
        <v>334</v>
      </c>
      <c r="V357" s="197">
        <v>368</v>
      </c>
      <c r="W357" s="197">
        <v>354</v>
      </c>
      <c r="X357" s="197"/>
      <c r="Y357" s="197">
        <v>204</v>
      </c>
      <c r="Z357" s="197"/>
    </row>
    <row r="358" spans="1:26">
      <c r="A358" s="191" t="str">
        <f>HEREFORDSHIRE!A7</f>
        <v>Hereford and South Herefordshire CC</v>
      </c>
      <c r="B358" s="195">
        <f>HEREFORDSHIRE!D7</f>
        <v>72245</v>
      </c>
      <c r="C358" s="195">
        <f>HEREFORDSHIRE!E7</f>
        <v>71352</v>
      </c>
      <c r="D358" s="195">
        <f>HEREFORDSHIRE!F7</f>
        <v>71059</v>
      </c>
      <c r="E358" s="195">
        <f>HEREFORDSHIRE!G7</f>
        <v>71808</v>
      </c>
      <c r="F358" s="195">
        <f>HEREFORDSHIRE!H7</f>
        <v>68593</v>
      </c>
      <c r="G358" s="195">
        <f>HEREFORDSHIRE!I7</f>
        <v>68865</v>
      </c>
      <c r="H358" s="195">
        <f>HEREFORDSHIRE!J7</f>
        <v>68299</v>
      </c>
      <c r="I358" s="195">
        <f>HEREFORDSHIRE!K7</f>
        <v>69228</v>
      </c>
      <c r="J358" s="195">
        <f>HEREFORDSHIRE!L7</f>
        <v>70004</v>
      </c>
      <c r="K358" s="196">
        <f t="shared" si="15"/>
        <v>-3.1019447712644473E-2</v>
      </c>
      <c r="L358" s="196"/>
      <c r="M358" s="195">
        <f t="shared" si="16"/>
        <v>-7149</v>
      </c>
      <c r="N358" s="196">
        <f t="shared" si="17"/>
        <v>-9.2660039143001569E-2</v>
      </c>
      <c r="O358" s="197">
        <v>231</v>
      </c>
      <c r="P358" s="197">
        <v>299</v>
      </c>
      <c r="Q358" s="197">
        <v>317</v>
      </c>
      <c r="R358" s="197">
        <v>308</v>
      </c>
      <c r="S358" s="197">
        <v>382</v>
      </c>
      <c r="T358" s="197">
        <v>337</v>
      </c>
      <c r="U358" s="197">
        <v>329</v>
      </c>
      <c r="V358" s="197">
        <v>357</v>
      </c>
      <c r="W358" s="197">
        <v>355</v>
      </c>
      <c r="X358" s="197"/>
      <c r="Y358" s="197">
        <v>214</v>
      </c>
      <c r="Z358" s="197"/>
    </row>
    <row r="359" spans="1:26">
      <c r="A359" s="191" t="str">
        <f>MERSEYSIDE!A39</f>
        <v>Southport BC</v>
      </c>
      <c r="B359" s="195">
        <f>MERSEYSIDE!D39</f>
        <v>67761</v>
      </c>
      <c r="C359" s="195">
        <f>MERSEYSIDE!E39</f>
        <v>67803</v>
      </c>
      <c r="D359" s="195">
        <f>MERSEYSIDE!F39</f>
        <v>67284</v>
      </c>
      <c r="E359" s="195">
        <f>MERSEYSIDE!G39</f>
        <v>66128</v>
      </c>
      <c r="F359" s="195">
        <f>MERSEYSIDE!H39</f>
        <v>66734</v>
      </c>
      <c r="G359" s="195">
        <f>MERSEYSIDE!I39</f>
        <v>65618</v>
      </c>
      <c r="H359" s="195">
        <f>MERSEYSIDE!J39</f>
        <v>65081</v>
      </c>
      <c r="I359" s="195">
        <f>MERSEYSIDE!K39</f>
        <v>68118</v>
      </c>
      <c r="J359" s="195">
        <f>MERSEYSIDE!L39</f>
        <v>69971</v>
      </c>
      <c r="K359" s="196">
        <f t="shared" si="15"/>
        <v>3.2614630834846003E-2</v>
      </c>
      <c r="L359" s="196"/>
      <c r="M359" s="195">
        <f t="shared" si="16"/>
        <v>-7182</v>
      </c>
      <c r="N359" s="196">
        <f t="shared" si="17"/>
        <v>-9.3087760683317561E-2</v>
      </c>
      <c r="O359" s="197">
        <v>388</v>
      </c>
      <c r="P359" s="197">
        <v>397</v>
      </c>
      <c r="Q359" s="197">
        <v>422</v>
      </c>
      <c r="R359" s="197">
        <v>461</v>
      </c>
      <c r="S359" s="197">
        <v>436</v>
      </c>
      <c r="T359" s="197">
        <v>421</v>
      </c>
      <c r="U359" s="197">
        <v>416</v>
      </c>
      <c r="V359" s="197">
        <v>386</v>
      </c>
      <c r="W359" s="197">
        <v>356</v>
      </c>
      <c r="X359" s="197"/>
      <c r="Y359" s="197">
        <v>429</v>
      </c>
      <c r="Z359" s="197"/>
    </row>
    <row r="360" spans="1:26">
      <c r="A360" s="191" t="str">
        <f>'"HUMBERSIDE"'!A29</f>
        <v>Haltemprice and Howden CC</v>
      </c>
      <c r="B360" s="195">
        <f>'"HUMBERSIDE"'!D29</f>
        <v>70574</v>
      </c>
      <c r="C360" s="195">
        <f>'"HUMBERSIDE"'!E29</f>
        <v>70864</v>
      </c>
      <c r="D360" s="195">
        <f>'"HUMBERSIDE"'!F29</f>
        <v>69898</v>
      </c>
      <c r="E360" s="195">
        <f>'"HUMBERSIDE"'!G29</f>
        <v>71467</v>
      </c>
      <c r="F360" s="195">
        <f>'"HUMBERSIDE"'!H29</f>
        <v>70997</v>
      </c>
      <c r="G360" s="195">
        <f>'"HUMBERSIDE"'!I29</f>
        <v>69392</v>
      </c>
      <c r="H360" s="195">
        <f>'"HUMBERSIDE"'!J29</f>
        <v>68104</v>
      </c>
      <c r="I360" s="195">
        <f>'"HUMBERSIDE"'!K29</f>
        <v>69345</v>
      </c>
      <c r="J360" s="195">
        <f>'"HUMBERSIDE"'!L29</f>
        <v>69967</v>
      </c>
      <c r="K360" s="196">
        <f t="shared" si="15"/>
        <v>-8.6009011817383164E-3</v>
      </c>
      <c r="L360" s="196"/>
      <c r="M360" s="195">
        <f t="shared" si="16"/>
        <v>-7186</v>
      </c>
      <c r="N360" s="196">
        <f t="shared" si="17"/>
        <v>-9.3139605718507379E-2</v>
      </c>
      <c r="O360" s="197">
        <v>308</v>
      </c>
      <c r="P360" s="197">
        <v>314</v>
      </c>
      <c r="Q360" s="197">
        <v>352</v>
      </c>
      <c r="R360" s="197">
        <v>316</v>
      </c>
      <c r="S360" s="197">
        <v>312</v>
      </c>
      <c r="T360" s="197">
        <v>316</v>
      </c>
      <c r="U360" s="197">
        <v>336</v>
      </c>
      <c r="V360" s="197">
        <v>355</v>
      </c>
      <c r="W360" s="197">
        <v>357</v>
      </c>
      <c r="X360" s="197"/>
      <c r="Y360" s="197">
        <v>195</v>
      </c>
      <c r="Z360" s="197"/>
    </row>
    <row r="361" spans="1:26">
      <c r="A361" s="191" t="str">
        <f>'WEST YORKSHIRE'!A29</f>
        <v>Halifax BC</v>
      </c>
      <c r="B361" s="195">
        <f>'WEST YORKSHIRE'!D29</f>
        <v>70622</v>
      </c>
      <c r="C361" s="195">
        <f>'WEST YORKSHIRE'!E29</f>
        <v>69126</v>
      </c>
      <c r="D361" s="195">
        <f>'WEST YORKSHIRE'!F29</f>
        <v>69990</v>
      </c>
      <c r="E361" s="195">
        <f>'WEST YORKSHIRE'!G29</f>
        <v>69986</v>
      </c>
      <c r="F361" s="195">
        <f>'WEST YORKSHIRE'!H29</f>
        <v>69164</v>
      </c>
      <c r="G361" s="195">
        <f>'WEST YORKSHIRE'!I29</f>
        <v>67923</v>
      </c>
      <c r="H361" s="195">
        <f>'WEST YORKSHIRE'!J29</f>
        <v>67805</v>
      </c>
      <c r="I361" s="195">
        <f>'WEST YORKSHIRE'!K29</f>
        <v>69620</v>
      </c>
      <c r="J361" s="195">
        <f>'WEST YORKSHIRE'!L29</f>
        <v>69960</v>
      </c>
      <c r="K361" s="196">
        <f t="shared" si="15"/>
        <v>-9.3738495086516955E-3</v>
      </c>
      <c r="L361" s="196"/>
      <c r="M361" s="195">
        <f t="shared" si="16"/>
        <v>-7193</v>
      </c>
      <c r="N361" s="196">
        <f t="shared" si="17"/>
        <v>-9.3230334530089568E-2</v>
      </c>
      <c r="O361" s="197">
        <v>305</v>
      </c>
      <c r="P361" s="197">
        <v>363</v>
      </c>
      <c r="Q361" s="197">
        <v>345</v>
      </c>
      <c r="R361" s="197">
        <v>357</v>
      </c>
      <c r="S361" s="197">
        <v>364</v>
      </c>
      <c r="T361" s="197">
        <v>367</v>
      </c>
      <c r="U361" s="197">
        <v>342</v>
      </c>
      <c r="V361" s="197">
        <v>347</v>
      </c>
      <c r="W361" s="197">
        <v>358</v>
      </c>
      <c r="X361" s="197"/>
      <c r="Y361" s="197">
        <v>194</v>
      </c>
      <c r="Z361" s="197"/>
    </row>
    <row r="362" spans="1:26">
      <c r="A362" s="191" t="str">
        <f>LANCASHIRE!A27</f>
        <v>Blackburn BC</v>
      </c>
      <c r="B362" s="195">
        <f>LANCASHIRE!D27</f>
        <v>71822</v>
      </c>
      <c r="C362" s="195">
        <f>LANCASHIRE!E27</f>
        <v>72112</v>
      </c>
      <c r="D362" s="195">
        <f>LANCASHIRE!F27</f>
        <v>73317</v>
      </c>
      <c r="E362" s="195">
        <f>LANCASHIRE!G27</f>
        <v>74060</v>
      </c>
      <c r="F362" s="195">
        <f>LANCASHIRE!H27</f>
        <v>73405</v>
      </c>
      <c r="G362" s="195">
        <f>LANCASHIRE!I27</f>
        <v>72560</v>
      </c>
      <c r="H362" s="195">
        <f>LANCASHIRE!J27</f>
        <v>68691</v>
      </c>
      <c r="I362" s="195">
        <f>LANCASHIRE!K27</f>
        <v>70031</v>
      </c>
      <c r="J362" s="195">
        <f>LANCASHIRE!L27</f>
        <v>69954</v>
      </c>
      <c r="K362" s="196">
        <f t="shared" si="15"/>
        <v>-2.6008743838935144E-2</v>
      </c>
      <c r="L362" s="196"/>
      <c r="M362" s="195">
        <f t="shared" si="16"/>
        <v>-7199</v>
      </c>
      <c r="N362" s="196">
        <f t="shared" si="17"/>
        <v>-9.3308102082874295E-2</v>
      </c>
      <c r="O362" s="197">
        <v>257</v>
      </c>
      <c r="P362" s="197">
        <v>265</v>
      </c>
      <c r="Q362" s="197">
        <v>231</v>
      </c>
      <c r="R362" s="197">
        <v>209</v>
      </c>
      <c r="S362" s="197">
        <v>232</v>
      </c>
      <c r="T362" s="197">
        <v>207</v>
      </c>
      <c r="U362" s="197">
        <v>317</v>
      </c>
      <c r="V362" s="197">
        <v>336</v>
      </c>
      <c r="W362" s="197">
        <v>359</v>
      </c>
      <c r="X362" s="197"/>
      <c r="Y362" s="197">
        <v>41</v>
      </c>
      <c r="Z362" s="197"/>
    </row>
    <row r="363" spans="1:26">
      <c r="A363" s="191" t="str">
        <f>KENT!A38</f>
        <v>Faversham and Mid Kent CC</v>
      </c>
      <c r="B363" s="195">
        <f>KENT!D40</f>
        <v>69075</v>
      </c>
      <c r="C363" s="195">
        <f>KENT!E40</f>
        <v>68521</v>
      </c>
      <c r="D363" s="195">
        <f>KENT!F40</f>
        <v>70400</v>
      </c>
      <c r="E363" s="195">
        <f>KENT!G40</f>
        <v>70906</v>
      </c>
      <c r="F363" s="195">
        <f>KENT!H40</f>
        <v>66854</v>
      </c>
      <c r="G363" s="195">
        <f>KENT!I40</f>
        <v>66630</v>
      </c>
      <c r="H363" s="195">
        <f>KENT!J40</f>
        <v>66647</v>
      </c>
      <c r="I363" s="195">
        <f>KENT!K40</f>
        <v>70294</v>
      </c>
      <c r="J363" s="195">
        <f>KENT!L40</f>
        <v>69954</v>
      </c>
      <c r="K363" s="196">
        <f t="shared" si="15"/>
        <v>1.2725298588490771E-2</v>
      </c>
      <c r="L363" s="196"/>
      <c r="M363" s="195">
        <f t="shared" si="16"/>
        <v>-7199</v>
      </c>
      <c r="N363" s="196">
        <f t="shared" si="17"/>
        <v>-9.3308102082874295E-2</v>
      </c>
      <c r="O363" s="197">
        <v>347</v>
      </c>
      <c r="P363" s="197">
        <v>381</v>
      </c>
      <c r="Q363" s="197">
        <v>336</v>
      </c>
      <c r="R363" s="197">
        <v>327</v>
      </c>
      <c r="S363" s="197">
        <v>430</v>
      </c>
      <c r="T363" s="197">
        <v>402</v>
      </c>
      <c r="U363" s="197">
        <v>384</v>
      </c>
      <c r="V363" s="197">
        <v>325</v>
      </c>
      <c r="W363" s="197">
        <v>360</v>
      </c>
      <c r="X363" s="197"/>
      <c r="Y363" s="197">
        <v>171</v>
      </c>
      <c r="Z363" s="197"/>
    </row>
    <row r="364" spans="1:26">
      <c r="A364" s="191" t="str">
        <f>KENT!A28</f>
        <v>Chatham and Aylesford CC</v>
      </c>
      <c r="B364" s="195">
        <f>KENT!D30</f>
        <v>67829</v>
      </c>
      <c r="C364" s="195">
        <f>KENT!E30</f>
        <v>68437</v>
      </c>
      <c r="D364" s="195">
        <f>KENT!F30</f>
        <v>69426</v>
      </c>
      <c r="E364" s="195">
        <f>KENT!G30</f>
        <v>69478</v>
      </c>
      <c r="F364" s="195">
        <f>KENT!H30</f>
        <v>67687</v>
      </c>
      <c r="G364" s="195">
        <f>KENT!I30</f>
        <v>66540</v>
      </c>
      <c r="H364" s="195">
        <f>KENT!J30</f>
        <v>66381</v>
      </c>
      <c r="I364" s="195">
        <f>KENT!K30</f>
        <v>69641</v>
      </c>
      <c r="J364" s="195">
        <f>KENT!L30</f>
        <v>69911</v>
      </c>
      <c r="K364" s="196">
        <f t="shared" si="15"/>
        <v>3.0694835542319658E-2</v>
      </c>
      <c r="L364" s="196"/>
      <c r="M364" s="195">
        <f t="shared" si="16"/>
        <v>-7242</v>
      </c>
      <c r="N364" s="196">
        <f t="shared" si="17"/>
        <v>-9.3865436211164832E-2</v>
      </c>
      <c r="O364" s="197">
        <v>384</v>
      </c>
      <c r="P364" s="197">
        <v>384</v>
      </c>
      <c r="Q364" s="197">
        <v>365</v>
      </c>
      <c r="R364" s="197">
        <v>372</v>
      </c>
      <c r="S364" s="197">
        <v>406</v>
      </c>
      <c r="T364" s="197">
        <v>406</v>
      </c>
      <c r="U364" s="197">
        <v>391</v>
      </c>
      <c r="V364" s="197">
        <v>346</v>
      </c>
      <c r="W364" s="197">
        <v>361</v>
      </c>
      <c r="X364" s="197"/>
      <c r="Y364" s="197">
        <v>97</v>
      </c>
      <c r="Z364" s="197"/>
    </row>
    <row r="365" spans="1:26">
      <c r="A365" s="191" t="str">
        <f>'SOUTH YORKSHIRE'!A38</f>
        <v>Sheffield South East BC</v>
      </c>
      <c r="B365" s="195">
        <f>'SOUTH YORKSHIRE'!D38</f>
        <v>67559</v>
      </c>
      <c r="C365" s="195">
        <f>'SOUTH YORKSHIRE'!E38</f>
        <v>67792</v>
      </c>
      <c r="D365" s="195">
        <f>'SOUTH YORKSHIRE'!F38</f>
        <v>68196</v>
      </c>
      <c r="E365" s="195">
        <f>'SOUTH YORKSHIRE'!G38</f>
        <v>68718</v>
      </c>
      <c r="F365" s="195">
        <f>'SOUTH YORKSHIRE'!H38</f>
        <v>69002</v>
      </c>
      <c r="G365" s="195">
        <f>'SOUTH YORKSHIRE'!I38</f>
        <v>68537</v>
      </c>
      <c r="H365" s="195">
        <f>'SOUTH YORKSHIRE'!J38</f>
        <v>66987</v>
      </c>
      <c r="I365" s="195">
        <f>'SOUTH YORKSHIRE'!K38</f>
        <v>69039</v>
      </c>
      <c r="J365" s="195">
        <f>'SOUTH YORKSHIRE'!L38</f>
        <v>69784</v>
      </c>
      <c r="K365" s="196">
        <f t="shared" si="15"/>
        <v>3.2934176053523584E-2</v>
      </c>
      <c r="L365" s="196"/>
      <c r="M365" s="195">
        <f t="shared" si="16"/>
        <v>-7369</v>
      </c>
      <c r="N365" s="196">
        <f t="shared" si="17"/>
        <v>-9.5511516078441536E-2</v>
      </c>
      <c r="O365" s="197">
        <v>392</v>
      </c>
      <c r="P365" s="197">
        <v>398</v>
      </c>
      <c r="Q365" s="197">
        <v>392</v>
      </c>
      <c r="R365" s="197">
        <v>396</v>
      </c>
      <c r="S365" s="197">
        <v>372</v>
      </c>
      <c r="T365" s="197">
        <v>350</v>
      </c>
      <c r="U365" s="197">
        <v>376</v>
      </c>
      <c r="V365" s="197">
        <v>361</v>
      </c>
      <c r="W365" s="197">
        <v>362</v>
      </c>
      <c r="X365" s="197"/>
      <c r="Y365" s="197">
        <v>391</v>
      </c>
      <c r="Z365" s="197"/>
    </row>
    <row r="366" spans="1:26">
      <c r="A366" s="191" t="str">
        <f>'WEST MIDLANDS'!A53</f>
        <v>Stourbridge BC</v>
      </c>
      <c r="B366" s="195">
        <f>'WEST MIDLANDS'!D53</f>
        <v>69855</v>
      </c>
      <c r="C366" s="195">
        <f>'WEST MIDLANDS'!E53</f>
        <v>70225</v>
      </c>
      <c r="D366" s="195">
        <f>'WEST MIDLANDS'!F53</f>
        <v>70337</v>
      </c>
      <c r="E366" s="195">
        <f>'WEST MIDLANDS'!G53</f>
        <v>70425</v>
      </c>
      <c r="F366" s="195">
        <f>'WEST MIDLANDS'!H53</f>
        <v>68747</v>
      </c>
      <c r="G366" s="195">
        <f>'WEST MIDLANDS'!I53</f>
        <v>68686</v>
      </c>
      <c r="H366" s="195">
        <f>'WEST MIDLANDS'!J53</f>
        <v>69303</v>
      </c>
      <c r="I366" s="195">
        <f>'WEST MIDLANDS'!K53</f>
        <v>69791</v>
      </c>
      <c r="J366" s="195">
        <f>'WEST MIDLANDS'!L53</f>
        <v>69763</v>
      </c>
      <c r="K366" s="196">
        <f t="shared" si="15"/>
        <v>-1.317013814329683E-3</v>
      </c>
      <c r="L366" s="196"/>
      <c r="M366" s="195">
        <f t="shared" si="16"/>
        <v>-7390</v>
      </c>
      <c r="N366" s="196">
        <f t="shared" si="17"/>
        <v>-9.5783702513188088E-2</v>
      </c>
      <c r="O366" s="197">
        <v>326</v>
      </c>
      <c r="P366" s="197">
        <v>332</v>
      </c>
      <c r="Q366" s="197">
        <v>338</v>
      </c>
      <c r="R366" s="197">
        <v>337</v>
      </c>
      <c r="S366" s="197">
        <v>378</v>
      </c>
      <c r="T366" s="197">
        <v>345</v>
      </c>
      <c r="U366" s="197">
        <v>299</v>
      </c>
      <c r="V366" s="197">
        <v>343</v>
      </c>
      <c r="W366" s="197">
        <v>363</v>
      </c>
      <c r="X366" s="197"/>
      <c r="Y366" s="197">
        <v>447</v>
      </c>
      <c r="Z366" s="197"/>
    </row>
    <row r="367" spans="1:26">
      <c r="A367" s="191" t="str">
        <f>BARKING!A9</f>
        <v>Dagenham and Rainham BC</v>
      </c>
      <c r="B367" s="195">
        <f>BARKING!D11</f>
        <v>69599</v>
      </c>
      <c r="C367" s="195">
        <f>BARKING!E11</f>
        <v>70187</v>
      </c>
      <c r="D367" s="195">
        <f>BARKING!F11</f>
        <v>70747</v>
      </c>
      <c r="E367" s="195">
        <f>BARKING!G11</f>
        <v>70777</v>
      </c>
      <c r="F367" s="195">
        <f>BARKING!H11</f>
        <v>70423</v>
      </c>
      <c r="G367" s="195">
        <f>BARKING!I11</f>
        <v>68167</v>
      </c>
      <c r="H367" s="195">
        <f>BARKING!J11</f>
        <v>67555</v>
      </c>
      <c r="I367" s="195">
        <f>BARKING!K11</f>
        <v>68841</v>
      </c>
      <c r="J367" s="195">
        <f>BARKING!L11</f>
        <v>69758</v>
      </c>
      <c r="K367" s="196">
        <f t="shared" si="15"/>
        <v>2.2845155821204326E-3</v>
      </c>
      <c r="L367" s="196"/>
      <c r="M367" s="195">
        <f t="shared" si="16"/>
        <v>-7395</v>
      </c>
      <c r="N367" s="196">
        <f t="shared" si="17"/>
        <v>-9.5848508807175353E-2</v>
      </c>
      <c r="O367" s="197">
        <v>331</v>
      </c>
      <c r="P367" s="197">
        <v>333</v>
      </c>
      <c r="Q367" s="197">
        <v>326</v>
      </c>
      <c r="R367" s="197">
        <v>332</v>
      </c>
      <c r="S367" s="197">
        <v>334</v>
      </c>
      <c r="T367" s="197">
        <v>361</v>
      </c>
      <c r="U367" s="197">
        <v>357</v>
      </c>
      <c r="V367" s="197">
        <v>367</v>
      </c>
      <c r="W367" s="197">
        <v>364</v>
      </c>
      <c r="X367" s="197"/>
      <c r="Y367" s="197">
        <v>128</v>
      </c>
      <c r="Z367" s="197"/>
    </row>
    <row r="368" spans="1:26">
      <c r="A368" s="191" t="str">
        <f>HERTFORDSHIRE!A45</f>
        <v>Stevenage CC</v>
      </c>
      <c r="B368" s="195">
        <f>HERTFORDSHIRE!D48</f>
        <v>67948</v>
      </c>
      <c r="C368" s="195">
        <f>HERTFORDSHIRE!E48</f>
        <v>69357</v>
      </c>
      <c r="D368" s="195">
        <f>HERTFORDSHIRE!F48</f>
        <v>70113</v>
      </c>
      <c r="E368" s="195">
        <f>HERTFORDSHIRE!G48</f>
        <v>71001</v>
      </c>
      <c r="F368" s="195">
        <f>HERTFORDSHIRE!H48</f>
        <v>70378</v>
      </c>
      <c r="G368" s="195">
        <f>HERTFORDSHIRE!I48</f>
        <v>69706</v>
      </c>
      <c r="H368" s="195">
        <f>HERTFORDSHIRE!J48</f>
        <v>67520</v>
      </c>
      <c r="I368" s="195">
        <f>HERTFORDSHIRE!K48</f>
        <v>69518</v>
      </c>
      <c r="J368" s="195">
        <f>HERTFORDSHIRE!L48</f>
        <v>69729</v>
      </c>
      <c r="K368" s="196">
        <f t="shared" si="15"/>
        <v>2.6211220344969682E-2</v>
      </c>
      <c r="L368" s="196"/>
      <c r="M368" s="195">
        <f t="shared" si="16"/>
        <v>-7424</v>
      </c>
      <c r="N368" s="196">
        <f t="shared" si="17"/>
        <v>-9.6224385312301527E-2</v>
      </c>
      <c r="O368" s="197">
        <v>382</v>
      </c>
      <c r="P368" s="197">
        <v>355</v>
      </c>
      <c r="Q368" s="197">
        <v>343</v>
      </c>
      <c r="R368" s="197">
        <v>324</v>
      </c>
      <c r="S368" s="197">
        <v>340</v>
      </c>
      <c r="T368" s="197">
        <v>305</v>
      </c>
      <c r="U368" s="197">
        <v>360</v>
      </c>
      <c r="V368" s="197">
        <v>351</v>
      </c>
      <c r="W368" s="197">
        <v>365</v>
      </c>
      <c r="X368" s="197"/>
      <c r="Y368" s="197">
        <v>439</v>
      </c>
      <c r="Z368" s="197"/>
    </row>
    <row r="369" spans="1:207">
      <c r="A369" s="191" t="str">
        <f>WARWICKSHIRE!A19</f>
        <v>North Warwickshire CC</v>
      </c>
      <c r="B369" s="195">
        <f>WARWICKSHIRE!D21</f>
        <v>70415</v>
      </c>
      <c r="C369" s="195">
        <f>WARWICKSHIRE!E21</f>
        <v>70544</v>
      </c>
      <c r="D369" s="195">
        <f>WARWICKSHIRE!F21</f>
        <v>70825</v>
      </c>
      <c r="E369" s="195">
        <f>WARWICKSHIRE!G21</f>
        <v>71271</v>
      </c>
      <c r="F369" s="195">
        <f>WARWICKSHIRE!H21</f>
        <v>70414</v>
      </c>
      <c r="G369" s="195">
        <f>WARWICKSHIRE!I21</f>
        <v>69088</v>
      </c>
      <c r="H369" s="195">
        <f>WARWICKSHIRE!J21</f>
        <v>67237</v>
      </c>
      <c r="I369" s="195">
        <f>WARWICKSHIRE!K21</f>
        <v>69158</v>
      </c>
      <c r="J369" s="195">
        <f>WARWICKSHIRE!L21</f>
        <v>69639</v>
      </c>
      <c r="K369" s="196">
        <f t="shared" si="15"/>
        <v>-1.1020379180572321E-2</v>
      </c>
      <c r="L369" s="196"/>
      <c r="M369" s="195">
        <f t="shared" si="16"/>
        <v>-7514</v>
      </c>
      <c r="N369" s="196">
        <f t="shared" si="17"/>
        <v>-9.7390898604072421E-2</v>
      </c>
      <c r="O369" s="197">
        <v>312</v>
      </c>
      <c r="P369" s="197">
        <v>325</v>
      </c>
      <c r="Q369" s="197">
        <v>321</v>
      </c>
      <c r="R369" s="197">
        <v>320</v>
      </c>
      <c r="S369" s="197">
        <v>336</v>
      </c>
      <c r="T369" s="197">
        <v>329</v>
      </c>
      <c r="U369" s="197">
        <v>368</v>
      </c>
      <c r="V369" s="197">
        <v>358</v>
      </c>
      <c r="W369" s="197">
        <v>366</v>
      </c>
      <c r="X369" s="197"/>
      <c r="Y369" s="197">
        <v>325</v>
      </c>
      <c r="Z369" s="197"/>
    </row>
    <row r="370" spans="1:207">
      <c r="A370" s="191" t="str">
        <f>DORSET!A26</f>
        <v>Christchurch CC</v>
      </c>
      <c r="B370" s="195">
        <f>DORSET!D28</f>
        <v>68683</v>
      </c>
      <c r="C370" s="195">
        <f>DORSET!E28</f>
        <v>69008</v>
      </c>
      <c r="D370" s="195">
        <f>DORSET!F28</f>
        <v>69376</v>
      </c>
      <c r="E370" s="195">
        <f>DORSET!G28</f>
        <v>70116</v>
      </c>
      <c r="F370" s="195">
        <f>DORSET!H28</f>
        <v>70732</v>
      </c>
      <c r="G370" s="195">
        <f>DORSET!I28</f>
        <v>68102</v>
      </c>
      <c r="H370" s="195">
        <f>DORSET!J28</f>
        <v>67600</v>
      </c>
      <c r="I370" s="195">
        <f>DORSET!K28</f>
        <v>69364</v>
      </c>
      <c r="J370" s="195">
        <f>DORSET!L28</f>
        <v>69577</v>
      </c>
      <c r="K370" s="196">
        <f t="shared" si="15"/>
        <v>1.3016321360453095E-2</v>
      </c>
      <c r="L370" s="196"/>
      <c r="M370" s="195">
        <f t="shared" si="16"/>
        <v>-7576</v>
      </c>
      <c r="N370" s="196">
        <f t="shared" si="17"/>
        <v>-9.8194496649514601E-2</v>
      </c>
      <c r="O370" s="197">
        <v>363</v>
      </c>
      <c r="P370" s="197">
        <v>368</v>
      </c>
      <c r="Q370" s="197">
        <v>368</v>
      </c>
      <c r="R370" s="197">
        <v>350</v>
      </c>
      <c r="S370" s="197">
        <v>322</v>
      </c>
      <c r="T370" s="197">
        <v>362</v>
      </c>
      <c r="U370" s="197">
        <v>354</v>
      </c>
      <c r="V370" s="197">
        <v>353</v>
      </c>
      <c r="W370" s="197">
        <v>367</v>
      </c>
      <c r="X370" s="197"/>
      <c r="Y370" s="197">
        <v>109</v>
      </c>
      <c r="Z370" s="197"/>
    </row>
    <row r="371" spans="1:207">
      <c r="A371" s="191" t="str">
        <f>CHESHIRE!A23</f>
        <v>Ellesmere Port and Neston CC</v>
      </c>
      <c r="B371" s="195">
        <f>CHESHIRE!D23</f>
        <v>65739</v>
      </c>
      <c r="C371" s="195">
        <f>CHESHIRE!E23</f>
        <v>66995</v>
      </c>
      <c r="D371" s="195">
        <f>CHESHIRE!F23</f>
        <v>66692</v>
      </c>
      <c r="E371" s="195">
        <f>CHESHIRE!G23</f>
        <v>67446</v>
      </c>
      <c r="F371" s="195">
        <f>CHESHIRE!H23</f>
        <v>67706</v>
      </c>
      <c r="G371" s="195">
        <f>CHESHIRE!I23</f>
        <v>68297</v>
      </c>
      <c r="H371" s="195">
        <f>CHESHIRE!J23</f>
        <v>67586</v>
      </c>
      <c r="I371" s="195">
        <f>CHESHIRE!K23</f>
        <v>68456</v>
      </c>
      <c r="J371" s="195">
        <f>CHESHIRE!L23</f>
        <v>69522</v>
      </c>
      <c r="K371" s="196">
        <f t="shared" si="15"/>
        <v>5.7545749098708528E-2</v>
      </c>
      <c r="L371" s="196"/>
      <c r="M371" s="195">
        <f t="shared" si="16"/>
        <v>-7631</v>
      </c>
      <c r="N371" s="196">
        <f t="shared" si="17"/>
        <v>-9.8907365883374593E-2</v>
      </c>
      <c r="O371" s="197">
        <v>445</v>
      </c>
      <c r="P371" s="197">
        <v>422</v>
      </c>
      <c r="Q371" s="197">
        <v>441</v>
      </c>
      <c r="R371" s="197">
        <v>428</v>
      </c>
      <c r="S371" s="197">
        <v>405</v>
      </c>
      <c r="T371" s="197">
        <v>355</v>
      </c>
      <c r="U371" s="197">
        <v>355</v>
      </c>
      <c r="V371" s="197">
        <v>377</v>
      </c>
      <c r="W371" s="197">
        <v>368</v>
      </c>
      <c r="X371" s="197"/>
      <c r="Y371" s="197">
        <v>159</v>
      </c>
      <c r="Z371" s="197"/>
    </row>
    <row r="372" spans="1:207">
      <c r="A372" s="191" t="str">
        <f>MERSEYSIDE!A37</f>
        <v>Sefton Central CC</v>
      </c>
      <c r="B372" s="195">
        <f>MERSEYSIDE!D37</f>
        <v>67766</v>
      </c>
      <c r="C372" s="195">
        <f>MERSEYSIDE!E37</f>
        <v>67696</v>
      </c>
      <c r="D372" s="195">
        <f>MERSEYSIDE!F37</f>
        <v>67189</v>
      </c>
      <c r="E372" s="195">
        <f>MERSEYSIDE!G37</f>
        <v>66565</v>
      </c>
      <c r="F372" s="195">
        <f>MERSEYSIDE!H37</f>
        <v>67292</v>
      </c>
      <c r="G372" s="195">
        <f>MERSEYSIDE!I37</f>
        <v>66386</v>
      </c>
      <c r="H372" s="195">
        <f>MERSEYSIDE!J37</f>
        <v>66208</v>
      </c>
      <c r="I372" s="195">
        <f>MERSEYSIDE!K37</f>
        <v>67961</v>
      </c>
      <c r="J372" s="195">
        <f>MERSEYSIDE!L37</f>
        <v>69428</v>
      </c>
      <c r="K372" s="196">
        <f t="shared" si="15"/>
        <v>2.4525573296343299E-2</v>
      </c>
      <c r="L372" s="196"/>
      <c r="M372" s="195">
        <f t="shared" si="16"/>
        <v>-7725</v>
      </c>
      <c r="N372" s="196">
        <f t="shared" si="17"/>
        <v>-0.1001257242103353</v>
      </c>
      <c r="O372" s="197">
        <v>386</v>
      </c>
      <c r="P372" s="197">
        <v>401</v>
      </c>
      <c r="Q372" s="197">
        <v>426</v>
      </c>
      <c r="R372" s="197">
        <v>452</v>
      </c>
      <c r="S372" s="197">
        <v>418</v>
      </c>
      <c r="T372" s="197">
        <v>410</v>
      </c>
      <c r="U372" s="197">
        <v>397</v>
      </c>
      <c r="V372" s="197">
        <v>391</v>
      </c>
      <c r="W372" s="197">
        <v>369</v>
      </c>
      <c r="X372" s="197"/>
      <c r="Y372" s="197">
        <v>387</v>
      </c>
      <c r="Z372" s="197"/>
    </row>
    <row r="373" spans="1:207">
      <c r="A373" s="191" t="str">
        <f>MERSEYSIDE!A23</f>
        <v>Liverpool, Riverside BC</v>
      </c>
      <c r="B373" s="195">
        <f>MERSEYSIDE!D23</f>
        <v>73310</v>
      </c>
      <c r="C373" s="195">
        <f>MERSEYSIDE!E23</f>
        <v>73406</v>
      </c>
      <c r="D373" s="195">
        <f>MERSEYSIDE!F23</f>
        <v>73891</v>
      </c>
      <c r="E373" s="195">
        <f>MERSEYSIDE!G23</f>
        <v>73880</v>
      </c>
      <c r="F373" s="195">
        <f>MERSEYSIDE!H23</f>
        <v>74602</v>
      </c>
      <c r="G373" s="195">
        <f>MERSEYSIDE!I23</f>
        <v>63264</v>
      </c>
      <c r="H373" s="195">
        <f>MERSEYSIDE!J23</f>
        <v>67054</v>
      </c>
      <c r="I373" s="195">
        <f>MERSEYSIDE!K23</f>
        <v>70950</v>
      </c>
      <c r="J373" s="195">
        <f>MERSEYSIDE!L23</f>
        <v>69419</v>
      </c>
      <c r="K373" s="196">
        <f t="shared" si="15"/>
        <v>-5.307597872050198E-2</v>
      </c>
      <c r="L373" s="196"/>
      <c r="M373" s="195">
        <f t="shared" si="16"/>
        <v>-7734</v>
      </c>
      <c r="N373" s="196">
        <f t="shared" si="17"/>
        <v>-0.1002423755395124</v>
      </c>
      <c r="O373" s="197">
        <v>187</v>
      </c>
      <c r="P373" s="197">
        <v>213</v>
      </c>
      <c r="Q373" s="197">
        <v>206</v>
      </c>
      <c r="R373" s="197">
        <v>216</v>
      </c>
      <c r="S373" s="197">
        <v>183</v>
      </c>
      <c r="T373" s="197">
        <v>477</v>
      </c>
      <c r="U373" s="197">
        <v>375</v>
      </c>
      <c r="V373" s="197">
        <v>295</v>
      </c>
      <c r="W373" s="197">
        <v>370</v>
      </c>
      <c r="X373" s="197"/>
      <c r="Y373" s="197">
        <v>264</v>
      </c>
      <c r="Z373" s="197"/>
    </row>
    <row r="374" spans="1:207">
      <c r="A374" s="191" t="str">
        <f>HARROW!A9</f>
        <v>Harrow West BC</v>
      </c>
      <c r="B374" s="195">
        <f>HARROW!D9</f>
        <v>68264</v>
      </c>
      <c r="C374" s="195">
        <f>HARROW!E9</f>
        <v>69135</v>
      </c>
      <c r="D374" s="195">
        <f>HARROW!F9</f>
        <v>69701</v>
      </c>
      <c r="E374" s="195">
        <f>HARROW!G9</f>
        <v>69202</v>
      </c>
      <c r="F374" s="195">
        <f>HARROW!H9</f>
        <v>70487</v>
      </c>
      <c r="G374" s="195">
        <f>HARROW!I9</f>
        <v>67700</v>
      </c>
      <c r="H374" s="195">
        <f>HARROW!J9</f>
        <v>67425</v>
      </c>
      <c r="I374" s="195">
        <f>HARROW!K9</f>
        <v>68287</v>
      </c>
      <c r="J374" s="195">
        <f>HARROW!L9</f>
        <v>69370</v>
      </c>
      <c r="K374" s="196">
        <f t="shared" si="15"/>
        <v>1.6201804757998359E-2</v>
      </c>
      <c r="L374" s="196"/>
      <c r="M374" s="195">
        <f t="shared" si="16"/>
        <v>-7783</v>
      </c>
      <c r="N374" s="196">
        <f t="shared" si="17"/>
        <v>-0.10087747722058767</v>
      </c>
      <c r="O374" s="197">
        <v>371</v>
      </c>
      <c r="P374" s="197">
        <v>361</v>
      </c>
      <c r="Q374" s="197">
        <v>359</v>
      </c>
      <c r="R374" s="197">
        <v>380</v>
      </c>
      <c r="S374" s="197">
        <v>331</v>
      </c>
      <c r="T374" s="197">
        <v>370</v>
      </c>
      <c r="U374" s="197">
        <v>361</v>
      </c>
      <c r="V374" s="197">
        <v>381</v>
      </c>
      <c r="W374" s="197">
        <v>371</v>
      </c>
      <c r="X374" s="197"/>
      <c r="Y374" s="197">
        <v>203</v>
      </c>
      <c r="Z374" s="197"/>
    </row>
    <row r="375" spans="1:207">
      <c r="A375" s="191" t="str">
        <f>NORFOLK!A19</f>
        <v>Great Yarmouth CC</v>
      </c>
      <c r="B375" s="195">
        <f>NORFOLK!D19</f>
        <v>70196</v>
      </c>
      <c r="C375" s="195">
        <f>NORFOLK!E19</f>
        <v>70526</v>
      </c>
      <c r="D375" s="195">
        <f>NORFOLK!F19</f>
        <v>69872</v>
      </c>
      <c r="E375" s="195">
        <f>NORFOLK!G19</f>
        <v>69238</v>
      </c>
      <c r="F375" s="195">
        <f>NORFOLK!H19</f>
        <v>69616</v>
      </c>
      <c r="G375" s="195">
        <f>NORFOLK!I19</f>
        <v>68756</v>
      </c>
      <c r="H375" s="195">
        <f>NORFOLK!J19</f>
        <v>69691</v>
      </c>
      <c r="I375" s="195">
        <f>NORFOLK!K19</f>
        <v>70816</v>
      </c>
      <c r="J375" s="195">
        <f>NORFOLK!L19</f>
        <v>69332</v>
      </c>
      <c r="K375" s="196">
        <f t="shared" si="15"/>
        <v>-1.2308393640663285E-2</v>
      </c>
      <c r="L375" s="196"/>
      <c r="M375" s="195">
        <f t="shared" si="16"/>
        <v>-7821</v>
      </c>
      <c r="N375" s="196">
        <f t="shared" si="17"/>
        <v>-0.10137000505489092</v>
      </c>
      <c r="O375" s="197">
        <v>318</v>
      </c>
      <c r="P375" s="197">
        <v>327</v>
      </c>
      <c r="Q375" s="197">
        <v>353</v>
      </c>
      <c r="R375" s="197">
        <v>379</v>
      </c>
      <c r="S375" s="197">
        <v>356</v>
      </c>
      <c r="T375" s="197">
        <v>344</v>
      </c>
      <c r="U375" s="197">
        <v>288</v>
      </c>
      <c r="V375" s="197">
        <v>302</v>
      </c>
      <c r="W375" s="197">
        <v>372</v>
      </c>
      <c r="X375" s="197"/>
      <c r="Y375" s="197">
        <v>188</v>
      </c>
      <c r="Z375" s="197"/>
    </row>
    <row r="376" spans="1:207">
      <c r="A376" s="191" t="str">
        <f>ESSEX!A27</f>
        <v>Basildon and Billericay BC</v>
      </c>
      <c r="B376" s="195">
        <f>ESSEX!D27</f>
        <v>65302</v>
      </c>
      <c r="C376" s="195">
        <f>ESSEX!E27</f>
        <v>65373</v>
      </c>
      <c r="D376" s="195">
        <f>ESSEX!F27</f>
        <v>65910</v>
      </c>
      <c r="E376" s="195">
        <f>ESSEX!G27</f>
        <v>67086</v>
      </c>
      <c r="F376" s="195">
        <f>ESSEX!H27</f>
        <v>67504</v>
      </c>
      <c r="G376" s="195">
        <f>ESSEX!I27</f>
        <v>67784</v>
      </c>
      <c r="H376" s="195">
        <f>ESSEX!J27</f>
        <v>64885</v>
      </c>
      <c r="I376" s="195">
        <f>ESSEX!K27</f>
        <v>67898</v>
      </c>
      <c r="J376" s="195">
        <f>ESSEX!L27</f>
        <v>69274</v>
      </c>
      <c r="K376" s="196">
        <f t="shared" si="15"/>
        <v>6.0825089583779975E-2</v>
      </c>
      <c r="L376" s="196"/>
      <c r="M376" s="195">
        <f t="shared" si="16"/>
        <v>-7879</v>
      </c>
      <c r="N376" s="196">
        <f t="shared" si="17"/>
        <v>-0.10212175806514329</v>
      </c>
      <c r="O376" s="197">
        <v>455</v>
      </c>
      <c r="P376" s="197">
        <v>467</v>
      </c>
      <c r="Q376" s="197">
        <v>456</v>
      </c>
      <c r="R376" s="197">
        <v>440</v>
      </c>
      <c r="S376" s="197">
        <v>412</v>
      </c>
      <c r="T376" s="197">
        <v>368</v>
      </c>
      <c r="U376" s="197">
        <v>422</v>
      </c>
      <c r="V376" s="197">
        <v>392</v>
      </c>
      <c r="W376" s="197">
        <v>373</v>
      </c>
      <c r="X376" s="197"/>
      <c r="Y376" s="197">
        <v>15</v>
      </c>
      <c r="Z376" s="197"/>
    </row>
    <row r="377" spans="1:207">
      <c r="A377" s="191" t="str">
        <f>DERBYSHIRE!A34</f>
        <v>Derby South BC</v>
      </c>
      <c r="B377" s="195">
        <f>DERBYSHIRE!D34</f>
        <v>71110</v>
      </c>
      <c r="C377" s="195">
        <f>DERBYSHIRE!E34</f>
        <v>72048</v>
      </c>
      <c r="D377" s="195">
        <f>DERBYSHIRE!F34</f>
        <v>72701</v>
      </c>
      <c r="E377" s="195">
        <f>DERBYSHIRE!G34</f>
        <v>72854</v>
      </c>
      <c r="F377" s="195">
        <f>DERBYSHIRE!H34</f>
        <v>71773</v>
      </c>
      <c r="G377" s="195">
        <f>DERBYSHIRE!I34</f>
        <v>68358</v>
      </c>
      <c r="H377" s="195">
        <f>DERBYSHIRE!J34</f>
        <v>69735</v>
      </c>
      <c r="I377" s="195">
        <f>DERBYSHIRE!K34</f>
        <v>69300</v>
      </c>
      <c r="J377" s="195">
        <f>DERBYSHIRE!L34</f>
        <v>69244</v>
      </c>
      <c r="K377" s="196">
        <f t="shared" si="15"/>
        <v>-2.6241035016172129E-2</v>
      </c>
      <c r="L377" s="196"/>
      <c r="M377" s="195">
        <f t="shared" si="16"/>
        <v>-7909</v>
      </c>
      <c r="N377" s="196">
        <f t="shared" si="17"/>
        <v>-0.10251059582906692</v>
      </c>
      <c r="O377" s="197">
        <v>287</v>
      </c>
      <c r="P377" s="197">
        <v>268</v>
      </c>
      <c r="Q377" s="197">
        <v>261</v>
      </c>
      <c r="R377" s="197">
        <v>269</v>
      </c>
      <c r="S377" s="197">
        <v>293</v>
      </c>
      <c r="T377" s="197">
        <v>354</v>
      </c>
      <c r="U377" s="197">
        <v>280</v>
      </c>
      <c r="V377" s="197">
        <v>356</v>
      </c>
      <c r="W377" s="197">
        <v>374</v>
      </c>
      <c r="X377" s="197"/>
      <c r="Y377" s="197">
        <v>134</v>
      </c>
      <c r="Z377" s="197"/>
    </row>
    <row r="378" spans="1:207">
      <c r="A378" s="191" t="str">
        <f>ESSEX!A35</f>
        <v>Castle Point BC</v>
      </c>
      <c r="B378" s="195">
        <f>ESSEX!D35</f>
        <v>67689</v>
      </c>
      <c r="C378" s="195">
        <f>ESSEX!E35</f>
        <v>64562</v>
      </c>
      <c r="D378" s="195">
        <f>ESSEX!F35</f>
        <v>66697</v>
      </c>
      <c r="E378" s="195">
        <f>ESSEX!G35</f>
        <v>67284</v>
      </c>
      <c r="F378" s="195">
        <f>ESSEX!H35</f>
        <v>68085</v>
      </c>
      <c r="G378" s="195">
        <f>ESSEX!I35</f>
        <v>67461</v>
      </c>
      <c r="H378" s="195">
        <f>ESSEX!J35</f>
        <v>67541</v>
      </c>
      <c r="I378" s="195">
        <f>ESSEX!K35</f>
        <v>68558</v>
      </c>
      <c r="J378" s="195">
        <f>ESSEX!L35</f>
        <v>69147</v>
      </c>
      <c r="K378" s="196">
        <f t="shared" si="15"/>
        <v>2.1539688871160749E-2</v>
      </c>
      <c r="L378" s="196"/>
      <c r="M378" s="195">
        <f t="shared" si="16"/>
        <v>-8006</v>
      </c>
      <c r="N378" s="196">
        <f t="shared" si="17"/>
        <v>-0.10376783793241999</v>
      </c>
      <c r="O378" s="197">
        <v>389</v>
      </c>
      <c r="P378" s="197">
        <v>487</v>
      </c>
      <c r="Q378" s="197">
        <v>440</v>
      </c>
      <c r="R378" s="197">
        <v>436</v>
      </c>
      <c r="S378" s="197">
        <v>399</v>
      </c>
      <c r="T378" s="197">
        <v>380</v>
      </c>
      <c r="U378" s="197">
        <v>358</v>
      </c>
      <c r="V378" s="197">
        <v>374</v>
      </c>
      <c r="W378" s="197">
        <v>375</v>
      </c>
      <c r="X378" s="197"/>
      <c r="Y378" s="197">
        <v>93</v>
      </c>
      <c r="Z378" s="197"/>
    </row>
    <row r="379" spans="1:207">
      <c r="A379" s="191" t="str">
        <f>CUMBRIA!A14</f>
        <v>Barrow and Furness CC</v>
      </c>
      <c r="B379" s="195">
        <f>CUMBRIA!D16</f>
        <v>69281</v>
      </c>
      <c r="C379" s="195">
        <f>CUMBRIA!E16</f>
        <v>69148</v>
      </c>
      <c r="D379" s="195">
        <f>CUMBRIA!F16</f>
        <v>68855</v>
      </c>
      <c r="E379" s="195">
        <f>CUMBRIA!G16</f>
        <v>69699</v>
      </c>
      <c r="F379" s="195">
        <f>CUMBRIA!H16</f>
        <v>67647</v>
      </c>
      <c r="G379" s="195">
        <f>CUMBRIA!I16</f>
        <v>67629</v>
      </c>
      <c r="H379" s="195">
        <f>CUMBRIA!J16</f>
        <v>67777</v>
      </c>
      <c r="I379" s="195">
        <f>CUMBRIA!K16</f>
        <v>69041</v>
      </c>
      <c r="J379" s="195">
        <f>CUMBRIA!L16</f>
        <v>69078</v>
      </c>
      <c r="K379" s="196">
        <f t="shared" si="15"/>
        <v>-2.9300962745918793E-3</v>
      </c>
      <c r="L379" s="196"/>
      <c r="M379" s="195">
        <f t="shared" si="16"/>
        <v>-8075</v>
      </c>
      <c r="N379" s="196">
        <f t="shared" si="17"/>
        <v>-0.10466216478944435</v>
      </c>
      <c r="O379" s="197">
        <v>342</v>
      </c>
      <c r="P379" s="197">
        <v>360</v>
      </c>
      <c r="Q379" s="197">
        <v>376</v>
      </c>
      <c r="R379" s="197">
        <v>366</v>
      </c>
      <c r="S379" s="197">
        <v>408</v>
      </c>
      <c r="T379" s="197">
        <v>371</v>
      </c>
      <c r="U379" s="197">
        <v>344</v>
      </c>
      <c r="V379" s="197">
        <v>359</v>
      </c>
      <c r="W379" s="197">
        <v>376</v>
      </c>
      <c r="X379" s="197"/>
      <c r="Y379" s="197">
        <v>14</v>
      </c>
      <c r="Z379" s="197"/>
    </row>
    <row r="380" spans="1:207">
      <c r="A380" s="191" t="str">
        <f>HAMPSHIRE!A62</f>
        <v>Southampton, Itchen BC</v>
      </c>
      <c r="B380" s="195">
        <f>HAMPSHIRE!D62</f>
        <v>74720</v>
      </c>
      <c r="C380" s="195">
        <f>HAMPSHIRE!E62</f>
        <v>74513</v>
      </c>
      <c r="D380" s="195">
        <f>HAMPSHIRE!F62</f>
        <v>73911</v>
      </c>
      <c r="E380" s="195">
        <f>HAMPSHIRE!G62</f>
        <v>73405</v>
      </c>
      <c r="F380" s="195">
        <f>HAMPSHIRE!H62</f>
        <v>74712</v>
      </c>
      <c r="G380" s="195">
        <f>HAMPSHIRE!I62</f>
        <v>70173</v>
      </c>
      <c r="H380" s="195">
        <f>HAMPSHIRE!J62</f>
        <v>67131</v>
      </c>
      <c r="I380" s="195">
        <f>HAMPSHIRE!K62</f>
        <v>68696</v>
      </c>
      <c r="J380" s="195">
        <f>HAMPSHIRE!L62</f>
        <v>69071</v>
      </c>
      <c r="K380" s="196">
        <f t="shared" si="15"/>
        <v>-7.5602248394004284E-2</v>
      </c>
      <c r="L380" s="196"/>
      <c r="M380" s="195">
        <f t="shared" si="16"/>
        <v>-8082</v>
      </c>
      <c r="N380" s="196">
        <f t="shared" si="17"/>
        <v>-0.10475289360102653</v>
      </c>
      <c r="O380" s="197">
        <v>159</v>
      </c>
      <c r="P380" s="197">
        <v>176</v>
      </c>
      <c r="Q380" s="197">
        <v>205</v>
      </c>
      <c r="R380" s="197">
        <v>239</v>
      </c>
      <c r="S380" s="197">
        <v>177</v>
      </c>
      <c r="T380" s="197">
        <v>285</v>
      </c>
      <c r="U380" s="197">
        <v>373</v>
      </c>
      <c r="V380" s="197">
        <v>371</v>
      </c>
      <c r="W380" s="197">
        <v>377</v>
      </c>
      <c r="X380" s="197"/>
      <c r="Y380" s="197">
        <v>426</v>
      </c>
      <c r="Z380" s="197"/>
    </row>
    <row r="381" spans="1:207">
      <c r="A381" s="191" t="str">
        <f>'WEST YORKSHIRE'!A57</f>
        <v>Wakefield CC</v>
      </c>
      <c r="B381" s="195">
        <f>'WEST YORKSHIRE'!D57</f>
        <v>71111</v>
      </c>
      <c r="C381" s="195">
        <f>'WEST YORKSHIRE'!E57</f>
        <v>71531</v>
      </c>
      <c r="D381" s="195">
        <f>'WEST YORKSHIRE'!F57</f>
        <v>71265</v>
      </c>
      <c r="E381" s="195">
        <f>'WEST YORKSHIRE'!G57</f>
        <v>70833</v>
      </c>
      <c r="F381" s="195">
        <f>'WEST YORKSHIRE'!H57</f>
        <v>69340</v>
      </c>
      <c r="G381" s="195">
        <f>'WEST YORKSHIRE'!I57</f>
        <v>69780</v>
      </c>
      <c r="H381" s="195">
        <f>'WEST YORKSHIRE'!J57</f>
        <v>66552</v>
      </c>
      <c r="I381" s="195">
        <f>'WEST YORKSHIRE'!K57</f>
        <v>67696</v>
      </c>
      <c r="J381" s="195">
        <f>'WEST YORKSHIRE'!L57</f>
        <v>69031</v>
      </c>
      <c r="K381" s="196">
        <f t="shared" si="15"/>
        <v>-2.925004570319641E-2</v>
      </c>
      <c r="L381" s="196"/>
      <c r="M381" s="195">
        <f t="shared" si="16"/>
        <v>-8122</v>
      </c>
      <c r="N381" s="196">
        <f t="shared" si="17"/>
        <v>-0.10527134395292471</v>
      </c>
      <c r="O381" s="197">
        <v>286</v>
      </c>
      <c r="P381" s="197">
        <v>296</v>
      </c>
      <c r="Q381" s="197">
        <v>312</v>
      </c>
      <c r="R381" s="197">
        <v>328</v>
      </c>
      <c r="S381" s="197">
        <v>360</v>
      </c>
      <c r="T381" s="197">
        <v>303</v>
      </c>
      <c r="U381" s="197">
        <v>389</v>
      </c>
      <c r="V381" s="197">
        <v>397</v>
      </c>
      <c r="W381" s="197">
        <v>378</v>
      </c>
      <c r="X381" s="197"/>
      <c r="Y381" s="197">
        <v>480</v>
      </c>
      <c r="Z381" s="197"/>
    </row>
    <row r="382" spans="1:207">
      <c r="A382" s="191" t="str">
        <f>NORFOLK!A25</f>
        <v>North Norfolk CC</v>
      </c>
      <c r="B382" s="195">
        <f>NORFOLK!D25</f>
        <v>67977</v>
      </c>
      <c r="C382" s="195">
        <f>NORFOLK!E25</f>
        <v>68277</v>
      </c>
      <c r="D382" s="195">
        <f>NORFOLK!F25</f>
        <v>68409</v>
      </c>
      <c r="E382" s="195">
        <f>NORFOLK!G25</f>
        <v>69005</v>
      </c>
      <c r="F382" s="195">
        <f>NORFOLK!H25</f>
        <v>68707</v>
      </c>
      <c r="G382" s="195">
        <f>NORFOLK!I25</f>
        <v>68195</v>
      </c>
      <c r="H382" s="195">
        <f>NORFOLK!J25</f>
        <v>67640</v>
      </c>
      <c r="I382" s="195">
        <f>NORFOLK!K25</f>
        <v>68223</v>
      </c>
      <c r="J382" s="195">
        <f>NORFOLK!L25</f>
        <v>68976</v>
      </c>
      <c r="K382" s="196">
        <f t="shared" si="15"/>
        <v>1.4696147226267707E-2</v>
      </c>
      <c r="L382" s="196"/>
      <c r="M382" s="195">
        <f t="shared" si="16"/>
        <v>-8177</v>
      </c>
      <c r="N382" s="196">
        <f t="shared" si="17"/>
        <v>-0.10598421318678471</v>
      </c>
      <c r="O382" s="197">
        <v>381</v>
      </c>
      <c r="P382" s="197">
        <v>387</v>
      </c>
      <c r="Q382" s="197">
        <v>388</v>
      </c>
      <c r="R382" s="197">
        <v>390</v>
      </c>
      <c r="S382" s="197">
        <v>380</v>
      </c>
      <c r="T382" s="197">
        <v>360</v>
      </c>
      <c r="U382" s="197">
        <v>351</v>
      </c>
      <c r="V382" s="197">
        <v>382</v>
      </c>
      <c r="W382" s="197">
        <v>379</v>
      </c>
      <c r="X382" s="197"/>
      <c r="Y382" s="197">
        <v>319</v>
      </c>
      <c r="Z382" s="197"/>
    </row>
    <row r="383" spans="1:207">
      <c r="A383" s="191" t="str">
        <f>EALING!A7</f>
        <v>Ealing Central and Acton BC</v>
      </c>
      <c r="B383" s="195">
        <f>EALING!D7</f>
        <v>69149</v>
      </c>
      <c r="C383" s="195">
        <f>EALING!E7</f>
        <v>69828</v>
      </c>
      <c r="D383" s="195">
        <f>EALING!F7</f>
        <v>70415</v>
      </c>
      <c r="E383" s="195">
        <f>EALING!G7</f>
        <v>70103</v>
      </c>
      <c r="F383" s="195">
        <f>EALING!H7</f>
        <v>71035</v>
      </c>
      <c r="G383" s="195">
        <f>EALING!I7</f>
        <v>68374</v>
      </c>
      <c r="H383" s="195">
        <f>EALING!J7</f>
        <v>70798</v>
      </c>
      <c r="I383" s="195">
        <f>EALING!K7</f>
        <v>70582</v>
      </c>
      <c r="J383" s="195">
        <f>EALING!L7</f>
        <v>68779</v>
      </c>
      <c r="K383" s="196">
        <f t="shared" si="15"/>
        <v>-5.3507642916021921E-3</v>
      </c>
      <c r="L383" s="196"/>
      <c r="M383" s="195">
        <f t="shared" si="16"/>
        <v>-8374</v>
      </c>
      <c r="N383" s="196">
        <f t="shared" si="17"/>
        <v>-0.10853758116988321</v>
      </c>
      <c r="O383" s="197">
        <v>345</v>
      </c>
      <c r="P383" s="197">
        <v>345</v>
      </c>
      <c r="Q383" s="197">
        <v>335</v>
      </c>
      <c r="R383" s="197">
        <v>351</v>
      </c>
      <c r="S383" s="199">
        <v>311</v>
      </c>
      <c r="T383" s="197">
        <v>353</v>
      </c>
      <c r="U383" s="197">
        <v>235</v>
      </c>
      <c r="V383" s="199">
        <v>311</v>
      </c>
      <c r="W383" s="197">
        <v>380</v>
      </c>
      <c r="X383" s="197"/>
      <c r="Y383" s="197">
        <v>145</v>
      </c>
      <c r="Z383" s="197"/>
    </row>
    <row r="384" spans="1:207">
      <c r="A384" s="191" t="str">
        <f>DERBYSHIRE!A20</f>
        <v>Amber Valley CC</v>
      </c>
      <c r="B384" s="195">
        <f>DERBYSHIRE!D20</f>
        <v>69385</v>
      </c>
      <c r="C384" s="195">
        <f>DERBYSHIRE!E20</f>
        <v>69538</v>
      </c>
      <c r="D384" s="195">
        <f>DERBYSHIRE!F20</f>
        <v>69590</v>
      </c>
      <c r="E384" s="195">
        <f>DERBYSHIRE!G20</f>
        <v>69955</v>
      </c>
      <c r="F384" s="195">
        <f>DERBYSHIRE!H20</f>
        <v>70231</v>
      </c>
      <c r="G384" s="195">
        <f>DERBYSHIRE!I20</f>
        <v>69532</v>
      </c>
      <c r="H384" s="195">
        <f>DERBYSHIRE!J20</f>
        <v>64454</v>
      </c>
      <c r="I384" s="195">
        <f>DERBYSHIRE!K20</f>
        <v>66639</v>
      </c>
      <c r="J384" s="195">
        <f>DERBYSHIRE!L20</f>
        <v>68716</v>
      </c>
      <c r="K384" s="196">
        <f t="shared" si="15"/>
        <v>-9.6418534265331115E-3</v>
      </c>
      <c r="L384" s="196"/>
      <c r="M384" s="195">
        <f t="shared" si="16"/>
        <v>-8437</v>
      </c>
      <c r="N384" s="196">
        <f t="shared" si="17"/>
        <v>-0.10935414047412284</v>
      </c>
      <c r="O384" s="197">
        <v>338</v>
      </c>
      <c r="P384" s="197">
        <v>353</v>
      </c>
      <c r="Q384" s="197">
        <v>362</v>
      </c>
      <c r="R384" s="197">
        <v>358</v>
      </c>
      <c r="S384" s="197">
        <v>347</v>
      </c>
      <c r="T384" s="197">
        <v>312</v>
      </c>
      <c r="U384" s="197">
        <v>433</v>
      </c>
      <c r="V384" s="197">
        <v>418</v>
      </c>
      <c r="W384" s="197">
        <v>381</v>
      </c>
      <c r="X384" s="197"/>
      <c r="Y384" s="197">
        <v>4</v>
      </c>
      <c r="Z384" s="197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8"/>
      <c r="BW384" s="198"/>
      <c r="BX384" s="198"/>
      <c r="BY384" s="198"/>
      <c r="BZ384" s="198"/>
      <c r="CA384" s="198"/>
      <c r="CB384" s="198"/>
      <c r="CC384" s="198"/>
      <c r="CD384" s="198"/>
      <c r="CE384" s="198"/>
      <c r="CF384" s="198"/>
      <c r="CG384" s="198"/>
      <c r="CH384" s="198"/>
      <c r="CI384" s="198"/>
      <c r="CJ384" s="198"/>
      <c r="CK384" s="198"/>
      <c r="CL384" s="198"/>
      <c r="CM384" s="198"/>
      <c r="CN384" s="198"/>
      <c r="CO384" s="198"/>
      <c r="CP384" s="198"/>
      <c r="CQ384" s="198"/>
      <c r="CR384" s="198"/>
      <c r="CS384" s="198"/>
      <c r="CT384" s="198"/>
      <c r="CU384" s="198"/>
      <c r="CV384" s="198"/>
      <c r="CW384" s="198"/>
      <c r="CX384" s="198"/>
      <c r="CY384" s="198"/>
      <c r="CZ384" s="198"/>
      <c r="DA384" s="198"/>
      <c r="DB384" s="198"/>
      <c r="DC384" s="198"/>
      <c r="DD384" s="198"/>
      <c r="DE384" s="198"/>
      <c r="DF384" s="198"/>
      <c r="DG384" s="198"/>
      <c r="DH384" s="198"/>
      <c r="DI384" s="198"/>
      <c r="DJ384" s="198"/>
      <c r="DK384" s="198"/>
      <c r="DL384" s="198"/>
      <c r="DM384" s="198"/>
      <c r="DN384" s="198"/>
      <c r="DO384" s="198"/>
      <c r="DP384" s="198"/>
      <c r="DQ384" s="198"/>
      <c r="DR384" s="198"/>
      <c r="DS384" s="198"/>
      <c r="DT384" s="198"/>
      <c r="DU384" s="198"/>
      <c r="DV384" s="198"/>
      <c r="DW384" s="198"/>
      <c r="DX384" s="198"/>
      <c r="DY384" s="198"/>
      <c r="DZ384" s="198"/>
      <c r="EA384" s="198"/>
      <c r="EB384" s="198"/>
      <c r="EC384" s="198"/>
      <c r="ED384" s="198"/>
      <c r="EE384" s="198"/>
      <c r="EF384" s="198"/>
      <c r="EG384" s="198"/>
      <c r="EH384" s="198"/>
      <c r="EI384" s="198"/>
      <c r="EJ384" s="198"/>
      <c r="EK384" s="198"/>
      <c r="EL384" s="198"/>
      <c r="EM384" s="198"/>
      <c r="EN384" s="198"/>
      <c r="EO384" s="198"/>
      <c r="EP384" s="198"/>
      <c r="EQ384" s="198"/>
      <c r="ER384" s="198"/>
      <c r="ES384" s="198"/>
      <c r="ET384" s="198"/>
      <c r="EU384" s="198"/>
      <c r="EV384" s="198"/>
      <c r="EW384" s="198"/>
      <c r="EX384" s="198"/>
      <c r="EY384" s="198"/>
      <c r="EZ384" s="198"/>
      <c r="FA384" s="198"/>
      <c r="FB384" s="198"/>
      <c r="FC384" s="198"/>
      <c r="FD384" s="198"/>
      <c r="FE384" s="198"/>
      <c r="FF384" s="198"/>
      <c r="FG384" s="198"/>
      <c r="FH384" s="198"/>
      <c r="FI384" s="198"/>
      <c r="FJ384" s="198"/>
      <c r="FK384" s="198"/>
      <c r="FL384" s="198"/>
      <c r="FM384" s="198"/>
      <c r="FN384" s="198"/>
      <c r="FO384" s="198"/>
      <c r="FP384" s="198"/>
      <c r="FQ384" s="198"/>
      <c r="FR384" s="198"/>
      <c r="FS384" s="198"/>
      <c r="FT384" s="198"/>
      <c r="FU384" s="198"/>
      <c r="FV384" s="198"/>
      <c r="FW384" s="198"/>
      <c r="FX384" s="198"/>
      <c r="FY384" s="198"/>
      <c r="FZ384" s="198"/>
      <c r="GA384" s="198"/>
      <c r="GB384" s="198"/>
      <c r="GC384" s="198"/>
      <c r="GD384" s="198"/>
      <c r="GE384" s="198"/>
      <c r="GF384" s="198"/>
      <c r="GG384" s="198"/>
      <c r="GH384" s="198"/>
      <c r="GI384" s="198"/>
      <c r="GJ384" s="198"/>
      <c r="GK384" s="198"/>
      <c r="GL384" s="198"/>
      <c r="GM384" s="198"/>
      <c r="GN384" s="198"/>
      <c r="GO384" s="198"/>
      <c r="GP384" s="198"/>
      <c r="GQ384" s="198"/>
      <c r="GR384" s="198"/>
      <c r="GS384" s="198"/>
      <c r="GT384" s="198"/>
      <c r="GU384" s="198"/>
      <c r="GV384" s="198"/>
      <c r="GW384" s="198"/>
      <c r="GX384" s="198"/>
      <c r="GY384" s="198"/>
    </row>
    <row r="385" spans="1:26">
      <c r="A385" s="191" t="str">
        <f>'EAST SUSSEX'!A37</f>
        <v>Lewes CC</v>
      </c>
      <c r="B385" s="195">
        <f>'EAST SUSSEX'!D39</f>
        <v>68125</v>
      </c>
      <c r="C385" s="195">
        <f>'EAST SUSSEX'!E39</f>
        <v>68515</v>
      </c>
      <c r="D385" s="195">
        <f>'EAST SUSSEX'!F39</f>
        <v>67971</v>
      </c>
      <c r="E385" s="195">
        <f>'EAST SUSSEX'!G39</f>
        <v>68740</v>
      </c>
      <c r="F385" s="195">
        <f>'EAST SUSSEX'!H39</f>
        <v>68401</v>
      </c>
      <c r="G385" s="195">
        <f>'EAST SUSSEX'!I39</f>
        <v>67232</v>
      </c>
      <c r="H385" s="195">
        <f>'EAST SUSSEX'!J39</f>
        <v>65707</v>
      </c>
      <c r="I385" s="195">
        <f>'EAST SUSSEX'!K39</f>
        <v>67483</v>
      </c>
      <c r="J385" s="195">
        <f>'EAST SUSSEX'!L39</f>
        <v>68694</v>
      </c>
      <c r="K385" s="196">
        <f t="shared" si="15"/>
        <v>8.3522935779816506E-3</v>
      </c>
      <c r="L385" s="196"/>
      <c r="M385" s="195">
        <f t="shared" si="16"/>
        <v>-8459</v>
      </c>
      <c r="N385" s="196">
        <f t="shared" si="17"/>
        <v>-0.10963928816766684</v>
      </c>
      <c r="O385" s="197">
        <v>375</v>
      </c>
      <c r="P385" s="197">
        <v>382</v>
      </c>
      <c r="Q385" s="197">
        <v>401</v>
      </c>
      <c r="R385" s="197">
        <v>395</v>
      </c>
      <c r="S385" s="197">
        <v>389</v>
      </c>
      <c r="T385" s="197">
        <v>388</v>
      </c>
      <c r="U385" s="197">
        <v>409</v>
      </c>
      <c r="V385" s="197">
        <v>402</v>
      </c>
      <c r="W385" s="197">
        <v>382</v>
      </c>
      <c r="X385" s="197"/>
      <c r="Y385" s="197">
        <v>257</v>
      </c>
      <c r="Z385" s="197"/>
    </row>
    <row r="386" spans="1:26">
      <c r="A386" s="191" t="str">
        <f>WARWICKSHIRE!A23</f>
        <v>Nuneaton CC</v>
      </c>
      <c r="B386" s="195">
        <f>WARWICKSHIRE!D25</f>
        <v>68117</v>
      </c>
      <c r="C386" s="195">
        <f>WARWICKSHIRE!E25</f>
        <v>68288</v>
      </c>
      <c r="D386" s="195">
        <f>WARWICKSHIRE!F25</f>
        <v>68580</v>
      </c>
      <c r="E386" s="195">
        <f>WARWICKSHIRE!G25</f>
        <v>69320</v>
      </c>
      <c r="F386" s="195">
        <f>WARWICKSHIRE!H25</f>
        <v>68037</v>
      </c>
      <c r="G386" s="195">
        <f>WARWICKSHIRE!I25</f>
        <v>66878</v>
      </c>
      <c r="H386" s="195">
        <f>WARWICKSHIRE!J25</f>
        <v>65757</v>
      </c>
      <c r="I386" s="195">
        <f>WARWICKSHIRE!K25</f>
        <v>67594</v>
      </c>
      <c r="J386" s="195">
        <f>WARWICKSHIRE!L25</f>
        <v>68637</v>
      </c>
      <c r="K386" s="196">
        <f t="shared" si="15"/>
        <v>7.6339239837338695E-3</v>
      </c>
      <c r="L386" s="196"/>
      <c r="M386" s="195">
        <f t="shared" si="16"/>
        <v>-8516</v>
      </c>
      <c r="N386" s="196">
        <f t="shared" si="17"/>
        <v>-0.11037807991912174</v>
      </c>
      <c r="O386" s="197">
        <v>376</v>
      </c>
      <c r="P386" s="197">
        <v>385</v>
      </c>
      <c r="Q386" s="197">
        <v>383</v>
      </c>
      <c r="R386" s="197">
        <v>377</v>
      </c>
      <c r="S386" s="197">
        <v>401</v>
      </c>
      <c r="T386" s="197">
        <v>396</v>
      </c>
      <c r="U386" s="197">
        <v>407</v>
      </c>
      <c r="V386" s="197">
        <v>399</v>
      </c>
      <c r="W386" s="197">
        <v>383</v>
      </c>
      <c r="X386" s="197"/>
      <c r="Y386" s="197">
        <v>339</v>
      </c>
      <c r="Z386" s="197"/>
    </row>
    <row r="387" spans="1:26">
      <c r="A387" s="191" t="str">
        <f>LANCASHIRE!A47</f>
        <v>Lancaster and Fleetwood CC</v>
      </c>
      <c r="B387" s="195">
        <f>LANCASHIRE!D49</f>
        <v>66260</v>
      </c>
      <c r="C387" s="195">
        <f>LANCASHIRE!E49</f>
        <v>67305</v>
      </c>
      <c r="D387" s="195">
        <f>LANCASHIRE!F49</f>
        <v>65420</v>
      </c>
      <c r="E387" s="195">
        <f>LANCASHIRE!G49</f>
        <v>64332</v>
      </c>
      <c r="F387" s="195">
        <f>LANCASHIRE!H49</f>
        <v>62035</v>
      </c>
      <c r="G387" s="195">
        <f>LANCASHIRE!I49</f>
        <v>58838</v>
      </c>
      <c r="H387" s="195">
        <f>LANCASHIRE!J49</f>
        <v>58789</v>
      </c>
      <c r="I387" s="195">
        <f>LANCASHIRE!K49</f>
        <v>64719</v>
      </c>
      <c r="J387" s="195">
        <f>LANCASHIRE!L49</f>
        <v>68601</v>
      </c>
      <c r="K387" s="196">
        <f t="shared" si="15"/>
        <v>3.5330516148505887E-2</v>
      </c>
      <c r="L387" s="196"/>
      <c r="M387" s="195">
        <f t="shared" si="16"/>
        <v>-8552</v>
      </c>
      <c r="N387" s="196">
        <f t="shared" si="17"/>
        <v>-0.1108446852358301</v>
      </c>
      <c r="O387" s="197">
        <v>429</v>
      </c>
      <c r="P387" s="197">
        <v>413</v>
      </c>
      <c r="Q387" s="197">
        <v>467</v>
      </c>
      <c r="R387" s="197">
        <v>492</v>
      </c>
      <c r="S387" s="197">
        <v>503</v>
      </c>
      <c r="T387" s="197">
        <v>515</v>
      </c>
      <c r="U387" s="197">
        <v>512</v>
      </c>
      <c r="V387" s="197">
        <v>459</v>
      </c>
      <c r="W387" s="197">
        <v>384</v>
      </c>
      <c r="X387" s="197"/>
      <c r="Y387" s="197">
        <v>247</v>
      </c>
      <c r="Z387" s="197"/>
    </row>
    <row r="388" spans="1:26">
      <c r="A388" s="191" t="str">
        <f>HAMPSHIRE!A48</f>
        <v>New Forest West CC</v>
      </c>
      <c r="B388" s="195">
        <f>HAMPSHIRE!D48</f>
        <v>68239</v>
      </c>
      <c r="C388" s="195">
        <f>HAMPSHIRE!E48</f>
        <v>68987</v>
      </c>
      <c r="D388" s="195">
        <f>HAMPSHIRE!F48</f>
        <v>68867</v>
      </c>
      <c r="E388" s="195">
        <f>HAMPSHIRE!G48</f>
        <v>69072</v>
      </c>
      <c r="F388" s="195">
        <f>HAMPSHIRE!H48</f>
        <v>69164</v>
      </c>
      <c r="G388" s="195">
        <f>HAMPSHIRE!I48</f>
        <v>68216</v>
      </c>
      <c r="H388" s="195">
        <f>HAMPSHIRE!J48</f>
        <v>66871</v>
      </c>
      <c r="I388" s="195">
        <f>HAMPSHIRE!K48</f>
        <v>68166</v>
      </c>
      <c r="J388" s="195">
        <f>HAMPSHIRE!L48</f>
        <v>68559</v>
      </c>
      <c r="K388" s="196">
        <f t="shared" ref="K388:K451" si="18">(J388-B388)/B388</f>
        <v>4.6894004894561759E-3</v>
      </c>
      <c r="L388" s="196"/>
      <c r="M388" s="195">
        <f t="shared" ref="M388:M451" si="19">J388-$J$544</f>
        <v>-8594</v>
      </c>
      <c r="N388" s="196">
        <f t="shared" ref="N388:N451" si="20">(J388-$J$544)/$J$544</f>
        <v>-0.11138905810532319</v>
      </c>
      <c r="O388" s="197">
        <v>372</v>
      </c>
      <c r="P388" s="197">
        <v>370</v>
      </c>
      <c r="Q388" s="197">
        <v>375</v>
      </c>
      <c r="R388" s="197">
        <v>384</v>
      </c>
      <c r="S388" s="197">
        <v>365</v>
      </c>
      <c r="T388" s="197">
        <v>359</v>
      </c>
      <c r="U388" s="197">
        <v>378</v>
      </c>
      <c r="V388" s="197">
        <v>384</v>
      </c>
      <c r="W388" s="197">
        <v>385</v>
      </c>
      <c r="X388" s="197"/>
      <c r="Y388" s="197">
        <v>299</v>
      </c>
      <c r="Z388" s="197"/>
    </row>
    <row r="389" spans="1:26">
      <c r="A389" s="191" t="str">
        <f>DERBYSHIRE!A32</f>
        <v>Derby North BC</v>
      </c>
      <c r="B389" s="195">
        <f>DERBYSHIRE!D32</f>
        <v>71370</v>
      </c>
      <c r="C389" s="195">
        <f>DERBYSHIRE!E32</f>
        <v>72617</v>
      </c>
      <c r="D389" s="195">
        <f>DERBYSHIRE!F32</f>
        <v>73662</v>
      </c>
      <c r="E389" s="195">
        <f>DERBYSHIRE!G32</f>
        <v>72881</v>
      </c>
      <c r="F389" s="195">
        <f>DERBYSHIRE!H32</f>
        <v>72234</v>
      </c>
      <c r="G389" s="195">
        <f>DERBYSHIRE!I32</f>
        <v>68294</v>
      </c>
      <c r="H389" s="195">
        <f>DERBYSHIRE!J32</f>
        <v>69670</v>
      </c>
      <c r="I389" s="195">
        <f>DERBYSHIRE!K32</f>
        <v>68999</v>
      </c>
      <c r="J389" s="195">
        <f>DERBYSHIRE!L32</f>
        <v>68526</v>
      </c>
      <c r="K389" s="196">
        <f t="shared" si="18"/>
        <v>-3.9848675914249683E-2</v>
      </c>
      <c r="L389" s="196"/>
      <c r="M389" s="195">
        <f t="shared" si="19"/>
        <v>-8627</v>
      </c>
      <c r="N389" s="196">
        <f t="shared" si="20"/>
        <v>-0.11181677964563919</v>
      </c>
      <c r="O389" s="197">
        <v>275</v>
      </c>
      <c r="P389" s="197">
        <v>248</v>
      </c>
      <c r="Q389" s="197">
        <v>216</v>
      </c>
      <c r="R389" s="197">
        <v>267</v>
      </c>
      <c r="S389" s="197">
        <v>278</v>
      </c>
      <c r="T389" s="197">
        <v>356</v>
      </c>
      <c r="U389" s="197">
        <v>289</v>
      </c>
      <c r="V389" s="197">
        <v>365</v>
      </c>
      <c r="W389" s="197">
        <v>386</v>
      </c>
      <c r="X389" s="197"/>
      <c r="Y389" s="197">
        <v>133</v>
      </c>
      <c r="Z389" s="197"/>
    </row>
    <row r="390" spans="1:26">
      <c r="A390" s="191" t="str">
        <f>'WEST MIDLANDS'!A29</f>
        <v>Birmingham, Perry Barr BC</v>
      </c>
      <c r="B390" s="195">
        <f>'WEST MIDLANDS'!D29</f>
        <v>71647</v>
      </c>
      <c r="C390" s="195">
        <f>'WEST MIDLANDS'!E29</f>
        <v>71794</v>
      </c>
      <c r="D390" s="195">
        <f>'WEST MIDLANDS'!F29</f>
        <v>73100</v>
      </c>
      <c r="E390" s="195">
        <f>'WEST MIDLANDS'!G29</f>
        <v>72838</v>
      </c>
      <c r="F390" s="195">
        <f>'WEST MIDLANDS'!H29</f>
        <v>70560</v>
      </c>
      <c r="G390" s="195">
        <f>'WEST MIDLANDS'!I29</f>
        <v>70088</v>
      </c>
      <c r="H390" s="195">
        <f>'WEST MIDLANDS'!J29</f>
        <v>67710</v>
      </c>
      <c r="I390" s="195">
        <f>'WEST MIDLANDS'!K29</f>
        <v>67895</v>
      </c>
      <c r="J390" s="195">
        <f>'WEST MIDLANDS'!L29</f>
        <v>68494</v>
      </c>
      <c r="K390" s="196">
        <f t="shared" si="18"/>
        <v>-4.4007425293452619E-2</v>
      </c>
      <c r="L390" s="196"/>
      <c r="M390" s="195">
        <f t="shared" si="19"/>
        <v>-8659</v>
      </c>
      <c r="N390" s="196">
        <f t="shared" si="20"/>
        <v>-0.11223153992715773</v>
      </c>
      <c r="O390" s="197">
        <v>265</v>
      </c>
      <c r="P390" s="197">
        <v>287</v>
      </c>
      <c r="Q390" s="197">
        <v>243</v>
      </c>
      <c r="R390" s="197">
        <v>271</v>
      </c>
      <c r="S390" s="197">
        <v>328</v>
      </c>
      <c r="T390" s="197">
        <v>287</v>
      </c>
      <c r="U390" s="197">
        <v>346</v>
      </c>
      <c r="V390" s="197">
        <v>393</v>
      </c>
      <c r="W390" s="197">
        <v>387</v>
      </c>
      <c r="X390" s="197"/>
      <c r="Y390" s="197">
        <v>37</v>
      </c>
      <c r="Z390" s="197"/>
    </row>
    <row r="391" spans="1:26">
      <c r="A391" s="191" t="str">
        <f>LINCOLNSHIRE!A15</f>
        <v>Boston and Skegness CC</v>
      </c>
      <c r="B391" s="195">
        <f>LINCOLNSHIRE!D17</f>
        <v>70973</v>
      </c>
      <c r="C391" s="195">
        <f>LINCOLNSHIRE!E17</f>
        <v>70620</v>
      </c>
      <c r="D391" s="195">
        <f>LINCOLNSHIRE!F17</f>
        <v>70728</v>
      </c>
      <c r="E391" s="195">
        <f>LINCOLNSHIRE!G17</f>
        <v>69485</v>
      </c>
      <c r="F391" s="195">
        <f>LINCOLNSHIRE!H17</f>
        <v>70509</v>
      </c>
      <c r="G391" s="195">
        <f>LINCOLNSHIRE!I17</f>
        <v>66215</v>
      </c>
      <c r="H391" s="195">
        <f>LINCOLNSHIRE!J17</f>
        <v>66250</v>
      </c>
      <c r="I391" s="195">
        <f>LINCOLNSHIRE!K17</f>
        <v>67507</v>
      </c>
      <c r="J391" s="195">
        <f>LINCOLNSHIRE!L17</f>
        <v>68494</v>
      </c>
      <c r="K391" s="196">
        <f t="shared" si="18"/>
        <v>-3.4928775731616249E-2</v>
      </c>
      <c r="L391" s="196"/>
      <c r="M391" s="195">
        <f t="shared" si="19"/>
        <v>-8659</v>
      </c>
      <c r="N391" s="196">
        <f t="shared" si="20"/>
        <v>-0.11223153992715773</v>
      </c>
      <c r="O391" s="197">
        <v>296</v>
      </c>
      <c r="P391" s="197">
        <v>321</v>
      </c>
      <c r="Q391" s="197">
        <v>328</v>
      </c>
      <c r="R391" s="197">
        <v>371</v>
      </c>
      <c r="S391" s="197">
        <v>330</v>
      </c>
      <c r="T391" s="197">
        <v>414</v>
      </c>
      <c r="U391" s="197">
        <v>396</v>
      </c>
      <c r="V391" s="197">
        <v>401</v>
      </c>
      <c r="W391" s="197">
        <v>388</v>
      </c>
      <c r="X391" s="197"/>
      <c r="Y391" s="197">
        <v>53</v>
      </c>
      <c r="Z391" s="197"/>
    </row>
    <row r="392" spans="1:26">
      <c r="A392" s="191" t="str">
        <f>LINCOLNSHIRE!A25</f>
        <v>Lincoln BC</v>
      </c>
      <c r="B392" s="195">
        <f>LINCOLNSHIRE!D27</f>
        <v>72839</v>
      </c>
      <c r="C392" s="195">
        <f>LINCOLNSHIRE!E27</f>
        <v>72662</v>
      </c>
      <c r="D392" s="195">
        <f>LINCOLNSHIRE!F27</f>
        <v>72891</v>
      </c>
      <c r="E392" s="195">
        <f>LINCOLNSHIRE!G27</f>
        <v>72069</v>
      </c>
      <c r="F392" s="195">
        <f>LINCOLNSHIRE!H27</f>
        <v>70979</v>
      </c>
      <c r="G392" s="195">
        <f>LINCOLNSHIRE!I27</f>
        <v>69372</v>
      </c>
      <c r="H392" s="195">
        <f>LINCOLNSHIRE!J27</f>
        <v>67115</v>
      </c>
      <c r="I392" s="195">
        <f>LINCOLNSHIRE!K27</f>
        <v>68729</v>
      </c>
      <c r="J392" s="195">
        <f>LINCOLNSHIRE!L27</f>
        <v>68484</v>
      </c>
      <c r="K392" s="196">
        <f t="shared" si="18"/>
        <v>-5.9789398536498305E-2</v>
      </c>
      <c r="L392" s="196"/>
      <c r="M392" s="195">
        <f t="shared" si="19"/>
        <v>-8669</v>
      </c>
      <c r="N392" s="196">
        <f t="shared" si="20"/>
        <v>-0.11236115251513228</v>
      </c>
      <c r="O392" s="197">
        <v>205</v>
      </c>
      <c r="P392" s="197">
        <v>244</v>
      </c>
      <c r="Q392" s="197">
        <v>253</v>
      </c>
      <c r="R392" s="197">
        <v>299</v>
      </c>
      <c r="S392" s="197">
        <v>313</v>
      </c>
      <c r="T392" s="197">
        <v>318</v>
      </c>
      <c r="U392" s="197">
        <v>374</v>
      </c>
      <c r="V392" s="197">
        <v>370</v>
      </c>
      <c r="W392" s="197">
        <v>389</v>
      </c>
      <c r="X392" s="197"/>
      <c r="Y392" s="197">
        <v>263</v>
      </c>
      <c r="Z392" s="197"/>
    </row>
    <row r="393" spans="1:26">
      <c r="A393" s="191" t="str">
        <f>NOTTINGHAM!A9</f>
        <v>Nottingham North BC</v>
      </c>
      <c r="B393" s="195">
        <f>NOTTINGHAM!D9</f>
        <v>63271</v>
      </c>
      <c r="C393" s="195">
        <f>NOTTINGHAM!E9</f>
        <v>64578</v>
      </c>
      <c r="D393" s="195">
        <f>NOTTINGHAM!F9</f>
        <v>65248</v>
      </c>
      <c r="E393" s="195">
        <f>NOTTINGHAM!G9</f>
        <v>65434</v>
      </c>
      <c r="F393" s="195">
        <f>NOTTINGHAM!H9</f>
        <v>64436</v>
      </c>
      <c r="G393" s="195">
        <f>NOTTINGHAM!I9</f>
        <v>64090</v>
      </c>
      <c r="H393" s="195">
        <f>NOTTINGHAM!J9</f>
        <v>64727</v>
      </c>
      <c r="I393" s="195">
        <f>NOTTINGHAM!K9</f>
        <v>66426</v>
      </c>
      <c r="J393" s="195">
        <f>NOTTINGHAM!L9</f>
        <v>68434</v>
      </c>
      <c r="K393" s="196">
        <f t="shared" si="18"/>
        <v>8.1601365554519453E-2</v>
      </c>
      <c r="L393" s="196"/>
      <c r="M393" s="195">
        <f t="shared" si="19"/>
        <v>-8719</v>
      </c>
      <c r="N393" s="196">
        <f t="shared" si="20"/>
        <v>-0.11300921545500499</v>
      </c>
      <c r="O393" s="197">
        <v>497</v>
      </c>
      <c r="P393" s="197">
        <v>486</v>
      </c>
      <c r="Q393" s="197">
        <v>478</v>
      </c>
      <c r="R393" s="197">
        <v>480</v>
      </c>
      <c r="S393" s="197">
        <v>478</v>
      </c>
      <c r="T393" s="197">
        <v>459</v>
      </c>
      <c r="U393" s="197">
        <v>427</v>
      </c>
      <c r="V393" s="197">
        <v>421</v>
      </c>
      <c r="W393" s="197">
        <v>390</v>
      </c>
      <c r="X393" s="197"/>
      <c r="Y393" s="197">
        <v>337</v>
      </c>
      <c r="Z393" s="197"/>
    </row>
    <row r="394" spans="1:26">
      <c r="A394" s="191" t="str">
        <f>'SOUTH YORKSHIRE'!A36</f>
        <v>Sheffield, Heeley BC</v>
      </c>
      <c r="B394" s="195">
        <f>'SOUTH YORKSHIRE'!D36</f>
        <v>65904</v>
      </c>
      <c r="C394" s="195">
        <f>'SOUTH YORKSHIRE'!E36</f>
        <v>66432</v>
      </c>
      <c r="D394" s="195">
        <f>'SOUTH YORKSHIRE'!F36</f>
        <v>67068</v>
      </c>
      <c r="E394" s="195">
        <f>'SOUTH YORKSHIRE'!G36</f>
        <v>67911</v>
      </c>
      <c r="F394" s="195">
        <f>'SOUTH YORKSHIRE'!H36</f>
        <v>67646</v>
      </c>
      <c r="G394" s="195">
        <f>'SOUTH YORKSHIRE'!I36</f>
        <v>66987</v>
      </c>
      <c r="H394" s="195">
        <f>'SOUTH YORKSHIRE'!J36</f>
        <v>65857</v>
      </c>
      <c r="I394" s="195">
        <f>'SOUTH YORKSHIRE'!K36</f>
        <v>67993</v>
      </c>
      <c r="J394" s="195">
        <f>'SOUTH YORKSHIRE'!L36</f>
        <v>68394</v>
      </c>
      <c r="K394" s="196">
        <f t="shared" si="18"/>
        <v>3.7782228696285509E-2</v>
      </c>
      <c r="L394" s="196"/>
      <c r="M394" s="195">
        <f t="shared" si="19"/>
        <v>-8759</v>
      </c>
      <c r="N394" s="196">
        <f t="shared" si="20"/>
        <v>-0.11352766580690317</v>
      </c>
      <c r="O394" s="197">
        <v>442</v>
      </c>
      <c r="P394" s="197">
        <v>443</v>
      </c>
      <c r="Q394" s="197">
        <v>430</v>
      </c>
      <c r="R394" s="197">
        <v>417</v>
      </c>
      <c r="S394" s="197">
        <v>409</v>
      </c>
      <c r="T394" s="197">
        <v>394</v>
      </c>
      <c r="U394" s="197">
        <v>405</v>
      </c>
      <c r="V394" s="197">
        <v>388</v>
      </c>
      <c r="W394" s="197">
        <v>391</v>
      </c>
      <c r="X394" s="197"/>
      <c r="Y394" s="197">
        <v>394</v>
      </c>
      <c r="Z394" s="197"/>
    </row>
    <row r="395" spans="1:26">
      <c r="A395" s="191" t="str">
        <f>BEXLEY!A9</f>
        <v>Erith and Thamesmead BC</v>
      </c>
      <c r="B395" s="195">
        <f>BEXLEY!D11</f>
        <v>69010</v>
      </c>
      <c r="C395" s="195">
        <f>BEXLEY!E11</f>
        <v>69718</v>
      </c>
      <c r="D395" s="195">
        <f>BEXLEY!F11</f>
        <v>70321</v>
      </c>
      <c r="E395" s="195">
        <f>BEXLEY!G11</f>
        <v>70308</v>
      </c>
      <c r="F395" s="195">
        <f>BEXLEY!H11</f>
        <v>70613</v>
      </c>
      <c r="G395" s="195">
        <f>BEXLEY!I11</f>
        <v>69800</v>
      </c>
      <c r="H395" s="195">
        <f>BEXLEY!J11</f>
        <v>66755</v>
      </c>
      <c r="I395" s="195">
        <f>BEXLEY!K11</f>
        <v>67977</v>
      </c>
      <c r="J395" s="195">
        <f>BEXLEY!L11</f>
        <v>68381</v>
      </c>
      <c r="K395" s="196">
        <f t="shared" si="18"/>
        <v>-9.1146210694102309E-3</v>
      </c>
      <c r="L395" s="196"/>
      <c r="M395" s="195">
        <f t="shared" si="19"/>
        <v>-8772</v>
      </c>
      <c r="N395" s="196">
        <f t="shared" si="20"/>
        <v>-0.11369616217127007</v>
      </c>
      <c r="O395" s="197">
        <v>349</v>
      </c>
      <c r="P395" s="197">
        <v>348</v>
      </c>
      <c r="Q395" s="197">
        <v>339</v>
      </c>
      <c r="R395" s="197">
        <v>343</v>
      </c>
      <c r="S395" s="197">
        <v>325</v>
      </c>
      <c r="T395" s="197">
        <v>301</v>
      </c>
      <c r="U395" s="197">
        <v>381</v>
      </c>
      <c r="V395" s="197">
        <v>389</v>
      </c>
      <c r="W395" s="197">
        <v>392</v>
      </c>
      <c r="X395" s="197"/>
      <c r="Y395" s="197">
        <v>167</v>
      </c>
      <c r="Z395" s="197"/>
    </row>
    <row r="396" spans="1:26">
      <c r="A396" s="191" t="str">
        <f>'SOUTH YORKSHIRE'!A14</f>
        <v>Barnsley East CC</v>
      </c>
      <c r="B396" s="195">
        <f>'SOUTH YORKSHIRE'!D14</f>
        <v>68011</v>
      </c>
      <c r="C396" s="195">
        <f>'SOUTH YORKSHIRE'!E14</f>
        <v>68243</v>
      </c>
      <c r="D396" s="195">
        <f>'SOUTH YORKSHIRE'!F14</f>
        <v>69321</v>
      </c>
      <c r="E396" s="195">
        <f>'SOUTH YORKSHIRE'!G14</f>
        <v>69876</v>
      </c>
      <c r="F396" s="195">
        <f>'SOUTH YORKSHIRE'!H14</f>
        <v>70307</v>
      </c>
      <c r="G396" s="195">
        <f>'SOUTH YORKSHIRE'!I14</f>
        <v>68775</v>
      </c>
      <c r="H396" s="195">
        <f>'SOUTH YORKSHIRE'!J14</f>
        <v>65344</v>
      </c>
      <c r="I396" s="195">
        <f>'SOUTH YORKSHIRE'!K14</f>
        <v>67432</v>
      </c>
      <c r="J396" s="195">
        <f>'SOUTH YORKSHIRE'!L14</f>
        <v>68361</v>
      </c>
      <c r="K396" s="196">
        <f t="shared" si="18"/>
        <v>5.1462263457381892E-3</v>
      </c>
      <c r="L396" s="196"/>
      <c r="M396" s="195">
        <f t="shared" si="19"/>
        <v>-8792</v>
      </c>
      <c r="N396" s="196">
        <f t="shared" si="20"/>
        <v>-0.11395538734721916</v>
      </c>
      <c r="O396" s="197">
        <v>380</v>
      </c>
      <c r="P396" s="197">
        <v>389</v>
      </c>
      <c r="Q396" s="197">
        <v>369</v>
      </c>
      <c r="R396" s="197">
        <v>362</v>
      </c>
      <c r="S396" s="197">
        <v>342</v>
      </c>
      <c r="T396" s="197">
        <v>343</v>
      </c>
      <c r="U396" s="197">
        <v>414</v>
      </c>
      <c r="V396" s="197">
        <v>403</v>
      </c>
      <c r="W396" s="197">
        <v>393</v>
      </c>
      <c r="X396" s="197"/>
      <c r="Y396" s="197">
        <v>13</v>
      </c>
      <c r="Z396" s="197"/>
    </row>
    <row r="397" spans="1:26">
      <c r="A397" s="191" t="str">
        <f>ESSEX!A77</f>
        <v>Witham CC</v>
      </c>
      <c r="B397" s="195">
        <f>ESSEX!D80</f>
        <v>66887</v>
      </c>
      <c r="C397" s="195">
        <f>ESSEX!E80</f>
        <v>67451</v>
      </c>
      <c r="D397" s="195">
        <f>ESSEX!F80</f>
        <v>67798</v>
      </c>
      <c r="E397" s="195">
        <f>ESSEX!G80</f>
        <v>68272</v>
      </c>
      <c r="F397" s="195">
        <f>ESSEX!H80</f>
        <v>67436</v>
      </c>
      <c r="G397" s="195">
        <f>ESSEX!I80</f>
        <v>66558</v>
      </c>
      <c r="H397" s="195">
        <f>ESSEX!J80</f>
        <v>66270</v>
      </c>
      <c r="I397" s="195">
        <f>ESSEX!K80</f>
        <v>68910</v>
      </c>
      <c r="J397" s="195">
        <f>ESSEX!L80</f>
        <v>68325</v>
      </c>
      <c r="K397" s="196">
        <f t="shared" si="18"/>
        <v>2.1498945983524451E-2</v>
      </c>
      <c r="L397" s="196"/>
      <c r="M397" s="195">
        <f t="shared" si="19"/>
        <v>-8828</v>
      </c>
      <c r="N397" s="196">
        <f t="shared" si="20"/>
        <v>-0.11442199266392752</v>
      </c>
      <c r="O397" s="197">
        <v>415</v>
      </c>
      <c r="P397" s="197">
        <v>408</v>
      </c>
      <c r="Q397" s="197">
        <v>405</v>
      </c>
      <c r="R397" s="197">
        <v>407</v>
      </c>
      <c r="S397" s="197">
        <v>413</v>
      </c>
      <c r="T397" s="197">
        <v>405</v>
      </c>
      <c r="U397" s="197">
        <v>394</v>
      </c>
      <c r="V397" s="197">
        <v>366</v>
      </c>
      <c r="W397" s="197">
        <v>394</v>
      </c>
      <c r="X397" s="197"/>
      <c r="Y397" s="197">
        <v>516</v>
      </c>
      <c r="Z397" s="197"/>
    </row>
    <row r="398" spans="1:26">
      <c r="A398" s="191" t="str">
        <f>'WEST MIDLANDS'!A45</f>
        <v>Halesowen and Rowley Regis BC</v>
      </c>
      <c r="B398" s="195">
        <f>'WEST MIDLANDS'!D47</f>
        <v>67358</v>
      </c>
      <c r="C398" s="195">
        <f>'WEST MIDLANDS'!E47</f>
        <v>67656</v>
      </c>
      <c r="D398" s="195">
        <f>'WEST MIDLANDS'!F47</f>
        <v>68164</v>
      </c>
      <c r="E398" s="195">
        <f>'WEST MIDLANDS'!G47</f>
        <v>68576</v>
      </c>
      <c r="F398" s="195">
        <f>'WEST MIDLANDS'!H47</f>
        <v>67546</v>
      </c>
      <c r="G398" s="195">
        <f>'WEST MIDLANDS'!I47</f>
        <v>67502</v>
      </c>
      <c r="H398" s="195">
        <f>'WEST MIDLANDS'!J47</f>
        <v>67299</v>
      </c>
      <c r="I398" s="195">
        <f>'WEST MIDLANDS'!K47</f>
        <v>68130</v>
      </c>
      <c r="J398" s="195">
        <f>'WEST MIDLANDS'!L47</f>
        <v>68324</v>
      </c>
      <c r="K398" s="196">
        <f t="shared" si="18"/>
        <v>1.4341280916891831E-2</v>
      </c>
      <c r="L398" s="196"/>
      <c r="M398" s="195">
        <f t="shared" si="19"/>
        <v>-8829</v>
      </c>
      <c r="N398" s="196">
        <f t="shared" si="20"/>
        <v>-0.11443495392272497</v>
      </c>
      <c r="O398" s="197">
        <v>400</v>
      </c>
      <c r="P398" s="197">
        <v>402</v>
      </c>
      <c r="Q398" s="197">
        <v>394</v>
      </c>
      <c r="R398" s="197">
        <v>400</v>
      </c>
      <c r="S398" s="197">
        <v>411</v>
      </c>
      <c r="T398" s="197">
        <v>375</v>
      </c>
      <c r="U398" s="197">
        <v>366</v>
      </c>
      <c r="V398" s="197">
        <v>385</v>
      </c>
      <c r="W398" s="197">
        <v>395</v>
      </c>
      <c r="X398" s="197"/>
      <c r="Y398" s="197">
        <v>193</v>
      </c>
      <c r="Z398" s="197"/>
    </row>
    <row r="399" spans="1:26">
      <c r="A399" s="191" t="str">
        <f>LANCASHIRE!A51</f>
        <v>Morecambe and Lunesdale CC</v>
      </c>
      <c r="B399" s="195">
        <f>LANCASHIRE!D51</f>
        <v>68750</v>
      </c>
      <c r="C399" s="195">
        <f>LANCASHIRE!E51</f>
        <v>69254</v>
      </c>
      <c r="D399" s="195">
        <f>LANCASHIRE!F51</f>
        <v>68503</v>
      </c>
      <c r="E399" s="195">
        <f>LANCASHIRE!G51</f>
        <v>68281</v>
      </c>
      <c r="F399" s="195">
        <f>LANCASHIRE!H51</f>
        <v>64339</v>
      </c>
      <c r="G399" s="195">
        <f>LANCASHIRE!I51</f>
        <v>65465</v>
      </c>
      <c r="H399" s="195">
        <f>LANCASHIRE!J51</f>
        <v>63283</v>
      </c>
      <c r="I399" s="195">
        <f>LANCASHIRE!K51</f>
        <v>65060</v>
      </c>
      <c r="J399" s="195">
        <f>LANCASHIRE!L51</f>
        <v>68246</v>
      </c>
      <c r="K399" s="196">
        <f t="shared" si="18"/>
        <v>-7.3309090909090911E-3</v>
      </c>
      <c r="L399" s="196"/>
      <c r="M399" s="195">
        <f t="shared" si="19"/>
        <v>-8907</v>
      </c>
      <c r="N399" s="196">
        <f t="shared" si="20"/>
        <v>-0.11544593210892642</v>
      </c>
      <c r="O399" s="197">
        <v>361</v>
      </c>
      <c r="P399" s="197">
        <v>357</v>
      </c>
      <c r="Q399" s="197">
        <v>386</v>
      </c>
      <c r="R399" s="197">
        <v>406</v>
      </c>
      <c r="S399" s="197">
        <v>481</v>
      </c>
      <c r="T399" s="197">
        <v>425</v>
      </c>
      <c r="U399" s="197">
        <v>457</v>
      </c>
      <c r="V399" s="197">
        <v>452</v>
      </c>
      <c r="W399" s="197">
        <v>396</v>
      </c>
      <c r="X399" s="197"/>
      <c r="Y399" s="197">
        <v>296</v>
      </c>
      <c r="Z399" s="197"/>
    </row>
    <row r="400" spans="1:26">
      <c r="A400" s="191" t="str">
        <f>ESSEX!A39</f>
        <v>Clacton CC</v>
      </c>
      <c r="B400" s="195">
        <f>ESSEX!D39</f>
        <v>67216</v>
      </c>
      <c r="C400" s="195">
        <f>ESSEX!E39</f>
        <v>67447</v>
      </c>
      <c r="D400" s="195">
        <f>ESSEX!F39</f>
        <v>67656</v>
      </c>
      <c r="E400" s="195">
        <f>ESSEX!G39</f>
        <v>68306</v>
      </c>
      <c r="F400" s="195">
        <f>ESSEX!H39</f>
        <v>68892</v>
      </c>
      <c r="G400" s="195">
        <f>ESSEX!I39</f>
        <v>68009</v>
      </c>
      <c r="H400" s="195">
        <f>ESSEX!J39</f>
        <v>68209</v>
      </c>
      <c r="I400" s="195">
        <f>ESSEX!K39</f>
        <v>68352</v>
      </c>
      <c r="J400" s="195">
        <f>ESSEX!L39</f>
        <v>68086</v>
      </c>
      <c r="K400" s="196">
        <f t="shared" si="18"/>
        <v>1.2943346822185195E-2</v>
      </c>
      <c r="L400" s="196"/>
      <c r="M400" s="195">
        <f t="shared" si="19"/>
        <v>-9067</v>
      </c>
      <c r="N400" s="196">
        <f t="shared" si="20"/>
        <v>-0.11751973351651912</v>
      </c>
      <c r="O400" s="197">
        <v>406</v>
      </c>
      <c r="P400" s="197">
        <v>409</v>
      </c>
      <c r="Q400" s="197">
        <v>413</v>
      </c>
      <c r="R400" s="197">
        <v>405</v>
      </c>
      <c r="S400" s="197">
        <v>373</v>
      </c>
      <c r="T400" s="197">
        <v>365</v>
      </c>
      <c r="U400" s="197">
        <v>333</v>
      </c>
      <c r="V400" s="197">
        <v>378</v>
      </c>
      <c r="W400" s="197">
        <v>397</v>
      </c>
      <c r="X400" s="197"/>
      <c r="Y400" s="197">
        <v>113</v>
      </c>
      <c r="Z400" s="197"/>
    </row>
    <row r="401" spans="1:26">
      <c r="A401" s="191" t="str">
        <f>DEVON!A39</f>
        <v>Plymouth, Moor View BC</v>
      </c>
      <c r="B401" s="195">
        <f>DEVON!D39</f>
        <v>67501</v>
      </c>
      <c r="C401" s="195">
        <f>DEVON!E39</f>
        <v>68556</v>
      </c>
      <c r="D401" s="195">
        <f>DEVON!F39</f>
        <v>67843</v>
      </c>
      <c r="E401" s="195">
        <f>DEVON!G39</f>
        <v>67966</v>
      </c>
      <c r="F401" s="195">
        <f>DEVON!H39</f>
        <v>67024</v>
      </c>
      <c r="G401" s="195">
        <f>DEVON!I39</f>
        <v>66426</v>
      </c>
      <c r="H401" s="195">
        <f>DEVON!J39</f>
        <v>65905</v>
      </c>
      <c r="I401" s="195">
        <f>DEVON!K39</f>
        <v>67209</v>
      </c>
      <c r="J401" s="195">
        <f>DEVON!L39</f>
        <v>68035</v>
      </c>
      <c r="K401" s="196">
        <f t="shared" si="18"/>
        <v>7.9109939112013156E-3</v>
      </c>
      <c r="L401" s="196"/>
      <c r="M401" s="195">
        <f t="shared" si="19"/>
        <v>-9118</v>
      </c>
      <c r="N401" s="196">
        <f t="shared" si="20"/>
        <v>-0.11818075771518929</v>
      </c>
      <c r="O401" s="197">
        <v>393</v>
      </c>
      <c r="P401" s="197">
        <v>378</v>
      </c>
      <c r="Q401" s="197">
        <v>404</v>
      </c>
      <c r="R401" s="197">
        <v>415</v>
      </c>
      <c r="S401" s="197">
        <v>425</v>
      </c>
      <c r="T401" s="197">
        <v>407</v>
      </c>
      <c r="U401" s="197">
        <v>404</v>
      </c>
      <c r="V401" s="197">
        <v>408</v>
      </c>
      <c r="W401" s="197">
        <v>398</v>
      </c>
      <c r="X401" s="197"/>
      <c r="Y401" s="197">
        <v>350</v>
      </c>
      <c r="Z401" s="197"/>
    </row>
    <row r="402" spans="1:26">
      <c r="A402" s="191" t="str">
        <f>'SHROPSHIRE &amp; TELFORD &amp; WREKIN '!A19</f>
        <v>The Wrekin CC</v>
      </c>
      <c r="B402" s="195">
        <f>'SHROPSHIRE &amp; TELFORD &amp; WREKIN '!D21</f>
        <v>65477</v>
      </c>
      <c r="C402" s="195">
        <f>'SHROPSHIRE &amp; TELFORD &amp; WREKIN '!E21</f>
        <v>66111</v>
      </c>
      <c r="D402" s="195">
        <f>'SHROPSHIRE &amp; TELFORD &amp; WREKIN '!F21</f>
        <v>66205</v>
      </c>
      <c r="E402" s="195">
        <f>'SHROPSHIRE &amp; TELFORD &amp; WREKIN '!G21</f>
        <v>66999</v>
      </c>
      <c r="F402" s="195">
        <f>'SHROPSHIRE &amp; TELFORD &amp; WREKIN '!H21</f>
        <v>65540</v>
      </c>
      <c r="G402" s="195">
        <f>'SHROPSHIRE &amp; TELFORD &amp; WREKIN '!I21</f>
        <v>65183</v>
      </c>
      <c r="H402" s="195">
        <f>'SHROPSHIRE &amp; TELFORD &amp; WREKIN '!J21</f>
        <v>65008</v>
      </c>
      <c r="I402" s="195">
        <f>'SHROPSHIRE &amp; TELFORD &amp; WREKIN '!K21</f>
        <v>66778</v>
      </c>
      <c r="J402" s="195">
        <f>'SHROPSHIRE &amp; TELFORD &amp; WREKIN '!L21</f>
        <v>68026</v>
      </c>
      <c r="K402" s="196">
        <f t="shared" si="18"/>
        <v>3.8929700505521025E-2</v>
      </c>
      <c r="L402" s="196"/>
      <c r="M402" s="195">
        <f t="shared" si="19"/>
        <v>-9127</v>
      </c>
      <c r="N402" s="196">
        <f t="shared" si="20"/>
        <v>-0.11829740904436639</v>
      </c>
      <c r="O402" s="197">
        <v>450</v>
      </c>
      <c r="P402" s="197">
        <v>449</v>
      </c>
      <c r="Q402" s="197">
        <v>452</v>
      </c>
      <c r="R402" s="197">
        <v>442</v>
      </c>
      <c r="S402" s="197">
        <v>461</v>
      </c>
      <c r="T402" s="197">
        <v>434</v>
      </c>
      <c r="U402" s="197">
        <v>417</v>
      </c>
      <c r="V402" s="197">
        <v>416</v>
      </c>
      <c r="W402" s="197">
        <v>399</v>
      </c>
      <c r="X402" s="197"/>
      <c r="Y402" s="197">
        <v>463</v>
      </c>
      <c r="Z402" s="197"/>
    </row>
    <row r="403" spans="1:26">
      <c r="A403" s="191" t="str">
        <f>BROMLEY!A11</f>
        <v>Orpington BC</v>
      </c>
      <c r="B403" s="195">
        <f>BROMLEY!D11</f>
        <v>67765</v>
      </c>
      <c r="C403" s="195">
        <f>BROMLEY!E11</f>
        <v>68221</v>
      </c>
      <c r="D403" s="195">
        <f>BROMLEY!F11</f>
        <v>68282</v>
      </c>
      <c r="E403" s="195">
        <f>BROMLEY!G11</f>
        <v>68023</v>
      </c>
      <c r="F403" s="195">
        <f>BROMLEY!H11</f>
        <v>67592</v>
      </c>
      <c r="G403" s="195">
        <f>BROMLEY!I11</f>
        <v>67623</v>
      </c>
      <c r="H403" s="195">
        <f>BROMLEY!J11</f>
        <v>66724</v>
      </c>
      <c r="I403" s="195">
        <f>BROMLEY!K11</f>
        <v>67837</v>
      </c>
      <c r="J403" s="195">
        <f>BROMLEY!L11</f>
        <v>67821</v>
      </c>
      <c r="K403" s="196">
        <f t="shared" si="18"/>
        <v>8.2638530214712612E-4</v>
      </c>
      <c r="L403" s="196"/>
      <c r="M403" s="195">
        <f t="shared" si="19"/>
        <v>-9332</v>
      </c>
      <c r="N403" s="196">
        <f t="shared" si="20"/>
        <v>-0.12095446709784455</v>
      </c>
      <c r="O403" s="197">
        <v>387</v>
      </c>
      <c r="P403" s="197">
        <v>390</v>
      </c>
      <c r="Q403" s="197">
        <v>391</v>
      </c>
      <c r="R403" s="197">
        <v>412</v>
      </c>
      <c r="S403" s="197">
        <v>410</v>
      </c>
      <c r="T403" s="197">
        <v>372</v>
      </c>
      <c r="U403" s="197">
        <v>382</v>
      </c>
      <c r="V403" s="197">
        <v>395</v>
      </c>
      <c r="W403" s="197">
        <v>400</v>
      </c>
      <c r="X403" s="197"/>
      <c r="Y403" s="197">
        <v>343</v>
      </c>
      <c r="Z403" s="197"/>
    </row>
    <row r="404" spans="1:26">
      <c r="A404" s="191" t="str">
        <f>STAFFORDSHIRE!A48</f>
        <v>Stone CC</v>
      </c>
      <c r="B404" s="195">
        <f>STAFFORDSHIRE!D51</f>
        <v>66865</v>
      </c>
      <c r="C404" s="195">
        <f>STAFFORDSHIRE!E51</f>
        <v>66729</v>
      </c>
      <c r="D404" s="195">
        <f>STAFFORDSHIRE!F51</f>
        <v>67144</v>
      </c>
      <c r="E404" s="195">
        <f>STAFFORDSHIRE!G51</f>
        <v>67480</v>
      </c>
      <c r="F404" s="195">
        <f>STAFFORDSHIRE!H51</f>
        <v>66870</v>
      </c>
      <c r="G404" s="195">
        <f>STAFFORDSHIRE!I51</f>
        <v>66735</v>
      </c>
      <c r="H404" s="195">
        <f>STAFFORDSHIRE!J51</f>
        <v>66267</v>
      </c>
      <c r="I404" s="195">
        <f>STAFFORDSHIRE!K51</f>
        <v>67251</v>
      </c>
      <c r="J404" s="195">
        <f>STAFFORDSHIRE!L51</f>
        <v>67755</v>
      </c>
      <c r="K404" s="196">
        <f t="shared" si="18"/>
        <v>1.3310401555372766E-2</v>
      </c>
      <c r="L404" s="196"/>
      <c r="M404" s="195">
        <f t="shared" si="19"/>
        <v>-9398</v>
      </c>
      <c r="N404" s="196">
        <f t="shared" si="20"/>
        <v>-0.12180991017847653</v>
      </c>
      <c r="O404" s="197">
        <v>417</v>
      </c>
      <c r="P404" s="197">
        <v>429</v>
      </c>
      <c r="Q404" s="197">
        <v>429</v>
      </c>
      <c r="R404" s="197">
        <v>427</v>
      </c>
      <c r="S404" s="197">
        <v>429</v>
      </c>
      <c r="T404" s="197">
        <v>398</v>
      </c>
      <c r="U404" s="197">
        <v>395</v>
      </c>
      <c r="V404" s="197">
        <v>407</v>
      </c>
      <c r="W404" s="197">
        <v>401</v>
      </c>
      <c r="X404" s="197"/>
      <c r="Y404" s="197">
        <v>446</v>
      </c>
      <c r="Z404" s="197"/>
    </row>
    <row r="405" spans="1:26">
      <c r="A405" s="191" t="str">
        <f>CHESHIRE!A29</f>
        <v>Tatton CC</v>
      </c>
      <c r="B405" s="195">
        <f>CHESHIRE!D31</f>
        <v>66236</v>
      </c>
      <c r="C405" s="195">
        <f>CHESHIRE!E31</f>
        <v>65200</v>
      </c>
      <c r="D405" s="195">
        <f>CHESHIRE!F31</f>
        <v>65356</v>
      </c>
      <c r="E405" s="195">
        <f>CHESHIRE!G31</f>
        <v>65571</v>
      </c>
      <c r="F405" s="195">
        <f>CHESHIRE!H31</f>
        <v>65531</v>
      </c>
      <c r="G405" s="195">
        <f>CHESHIRE!I31</f>
        <v>63170</v>
      </c>
      <c r="H405" s="195">
        <f>CHESHIRE!J31</f>
        <v>63358</v>
      </c>
      <c r="I405" s="195">
        <f>CHESHIRE!K31</f>
        <v>67631</v>
      </c>
      <c r="J405" s="195">
        <f>CHESHIRE!L31</f>
        <v>67750</v>
      </c>
      <c r="K405" s="196">
        <f t="shared" si="18"/>
        <v>2.2857660486744369E-2</v>
      </c>
      <c r="L405" s="196"/>
      <c r="M405" s="195">
        <f t="shared" si="19"/>
        <v>-9403</v>
      </c>
      <c r="N405" s="196">
        <f t="shared" si="20"/>
        <v>-0.12187471647246381</v>
      </c>
      <c r="O405" s="197">
        <v>432</v>
      </c>
      <c r="P405" s="197">
        <v>472</v>
      </c>
      <c r="Q405" s="197">
        <v>470</v>
      </c>
      <c r="R405" s="197">
        <v>475</v>
      </c>
      <c r="S405" s="197">
        <v>462</v>
      </c>
      <c r="T405" s="197">
        <v>479</v>
      </c>
      <c r="U405" s="197">
        <v>455</v>
      </c>
      <c r="V405" s="197">
        <v>398</v>
      </c>
      <c r="W405" s="197">
        <v>402</v>
      </c>
      <c r="X405" s="197"/>
      <c r="Y405" s="197">
        <v>458</v>
      </c>
      <c r="Z405" s="197"/>
    </row>
    <row r="406" spans="1:26">
      <c r="A406" s="191" t="str">
        <f>HILLINGDON!A13</f>
        <v>Uxbridge and South Ruislip BC</v>
      </c>
      <c r="B406" s="195">
        <f>HILLINGDON!D13</f>
        <v>71059</v>
      </c>
      <c r="C406" s="195">
        <f>HILLINGDON!E13</f>
        <v>71954</v>
      </c>
      <c r="D406" s="195">
        <f>HILLINGDON!F13</f>
        <v>72592</v>
      </c>
      <c r="E406" s="195">
        <f>HILLINGDON!G13</f>
        <v>72433</v>
      </c>
      <c r="F406" s="195">
        <f>HILLINGDON!H13</f>
        <v>72468</v>
      </c>
      <c r="G406" s="195">
        <f>HILLINGDON!I13</f>
        <v>69871</v>
      </c>
      <c r="H406" s="195">
        <f>HILLINGDON!J13</f>
        <v>66606</v>
      </c>
      <c r="I406" s="195">
        <f>HILLINGDON!K13</f>
        <v>68108</v>
      </c>
      <c r="J406" s="195">
        <f>HILLINGDON!L13</f>
        <v>67738</v>
      </c>
      <c r="K406" s="196">
        <f t="shared" si="18"/>
        <v>-4.6735811086561871E-2</v>
      </c>
      <c r="L406" s="196"/>
      <c r="M406" s="195">
        <f t="shared" si="19"/>
        <v>-9415</v>
      </c>
      <c r="N406" s="196">
        <f t="shared" si="20"/>
        <v>-0.12203025157803325</v>
      </c>
      <c r="O406" s="197">
        <v>291</v>
      </c>
      <c r="P406" s="197">
        <v>276</v>
      </c>
      <c r="Q406" s="197">
        <v>269</v>
      </c>
      <c r="R406" s="197">
        <v>290</v>
      </c>
      <c r="S406" s="197">
        <v>262</v>
      </c>
      <c r="T406" s="197">
        <v>297</v>
      </c>
      <c r="U406" s="197">
        <v>388</v>
      </c>
      <c r="V406" s="197">
        <v>387</v>
      </c>
      <c r="W406" s="197">
        <v>403</v>
      </c>
      <c r="X406" s="197"/>
      <c r="Y406" s="197">
        <v>478</v>
      </c>
      <c r="Z406" s="197"/>
    </row>
    <row r="407" spans="1:26">
      <c r="A407" s="191" t="str">
        <f>'WEST YORKSHIRE'!A19</f>
        <v>Bradford West BC</v>
      </c>
      <c r="B407" s="195">
        <f>'WEST YORKSHIRE'!D19</f>
        <v>60658</v>
      </c>
      <c r="C407" s="195">
        <f>'WEST YORKSHIRE'!E19</f>
        <v>63425</v>
      </c>
      <c r="D407" s="195">
        <f>'WEST YORKSHIRE'!F19</f>
        <v>64752</v>
      </c>
      <c r="E407" s="195">
        <f>'WEST YORKSHIRE'!G19</f>
        <v>66089</v>
      </c>
      <c r="F407" s="195">
        <f>'WEST YORKSHIRE'!H19</f>
        <v>65567</v>
      </c>
      <c r="G407" s="195">
        <f>'WEST YORKSHIRE'!I19</f>
        <v>61650</v>
      </c>
      <c r="H407" s="195">
        <f>'WEST YORKSHIRE'!J19</f>
        <v>62096</v>
      </c>
      <c r="I407" s="195">
        <f>'WEST YORKSHIRE'!K19</f>
        <v>65661</v>
      </c>
      <c r="J407" s="195">
        <f>'WEST YORKSHIRE'!L19</f>
        <v>67719</v>
      </c>
      <c r="K407" s="196">
        <f t="shared" si="18"/>
        <v>0.11640673942431336</v>
      </c>
      <c r="L407" s="196"/>
      <c r="M407" s="195">
        <f t="shared" si="19"/>
        <v>-9434</v>
      </c>
      <c r="N407" s="196">
        <f t="shared" si="20"/>
        <v>-0.1222765154951849</v>
      </c>
      <c r="O407" s="197">
        <v>523</v>
      </c>
      <c r="P407" s="197">
        <v>498</v>
      </c>
      <c r="Q407" s="197">
        <v>487</v>
      </c>
      <c r="R407" s="197">
        <v>463</v>
      </c>
      <c r="S407" s="197">
        <v>460</v>
      </c>
      <c r="T407" s="197">
        <v>497</v>
      </c>
      <c r="U407" s="197">
        <v>481</v>
      </c>
      <c r="V407" s="197">
        <v>436</v>
      </c>
      <c r="W407" s="197">
        <v>404</v>
      </c>
      <c r="X407" s="197"/>
      <c r="Y407" s="197">
        <v>60</v>
      </c>
      <c r="Z407" s="197"/>
    </row>
    <row r="408" spans="1:26">
      <c r="A408" s="191" t="str">
        <f>'GREATER MANCHESTER'!A31</f>
        <v>Bolton South East BC</v>
      </c>
      <c r="B408" s="195">
        <f>'GREATER MANCHESTER'!D31</f>
        <v>69077</v>
      </c>
      <c r="C408" s="195">
        <f>'GREATER MANCHESTER'!E31</f>
        <v>69088</v>
      </c>
      <c r="D408" s="195">
        <f>'GREATER MANCHESTER'!F31</f>
        <v>68743</v>
      </c>
      <c r="E408" s="195">
        <f>'GREATER MANCHESTER'!G31</f>
        <v>68653</v>
      </c>
      <c r="F408" s="195">
        <f>'GREATER MANCHESTER'!H31</f>
        <v>68719</v>
      </c>
      <c r="G408" s="195">
        <f>'GREATER MANCHESTER'!I31</f>
        <v>68423</v>
      </c>
      <c r="H408" s="195">
        <f>'GREATER MANCHESTER'!J31</f>
        <v>65610</v>
      </c>
      <c r="I408" s="195">
        <f>'GREATER MANCHESTER'!K31</f>
        <v>67109</v>
      </c>
      <c r="J408" s="195">
        <f>'GREATER MANCHESTER'!L31</f>
        <v>67682</v>
      </c>
      <c r="K408" s="196">
        <f t="shared" si="18"/>
        <v>-2.0194855016865236E-2</v>
      </c>
      <c r="L408" s="196"/>
      <c r="M408" s="195">
        <f t="shared" si="19"/>
        <v>-9471</v>
      </c>
      <c r="N408" s="196">
        <f t="shared" si="20"/>
        <v>-0.12275608207069071</v>
      </c>
      <c r="O408" s="197">
        <v>346</v>
      </c>
      <c r="P408" s="197">
        <v>365</v>
      </c>
      <c r="Q408" s="197">
        <v>380</v>
      </c>
      <c r="R408" s="197">
        <v>398</v>
      </c>
      <c r="S408" s="197">
        <v>379</v>
      </c>
      <c r="T408" s="197">
        <v>352</v>
      </c>
      <c r="U408" s="197">
        <v>410</v>
      </c>
      <c r="V408" s="197">
        <v>409</v>
      </c>
      <c r="W408" s="197">
        <v>405</v>
      </c>
      <c r="X408" s="197"/>
      <c r="Y408" s="197">
        <v>50</v>
      </c>
      <c r="Z408" s="197"/>
    </row>
    <row r="409" spans="1:26">
      <c r="A409" s="191" t="str">
        <f>MERTON!A7</f>
        <v>Mitcham and Morden BC</v>
      </c>
      <c r="B409" s="195">
        <f>MERTON!D7</f>
        <v>65390</v>
      </c>
      <c r="C409" s="195">
        <f>MERTON!E7</f>
        <v>67074</v>
      </c>
      <c r="D409" s="195">
        <f>MERTON!F7</f>
        <v>66615</v>
      </c>
      <c r="E409" s="195">
        <f>MERTON!G7</f>
        <v>67488</v>
      </c>
      <c r="F409" s="195">
        <f>MERTON!H7</f>
        <v>67036</v>
      </c>
      <c r="G409" s="195">
        <f>MERTON!I7</f>
        <v>66342</v>
      </c>
      <c r="H409" s="195">
        <f>MERTON!J7</f>
        <v>66320</v>
      </c>
      <c r="I409" s="195">
        <f>MERTON!K7</f>
        <v>67858</v>
      </c>
      <c r="J409" s="195">
        <f>MERTON!L7</f>
        <v>67669</v>
      </c>
      <c r="K409" s="196">
        <f t="shared" si="18"/>
        <v>3.4852423918030277E-2</v>
      </c>
      <c r="L409" s="196"/>
      <c r="M409" s="195">
        <f t="shared" si="19"/>
        <v>-9484</v>
      </c>
      <c r="N409" s="196">
        <f t="shared" si="20"/>
        <v>-0.12292457843505761</v>
      </c>
      <c r="O409" s="197">
        <v>452</v>
      </c>
      <c r="P409" s="197">
        <v>419</v>
      </c>
      <c r="Q409" s="197">
        <v>444</v>
      </c>
      <c r="R409" s="197">
        <v>426</v>
      </c>
      <c r="S409" s="197">
        <v>423</v>
      </c>
      <c r="T409" s="197">
        <v>411</v>
      </c>
      <c r="U409" s="197">
        <v>392</v>
      </c>
      <c r="V409" s="197">
        <v>394</v>
      </c>
      <c r="W409" s="197">
        <v>406</v>
      </c>
      <c r="X409" s="197"/>
      <c r="Y409" s="197">
        <v>294</v>
      </c>
      <c r="Z409" s="197"/>
    </row>
    <row r="410" spans="1:26">
      <c r="A410" s="191" t="str">
        <f>'WEST YORKSHIRE'!A41</f>
        <v>Leeds North East BC</v>
      </c>
      <c r="B410" s="195">
        <f>'WEST YORKSHIRE'!D41</f>
        <v>67489</v>
      </c>
      <c r="C410" s="195">
        <f>'WEST YORKSHIRE'!E41</f>
        <v>68269</v>
      </c>
      <c r="D410" s="195">
        <f>'WEST YORKSHIRE'!F41</f>
        <v>68541</v>
      </c>
      <c r="E410" s="195">
        <f>'WEST YORKSHIRE'!G41</f>
        <v>69037</v>
      </c>
      <c r="F410" s="195">
        <f>'WEST YORKSHIRE'!H41</f>
        <v>66396</v>
      </c>
      <c r="G410" s="195">
        <f>'WEST YORKSHIRE'!I41</f>
        <v>67091</v>
      </c>
      <c r="H410" s="195">
        <f>'WEST YORKSHIRE'!J41</f>
        <v>65935</v>
      </c>
      <c r="I410" s="195">
        <f>'WEST YORKSHIRE'!K41</f>
        <v>67746</v>
      </c>
      <c r="J410" s="195">
        <f>'WEST YORKSHIRE'!L41</f>
        <v>67590</v>
      </c>
      <c r="K410" s="196">
        <f t="shared" si="18"/>
        <v>1.4965401769177198E-3</v>
      </c>
      <c r="L410" s="196"/>
      <c r="M410" s="195">
        <f t="shared" si="19"/>
        <v>-9563</v>
      </c>
      <c r="N410" s="196">
        <f t="shared" si="20"/>
        <v>-0.12394851788005651</v>
      </c>
      <c r="O410" s="197">
        <v>394</v>
      </c>
      <c r="P410" s="197">
        <v>388</v>
      </c>
      <c r="Q410" s="197">
        <v>385</v>
      </c>
      <c r="R410" s="197">
        <v>386</v>
      </c>
      <c r="S410" s="197">
        <v>444</v>
      </c>
      <c r="T410" s="197">
        <v>391</v>
      </c>
      <c r="U410" s="197">
        <v>403</v>
      </c>
      <c r="V410" s="197">
        <v>396</v>
      </c>
      <c r="W410" s="197">
        <v>407</v>
      </c>
      <c r="X410" s="197"/>
      <c r="Y410" s="197">
        <v>250</v>
      </c>
      <c r="Z410" s="197"/>
    </row>
    <row r="411" spans="1:26">
      <c r="A411" s="191" t="str">
        <f>'TYNE &amp; WEAR'!A14</f>
        <v>Blaydon BC</v>
      </c>
      <c r="B411" s="195">
        <f>'TYNE &amp; WEAR'!D14</f>
        <v>67791</v>
      </c>
      <c r="C411" s="195">
        <f>'TYNE &amp; WEAR'!E14</f>
        <v>68156</v>
      </c>
      <c r="D411" s="195">
        <f>'TYNE &amp; WEAR'!F14</f>
        <v>68166</v>
      </c>
      <c r="E411" s="195">
        <f>'TYNE &amp; WEAR'!G14</f>
        <v>68777</v>
      </c>
      <c r="F411" s="195">
        <f>'TYNE &amp; WEAR'!H14</f>
        <v>68332</v>
      </c>
      <c r="G411" s="195">
        <f>'TYNE &amp; WEAR'!I14</f>
        <v>66305</v>
      </c>
      <c r="H411" s="195">
        <f>'TYNE &amp; WEAR'!J14</f>
        <v>66409</v>
      </c>
      <c r="I411" s="195">
        <f>'TYNE &amp; WEAR'!K14</f>
        <v>67591</v>
      </c>
      <c r="J411" s="195">
        <f>'TYNE &amp; WEAR'!L14</f>
        <v>67527</v>
      </c>
      <c r="K411" s="196">
        <f t="shared" si="18"/>
        <v>-3.8943222551666152E-3</v>
      </c>
      <c r="L411" s="196"/>
      <c r="M411" s="195">
        <f t="shared" si="19"/>
        <v>-9626</v>
      </c>
      <c r="N411" s="196">
        <f t="shared" si="20"/>
        <v>-0.12476507718429614</v>
      </c>
      <c r="O411" s="197">
        <v>385</v>
      </c>
      <c r="P411" s="197">
        <v>392</v>
      </c>
      <c r="Q411" s="197">
        <v>393</v>
      </c>
      <c r="R411" s="197">
        <v>394</v>
      </c>
      <c r="S411" s="197">
        <v>391</v>
      </c>
      <c r="T411" s="197">
        <v>413</v>
      </c>
      <c r="U411" s="197">
        <v>390</v>
      </c>
      <c r="V411" s="197">
        <v>400</v>
      </c>
      <c r="W411" s="197">
        <v>408</v>
      </c>
      <c r="X411" s="197"/>
      <c r="Y411" s="197">
        <v>45</v>
      </c>
      <c r="Z411" s="197"/>
    </row>
    <row r="412" spans="1:26">
      <c r="A412" s="191" t="str">
        <f>BROMLEY!A7</f>
        <v>Beckenham BC</v>
      </c>
      <c r="B412" s="195">
        <f>BROMLEY!D7</f>
        <v>66029</v>
      </c>
      <c r="C412" s="195">
        <f>BROMLEY!E7</f>
        <v>66470</v>
      </c>
      <c r="D412" s="195">
        <f>BROMLEY!F7</f>
        <v>67185</v>
      </c>
      <c r="E412" s="195">
        <f>BROMLEY!G7</f>
        <v>67054</v>
      </c>
      <c r="F412" s="195">
        <f>BROMLEY!H7</f>
        <v>66899</v>
      </c>
      <c r="G412" s="195">
        <f>BROMLEY!I7</f>
        <v>66654</v>
      </c>
      <c r="H412" s="195">
        <f>BROMLEY!J7</f>
        <v>66067</v>
      </c>
      <c r="I412" s="195">
        <f>BROMLEY!K7</f>
        <v>67390</v>
      </c>
      <c r="J412" s="195">
        <f>BROMLEY!L7</f>
        <v>67524</v>
      </c>
      <c r="K412" s="196">
        <f t="shared" si="18"/>
        <v>2.2641566584379592E-2</v>
      </c>
      <c r="L412" s="196"/>
      <c r="M412" s="195">
        <f t="shared" si="19"/>
        <v>-9629</v>
      </c>
      <c r="N412" s="196">
        <f t="shared" si="20"/>
        <v>-0.12480396096068851</v>
      </c>
      <c r="O412" s="197">
        <v>437</v>
      </c>
      <c r="P412" s="197">
        <v>442</v>
      </c>
      <c r="Q412" s="197">
        <v>428</v>
      </c>
      <c r="R412" s="197">
        <v>441</v>
      </c>
      <c r="S412" s="197">
        <v>428</v>
      </c>
      <c r="T412" s="197">
        <v>399</v>
      </c>
      <c r="U412" s="197">
        <v>398</v>
      </c>
      <c r="V412" s="197">
        <v>404</v>
      </c>
      <c r="W412" s="197">
        <v>409</v>
      </c>
      <c r="X412" s="197"/>
      <c r="Y412" s="197">
        <v>22</v>
      </c>
      <c r="Z412" s="197"/>
    </row>
    <row r="413" spans="1:26">
      <c r="A413" s="191" t="str">
        <f>CORNWALL!A12</f>
        <v>North Cornwall CC</v>
      </c>
      <c r="B413" s="195">
        <f>CORNWALL!D12</f>
        <v>68055</v>
      </c>
      <c r="C413" s="195">
        <f>CORNWALL!E12</f>
        <v>68206</v>
      </c>
      <c r="D413" s="195">
        <f>CORNWALL!F12</f>
        <v>66983</v>
      </c>
      <c r="E413" s="195">
        <f>CORNWALL!G12</f>
        <v>67593</v>
      </c>
      <c r="F413" s="195">
        <f>CORNWALL!H12</f>
        <v>63718</v>
      </c>
      <c r="G413" s="195">
        <f>CORNWALL!I12</f>
        <v>65464</v>
      </c>
      <c r="H413" s="195">
        <f>CORNWALL!J12</f>
        <v>63501</v>
      </c>
      <c r="I413" s="195">
        <f>CORNWALL!K12</f>
        <v>65863</v>
      </c>
      <c r="J413" s="195">
        <f>CORNWALL!L12</f>
        <v>67505</v>
      </c>
      <c r="K413" s="196">
        <f t="shared" si="18"/>
        <v>-8.081698626111234E-3</v>
      </c>
      <c r="L413" s="196"/>
      <c r="M413" s="195">
        <f t="shared" si="19"/>
        <v>-9648</v>
      </c>
      <c r="N413" s="196">
        <f t="shared" si="20"/>
        <v>-0.12505022487784015</v>
      </c>
      <c r="O413" s="197">
        <v>377</v>
      </c>
      <c r="P413" s="197">
        <v>391</v>
      </c>
      <c r="Q413" s="197">
        <v>434</v>
      </c>
      <c r="R413" s="197">
        <v>422</v>
      </c>
      <c r="S413" s="197">
        <v>485</v>
      </c>
      <c r="T413" s="197">
        <v>426</v>
      </c>
      <c r="U413" s="197">
        <v>452</v>
      </c>
      <c r="V413" s="197">
        <v>433</v>
      </c>
      <c r="W413" s="197">
        <v>410</v>
      </c>
      <c r="X413" s="197"/>
      <c r="Y413" s="197">
        <v>308</v>
      </c>
      <c r="Z413" s="197"/>
    </row>
    <row r="414" spans="1:26">
      <c r="A414" s="191" t="str">
        <f>LANCASHIRE!A43</f>
        <v>Hyndburn BC</v>
      </c>
      <c r="B414" s="195">
        <f>LANCASHIRE!D45</f>
        <v>66924</v>
      </c>
      <c r="C414" s="195">
        <f>LANCASHIRE!E45</f>
        <v>69617</v>
      </c>
      <c r="D414" s="195">
        <f>LANCASHIRE!F45</f>
        <v>69519</v>
      </c>
      <c r="E414" s="195">
        <f>LANCASHIRE!G45</f>
        <v>69020</v>
      </c>
      <c r="F414" s="195">
        <f>LANCASHIRE!H45</f>
        <v>69256</v>
      </c>
      <c r="G414" s="195">
        <f>LANCASHIRE!I45</f>
        <v>67552</v>
      </c>
      <c r="H414" s="195">
        <f>LANCASHIRE!J45</f>
        <v>68093</v>
      </c>
      <c r="I414" s="195">
        <f>LANCASHIRE!K45</f>
        <v>71658</v>
      </c>
      <c r="J414" s="195">
        <f>LANCASHIRE!L45</f>
        <v>67418</v>
      </c>
      <c r="K414" s="196">
        <f t="shared" si="18"/>
        <v>7.3815073815073819E-3</v>
      </c>
      <c r="L414" s="196"/>
      <c r="M414" s="195">
        <f t="shared" si="19"/>
        <v>-9735</v>
      </c>
      <c r="N414" s="196">
        <f t="shared" si="20"/>
        <v>-0.12617785439321866</v>
      </c>
      <c r="O414" s="197">
        <v>414</v>
      </c>
      <c r="P414" s="197">
        <v>349</v>
      </c>
      <c r="Q414" s="197">
        <v>364</v>
      </c>
      <c r="R414" s="197">
        <v>388</v>
      </c>
      <c r="S414" s="197">
        <v>363</v>
      </c>
      <c r="T414" s="197">
        <v>373</v>
      </c>
      <c r="U414" s="197">
        <v>337</v>
      </c>
      <c r="V414" s="197">
        <v>268</v>
      </c>
      <c r="W414" s="197">
        <v>411</v>
      </c>
      <c r="X414" s="197"/>
      <c r="Y414" s="197">
        <v>229</v>
      </c>
      <c r="Z414" s="197"/>
    </row>
    <row r="415" spans="1:26">
      <c r="A415" s="191" t="str">
        <f>ENFIELD!A9</f>
        <v>Enfield North BC</v>
      </c>
      <c r="B415" s="195">
        <f>ENFIELD!D9</f>
        <v>66638</v>
      </c>
      <c r="C415" s="195">
        <f>ENFIELD!E9</f>
        <v>66761</v>
      </c>
      <c r="D415" s="195">
        <f>ENFIELD!F9</f>
        <v>67580</v>
      </c>
      <c r="E415" s="195">
        <f>ENFIELD!G9</f>
        <v>68463</v>
      </c>
      <c r="F415" s="195">
        <f>ENFIELD!H9</f>
        <v>66803</v>
      </c>
      <c r="G415" s="195">
        <f>ENFIELD!I9</f>
        <v>67528</v>
      </c>
      <c r="H415" s="195">
        <f>ENFIELD!J9</f>
        <v>65981</v>
      </c>
      <c r="I415" s="195">
        <f>ENFIELD!K9</f>
        <v>66828</v>
      </c>
      <c r="J415" s="195">
        <f>ENFIELD!L9</f>
        <v>67417</v>
      </c>
      <c r="K415" s="196">
        <f t="shared" si="18"/>
        <v>1.1690026711485939E-2</v>
      </c>
      <c r="L415" s="196"/>
      <c r="M415" s="195">
        <f t="shared" si="19"/>
        <v>-9736</v>
      </c>
      <c r="N415" s="196">
        <f t="shared" si="20"/>
        <v>-0.12619081565201612</v>
      </c>
      <c r="O415" s="197">
        <v>422</v>
      </c>
      <c r="P415" s="197">
        <v>426</v>
      </c>
      <c r="Q415" s="197">
        <v>415</v>
      </c>
      <c r="R415" s="197">
        <v>402</v>
      </c>
      <c r="S415" s="197">
        <v>432</v>
      </c>
      <c r="T415" s="197">
        <v>374</v>
      </c>
      <c r="U415" s="197">
        <v>399</v>
      </c>
      <c r="V415" s="197">
        <v>412</v>
      </c>
      <c r="W415" s="197">
        <v>412</v>
      </c>
      <c r="X415" s="197"/>
      <c r="Y415" s="197">
        <v>162</v>
      </c>
      <c r="Z415" s="197"/>
    </row>
    <row r="416" spans="1:26">
      <c r="A416" s="191" t="str">
        <f>DEVON!A57</f>
        <v>Totnes CC</v>
      </c>
      <c r="B416" s="195">
        <f>DEVON!D59</f>
        <v>67831</v>
      </c>
      <c r="C416" s="195">
        <f>DEVON!E59</f>
        <v>67562</v>
      </c>
      <c r="D416" s="195">
        <f>DEVON!F59</f>
        <v>67375</v>
      </c>
      <c r="E416" s="195">
        <f>DEVON!G59</f>
        <v>67903</v>
      </c>
      <c r="F416" s="195">
        <f>DEVON!H59</f>
        <v>68123</v>
      </c>
      <c r="G416" s="195">
        <f>DEVON!I59</f>
        <v>67257</v>
      </c>
      <c r="H416" s="195">
        <f>DEVON!J59</f>
        <v>65472</v>
      </c>
      <c r="I416" s="195">
        <f>DEVON!K59</f>
        <v>66791</v>
      </c>
      <c r="J416" s="195">
        <f>DEVON!L59</f>
        <v>67404</v>
      </c>
      <c r="K416" s="196">
        <f t="shared" si="18"/>
        <v>-6.2950568324217542E-3</v>
      </c>
      <c r="L416" s="196"/>
      <c r="M416" s="195">
        <f t="shared" si="19"/>
        <v>-9749</v>
      </c>
      <c r="N416" s="196">
        <f t="shared" si="20"/>
        <v>-0.12635931201638304</v>
      </c>
      <c r="O416" s="197">
        <v>383</v>
      </c>
      <c r="P416" s="197">
        <v>406</v>
      </c>
      <c r="Q416" s="197">
        <v>420</v>
      </c>
      <c r="R416" s="197">
        <v>418</v>
      </c>
      <c r="S416" s="197">
        <v>397</v>
      </c>
      <c r="T416" s="197">
        <v>387</v>
      </c>
      <c r="U416" s="197">
        <v>413</v>
      </c>
      <c r="V416" s="197">
        <v>415</v>
      </c>
      <c r="W416" s="197">
        <v>413</v>
      </c>
      <c r="X416" s="197"/>
      <c r="Y416" s="197">
        <v>472</v>
      </c>
      <c r="Z416" s="197"/>
    </row>
    <row r="417" spans="1:26">
      <c r="A417" s="191" t="str">
        <f>'SHROPSHIRE &amp; TELFORD &amp; WREKIN '!A11</f>
        <v>Ludlow CC</v>
      </c>
      <c r="B417" s="195">
        <f>'SHROPSHIRE &amp; TELFORD &amp; WREKIN '!D11</f>
        <v>66285</v>
      </c>
      <c r="C417" s="195">
        <f>'SHROPSHIRE &amp; TELFORD &amp; WREKIN '!E11</f>
        <v>66199</v>
      </c>
      <c r="D417" s="195">
        <f>'SHROPSHIRE &amp; TELFORD &amp; WREKIN '!F11</f>
        <v>65184</v>
      </c>
      <c r="E417" s="195">
        <f>'SHROPSHIRE &amp; TELFORD &amp; WREKIN '!G11</f>
        <v>67320</v>
      </c>
      <c r="F417" s="195">
        <f>'SHROPSHIRE &amp; TELFORD &amp; WREKIN '!H11</f>
        <v>63633</v>
      </c>
      <c r="G417" s="195">
        <f>'SHROPSHIRE &amp; TELFORD &amp; WREKIN '!I11</f>
        <v>65208</v>
      </c>
      <c r="H417" s="195">
        <f>'SHROPSHIRE &amp; TELFORD &amp; WREKIN '!J11</f>
        <v>65787</v>
      </c>
      <c r="I417" s="195">
        <f>'SHROPSHIRE &amp; TELFORD &amp; WREKIN '!K11</f>
        <v>67975</v>
      </c>
      <c r="J417" s="195">
        <f>'SHROPSHIRE &amp; TELFORD &amp; WREKIN '!L11</f>
        <v>67403</v>
      </c>
      <c r="K417" s="196">
        <f t="shared" si="18"/>
        <v>1.6866561062080409E-2</v>
      </c>
      <c r="L417" s="196"/>
      <c r="M417" s="195">
        <f t="shared" si="19"/>
        <v>-9750</v>
      </c>
      <c r="N417" s="196">
        <f t="shared" si="20"/>
        <v>-0.1263722732751805</v>
      </c>
      <c r="O417" s="197">
        <v>428</v>
      </c>
      <c r="P417" s="197">
        <v>447</v>
      </c>
      <c r="Q417" s="197">
        <v>481</v>
      </c>
      <c r="R417" s="197">
        <v>434</v>
      </c>
      <c r="S417" s="197">
        <v>490</v>
      </c>
      <c r="T417" s="197">
        <v>432</v>
      </c>
      <c r="U417" s="197">
        <v>406</v>
      </c>
      <c r="V417" s="197">
        <v>390</v>
      </c>
      <c r="W417" s="197">
        <v>414</v>
      </c>
      <c r="X417" s="197"/>
      <c r="Y417" s="197">
        <v>270</v>
      </c>
      <c r="Z417" s="197"/>
    </row>
    <row r="418" spans="1:26">
      <c r="A418" s="191" t="str">
        <f>'WEST YORKSHIRE'!A17</f>
        <v>Bradford South BC</v>
      </c>
      <c r="B418" s="195">
        <f>'WEST YORKSHIRE'!D17</f>
        <v>63532</v>
      </c>
      <c r="C418" s="195">
        <f>'WEST YORKSHIRE'!E17</f>
        <v>64715</v>
      </c>
      <c r="D418" s="195">
        <f>'WEST YORKSHIRE'!F17</f>
        <v>65005</v>
      </c>
      <c r="E418" s="195">
        <f>'WEST YORKSHIRE'!G17</f>
        <v>66210</v>
      </c>
      <c r="F418" s="195">
        <f>'WEST YORKSHIRE'!H17</f>
        <v>66738</v>
      </c>
      <c r="G418" s="195">
        <f>'WEST YORKSHIRE'!I17</f>
        <v>62818</v>
      </c>
      <c r="H418" s="195">
        <f>'WEST YORKSHIRE'!J17</f>
        <v>62968</v>
      </c>
      <c r="I418" s="195">
        <f>'WEST YORKSHIRE'!K17</f>
        <v>66174</v>
      </c>
      <c r="J418" s="195">
        <f>'WEST YORKSHIRE'!L17</f>
        <v>67401</v>
      </c>
      <c r="K418" s="196">
        <f t="shared" si="18"/>
        <v>6.0898444878171629E-2</v>
      </c>
      <c r="L418" s="196"/>
      <c r="M418" s="195">
        <f t="shared" si="19"/>
        <v>-9752</v>
      </c>
      <c r="N418" s="196">
        <f t="shared" si="20"/>
        <v>-0.12639819579277539</v>
      </c>
      <c r="O418" s="197">
        <v>491</v>
      </c>
      <c r="P418" s="197">
        <v>484</v>
      </c>
      <c r="Q418" s="197">
        <v>483</v>
      </c>
      <c r="R418" s="197">
        <v>457</v>
      </c>
      <c r="S418" s="197">
        <v>435</v>
      </c>
      <c r="T418" s="197">
        <v>483</v>
      </c>
      <c r="U418" s="197">
        <v>464</v>
      </c>
      <c r="V418" s="197">
        <v>425</v>
      </c>
      <c r="W418" s="197">
        <v>415</v>
      </c>
      <c r="X418" s="197"/>
      <c r="Y418" s="197">
        <v>59</v>
      </c>
      <c r="Z418" s="197"/>
    </row>
    <row r="419" spans="1:26">
      <c r="A419" s="191" t="str">
        <f>'TYNE &amp; WEAR'!A22</f>
        <v>Houghton and Sunderland South BC</v>
      </c>
      <c r="B419" s="195">
        <f>'TYNE &amp; WEAR'!D22</f>
        <v>69190</v>
      </c>
      <c r="C419" s="195">
        <f>'TYNE &amp; WEAR'!E22</f>
        <v>70115</v>
      </c>
      <c r="D419" s="195">
        <f>'TYNE &amp; WEAR'!F22</f>
        <v>70685</v>
      </c>
      <c r="E419" s="195">
        <f>'TYNE &amp; WEAR'!G22</f>
        <v>70241</v>
      </c>
      <c r="F419" s="195">
        <f>'TYNE &amp; WEAR'!H22</f>
        <v>69780</v>
      </c>
      <c r="G419" s="195">
        <f>'TYNE &amp; WEAR'!I22</f>
        <v>68216</v>
      </c>
      <c r="H419" s="195">
        <f>'TYNE &amp; WEAR'!J22</f>
        <v>67329</v>
      </c>
      <c r="I419" s="195">
        <f>'TYNE &amp; WEAR'!K22</f>
        <v>66274</v>
      </c>
      <c r="J419" s="195">
        <f>'TYNE &amp; WEAR'!L22</f>
        <v>67391</v>
      </c>
      <c r="K419" s="196">
        <f t="shared" si="18"/>
        <v>-2.6000867177337766E-2</v>
      </c>
      <c r="L419" s="196"/>
      <c r="M419" s="195">
        <f t="shared" si="19"/>
        <v>-9762</v>
      </c>
      <c r="N419" s="196">
        <f t="shared" si="20"/>
        <v>-0.12652780838074995</v>
      </c>
      <c r="O419" s="197">
        <v>344</v>
      </c>
      <c r="P419" s="197">
        <v>336</v>
      </c>
      <c r="Q419" s="197">
        <v>329</v>
      </c>
      <c r="R419" s="197">
        <v>344</v>
      </c>
      <c r="S419" s="197">
        <v>353</v>
      </c>
      <c r="T419" s="197">
        <v>358</v>
      </c>
      <c r="U419" s="197">
        <v>364</v>
      </c>
      <c r="V419" s="197">
        <v>424</v>
      </c>
      <c r="W419" s="197">
        <v>416</v>
      </c>
      <c r="X419" s="197"/>
      <c r="Y419" s="197">
        <v>225</v>
      </c>
      <c r="Z419" s="197"/>
    </row>
    <row r="420" spans="1:26">
      <c r="A420" s="191" t="str">
        <f>'GREATER MANCHESTER'!A21</f>
        <v>Ashton-under-Lyne BC</v>
      </c>
      <c r="B420" s="195">
        <f>'GREATER MANCHESTER'!D23</f>
        <v>67657</v>
      </c>
      <c r="C420" s="195">
        <f>'GREATER MANCHESTER'!E23</f>
        <v>68553</v>
      </c>
      <c r="D420" s="195">
        <f>'GREATER MANCHESTER'!F23</f>
        <v>67748</v>
      </c>
      <c r="E420" s="195">
        <f>'GREATER MANCHESTER'!G23</f>
        <v>67444</v>
      </c>
      <c r="F420" s="195">
        <f>'GREATER MANCHESTER'!H23</f>
        <v>68648</v>
      </c>
      <c r="G420" s="195">
        <f>'GREATER MANCHESTER'!I23</f>
        <v>67356</v>
      </c>
      <c r="H420" s="195">
        <f>'GREATER MANCHESTER'!J23</f>
        <v>65941</v>
      </c>
      <c r="I420" s="195">
        <f>'GREATER MANCHESTER'!K23</f>
        <v>67046</v>
      </c>
      <c r="J420" s="195">
        <f>'GREATER MANCHESTER'!L23</f>
        <v>67364</v>
      </c>
      <c r="K420" s="196">
        <f t="shared" si="18"/>
        <v>-4.3306679279305907E-3</v>
      </c>
      <c r="L420" s="196"/>
      <c r="M420" s="195">
        <f t="shared" si="19"/>
        <v>-9789</v>
      </c>
      <c r="N420" s="196">
        <f t="shared" si="20"/>
        <v>-0.12687776236828122</v>
      </c>
      <c r="O420" s="197">
        <v>390</v>
      </c>
      <c r="P420" s="197">
        <v>379</v>
      </c>
      <c r="Q420" s="197">
        <v>408</v>
      </c>
      <c r="R420" s="197">
        <v>429</v>
      </c>
      <c r="S420" s="197">
        <v>381</v>
      </c>
      <c r="T420" s="197">
        <v>386</v>
      </c>
      <c r="U420" s="197">
        <v>402</v>
      </c>
      <c r="V420" s="197">
        <v>410</v>
      </c>
      <c r="W420" s="197">
        <v>417</v>
      </c>
      <c r="X420" s="197"/>
      <c r="Y420" s="197">
        <v>8</v>
      </c>
      <c r="Z420" s="197"/>
    </row>
    <row r="421" spans="1:26">
      <c r="A421" s="191" t="str">
        <f>STAFFORDSHIRE!A46</f>
        <v>Stoke-on-Trent South BC</v>
      </c>
      <c r="B421" s="195">
        <f>STAFFORDSHIRE!D46</f>
        <v>68301</v>
      </c>
      <c r="C421" s="195">
        <f>STAFFORDSHIRE!E46</f>
        <v>68624</v>
      </c>
      <c r="D421" s="195">
        <f>STAFFORDSHIRE!F46</f>
        <v>68842</v>
      </c>
      <c r="E421" s="195">
        <f>STAFFORDSHIRE!G46</f>
        <v>69052</v>
      </c>
      <c r="F421" s="195">
        <f>STAFFORDSHIRE!H46</f>
        <v>68532</v>
      </c>
      <c r="G421" s="195">
        <f>STAFFORDSHIRE!I46</f>
        <v>67502</v>
      </c>
      <c r="H421" s="195">
        <f>STAFFORDSHIRE!J46</f>
        <v>66835</v>
      </c>
      <c r="I421" s="195">
        <f>STAFFORDSHIRE!K46</f>
        <v>65986</v>
      </c>
      <c r="J421" s="195">
        <f>STAFFORDSHIRE!L46</f>
        <v>67249</v>
      </c>
      <c r="K421" s="196">
        <f t="shared" si="18"/>
        <v>-1.5402409920791789E-2</v>
      </c>
      <c r="L421" s="196"/>
      <c r="M421" s="195">
        <f t="shared" si="19"/>
        <v>-9904</v>
      </c>
      <c r="N421" s="196">
        <f t="shared" si="20"/>
        <v>-0.12836830712998845</v>
      </c>
      <c r="O421" s="197">
        <v>370</v>
      </c>
      <c r="P421" s="197">
        <v>377</v>
      </c>
      <c r="Q421" s="197">
        <v>377</v>
      </c>
      <c r="R421" s="197">
        <v>385</v>
      </c>
      <c r="S421" s="197">
        <v>384</v>
      </c>
      <c r="T421" s="197">
        <v>376</v>
      </c>
      <c r="U421" s="197">
        <v>379</v>
      </c>
      <c r="V421" s="197">
        <v>431</v>
      </c>
      <c r="W421" s="197">
        <v>418</v>
      </c>
      <c r="X421" s="197"/>
      <c r="Y421" s="197">
        <v>445</v>
      </c>
      <c r="Z421" s="197"/>
    </row>
    <row r="422" spans="1:26">
      <c r="A422" s="191" t="str">
        <f>ESSEX!A45</f>
        <v>Harlow CC</v>
      </c>
      <c r="B422" s="195">
        <f>ESSEX!D47</f>
        <v>67425</v>
      </c>
      <c r="C422" s="195">
        <f>ESSEX!E47</f>
        <v>67700</v>
      </c>
      <c r="D422" s="195">
        <f>ESSEX!F47</f>
        <v>68595</v>
      </c>
      <c r="E422" s="195">
        <f>ESSEX!G47</f>
        <v>69161</v>
      </c>
      <c r="F422" s="195">
        <f>ESSEX!H47</f>
        <v>68777</v>
      </c>
      <c r="G422" s="195">
        <f>ESSEX!I47</f>
        <v>67363</v>
      </c>
      <c r="H422" s="195">
        <f>ESSEX!J47</f>
        <v>65971</v>
      </c>
      <c r="I422" s="195">
        <f>ESSEX!K47</f>
        <v>67362</v>
      </c>
      <c r="J422" s="195">
        <f>ESSEX!L47</f>
        <v>67164</v>
      </c>
      <c r="K422" s="196">
        <f t="shared" si="18"/>
        <v>-3.8709677419354839E-3</v>
      </c>
      <c r="L422" s="196"/>
      <c r="M422" s="195">
        <f t="shared" si="19"/>
        <v>-9989</v>
      </c>
      <c r="N422" s="196">
        <f t="shared" si="20"/>
        <v>-0.12947001412777209</v>
      </c>
      <c r="O422" s="197">
        <v>396</v>
      </c>
      <c r="P422" s="197">
        <v>399</v>
      </c>
      <c r="Q422" s="197">
        <v>382</v>
      </c>
      <c r="R422" s="197">
        <v>381</v>
      </c>
      <c r="S422" s="197">
        <v>376</v>
      </c>
      <c r="T422" s="197">
        <v>385</v>
      </c>
      <c r="U422" s="197">
        <v>400</v>
      </c>
      <c r="V422" s="197">
        <v>405</v>
      </c>
      <c r="W422" s="197">
        <v>419</v>
      </c>
      <c r="X422" s="197"/>
      <c r="Y422" s="197">
        <v>200</v>
      </c>
      <c r="Z422" s="197"/>
    </row>
    <row r="423" spans="1:26">
      <c r="A423" s="191" t="str">
        <f>DURHAM!A11</f>
        <v>Bishop Auckland CC</v>
      </c>
      <c r="B423" s="195">
        <f>DURHAM!D11</f>
        <v>68170</v>
      </c>
      <c r="C423" s="195">
        <f>DURHAM!E11</f>
        <v>68501</v>
      </c>
      <c r="D423" s="195">
        <f>DURHAM!F11</f>
        <v>69096</v>
      </c>
      <c r="E423" s="195">
        <f>DURHAM!G11</f>
        <v>69397</v>
      </c>
      <c r="F423" s="195">
        <f>DURHAM!H11</f>
        <v>68525</v>
      </c>
      <c r="G423" s="195">
        <f>DURHAM!I11</f>
        <v>64953</v>
      </c>
      <c r="H423" s="195">
        <f>DURHAM!J11</f>
        <v>65234</v>
      </c>
      <c r="I423" s="195">
        <f>DURHAM!K11</f>
        <v>66825</v>
      </c>
      <c r="J423" s="195">
        <f>DURHAM!L11</f>
        <v>67151</v>
      </c>
      <c r="K423" s="196">
        <f t="shared" si="18"/>
        <v>-1.494792430687986E-2</v>
      </c>
      <c r="L423" s="196"/>
      <c r="M423" s="195">
        <f t="shared" si="19"/>
        <v>-10002</v>
      </c>
      <c r="N423" s="196">
        <f t="shared" si="20"/>
        <v>-0.12963851049213901</v>
      </c>
      <c r="O423" s="197">
        <v>374</v>
      </c>
      <c r="P423" s="197">
        <v>383</v>
      </c>
      <c r="Q423" s="197">
        <v>371</v>
      </c>
      <c r="R423" s="197">
        <v>375</v>
      </c>
      <c r="S423" s="197">
        <v>385</v>
      </c>
      <c r="T423" s="197">
        <v>443</v>
      </c>
      <c r="U423" s="197">
        <v>415</v>
      </c>
      <c r="V423" s="197">
        <v>413</v>
      </c>
      <c r="W423" s="197">
        <v>420</v>
      </c>
      <c r="X423" s="197"/>
      <c r="Y423" s="197">
        <v>40</v>
      </c>
      <c r="Z423" s="197"/>
    </row>
    <row r="424" spans="1:26">
      <c r="A424" s="191" t="str">
        <f>HEREFORDSHIRE!A9</f>
        <v>North Herefordshire CC</v>
      </c>
      <c r="B424" s="195">
        <f>HEREFORDSHIRE!D9</f>
        <v>67280</v>
      </c>
      <c r="C424" s="195">
        <f>HEREFORDSHIRE!E9</f>
        <v>66711</v>
      </c>
      <c r="D424" s="195">
        <f>HEREFORDSHIRE!F9</f>
        <v>67001</v>
      </c>
      <c r="E424" s="195">
        <f>HEREFORDSHIRE!G9</f>
        <v>67438</v>
      </c>
      <c r="F424" s="195">
        <f>HEREFORDSHIRE!H9</f>
        <v>65055</v>
      </c>
      <c r="G424" s="195">
        <f>HEREFORDSHIRE!I9</f>
        <v>65268</v>
      </c>
      <c r="H424" s="195">
        <f>HEREFORDSHIRE!J9</f>
        <v>64727</v>
      </c>
      <c r="I424" s="195">
        <f>HEREFORDSHIRE!K9</f>
        <v>66087</v>
      </c>
      <c r="J424" s="195">
        <f>HEREFORDSHIRE!L9</f>
        <v>67081</v>
      </c>
      <c r="K424" s="196">
        <f t="shared" si="18"/>
        <v>-2.9577883472057076E-3</v>
      </c>
      <c r="L424" s="196"/>
      <c r="M424" s="195">
        <f t="shared" si="19"/>
        <v>-10072</v>
      </c>
      <c r="N424" s="196">
        <f t="shared" si="20"/>
        <v>-0.13054579860796081</v>
      </c>
      <c r="O424" s="197">
        <v>404</v>
      </c>
      <c r="P424" s="197">
        <v>431</v>
      </c>
      <c r="Q424" s="197">
        <v>432</v>
      </c>
      <c r="R424" s="197">
        <v>430</v>
      </c>
      <c r="S424" s="197">
        <v>469</v>
      </c>
      <c r="T424" s="197">
        <v>430</v>
      </c>
      <c r="U424" s="197">
        <v>426</v>
      </c>
      <c r="V424" s="197">
        <v>429</v>
      </c>
      <c r="W424" s="197">
        <v>421</v>
      </c>
      <c r="X424" s="197"/>
      <c r="Y424" s="197">
        <v>318</v>
      </c>
      <c r="Z424" s="197"/>
    </row>
    <row r="425" spans="1:26">
      <c r="A425" s="191" t="str">
        <f>'SOUTH GLOUCESTERSHIRE'!A7</f>
        <v>Filton and Bradley Stoke CC</v>
      </c>
      <c r="B425" s="195">
        <f>'SOUTH GLOUCESTERSHIRE'!D7</f>
        <v>68763</v>
      </c>
      <c r="C425" s="195">
        <f>'SOUTH GLOUCESTERSHIRE'!E7</f>
        <v>69732</v>
      </c>
      <c r="D425" s="195">
        <f>'SOUTH GLOUCESTERSHIRE'!F7</f>
        <v>70574</v>
      </c>
      <c r="E425" s="195">
        <f>'SOUTH GLOUCESTERSHIRE'!G7</f>
        <v>70994</v>
      </c>
      <c r="F425" s="195">
        <f>'SOUTH GLOUCESTERSHIRE'!H7</f>
        <v>71670</v>
      </c>
      <c r="G425" s="195">
        <f>'SOUTH GLOUCESTERSHIRE'!I7</f>
        <v>69560</v>
      </c>
      <c r="H425" s="195">
        <f>'SOUTH GLOUCESTERSHIRE'!J7</f>
        <v>69455</v>
      </c>
      <c r="I425" s="195">
        <f>'SOUTH GLOUCESTERSHIRE'!K7</f>
        <v>70743</v>
      </c>
      <c r="J425" s="195">
        <f>'SOUTH GLOUCESTERSHIRE'!L7</f>
        <v>67062</v>
      </c>
      <c r="K425" s="196">
        <f t="shared" si="18"/>
        <v>-2.4737140613411281E-2</v>
      </c>
      <c r="L425" s="196"/>
      <c r="M425" s="195">
        <f t="shared" si="19"/>
        <v>-10091</v>
      </c>
      <c r="N425" s="196">
        <f t="shared" si="20"/>
        <v>-0.13079206252511244</v>
      </c>
      <c r="O425" s="197">
        <v>359</v>
      </c>
      <c r="P425" s="197">
        <v>347</v>
      </c>
      <c r="Q425" s="197">
        <v>331</v>
      </c>
      <c r="R425" s="197">
        <v>325</v>
      </c>
      <c r="S425" s="197">
        <v>296</v>
      </c>
      <c r="T425" s="197">
        <v>310</v>
      </c>
      <c r="U425" s="197">
        <v>295</v>
      </c>
      <c r="V425" s="197">
        <v>309</v>
      </c>
      <c r="W425" s="197">
        <v>422</v>
      </c>
      <c r="X425" s="197"/>
      <c r="Y425" s="197">
        <v>173</v>
      </c>
      <c r="Z425" s="197"/>
    </row>
    <row r="426" spans="1:26">
      <c r="A426" s="191" t="str">
        <f>DERBYSHIRE!A40</f>
        <v>Mid Derbyshire CC</v>
      </c>
      <c r="B426" s="195">
        <f>DERBYSHIRE!D43</f>
        <v>65929</v>
      </c>
      <c r="C426" s="195">
        <f>DERBYSHIRE!E43</f>
        <v>66572</v>
      </c>
      <c r="D426" s="195">
        <f>DERBYSHIRE!F43</f>
        <v>66963</v>
      </c>
      <c r="E426" s="195">
        <f>DERBYSHIRE!G43</f>
        <v>67417</v>
      </c>
      <c r="F426" s="195">
        <f>DERBYSHIRE!H43</f>
        <v>67358</v>
      </c>
      <c r="G426" s="195">
        <f>DERBYSHIRE!I43</f>
        <v>66855</v>
      </c>
      <c r="H426" s="195">
        <f>DERBYSHIRE!J43</f>
        <v>65959</v>
      </c>
      <c r="I426" s="195">
        <f>DERBYSHIRE!K43</f>
        <v>66490</v>
      </c>
      <c r="J426" s="195">
        <f>DERBYSHIRE!L43</f>
        <v>66957</v>
      </c>
      <c r="K426" s="196">
        <f t="shared" si="18"/>
        <v>1.5592531359492788E-2</v>
      </c>
      <c r="L426" s="196"/>
      <c r="M426" s="195">
        <f t="shared" si="19"/>
        <v>-10196</v>
      </c>
      <c r="N426" s="196">
        <f t="shared" si="20"/>
        <v>-0.13215299469884514</v>
      </c>
      <c r="O426" s="197">
        <v>441</v>
      </c>
      <c r="P426" s="197">
        <v>437</v>
      </c>
      <c r="Q426" s="197">
        <v>435</v>
      </c>
      <c r="R426" s="197">
        <v>432</v>
      </c>
      <c r="S426" s="197">
        <v>416</v>
      </c>
      <c r="T426" s="197">
        <v>397</v>
      </c>
      <c r="U426" s="197">
        <v>401</v>
      </c>
      <c r="V426" s="197">
        <v>420</v>
      </c>
      <c r="W426" s="197">
        <v>423</v>
      </c>
      <c r="X426" s="197"/>
      <c r="Y426" s="197">
        <v>285</v>
      </c>
      <c r="Z426" s="197"/>
    </row>
    <row r="427" spans="1:26">
      <c r="A427" s="191" t="str">
        <f>HAMPSHIRE!A64</f>
        <v>Southampton, Test BC</v>
      </c>
      <c r="B427" s="195">
        <f>HAMPSHIRE!D64</f>
        <v>71712</v>
      </c>
      <c r="C427" s="195">
        <f>HAMPSHIRE!E64</f>
        <v>71263</v>
      </c>
      <c r="D427" s="195">
        <f>HAMPSHIRE!F64</f>
        <v>70756</v>
      </c>
      <c r="E427" s="195">
        <f>HAMPSHIRE!G64</f>
        <v>69692</v>
      </c>
      <c r="F427" s="195">
        <f>HAMPSHIRE!H64</f>
        <v>70387</v>
      </c>
      <c r="G427" s="195">
        <f>HAMPSHIRE!I64</f>
        <v>66979</v>
      </c>
      <c r="H427" s="195">
        <f>HAMPSHIRE!J64</f>
        <v>64773</v>
      </c>
      <c r="I427" s="195">
        <f>HAMPSHIRE!K64</f>
        <v>65936</v>
      </c>
      <c r="J427" s="195">
        <f>HAMPSHIRE!L64</f>
        <v>66857</v>
      </c>
      <c r="K427" s="196">
        <f t="shared" si="18"/>
        <v>-6.7701360999553775E-2</v>
      </c>
      <c r="L427" s="196"/>
      <c r="M427" s="195">
        <f t="shared" si="19"/>
        <v>-10296</v>
      </c>
      <c r="N427" s="196">
        <f t="shared" si="20"/>
        <v>-0.1334491205785906</v>
      </c>
      <c r="O427" s="197">
        <v>261</v>
      </c>
      <c r="P427" s="197">
        <v>304</v>
      </c>
      <c r="Q427" s="197">
        <v>324</v>
      </c>
      <c r="R427" s="197">
        <v>367</v>
      </c>
      <c r="S427" s="197">
        <v>337</v>
      </c>
      <c r="T427" s="197">
        <v>395</v>
      </c>
      <c r="U427" s="197">
        <v>425</v>
      </c>
      <c r="V427" s="197">
        <v>432</v>
      </c>
      <c r="W427" s="197">
        <v>424</v>
      </c>
      <c r="X427" s="197"/>
      <c r="Y427" s="197">
        <v>427</v>
      </c>
      <c r="Z427" s="197"/>
    </row>
    <row r="428" spans="1:26">
      <c r="A428" s="191" t="str">
        <f>'GREATER MANCHESTER'!A37</f>
        <v>Bury North BC</v>
      </c>
      <c r="B428" s="195">
        <f>'GREATER MANCHESTER'!D37</f>
        <v>67421</v>
      </c>
      <c r="C428" s="195">
        <f>'GREATER MANCHESTER'!E37</f>
        <v>67911</v>
      </c>
      <c r="D428" s="195">
        <f>'GREATER MANCHESTER'!F37</f>
        <v>68025</v>
      </c>
      <c r="E428" s="195">
        <f>'GREATER MANCHESTER'!G37</f>
        <v>68380</v>
      </c>
      <c r="F428" s="195">
        <f>'GREATER MANCHESTER'!H37</f>
        <v>68520</v>
      </c>
      <c r="G428" s="195">
        <f>'GREATER MANCHESTER'!I37</f>
        <v>67039</v>
      </c>
      <c r="H428" s="195">
        <f>'GREATER MANCHESTER'!J37</f>
        <v>64564</v>
      </c>
      <c r="I428" s="195">
        <f>'GREATER MANCHESTER'!K37</f>
        <v>66511</v>
      </c>
      <c r="J428" s="195">
        <f>'GREATER MANCHESTER'!L37</f>
        <v>66842</v>
      </c>
      <c r="K428" s="196">
        <f t="shared" si="18"/>
        <v>-8.587828718055206E-3</v>
      </c>
      <c r="L428" s="196"/>
      <c r="M428" s="195">
        <f t="shared" si="19"/>
        <v>-10311</v>
      </c>
      <c r="N428" s="196">
        <f t="shared" si="20"/>
        <v>-0.13364353946055241</v>
      </c>
      <c r="O428" s="197">
        <v>397</v>
      </c>
      <c r="P428" s="197">
        <v>396</v>
      </c>
      <c r="Q428" s="197">
        <v>398</v>
      </c>
      <c r="R428" s="197">
        <v>403</v>
      </c>
      <c r="S428" s="197">
        <v>386</v>
      </c>
      <c r="T428" s="197">
        <v>392</v>
      </c>
      <c r="U428" s="197">
        <v>430</v>
      </c>
      <c r="V428" s="197">
        <v>419</v>
      </c>
      <c r="W428" s="197">
        <v>425</v>
      </c>
      <c r="X428" s="197"/>
      <c r="Y428" s="197">
        <v>82</v>
      </c>
      <c r="Z428" s="197"/>
    </row>
    <row r="429" spans="1:26">
      <c r="A429" s="191" t="str">
        <f>'SHROPSHIRE &amp; TELFORD &amp; WREKIN '!A17</f>
        <v>Telford BC</v>
      </c>
      <c r="B429" s="195">
        <f>'SHROPSHIRE &amp; TELFORD &amp; WREKIN '!D17</f>
        <v>65363</v>
      </c>
      <c r="C429" s="195">
        <f>'SHROPSHIRE &amp; TELFORD &amp; WREKIN '!E17</f>
        <v>65938</v>
      </c>
      <c r="D429" s="195">
        <f>'SHROPSHIRE &amp; TELFORD &amp; WREKIN '!F17</f>
        <v>66470</v>
      </c>
      <c r="E429" s="195">
        <f>'SHROPSHIRE &amp; TELFORD &amp; WREKIN '!G17</f>
        <v>67173</v>
      </c>
      <c r="F429" s="195">
        <f>'SHROPSHIRE &amp; TELFORD &amp; WREKIN '!H17</f>
        <v>67041</v>
      </c>
      <c r="G429" s="195">
        <f>'SHROPSHIRE &amp; TELFORD &amp; WREKIN '!I17</f>
        <v>65289</v>
      </c>
      <c r="H429" s="195">
        <f>'SHROPSHIRE &amp; TELFORD &amp; WREKIN '!J17</f>
        <v>64816</v>
      </c>
      <c r="I429" s="195">
        <f>'SHROPSHIRE &amp; TELFORD &amp; WREKIN '!K17</f>
        <v>66157</v>
      </c>
      <c r="J429" s="195">
        <f>'SHROPSHIRE &amp; TELFORD &amp; WREKIN '!L17</f>
        <v>66579</v>
      </c>
      <c r="K429" s="196">
        <f t="shared" si="18"/>
        <v>1.8603797255327938E-2</v>
      </c>
      <c r="L429" s="196"/>
      <c r="M429" s="195">
        <f t="shared" si="19"/>
        <v>-10574</v>
      </c>
      <c r="N429" s="196">
        <f t="shared" si="20"/>
        <v>-0.13705235052428291</v>
      </c>
      <c r="O429" s="197">
        <v>454</v>
      </c>
      <c r="P429" s="197">
        <v>453</v>
      </c>
      <c r="Q429" s="197">
        <v>448</v>
      </c>
      <c r="R429" s="197">
        <v>438</v>
      </c>
      <c r="S429" s="197">
        <v>422</v>
      </c>
      <c r="T429" s="197">
        <v>429</v>
      </c>
      <c r="U429" s="197">
        <v>423</v>
      </c>
      <c r="V429" s="197">
        <v>426</v>
      </c>
      <c r="W429" s="197">
        <v>426</v>
      </c>
      <c r="X429" s="197"/>
      <c r="Y429" s="197">
        <v>460</v>
      </c>
      <c r="Z429" s="197"/>
    </row>
    <row r="430" spans="1:26">
      <c r="A430" s="191" t="str">
        <f>'WALTHAM FOREST'!A15</f>
        <v xml:space="preserve">Walthamstow BC </v>
      </c>
      <c r="B430" s="195">
        <f>'WALTHAM FOREST'!D15</f>
        <v>64293</v>
      </c>
      <c r="C430" s="195">
        <f>'WALTHAM FOREST'!E15</f>
        <v>64482</v>
      </c>
      <c r="D430" s="195">
        <f>'WALTHAM FOREST'!F15</f>
        <v>65096</v>
      </c>
      <c r="E430" s="195">
        <f>'WALTHAM FOREST'!G15</f>
        <v>65195</v>
      </c>
      <c r="F430" s="195">
        <f>'WALTHAM FOREST'!H15</f>
        <v>65724</v>
      </c>
      <c r="G430" s="195">
        <f>'WALTHAM FOREST'!I15</f>
        <v>64403</v>
      </c>
      <c r="H430" s="195">
        <f>'WALTHAM FOREST'!J15</f>
        <v>63959</v>
      </c>
      <c r="I430" s="195">
        <f>'WALTHAM FOREST'!K15</f>
        <v>65095</v>
      </c>
      <c r="J430" s="195">
        <f>'WALTHAM FOREST'!L15</f>
        <v>66553</v>
      </c>
      <c r="K430" s="196">
        <f t="shared" si="18"/>
        <v>3.5151571710761671E-2</v>
      </c>
      <c r="L430" s="196"/>
      <c r="M430" s="195">
        <f t="shared" si="19"/>
        <v>-10600</v>
      </c>
      <c r="N430" s="196">
        <f t="shared" si="20"/>
        <v>-0.13738934325301674</v>
      </c>
      <c r="O430" s="197">
        <v>479</v>
      </c>
      <c r="P430" s="197">
        <v>488</v>
      </c>
      <c r="Q430" s="197">
        <v>482</v>
      </c>
      <c r="R430" s="197">
        <v>484</v>
      </c>
      <c r="S430" s="197">
        <v>454</v>
      </c>
      <c r="T430" s="197">
        <v>454</v>
      </c>
      <c r="U430" s="197">
        <v>443</v>
      </c>
      <c r="V430" s="197">
        <v>451</v>
      </c>
      <c r="W430" s="197">
        <v>427</v>
      </c>
      <c r="X430" s="197"/>
      <c r="Y430" s="197">
        <v>484</v>
      </c>
      <c r="Z430" s="197"/>
    </row>
    <row r="431" spans="1:26">
      <c r="A431" s="191" t="str">
        <f>CORNWALL!A10</f>
        <v>Camborne and Redruth CC</v>
      </c>
      <c r="B431" s="195">
        <f>CORNWALL!D10</f>
        <v>63694</v>
      </c>
      <c r="C431" s="195">
        <f>CORNWALL!E10</f>
        <v>64798</v>
      </c>
      <c r="D431" s="195">
        <f>CORNWALL!F10</f>
        <v>65324</v>
      </c>
      <c r="E431" s="195">
        <f>CORNWALL!G10</f>
        <v>66038</v>
      </c>
      <c r="F431" s="195">
        <f>CORNWALL!H10</f>
        <v>64769</v>
      </c>
      <c r="G431" s="195">
        <f>CORNWALL!I10</f>
        <v>65157</v>
      </c>
      <c r="H431" s="195">
        <f>CORNWALL!J10</f>
        <v>62034</v>
      </c>
      <c r="I431" s="195">
        <f>CORNWALL!K10</f>
        <v>64267</v>
      </c>
      <c r="J431" s="195">
        <f>CORNWALL!L10</f>
        <v>66534</v>
      </c>
      <c r="K431" s="196">
        <f t="shared" si="18"/>
        <v>4.4588187270386534E-2</v>
      </c>
      <c r="L431" s="196"/>
      <c r="M431" s="195">
        <f t="shared" si="19"/>
        <v>-10619</v>
      </c>
      <c r="N431" s="196">
        <f t="shared" si="20"/>
        <v>-0.13763560717016837</v>
      </c>
      <c r="O431" s="197">
        <v>489</v>
      </c>
      <c r="P431" s="197">
        <v>479</v>
      </c>
      <c r="Q431" s="197">
        <v>472</v>
      </c>
      <c r="R431" s="197">
        <v>465</v>
      </c>
      <c r="S431" s="197">
        <v>474</v>
      </c>
      <c r="T431" s="197">
        <v>436</v>
      </c>
      <c r="U431" s="197">
        <v>483</v>
      </c>
      <c r="V431" s="197">
        <v>468</v>
      </c>
      <c r="W431" s="197">
        <v>428</v>
      </c>
      <c r="X431" s="197"/>
      <c r="Y431" s="197">
        <v>87</v>
      </c>
      <c r="Z431" s="197"/>
    </row>
    <row r="432" spans="1:26">
      <c r="A432" s="191" t="str">
        <f>'WEST MIDLANDS'!A59</f>
        <v>Walsall South BC</v>
      </c>
      <c r="B432" s="195">
        <f>'WEST MIDLANDS'!D59</f>
        <v>64710</v>
      </c>
      <c r="C432" s="195">
        <f>'WEST MIDLANDS'!E59</f>
        <v>66082</v>
      </c>
      <c r="D432" s="195">
        <f>'WEST MIDLANDS'!F59</f>
        <v>67767</v>
      </c>
      <c r="E432" s="195">
        <f>'WEST MIDLANDS'!G59</f>
        <v>68140</v>
      </c>
      <c r="F432" s="195">
        <f>'WEST MIDLANDS'!H59</f>
        <v>67031</v>
      </c>
      <c r="G432" s="195">
        <f>'WEST MIDLANDS'!I59</f>
        <v>67035</v>
      </c>
      <c r="H432" s="195">
        <f>'WEST MIDLANDS'!J59</f>
        <v>64415</v>
      </c>
      <c r="I432" s="195">
        <f>'WEST MIDLANDS'!K59</f>
        <v>66039</v>
      </c>
      <c r="J432" s="195">
        <f>'WEST MIDLANDS'!L59</f>
        <v>66512</v>
      </c>
      <c r="K432" s="196">
        <f t="shared" si="18"/>
        <v>2.7847318806985009E-2</v>
      </c>
      <c r="L432" s="196"/>
      <c r="M432" s="195">
        <f t="shared" si="19"/>
        <v>-10641</v>
      </c>
      <c r="N432" s="196">
        <f t="shared" si="20"/>
        <v>-0.13792075486371236</v>
      </c>
      <c r="O432" s="197">
        <v>473</v>
      </c>
      <c r="P432" s="197">
        <v>450</v>
      </c>
      <c r="Q432" s="197">
        <v>407</v>
      </c>
      <c r="R432" s="197">
        <v>409</v>
      </c>
      <c r="S432" s="197">
        <v>424</v>
      </c>
      <c r="T432" s="197">
        <v>393</v>
      </c>
      <c r="U432" s="197">
        <v>434</v>
      </c>
      <c r="V432" s="197">
        <v>430</v>
      </c>
      <c r="W432" s="197">
        <v>429</v>
      </c>
      <c r="X432" s="197"/>
      <c r="Y432" s="197">
        <v>483</v>
      </c>
      <c r="Z432" s="197"/>
    </row>
    <row r="433" spans="1:26">
      <c r="A433" s="191" t="str">
        <f>ESSEX!A73</f>
        <v>Southend West BC</v>
      </c>
      <c r="B433" s="195">
        <f>ESSEX!D73</f>
        <v>66965</v>
      </c>
      <c r="C433" s="195">
        <f>ESSEX!E73</f>
        <v>66780</v>
      </c>
      <c r="D433" s="195">
        <f>ESSEX!F73</f>
        <v>67200</v>
      </c>
      <c r="E433" s="195">
        <f>ESSEX!G73</f>
        <v>67654</v>
      </c>
      <c r="F433" s="195">
        <f>ESSEX!H73</f>
        <v>68010</v>
      </c>
      <c r="G433" s="195">
        <f>ESSEX!I73</f>
        <v>65569</v>
      </c>
      <c r="H433" s="195">
        <f>ESSEX!J73</f>
        <v>64952</v>
      </c>
      <c r="I433" s="195">
        <f>ESSEX!K73</f>
        <v>66305</v>
      </c>
      <c r="J433" s="195">
        <f>ESSEX!L73</f>
        <v>66480</v>
      </c>
      <c r="K433" s="196">
        <f t="shared" si="18"/>
        <v>-7.2425894123796016E-3</v>
      </c>
      <c r="L433" s="196"/>
      <c r="M433" s="195">
        <f t="shared" si="19"/>
        <v>-10673</v>
      </c>
      <c r="N433" s="196">
        <f t="shared" si="20"/>
        <v>-0.1383355151452309</v>
      </c>
      <c r="O433" s="197">
        <v>413</v>
      </c>
      <c r="P433" s="197">
        <v>425</v>
      </c>
      <c r="Q433" s="197">
        <v>424</v>
      </c>
      <c r="R433" s="197">
        <v>420</v>
      </c>
      <c r="S433" s="197">
        <v>402</v>
      </c>
      <c r="T433" s="197">
        <v>422</v>
      </c>
      <c r="U433" s="197">
        <v>420</v>
      </c>
      <c r="V433" s="197">
        <v>423</v>
      </c>
      <c r="W433" s="197">
        <v>430</v>
      </c>
      <c r="X433" s="197"/>
      <c r="Y433" s="197">
        <v>428</v>
      </c>
      <c r="Z433" s="197"/>
    </row>
    <row r="434" spans="1:26">
      <c r="A434" s="191" t="str">
        <f>DURHAM!A19</f>
        <v>North Durham CC</v>
      </c>
      <c r="B434" s="195">
        <f>DURHAM!D19</f>
        <v>67284</v>
      </c>
      <c r="C434" s="195">
        <f>DURHAM!E19</f>
        <v>68959</v>
      </c>
      <c r="D434" s="195">
        <f>DURHAM!F19</f>
        <v>69697</v>
      </c>
      <c r="E434" s="195">
        <f>DURHAM!G19</f>
        <v>69808</v>
      </c>
      <c r="F434" s="195">
        <f>DURHAM!H19</f>
        <v>68294</v>
      </c>
      <c r="G434" s="195">
        <f>DURHAM!I19</f>
        <v>64406</v>
      </c>
      <c r="H434" s="195">
        <f>DURHAM!J19</f>
        <v>64810</v>
      </c>
      <c r="I434" s="195">
        <f>DURHAM!K19</f>
        <v>66404</v>
      </c>
      <c r="J434" s="195">
        <f>DURHAM!L19</f>
        <v>66386</v>
      </c>
      <c r="K434" s="196">
        <f t="shared" si="18"/>
        <v>-1.3346412222816717E-2</v>
      </c>
      <c r="L434" s="196"/>
      <c r="M434" s="195">
        <f t="shared" si="19"/>
        <v>-10767</v>
      </c>
      <c r="N434" s="196">
        <f t="shared" si="20"/>
        <v>-0.13955387347219161</v>
      </c>
      <c r="O434" s="197">
        <v>403</v>
      </c>
      <c r="P434" s="197">
        <v>371</v>
      </c>
      <c r="Q434" s="197">
        <v>360</v>
      </c>
      <c r="R434" s="197">
        <v>364</v>
      </c>
      <c r="S434" s="197">
        <v>394</v>
      </c>
      <c r="T434" s="197">
        <v>453</v>
      </c>
      <c r="U434" s="197">
        <v>424</v>
      </c>
      <c r="V434" s="197">
        <v>422</v>
      </c>
      <c r="W434" s="197">
        <v>431</v>
      </c>
      <c r="X434" s="199"/>
      <c r="Y434" s="199">
        <v>311</v>
      </c>
      <c r="Z434" s="197"/>
    </row>
    <row r="435" spans="1:26">
      <c r="A435" s="191" t="str">
        <f>'WEST MIDLANDS'!A57</f>
        <v>Walsall North BC</v>
      </c>
      <c r="B435" s="195">
        <f>'WEST MIDLANDS'!D57</f>
        <v>64984</v>
      </c>
      <c r="C435" s="195">
        <f>'WEST MIDLANDS'!E57</f>
        <v>65468</v>
      </c>
      <c r="D435" s="195">
        <f>'WEST MIDLANDS'!F57</f>
        <v>67186</v>
      </c>
      <c r="E435" s="195">
        <f>'WEST MIDLANDS'!G57</f>
        <v>68018</v>
      </c>
      <c r="F435" s="195">
        <f>'WEST MIDLANDS'!H57</f>
        <v>67003</v>
      </c>
      <c r="G435" s="195">
        <f>'WEST MIDLANDS'!I57</f>
        <v>66648</v>
      </c>
      <c r="H435" s="195">
        <f>'WEST MIDLANDS'!J57</f>
        <v>64186</v>
      </c>
      <c r="I435" s="195">
        <f>'WEST MIDLANDS'!K57</f>
        <v>65731</v>
      </c>
      <c r="J435" s="195">
        <f>'WEST MIDLANDS'!L57</f>
        <v>66367</v>
      </c>
      <c r="K435" s="196">
        <f t="shared" si="18"/>
        <v>2.128216176289548E-2</v>
      </c>
      <c r="L435" s="196"/>
      <c r="M435" s="195">
        <f t="shared" si="19"/>
        <v>-10786</v>
      </c>
      <c r="N435" s="196">
        <f t="shared" si="20"/>
        <v>-0.13980013738934324</v>
      </c>
      <c r="O435" s="197">
        <v>462</v>
      </c>
      <c r="P435" s="197">
        <v>465</v>
      </c>
      <c r="Q435" s="197">
        <v>427</v>
      </c>
      <c r="R435" s="197">
        <v>413</v>
      </c>
      <c r="S435" s="197">
        <v>426</v>
      </c>
      <c r="T435" s="197">
        <v>400</v>
      </c>
      <c r="U435" s="197">
        <v>437</v>
      </c>
      <c r="V435" s="197">
        <v>435</v>
      </c>
      <c r="W435" s="197">
        <v>432</v>
      </c>
      <c r="X435" s="197"/>
      <c r="Y435" s="197">
        <v>482</v>
      </c>
      <c r="Z435" s="197"/>
    </row>
    <row r="436" spans="1:26">
      <c r="A436" s="191" t="str">
        <f>'WEST MIDLANDS'!A39</f>
        <v>Coventry South BC</v>
      </c>
      <c r="B436" s="195">
        <f>'WEST MIDLANDS'!D39</f>
        <v>73346</v>
      </c>
      <c r="C436" s="195">
        <f>'WEST MIDLANDS'!E39</f>
        <v>75705</v>
      </c>
      <c r="D436" s="195">
        <f>'WEST MIDLANDS'!F39</f>
        <v>76571</v>
      </c>
      <c r="E436" s="195">
        <f>'WEST MIDLANDS'!G39</f>
        <v>76090</v>
      </c>
      <c r="F436" s="195">
        <f>'WEST MIDLANDS'!H39</f>
        <v>74189</v>
      </c>
      <c r="G436" s="195">
        <f>'WEST MIDLANDS'!I39</f>
        <v>67160</v>
      </c>
      <c r="H436" s="195">
        <f>'WEST MIDLANDS'!J39</f>
        <v>67180</v>
      </c>
      <c r="I436" s="195">
        <f>'WEST MIDLANDS'!K39</f>
        <v>66940</v>
      </c>
      <c r="J436" s="195">
        <f>'WEST MIDLANDS'!L39</f>
        <v>66328</v>
      </c>
      <c r="K436" s="196">
        <f t="shared" si="18"/>
        <v>-9.5683472854688742E-2</v>
      </c>
      <c r="L436" s="196"/>
      <c r="M436" s="195">
        <f t="shared" si="19"/>
        <v>-10825</v>
      </c>
      <c r="N436" s="196">
        <f t="shared" si="20"/>
        <v>-0.14030562648244396</v>
      </c>
      <c r="O436" s="197">
        <v>184</v>
      </c>
      <c r="P436" s="197">
        <v>146</v>
      </c>
      <c r="Q436" s="197">
        <v>138</v>
      </c>
      <c r="R436" s="197">
        <v>158</v>
      </c>
      <c r="S436" s="197">
        <v>203</v>
      </c>
      <c r="T436" s="197">
        <v>389</v>
      </c>
      <c r="U436" s="197">
        <v>370</v>
      </c>
      <c r="V436" s="197">
        <v>411</v>
      </c>
      <c r="W436" s="197">
        <v>433</v>
      </c>
      <c r="X436" s="197"/>
      <c r="Y436" s="197">
        <v>122</v>
      </c>
      <c r="Z436" s="197"/>
    </row>
    <row r="437" spans="1:26">
      <c r="A437" s="191" t="str">
        <f>BEDFORDSHIRE!A15</f>
        <v>Luton North BC</v>
      </c>
      <c r="B437" s="195">
        <f>BEDFORDSHIRE!D15</f>
        <v>65721</v>
      </c>
      <c r="C437" s="195">
        <f>BEDFORDSHIRE!E15</f>
        <v>66273</v>
      </c>
      <c r="D437" s="195">
        <f>BEDFORDSHIRE!F15</f>
        <v>67949</v>
      </c>
      <c r="E437" s="195">
        <f>BEDFORDSHIRE!G15</f>
        <v>68673</v>
      </c>
      <c r="F437" s="195">
        <f>BEDFORDSHIRE!H15</f>
        <v>68072</v>
      </c>
      <c r="G437" s="195">
        <f>BEDFORDSHIRE!I15</f>
        <v>65918</v>
      </c>
      <c r="H437" s="195">
        <f>BEDFORDSHIRE!J15</f>
        <v>64552</v>
      </c>
      <c r="I437" s="195">
        <f>BEDFORDSHIRE!K15</f>
        <v>66145</v>
      </c>
      <c r="J437" s="195">
        <f>BEDFORDSHIRE!L15</f>
        <v>66272</v>
      </c>
      <c r="K437" s="196">
        <f t="shared" si="18"/>
        <v>8.3839259901705692E-3</v>
      </c>
      <c r="L437" s="196"/>
      <c r="M437" s="195">
        <f t="shared" si="19"/>
        <v>-10881</v>
      </c>
      <c r="N437" s="196">
        <f t="shared" si="20"/>
        <v>-0.14103145697510142</v>
      </c>
      <c r="O437" s="197">
        <v>447</v>
      </c>
      <c r="P437" s="197">
        <v>446</v>
      </c>
      <c r="Q437" s="197">
        <v>402</v>
      </c>
      <c r="R437" s="197">
        <v>397</v>
      </c>
      <c r="S437" s="197">
        <v>400</v>
      </c>
      <c r="T437" s="197">
        <v>417</v>
      </c>
      <c r="U437" s="197">
        <v>431</v>
      </c>
      <c r="V437" s="197">
        <v>427</v>
      </c>
      <c r="W437" s="197">
        <v>434</v>
      </c>
      <c r="X437" s="197"/>
      <c r="Y437" s="197">
        <v>271</v>
      </c>
      <c r="Z437" s="197"/>
    </row>
    <row r="438" spans="1:26">
      <c r="A438" s="191" t="str">
        <f>DURHAM!A15</f>
        <v>Darlington BC</v>
      </c>
      <c r="B438" s="195">
        <f>DURHAM!D15</f>
        <v>68508</v>
      </c>
      <c r="C438" s="195">
        <f>DURHAM!E15</f>
        <v>67476</v>
      </c>
      <c r="D438" s="195">
        <f>DURHAM!F15</f>
        <v>67928</v>
      </c>
      <c r="E438" s="195">
        <f>DURHAM!G15</f>
        <v>67998</v>
      </c>
      <c r="F438" s="195">
        <f>DURHAM!H15</f>
        <v>67273</v>
      </c>
      <c r="G438" s="195">
        <f>DURHAM!I15</f>
        <v>65769</v>
      </c>
      <c r="H438" s="195">
        <f>DURHAM!J15</f>
        <v>63995</v>
      </c>
      <c r="I438" s="195">
        <f>DURHAM!K15</f>
        <v>65342</v>
      </c>
      <c r="J438" s="195">
        <f>DURHAM!L15</f>
        <v>66193</v>
      </c>
      <c r="K438" s="196">
        <f t="shared" si="18"/>
        <v>-3.3791673965084368E-2</v>
      </c>
      <c r="L438" s="196"/>
      <c r="M438" s="195">
        <f t="shared" si="19"/>
        <v>-10960</v>
      </c>
      <c r="N438" s="196">
        <f t="shared" si="20"/>
        <v>-0.14205539642010032</v>
      </c>
      <c r="O438" s="197">
        <v>367</v>
      </c>
      <c r="P438" s="197">
        <v>407</v>
      </c>
      <c r="Q438" s="197">
        <v>403</v>
      </c>
      <c r="R438" s="197">
        <v>414</v>
      </c>
      <c r="S438" s="197">
        <v>419</v>
      </c>
      <c r="T438" s="197">
        <v>418</v>
      </c>
      <c r="U438" s="197">
        <v>441</v>
      </c>
      <c r="V438" s="197">
        <v>444</v>
      </c>
      <c r="W438" s="197">
        <v>435</v>
      </c>
      <c r="X438" s="197"/>
      <c r="Y438" s="197">
        <v>129</v>
      </c>
      <c r="Z438" s="197"/>
    </row>
    <row r="439" spans="1:26">
      <c r="A439" s="191" t="str">
        <f>'TYNE &amp; WEAR'!A32</f>
        <v>Newcastle upon Tyne North BC</v>
      </c>
      <c r="B439" s="195">
        <f>'TYNE &amp; WEAR'!D32</f>
        <v>67285</v>
      </c>
      <c r="C439" s="195">
        <f>'TYNE &amp; WEAR'!E32</f>
        <v>67401</v>
      </c>
      <c r="D439" s="195">
        <f>'TYNE &amp; WEAR'!F32</f>
        <v>68112</v>
      </c>
      <c r="E439" s="195">
        <f>'TYNE &amp; WEAR'!G32</f>
        <v>68639</v>
      </c>
      <c r="F439" s="195">
        <f>'TYNE &amp; WEAR'!H32</f>
        <v>68188</v>
      </c>
      <c r="G439" s="195">
        <f>'TYNE &amp; WEAR'!I32</f>
        <v>66587</v>
      </c>
      <c r="H439" s="195">
        <f>'TYNE &amp; WEAR'!J32</f>
        <v>66293</v>
      </c>
      <c r="I439" s="195">
        <f>'TYNE &amp; WEAR'!K32</f>
        <v>68202</v>
      </c>
      <c r="J439" s="195">
        <f>'TYNE &amp; WEAR'!L32</f>
        <v>66064</v>
      </c>
      <c r="K439" s="196">
        <f t="shared" si="18"/>
        <v>-1.8146689455302074E-2</v>
      </c>
      <c r="L439" s="196"/>
      <c r="M439" s="195">
        <f t="shared" si="19"/>
        <v>-11089</v>
      </c>
      <c r="N439" s="196">
        <f t="shared" si="20"/>
        <v>-0.14372739880497193</v>
      </c>
      <c r="O439" s="197">
        <v>402</v>
      </c>
      <c r="P439" s="197">
        <v>410</v>
      </c>
      <c r="Q439" s="197">
        <v>395</v>
      </c>
      <c r="R439" s="197">
        <v>399</v>
      </c>
      <c r="S439" s="197">
        <v>396</v>
      </c>
      <c r="T439" s="197">
        <v>404</v>
      </c>
      <c r="U439" s="197">
        <v>393</v>
      </c>
      <c r="V439" s="197">
        <v>383</v>
      </c>
      <c r="W439" s="197">
        <v>436</v>
      </c>
      <c r="X439" s="197"/>
      <c r="Y439" s="197">
        <v>304</v>
      </c>
      <c r="Z439" s="197"/>
    </row>
    <row r="440" spans="1:26">
      <c r="A440" s="191" t="str">
        <f>BEDFORDSHIRE!A17</f>
        <v>Luton South BC</v>
      </c>
      <c r="B440" s="195">
        <f>BEDFORDSHIRE!D19</f>
        <v>65184</v>
      </c>
      <c r="C440" s="195">
        <f>BEDFORDSHIRE!E19</f>
        <v>65889</v>
      </c>
      <c r="D440" s="195">
        <f>BEDFORDSHIRE!F19</f>
        <v>68038</v>
      </c>
      <c r="E440" s="195">
        <f>BEDFORDSHIRE!G19</f>
        <v>70409</v>
      </c>
      <c r="F440" s="195">
        <f>BEDFORDSHIRE!H19</f>
        <v>68334</v>
      </c>
      <c r="G440" s="195">
        <f>BEDFORDSHIRE!I19</f>
        <v>64872</v>
      </c>
      <c r="H440" s="195">
        <f>BEDFORDSHIRE!J19</f>
        <v>64136</v>
      </c>
      <c r="I440" s="195">
        <f>BEDFORDSHIRE!K19</f>
        <v>65777</v>
      </c>
      <c r="J440" s="195">
        <f>BEDFORDSHIRE!L19</f>
        <v>66055</v>
      </c>
      <c r="K440" s="196">
        <f t="shared" si="18"/>
        <v>1.3362174766813941E-2</v>
      </c>
      <c r="L440" s="196"/>
      <c r="M440" s="195">
        <f t="shared" si="19"/>
        <v>-11098</v>
      </c>
      <c r="N440" s="196">
        <f t="shared" si="20"/>
        <v>-0.14384405013414903</v>
      </c>
      <c r="O440" s="197">
        <v>458</v>
      </c>
      <c r="P440" s="197">
        <v>457</v>
      </c>
      <c r="Q440" s="197">
        <v>397</v>
      </c>
      <c r="R440" s="197">
        <v>338</v>
      </c>
      <c r="S440" s="197">
        <v>390</v>
      </c>
      <c r="T440" s="197">
        <v>446</v>
      </c>
      <c r="U440" s="197">
        <v>438</v>
      </c>
      <c r="V440" s="197">
        <v>434</v>
      </c>
      <c r="W440" s="197">
        <v>437</v>
      </c>
      <c r="X440" s="197"/>
      <c r="Y440" s="197">
        <v>272</v>
      </c>
      <c r="Z440" s="197"/>
    </row>
    <row r="441" spans="1:26">
      <c r="A441" s="191" t="str">
        <f>CUMBRIA!A29</f>
        <v>Westmorland and Lonsdale CC</v>
      </c>
      <c r="B441" s="195">
        <f>CUMBRIA!D29</f>
        <v>67027</v>
      </c>
      <c r="C441" s="195">
        <f>CUMBRIA!E29</f>
        <v>66609</v>
      </c>
      <c r="D441" s="195">
        <f>CUMBRIA!F29</f>
        <v>66582</v>
      </c>
      <c r="E441" s="195">
        <f>CUMBRIA!G29</f>
        <v>66792</v>
      </c>
      <c r="F441" s="195">
        <f>CUMBRIA!H29</f>
        <v>64587</v>
      </c>
      <c r="G441" s="195">
        <f>CUMBRIA!I29</f>
        <v>64871</v>
      </c>
      <c r="H441" s="195">
        <f>CUMBRIA!J29</f>
        <v>63885</v>
      </c>
      <c r="I441" s="195">
        <f>CUMBRIA!K29</f>
        <v>65240</v>
      </c>
      <c r="J441" s="195">
        <f>CUMBRIA!L29</f>
        <v>66011</v>
      </c>
      <c r="K441" s="196">
        <f t="shared" si="18"/>
        <v>-1.5158070628254286E-2</v>
      </c>
      <c r="L441" s="196"/>
      <c r="M441" s="195">
        <f t="shared" si="19"/>
        <v>-11142</v>
      </c>
      <c r="N441" s="196">
        <f t="shared" si="20"/>
        <v>-0.14441434552123703</v>
      </c>
      <c r="O441" s="197">
        <v>409</v>
      </c>
      <c r="P441" s="197">
        <v>435</v>
      </c>
      <c r="Q441" s="197">
        <v>445</v>
      </c>
      <c r="R441" s="197">
        <v>448</v>
      </c>
      <c r="S441" s="197">
        <v>476</v>
      </c>
      <c r="T441" s="197">
        <v>447</v>
      </c>
      <c r="U441" s="197">
        <v>447</v>
      </c>
      <c r="V441" s="197">
        <v>447</v>
      </c>
      <c r="W441" s="197">
        <v>438</v>
      </c>
      <c r="X441" s="197"/>
      <c r="Y441" s="197">
        <v>508</v>
      </c>
      <c r="Z441" s="197"/>
    </row>
    <row r="442" spans="1:26">
      <c r="A442" s="191" t="str">
        <f>'GREATER MANCHESTER'!A29</f>
        <v>Bolton North East BC</v>
      </c>
      <c r="B442" s="195">
        <f>'GREATER MANCHESTER'!D29</f>
        <v>66682</v>
      </c>
      <c r="C442" s="195">
        <f>'GREATER MANCHESTER'!E29</f>
        <v>66600</v>
      </c>
      <c r="D442" s="195">
        <f>'GREATER MANCHESTER'!F29</f>
        <v>66284</v>
      </c>
      <c r="E442" s="195">
        <f>'GREATER MANCHESTER'!G29</f>
        <v>66895</v>
      </c>
      <c r="F442" s="195">
        <f>'GREATER MANCHESTER'!H29</f>
        <v>66794</v>
      </c>
      <c r="G442" s="195">
        <f>'GREATER MANCHESTER'!I29</f>
        <v>66597</v>
      </c>
      <c r="H442" s="195">
        <f>'GREATER MANCHESTER'!J29</f>
        <v>63881</v>
      </c>
      <c r="I442" s="195">
        <f>'GREATER MANCHESTER'!K29</f>
        <v>65375</v>
      </c>
      <c r="J442" s="195">
        <f>'GREATER MANCHESTER'!L29</f>
        <v>65973</v>
      </c>
      <c r="K442" s="196">
        <f t="shared" si="18"/>
        <v>-1.0632554512462134E-2</v>
      </c>
      <c r="L442" s="196"/>
      <c r="M442" s="195">
        <f t="shared" si="19"/>
        <v>-11180</v>
      </c>
      <c r="N442" s="196">
        <f t="shared" si="20"/>
        <v>-0.14490687335554028</v>
      </c>
      <c r="O442" s="197">
        <v>421</v>
      </c>
      <c r="P442" s="197">
        <v>436</v>
      </c>
      <c r="Q442" s="197">
        <v>451</v>
      </c>
      <c r="R442" s="197">
        <v>445</v>
      </c>
      <c r="S442" s="197">
        <v>434</v>
      </c>
      <c r="T442" s="197">
        <v>403</v>
      </c>
      <c r="U442" s="197">
        <v>448</v>
      </c>
      <c r="V442" s="197">
        <v>442</v>
      </c>
      <c r="W442" s="197">
        <v>439</v>
      </c>
      <c r="X442" s="197"/>
      <c r="Y442" s="197">
        <v>49</v>
      </c>
      <c r="Z442" s="197"/>
    </row>
    <row r="443" spans="1:26">
      <c r="A443" s="191" t="str">
        <f>LEWISHAM!A9</f>
        <v>Lewisham East BC</v>
      </c>
      <c r="B443" s="195">
        <f>LEWISHAM!D9</f>
        <v>64937</v>
      </c>
      <c r="C443" s="195">
        <f>LEWISHAM!E9</f>
        <v>65508</v>
      </c>
      <c r="D443" s="195">
        <f>LEWISHAM!F9</f>
        <v>65797</v>
      </c>
      <c r="E443" s="195">
        <f>LEWISHAM!G9</f>
        <v>66116</v>
      </c>
      <c r="F443" s="195">
        <f>LEWISHAM!H9</f>
        <v>66939</v>
      </c>
      <c r="G443" s="195">
        <f>LEWISHAM!I9</f>
        <v>64984</v>
      </c>
      <c r="H443" s="195">
        <f>LEWISHAM!J9</f>
        <v>62366</v>
      </c>
      <c r="I443" s="195">
        <f>LEWISHAM!K9</f>
        <v>65099</v>
      </c>
      <c r="J443" s="195">
        <f>LEWISHAM!L9</f>
        <v>65970</v>
      </c>
      <c r="K443" s="196">
        <f t="shared" si="18"/>
        <v>1.5907725949766697E-2</v>
      </c>
      <c r="L443" s="196"/>
      <c r="M443" s="195">
        <f t="shared" si="19"/>
        <v>-11183</v>
      </c>
      <c r="N443" s="196">
        <f t="shared" si="20"/>
        <v>-0.14494575713193264</v>
      </c>
      <c r="O443" s="197">
        <v>463</v>
      </c>
      <c r="P443" s="197">
        <v>464</v>
      </c>
      <c r="Q443" s="197">
        <v>460</v>
      </c>
      <c r="R443" s="197">
        <v>462</v>
      </c>
      <c r="S443" s="197">
        <v>427</v>
      </c>
      <c r="T443" s="197">
        <v>442</v>
      </c>
      <c r="U443" s="197">
        <v>476</v>
      </c>
      <c r="V443" s="197">
        <v>450</v>
      </c>
      <c r="W443" s="197">
        <v>440</v>
      </c>
      <c r="X443" s="197"/>
      <c r="Y443" s="197">
        <v>258</v>
      </c>
      <c r="Z443" s="197"/>
    </row>
    <row r="444" spans="1:26">
      <c r="A444" s="191" t="str">
        <f>CORNWALL!A18</f>
        <v>St Ives CC</v>
      </c>
      <c r="B444" s="195">
        <f>CORNWALL!D20</f>
        <v>66430</v>
      </c>
      <c r="C444" s="195">
        <f>CORNWALL!E20</f>
        <v>66696</v>
      </c>
      <c r="D444" s="195">
        <f>CORNWALL!F20</f>
        <v>66843</v>
      </c>
      <c r="E444" s="195">
        <f>CORNWALL!G20</f>
        <v>67534</v>
      </c>
      <c r="F444" s="195">
        <f>CORNWALL!H20</f>
        <v>65736</v>
      </c>
      <c r="G444" s="195">
        <f>CORNWALL!I20</f>
        <v>66330</v>
      </c>
      <c r="H444" s="195">
        <f>CORNWALL!J20</f>
        <v>62711</v>
      </c>
      <c r="I444" s="195">
        <f>CORNWALL!K20</f>
        <v>64435</v>
      </c>
      <c r="J444" s="195">
        <f>CORNWALL!L20</f>
        <v>65966</v>
      </c>
      <c r="K444" s="196">
        <f t="shared" si="18"/>
        <v>-6.9847960258919159E-3</v>
      </c>
      <c r="L444" s="196"/>
      <c r="M444" s="195">
        <f t="shared" si="19"/>
        <v>-11187</v>
      </c>
      <c r="N444" s="196">
        <f t="shared" si="20"/>
        <v>-0.14499760216712246</v>
      </c>
      <c r="O444" s="197">
        <v>426</v>
      </c>
      <c r="P444" s="197">
        <v>432</v>
      </c>
      <c r="Q444" s="197">
        <v>439</v>
      </c>
      <c r="R444" s="197">
        <v>425</v>
      </c>
      <c r="S444" s="197">
        <v>453</v>
      </c>
      <c r="T444" s="197">
        <v>412</v>
      </c>
      <c r="U444" s="197">
        <v>470</v>
      </c>
      <c r="V444" s="197">
        <v>465</v>
      </c>
      <c r="W444" s="197">
        <v>441</v>
      </c>
      <c r="X444" s="197"/>
      <c r="Y444" s="197">
        <v>435</v>
      </c>
      <c r="Z444" s="197"/>
    </row>
    <row r="445" spans="1:26">
      <c r="A445" s="191" t="str">
        <f>'TYNE &amp; WEAR'!A42</f>
        <v>Washington and Sunderland West BC</v>
      </c>
      <c r="B445" s="195">
        <f>'TYNE &amp; WEAR'!D42</f>
        <v>69305</v>
      </c>
      <c r="C445" s="195">
        <f>'TYNE &amp; WEAR'!E42</f>
        <v>70177</v>
      </c>
      <c r="D445" s="195">
        <f>'TYNE &amp; WEAR'!F42</f>
        <v>70319</v>
      </c>
      <c r="E445" s="195">
        <f>'TYNE &amp; WEAR'!G42</f>
        <v>69845</v>
      </c>
      <c r="F445" s="195">
        <f>'TYNE &amp; WEAR'!H42</f>
        <v>69565</v>
      </c>
      <c r="G445" s="195">
        <f>'TYNE &amp; WEAR'!I42</f>
        <v>68055</v>
      </c>
      <c r="H445" s="195">
        <f>'TYNE &amp; WEAR'!J42</f>
        <v>66985</v>
      </c>
      <c r="I445" s="195">
        <f>'TYNE &amp; WEAR'!K42</f>
        <v>65567</v>
      </c>
      <c r="J445" s="195">
        <f>'TYNE &amp; WEAR'!L42</f>
        <v>65953</v>
      </c>
      <c r="K445" s="196">
        <f t="shared" si="18"/>
        <v>-4.8365918764879876E-2</v>
      </c>
      <c r="L445" s="196"/>
      <c r="M445" s="195">
        <f t="shared" si="19"/>
        <v>-11200</v>
      </c>
      <c r="N445" s="196">
        <f t="shared" si="20"/>
        <v>-0.14516609853148937</v>
      </c>
      <c r="O445" s="197">
        <v>340</v>
      </c>
      <c r="P445" s="197">
        <v>334</v>
      </c>
      <c r="Q445" s="197">
        <v>340</v>
      </c>
      <c r="R445" s="197">
        <v>363</v>
      </c>
      <c r="S445" s="197">
        <v>357</v>
      </c>
      <c r="T445" s="197">
        <v>364</v>
      </c>
      <c r="U445" s="197">
        <v>377</v>
      </c>
      <c r="V445" s="197">
        <v>439</v>
      </c>
      <c r="W445" s="197">
        <v>442</v>
      </c>
      <c r="X445" s="197"/>
      <c r="Y445" s="197">
        <v>491</v>
      </c>
      <c r="Z445" s="197"/>
    </row>
    <row r="446" spans="1:26">
      <c r="A446" s="191" t="str">
        <f>ISLINGTON!A9</f>
        <v>Islington South and Finsbury BC</v>
      </c>
      <c r="B446" s="195">
        <f>ISLINGTON!D9</f>
        <v>66184</v>
      </c>
      <c r="C446" s="195">
        <f>ISLINGTON!E9</f>
        <v>67613</v>
      </c>
      <c r="D446" s="195">
        <f>ISLINGTON!F9</f>
        <v>67397</v>
      </c>
      <c r="E446" s="195">
        <f>ISLINGTON!G9</f>
        <v>67561</v>
      </c>
      <c r="F446" s="195">
        <f>ISLINGTON!H9</f>
        <v>67242</v>
      </c>
      <c r="G446" s="195">
        <f>ISLINGTON!I9</f>
        <v>65038</v>
      </c>
      <c r="H446" s="195">
        <f>ISLINGTON!J9</f>
        <v>64929</v>
      </c>
      <c r="I446" s="195">
        <f>ISLINGTON!K9</f>
        <v>67324</v>
      </c>
      <c r="J446" s="195">
        <f>ISLINGTON!L9</f>
        <v>65852</v>
      </c>
      <c r="K446" s="196">
        <f t="shared" si="18"/>
        <v>-5.0163181433579111E-3</v>
      </c>
      <c r="L446" s="196"/>
      <c r="M446" s="195">
        <f t="shared" si="19"/>
        <v>-11301</v>
      </c>
      <c r="N446" s="196">
        <f t="shared" si="20"/>
        <v>-0.14647518567003229</v>
      </c>
      <c r="O446" s="197">
        <v>434</v>
      </c>
      <c r="P446" s="197">
        <v>403</v>
      </c>
      <c r="Q446" s="197">
        <v>419</v>
      </c>
      <c r="R446" s="197">
        <v>423</v>
      </c>
      <c r="S446" s="197">
        <v>421</v>
      </c>
      <c r="T446" s="197">
        <v>439</v>
      </c>
      <c r="U446" s="197">
        <v>421</v>
      </c>
      <c r="V446" s="197">
        <v>406</v>
      </c>
      <c r="W446" s="197">
        <v>443</v>
      </c>
      <c r="X446" s="197"/>
      <c r="Y446" s="197">
        <v>235</v>
      </c>
      <c r="Z446" s="197"/>
    </row>
    <row r="447" spans="1:26">
      <c r="A447" s="191" t="str">
        <f>MERSEYSIDE!A41</f>
        <v>Wallasey BC</v>
      </c>
      <c r="B447" s="195">
        <f>MERSEYSIDE!D41</f>
        <v>66068</v>
      </c>
      <c r="C447" s="195">
        <f>MERSEYSIDE!E41</f>
        <v>65732</v>
      </c>
      <c r="D447" s="195">
        <f>MERSEYSIDE!F41</f>
        <v>64969</v>
      </c>
      <c r="E447" s="195">
        <f>MERSEYSIDE!G41</f>
        <v>65261</v>
      </c>
      <c r="F447" s="195">
        <f>MERSEYSIDE!H41</f>
        <v>65223</v>
      </c>
      <c r="G447" s="195">
        <f>MERSEYSIDE!I41</f>
        <v>63696</v>
      </c>
      <c r="H447" s="195">
        <f>MERSEYSIDE!J41</f>
        <v>63940</v>
      </c>
      <c r="I447" s="195">
        <f>MERSEYSIDE!K41</f>
        <v>65535</v>
      </c>
      <c r="J447" s="195">
        <f>MERSEYSIDE!L41</f>
        <v>65845</v>
      </c>
      <c r="K447" s="196">
        <f t="shared" si="18"/>
        <v>-3.3753102863716172E-3</v>
      </c>
      <c r="L447" s="196"/>
      <c r="M447" s="195">
        <f t="shared" si="19"/>
        <v>-11308</v>
      </c>
      <c r="N447" s="196">
        <f t="shared" si="20"/>
        <v>-0.14656591448161446</v>
      </c>
      <c r="O447" s="197">
        <v>436</v>
      </c>
      <c r="P447" s="197">
        <v>460</v>
      </c>
      <c r="Q447" s="197">
        <v>484</v>
      </c>
      <c r="R447" s="197">
        <v>483</v>
      </c>
      <c r="S447" s="197">
        <v>465</v>
      </c>
      <c r="T447" s="197">
        <v>470</v>
      </c>
      <c r="U447" s="197">
        <v>445</v>
      </c>
      <c r="V447" s="197">
        <v>440</v>
      </c>
      <c r="W447" s="197">
        <v>444</v>
      </c>
      <c r="X447" s="197"/>
      <c r="Y447" s="197">
        <v>481</v>
      </c>
      <c r="Z447" s="197"/>
    </row>
    <row r="448" spans="1:26">
      <c r="A448" s="191" t="str">
        <f>'WEST MIDLANDS'!A65</f>
        <v>West Bromwich West BC</v>
      </c>
      <c r="B448" s="195">
        <f>'WEST MIDLANDS'!D65</f>
        <v>65472</v>
      </c>
      <c r="C448" s="195">
        <f>'WEST MIDLANDS'!E65</f>
        <v>65249</v>
      </c>
      <c r="D448" s="195">
        <f>'WEST MIDLANDS'!F65</f>
        <v>65964</v>
      </c>
      <c r="E448" s="195">
        <f>'WEST MIDLANDS'!G65</f>
        <v>66742</v>
      </c>
      <c r="F448" s="195">
        <f>'WEST MIDLANDS'!H65</f>
        <v>65721</v>
      </c>
      <c r="G448" s="195">
        <f>'WEST MIDLANDS'!I65</f>
        <v>65705</v>
      </c>
      <c r="H448" s="195">
        <f>'WEST MIDLANDS'!J65</f>
        <v>63963</v>
      </c>
      <c r="I448" s="195">
        <f>'WEST MIDLANDS'!K65</f>
        <v>64953</v>
      </c>
      <c r="J448" s="195">
        <f>'WEST MIDLANDS'!L65</f>
        <v>65839</v>
      </c>
      <c r="K448" s="196">
        <f t="shared" si="18"/>
        <v>5.6054496578690129E-3</v>
      </c>
      <c r="L448" s="196"/>
      <c r="M448" s="195">
        <f t="shared" si="19"/>
        <v>-11314</v>
      </c>
      <c r="N448" s="196">
        <f t="shared" si="20"/>
        <v>-0.14664368203439918</v>
      </c>
      <c r="O448" s="197">
        <v>451</v>
      </c>
      <c r="P448" s="197">
        <v>468</v>
      </c>
      <c r="Q448" s="197">
        <v>455</v>
      </c>
      <c r="R448" s="197">
        <v>450</v>
      </c>
      <c r="S448" s="197">
        <v>455</v>
      </c>
      <c r="T448" s="197">
        <v>420</v>
      </c>
      <c r="U448" s="197">
        <v>442</v>
      </c>
      <c r="V448" s="197">
        <v>455</v>
      </c>
      <c r="W448" s="197">
        <v>445</v>
      </c>
      <c r="X448" s="197"/>
      <c r="Y448" s="197">
        <v>501</v>
      </c>
      <c r="Z448" s="197"/>
    </row>
    <row r="449" spans="1:26">
      <c r="A449" s="191" t="str">
        <f>NORFOLK!A29</f>
        <v>Norwich North BC</v>
      </c>
      <c r="B449" s="195">
        <f>NORFOLK!D31</f>
        <v>64496</v>
      </c>
      <c r="C449" s="195">
        <f>NORFOLK!E31</f>
        <v>64982</v>
      </c>
      <c r="D449" s="195">
        <f>NORFOLK!F31</f>
        <v>65336</v>
      </c>
      <c r="E449" s="195">
        <f>NORFOLK!G31</f>
        <v>65887</v>
      </c>
      <c r="F449" s="195">
        <f>NORFOLK!H31</f>
        <v>65834</v>
      </c>
      <c r="G449" s="195">
        <f>NORFOLK!I31</f>
        <v>63550</v>
      </c>
      <c r="H449" s="195">
        <f>NORFOLK!J31</f>
        <v>63487</v>
      </c>
      <c r="I449" s="195">
        <f>NORFOLK!K31</f>
        <v>65293</v>
      </c>
      <c r="J449" s="195">
        <f>NORFOLK!L31</f>
        <v>65593</v>
      </c>
      <c r="K449" s="196">
        <f t="shared" si="18"/>
        <v>1.7008806747705284E-2</v>
      </c>
      <c r="L449" s="196"/>
      <c r="M449" s="195">
        <f t="shared" si="19"/>
        <v>-11560</v>
      </c>
      <c r="N449" s="196">
        <f t="shared" si="20"/>
        <v>-0.14983215169857297</v>
      </c>
      <c r="O449" s="197">
        <v>475</v>
      </c>
      <c r="P449" s="197">
        <v>477</v>
      </c>
      <c r="Q449" s="197">
        <v>471</v>
      </c>
      <c r="R449" s="197">
        <v>469</v>
      </c>
      <c r="S449" s="197">
        <v>451</v>
      </c>
      <c r="T449" s="197">
        <v>475</v>
      </c>
      <c r="U449" s="197">
        <v>453</v>
      </c>
      <c r="V449" s="197">
        <v>445</v>
      </c>
      <c r="W449" s="197">
        <v>446</v>
      </c>
      <c r="X449" s="197"/>
      <c r="Y449" s="197">
        <v>334</v>
      </c>
      <c r="Z449" s="197"/>
    </row>
    <row r="450" spans="1:26">
      <c r="A450" s="191" t="str">
        <f>BEXLEY!A13</f>
        <v>Old Bexley and Sidcup BC</v>
      </c>
      <c r="B450" s="195">
        <f>BEXLEY!D13</f>
        <v>65379</v>
      </c>
      <c r="C450" s="195">
        <f>BEXLEY!E13</f>
        <v>65161</v>
      </c>
      <c r="D450" s="195">
        <f>BEXLEY!F13</f>
        <v>66371</v>
      </c>
      <c r="E450" s="195">
        <f>BEXLEY!G13</f>
        <v>66801</v>
      </c>
      <c r="F450" s="195">
        <f>BEXLEY!H13</f>
        <v>67254</v>
      </c>
      <c r="G450" s="195">
        <f>BEXLEY!I13</f>
        <v>66142</v>
      </c>
      <c r="H450" s="195">
        <f>BEXLEY!J13</f>
        <v>64196</v>
      </c>
      <c r="I450" s="195">
        <f>BEXLEY!K13</f>
        <v>65285</v>
      </c>
      <c r="J450" s="195">
        <f>BEXLEY!L13</f>
        <v>65559</v>
      </c>
      <c r="K450" s="196">
        <f t="shared" si="18"/>
        <v>2.7531776258431606E-3</v>
      </c>
      <c r="L450" s="196"/>
      <c r="M450" s="195">
        <f t="shared" si="19"/>
        <v>-11594</v>
      </c>
      <c r="N450" s="196">
        <f t="shared" si="20"/>
        <v>-0.15027283449768641</v>
      </c>
      <c r="O450" s="197">
        <v>453</v>
      </c>
      <c r="P450" s="197">
        <v>473</v>
      </c>
      <c r="Q450" s="197">
        <v>449</v>
      </c>
      <c r="R450" s="197">
        <v>446</v>
      </c>
      <c r="S450" s="197">
        <v>420</v>
      </c>
      <c r="T450" s="197">
        <v>415</v>
      </c>
      <c r="U450" s="197">
        <v>436</v>
      </c>
      <c r="V450" s="197">
        <v>446</v>
      </c>
      <c r="W450" s="197">
        <v>447</v>
      </c>
      <c r="X450" s="197"/>
      <c r="Y450" s="197">
        <v>340</v>
      </c>
      <c r="Z450" s="197"/>
    </row>
    <row r="451" spans="1:26">
      <c r="A451" s="191" t="str">
        <f>CUMBRIA!A24</f>
        <v>Penrith and The Border CC</v>
      </c>
      <c r="B451" s="195">
        <f>CUMBRIA!D27</f>
        <v>65041</v>
      </c>
      <c r="C451" s="195">
        <f>CUMBRIA!E27</f>
        <v>65234</v>
      </c>
      <c r="D451" s="195">
        <f>CUMBRIA!F27</f>
        <v>65191</v>
      </c>
      <c r="E451" s="195">
        <f>CUMBRIA!G27</f>
        <v>65141</v>
      </c>
      <c r="F451" s="195">
        <f>CUMBRIA!H27</f>
        <v>64199</v>
      </c>
      <c r="G451" s="195">
        <f>CUMBRIA!I27</f>
        <v>64036</v>
      </c>
      <c r="H451" s="195">
        <f>CUMBRIA!J27</f>
        <v>62676</v>
      </c>
      <c r="I451" s="195">
        <f>CUMBRIA!K27</f>
        <v>63676</v>
      </c>
      <c r="J451" s="195">
        <f>CUMBRIA!L27</f>
        <v>65549</v>
      </c>
      <c r="K451" s="196">
        <f t="shared" si="18"/>
        <v>7.8104580187881491E-3</v>
      </c>
      <c r="L451" s="196"/>
      <c r="M451" s="195">
        <f t="shared" si="19"/>
        <v>-11604</v>
      </c>
      <c r="N451" s="196">
        <f t="shared" si="20"/>
        <v>-0.15040244708566097</v>
      </c>
      <c r="O451" s="197">
        <v>461</v>
      </c>
      <c r="P451" s="197">
        <v>469</v>
      </c>
      <c r="Q451" s="197">
        <v>480</v>
      </c>
      <c r="R451" s="197">
        <v>486</v>
      </c>
      <c r="S451" s="197">
        <v>482</v>
      </c>
      <c r="T451" s="197">
        <v>461</v>
      </c>
      <c r="U451" s="197">
        <v>471</v>
      </c>
      <c r="V451" s="197">
        <v>476</v>
      </c>
      <c r="W451" s="197">
        <v>448</v>
      </c>
      <c r="X451" s="197"/>
      <c r="Y451" s="197">
        <v>348</v>
      </c>
      <c r="Z451" s="197"/>
    </row>
    <row r="452" spans="1:26">
      <c r="A452" s="191" t="str">
        <f>'GREATER MANCHESTER'!A43</f>
        <v>Denton and Reddish BC</v>
      </c>
      <c r="B452" s="195">
        <f>'GREATER MANCHESTER'!D45</f>
        <v>64839</v>
      </c>
      <c r="C452" s="195">
        <f>'GREATER MANCHESTER'!E45</f>
        <v>65684</v>
      </c>
      <c r="D452" s="195">
        <f>'GREATER MANCHESTER'!F45</f>
        <v>65583</v>
      </c>
      <c r="E452" s="195">
        <f>'GREATER MANCHESTER'!G45</f>
        <v>65445</v>
      </c>
      <c r="F452" s="195">
        <f>'GREATER MANCHESTER'!H45</f>
        <v>66027</v>
      </c>
      <c r="G452" s="195">
        <f>'GREATER MANCHESTER'!I45</f>
        <v>65524</v>
      </c>
      <c r="H452" s="195">
        <f>'GREATER MANCHESTER'!J45</f>
        <v>63868</v>
      </c>
      <c r="I452" s="195">
        <f>'GREATER MANCHESTER'!K45</f>
        <v>65367</v>
      </c>
      <c r="J452" s="195">
        <f>'GREATER MANCHESTER'!L45</f>
        <v>65533</v>
      </c>
      <c r="K452" s="196">
        <f t="shared" ref="K452:K515" si="21">(J452-B452)/B452</f>
        <v>1.0703434661237835E-2</v>
      </c>
      <c r="L452" s="196"/>
      <c r="M452" s="195">
        <f t="shared" ref="M452:M515" si="22">J452-$J$544</f>
        <v>-11620</v>
      </c>
      <c r="N452" s="196">
        <f t="shared" ref="N452:N515" si="23">(J452-$J$544)/$J$544</f>
        <v>-0.15060982722642022</v>
      </c>
      <c r="O452" s="197">
        <v>466</v>
      </c>
      <c r="P452" s="197">
        <v>461</v>
      </c>
      <c r="Q452" s="197">
        <v>463</v>
      </c>
      <c r="R452" s="197">
        <v>479</v>
      </c>
      <c r="S452" s="197">
        <v>449</v>
      </c>
      <c r="T452" s="197">
        <v>423</v>
      </c>
      <c r="U452" s="197">
        <v>449</v>
      </c>
      <c r="V452" s="197">
        <v>443</v>
      </c>
      <c r="W452" s="197">
        <v>449</v>
      </c>
      <c r="X452" s="197"/>
      <c r="Y452" s="197">
        <v>132</v>
      </c>
      <c r="Z452" s="197"/>
    </row>
    <row r="453" spans="1:26">
      <c r="A453" s="191" t="str">
        <f>'MIDD &amp; R &amp; C'!A17</f>
        <v>Redcar BC</v>
      </c>
      <c r="B453" s="195">
        <f>'MIDD &amp; R &amp; C'!D17</f>
        <v>67405</v>
      </c>
      <c r="C453" s="195">
        <f>'MIDD &amp; R &amp; C'!E17</f>
        <v>67195</v>
      </c>
      <c r="D453" s="195">
        <f>'MIDD &amp; R &amp; C'!F17</f>
        <v>67558</v>
      </c>
      <c r="E453" s="195">
        <f>'MIDD &amp; R &amp; C'!G17</f>
        <v>67539</v>
      </c>
      <c r="F453" s="195">
        <f>'MIDD &amp; R &amp; C'!H17</f>
        <v>66375</v>
      </c>
      <c r="G453" s="195">
        <f>'MIDD &amp; R &amp; C'!I17</f>
        <v>63768</v>
      </c>
      <c r="H453" s="195">
        <f>'MIDD &amp; R &amp; C'!J17</f>
        <v>64025</v>
      </c>
      <c r="I453" s="195">
        <f>'MIDD &amp; R &amp; C'!K17</f>
        <v>65589</v>
      </c>
      <c r="J453" s="195">
        <f>'MIDD &amp; R &amp; C'!L17</f>
        <v>65524</v>
      </c>
      <c r="K453" s="196">
        <f t="shared" si="21"/>
        <v>-2.7905941695719902E-2</v>
      </c>
      <c r="L453" s="196"/>
      <c r="M453" s="195">
        <f t="shared" si="22"/>
        <v>-11629</v>
      </c>
      <c r="N453" s="196">
        <f t="shared" si="23"/>
        <v>-0.15072647855559732</v>
      </c>
      <c r="O453" s="197">
        <v>398</v>
      </c>
      <c r="P453" s="197">
        <v>416</v>
      </c>
      <c r="Q453" s="197">
        <v>416</v>
      </c>
      <c r="R453" s="197">
        <v>424</v>
      </c>
      <c r="S453" s="197">
        <v>445</v>
      </c>
      <c r="T453" s="197">
        <v>467</v>
      </c>
      <c r="U453" s="197">
        <v>440</v>
      </c>
      <c r="V453" s="197">
        <v>438</v>
      </c>
      <c r="W453" s="197">
        <v>450</v>
      </c>
      <c r="X453" s="197"/>
      <c r="Y453" s="197">
        <v>362</v>
      </c>
      <c r="Z453" s="197"/>
    </row>
    <row r="454" spans="1:26">
      <c r="A454" s="191" t="str">
        <f>WARWICKSHIRE!A14</f>
        <v>Kenilworth and Southam CC</v>
      </c>
      <c r="B454" s="195">
        <f>WARWICKSHIRE!D17</f>
        <v>63931</v>
      </c>
      <c r="C454" s="195">
        <f>WARWICKSHIRE!E17</f>
        <v>63772</v>
      </c>
      <c r="D454" s="195">
        <f>WARWICKSHIRE!F17</f>
        <v>64037</v>
      </c>
      <c r="E454" s="195">
        <f>WARWICKSHIRE!G17</f>
        <v>64373</v>
      </c>
      <c r="F454" s="195">
        <f>WARWICKSHIRE!H17</f>
        <v>65087</v>
      </c>
      <c r="G454" s="195">
        <f>WARWICKSHIRE!I17</f>
        <v>63910</v>
      </c>
      <c r="H454" s="195">
        <f>WARWICKSHIRE!J17</f>
        <v>62992</v>
      </c>
      <c r="I454" s="195">
        <f>WARWICKSHIRE!K17</f>
        <v>64843</v>
      </c>
      <c r="J454" s="195">
        <f>WARWICKSHIRE!L17</f>
        <v>65349</v>
      </c>
      <c r="K454" s="196">
        <f t="shared" si="21"/>
        <v>2.2180162988221678E-2</v>
      </c>
      <c r="L454" s="196"/>
      <c r="M454" s="195">
        <f t="shared" si="22"/>
        <v>-11804</v>
      </c>
      <c r="N454" s="196">
        <f t="shared" si="23"/>
        <v>-0.15299469884515185</v>
      </c>
      <c r="O454" s="197">
        <v>485</v>
      </c>
      <c r="P454" s="197">
        <v>492</v>
      </c>
      <c r="Q454" s="197">
        <v>491</v>
      </c>
      <c r="R454" s="197">
        <v>491</v>
      </c>
      <c r="S454" s="197">
        <v>468</v>
      </c>
      <c r="T454" s="197">
        <v>463</v>
      </c>
      <c r="U454" s="197">
        <v>463</v>
      </c>
      <c r="V454" s="197">
        <v>456</v>
      </c>
      <c r="W454" s="197">
        <v>451</v>
      </c>
      <c r="X454" s="197"/>
      <c r="Y454" s="197">
        <v>238</v>
      </c>
      <c r="Z454" s="197"/>
    </row>
    <row r="455" spans="1:26">
      <c r="A455" s="191" t="str">
        <f>'WALTHAM FOREST'!A7</f>
        <v xml:space="preserve">Chingford and Woodford Green BC </v>
      </c>
      <c r="B455" s="195">
        <f>'WALTHAM FOREST'!D9</f>
        <v>64804</v>
      </c>
      <c r="C455" s="195">
        <f>'WALTHAM FOREST'!E9</f>
        <v>64770</v>
      </c>
      <c r="D455" s="195">
        <f>'WALTHAM FOREST'!F9</f>
        <v>65433</v>
      </c>
      <c r="E455" s="195">
        <f>'WALTHAM FOREST'!G9</f>
        <v>65485</v>
      </c>
      <c r="F455" s="195">
        <f>'WALTHAM FOREST'!H9</f>
        <v>66046</v>
      </c>
      <c r="G455" s="195">
        <f>'WALTHAM FOREST'!I9</f>
        <v>65084</v>
      </c>
      <c r="H455" s="195">
        <f>'WALTHAM FOREST'!J9</f>
        <v>63251</v>
      </c>
      <c r="I455" s="195">
        <f>'WALTHAM FOREST'!K9</f>
        <v>64091</v>
      </c>
      <c r="J455" s="195">
        <f>'WALTHAM FOREST'!L9</f>
        <v>65308</v>
      </c>
      <c r="K455" s="196">
        <f t="shared" si="21"/>
        <v>7.7772976976729835E-3</v>
      </c>
      <c r="L455" s="196"/>
      <c r="M455" s="195">
        <f t="shared" si="22"/>
        <v>-11845</v>
      </c>
      <c r="N455" s="196">
        <f t="shared" si="23"/>
        <v>-0.15352611045584746</v>
      </c>
      <c r="O455" s="197">
        <v>470</v>
      </c>
      <c r="P455" s="197">
        <v>480</v>
      </c>
      <c r="Q455" s="197">
        <v>466</v>
      </c>
      <c r="R455" s="197">
        <v>478</v>
      </c>
      <c r="S455" s="197">
        <v>448</v>
      </c>
      <c r="T455" s="197">
        <v>437</v>
      </c>
      <c r="U455" s="197">
        <v>458</v>
      </c>
      <c r="V455" s="197">
        <v>471</v>
      </c>
      <c r="W455" s="197">
        <v>452</v>
      </c>
      <c r="X455" s="197"/>
      <c r="Y455" s="197">
        <v>105</v>
      </c>
      <c r="Z455" s="197"/>
    </row>
    <row r="456" spans="1:26">
      <c r="A456" s="191" t="str">
        <f>HAMPSHIRE!A58</f>
        <v>Romsey and Southampton North CC</v>
      </c>
      <c r="B456" s="195">
        <f>HAMPSHIRE!D60</f>
        <v>67397</v>
      </c>
      <c r="C456" s="195">
        <f>HAMPSHIRE!E60</f>
        <v>67696</v>
      </c>
      <c r="D456" s="195">
        <f>HAMPSHIRE!F60</f>
        <v>67724</v>
      </c>
      <c r="E456" s="195">
        <f>HAMPSHIRE!G60</f>
        <v>67419</v>
      </c>
      <c r="F456" s="195">
        <f>HAMPSHIRE!H60</f>
        <v>68318</v>
      </c>
      <c r="G456" s="195">
        <f>HAMPSHIRE!I60</f>
        <v>64580</v>
      </c>
      <c r="H456" s="195">
        <f>HAMPSHIRE!J60</f>
        <v>63901</v>
      </c>
      <c r="I456" s="195">
        <f>HAMPSHIRE!K60</f>
        <v>65116</v>
      </c>
      <c r="J456" s="195">
        <f>HAMPSHIRE!L60</f>
        <v>65289</v>
      </c>
      <c r="K456" s="196">
        <f t="shared" si="21"/>
        <v>-3.1277356558897282E-2</v>
      </c>
      <c r="L456" s="196"/>
      <c r="M456" s="195">
        <f t="shared" si="22"/>
        <v>-11864</v>
      </c>
      <c r="N456" s="196">
        <f t="shared" si="23"/>
        <v>-0.15377237437299909</v>
      </c>
      <c r="O456" s="197">
        <v>399</v>
      </c>
      <c r="P456" s="197">
        <v>400</v>
      </c>
      <c r="Q456" s="197">
        <v>409</v>
      </c>
      <c r="R456" s="197">
        <v>431</v>
      </c>
      <c r="S456" s="197">
        <v>392</v>
      </c>
      <c r="T456" s="197">
        <v>451</v>
      </c>
      <c r="U456" s="197">
        <v>446</v>
      </c>
      <c r="V456" s="197">
        <v>449</v>
      </c>
      <c r="W456" s="197">
        <v>453</v>
      </c>
      <c r="X456" s="197"/>
      <c r="Y456" s="197">
        <v>372</v>
      </c>
      <c r="Z456" s="197"/>
    </row>
    <row r="457" spans="1:26">
      <c r="A457" s="191" t="str">
        <f>'"HUMBERSIDE"'!A17</f>
        <v>Brigg and Goole CC</v>
      </c>
      <c r="B457" s="195">
        <f>'"HUMBERSIDE"'!D19</f>
        <v>66821</v>
      </c>
      <c r="C457" s="195">
        <f>'"HUMBERSIDE"'!E19</f>
        <v>66734</v>
      </c>
      <c r="D457" s="195">
        <f>'"HUMBERSIDE"'!F19</f>
        <v>66875</v>
      </c>
      <c r="E457" s="195">
        <f>'"HUMBERSIDE"'!G19</f>
        <v>67157</v>
      </c>
      <c r="F457" s="195">
        <f>'"HUMBERSIDE"'!H19</f>
        <v>66653</v>
      </c>
      <c r="G457" s="195">
        <f>'"HUMBERSIDE"'!I19</f>
        <v>65080</v>
      </c>
      <c r="H457" s="195">
        <f>'"HUMBERSIDE"'!J19</f>
        <v>63859</v>
      </c>
      <c r="I457" s="195">
        <f>'"HUMBERSIDE"'!K19</f>
        <v>65176</v>
      </c>
      <c r="J457" s="195">
        <f>'"HUMBERSIDE"'!L19</f>
        <v>65254</v>
      </c>
      <c r="K457" s="196">
        <f t="shared" si="21"/>
        <v>-2.3450711602639888E-2</v>
      </c>
      <c r="L457" s="196"/>
      <c r="M457" s="195">
        <f t="shared" si="22"/>
        <v>-11899</v>
      </c>
      <c r="N457" s="196">
        <f t="shared" si="23"/>
        <v>-0.15422601843091002</v>
      </c>
      <c r="O457" s="197">
        <v>420</v>
      </c>
      <c r="P457" s="197">
        <v>428</v>
      </c>
      <c r="Q457" s="197">
        <v>438</v>
      </c>
      <c r="R457" s="197">
        <v>439</v>
      </c>
      <c r="S457" s="197">
        <v>441</v>
      </c>
      <c r="T457" s="197">
        <v>438</v>
      </c>
      <c r="U457" s="197">
        <v>450</v>
      </c>
      <c r="V457" s="197">
        <v>448</v>
      </c>
      <c r="W457" s="197">
        <v>454</v>
      </c>
      <c r="X457" s="197"/>
      <c r="Y457" s="197">
        <v>67</v>
      </c>
      <c r="Z457" s="197"/>
    </row>
    <row r="458" spans="1:26">
      <c r="A458" s="191" t="str">
        <f>LANCASHIRE!A39</f>
        <v>Fylde CC</v>
      </c>
      <c r="B458" s="195">
        <f>LANCASHIRE!D41</f>
        <v>65933</v>
      </c>
      <c r="C458" s="195">
        <f>LANCASHIRE!E41</f>
        <v>66504</v>
      </c>
      <c r="D458" s="195">
        <f>LANCASHIRE!F41</f>
        <v>65315</v>
      </c>
      <c r="E458" s="195">
        <f>LANCASHIRE!G41</f>
        <v>65961</v>
      </c>
      <c r="F458" s="195">
        <f>LANCASHIRE!H41</f>
        <v>65222</v>
      </c>
      <c r="G458" s="195">
        <f>LANCASHIRE!I41</f>
        <v>63928</v>
      </c>
      <c r="H458" s="195">
        <f>LANCASHIRE!J41</f>
        <v>63943</v>
      </c>
      <c r="I458" s="195">
        <f>LANCASHIRE!K41</f>
        <v>64782</v>
      </c>
      <c r="J458" s="195">
        <f>LANCASHIRE!L41</f>
        <v>65188</v>
      </c>
      <c r="K458" s="196">
        <f t="shared" si="21"/>
        <v>-1.1299349339480989E-2</v>
      </c>
      <c r="L458" s="196"/>
      <c r="M458" s="195">
        <f t="shared" si="22"/>
        <v>-11965</v>
      </c>
      <c r="N458" s="196">
        <f t="shared" si="23"/>
        <v>-0.15508146151154201</v>
      </c>
      <c r="O458" s="197">
        <v>440</v>
      </c>
      <c r="P458" s="197">
        <v>440</v>
      </c>
      <c r="Q458" s="197">
        <v>474</v>
      </c>
      <c r="R458" s="197">
        <v>467</v>
      </c>
      <c r="S458" s="197">
        <v>466</v>
      </c>
      <c r="T458" s="197">
        <v>462</v>
      </c>
      <c r="U458" s="197">
        <v>444</v>
      </c>
      <c r="V458" s="197">
        <v>457</v>
      </c>
      <c r="W458" s="197">
        <v>455</v>
      </c>
      <c r="X458" s="197"/>
      <c r="Y458" s="197">
        <v>177</v>
      </c>
      <c r="Z458" s="197"/>
    </row>
    <row r="459" spans="1:26">
      <c r="A459" s="191" t="str">
        <f>STAFFORDSHIRE!A28</f>
        <v>Newcastle-under-Lyme BC</v>
      </c>
      <c r="B459" s="195">
        <f>STAFFORDSHIRE!D28</f>
        <v>68819</v>
      </c>
      <c r="C459" s="195">
        <f>STAFFORDSHIRE!E28</f>
        <v>68692</v>
      </c>
      <c r="D459" s="195">
        <f>STAFFORDSHIRE!F28</f>
        <v>69154</v>
      </c>
      <c r="E459" s="195">
        <f>STAFFORDSHIRE!G28</f>
        <v>68901</v>
      </c>
      <c r="F459" s="195">
        <f>STAFFORDSHIRE!H28</f>
        <v>68782</v>
      </c>
      <c r="G459" s="195">
        <f>STAFFORDSHIRE!I28</f>
        <v>65957</v>
      </c>
      <c r="H459" s="195">
        <f>STAFFORDSHIRE!J28</f>
        <v>62936</v>
      </c>
      <c r="I459" s="195">
        <f>STAFFORDSHIRE!K28</f>
        <v>62879</v>
      </c>
      <c r="J459" s="195">
        <f>STAFFORDSHIRE!L28</f>
        <v>65173</v>
      </c>
      <c r="K459" s="196">
        <f t="shared" si="21"/>
        <v>-5.2979555064735027E-2</v>
      </c>
      <c r="L459" s="196"/>
      <c r="M459" s="195">
        <f t="shared" si="22"/>
        <v>-11980</v>
      </c>
      <c r="N459" s="196">
        <f t="shared" si="23"/>
        <v>-0.15527588039350382</v>
      </c>
      <c r="O459" s="197">
        <v>357</v>
      </c>
      <c r="P459" s="197">
        <v>376</v>
      </c>
      <c r="Q459" s="197">
        <v>370</v>
      </c>
      <c r="R459" s="197">
        <v>391</v>
      </c>
      <c r="S459" s="197">
        <v>375</v>
      </c>
      <c r="T459" s="197">
        <v>416</v>
      </c>
      <c r="U459" s="197">
        <v>465</v>
      </c>
      <c r="V459" s="197">
        <v>486</v>
      </c>
      <c r="W459" s="197">
        <v>456</v>
      </c>
      <c r="X459" s="197"/>
      <c r="Y459" s="197">
        <v>305</v>
      </c>
      <c r="Z459" s="197"/>
    </row>
    <row r="460" spans="1:26">
      <c r="A460" s="191" t="str">
        <f>'WEST MIDLANDS'!A25</f>
        <v>Birmingham, Ladywood BC</v>
      </c>
      <c r="B460" s="195">
        <f>'WEST MIDLANDS'!D25</f>
        <v>72809</v>
      </c>
      <c r="C460" s="195">
        <f>'WEST MIDLANDS'!E25</f>
        <v>74008</v>
      </c>
      <c r="D460" s="195">
        <f>'WEST MIDLANDS'!F25</f>
        <v>76272</v>
      </c>
      <c r="E460" s="195">
        <f>'WEST MIDLANDS'!G25</f>
        <v>74635</v>
      </c>
      <c r="F460" s="195">
        <f>'WEST MIDLANDS'!H25</f>
        <v>70289</v>
      </c>
      <c r="G460" s="195">
        <f>'WEST MIDLANDS'!I25</f>
        <v>65207</v>
      </c>
      <c r="H460" s="195">
        <f>'WEST MIDLANDS'!J25</f>
        <v>65716</v>
      </c>
      <c r="I460" s="195">
        <f>'WEST MIDLANDS'!K25</f>
        <v>64608</v>
      </c>
      <c r="J460" s="195">
        <f>'WEST MIDLANDS'!L25</f>
        <v>65171</v>
      </c>
      <c r="K460" s="196">
        <f t="shared" si="21"/>
        <v>-0.10490461344064607</v>
      </c>
      <c r="L460" s="196"/>
      <c r="M460" s="195">
        <f t="shared" si="22"/>
        <v>-11982</v>
      </c>
      <c r="N460" s="196">
        <f t="shared" si="23"/>
        <v>-0.15530180291109871</v>
      </c>
      <c r="O460" s="197">
        <v>207</v>
      </c>
      <c r="P460" s="197">
        <v>187</v>
      </c>
      <c r="Q460" s="197">
        <v>148</v>
      </c>
      <c r="R460" s="197">
        <v>190</v>
      </c>
      <c r="S460" s="197">
        <v>345</v>
      </c>
      <c r="T460" s="197">
        <v>433</v>
      </c>
      <c r="U460" s="197">
        <v>408</v>
      </c>
      <c r="V460" s="197">
        <v>462</v>
      </c>
      <c r="W460" s="197">
        <v>457</v>
      </c>
      <c r="X460" s="197"/>
      <c r="Y460" s="197">
        <v>35</v>
      </c>
      <c r="Z460" s="197"/>
    </row>
    <row r="461" spans="1:26">
      <c r="A461" s="191" t="str">
        <f>'SOUTH GLOUCESTERSHIRE'!A9</f>
        <v>Kingswood BC</v>
      </c>
      <c r="B461" s="195">
        <f>'SOUTH GLOUCESTERSHIRE'!D9</f>
        <v>66418</v>
      </c>
      <c r="C461" s="195">
        <f>'SOUTH GLOUCESTERSHIRE'!E9</f>
        <v>67199</v>
      </c>
      <c r="D461" s="195">
        <f>'SOUTH GLOUCESTERSHIRE'!F9</f>
        <v>67705</v>
      </c>
      <c r="E461" s="195">
        <f>'SOUTH GLOUCESTERSHIRE'!G9</f>
        <v>67937</v>
      </c>
      <c r="F461" s="195">
        <f>'SOUTH GLOUCESTERSHIRE'!H9</f>
        <v>67948</v>
      </c>
      <c r="G461" s="195">
        <f>'SOUTH GLOUCESTERSHIRE'!I9</f>
        <v>67366</v>
      </c>
      <c r="H461" s="195">
        <f>'SOUTH GLOUCESTERSHIRE'!J9</f>
        <v>67569</v>
      </c>
      <c r="I461" s="195">
        <f>'SOUTH GLOUCESTERSHIRE'!K9</f>
        <v>68625</v>
      </c>
      <c r="J461" s="195">
        <f>'SOUTH GLOUCESTERSHIRE'!L9</f>
        <v>65061</v>
      </c>
      <c r="K461" s="196">
        <f t="shared" si="21"/>
        <v>-2.0431208407359451E-2</v>
      </c>
      <c r="L461" s="196"/>
      <c r="M461" s="195">
        <f t="shared" si="22"/>
        <v>-12092</v>
      </c>
      <c r="N461" s="196">
        <f t="shared" si="23"/>
        <v>-0.15672754137881872</v>
      </c>
      <c r="O461" s="197">
        <v>427</v>
      </c>
      <c r="P461" s="197">
        <v>415</v>
      </c>
      <c r="Q461" s="197">
        <v>411</v>
      </c>
      <c r="R461" s="197">
        <v>416</v>
      </c>
      <c r="S461" s="197">
        <v>403</v>
      </c>
      <c r="T461" s="197">
        <v>384</v>
      </c>
      <c r="U461" s="197">
        <v>356</v>
      </c>
      <c r="V461" s="197">
        <v>373</v>
      </c>
      <c r="W461" s="197">
        <v>458</v>
      </c>
      <c r="X461" s="197"/>
      <c r="Y461" s="197">
        <v>245</v>
      </c>
      <c r="Z461" s="197"/>
    </row>
    <row r="462" spans="1:26">
      <c r="A462" s="191" t="str">
        <f>LEICESTER!A11</f>
        <v>Leicester West BC</v>
      </c>
      <c r="B462" s="195">
        <f>LEICESTER!D11</f>
        <v>65058</v>
      </c>
      <c r="C462" s="195">
        <f>LEICESTER!E11</f>
        <v>65432</v>
      </c>
      <c r="D462" s="195">
        <f>LEICESTER!F11</f>
        <v>65574</v>
      </c>
      <c r="E462" s="195">
        <f>LEICESTER!G11</f>
        <v>65792</v>
      </c>
      <c r="F462" s="195">
        <f>LEICESTER!H11</f>
        <v>65647</v>
      </c>
      <c r="G462" s="195">
        <f>LEICESTER!I11</f>
        <v>61919</v>
      </c>
      <c r="H462" s="195">
        <f>LEICESTER!J11</f>
        <v>62793</v>
      </c>
      <c r="I462" s="195">
        <f>LEICESTER!K11</f>
        <v>65001</v>
      </c>
      <c r="J462" s="195">
        <f>LEICESTER!L11</f>
        <v>65035</v>
      </c>
      <c r="K462" s="196">
        <f t="shared" si="21"/>
        <v>-3.5353069568692551E-4</v>
      </c>
      <c r="L462" s="196"/>
      <c r="M462" s="195">
        <f t="shared" si="22"/>
        <v>-12118</v>
      </c>
      <c r="N462" s="196">
        <f t="shared" si="23"/>
        <v>-0.15706453410755253</v>
      </c>
      <c r="O462" s="197">
        <v>459</v>
      </c>
      <c r="P462" s="197">
        <v>466</v>
      </c>
      <c r="Q462" s="197">
        <v>464</v>
      </c>
      <c r="R462" s="197">
        <v>470</v>
      </c>
      <c r="S462" s="197">
        <v>457</v>
      </c>
      <c r="T462" s="197">
        <v>493</v>
      </c>
      <c r="U462" s="197">
        <v>469</v>
      </c>
      <c r="V462" s="197">
        <v>454</v>
      </c>
      <c r="W462" s="197">
        <v>459</v>
      </c>
      <c r="X462" s="197"/>
      <c r="Y462" s="197">
        <v>255</v>
      </c>
      <c r="Z462" s="197"/>
    </row>
    <row r="463" spans="1:26">
      <c r="A463" s="191" t="str">
        <f>'"HUMBERSIDE"'!A31</f>
        <v>Kingston upon Hull East BC</v>
      </c>
      <c r="B463" s="195">
        <f>'"HUMBERSIDE"'!D31</f>
        <v>68024</v>
      </c>
      <c r="C463" s="195">
        <f>'"HUMBERSIDE"'!E31</f>
        <v>68150</v>
      </c>
      <c r="D463" s="195">
        <f>'"HUMBERSIDE"'!F31</f>
        <v>68361</v>
      </c>
      <c r="E463" s="195">
        <f>'"HUMBERSIDE"'!G31</f>
        <v>68365</v>
      </c>
      <c r="F463" s="195">
        <f>'"HUMBERSIDE"'!H31</f>
        <v>68101</v>
      </c>
      <c r="G463" s="195">
        <f>'"HUMBERSIDE"'!I31</f>
        <v>65376</v>
      </c>
      <c r="H463" s="195">
        <f>'"HUMBERSIDE"'!J31</f>
        <v>64970</v>
      </c>
      <c r="I463" s="195">
        <f>'"HUMBERSIDE"'!K31</f>
        <v>66142</v>
      </c>
      <c r="J463" s="195">
        <f>'"HUMBERSIDE"'!L31</f>
        <v>65032</v>
      </c>
      <c r="K463" s="196">
        <f t="shared" si="21"/>
        <v>-4.3984476067270378E-2</v>
      </c>
      <c r="L463" s="196"/>
      <c r="M463" s="195">
        <f t="shared" si="22"/>
        <v>-12121</v>
      </c>
      <c r="N463" s="196">
        <f t="shared" si="23"/>
        <v>-0.15710341788394488</v>
      </c>
      <c r="O463" s="197">
        <v>378</v>
      </c>
      <c r="P463" s="197">
        <v>393</v>
      </c>
      <c r="Q463" s="197">
        <v>390</v>
      </c>
      <c r="R463" s="197">
        <v>404</v>
      </c>
      <c r="S463" s="197">
        <v>398</v>
      </c>
      <c r="T463" s="197">
        <v>427</v>
      </c>
      <c r="U463" s="197">
        <v>418</v>
      </c>
      <c r="V463" s="197">
        <v>428</v>
      </c>
      <c r="W463" s="197">
        <v>460</v>
      </c>
      <c r="X463" s="197"/>
      <c r="Y463" s="197">
        <v>242</v>
      </c>
      <c r="Z463" s="197"/>
    </row>
    <row r="464" spans="1:26">
      <c r="A464" s="191" t="str">
        <f>STOCKTON!A7</f>
        <v>Stockton North BC</v>
      </c>
      <c r="B464" s="195">
        <f>STOCKTON!D7</f>
        <v>66990</v>
      </c>
      <c r="C464" s="195">
        <f>STOCKTON!E7</f>
        <v>67333</v>
      </c>
      <c r="D464" s="195">
        <f>STOCKTON!F7</f>
        <v>67600</v>
      </c>
      <c r="E464" s="195">
        <f>STOCKTON!G7</f>
        <v>67650</v>
      </c>
      <c r="F464" s="195">
        <f>STOCKTON!H7</f>
        <v>67408</v>
      </c>
      <c r="G464" s="195">
        <f>STOCKTON!I7</f>
        <v>64885</v>
      </c>
      <c r="H464" s="195">
        <f>STOCKTON!J7</f>
        <v>64617</v>
      </c>
      <c r="I464" s="195">
        <f>STOCKTON!K7</f>
        <v>65594</v>
      </c>
      <c r="J464" s="195">
        <f>STOCKTON!L7</f>
        <v>65023</v>
      </c>
      <c r="K464" s="196">
        <f t="shared" si="21"/>
        <v>-2.936259143155695E-2</v>
      </c>
      <c r="L464" s="196"/>
      <c r="M464" s="195">
        <f t="shared" si="22"/>
        <v>-12130</v>
      </c>
      <c r="N464" s="196">
        <f t="shared" si="23"/>
        <v>-0.15722006921312198</v>
      </c>
      <c r="O464" s="197">
        <v>410</v>
      </c>
      <c r="P464" s="197">
        <v>412</v>
      </c>
      <c r="Q464" s="197">
        <v>414</v>
      </c>
      <c r="R464" s="197">
        <v>421</v>
      </c>
      <c r="S464" s="197">
        <v>415</v>
      </c>
      <c r="T464" s="197">
        <v>445</v>
      </c>
      <c r="U464" s="197">
        <v>428</v>
      </c>
      <c r="V464" s="197">
        <v>437</v>
      </c>
      <c r="W464" s="197">
        <v>461</v>
      </c>
      <c r="X464" s="197"/>
      <c r="Y464" s="197">
        <v>441</v>
      </c>
      <c r="Z464" s="197"/>
    </row>
    <row r="465" spans="1:26">
      <c r="A465" s="191" t="str">
        <f>'WEST YORKSHIRE'!A45</f>
        <v>Leeds West BC</v>
      </c>
      <c r="B465" s="195">
        <f>'WEST YORKSHIRE'!D45</f>
        <v>67243</v>
      </c>
      <c r="C465" s="195">
        <f>'WEST YORKSHIRE'!E45</f>
        <v>67222</v>
      </c>
      <c r="D465" s="195">
        <f>'WEST YORKSHIRE'!F45</f>
        <v>67196</v>
      </c>
      <c r="E465" s="195">
        <f>'WEST YORKSHIRE'!G45</f>
        <v>67226</v>
      </c>
      <c r="F465" s="195">
        <f>'WEST YORKSHIRE'!H45</f>
        <v>61760</v>
      </c>
      <c r="G465" s="195">
        <f>'WEST YORKSHIRE'!I45</f>
        <v>62295</v>
      </c>
      <c r="H465" s="195">
        <f>'WEST YORKSHIRE'!J45</f>
        <v>61508</v>
      </c>
      <c r="I465" s="195">
        <f>'WEST YORKSHIRE'!K45</f>
        <v>64155</v>
      </c>
      <c r="J465" s="195">
        <f>'WEST YORKSHIRE'!L45</f>
        <v>65021</v>
      </c>
      <c r="K465" s="196">
        <f t="shared" si="21"/>
        <v>-3.3044331752003928E-2</v>
      </c>
      <c r="L465" s="196"/>
      <c r="M465" s="195">
        <f t="shared" si="22"/>
        <v>-12132</v>
      </c>
      <c r="N465" s="196">
        <f t="shared" si="23"/>
        <v>-0.15724599173071688</v>
      </c>
      <c r="O465" s="197">
        <v>405</v>
      </c>
      <c r="P465" s="197">
        <v>414</v>
      </c>
      <c r="Q465" s="197">
        <v>425</v>
      </c>
      <c r="R465" s="197">
        <v>437</v>
      </c>
      <c r="S465" s="197">
        <v>507</v>
      </c>
      <c r="T465" s="197">
        <v>488</v>
      </c>
      <c r="U465" s="197">
        <v>488</v>
      </c>
      <c r="V465" s="197">
        <v>469</v>
      </c>
      <c r="W465" s="197">
        <v>462</v>
      </c>
      <c r="X465" s="197"/>
      <c r="Y465" s="197">
        <v>252</v>
      </c>
      <c r="Z465" s="197"/>
    </row>
    <row r="466" spans="1:26">
      <c r="A466" s="191" t="str">
        <f>BEXLEY!A7</f>
        <v>Bexleyheath and Crayford BC</v>
      </c>
      <c r="B466" s="195">
        <f>BEXLEY!D7</f>
        <v>64791</v>
      </c>
      <c r="C466" s="195">
        <f>BEXLEY!E7</f>
        <v>64144</v>
      </c>
      <c r="D466" s="195">
        <f>BEXLEY!F7</f>
        <v>65252</v>
      </c>
      <c r="E466" s="195">
        <f>BEXLEY!G7</f>
        <v>65515</v>
      </c>
      <c r="F466" s="195">
        <f>BEXLEY!H7</f>
        <v>65942</v>
      </c>
      <c r="G466" s="195">
        <f>BEXLEY!I7</f>
        <v>65029</v>
      </c>
      <c r="H466" s="195">
        <f>BEXLEY!J7</f>
        <v>63243</v>
      </c>
      <c r="I466" s="195">
        <f>BEXLEY!K7</f>
        <v>64731</v>
      </c>
      <c r="J466" s="195">
        <f>BEXLEY!L7</f>
        <v>65015</v>
      </c>
      <c r="K466" s="196">
        <f t="shared" si="21"/>
        <v>3.4572702998873299E-3</v>
      </c>
      <c r="L466" s="196"/>
      <c r="M466" s="195">
        <f t="shared" si="22"/>
        <v>-12138</v>
      </c>
      <c r="N466" s="196">
        <f t="shared" si="23"/>
        <v>-0.15732375928350162</v>
      </c>
      <c r="O466" s="197">
        <v>471</v>
      </c>
      <c r="P466" s="197">
        <v>490</v>
      </c>
      <c r="Q466" s="197">
        <v>477</v>
      </c>
      <c r="R466" s="197">
        <v>477</v>
      </c>
      <c r="S466" s="197">
        <v>450</v>
      </c>
      <c r="T466" s="197">
        <v>440</v>
      </c>
      <c r="U466" s="197">
        <v>459</v>
      </c>
      <c r="V466" s="197">
        <v>458</v>
      </c>
      <c r="W466" s="197">
        <v>463</v>
      </c>
      <c r="X466" s="197"/>
      <c r="Y466" s="197">
        <v>29</v>
      </c>
      <c r="Z466" s="197"/>
    </row>
    <row r="467" spans="1:26">
      <c r="A467" s="191" t="str">
        <f>MERTON!A9</f>
        <v>Wimbledon BC</v>
      </c>
      <c r="B467" s="195">
        <f>MERTON!D9</f>
        <v>64933</v>
      </c>
      <c r="C467" s="195">
        <f>MERTON!E9</f>
        <v>65936</v>
      </c>
      <c r="D467" s="195">
        <f>MERTON!F9</f>
        <v>66022</v>
      </c>
      <c r="E467" s="195">
        <f>MERTON!G9</f>
        <v>66304</v>
      </c>
      <c r="F467" s="195">
        <f>MERTON!H9</f>
        <v>65189</v>
      </c>
      <c r="G467" s="195">
        <f>MERTON!I9</f>
        <v>63475</v>
      </c>
      <c r="H467" s="195">
        <f>MERTON!J9</f>
        <v>63505</v>
      </c>
      <c r="I467" s="195">
        <f>MERTON!K9</f>
        <v>65457</v>
      </c>
      <c r="J467" s="195">
        <f>MERTON!L9</f>
        <v>64935</v>
      </c>
      <c r="K467" s="196">
        <f t="shared" si="21"/>
        <v>3.0800979471147184E-5</v>
      </c>
      <c r="L467" s="196"/>
      <c r="M467" s="195">
        <f t="shared" si="22"/>
        <v>-12218</v>
      </c>
      <c r="N467" s="196">
        <f t="shared" si="23"/>
        <v>-0.15836065998729795</v>
      </c>
      <c r="O467" s="197">
        <v>464</v>
      </c>
      <c r="P467" s="197">
        <v>455</v>
      </c>
      <c r="Q467" s="197">
        <v>454</v>
      </c>
      <c r="R467" s="197">
        <v>456</v>
      </c>
      <c r="S467" s="197">
        <v>467</v>
      </c>
      <c r="T467" s="197">
        <v>476</v>
      </c>
      <c r="U467" s="197">
        <v>451</v>
      </c>
      <c r="V467" s="197">
        <v>441</v>
      </c>
      <c r="W467" s="197">
        <v>464</v>
      </c>
      <c r="X467" s="197"/>
      <c r="Y467" s="197">
        <v>511</v>
      </c>
      <c r="Z467" s="197"/>
    </row>
    <row r="468" spans="1:26">
      <c r="A468" s="191" t="str">
        <f>'TYNE &amp; WEAR'!A24</f>
        <v>Jarrow BC</v>
      </c>
      <c r="B468" s="195">
        <f>'TYNE &amp; WEAR'!D26</f>
        <v>64826</v>
      </c>
      <c r="C468" s="195">
        <f>'TYNE &amp; WEAR'!E26</f>
        <v>65047</v>
      </c>
      <c r="D468" s="195">
        <f>'TYNE &amp; WEAR'!F26</f>
        <v>64915</v>
      </c>
      <c r="E468" s="195">
        <f>'TYNE &amp; WEAR'!G26</f>
        <v>65290</v>
      </c>
      <c r="F468" s="195">
        <f>'TYNE &amp; WEAR'!H26</f>
        <v>64682</v>
      </c>
      <c r="G468" s="195">
        <f>'TYNE &amp; WEAR'!I26</f>
        <v>63817</v>
      </c>
      <c r="H468" s="195">
        <f>'TYNE &amp; WEAR'!J26</f>
        <v>64212</v>
      </c>
      <c r="I468" s="195">
        <f>'TYNE &amp; WEAR'!K26</f>
        <v>64588</v>
      </c>
      <c r="J468" s="195">
        <f>'TYNE &amp; WEAR'!L26</f>
        <v>64777</v>
      </c>
      <c r="K468" s="196">
        <f t="shared" si="21"/>
        <v>-7.5586955851047414E-4</v>
      </c>
      <c r="L468" s="196"/>
      <c r="M468" s="195">
        <f t="shared" si="22"/>
        <v>-12376</v>
      </c>
      <c r="N468" s="196">
        <f t="shared" si="23"/>
        <v>-0.16040853887729575</v>
      </c>
      <c r="O468" s="197">
        <v>467</v>
      </c>
      <c r="P468" s="197">
        <v>475</v>
      </c>
      <c r="Q468" s="197">
        <v>485</v>
      </c>
      <c r="R468" s="197">
        <v>482</v>
      </c>
      <c r="S468" s="197">
        <v>475</v>
      </c>
      <c r="T468" s="197">
        <v>466</v>
      </c>
      <c r="U468" s="197">
        <v>435</v>
      </c>
      <c r="V468" s="197">
        <v>463</v>
      </c>
      <c r="W468" s="197">
        <v>465</v>
      </c>
      <c r="X468" s="197"/>
      <c r="Y468" s="197">
        <v>236</v>
      </c>
      <c r="Z468" s="197"/>
    </row>
    <row r="469" spans="1:26">
      <c r="A469" s="191" t="str">
        <f>ENFIELD!A7</f>
        <v>Edmonton BC</v>
      </c>
      <c r="B469" s="195">
        <f>ENFIELD!D7</f>
        <v>63457</v>
      </c>
      <c r="C469" s="195">
        <f>ENFIELD!E7</f>
        <v>64356</v>
      </c>
      <c r="D469" s="195">
        <f>ENFIELD!F7</f>
        <v>65283</v>
      </c>
      <c r="E469" s="195">
        <f>ENFIELD!G7</f>
        <v>66669</v>
      </c>
      <c r="F469" s="195">
        <f>ENFIELD!H7</f>
        <v>63800</v>
      </c>
      <c r="G469" s="195">
        <f>ENFIELD!I7</f>
        <v>65007</v>
      </c>
      <c r="H469" s="195">
        <f>ENFIELD!J7</f>
        <v>63360</v>
      </c>
      <c r="I469" s="195">
        <f>ENFIELD!K7</f>
        <v>64396</v>
      </c>
      <c r="J469" s="195">
        <f>ENFIELD!L7</f>
        <v>64759</v>
      </c>
      <c r="K469" s="196">
        <f t="shared" si="21"/>
        <v>2.0517830972154372E-2</v>
      </c>
      <c r="L469" s="196"/>
      <c r="M469" s="195">
        <f t="shared" si="22"/>
        <v>-12394</v>
      </c>
      <c r="N469" s="196">
        <f t="shared" si="23"/>
        <v>-0.16064184153564995</v>
      </c>
      <c r="O469" s="197">
        <v>494</v>
      </c>
      <c r="P469" s="197">
        <v>489</v>
      </c>
      <c r="Q469" s="197">
        <v>476</v>
      </c>
      <c r="R469" s="197">
        <v>451</v>
      </c>
      <c r="S469" s="197">
        <v>484</v>
      </c>
      <c r="T469" s="197">
        <v>441</v>
      </c>
      <c r="U469" s="197">
        <v>454</v>
      </c>
      <c r="V469" s="197">
        <v>466</v>
      </c>
      <c r="W469" s="197">
        <v>466</v>
      </c>
      <c r="X469" s="197"/>
      <c r="Y469" s="197">
        <v>158</v>
      </c>
      <c r="Z469" s="197"/>
    </row>
    <row r="470" spans="1:26">
      <c r="A470" s="191" t="str">
        <f>BROMLEY!A9</f>
        <v>Bromley and Chislehurst BC</v>
      </c>
      <c r="B470" s="195">
        <f>BROMLEY!D9</f>
        <v>65210</v>
      </c>
      <c r="C470" s="195">
        <f>BROMLEY!E9</f>
        <v>65508</v>
      </c>
      <c r="D470" s="195">
        <f>BROMLEY!F9</f>
        <v>65885</v>
      </c>
      <c r="E470" s="195">
        <f>BROMLEY!G9</f>
        <v>65183</v>
      </c>
      <c r="F470" s="195">
        <f>BROMLEY!H9</f>
        <v>64582</v>
      </c>
      <c r="G470" s="195">
        <f>BROMLEY!I9</f>
        <v>64556</v>
      </c>
      <c r="H470" s="195">
        <f>BROMLEY!J9</f>
        <v>63339</v>
      </c>
      <c r="I470" s="195">
        <f>BROMLEY!K9</f>
        <v>64452</v>
      </c>
      <c r="J470" s="195">
        <f>BROMLEY!L9</f>
        <v>64702</v>
      </c>
      <c r="K470" s="196">
        <f t="shared" si="21"/>
        <v>-7.7902162245054437E-3</v>
      </c>
      <c r="L470" s="196"/>
      <c r="M470" s="195">
        <f t="shared" si="22"/>
        <v>-12451</v>
      </c>
      <c r="N470" s="196">
        <f t="shared" si="23"/>
        <v>-0.16138063328710484</v>
      </c>
      <c r="O470" s="197">
        <v>457</v>
      </c>
      <c r="P470" s="197">
        <v>463</v>
      </c>
      <c r="Q470" s="197">
        <v>458</v>
      </c>
      <c r="R470" s="197">
        <v>485</v>
      </c>
      <c r="S470" s="197">
        <v>477</v>
      </c>
      <c r="T470" s="197">
        <v>452</v>
      </c>
      <c r="U470" s="197">
        <v>456</v>
      </c>
      <c r="V470" s="197">
        <v>464</v>
      </c>
      <c r="W470" s="197">
        <v>467</v>
      </c>
      <c r="X470" s="197"/>
      <c r="Y470" s="197">
        <v>75</v>
      </c>
      <c r="Z470" s="197"/>
    </row>
    <row r="471" spans="1:26">
      <c r="A471" s="191" t="str">
        <f>'WEST YORKSHIRE'!A39</f>
        <v>Leeds East BC</v>
      </c>
      <c r="B471" s="195">
        <f>'WEST YORKSHIRE'!D39</f>
        <v>64479</v>
      </c>
      <c r="C471" s="195">
        <f>'WEST YORKSHIRE'!E39</f>
        <v>64742</v>
      </c>
      <c r="D471" s="195">
        <f>'WEST YORKSHIRE'!F39</f>
        <v>65401</v>
      </c>
      <c r="E471" s="195">
        <f>'WEST YORKSHIRE'!G39</f>
        <v>66055</v>
      </c>
      <c r="F471" s="195">
        <f>'WEST YORKSHIRE'!H39</f>
        <v>62646</v>
      </c>
      <c r="G471" s="195">
        <f>'WEST YORKSHIRE'!I39</f>
        <v>63581</v>
      </c>
      <c r="H471" s="195">
        <f>'WEST YORKSHIRE'!J39</f>
        <v>62608</v>
      </c>
      <c r="I471" s="195">
        <f>'WEST YORKSHIRE'!K39</f>
        <v>64655</v>
      </c>
      <c r="J471" s="195">
        <f>'WEST YORKSHIRE'!L39</f>
        <v>64623</v>
      </c>
      <c r="K471" s="196">
        <f t="shared" si="21"/>
        <v>2.2332852556646351E-3</v>
      </c>
      <c r="L471" s="196"/>
      <c r="M471" s="195">
        <f t="shared" si="22"/>
        <v>-12530</v>
      </c>
      <c r="N471" s="196">
        <f t="shared" si="23"/>
        <v>-0.16240457273210374</v>
      </c>
      <c r="O471" s="197">
        <v>476</v>
      </c>
      <c r="P471" s="197">
        <v>481</v>
      </c>
      <c r="Q471" s="197">
        <v>468</v>
      </c>
      <c r="R471" s="197">
        <v>464</v>
      </c>
      <c r="S471" s="197">
        <v>499</v>
      </c>
      <c r="T471" s="197">
        <v>474</v>
      </c>
      <c r="U471" s="197">
        <v>472</v>
      </c>
      <c r="V471" s="197">
        <v>461</v>
      </c>
      <c r="W471" s="197">
        <v>468</v>
      </c>
      <c r="X471" s="197"/>
      <c r="Y471" s="197">
        <v>249</v>
      </c>
      <c r="Z471" s="197"/>
    </row>
    <row r="472" spans="1:26">
      <c r="A472" s="191" t="str">
        <f>'EAST SUSSEX'!A21</f>
        <v>Brighton, Kemptown BC</v>
      </c>
      <c r="B472" s="195">
        <f>'EAST SUSSEX'!D23</f>
        <v>65057</v>
      </c>
      <c r="C472" s="195">
        <f>'EAST SUSSEX'!E23</f>
        <v>66557</v>
      </c>
      <c r="D472" s="195">
        <f>'EAST SUSSEX'!F23</f>
        <v>66624</v>
      </c>
      <c r="E472" s="195">
        <f>'EAST SUSSEX'!G23</f>
        <v>68084</v>
      </c>
      <c r="F472" s="195">
        <f>'EAST SUSSEX'!H23</f>
        <v>66708</v>
      </c>
      <c r="G472" s="195">
        <f>'EAST SUSSEX'!I23</f>
        <v>62708</v>
      </c>
      <c r="H472" s="195">
        <f>'EAST SUSSEX'!J23</f>
        <v>62205</v>
      </c>
      <c r="I472" s="195">
        <f>'EAST SUSSEX'!K23</f>
        <v>63371</v>
      </c>
      <c r="J472" s="195">
        <f>'EAST SUSSEX'!L23</f>
        <v>64496</v>
      </c>
      <c r="K472" s="196">
        <f t="shared" si="21"/>
        <v>-8.6232073412545913E-3</v>
      </c>
      <c r="L472" s="196"/>
      <c r="M472" s="195">
        <f t="shared" si="22"/>
        <v>-12657</v>
      </c>
      <c r="N472" s="196">
        <f t="shared" si="23"/>
        <v>-0.16405065259938045</v>
      </c>
      <c r="O472" s="197">
        <v>460</v>
      </c>
      <c r="P472" s="197">
        <v>439</v>
      </c>
      <c r="Q472" s="197">
        <v>442</v>
      </c>
      <c r="R472" s="197">
        <v>410</v>
      </c>
      <c r="S472" s="197">
        <v>438</v>
      </c>
      <c r="T472" s="197">
        <v>485</v>
      </c>
      <c r="U472" s="197">
        <v>478</v>
      </c>
      <c r="V472" s="197">
        <v>478</v>
      </c>
      <c r="W472" s="197">
        <v>469</v>
      </c>
      <c r="X472" s="197"/>
      <c r="Y472" s="197">
        <v>68</v>
      </c>
      <c r="Z472" s="197"/>
    </row>
    <row r="473" spans="1:26">
      <c r="A473" s="191" t="str">
        <f>ENFIELD!A11</f>
        <v>Enfield, Southgate BC</v>
      </c>
      <c r="B473" s="195">
        <f>ENFIELD!D11</f>
        <v>63890</v>
      </c>
      <c r="C473" s="195">
        <f>ENFIELD!E11</f>
        <v>64932</v>
      </c>
      <c r="D473" s="195">
        <f>ENFIELD!F11</f>
        <v>65226</v>
      </c>
      <c r="E473" s="195">
        <f>ENFIELD!G11</f>
        <v>65425</v>
      </c>
      <c r="F473" s="195">
        <f>ENFIELD!H11</f>
        <v>63643</v>
      </c>
      <c r="G473" s="195">
        <f>ENFIELD!I11</f>
        <v>64051</v>
      </c>
      <c r="H473" s="195">
        <f>ENFIELD!J11</f>
        <v>62915</v>
      </c>
      <c r="I473" s="195">
        <f>ENFIELD!K11</f>
        <v>64010</v>
      </c>
      <c r="J473" s="195">
        <f>ENFIELD!L11</f>
        <v>64430</v>
      </c>
      <c r="K473" s="196">
        <f t="shared" si="21"/>
        <v>8.4520269212709342E-3</v>
      </c>
      <c r="L473" s="196"/>
      <c r="M473" s="195">
        <f t="shared" si="22"/>
        <v>-12723</v>
      </c>
      <c r="N473" s="196">
        <f t="shared" si="23"/>
        <v>-0.16490609568001244</v>
      </c>
      <c r="O473" s="197">
        <v>486</v>
      </c>
      <c r="P473" s="197">
        <v>478</v>
      </c>
      <c r="Q473" s="197">
        <v>479</v>
      </c>
      <c r="R473" s="197">
        <v>481</v>
      </c>
      <c r="S473" s="197">
        <v>487</v>
      </c>
      <c r="T473" s="197">
        <v>460</v>
      </c>
      <c r="U473" s="197">
        <v>466</v>
      </c>
      <c r="V473" s="197">
        <v>473</v>
      </c>
      <c r="W473" s="197">
        <v>470</v>
      </c>
      <c r="X473" s="197"/>
      <c r="Y473" s="197">
        <v>163</v>
      </c>
      <c r="Z473" s="197"/>
    </row>
    <row r="474" spans="1:26">
      <c r="A474" s="191" t="str">
        <f>CUMBRIA!A18</f>
        <v>Carlisle CC</v>
      </c>
      <c r="B474" s="195">
        <f>CUMBRIA!D18</f>
        <v>65621</v>
      </c>
      <c r="C474" s="195">
        <f>CUMBRIA!E18</f>
        <v>66322</v>
      </c>
      <c r="D474" s="195">
        <f>CUMBRIA!F18</f>
        <v>66619</v>
      </c>
      <c r="E474" s="195">
        <f>CUMBRIA!G18</f>
        <v>66436</v>
      </c>
      <c r="F474" s="195">
        <f>CUMBRIA!H18</f>
        <v>66146</v>
      </c>
      <c r="G474" s="195">
        <f>CUMBRIA!I18</f>
        <v>64673</v>
      </c>
      <c r="H474" s="195">
        <f>CUMBRIA!J18</f>
        <v>60507</v>
      </c>
      <c r="I474" s="195">
        <f>CUMBRIA!K18</f>
        <v>59942</v>
      </c>
      <c r="J474" s="195">
        <f>CUMBRIA!L18</f>
        <v>64370</v>
      </c>
      <c r="K474" s="196">
        <f t="shared" si="21"/>
        <v>-1.9064019140214262E-2</v>
      </c>
      <c r="L474" s="196"/>
      <c r="M474" s="195">
        <f t="shared" si="22"/>
        <v>-12783</v>
      </c>
      <c r="N474" s="196">
        <f t="shared" si="23"/>
        <v>-0.16568377120785971</v>
      </c>
      <c r="O474" s="197">
        <v>448</v>
      </c>
      <c r="P474" s="197">
        <v>444</v>
      </c>
      <c r="Q474" s="197">
        <v>443</v>
      </c>
      <c r="R474" s="197">
        <v>453</v>
      </c>
      <c r="S474" s="197">
        <v>447</v>
      </c>
      <c r="T474" s="197">
        <v>448</v>
      </c>
      <c r="U474" s="197">
        <v>499</v>
      </c>
      <c r="V474" s="197">
        <v>514</v>
      </c>
      <c r="W474" s="197">
        <v>471</v>
      </c>
      <c r="X474" s="197"/>
      <c r="Y474" s="197">
        <v>91</v>
      </c>
      <c r="Z474" s="197"/>
    </row>
    <row r="475" spans="1:26">
      <c r="A475" s="191" t="str">
        <f>'SOUTH GLOUCESTERSHIRE'!A11</f>
        <v>Thornbury and Yate CC</v>
      </c>
      <c r="B475" s="195">
        <f>'SOUTH GLOUCESTERSHIRE'!D11</f>
        <v>64087</v>
      </c>
      <c r="C475" s="195">
        <f>'SOUTH GLOUCESTERSHIRE'!E11</f>
        <v>64736</v>
      </c>
      <c r="D475" s="195">
        <f>'SOUTH GLOUCESTERSHIRE'!F11</f>
        <v>65289</v>
      </c>
      <c r="E475" s="195">
        <f>'SOUTH GLOUCESTERSHIRE'!G11</f>
        <v>65747</v>
      </c>
      <c r="F475" s="195">
        <f>'SOUTH GLOUCESTERSHIRE'!H11</f>
        <v>65702</v>
      </c>
      <c r="G475" s="195">
        <f>'SOUTH GLOUCESTERSHIRE'!I11</f>
        <v>65313</v>
      </c>
      <c r="H475" s="195">
        <f>'SOUTH GLOUCESTERSHIRE'!J11</f>
        <v>65569</v>
      </c>
      <c r="I475" s="195">
        <f>'SOUTH GLOUCESTERSHIRE'!K11</f>
        <v>66818</v>
      </c>
      <c r="J475" s="195">
        <f>'SOUTH GLOUCESTERSHIRE'!L11</f>
        <v>64368</v>
      </c>
      <c r="K475" s="196">
        <f t="shared" si="21"/>
        <v>4.3846645965640455E-3</v>
      </c>
      <c r="L475" s="196"/>
      <c r="M475" s="195">
        <f t="shared" si="22"/>
        <v>-12785</v>
      </c>
      <c r="N475" s="196">
        <f t="shared" si="23"/>
        <v>-0.1657096937254546</v>
      </c>
      <c r="O475" s="197">
        <v>481</v>
      </c>
      <c r="P475" s="197">
        <v>482</v>
      </c>
      <c r="Q475" s="197">
        <v>475</v>
      </c>
      <c r="R475" s="197">
        <v>471</v>
      </c>
      <c r="S475" s="197">
        <v>456</v>
      </c>
      <c r="T475" s="197">
        <v>428</v>
      </c>
      <c r="U475" s="197">
        <v>411</v>
      </c>
      <c r="V475" s="197">
        <v>414</v>
      </c>
      <c r="W475" s="197">
        <v>472</v>
      </c>
      <c r="X475" s="197"/>
      <c r="Y475" s="197">
        <v>465</v>
      </c>
      <c r="Z475" s="197"/>
    </row>
    <row r="476" spans="1:26">
      <c r="A476" s="191" t="str">
        <f>'TYNE &amp; WEAR'!A16</f>
        <v>Gateshead BC</v>
      </c>
      <c r="B476" s="195">
        <f>'TYNE &amp; WEAR'!D16</f>
        <v>66250</v>
      </c>
      <c r="C476" s="195">
        <f>'TYNE &amp; WEAR'!E16</f>
        <v>66066</v>
      </c>
      <c r="D476" s="195">
        <f>'TYNE &amp; WEAR'!F16</f>
        <v>65745</v>
      </c>
      <c r="E476" s="195">
        <f>'TYNE &amp; WEAR'!G16</f>
        <v>66395</v>
      </c>
      <c r="F476" s="195">
        <f>'TYNE &amp; WEAR'!H16</f>
        <v>65600</v>
      </c>
      <c r="G476" s="195">
        <f>'TYNE &amp; WEAR'!I16</f>
        <v>62048</v>
      </c>
      <c r="H476" s="195">
        <f>'TYNE &amp; WEAR'!J16</f>
        <v>62188</v>
      </c>
      <c r="I476" s="195">
        <f>'TYNE &amp; WEAR'!K16</f>
        <v>63769</v>
      </c>
      <c r="J476" s="195">
        <f>'TYNE &amp; WEAR'!L16</f>
        <v>64357</v>
      </c>
      <c r="K476" s="196">
        <f t="shared" si="21"/>
        <v>-2.8573584905660376E-2</v>
      </c>
      <c r="L476" s="196"/>
      <c r="M476" s="195">
        <f t="shared" si="22"/>
        <v>-12796</v>
      </c>
      <c r="N476" s="196">
        <f t="shared" si="23"/>
        <v>-0.16585226757222662</v>
      </c>
      <c r="O476" s="197">
        <v>430</v>
      </c>
      <c r="P476" s="197">
        <v>451</v>
      </c>
      <c r="Q476" s="197">
        <v>462</v>
      </c>
      <c r="R476" s="197">
        <v>454</v>
      </c>
      <c r="S476" s="197">
        <v>459</v>
      </c>
      <c r="T476" s="197">
        <v>492</v>
      </c>
      <c r="U476" s="197">
        <v>479</v>
      </c>
      <c r="V476" s="197">
        <v>475</v>
      </c>
      <c r="W476" s="197">
        <v>473</v>
      </c>
      <c r="X476" s="197"/>
      <c r="Y476" s="197">
        <v>180</v>
      </c>
      <c r="Z476" s="197"/>
    </row>
    <row r="477" spans="1:26">
      <c r="A477" s="191" t="str">
        <f>MERSEYSIDE!A29</f>
        <v>Liverpool, West Derby BC</v>
      </c>
      <c r="B477" s="195">
        <f>MERSEYSIDE!D29</f>
        <v>63130</v>
      </c>
      <c r="C477" s="195">
        <f>MERSEYSIDE!E29</f>
        <v>62709</v>
      </c>
      <c r="D477" s="195">
        <f>MERSEYSIDE!F29</f>
        <v>62751</v>
      </c>
      <c r="E477" s="195">
        <f>MERSEYSIDE!G29</f>
        <v>63315</v>
      </c>
      <c r="F477" s="195">
        <f>MERSEYSIDE!H29</f>
        <v>63625</v>
      </c>
      <c r="G477" s="195">
        <f>MERSEYSIDE!I29</f>
        <v>61699</v>
      </c>
      <c r="H477" s="195">
        <f>MERSEYSIDE!J29</f>
        <v>62153</v>
      </c>
      <c r="I477" s="195">
        <f>MERSEYSIDE!K29</f>
        <v>63378</v>
      </c>
      <c r="J477" s="195">
        <f>MERSEYSIDE!L29</f>
        <v>64351</v>
      </c>
      <c r="K477" s="196">
        <f t="shared" si="21"/>
        <v>1.9341042293679708E-2</v>
      </c>
      <c r="L477" s="196"/>
      <c r="M477" s="195">
        <f t="shared" si="22"/>
        <v>-12802</v>
      </c>
      <c r="N477" s="196">
        <f t="shared" si="23"/>
        <v>-0.16593003512501134</v>
      </c>
      <c r="O477" s="197">
        <v>501</v>
      </c>
      <c r="P477" s="197">
        <v>508</v>
      </c>
      <c r="Q477" s="197">
        <v>507</v>
      </c>
      <c r="R477" s="197">
        <v>502</v>
      </c>
      <c r="S477" s="197">
        <v>491</v>
      </c>
      <c r="T477" s="197">
        <v>496</v>
      </c>
      <c r="U477" s="197">
        <v>480</v>
      </c>
      <c r="V477" s="197">
        <v>477</v>
      </c>
      <c r="W477" s="197">
        <v>474</v>
      </c>
      <c r="X477" s="197"/>
      <c r="Y477" s="197">
        <v>267</v>
      </c>
      <c r="Z477" s="197"/>
    </row>
    <row r="478" spans="1:26">
      <c r="A478" s="191" t="str">
        <f>LANCASHIRE!A35</f>
        <v>Burnley BC</v>
      </c>
      <c r="B478" s="195">
        <f>LANCASHIRE!D35</f>
        <v>66876</v>
      </c>
      <c r="C478" s="195">
        <f>LANCASHIRE!E35</f>
        <v>67003</v>
      </c>
      <c r="D478" s="195">
        <f>LANCASHIRE!F35</f>
        <v>66950</v>
      </c>
      <c r="E478" s="195">
        <f>LANCASHIRE!G35</f>
        <v>65897</v>
      </c>
      <c r="F478" s="195">
        <f>LANCASHIRE!H35</f>
        <v>66830</v>
      </c>
      <c r="G478" s="195">
        <f>LANCASHIRE!I35</f>
        <v>63833</v>
      </c>
      <c r="H478" s="195">
        <f>LANCASHIRE!J35</f>
        <v>63228</v>
      </c>
      <c r="I478" s="195">
        <f>LANCASHIRE!K35</f>
        <v>64147</v>
      </c>
      <c r="J478" s="195">
        <f>LANCASHIRE!L35</f>
        <v>64338</v>
      </c>
      <c r="K478" s="196">
        <f t="shared" si="21"/>
        <v>-3.7950834380046657E-2</v>
      </c>
      <c r="L478" s="196"/>
      <c r="M478" s="195">
        <f t="shared" si="22"/>
        <v>-12815</v>
      </c>
      <c r="N478" s="196">
        <f t="shared" si="23"/>
        <v>-0.16609853148937825</v>
      </c>
      <c r="O478" s="197">
        <v>416</v>
      </c>
      <c r="P478" s="197">
        <v>421</v>
      </c>
      <c r="Q478" s="197">
        <v>436</v>
      </c>
      <c r="R478" s="197">
        <v>468</v>
      </c>
      <c r="S478" s="197">
        <v>431</v>
      </c>
      <c r="T478" s="197">
        <v>465</v>
      </c>
      <c r="U478" s="197">
        <v>460</v>
      </c>
      <c r="V478" s="197">
        <v>470</v>
      </c>
      <c r="W478" s="197">
        <v>475</v>
      </c>
      <c r="X478" s="197"/>
      <c r="Y478" s="197">
        <v>80</v>
      </c>
      <c r="Z478" s="197"/>
    </row>
    <row r="479" spans="1:26">
      <c r="A479" s="191" t="str">
        <f>DORSET!A30</f>
        <v>Mid Dorset and North Poole CC</v>
      </c>
      <c r="B479" s="195">
        <f>DORSET!D33</f>
        <v>64776</v>
      </c>
      <c r="C479" s="195">
        <f>DORSET!E33</f>
        <v>64705</v>
      </c>
      <c r="D479" s="195">
        <f>DORSET!F33</f>
        <v>64768</v>
      </c>
      <c r="E479" s="195">
        <f>DORSET!G33</f>
        <v>64755</v>
      </c>
      <c r="F479" s="195">
        <f>DORSET!H33</f>
        <v>64816</v>
      </c>
      <c r="G479" s="195">
        <f>DORSET!I33</f>
        <v>63749</v>
      </c>
      <c r="H479" s="195">
        <f>DORSET!J33</f>
        <v>62503</v>
      </c>
      <c r="I479" s="195">
        <f>DORSET!K33</f>
        <v>64316</v>
      </c>
      <c r="J479" s="195">
        <f>DORSET!L33</f>
        <v>64277</v>
      </c>
      <c r="K479" s="196">
        <f t="shared" si="21"/>
        <v>-7.7034704211436334E-3</v>
      </c>
      <c r="L479" s="196"/>
      <c r="M479" s="195">
        <f t="shared" si="22"/>
        <v>-12876</v>
      </c>
      <c r="N479" s="196">
        <f t="shared" si="23"/>
        <v>-0.16688916827602296</v>
      </c>
      <c r="O479" s="197">
        <v>472</v>
      </c>
      <c r="P479" s="197">
        <v>485</v>
      </c>
      <c r="Q479" s="197">
        <v>486</v>
      </c>
      <c r="R479" s="197">
        <v>487</v>
      </c>
      <c r="S479" s="197">
        <v>473</v>
      </c>
      <c r="T479" s="197">
        <v>468</v>
      </c>
      <c r="U479" s="197">
        <v>474</v>
      </c>
      <c r="V479" s="197">
        <v>467</v>
      </c>
      <c r="W479" s="197">
        <v>476</v>
      </c>
      <c r="X479" s="197"/>
      <c r="Y479" s="197">
        <v>286</v>
      </c>
      <c r="Z479" s="197"/>
    </row>
    <row r="480" spans="1:26">
      <c r="A480" s="191" t="str">
        <f>LANCASHIRE!A53</f>
        <v>Pendle BC</v>
      </c>
      <c r="B480" s="195">
        <f>LANCASHIRE!D53</f>
        <v>66461</v>
      </c>
      <c r="C480" s="195">
        <f>LANCASHIRE!E53</f>
        <v>66735</v>
      </c>
      <c r="D480" s="195">
        <f>LANCASHIRE!F53</f>
        <v>66918</v>
      </c>
      <c r="E480" s="195">
        <f>LANCASHIRE!G53</f>
        <v>66780</v>
      </c>
      <c r="F480" s="195">
        <f>LANCASHIRE!H53</f>
        <v>66688</v>
      </c>
      <c r="G480" s="195">
        <f>LANCASHIRE!I53</f>
        <v>64241</v>
      </c>
      <c r="H480" s="195">
        <f>LANCASHIRE!J53</f>
        <v>62891</v>
      </c>
      <c r="I480" s="195">
        <f>LANCASHIRE!K53</f>
        <v>63972</v>
      </c>
      <c r="J480" s="195">
        <f>LANCASHIRE!L53</f>
        <v>64257</v>
      </c>
      <c r="K480" s="196">
        <f t="shared" si="21"/>
        <v>-3.3162305713124993E-2</v>
      </c>
      <c r="L480" s="196"/>
      <c r="M480" s="195">
        <f t="shared" si="22"/>
        <v>-12896</v>
      </c>
      <c r="N480" s="196">
        <f t="shared" si="23"/>
        <v>-0.16714839345197205</v>
      </c>
      <c r="O480" s="197">
        <v>425</v>
      </c>
      <c r="P480" s="197">
        <v>427</v>
      </c>
      <c r="Q480" s="197">
        <v>437</v>
      </c>
      <c r="R480" s="197">
        <v>449</v>
      </c>
      <c r="S480" s="197">
        <v>439</v>
      </c>
      <c r="T480" s="197">
        <v>456</v>
      </c>
      <c r="U480" s="197">
        <v>467</v>
      </c>
      <c r="V480" s="197">
        <v>474</v>
      </c>
      <c r="W480" s="197">
        <v>477</v>
      </c>
      <c r="X480" s="197"/>
      <c r="Y480" s="197">
        <v>346</v>
      </c>
      <c r="Z480" s="197"/>
    </row>
    <row r="481" spans="1:26">
      <c r="A481" s="191" t="str">
        <f>'WEST MIDLANDS'!A63</f>
        <v>West Bromwich East BC</v>
      </c>
      <c r="B481" s="195">
        <f>'WEST MIDLANDS'!D63</f>
        <v>63218</v>
      </c>
      <c r="C481" s="195">
        <f>'WEST MIDLANDS'!E63</f>
        <v>63008</v>
      </c>
      <c r="D481" s="195">
        <f>'WEST MIDLANDS'!F63</f>
        <v>63465</v>
      </c>
      <c r="E481" s="195">
        <f>'WEST MIDLANDS'!G63</f>
        <v>64389</v>
      </c>
      <c r="F481" s="195">
        <f>'WEST MIDLANDS'!H63</f>
        <v>63641</v>
      </c>
      <c r="G481" s="195">
        <f>'WEST MIDLANDS'!I63</f>
        <v>63587</v>
      </c>
      <c r="H481" s="195">
        <f>'WEST MIDLANDS'!J63</f>
        <v>62033</v>
      </c>
      <c r="I481" s="195">
        <f>'WEST MIDLANDS'!K63</f>
        <v>62968</v>
      </c>
      <c r="J481" s="195">
        <f>'WEST MIDLANDS'!L63</f>
        <v>64007</v>
      </c>
      <c r="K481" s="196">
        <f t="shared" si="21"/>
        <v>1.248062260748521E-2</v>
      </c>
      <c r="L481" s="196"/>
      <c r="M481" s="195">
        <f t="shared" si="22"/>
        <v>-13146</v>
      </c>
      <c r="N481" s="196">
        <f t="shared" si="23"/>
        <v>-0.17038870815133567</v>
      </c>
      <c r="O481" s="197">
        <v>499</v>
      </c>
      <c r="P481" s="197">
        <v>504</v>
      </c>
      <c r="Q481" s="197">
        <v>500</v>
      </c>
      <c r="R481" s="197">
        <v>490</v>
      </c>
      <c r="S481" s="197">
        <v>489</v>
      </c>
      <c r="T481" s="197">
        <v>473</v>
      </c>
      <c r="U481" s="197">
        <v>484</v>
      </c>
      <c r="V481" s="197">
        <v>484</v>
      </c>
      <c r="W481" s="197">
        <v>478</v>
      </c>
      <c r="X481" s="197"/>
      <c r="Y481" s="197">
        <v>500</v>
      </c>
      <c r="Z481" s="197"/>
    </row>
    <row r="482" spans="1:26">
      <c r="A482" s="191" t="str">
        <f>DERBYSHIRE!A28</f>
        <v>Derbyshire Dales CC</v>
      </c>
      <c r="B482" s="195">
        <f>DERBYSHIRE!D30</f>
        <v>63972</v>
      </c>
      <c r="C482" s="195">
        <f>DERBYSHIRE!E30</f>
        <v>63732</v>
      </c>
      <c r="D482" s="195">
        <f>DERBYSHIRE!F30</f>
        <v>63904</v>
      </c>
      <c r="E482" s="195">
        <f>DERBYSHIRE!G30</f>
        <v>64105</v>
      </c>
      <c r="F482" s="195">
        <f>DERBYSHIRE!H30</f>
        <v>63617</v>
      </c>
      <c r="G482" s="195">
        <f>DERBYSHIRE!I30</f>
        <v>62779</v>
      </c>
      <c r="H482" s="195">
        <f>DERBYSHIRE!J30</f>
        <v>60909</v>
      </c>
      <c r="I482" s="195">
        <f>DERBYSHIRE!K30</f>
        <v>63105</v>
      </c>
      <c r="J482" s="195">
        <f>DERBYSHIRE!L30</f>
        <v>63972</v>
      </c>
      <c r="K482" s="196">
        <f t="shared" si="21"/>
        <v>0</v>
      </c>
      <c r="L482" s="196"/>
      <c r="M482" s="195">
        <f t="shared" si="22"/>
        <v>-13181</v>
      </c>
      <c r="N482" s="196">
        <f t="shared" si="23"/>
        <v>-0.17084235220924657</v>
      </c>
      <c r="O482" s="197">
        <v>484</v>
      </c>
      <c r="P482" s="197">
        <v>495</v>
      </c>
      <c r="Q482" s="197">
        <v>493</v>
      </c>
      <c r="R482" s="197">
        <v>497</v>
      </c>
      <c r="S482" s="197">
        <v>492</v>
      </c>
      <c r="T482" s="197">
        <v>484</v>
      </c>
      <c r="U482" s="197">
        <v>492</v>
      </c>
      <c r="V482" s="197">
        <v>482</v>
      </c>
      <c r="W482" s="197">
        <v>479</v>
      </c>
      <c r="X482" s="197"/>
      <c r="Y482" s="197">
        <v>135</v>
      </c>
      <c r="Z482" s="197"/>
    </row>
    <row r="483" spans="1:26">
      <c r="A483" s="191" t="str">
        <f>'WEST YORKSHIRE'!A33</f>
        <v>Huddersfield BC</v>
      </c>
      <c r="B483" s="195">
        <f>'WEST YORKSHIRE'!D33</f>
        <v>66206</v>
      </c>
      <c r="C483" s="195">
        <f>'WEST YORKSHIRE'!E33</f>
        <v>66681</v>
      </c>
      <c r="D483" s="195">
        <f>'WEST YORKSHIRE'!F33</f>
        <v>67443</v>
      </c>
      <c r="E483" s="195">
        <f>'WEST YORKSHIRE'!G33</f>
        <v>67360</v>
      </c>
      <c r="F483" s="195">
        <f>'WEST YORKSHIRE'!H33</f>
        <v>66800</v>
      </c>
      <c r="G483" s="195">
        <f>'WEST YORKSHIRE'!I33</f>
        <v>62318</v>
      </c>
      <c r="H483" s="195">
        <f>'WEST YORKSHIRE'!J33</f>
        <v>62400</v>
      </c>
      <c r="I483" s="195">
        <f>'WEST YORKSHIRE'!K33</f>
        <v>65045</v>
      </c>
      <c r="J483" s="195">
        <f>'WEST YORKSHIRE'!L33</f>
        <v>63751</v>
      </c>
      <c r="K483" s="196">
        <f t="shared" si="21"/>
        <v>-3.7081231308340637E-2</v>
      </c>
      <c r="L483" s="196"/>
      <c r="M483" s="195">
        <f t="shared" si="22"/>
        <v>-13402</v>
      </c>
      <c r="N483" s="196">
        <f t="shared" si="23"/>
        <v>-0.173706790403484</v>
      </c>
      <c r="O483" s="197">
        <v>433</v>
      </c>
      <c r="P483" s="197">
        <v>434</v>
      </c>
      <c r="Q483" s="197">
        <v>417</v>
      </c>
      <c r="R483" s="197">
        <v>433</v>
      </c>
      <c r="S483" s="197">
        <v>433</v>
      </c>
      <c r="T483" s="197">
        <v>487</v>
      </c>
      <c r="U483" s="197">
        <v>475</v>
      </c>
      <c r="V483" s="197">
        <v>453</v>
      </c>
      <c r="W483" s="197">
        <v>480</v>
      </c>
      <c r="X483" s="197"/>
      <c r="Y483" s="197">
        <v>227</v>
      </c>
      <c r="Z483" s="197"/>
    </row>
    <row r="484" spans="1:26">
      <c r="A484" s="191" t="str">
        <f>'WALTHAM FOREST'!A11</f>
        <v xml:space="preserve">Leyton and Wanstead BC </v>
      </c>
      <c r="B484" s="195">
        <f>'WALTHAM FOREST'!D13</f>
        <v>62102</v>
      </c>
      <c r="C484" s="195">
        <f>'WALTHAM FOREST'!E13</f>
        <v>63021</v>
      </c>
      <c r="D484" s="195">
        <f>'WALTHAM FOREST'!F13</f>
        <v>63430</v>
      </c>
      <c r="E484" s="195">
        <f>'WALTHAM FOREST'!G13</f>
        <v>63354</v>
      </c>
      <c r="F484" s="195">
        <f>'WALTHAM FOREST'!H13</f>
        <v>63476</v>
      </c>
      <c r="G484" s="195">
        <f>'WALTHAM FOREST'!I13</f>
        <v>61135</v>
      </c>
      <c r="H484" s="195">
        <f>'WALTHAM FOREST'!J13</f>
        <v>60150</v>
      </c>
      <c r="I484" s="195">
        <f>'WALTHAM FOREST'!K13</f>
        <v>62196</v>
      </c>
      <c r="J484" s="195">
        <f>'WALTHAM FOREST'!L13</f>
        <v>63702</v>
      </c>
      <c r="K484" s="196">
        <f t="shared" si="21"/>
        <v>2.5764065569546874E-2</v>
      </c>
      <c r="L484" s="196"/>
      <c r="M484" s="195">
        <f t="shared" si="22"/>
        <v>-13451</v>
      </c>
      <c r="N484" s="196">
        <f t="shared" si="23"/>
        <v>-0.17434189208455925</v>
      </c>
      <c r="O484" s="197">
        <v>513</v>
      </c>
      <c r="P484" s="197">
        <v>503</v>
      </c>
      <c r="Q484" s="197">
        <v>502</v>
      </c>
      <c r="R484" s="197">
        <v>501</v>
      </c>
      <c r="S484" s="197">
        <v>493</v>
      </c>
      <c r="T484" s="197">
        <v>501</v>
      </c>
      <c r="U484" s="197">
        <v>503</v>
      </c>
      <c r="V484" s="197">
        <v>496</v>
      </c>
      <c r="W484" s="197">
        <v>481</v>
      </c>
      <c r="X484" s="197"/>
      <c r="Y484" s="197">
        <v>261</v>
      </c>
      <c r="Z484" s="197"/>
    </row>
    <row r="485" spans="1:26">
      <c r="A485" s="191" t="str">
        <f>NOTTINGHAM!A7</f>
        <v>Nottingham East BC</v>
      </c>
      <c r="B485" s="195">
        <f>NOTTINGHAM!D7</f>
        <v>57353</v>
      </c>
      <c r="C485" s="195">
        <f>NOTTINGHAM!E7</f>
        <v>59489</v>
      </c>
      <c r="D485" s="195">
        <f>NOTTINGHAM!F7</f>
        <v>61851</v>
      </c>
      <c r="E485" s="195">
        <f>NOTTINGHAM!G7</f>
        <v>60933</v>
      </c>
      <c r="F485" s="195">
        <f>NOTTINGHAM!H7</f>
        <v>59119</v>
      </c>
      <c r="G485" s="195">
        <f>NOTTINGHAM!I7</f>
        <v>55250</v>
      </c>
      <c r="H485" s="195">
        <f>NOTTINGHAM!J7</f>
        <v>57132</v>
      </c>
      <c r="I485" s="195">
        <f>NOTTINGHAM!K7</f>
        <v>59207</v>
      </c>
      <c r="J485" s="195">
        <f>NOTTINGHAM!L7</f>
        <v>63628</v>
      </c>
      <c r="K485" s="196">
        <f t="shared" si="21"/>
        <v>0.1094101441947239</v>
      </c>
      <c r="L485" s="196"/>
      <c r="M485" s="195">
        <f t="shared" si="22"/>
        <v>-13525</v>
      </c>
      <c r="N485" s="196">
        <f t="shared" si="23"/>
        <v>-0.17530102523557087</v>
      </c>
      <c r="O485" s="197">
        <v>530</v>
      </c>
      <c r="P485" s="197">
        <v>529</v>
      </c>
      <c r="Q485" s="197">
        <v>518</v>
      </c>
      <c r="R485" s="197">
        <v>527</v>
      </c>
      <c r="S485" s="197">
        <v>526</v>
      </c>
      <c r="T485" s="197">
        <v>531</v>
      </c>
      <c r="U485" s="197">
        <v>524</v>
      </c>
      <c r="V485" s="197">
        <v>520</v>
      </c>
      <c r="W485" s="197">
        <v>482</v>
      </c>
      <c r="X485" s="197"/>
      <c r="Y485" s="197">
        <v>336</v>
      </c>
      <c r="Z485" s="197"/>
    </row>
    <row r="486" spans="1:26">
      <c r="A486" s="191" t="str">
        <f>WESTMINSTER!A11</f>
        <v>Westminster North BC</v>
      </c>
      <c r="B486" s="195">
        <f>WESTMINSTER!D11</f>
        <v>64459</v>
      </c>
      <c r="C486" s="195">
        <f>WESTMINSTER!E11</f>
        <v>65936</v>
      </c>
      <c r="D486" s="195">
        <f>WESTMINSTER!F11</f>
        <v>64191</v>
      </c>
      <c r="E486" s="195">
        <f>WESTMINSTER!G11</f>
        <v>62681</v>
      </c>
      <c r="F486" s="195">
        <f>WESTMINSTER!H11</f>
        <v>60879</v>
      </c>
      <c r="G486" s="195">
        <f>WESTMINSTER!I11</f>
        <v>57885</v>
      </c>
      <c r="H486" s="195">
        <f>WESTMINSTER!J11</f>
        <v>59436</v>
      </c>
      <c r="I486" s="195">
        <f>WESTMINSTER!K11</f>
        <v>62892</v>
      </c>
      <c r="J486" s="195">
        <f>WESTMINSTER!L11</f>
        <v>63592</v>
      </c>
      <c r="K486" s="196">
        <f t="shared" si="21"/>
        <v>-1.3450410338354613E-2</v>
      </c>
      <c r="L486" s="196"/>
      <c r="M486" s="195">
        <f t="shared" si="22"/>
        <v>-13561</v>
      </c>
      <c r="N486" s="196">
        <f t="shared" si="23"/>
        <v>-0.17576763055227923</v>
      </c>
      <c r="O486" s="197">
        <v>477</v>
      </c>
      <c r="P486" s="197">
        <v>454</v>
      </c>
      <c r="Q486" s="197">
        <v>490</v>
      </c>
      <c r="R486" s="197">
        <v>507</v>
      </c>
      <c r="S486" s="197">
        <v>517</v>
      </c>
      <c r="T486" s="197">
        <v>520</v>
      </c>
      <c r="U486" s="197">
        <v>508</v>
      </c>
      <c r="V486" s="197">
        <v>485</v>
      </c>
      <c r="W486" s="197">
        <v>483</v>
      </c>
      <c r="X486" s="197"/>
      <c r="Y486" s="197">
        <v>507</v>
      </c>
      <c r="Z486" s="197"/>
    </row>
    <row r="487" spans="1:26">
      <c r="A487" s="191" t="str">
        <f>DURHAM!A23</f>
        <v>Sedgefield CC</v>
      </c>
      <c r="B487" s="195">
        <f>DURHAM!D25</f>
        <v>65746</v>
      </c>
      <c r="C487" s="195">
        <f>DURHAM!E25</f>
        <v>67386</v>
      </c>
      <c r="D487" s="195">
        <f>DURHAM!F25</f>
        <v>67022</v>
      </c>
      <c r="E487" s="195">
        <f>DURHAM!G25</f>
        <v>66913</v>
      </c>
      <c r="F487" s="195">
        <f>DURHAM!H25</f>
        <v>65469</v>
      </c>
      <c r="G487" s="195">
        <f>DURHAM!I25</f>
        <v>62118</v>
      </c>
      <c r="H487" s="195">
        <f>DURHAM!J25</f>
        <v>62060</v>
      </c>
      <c r="I487" s="195">
        <f>DURHAM!K25</f>
        <v>63294</v>
      </c>
      <c r="J487" s="195">
        <f>DURHAM!L25</f>
        <v>63518</v>
      </c>
      <c r="K487" s="196">
        <f t="shared" si="21"/>
        <v>-3.388799318589724E-2</v>
      </c>
      <c r="L487" s="196"/>
      <c r="M487" s="195">
        <f t="shared" si="22"/>
        <v>-13635</v>
      </c>
      <c r="N487" s="196">
        <f t="shared" si="23"/>
        <v>-0.17672676370329085</v>
      </c>
      <c r="O487" s="197">
        <v>444</v>
      </c>
      <c r="P487" s="197">
        <v>411</v>
      </c>
      <c r="Q487" s="197">
        <v>431</v>
      </c>
      <c r="R487" s="197">
        <v>444</v>
      </c>
      <c r="S487" s="197">
        <v>464</v>
      </c>
      <c r="T487" s="197">
        <v>491</v>
      </c>
      <c r="U487" s="197">
        <v>482</v>
      </c>
      <c r="V487" s="197">
        <v>479</v>
      </c>
      <c r="W487" s="197">
        <v>484</v>
      </c>
      <c r="X487" s="197"/>
      <c r="Y487" s="197">
        <v>386</v>
      </c>
      <c r="Z487" s="197"/>
    </row>
    <row r="488" spans="1:26">
      <c r="A488" s="191" t="str">
        <f>'WEST MIDLANDS'!A19</f>
        <v>Birmingham, Erdington BC</v>
      </c>
      <c r="B488" s="195">
        <f>'WEST MIDLANDS'!D19</f>
        <v>66839</v>
      </c>
      <c r="C488" s="195">
        <f>'WEST MIDLANDS'!E19</f>
        <v>67598</v>
      </c>
      <c r="D488" s="195">
        <f>'WEST MIDLANDS'!F19</f>
        <v>68502</v>
      </c>
      <c r="E488" s="195">
        <f>'WEST MIDLANDS'!G19</f>
        <v>67691</v>
      </c>
      <c r="F488" s="195">
        <f>'WEST MIDLANDS'!H19</f>
        <v>65005</v>
      </c>
      <c r="G488" s="195">
        <f>'WEST MIDLANDS'!I19</f>
        <v>65226</v>
      </c>
      <c r="H488" s="195">
        <f>'WEST MIDLANDS'!J19</f>
        <v>62552</v>
      </c>
      <c r="I488" s="195">
        <f>'WEST MIDLANDS'!K19</f>
        <v>62672</v>
      </c>
      <c r="J488" s="195">
        <f>'WEST MIDLANDS'!L19</f>
        <v>63432</v>
      </c>
      <c r="K488" s="196">
        <f t="shared" si="21"/>
        <v>-5.0973234189619833E-2</v>
      </c>
      <c r="L488" s="196"/>
      <c r="M488" s="195">
        <f t="shared" si="22"/>
        <v>-13721</v>
      </c>
      <c r="N488" s="196">
        <f t="shared" si="23"/>
        <v>-0.17784143195987195</v>
      </c>
      <c r="O488" s="197">
        <v>419</v>
      </c>
      <c r="P488" s="197">
        <v>404</v>
      </c>
      <c r="Q488" s="197">
        <v>387</v>
      </c>
      <c r="R488" s="197">
        <v>419</v>
      </c>
      <c r="S488" s="197">
        <v>470</v>
      </c>
      <c r="T488" s="197">
        <v>431</v>
      </c>
      <c r="U488" s="197">
        <v>473</v>
      </c>
      <c r="V488" s="197">
        <v>488</v>
      </c>
      <c r="W488" s="197">
        <v>485</v>
      </c>
      <c r="X488" s="197"/>
      <c r="Y488" s="197">
        <v>32</v>
      </c>
      <c r="Z488" s="197"/>
    </row>
    <row r="489" spans="1:26">
      <c r="A489" s="191" t="str">
        <f>WORCESTERSHIRE!A18</f>
        <v>Redditch CC</v>
      </c>
      <c r="B489" s="195">
        <f>WORCESTERSHIRE!D20</f>
        <v>66977</v>
      </c>
      <c r="C489" s="195">
        <f>WORCESTERSHIRE!E20</f>
        <v>66492</v>
      </c>
      <c r="D489" s="195">
        <f>WORCESTERSHIRE!F20</f>
        <v>66571</v>
      </c>
      <c r="E489" s="195">
        <f>WORCESTERSHIRE!G20</f>
        <v>66801</v>
      </c>
      <c r="F489" s="195">
        <f>WORCESTERSHIRE!H20</f>
        <v>64927</v>
      </c>
      <c r="G489" s="195">
        <f>WORCESTERSHIRE!I20</f>
        <v>64921</v>
      </c>
      <c r="H489" s="195">
        <f>WORCESTERSHIRE!J20</f>
        <v>64071</v>
      </c>
      <c r="I489" s="195">
        <f>WORCESTERSHIRE!K20</f>
        <v>64682</v>
      </c>
      <c r="J489" s="195">
        <f>WORCESTERSHIRE!L20</f>
        <v>63385</v>
      </c>
      <c r="K489" s="196">
        <f t="shared" si="21"/>
        <v>-5.3630350717410458E-2</v>
      </c>
      <c r="L489" s="196"/>
      <c r="M489" s="195">
        <f t="shared" si="22"/>
        <v>-13768</v>
      </c>
      <c r="N489" s="196">
        <f t="shared" si="23"/>
        <v>-0.17845061112335231</v>
      </c>
      <c r="O489" s="197">
        <v>411</v>
      </c>
      <c r="P489" s="197">
        <v>441</v>
      </c>
      <c r="Q489" s="197">
        <v>446</v>
      </c>
      <c r="R489" s="197">
        <v>447</v>
      </c>
      <c r="S489" s="197">
        <v>471</v>
      </c>
      <c r="T489" s="197">
        <v>444</v>
      </c>
      <c r="U489" s="197">
        <v>439</v>
      </c>
      <c r="V489" s="197">
        <v>460</v>
      </c>
      <c r="W489" s="197">
        <v>486</v>
      </c>
      <c r="X489" s="197"/>
      <c r="Y489" s="197">
        <v>363</v>
      </c>
      <c r="Z489" s="197"/>
    </row>
    <row r="490" spans="1:26">
      <c r="A490" s="191" t="str">
        <f>'SOUTH YORKSHIRE'!A12</f>
        <v>Barnsley Central BC</v>
      </c>
      <c r="B490" s="195">
        <f>'SOUTH YORKSHIRE'!D12</f>
        <v>64864</v>
      </c>
      <c r="C490" s="195">
        <f>'SOUTH YORKSHIRE'!E12</f>
        <v>64732</v>
      </c>
      <c r="D490" s="195">
        <f>'SOUTH YORKSHIRE'!F12</f>
        <v>65317</v>
      </c>
      <c r="E490" s="195">
        <f>'SOUTH YORKSHIRE'!G12</f>
        <v>65674</v>
      </c>
      <c r="F490" s="195">
        <f>'SOUTH YORKSHIRE'!H12</f>
        <v>65738</v>
      </c>
      <c r="G490" s="195">
        <f>'SOUTH YORKSHIRE'!I12</f>
        <v>64170</v>
      </c>
      <c r="H490" s="195">
        <f>'SOUTH YORKSHIRE'!J12</f>
        <v>60767</v>
      </c>
      <c r="I490" s="195">
        <f>'SOUTH YORKSHIRE'!K12</f>
        <v>62523</v>
      </c>
      <c r="J490" s="195">
        <f>'SOUTH YORKSHIRE'!L12</f>
        <v>63374</v>
      </c>
      <c r="K490" s="196">
        <f t="shared" si="21"/>
        <v>-2.2971139615194869E-2</v>
      </c>
      <c r="L490" s="196"/>
      <c r="M490" s="195">
        <f t="shared" si="22"/>
        <v>-13779</v>
      </c>
      <c r="N490" s="196">
        <f t="shared" si="23"/>
        <v>-0.1785931849701243</v>
      </c>
      <c r="O490" s="197">
        <v>465</v>
      </c>
      <c r="P490" s="197">
        <v>483</v>
      </c>
      <c r="Q490" s="197">
        <v>473</v>
      </c>
      <c r="R490" s="197">
        <v>474</v>
      </c>
      <c r="S490" s="197">
        <v>452</v>
      </c>
      <c r="T490" s="197">
        <v>457</v>
      </c>
      <c r="U490" s="197">
        <v>496</v>
      </c>
      <c r="V490" s="197">
        <v>492</v>
      </c>
      <c r="W490" s="197">
        <v>487</v>
      </c>
      <c r="X490" s="197"/>
      <c r="Y490" s="197">
        <v>12</v>
      </c>
      <c r="Z490" s="197"/>
    </row>
    <row r="491" spans="1:26">
      <c r="A491" s="191" t="str">
        <f>'WEST MIDLANDS'!A61</f>
        <v>Warley BC</v>
      </c>
      <c r="B491" s="195">
        <f>'WEST MIDLANDS'!D61</f>
        <v>63232</v>
      </c>
      <c r="C491" s="195">
        <f>'WEST MIDLANDS'!E61</f>
        <v>63024</v>
      </c>
      <c r="D491" s="195">
        <f>'WEST MIDLANDS'!F61</f>
        <v>63861</v>
      </c>
      <c r="E491" s="195">
        <f>'WEST MIDLANDS'!G61</f>
        <v>64502</v>
      </c>
      <c r="F491" s="195">
        <f>'WEST MIDLANDS'!H61</f>
        <v>63642</v>
      </c>
      <c r="G491" s="195">
        <f>'WEST MIDLANDS'!I61</f>
        <v>63668</v>
      </c>
      <c r="H491" s="195">
        <f>'WEST MIDLANDS'!J61</f>
        <v>61346</v>
      </c>
      <c r="I491" s="195">
        <f>'WEST MIDLANDS'!K61</f>
        <v>62633</v>
      </c>
      <c r="J491" s="195">
        <f>'WEST MIDLANDS'!L61</f>
        <v>63219</v>
      </c>
      <c r="K491" s="196">
        <f t="shared" si="21"/>
        <v>-2.0559210526315788E-4</v>
      </c>
      <c r="L491" s="196"/>
      <c r="M491" s="195">
        <f t="shared" si="22"/>
        <v>-13934</v>
      </c>
      <c r="N491" s="196">
        <f t="shared" si="23"/>
        <v>-0.18060218008372972</v>
      </c>
      <c r="O491" s="197">
        <v>498</v>
      </c>
      <c r="P491" s="197">
        <v>502</v>
      </c>
      <c r="Q491" s="197">
        <v>494</v>
      </c>
      <c r="R491" s="197">
        <v>489</v>
      </c>
      <c r="S491" s="197">
        <v>488</v>
      </c>
      <c r="T491" s="197">
        <v>471</v>
      </c>
      <c r="U491" s="197">
        <v>489</v>
      </c>
      <c r="V491" s="197">
        <v>489</v>
      </c>
      <c r="W491" s="197">
        <v>488</v>
      </c>
      <c r="X491" s="197"/>
      <c r="Y491" s="197">
        <v>487</v>
      </c>
      <c r="Z491" s="197"/>
    </row>
    <row r="492" spans="1:26">
      <c r="A492" s="191" t="str">
        <f>MERSEYSIDE!A13</f>
        <v>Birkenhead BC</v>
      </c>
      <c r="B492" s="195">
        <f>MERSEYSIDE!D13</f>
        <v>62970</v>
      </c>
      <c r="C492" s="195">
        <f>MERSEYSIDE!E13</f>
        <v>62432</v>
      </c>
      <c r="D492" s="195">
        <f>MERSEYSIDE!F13</f>
        <v>61583</v>
      </c>
      <c r="E492" s="195">
        <f>MERSEYSIDE!G13</f>
        <v>62399</v>
      </c>
      <c r="F492" s="195">
        <f>MERSEYSIDE!H13</f>
        <v>62303</v>
      </c>
      <c r="G492" s="195">
        <f>MERSEYSIDE!I13</f>
        <v>60194</v>
      </c>
      <c r="H492" s="195">
        <f>MERSEYSIDE!J13</f>
        <v>60845</v>
      </c>
      <c r="I492" s="195">
        <f>MERSEYSIDE!K13</f>
        <v>62434</v>
      </c>
      <c r="J492" s="195">
        <f>MERSEYSIDE!L13</f>
        <v>63062</v>
      </c>
      <c r="K492" s="196">
        <f t="shared" si="21"/>
        <v>1.461013180879784E-3</v>
      </c>
      <c r="L492" s="196"/>
      <c r="M492" s="195">
        <f t="shared" si="22"/>
        <v>-14091</v>
      </c>
      <c r="N492" s="196">
        <f t="shared" si="23"/>
        <v>-0.18263709771493009</v>
      </c>
      <c r="O492" s="197">
        <v>503</v>
      </c>
      <c r="P492" s="197">
        <v>510</v>
      </c>
      <c r="Q492" s="197">
        <v>521</v>
      </c>
      <c r="R492" s="197">
        <v>511</v>
      </c>
      <c r="S492" s="197">
        <v>501</v>
      </c>
      <c r="T492" s="197">
        <v>507</v>
      </c>
      <c r="U492" s="197">
        <v>493</v>
      </c>
      <c r="V492" s="197">
        <v>494</v>
      </c>
      <c r="W492" s="197">
        <v>489</v>
      </c>
      <c r="X492" s="197"/>
      <c r="Y492" s="197">
        <v>30</v>
      </c>
      <c r="Z492" s="197"/>
    </row>
    <row r="493" spans="1:26">
      <c r="A493" s="191" t="str">
        <f>'TYNE &amp; WEAR'!A36</f>
        <v>South Shields BC</v>
      </c>
      <c r="B493" s="195">
        <f>'TYNE &amp; WEAR'!D36</f>
        <v>63841</v>
      </c>
      <c r="C493" s="195">
        <f>'TYNE &amp; WEAR'!E36</f>
        <v>63765</v>
      </c>
      <c r="D493" s="195">
        <f>'TYNE &amp; WEAR'!F36</f>
        <v>63970</v>
      </c>
      <c r="E493" s="195">
        <f>'TYNE &amp; WEAR'!G36</f>
        <v>64236</v>
      </c>
      <c r="F493" s="195">
        <f>'TYNE &amp; WEAR'!H36</f>
        <v>63438</v>
      </c>
      <c r="G493" s="195">
        <f>'TYNE &amp; WEAR'!I36</f>
        <v>62946</v>
      </c>
      <c r="H493" s="195">
        <f>'TYNE &amp; WEAR'!J36</f>
        <v>63155</v>
      </c>
      <c r="I493" s="195">
        <f>'TYNE &amp; WEAR'!K36</f>
        <v>63259</v>
      </c>
      <c r="J493" s="195">
        <f>'TYNE &amp; WEAR'!L36</f>
        <v>63003</v>
      </c>
      <c r="K493" s="196">
        <f t="shared" si="21"/>
        <v>-1.3126360802619006E-2</v>
      </c>
      <c r="L493" s="196"/>
      <c r="M493" s="195">
        <f t="shared" si="22"/>
        <v>-14150</v>
      </c>
      <c r="N493" s="196">
        <f t="shared" si="23"/>
        <v>-0.1834018119839799</v>
      </c>
      <c r="O493" s="197">
        <v>487</v>
      </c>
      <c r="P493" s="197">
        <v>493</v>
      </c>
      <c r="Q493" s="197">
        <v>492</v>
      </c>
      <c r="R493" s="197">
        <v>494</v>
      </c>
      <c r="S493" s="197">
        <v>494</v>
      </c>
      <c r="T493" s="197">
        <v>482</v>
      </c>
      <c r="U493" s="197">
        <v>461</v>
      </c>
      <c r="V493" s="197">
        <v>481</v>
      </c>
      <c r="W493" s="197">
        <v>490</v>
      </c>
      <c r="X493" s="197"/>
      <c r="Y493" s="197">
        <v>415</v>
      </c>
      <c r="Z493" s="197"/>
    </row>
    <row r="494" spans="1:26">
      <c r="A494" s="191" t="str">
        <f>'GREATER MANCHESTER'!A71</f>
        <v>Stockport BC</v>
      </c>
      <c r="B494" s="195">
        <f>'GREATER MANCHESTER'!D71</f>
        <v>62950</v>
      </c>
      <c r="C494" s="195">
        <f>'GREATER MANCHESTER'!E71</f>
        <v>62764</v>
      </c>
      <c r="D494" s="195">
        <f>'GREATER MANCHESTER'!F71</f>
        <v>63788</v>
      </c>
      <c r="E494" s="195">
        <f>'GREATER MANCHESTER'!G71</f>
        <v>64310</v>
      </c>
      <c r="F494" s="195">
        <f>'GREATER MANCHESTER'!H71</f>
        <v>63699</v>
      </c>
      <c r="G494" s="195">
        <f>'GREATER MANCHESTER'!I71</f>
        <v>63648</v>
      </c>
      <c r="H494" s="195">
        <f>'GREATER MANCHESTER'!J71</f>
        <v>60664</v>
      </c>
      <c r="I494" s="195">
        <f>'GREATER MANCHESTER'!K71</f>
        <v>62255</v>
      </c>
      <c r="J494" s="195">
        <f>'GREATER MANCHESTER'!L71</f>
        <v>62906</v>
      </c>
      <c r="K494" s="196">
        <f t="shared" si="21"/>
        <v>-6.9896743447180304E-4</v>
      </c>
      <c r="L494" s="196"/>
      <c r="M494" s="195">
        <f t="shared" si="22"/>
        <v>-14247</v>
      </c>
      <c r="N494" s="196">
        <f t="shared" si="23"/>
        <v>-0.18465905408733296</v>
      </c>
      <c r="O494" s="197">
        <v>505</v>
      </c>
      <c r="P494" s="197">
        <v>507</v>
      </c>
      <c r="Q494" s="197">
        <v>495</v>
      </c>
      <c r="R494" s="197">
        <v>493</v>
      </c>
      <c r="S494" s="197">
        <v>486</v>
      </c>
      <c r="T494" s="197">
        <v>472</v>
      </c>
      <c r="U494" s="197">
        <v>498</v>
      </c>
      <c r="V494" s="197">
        <v>495</v>
      </c>
      <c r="W494" s="197">
        <v>491</v>
      </c>
      <c r="X494" s="197"/>
      <c r="Y494" s="197">
        <v>440</v>
      </c>
      <c r="Z494" s="197"/>
    </row>
    <row r="495" spans="1:26">
      <c r="A495" s="191" t="str">
        <f>'"HUMBERSIDE"'!A33</f>
        <v>Kingston upon Hull North BC</v>
      </c>
      <c r="B495" s="195">
        <f>'"HUMBERSIDE"'!D33</f>
        <v>63473</v>
      </c>
      <c r="C495" s="195">
        <f>'"HUMBERSIDE"'!E33</f>
        <v>65219</v>
      </c>
      <c r="D495" s="195">
        <f>'"HUMBERSIDE"'!F33</f>
        <v>65774</v>
      </c>
      <c r="E495" s="195">
        <f>'"HUMBERSIDE"'!G33</f>
        <v>65976</v>
      </c>
      <c r="F495" s="195">
        <f>'"HUMBERSIDE"'!H33</f>
        <v>66370</v>
      </c>
      <c r="G495" s="195">
        <f>'"HUMBERSIDE"'!I33</f>
        <v>61831</v>
      </c>
      <c r="H495" s="195">
        <f>'"HUMBERSIDE"'!J33</f>
        <v>63112</v>
      </c>
      <c r="I495" s="195">
        <f>'"HUMBERSIDE"'!K33</f>
        <v>64085</v>
      </c>
      <c r="J495" s="195">
        <f>'"HUMBERSIDE"'!L33</f>
        <v>62738</v>
      </c>
      <c r="K495" s="196">
        <f t="shared" si="21"/>
        <v>-1.1579726812975595E-2</v>
      </c>
      <c r="L495" s="196"/>
      <c r="M495" s="195">
        <f t="shared" si="22"/>
        <v>-14415</v>
      </c>
      <c r="N495" s="196">
        <f t="shared" si="23"/>
        <v>-0.1868365455653053</v>
      </c>
      <c r="O495" s="197">
        <v>492</v>
      </c>
      <c r="P495" s="197">
        <v>470</v>
      </c>
      <c r="Q495" s="197">
        <v>461</v>
      </c>
      <c r="R495" s="197">
        <v>466</v>
      </c>
      <c r="S495" s="197">
        <v>446</v>
      </c>
      <c r="T495" s="197">
        <v>495</v>
      </c>
      <c r="U495" s="197">
        <v>462</v>
      </c>
      <c r="V495" s="197">
        <v>472</v>
      </c>
      <c r="W495" s="197">
        <v>492</v>
      </c>
      <c r="X495" s="197"/>
      <c r="Y495" s="197">
        <v>243</v>
      </c>
      <c r="Z495" s="197"/>
    </row>
    <row r="496" spans="1:26">
      <c r="A496" s="191" t="str">
        <f>LANCASHIRE!A29</f>
        <v>Blackpool North and Cleveleys BC</v>
      </c>
      <c r="B496" s="195">
        <f>LANCASHIRE!D31</f>
        <v>66011</v>
      </c>
      <c r="C496" s="195">
        <f>LANCASHIRE!E31</f>
        <v>66187</v>
      </c>
      <c r="D496" s="195">
        <f>LANCASHIRE!F31</f>
        <v>66326</v>
      </c>
      <c r="E496" s="195">
        <f>LANCASHIRE!G31</f>
        <v>66140</v>
      </c>
      <c r="F496" s="195">
        <f>LANCASHIRE!H31</f>
        <v>65488</v>
      </c>
      <c r="G496" s="195">
        <f>LANCASHIRE!I31</f>
        <v>61573</v>
      </c>
      <c r="H496" s="195">
        <f>LANCASHIRE!J31</f>
        <v>60324</v>
      </c>
      <c r="I496" s="195">
        <f>LANCASHIRE!K31</f>
        <v>61987</v>
      </c>
      <c r="J496" s="195">
        <f>LANCASHIRE!L31</f>
        <v>62697</v>
      </c>
      <c r="K496" s="196">
        <f t="shared" si="21"/>
        <v>-5.0203753919801246E-2</v>
      </c>
      <c r="L496" s="196"/>
      <c r="M496" s="195">
        <f t="shared" si="22"/>
        <v>-14456</v>
      </c>
      <c r="N496" s="196">
        <f t="shared" si="23"/>
        <v>-0.18736795717600094</v>
      </c>
      <c r="O496" s="197">
        <v>438</v>
      </c>
      <c r="P496" s="197">
        <v>448</v>
      </c>
      <c r="Q496" s="197">
        <v>450</v>
      </c>
      <c r="R496" s="197">
        <v>460</v>
      </c>
      <c r="S496" s="197">
        <v>463</v>
      </c>
      <c r="T496" s="197">
        <v>498</v>
      </c>
      <c r="U496" s="197">
        <v>501</v>
      </c>
      <c r="V496" s="197">
        <v>498</v>
      </c>
      <c r="W496" s="197">
        <v>493</v>
      </c>
      <c r="X496" s="197"/>
      <c r="Y496" s="197">
        <v>43</v>
      </c>
      <c r="Z496" s="197"/>
    </row>
    <row r="497" spans="1:26">
      <c r="A497" s="191" t="str">
        <f>HAMMERSMITH!A7</f>
        <v>Chelsea and Fulham BC</v>
      </c>
      <c r="B497" s="195">
        <f>HAMMERSMITH!D9</f>
        <v>63707</v>
      </c>
      <c r="C497" s="195">
        <f>HAMMERSMITH!E9</f>
        <v>62958</v>
      </c>
      <c r="D497" s="195">
        <f>HAMMERSMITH!F9</f>
        <v>62829</v>
      </c>
      <c r="E497" s="195">
        <f>HAMMERSMITH!G9</f>
        <v>62754</v>
      </c>
      <c r="F497" s="195">
        <f>HAMMERSMITH!H9</f>
        <v>63063</v>
      </c>
      <c r="G497" s="195">
        <f>HAMMERSMITH!I9</f>
        <v>60603</v>
      </c>
      <c r="H497" s="195">
        <f>HAMMERSMITH!J9</f>
        <v>58927</v>
      </c>
      <c r="I497" s="195">
        <f>HAMMERSMITH!K9</f>
        <v>61137</v>
      </c>
      <c r="J497" s="195">
        <f>HAMMERSMITH!L9</f>
        <v>62448</v>
      </c>
      <c r="K497" s="196">
        <f t="shared" si="21"/>
        <v>-1.9762349506333685E-2</v>
      </c>
      <c r="L497" s="196"/>
      <c r="M497" s="195">
        <f t="shared" si="22"/>
        <v>-14705</v>
      </c>
      <c r="N497" s="196">
        <f t="shared" si="23"/>
        <v>-0.19059531061656709</v>
      </c>
      <c r="O497" s="197">
        <v>488</v>
      </c>
      <c r="P497" s="197">
        <v>505</v>
      </c>
      <c r="Q497" s="197">
        <v>506</v>
      </c>
      <c r="R497" s="197">
        <v>506</v>
      </c>
      <c r="S497" s="197">
        <v>497</v>
      </c>
      <c r="T497" s="197">
        <v>504</v>
      </c>
      <c r="U497" s="197">
        <v>510</v>
      </c>
      <c r="V497" s="197">
        <v>506</v>
      </c>
      <c r="W497" s="197">
        <v>494</v>
      </c>
      <c r="X497" s="197"/>
      <c r="Y497" s="197">
        <v>101</v>
      </c>
      <c r="Z497" s="197"/>
    </row>
    <row r="498" spans="1:26">
      <c r="A498" s="191" t="str">
        <f>NORTHUMBERLAND!A9</f>
        <v>Blyth Valley BC</v>
      </c>
      <c r="B498" s="195">
        <f>NORTHUMBERLAND!D9</f>
        <v>64035</v>
      </c>
      <c r="C498" s="195">
        <f>NORTHUMBERLAND!E9</f>
        <v>63173</v>
      </c>
      <c r="D498" s="195">
        <f>NORTHUMBERLAND!F9</f>
        <v>63719</v>
      </c>
      <c r="E498" s="195">
        <f>NORTHUMBERLAND!G9</f>
        <v>64674</v>
      </c>
      <c r="F498" s="195">
        <f>NORTHUMBERLAND!H9</f>
        <v>63912</v>
      </c>
      <c r="G498" s="195">
        <f>NORTHUMBERLAND!I9</f>
        <v>63712</v>
      </c>
      <c r="H498" s="195">
        <f>NORTHUMBERLAND!J9</f>
        <v>59819</v>
      </c>
      <c r="I498" s="195">
        <f>NORTHUMBERLAND!K9</f>
        <v>60990</v>
      </c>
      <c r="J498" s="195">
        <f>NORTHUMBERLAND!L9</f>
        <v>62420</v>
      </c>
      <c r="K498" s="196">
        <f t="shared" si="21"/>
        <v>-2.5220582493948623E-2</v>
      </c>
      <c r="L498" s="196"/>
      <c r="M498" s="195">
        <f t="shared" si="22"/>
        <v>-14733</v>
      </c>
      <c r="N498" s="196">
        <f t="shared" si="23"/>
        <v>-0.19095822586289579</v>
      </c>
      <c r="O498" s="197">
        <v>483</v>
      </c>
      <c r="P498" s="197">
        <v>499</v>
      </c>
      <c r="Q498" s="197">
        <v>496</v>
      </c>
      <c r="R498" s="197">
        <v>488</v>
      </c>
      <c r="S498" s="197">
        <v>483</v>
      </c>
      <c r="T498" s="197">
        <v>469</v>
      </c>
      <c r="U498" s="197">
        <v>507</v>
      </c>
      <c r="V498" s="197">
        <v>507</v>
      </c>
      <c r="W498" s="197">
        <v>495</v>
      </c>
      <c r="X498" s="197"/>
      <c r="Y498" s="197">
        <v>46</v>
      </c>
      <c r="Z498" s="197"/>
    </row>
    <row r="499" spans="1:26">
      <c r="A499" s="193" t="str">
        <f>STAFFORDSHIRE!A36</f>
        <v>Staffordshire Moorlands CC</v>
      </c>
      <c r="B499" s="195">
        <f>STAFFORDSHIRE!D38</f>
        <v>62377</v>
      </c>
      <c r="C499" s="195">
        <f>STAFFORDSHIRE!E38</f>
        <v>62457</v>
      </c>
      <c r="D499" s="195">
        <f>STAFFORDSHIRE!F38</f>
        <v>62397</v>
      </c>
      <c r="E499" s="195">
        <f>STAFFORDSHIRE!G38</f>
        <v>62540</v>
      </c>
      <c r="F499" s="195">
        <f>STAFFORDSHIRE!H38</f>
        <v>62412</v>
      </c>
      <c r="G499" s="195">
        <f>STAFFORDSHIRE!I38</f>
        <v>62416</v>
      </c>
      <c r="H499" s="195">
        <f>STAFFORDSHIRE!J38</f>
        <v>62337</v>
      </c>
      <c r="I499" s="195">
        <f>STAFFORDSHIRE!K38</f>
        <v>62530</v>
      </c>
      <c r="J499" s="195">
        <f>STAFFORDSHIRE!L38</f>
        <v>62401</v>
      </c>
      <c r="K499" s="196">
        <f t="shared" si="21"/>
        <v>3.8475720217387817E-4</v>
      </c>
      <c r="L499" s="196"/>
      <c r="M499" s="195">
        <f t="shared" si="22"/>
        <v>-14752</v>
      </c>
      <c r="N499" s="196">
        <f t="shared" si="23"/>
        <v>-0.19120448978004745</v>
      </c>
      <c r="O499" s="197">
        <v>510</v>
      </c>
      <c r="P499" s="197">
        <v>509</v>
      </c>
      <c r="Q499" s="197">
        <v>509</v>
      </c>
      <c r="R499" s="197">
        <v>509</v>
      </c>
      <c r="S499" s="197">
        <v>500</v>
      </c>
      <c r="T499" s="197">
        <v>486</v>
      </c>
      <c r="U499" s="197">
        <v>477</v>
      </c>
      <c r="V499" s="197">
        <v>491</v>
      </c>
      <c r="W499" s="197">
        <v>496</v>
      </c>
      <c r="X499" s="197"/>
      <c r="Y499" s="197">
        <v>437</v>
      </c>
      <c r="Z499" s="197"/>
    </row>
    <row r="500" spans="1:26">
      <c r="A500" s="191" t="str">
        <f>GREENWICH!A7</f>
        <v>Eltham BC</v>
      </c>
      <c r="B500" s="195">
        <f>GREENWICH!D7</f>
        <v>62005</v>
      </c>
      <c r="C500" s="195">
        <f>GREENWICH!E7</f>
        <v>63059</v>
      </c>
      <c r="D500" s="195">
        <f>GREENWICH!F7</f>
        <v>61991</v>
      </c>
      <c r="E500" s="195">
        <f>GREENWICH!G7</f>
        <v>62204</v>
      </c>
      <c r="F500" s="195">
        <f>GREENWICH!H7</f>
        <v>61972</v>
      </c>
      <c r="G500" s="195">
        <f>GREENWICH!I7</f>
        <v>62156</v>
      </c>
      <c r="H500" s="195">
        <f>GREENWICH!J7</f>
        <v>61794</v>
      </c>
      <c r="I500" s="195">
        <f>GREENWICH!K7</f>
        <v>62575</v>
      </c>
      <c r="J500" s="195">
        <f>GREENWICH!L7</f>
        <v>62325</v>
      </c>
      <c r="K500" s="196">
        <f t="shared" si="21"/>
        <v>5.1608741230545927E-3</v>
      </c>
      <c r="L500" s="196"/>
      <c r="M500" s="195">
        <f t="shared" si="22"/>
        <v>-14828</v>
      </c>
      <c r="N500" s="196">
        <f t="shared" si="23"/>
        <v>-0.19218954544865396</v>
      </c>
      <c r="O500" s="197">
        <v>514</v>
      </c>
      <c r="P500" s="197">
        <v>501</v>
      </c>
      <c r="Q500" s="197">
        <v>514</v>
      </c>
      <c r="R500" s="197">
        <v>514</v>
      </c>
      <c r="S500" s="197">
        <v>505</v>
      </c>
      <c r="T500" s="197">
        <v>490</v>
      </c>
      <c r="U500" s="197">
        <v>486</v>
      </c>
      <c r="V500" s="197">
        <v>490</v>
      </c>
      <c r="W500" s="197">
        <v>497</v>
      </c>
      <c r="X500" s="197"/>
      <c r="Y500" s="197">
        <v>161</v>
      </c>
      <c r="Z500" s="197"/>
    </row>
    <row r="501" spans="1:26">
      <c r="A501" s="191" t="str">
        <f>'WEST MIDLANDS'!A17</f>
        <v>Birmingham, Edgbaston BC</v>
      </c>
      <c r="B501" s="195">
        <f>'WEST MIDLANDS'!D17</f>
        <v>68566</v>
      </c>
      <c r="C501" s="195">
        <f>'WEST MIDLANDS'!E17</f>
        <v>69039</v>
      </c>
      <c r="D501" s="195">
        <f>'WEST MIDLANDS'!F17</f>
        <v>70384</v>
      </c>
      <c r="E501" s="195">
        <f>'WEST MIDLANDS'!G17</f>
        <v>68876</v>
      </c>
      <c r="F501" s="195">
        <f>'WEST MIDLANDS'!H17</f>
        <v>66612</v>
      </c>
      <c r="G501" s="195">
        <f>'WEST MIDLANDS'!I17</f>
        <v>63153</v>
      </c>
      <c r="H501" s="195">
        <f>'WEST MIDLANDS'!J17</f>
        <v>62795</v>
      </c>
      <c r="I501" s="195">
        <f>'WEST MIDLANDS'!K17</f>
        <v>63043</v>
      </c>
      <c r="J501" s="195">
        <f>'WEST MIDLANDS'!L17</f>
        <v>62185</v>
      </c>
      <c r="K501" s="196">
        <f t="shared" si="21"/>
        <v>-9.3063617536388296E-2</v>
      </c>
      <c r="L501" s="196"/>
      <c r="M501" s="195">
        <f t="shared" si="22"/>
        <v>-14968</v>
      </c>
      <c r="N501" s="196">
        <f t="shared" si="23"/>
        <v>-0.1940041216802976</v>
      </c>
      <c r="O501" s="197">
        <v>366</v>
      </c>
      <c r="P501" s="197">
        <v>366</v>
      </c>
      <c r="Q501" s="197">
        <v>337</v>
      </c>
      <c r="R501" s="197">
        <v>392</v>
      </c>
      <c r="S501" s="197">
        <v>442</v>
      </c>
      <c r="T501" s="197">
        <v>480</v>
      </c>
      <c r="U501" s="197">
        <v>468</v>
      </c>
      <c r="V501" s="197">
        <v>483</v>
      </c>
      <c r="W501" s="197">
        <v>498</v>
      </c>
      <c r="X501" s="197"/>
      <c r="Y501" s="197">
        <v>31</v>
      </c>
      <c r="Z501" s="197"/>
    </row>
    <row r="502" spans="1:26">
      <c r="A502" s="191" t="str">
        <f>'GREATER MANCHESTER'!A47</f>
        <v>Hazel Grove CC</v>
      </c>
      <c r="B502" s="195">
        <f>'GREATER MANCHESTER'!D47</f>
        <v>62665</v>
      </c>
      <c r="C502" s="195">
        <f>'GREATER MANCHESTER'!E47</f>
        <v>62422</v>
      </c>
      <c r="D502" s="195">
        <f>'GREATER MANCHESTER'!F47</f>
        <v>62914</v>
      </c>
      <c r="E502" s="195">
        <f>'GREATER MANCHESTER'!G47</f>
        <v>63213</v>
      </c>
      <c r="F502" s="195">
        <f>'GREATER MANCHESTER'!H47</f>
        <v>62910</v>
      </c>
      <c r="G502" s="195">
        <f>'GREATER MANCHESTER'!I47</f>
        <v>63175</v>
      </c>
      <c r="H502" s="195">
        <f>'GREATER MANCHESTER'!J47</f>
        <v>60718</v>
      </c>
      <c r="I502" s="195">
        <f>'GREATER MANCHESTER'!K47</f>
        <v>61959</v>
      </c>
      <c r="J502" s="195">
        <f>'GREATER MANCHESTER'!L47</f>
        <v>62184</v>
      </c>
      <c r="K502" s="196">
        <f t="shared" si="21"/>
        <v>-7.6757360568100218E-3</v>
      </c>
      <c r="L502" s="196"/>
      <c r="M502" s="195">
        <f t="shared" si="22"/>
        <v>-14969</v>
      </c>
      <c r="N502" s="196">
        <f t="shared" si="23"/>
        <v>-0.19401708293909503</v>
      </c>
      <c r="O502" s="197">
        <v>509</v>
      </c>
      <c r="P502" s="197">
        <v>511</v>
      </c>
      <c r="Q502" s="197">
        <v>505</v>
      </c>
      <c r="R502" s="197">
        <v>503</v>
      </c>
      <c r="S502" s="197">
        <v>498</v>
      </c>
      <c r="T502" s="197">
        <v>478</v>
      </c>
      <c r="U502" s="197">
        <v>497</v>
      </c>
      <c r="V502" s="197">
        <v>499</v>
      </c>
      <c r="W502" s="197">
        <v>499</v>
      </c>
      <c r="X502" s="197"/>
      <c r="Y502" s="197">
        <v>209</v>
      </c>
      <c r="Z502" s="197"/>
    </row>
    <row r="503" spans="1:26">
      <c r="A503" s="191" t="str">
        <f>'SOUTH YORKSHIRE'!A28</f>
        <v>Rotherham BC</v>
      </c>
      <c r="B503" s="195">
        <f>'SOUTH YORKSHIRE'!D28</f>
        <v>62977</v>
      </c>
      <c r="C503" s="195">
        <f>'SOUTH YORKSHIRE'!E28</f>
        <v>63131</v>
      </c>
      <c r="D503" s="195">
        <f>'SOUTH YORKSHIRE'!F28</f>
        <v>63464</v>
      </c>
      <c r="E503" s="195">
        <f>'SOUTH YORKSHIRE'!G28</f>
        <v>64156</v>
      </c>
      <c r="F503" s="195">
        <f>'SOUTH YORKSHIRE'!H28</f>
        <v>64425</v>
      </c>
      <c r="G503" s="195">
        <f>'SOUTH YORKSHIRE'!I28</f>
        <v>63843</v>
      </c>
      <c r="H503" s="195">
        <f>'SOUTH YORKSHIRE'!J28</f>
        <v>62017</v>
      </c>
      <c r="I503" s="195">
        <f>'SOUTH YORKSHIRE'!K28</f>
        <v>62714</v>
      </c>
      <c r="J503" s="195">
        <f>'SOUTH YORKSHIRE'!L28</f>
        <v>62058</v>
      </c>
      <c r="K503" s="196">
        <f t="shared" si="21"/>
        <v>-1.4592629055051844E-2</v>
      </c>
      <c r="L503" s="196"/>
      <c r="M503" s="195">
        <f t="shared" si="22"/>
        <v>-15095</v>
      </c>
      <c r="N503" s="196">
        <f t="shared" si="23"/>
        <v>-0.19565020154757429</v>
      </c>
      <c r="O503" s="197">
        <v>502</v>
      </c>
      <c r="P503" s="197">
        <v>500</v>
      </c>
      <c r="Q503" s="197">
        <v>501</v>
      </c>
      <c r="R503" s="197">
        <v>496</v>
      </c>
      <c r="S503" s="197">
        <v>479</v>
      </c>
      <c r="T503" s="197">
        <v>464</v>
      </c>
      <c r="U503" s="197">
        <v>485</v>
      </c>
      <c r="V503" s="197">
        <v>487</v>
      </c>
      <c r="W503" s="197">
        <v>500</v>
      </c>
      <c r="X503" s="197"/>
      <c r="Y503" s="197">
        <v>375</v>
      </c>
      <c r="Z503" s="197"/>
    </row>
    <row r="504" spans="1:26">
      <c r="A504" s="191" t="str">
        <f>DURHAM!A17</f>
        <v>Easington CC</v>
      </c>
      <c r="B504" s="195">
        <f>DURHAM!D17</f>
        <v>63387</v>
      </c>
      <c r="C504" s="195">
        <f>DURHAM!E17</f>
        <v>65618</v>
      </c>
      <c r="D504" s="195">
        <f>DURHAM!F17</f>
        <v>66096</v>
      </c>
      <c r="E504" s="195">
        <f>DURHAM!G17</f>
        <v>66164</v>
      </c>
      <c r="F504" s="195">
        <f>DURHAM!H17</f>
        <v>64884</v>
      </c>
      <c r="G504" s="195">
        <f>DURHAM!I17</f>
        <v>60820</v>
      </c>
      <c r="H504" s="195">
        <f>DURHAM!J17</f>
        <v>60833</v>
      </c>
      <c r="I504" s="195">
        <f>DURHAM!K17</f>
        <v>61870</v>
      </c>
      <c r="J504" s="195">
        <f>DURHAM!L17</f>
        <v>61851</v>
      </c>
      <c r="K504" s="196">
        <f t="shared" si="21"/>
        <v>-2.4232098064271852E-2</v>
      </c>
      <c r="L504" s="196"/>
      <c r="M504" s="195">
        <f t="shared" si="22"/>
        <v>-15302</v>
      </c>
      <c r="N504" s="196">
        <f t="shared" si="23"/>
        <v>-0.19833318211864737</v>
      </c>
      <c r="O504" s="197">
        <v>496</v>
      </c>
      <c r="P504" s="197">
        <v>462</v>
      </c>
      <c r="Q504" s="197">
        <v>453</v>
      </c>
      <c r="R504" s="197">
        <v>459</v>
      </c>
      <c r="S504" s="197">
        <v>472</v>
      </c>
      <c r="T504" s="197">
        <v>503</v>
      </c>
      <c r="U504" s="197">
        <v>494</v>
      </c>
      <c r="V504" s="197">
        <v>500</v>
      </c>
      <c r="W504" s="197">
        <v>501</v>
      </c>
      <c r="X504" s="197"/>
      <c r="Y504" s="197">
        <v>148</v>
      </c>
      <c r="Z504" s="197"/>
    </row>
    <row r="505" spans="1:26">
      <c r="A505" s="191" t="str">
        <f>'WEST MIDLANDS'!A69</f>
        <v>Wolverhampton South East BC</v>
      </c>
      <c r="B505" s="195">
        <f>'WEST MIDLANDS'!D71</f>
        <v>60290</v>
      </c>
      <c r="C505" s="195">
        <f>'WEST MIDLANDS'!E71</f>
        <v>61751</v>
      </c>
      <c r="D505" s="195">
        <f>'WEST MIDLANDS'!F71</f>
        <v>62309</v>
      </c>
      <c r="E505" s="195">
        <f>'WEST MIDLANDS'!G71</f>
        <v>62680</v>
      </c>
      <c r="F505" s="195">
        <f>'WEST MIDLANDS'!H71</f>
        <v>61585</v>
      </c>
      <c r="G505" s="195">
        <f>'WEST MIDLANDS'!I71</f>
        <v>62261</v>
      </c>
      <c r="H505" s="195">
        <f>'WEST MIDLANDS'!J71</f>
        <v>61633</v>
      </c>
      <c r="I505" s="195">
        <f>'WEST MIDLANDS'!K71</f>
        <v>62117</v>
      </c>
      <c r="J505" s="195">
        <f>'WEST MIDLANDS'!L71</f>
        <v>61768</v>
      </c>
      <c r="K505" s="196">
        <f t="shared" si="21"/>
        <v>2.4514844916238183E-2</v>
      </c>
      <c r="L505" s="196"/>
      <c r="M505" s="195">
        <f t="shared" si="22"/>
        <v>-15385</v>
      </c>
      <c r="N505" s="196">
        <f t="shared" si="23"/>
        <v>-0.19940896659883608</v>
      </c>
      <c r="O505" s="197">
        <v>525</v>
      </c>
      <c r="P505" s="197">
        <v>518</v>
      </c>
      <c r="Q505" s="197">
        <v>511</v>
      </c>
      <c r="R505" s="197">
        <v>508</v>
      </c>
      <c r="S505" s="197">
        <v>508</v>
      </c>
      <c r="T505" s="197">
        <v>489</v>
      </c>
      <c r="U505" s="197">
        <v>487</v>
      </c>
      <c r="V505" s="197">
        <v>497</v>
      </c>
      <c r="W505" s="197">
        <v>502</v>
      </c>
      <c r="X505" s="197"/>
      <c r="Y505" s="197">
        <v>521</v>
      </c>
      <c r="Z505" s="197"/>
    </row>
    <row r="506" spans="1:26">
      <c r="A506" s="191" t="str">
        <f>WANDSWORTH!A9</f>
        <v>Putney BC</v>
      </c>
      <c r="B506" s="195">
        <f>WANDSWORTH!D9</f>
        <v>62223</v>
      </c>
      <c r="C506" s="195">
        <f>WANDSWORTH!E9</f>
        <v>62153</v>
      </c>
      <c r="D506" s="195">
        <f>WANDSWORTH!F9</f>
        <v>62006</v>
      </c>
      <c r="E506" s="195">
        <f>WANDSWORTH!G9</f>
        <v>61984</v>
      </c>
      <c r="F506" s="195">
        <f>WANDSWORTH!H9</f>
        <v>62007</v>
      </c>
      <c r="G506" s="195">
        <f>WANDSWORTH!I9</f>
        <v>59417</v>
      </c>
      <c r="H506" s="195">
        <f>WANDSWORTH!J9</f>
        <v>59822</v>
      </c>
      <c r="I506" s="195">
        <f>WANDSWORTH!K9</f>
        <v>60652</v>
      </c>
      <c r="J506" s="195">
        <f>WANDSWORTH!L9</f>
        <v>61765</v>
      </c>
      <c r="K506" s="196">
        <f t="shared" si="21"/>
        <v>-7.3606222779358113E-3</v>
      </c>
      <c r="L506" s="196"/>
      <c r="M506" s="195">
        <f t="shared" si="22"/>
        <v>-15388</v>
      </c>
      <c r="N506" s="196">
        <f t="shared" si="23"/>
        <v>-0.19944785037522844</v>
      </c>
      <c r="O506" s="197">
        <v>511</v>
      </c>
      <c r="P506" s="197">
        <v>513</v>
      </c>
      <c r="Q506" s="197">
        <v>513</v>
      </c>
      <c r="R506" s="197">
        <v>517</v>
      </c>
      <c r="S506" s="197">
        <v>504</v>
      </c>
      <c r="T506" s="197">
        <v>513</v>
      </c>
      <c r="U506" s="197">
        <v>506</v>
      </c>
      <c r="V506" s="197">
        <v>510</v>
      </c>
      <c r="W506" s="197">
        <v>503</v>
      </c>
      <c r="X506" s="197"/>
      <c r="Y506" s="197">
        <v>358</v>
      </c>
      <c r="Z506" s="197"/>
    </row>
    <row r="507" spans="1:26">
      <c r="A507" s="191" t="str">
        <f>EALING!A11</f>
        <v>Ealing, Southall BC</v>
      </c>
      <c r="B507" s="195">
        <f>EALING!D11</f>
        <v>64253</v>
      </c>
      <c r="C507" s="195">
        <f>EALING!E11</f>
        <v>65768</v>
      </c>
      <c r="D507" s="195">
        <f>EALING!F11</f>
        <v>65819</v>
      </c>
      <c r="E507" s="195">
        <f>EALING!G11</f>
        <v>65562</v>
      </c>
      <c r="F507" s="195">
        <f>EALING!H11</f>
        <v>65609</v>
      </c>
      <c r="G507" s="195">
        <f>EALING!I11</f>
        <v>64266</v>
      </c>
      <c r="H507" s="195">
        <f>EALING!J11</f>
        <v>64475</v>
      </c>
      <c r="I507" s="195">
        <f>EALING!K11</f>
        <v>63282</v>
      </c>
      <c r="J507" s="195">
        <f>EALING!L11</f>
        <v>61752</v>
      </c>
      <c r="K507" s="196">
        <f t="shared" si="21"/>
        <v>-3.8924252564082613E-2</v>
      </c>
      <c r="L507" s="196"/>
      <c r="M507" s="195">
        <f t="shared" si="22"/>
        <v>-15401</v>
      </c>
      <c r="N507" s="196">
        <f t="shared" si="23"/>
        <v>-0.19961634673959536</v>
      </c>
      <c r="O507" s="197">
        <v>480</v>
      </c>
      <c r="P507" s="197">
        <v>459</v>
      </c>
      <c r="Q507" s="197">
        <v>459</v>
      </c>
      <c r="R507" s="197">
        <v>476</v>
      </c>
      <c r="S507" s="197">
        <v>458</v>
      </c>
      <c r="T507" s="197">
        <v>455</v>
      </c>
      <c r="U507" s="197">
        <v>432</v>
      </c>
      <c r="V507" s="197">
        <v>480</v>
      </c>
      <c r="W507" s="197">
        <v>504</v>
      </c>
      <c r="X507" s="197"/>
      <c r="Y507" s="197">
        <v>147</v>
      </c>
      <c r="Z507" s="197"/>
    </row>
    <row r="508" spans="1:26">
      <c r="A508" s="191" t="str">
        <f>MERSEYSIDE!A25</f>
        <v>Liverpool, Walton BC</v>
      </c>
      <c r="B508" s="195">
        <f>MERSEYSIDE!D25</f>
        <v>62746</v>
      </c>
      <c r="C508" s="195">
        <f>MERSEYSIDE!E25</f>
        <v>61974</v>
      </c>
      <c r="D508" s="195">
        <f>MERSEYSIDE!F25</f>
        <v>61948</v>
      </c>
      <c r="E508" s="195">
        <f>MERSEYSIDE!G25</f>
        <v>62328</v>
      </c>
      <c r="F508" s="195">
        <f>MERSEYSIDE!H25</f>
        <v>62274</v>
      </c>
      <c r="G508" s="195">
        <f>MERSEYSIDE!I25</f>
        <v>60078</v>
      </c>
      <c r="H508" s="195">
        <f>MERSEYSIDE!J25</f>
        <v>59917</v>
      </c>
      <c r="I508" s="195">
        <f>MERSEYSIDE!K25</f>
        <v>60878</v>
      </c>
      <c r="J508" s="195">
        <f>MERSEYSIDE!L25</f>
        <v>61318</v>
      </c>
      <c r="K508" s="196">
        <f t="shared" si="21"/>
        <v>-2.2758422847671565E-2</v>
      </c>
      <c r="L508" s="196"/>
      <c r="M508" s="195">
        <f t="shared" si="22"/>
        <v>-15835</v>
      </c>
      <c r="N508" s="196">
        <f t="shared" si="23"/>
        <v>-0.20524153305769055</v>
      </c>
      <c r="O508" s="197">
        <v>508</v>
      </c>
      <c r="P508" s="197">
        <v>515</v>
      </c>
      <c r="Q508" s="197">
        <v>516</v>
      </c>
      <c r="R508" s="197">
        <v>513</v>
      </c>
      <c r="S508" s="197">
        <v>502</v>
      </c>
      <c r="T508" s="197">
        <v>509</v>
      </c>
      <c r="U508" s="197">
        <v>505</v>
      </c>
      <c r="V508" s="197">
        <v>509</v>
      </c>
      <c r="W508" s="197">
        <v>505</v>
      </c>
      <c r="X508" s="197"/>
      <c r="Y508" s="197">
        <v>265</v>
      </c>
      <c r="Z508" s="197"/>
    </row>
    <row r="509" spans="1:26">
      <c r="A509" s="191" t="str">
        <f>NORTHUMBERLAND!A15</f>
        <v>Wansbeck CC</v>
      </c>
      <c r="B509" s="195">
        <f>NORTHUMBERLAND!D15</f>
        <v>62882</v>
      </c>
      <c r="C509" s="195">
        <f>NORTHUMBERLAND!E15</f>
        <v>62395</v>
      </c>
      <c r="D509" s="195">
        <f>NORTHUMBERLAND!F15</f>
        <v>63327</v>
      </c>
      <c r="E509" s="195">
        <f>NORTHUMBERLAND!G15</f>
        <v>64185</v>
      </c>
      <c r="F509" s="195">
        <f>NORTHUMBERLAND!H15</f>
        <v>63267</v>
      </c>
      <c r="G509" s="195">
        <f>NORTHUMBERLAND!I15</f>
        <v>63026</v>
      </c>
      <c r="H509" s="195">
        <f>NORTHUMBERLAND!J15</f>
        <v>58883</v>
      </c>
      <c r="I509" s="195">
        <f>NORTHUMBERLAND!K15</f>
        <v>59441</v>
      </c>
      <c r="J509" s="195">
        <f>NORTHUMBERLAND!L15</f>
        <v>61162</v>
      </c>
      <c r="K509" s="196">
        <f t="shared" si="21"/>
        <v>-2.7352819566807671E-2</v>
      </c>
      <c r="L509" s="196"/>
      <c r="M509" s="195">
        <f t="shared" si="22"/>
        <v>-15991</v>
      </c>
      <c r="N509" s="196">
        <f t="shared" si="23"/>
        <v>-0.20726348943009346</v>
      </c>
      <c r="O509" s="197">
        <v>506</v>
      </c>
      <c r="P509" s="197">
        <v>512</v>
      </c>
      <c r="Q509" s="197">
        <v>504</v>
      </c>
      <c r="R509" s="197">
        <v>495</v>
      </c>
      <c r="S509" s="197">
        <v>496</v>
      </c>
      <c r="T509" s="197">
        <v>481</v>
      </c>
      <c r="U509" s="197">
        <v>511</v>
      </c>
      <c r="V509" s="197">
        <v>518</v>
      </c>
      <c r="W509" s="197">
        <v>506</v>
      </c>
      <c r="X509" s="197"/>
      <c r="Y509" s="197">
        <v>485</v>
      </c>
      <c r="Z509" s="197"/>
    </row>
    <row r="510" spans="1:26">
      <c r="A510" s="191" t="str">
        <f>'"HUMBERSIDE"'!A39</f>
        <v>Scunthorpe CC</v>
      </c>
      <c r="B510" s="195">
        <f>'"HUMBERSIDE"'!D39</f>
        <v>63427</v>
      </c>
      <c r="C510" s="195">
        <f>'"HUMBERSIDE"'!E39</f>
        <v>63489</v>
      </c>
      <c r="D510" s="195">
        <f>'"HUMBERSIDE"'!F39</f>
        <v>63329</v>
      </c>
      <c r="E510" s="195">
        <f>'"HUMBERSIDE"'!G39</f>
        <v>63590</v>
      </c>
      <c r="F510" s="195">
        <f>'"HUMBERSIDE"'!H39</f>
        <v>63297</v>
      </c>
      <c r="G510" s="195">
        <f>'"HUMBERSIDE"'!I39</f>
        <v>61445</v>
      </c>
      <c r="H510" s="195">
        <f>'"HUMBERSIDE"'!J39</f>
        <v>60411</v>
      </c>
      <c r="I510" s="195">
        <f>'"HUMBERSIDE"'!K39</f>
        <v>61335</v>
      </c>
      <c r="J510" s="195">
        <f>'"HUMBERSIDE"'!L39</f>
        <v>61138</v>
      </c>
      <c r="K510" s="196">
        <f t="shared" si="21"/>
        <v>-3.6088731928043259E-2</v>
      </c>
      <c r="L510" s="196"/>
      <c r="M510" s="195">
        <f t="shared" si="22"/>
        <v>-16015</v>
      </c>
      <c r="N510" s="196">
        <f t="shared" si="23"/>
        <v>-0.20757455964123236</v>
      </c>
      <c r="O510" s="197">
        <v>495</v>
      </c>
      <c r="P510" s="197">
        <v>497</v>
      </c>
      <c r="Q510" s="197">
        <v>503</v>
      </c>
      <c r="R510" s="197">
        <v>499</v>
      </c>
      <c r="S510" s="197">
        <v>495</v>
      </c>
      <c r="T510" s="197">
        <v>499</v>
      </c>
      <c r="U510" s="197">
        <v>500</v>
      </c>
      <c r="V510" s="197">
        <v>503</v>
      </c>
      <c r="W510" s="197">
        <v>507</v>
      </c>
      <c r="X510" s="197"/>
      <c r="Y510" s="197">
        <v>385</v>
      </c>
      <c r="Z510" s="197"/>
    </row>
    <row r="511" spans="1:26">
      <c r="A511" s="191" t="str">
        <f>NORTHAMPTONSHIRE!A28</f>
        <v>Northampton South BC</v>
      </c>
      <c r="B511" s="195">
        <f>NORTHAMPTONSHIRE!D28</f>
        <v>62852</v>
      </c>
      <c r="C511" s="195">
        <f>NORTHAMPTONSHIRE!E28</f>
        <v>63748</v>
      </c>
      <c r="D511" s="195">
        <f>NORTHAMPTONSHIRE!F28</f>
        <v>63638</v>
      </c>
      <c r="E511" s="195">
        <f>NORTHAMPTONSHIRE!G28</f>
        <v>63935</v>
      </c>
      <c r="F511" s="195">
        <f>NORTHAMPTONSHIRE!H28</f>
        <v>57476</v>
      </c>
      <c r="G511" s="195">
        <f>NORTHAMPTONSHIRE!I28</f>
        <v>59411</v>
      </c>
      <c r="H511" s="195">
        <f>NORTHAMPTONSHIRE!J28</f>
        <v>58416</v>
      </c>
      <c r="I511" s="195">
        <f>NORTHAMPTONSHIRE!K28</f>
        <v>60204</v>
      </c>
      <c r="J511" s="195">
        <f>NORTHAMPTONSHIRE!L28</f>
        <v>60993</v>
      </c>
      <c r="K511" s="196">
        <f t="shared" si="21"/>
        <v>-2.9577419970724876E-2</v>
      </c>
      <c r="L511" s="196"/>
      <c r="M511" s="195">
        <f t="shared" si="22"/>
        <v>-16160</v>
      </c>
      <c r="N511" s="196">
        <f t="shared" si="23"/>
        <v>-0.20945394216686325</v>
      </c>
      <c r="O511" s="197">
        <v>507</v>
      </c>
      <c r="P511" s="197">
        <v>494</v>
      </c>
      <c r="Q511" s="197">
        <v>498</v>
      </c>
      <c r="R511" s="197">
        <v>498</v>
      </c>
      <c r="S511" s="197">
        <v>529</v>
      </c>
      <c r="T511" s="197">
        <v>514</v>
      </c>
      <c r="U511" s="197">
        <v>523</v>
      </c>
      <c r="V511" s="197">
        <v>513</v>
      </c>
      <c r="W511" s="197">
        <v>508</v>
      </c>
      <c r="X511" s="197"/>
      <c r="Y511" s="197">
        <v>333</v>
      </c>
      <c r="Z511" s="197"/>
    </row>
    <row r="512" spans="1:26">
      <c r="A512" s="191" t="str">
        <f>'WEST MIDLANDS'!A41</f>
        <v>Dudley North BC</v>
      </c>
      <c r="B512" s="195">
        <f>'WEST MIDLANDS'!D41</f>
        <v>60977</v>
      </c>
      <c r="C512" s="195">
        <f>'WEST MIDLANDS'!E41</f>
        <v>61714</v>
      </c>
      <c r="D512" s="195">
        <f>'WEST MIDLANDS'!F41</f>
        <v>61978</v>
      </c>
      <c r="E512" s="195">
        <f>'WEST MIDLANDS'!G41</f>
        <v>62137</v>
      </c>
      <c r="F512" s="195">
        <f>'WEST MIDLANDS'!H41</f>
        <v>60485</v>
      </c>
      <c r="G512" s="195">
        <f>'WEST MIDLANDS'!I41</f>
        <v>60462</v>
      </c>
      <c r="H512" s="195">
        <f>'WEST MIDLANDS'!J41</f>
        <v>61054</v>
      </c>
      <c r="I512" s="195">
        <f>'WEST MIDLANDS'!K41</f>
        <v>61719</v>
      </c>
      <c r="J512" s="195">
        <f>'WEST MIDLANDS'!L41</f>
        <v>60966</v>
      </c>
      <c r="K512" s="196">
        <f t="shared" si="21"/>
        <v>-1.80395886973777E-4</v>
      </c>
      <c r="L512" s="196"/>
      <c r="M512" s="195">
        <f t="shared" si="22"/>
        <v>-16187</v>
      </c>
      <c r="N512" s="196">
        <f t="shared" si="23"/>
        <v>-0.20980389615439451</v>
      </c>
      <c r="O512" s="197">
        <v>519</v>
      </c>
      <c r="P512" s="197">
        <v>519</v>
      </c>
      <c r="Q512" s="197">
        <v>515</v>
      </c>
      <c r="R512" s="197">
        <v>515</v>
      </c>
      <c r="S512" s="197">
        <v>520</v>
      </c>
      <c r="T512" s="197">
        <v>505</v>
      </c>
      <c r="U512" s="197">
        <v>490</v>
      </c>
      <c r="V512" s="197">
        <v>501</v>
      </c>
      <c r="W512" s="197">
        <v>509</v>
      </c>
      <c r="X512" s="197"/>
      <c r="Y512" s="197">
        <v>142</v>
      </c>
      <c r="Z512" s="197"/>
    </row>
    <row r="513" spans="1:26">
      <c r="A513" s="191" t="str">
        <f>'"HUMBERSIDE"'!A27</f>
        <v>Great Grimsby BC</v>
      </c>
      <c r="B513" s="195">
        <f>'"HUMBERSIDE"'!D27</f>
        <v>61653</v>
      </c>
      <c r="C513" s="195">
        <f>'"HUMBERSIDE"'!E27</f>
        <v>61929</v>
      </c>
      <c r="D513" s="195">
        <f>'"HUMBERSIDE"'!F27</f>
        <v>62222</v>
      </c>
      <c r="E513" s="195">
        <f>'"HUMBERSIDE"'!G27</f>
        <v>61708</v>
      </c>
      <c r="F513" s="195">
        <f>'"HUMBERSIDE"'!H27</f>
        <v>60474</v>
      </c>
      <c r="G513" s="195">
        <f>'"HUMBERSIDE"'!I27</f>
        <v>57595</v>
      </c>
      <c r="H513" s="195">
        <f>'"HUMBERSIDE"'!J27</f>
        <v>58997</v>
      </c>
      <c r="I513" s="195">
        <f>'"HUMBERSIDE"'!K27</f>
        <v>61577</v>
      </c>
      <c r="J513" s="195">
        <f>'"HUMBERSIDE"'!L27</f>
        <v>60928</v>
      </c>
      <c r="K513" s="196">
        <f t="shared" si="21"/>
        <v>-1.1759362885828751E-2</v>
      </c>
      <c r="L513" s="196"/>
      <c r="M513" s="195">
        <f t="shared" si="22"/>
        <v>-16225</v>
      </c>
      <c r="N513" s="196">
        <f t="shared" si="23"/>
        <v>-0.21029642398869777</v>
      </c>
      <c r="O513" s="197">
        <v>516</v>
      </c>
      <c r="P513" s="197">
        <v>516</v>
      </c>
      <c r="Q513" s="197">
        <v>512</v>
      </c>
      <c r="R513" s="197">
        <v>522</v>
      </c>
      <c r="S513" s="197">
        <v>521</v>
      </c>
      <c r="T513" s="197">
        <v>523</v>
      </c>
      <c r="U513" s="197">
        <v>509</v>
      </c>
      <c r="V513" s="197">
        <v>502</v>
      </c>
      <c r="W513" s="197">
        <v>510</v>
      </c>
      <c r="X513" s="197"/>
      <c r="Y513" s="197">
        <v>187</v>
      </c>
      <c r="Z513" s="197"/>
    </row>
    <row r="514" spans="1:26">
      <c r="A514" s="191" t="str">
        <f>CUMBRIA!A20</f>
        <v>Copeland CC</v>
      </c>
      <c r="B514" s="195">
        <f>CUMBRIA!D22</f>
        <v>63688</v>
      </c>
      <c r="C514" s="195">
        <f>CUMBRIA!E22</f>
        <v>63696</v>
      </c>
      <c r="D514" s="195">
        <f>CUMBRIA!F22</f>
        <v>63695</v>
      </c>
      <c r="E514" s="195">
        <f>CUMBRIA!G22</f>
        <v>63514</v>
      </c>
      <c r="F514" s="195">
        <f>CUMBRIA!H22</f>
        <v>61466</v>
      </c>
      <c r="G514" s="195">
        <f>CUMBRIA!I22</f>
        <v>61295</v>
      </c>
      <c r="H514" s="195">
        <f>CUMBRIA!J22</f>
        <v>60785</v>
      </c>
      <c r="I514" s="195">
        <f>CUMBRIA!K22</f>
        <v>60409</v>
      </c>
      <c r="J514" s="195">
        <f>CUMBRIA!L22</f>
        <v>60843</v>
      </c>
      <c r="K514" s="196">
        <f t="shared" si="21"/>
        <v>-4.4670895616128629E-2</v>
      </c>
      <c r="L514" s="196"/>
      <c r="M514" s="195">
        <f t="shared" si="22"/>
        <v>-16310</v>
      </c>
      <c r="N514" s="196">
        <f t="shared" si="23"/>
        <v>-0.21139813098648141</v>
      </c>
      <c r="O514" s="197">
        <v>490</v>
      </c>
      <c r="P514" s="197">
        <v>496</v>
      </c>
      <c r="Q514" s="197">
        <v>497</v>
      </c>
      <c r="R514" s="197">
        <v>500</v>
      </c>
      <c r="S514" s="197">
        <v>512</v>
      </c>
      <c r="T514" s="197">
        <v>500</v>
      </c>
      <c r="U514" s="197">
        <v>495</v>
      </c>
      <c r="V514" s="197">
        <v>511</v>
      </c>
      <c r="W514" s="197">
        <v>511</v>
      </c>
      <c r="X514" s="197"/>
      <c r="Y514" s="197">
        <v>118</v>
      </c>
      <c r="Z514" s="197"/>
    </row>
    <row r="515" spans="1:26">
      <c r="A515" s="191" t="str">
        <f>KENSINGTON!A11</f>
        <v>Kensington BC</v>
      </c>
      <c r="B515" s="195">
        <f>KENSINGTON!D11</f>
        <v>63134</v>
      </c>
      <c r="C515" s="195">
        <f>KENSINGTON!E11</f>
        <v>62784</v>
      </c>
      <c r="D515" s="195">
        <f>KENSINGTON!F11</f>
        <v>62346</v>
      </c>
      <c r="E515" s="195">
        <f>KENSINGTON!G11</f>
        <v>61803</v>
      </c>
      <c r="F515" s="195">
        <f>KENSINGTON!H11</f>
        <v>61507</v>
      </c>
      <c r="G515" s="195">
        <f>KENSINGTON!I11</f>
        <v>58316</v>
      </c>
      <c r="H515" s="195">
        <f>KENSINGTON!J11</f>
        <v>55432</v>
      </c>
      <c r="I515" s="195">
        <f>KENSINGTON!K11</f>
        <v>57221</v>
      </c>
      <c r="J515" s="195">
        <f>KENSINGTON!L11</f>
        <v>60674</v>
      </c>
      <c r="K515" s="196">
        <f t="shared" si="21"/>
        <v>-3.8964741660594923E-2</v>
      </c>
      <c r="L515" s="196"/>
      <c r="M515" s="195">
        <f t="shared" si="22"/>
        <v>-16479</v>
      </c>
      <c r="N515" s="196">
        <f t="shared" si="23"/>
        <v>-0.21358858372325121</v>
      </c>
      <c r="O515" s="197">
        <v>500</v>
      </c>
      <c r="P515" s="197">
        <v>506</v>
      </c>
      <c r="Q515" s="197">
        <v>510</v>
      </c>
      <c r="R515" s="197">
        <v>521</v>
      </c>
      <c r="S515" s="197">
        <v>510</v>
      </c>
      <c r="T515" s="197">
        <v>518</v>
      </c>
      <c r="U515" s="197">
        <v>531</v>
      </c>
      <c r="V515" s="197">
        <v>527</v>
      </c>
      <c r="W515" s="197">
        <v>512</v>
      </c>
      <c r="X515" s="197"/>
      <c r="Y515" s="197">
        <v>239</v>
      </c>
      <c r="Z515" s="197"/>
    </row>
    <row r="516" spans="1:26">
      <c r="A516" s="191" t="str">
        <f>WESTMINSTER!A7</f>
        <v>Cities of London and Westminster BC</v>
      </c>
      <c r="B516" s="195">
        <f>WESTMINSTER!D9</f>
        <v>64044</v>
      </c>
      <c r="C516" s="195">
        <f>WESTMINSTER!E9</f>
        <v>65140</v>
      </c>
      <c r="D516" s="195">
        <f>WESTMINSTER!F9</f>
        <v>63494</v>
      </c>
      <c r="E516" s="195">
        <f>WESTMINSTER!G9</f>
        <v>62393</v>
      </c>
      <c r="F516" s="195">
        <f>WESTMINSTER!H9</f>
        <v>60857</v>
      </c>
      <c r="G516" s="195">
        <f>WESTMINSTER!I9</f>
        <v>55921</v>
      </c>
      <c r="H516" s="195">
        <f>WESTMINSTER!J9</f>
        <v>58071</v>
      </c>
      <c r="I516" s="195">
        <f>WESTMINSTER!K9</f>
        <v>61222</v>
      </c>
      <c r="J516" s="195">
        <f>WESTMINSTER!L9</f>
        <v>60576</v>
      </c>
      <c r="K516" s="196">
        <f t="shared" ref="K516:K536" si="24">(J516-B516)/B516</f>
        <v>-5.4150271688214353E-2</v>
      </c>
      <c r="L516" s="196"/>
      <c r="M516" s="195">
        <f t="shared" ref="M516:M536" si="25">J516-$J$544</f>
        <v>-16577</v>
      </c>
      <c r="N516" s="196">
        <f t="shared" ref="N516:N536" si="26">(J516-$J$544)/$J$544</f>
        <v>-0.21485878708540174</v>
      </c>
      <c r="O516" s="197">
        <v>482</v>
      </c>
      <c r="P516" s="197">
        <v>474</v>
      </c>
      <c r="Q516" s="197">
        <v>499</v>
      </c>
      <c r="R516" s="197">
        <v>512</v>
      </c>
      <c r="S516" s="197">
        <v>518</v>
      </c>
      <c r="T516" s="197">
        <v>528</v>
      </c>
      <c r="U516" s="197">
        <v>521</v>
      </c>
      <c r="V516" s="197">
        <v>505</v>
      </c>
      <c r="W516" s="197">
        <v>513</v>
      </c>
      <c r="X516" s="197"/>
      <c r="Y516" s="197">
        <v>110</v>
      </c>
      <c r="Z516" s="197"/>
    </row>
    <row r="517" spans="1:26">
      <c r="A517" s="191" t="str">
        <f>'WEST YORKSHIRE'!A43</f>
        <v>Leeds North West BC</v>
      </c>
      <c r="B517" s="195">
        <f>'WEST YORKSHIRE'!D43</f>
        <v>64822</v>
      </c>
      <c r="C517" s="195">
        <f>'WEST YORKSHIRE'!E43</f>
        <v>65047</v>
      </c>
      <c r="D517" s="195">
        <f>'WEST YORKSHIRE'!F43</f>
        <v>61811</v>
      </c>
      <c r="E517" s="195">
        <f>'WEST YORKSHIRE'!G43</f>
        <v>62907</v>
      </c>
      <c r="F517" s="195">
        <f>'WEST YORKSHIRE'!H43</f>
        <v>58511</v>
      </c>
      <c r="G517" s="195">
        <f>'WEST YORKSHIRE'!I43</f>
        <v>55213</v>
      </c>
      <c r="H517" s="195">
        <f>'WEST YORKSHIRE'!J43</f>
        <v>55650</v>
      </c>
      <c r="I517" s="195">
        <f>'WEST YORKSHIRE'!K43</f>
        <v>58694</v>
      </c>
      <c r="J517" s="195">
        <f>'WEST YORKSHIRE'!L43</f>
        <v>60552</v>
      </c>
      <c r="K517" s="196">
        <f t="shared" si="24"/>
        <v>-6.5872697540958314E-2</v>
      </c>
      <c r="L517" s="196"/>
      <c r="M517" s="195">
        <f t="shared" si="25"/>
        <v>-16601</v>
      </c>
      <c r="N517" s="196">
        <f t="shared" si="26"/>
        <v>-0.21516985729654065</v>
      </c>
      <c r="O517" s="197">
        <v>468</v>
      </c>
      <c r="P517" s="197">
        <v>476</v>
      </c>
      <c r="Q517" s="197">
        <v>519</v>
      </c>
      <c r="R517" s="197">
        <v>505</v>
      </c>
      <c r="S517" s="197">
        <v>527</v>
      </c>
      <c r="T517" s="197">
        <v>532</v>
      </c>
      <c r="U517" s="197">
        <v>528</v>
      </c>
      <c r="V517" s="197">
        <v>523</v>
      </c>
      <c r="W517" s="197">
        <v>514</v>
      </c>
      <c r="X517" s="197"/>
      <c r="Y517" s="197">
        <v>251</v>
      </c>
      <c r="Z517" s="197"/>
    </row>
    <row r="518" spans="1:26">
      <c r="A518" s="191" t="str">
        <f>MERSEYSIDE!A27</f>
        <v>Liverpool, Wavertree BC</v>
      </c>
      <c r="B518" s="195">
        <f>MERSEYSIDE!D27</f>
        <v>62112</v>
      </c>
      <c r="C518" s="195">
        <f>MERSEYSIDE!E27</f>
        <v>61679</v>
      </c>
      <c r="D518" s="195">
        <f>MERSEYSIDE!F27</f>
        <v>61404</v>
      </c>
      <c r="E518" s="195">
        <f>MERSEYSIDE!G27</f>
        <v>61137</v>
      </c>
      <c r="F518" s="195">
        <f>MERSEYSIDE!H27</f>
        <v>61334</v>
      </c>
      <c r="G518" s="195">
        <f>MERSEYSIDE!I27</f>
        <v>58790</v>
      </c>
      <c r="H518" s="195">
        <f>MERSEYSIDE!J27</f>
        <v>58601</v>
      </c>
      <c r="I518" s="195">
        <f>MERSEYSIDE!K27</f>
        <v>59901</v>
      </c>
      <c r="J518" s="195">
        <f>MERSEYSIDE!L27</f>
        <v>60506</v>
      </c>
      <c r="K518" s="196">
        <f t="shared" si="24"/>
        <v>-2.5856517259144771E-2</v>
      </c>
      <c r="L518" s="196"/>
      <c r="M518" s="195">
        <f t="shared" si="25"/>
        <v>-16647</v>
      </c>
      <c r="N518" s="196">
        <f t="shared" si="26"/>
        <v>-0.21576607520122354</v>
      </c>
      <c r="O518" s="197">
        <v>512</v>
      </c>
      <c r="P518" s="197">
        <v>520</v>
      </c>
      <c r="Q518" s="197">
        <v>524</v>
      </c>
      <c r="R518" s="197">
        <v>525</v>
      </c>
      <c r="S518" s="197">
        <v>513</v>
      </c>
      <c r="T518" s="197">
        <v>516</v>
      </c>
      <c r="U518" s="197">
        <v>513</v>
      </c>
      <c r="V518" s="197">
        <v>515</v>
      </c>
      <c r="W518" s="197">
        <v>515</v>
      </c>
      <c r="X518" s="197"/>
      <c r="Y518" s="197">
        <v>266</v>
      </c>
      <c r="Z518" s="197"/>
    </row>
    <row r="519" spans="1:26">
      <c r="A519" s="191" t="str">
        <f>'WEST MIDLANDS'!A67</f>
        <v>Wolverhampton North East BC</v>
      </c>
      <c r="B519" s="195">
        <f>'WEST MIDLANDS'!D67</f>
        <v>59130</v>
      </c>
      <c r="C519" s="195">
        <f>'WEST MIDLANDS'!E67</f>
        <v>60354</v>
      </c>
      <c r="D519" s="195">
        <f>'WEST MIDLANDS'!F67</f>
        <v>61286</v>
      </c>
      <c r="E519" s="195">
        <f>'WEST MIDLANDS'!G67</f>
        <v>61164</v>
      </c>
      <c r="F519" s="195">
        <f>'WEST MIDLANDS'!H67</f>
        <v>61043</v>
      </c>
      <c r="G519" s="195">
        <f>'WEST MIDLANDS'!I67</f>
        <v>60935</v>
      </c>
      <c r="H519" s="195">
        <f>'WEST MIDLANDS'!J67</f>
        <v>59962</v>
      </c>
      <c r="I519" s="195">
        <f>'WEST MIDLANDS'!K67</f>
        <v>60383</v>
      </c>
      <c r="J519" s="195">
        <f>'WEST MIDLANDS'!L67</f>
        <v>60495</v>
      </c>
      <c r="K519" s="196">
        <f t="shared" si="24"/>
        <v>2.3084728564180618E-2</v>
      </c>
      <c r="L519" s="196"/>
      <c r="M519" s="195">
        <f t="shared" si="25"/>
        <v>-16658</v>
      </c>
      <c r="N519" s="196">
        <f t="shared" si="26"/>
        <v>-0.21590864904799553</v>
      </c>
      <c r="O519" s="197">
        <v>528</v>
      </c>
      <c r="P519" s="197">
        <v>526</v>
      </c>
      <c r="Q519" s="197">
        <v>525</v>
      </c>
      <c r="R519" s="197">
        <v>524</v>
      </c>
      <c r="S519" s="197">
        <v>515</v>
      </c>
      <c r="T519" s="197">
        <v>502</v>
      </c>
      <c r="U519" s="197">
        <v>504</v>
      </c>
      <c r="V519" s="197">
        <v>512</v>
      </c>
      <c r="W519" s="197">
        <v>516</v>
      </c>
      <c r="X519" s="197"/>
      <c r="Y519" s="197">
        <v>520</v>
      </c>
      <c r="Z519" s="197"/>
    </row>
    <row r="520" spans="1:26">
      <c r="A520" s="191" t="str">
        <f>'WEST MIDLANDS'!A43</f>
        <v>Dudley South BC</v>
      </c>
      <c r="B520" s="195">
        <f>'WEST MIDLANDS'!D43</f>
        <v>60887</v>
      </c>
      <c r="C520" s="195">
        <f>'WEST MIDLANDS'!E43</f>
        <v>61308</v>
      </c>
      <c r="D520" s="195">
        <f>'WEST MIDLANDS'!F43</f>
        <v>61506</v>
      </c>
      <c r="E520" s="195">
        <f>'WEST MIDLANDS'!G43</f>
        <v>61805</v>
      </c>
      <c r="F520" s="195">
        <f>'WEST MIDLANDS'!H43</f>
        <v>60171</v>
      </c>
      <c r="G520" s="195">
        <f>'WEST MIDLANDS'!I43</f>
        <v>60187</v>
      </c>
      <c r="H520" s="195">
        <f>'WEST MIDLANDS'!J43</f>
        <v>60284</v>
      </c>
      <c r="I520" s="195">
        <f>'WEST MIDLANDS'!K43</f>
        <v>60957</v>
      </c>
      <c r="J520" s="195">
        <f>'WEST MIDLANDS'!L43</f>
        <v>60491</v>
      </c>
      <c r="K520" s="196">
        <f t="shared" si="24"/>
        <v>-6.5038513968499025E-3</v>
      </c>
      <c r="L520" s="196"/>
      <c r="M520" s="195">
        <f t="shared" si="25"/>
        <v>-16662</v>
      </c>
      <c r="N520" s="196">
        <f t="shared" si="26"/>
        <v>-0.21596049408318535</v>
      </c>
      <c r="O520" s="197">
        <v>521</v>
      </c>
      <c r="P520" s="197">
        <v>521</v>
      </c>
      <c r="Q520" s="197">
        <v>523</v>
      </c>
      <c r="R520" s="197">
        <v>520</v>
      </c>
      <c r="S520" s="197">
        <v>524</v>
      </c>
      <c r="T520" s="197">
        <v>508</v>
      </c>
      <c r="U520" s="197">
        <v>502</v>
      </c>
      <c r="V520" s="197">
        <v>508</v>
      </c>
      <c r="W520" s="197">
        <v>517</v>
      </c>
      <c r="X520" s="197"/>
      <c r="Y520" s="197">
        <v>143</v>
      </c>
      <c r="Z520" s="197"/>
    </row>
    <row r="521" spans="1:26">
      <c r="A521" s="191" t="str">
        <f>'BATH &amp; NE SOMERSET'!A7</f>
        <v>Bath BC</v>
      </c>
      <c r="B521" s="195">
        <f>'BATH &amp; NE SOMERSET'!D7</f>
        <v>65992</v>
      </c>
      <c r="C521" s="195">
        <f>'BATH &amp; NE SOMERSET'!E7</f>
        <v>66690</v>
      </c>
      <c r="D521" s="195">
        <f>'BATH &amp; NE SOMERSET'!F7</f>
        <v>64688</v>
      </c>
      <c r="E521" s="195">
        <f>'BATH &amp; NE SOMERSET'!G7</f>
        <v>65728</v>
      </c>
      <c r="F521" s="195">
        <f>'BATH &amp; NE SOMERSET'!H7</f>
        <v>61505</v>
      </c>
      <c r="G521" s="195">
        <f>'BATH &amp; NE SOMERSET'!I7</f>
        <v>56986</v>
      </c>
      <c r="H521" s="195">
        <f>'BATH &amp; NE SOMERSET'!J7</f>
        <v>60966</v>
      </c>
      <c r="I521" s="195">
        <f>'BATH &amp; NE SOMERSET'!K7</f>
        <v>61324</v>
      </c>
      <c r="J521" s="195">
        <f>'BATH &amp; NE SOMERSET'!L7</f>
        <v>59887</v>
      </c>
      <c r="K521" s="196">
        <f t="shared" si="24"/>
        <v>-9.2511213480421864E-2</v>
      </c>
      <c r="L521" s="196"/>
      <c r="M521" s="195">
        <f t="shared" si="25"/>
        <v>-17266</v>
      </c>
      <c r="N521" s="196">
        <f t="shared" si="26"/>
        <v>-0.22378909439684783</v>
      </c>
      <c r="O521" s="197">
        <v>439</v>
      </c>
      <c r="P521" s="197">
        <v>433</v>
      </c>
      <c r="Q521" s="197">
        <v>488</v>
      </c>
      <c r="R521" s="197">
        <v>472</v>
      </c>
      <c r="S521" s="197">
        <v>511</v>
      </c>
      <c r="T521" s="197">
        <v>525</v>
      </c>
      <c r="U521" s="197">
        <v>491</v>
      </c>
      <c r="V521" s="197">
        <v>504</v>
      </c>
      <c r="W521" s="197">
        <v>518</v>
      </c>
      <c r="X521" s="197"/>
      <c r="Y521" s="197">
        <v>18</v>
      </c>
      <c r="Z521" s="197"/>
    </row>
    <row r="522" spans="1:26">
      <c r="A522" s="191" t="str">
        <f>NORTHUMBERLAND!A11</f>
        <v>Hexham CC</v>
      </c>
      <c r="B522" s="195">
        <f>NORTHUMBERLAND!D13</f>
        <v>61085</v>
      </c>
      <c r="C522" s="195">
        <f>NORTHUMBERLAND!E13</f>
        <v>60499</v>
      </c>
      <c r="D522" s="195">
        <f>NORTHUMBERLAND!F13</f>
        <v>60590</v>
      </c>
      <c r="E522" s="195">
        <f>NORTHUMBERLAND!G13</f>
        <v>60978</v>
      </c>
      <c r="F522" s="195">
        <f>NORTHUMBERLAND!H13</f>
        <v>60260</v>
      </c>
      <c r="G522" s="195">
        <f>NORTHUMBERLAND!I13</f>
        <v>60232</v>
      </c>
      <c r="H522" s="195">
        <f>NORTHUMBERLAND!J13</f>
        <v>58198</v>
      </c>
      <c r="I522" s="195">
        <f>NORTHUMBERLAND!K13</f>
        <v>58698</v>
      </c>
      <c r="J522" s="195">
        <f>NORTHUMBERLAND!L13</f>
        <v>59856</v>
      </c>
      <c r="K522" s="196">
        <f t="shared" si="24"/>
        <v>-2.0119505606941146E-2</v>
      </c>
      <c r="L522" s="196"/>
      <c r="M522" s="195">
        <f t="shared" si="25"/>
        <v>-17297</v>
      </c>
      <c r="N522" s="196">
        <f t="shared" si="26"/>
        <v>-0.22419089341956891</v>
      </c>
      <c r="O522" s="197">
        <v>517</v>
      </c>
      <c r="P522" s="197">
        <v>525</v>
      </c>
      <c r="Q522" s="197">
        <v>528</v>
      </c>
      <c r="R522" s="197">
        <v>526</v>
      </c>
      <c r="S522" s="197">
        <v>523</v>
      </c>
      <c r="T522" s="197">
        <v>506</v>
      </c>
      <c r="U522" s="197">
        <v>520</v>
      </c>
      <c r="V522" s="197">
        <v>522</v>
      </c>
      <c r="W522" s="197">
        <v>519</v>
      </c>
      <c r="X522" s="197"/>
      <c r="Y522" s="197">
        <v>217</v>
      </c>
      <c r="Z522" s="197"/>
    </row>
    <row r="523" spans="1:26">
      <c r="A523" s="191" t="str">
        <f>CUMBRIA!A31</f>
        <v>Workington CC</v>
      </c>
      <c r="B523" s="195">
        <f>CUMBRIA!D31</f>
        <v>59702</v>
      </c>
      <c r="C523" s="195">
        <f>CUMBRIA!E31</f>
        <v>59361</v>
      </c>
      <c r="D523" s="195">
        <f>CUMBRIA!F31</f>
        <v>60056</v>
      </c>
      <c r="E523" s="195">
        <f>CUMBRIA!G31</f>
        <v>60430</v>
      </c>
      <c r="F523" s="195">
        <f>CUMBRIA!H31</f>
        <v>55545</v>
      </c>
      <c r="G523" s="195">
        <f>CUMBRIA!I31</f>
        <v>56927</v>
      </c>
      <c r="H523" s="195">
        <f>CUMBRIA!J31</f>
        <v>58367</v>
      </c>
      <c r="I523" s="195">
        <f>CUMBRIA!K31</f>
        <v>58655</v>
      </c>
      <c r="J523" s="195">
        <f>CUMBRIA!L31</f>
        <v>59812</v>
      </c>
      <c r="K523" s="196">
        <f t="shared" si="24"/>
        <v>1.8424843388831194E-3</v>
      </c>
      <c r="L523" s="196"/>
      <c r="M523" s="195">
        <f t="shared" si="25"/>
        <v>-17341</v>
      </c>
      <c r="N523" s="196">
        <f t="shared" si="26"/>
        <v>-0.22476118880665691</v>
      </c>
      <c r="O523" s="197">
        <v>526</v>
      </c>
      <c r="P523" s="197">
        <v>530</v>
      </c>
      <c r="Q523" s="197">
        <v>530</v>
      </c>
      <c r="R523" s="197">
        <v>529</v>
      </c>
      <c r="S523" s="197">
        <v>532</v>
      </c>
      <c r="T523" s="197">
        <v>526</v>
      </c>
      <c r="U523" s="197">
        <v>515</v>
      </c>
      <c r="V523" s="197">
        <v>524</v>
      </c>
      <c r="W523" s="197">
        <v>520</v>
      </c>
      <c r="X523" s="197"/>
      <c r="Y523" s="197">
        <v>524</v>
      </c>
      <c r="Z523" s="197"/>
    </row>
    <row r="524" spans="1:26">
      <c r="A524" s="191" t="str">
        <f>'MIDD &amp; R &amp; C'!A11</f>
        <v>Middlesbrough BC</v>
      </c>
      <c r="B524" s="195">
        <f>'MIDD &amp; R &amp; C'!D11</f>
        <v>65726</v>
      </c>
      <c r="C524" s="195">
        <f>'MIDD &amp; R &amp; C'!E11</f>
        <v>65851</v>
      </c>
      <c r="D524" s="195">
        <f>'MIDD &amp; R &amp; C'!F11</f>
        <v>65910</v>
      </c>
      <c r="E524" s="195">
        <f>'MIDD &amp; R &amp; C'!G11</f>
        <v>65720</v>
      </c>
      <c r="F524" s="195">
        <f>'MIDD &amp; R &amp; C'!H11</f>
        <v>64395</v>
      </c>
      <c r="G524" s="195">
        <f>'MIDD &amp; R &amp; C'!I11</f>
        <v>64144</v>
      </c>
      <c r="H524" s="195">
        <f>'MIDD &amp; R &amp; C'!J11</f>
        <v>57532</v>
      </c>
      <c r="I524" s="195">
        <f>'MIDD &amp; R &amp; C'!K11</f>
        <v>59718</v>
      </c>
      <c r="J524" s="195">
        <f>'MIDD &amp; R &amp; C'!L11</f>
        <v>59744</v>
      </c>
      <c r="K524" s="196">
        <f t="shared" si="24"/>
        <v>-9.1014210510300342E-2</v>
      </c>
      <c r="L524" s="196"/>
      <c r="M524" s="195">
        <f t="shared" si="25"/>
        <v>-17409</v>
      </c>
      <c r="N524" s="196">
        <f t="shared" si="26"/>
        <v>-0.22564255440488382</v>
      </c>
      <c r="O524" s="197">
        <v>446</v>
      </c>
      <c r="P524" s="197">
        <v>458</v>
      </c>
      <c r="Q524" s="197">
        <v>457</v>
      </c>
      <c r="R524" s="197">
        <v>473</v>
      </c>
      <c r="S524" s="197">
        <v>480</v>
      </c>
      <c r="T524" s="197">
        <v>458</v>
      </c>
      <c r="U524" s="197">
        <v>522</v>
      </c>
      <c r="V524" s="197">
        <v>516</v>
      </c>
      <c r="W524" s="197">
        <v>521</v>
      </c>
      <c r="X524" s="197"/>
      <c r="Y524" s="197">
        <v>290</v>
      </c>
      <c r="Z524" s="197"/>
    </row>
    <row r="525" spans="1:26">
      <c r="A525" s="191" t="str">
        <f>'WEST MIDLANDS'!A15</f>
        <v>Aldridge-Brownhills BC</v>
      </c>
      <c r="B525" s="195">
        <f>'WEST MIDLANDS'!D15</f>
        <v>59214</v>
      </c>
      <c r="C525" s="195">
        <f>'WEST MIDLANDS'!E15</f>
        <v>59506</v>
      </c>
      <c r="D525" s="195">
        <f>'WEST MIDLANDS'!F15</f>
        <v>60315</v>
      </c>
      <c r="E525" s="195">
        <f>'WEST MIDLANDS'!G15</f>
        <v>60777</v>
      </c>
      <c r="F525" s="195">
        <f>'WEST MIDLANDS'!H15</f>
        <v>60313</v>
      </c>
      <c r="G525" s="195">
        <f>'WEST MIDLANDS'!I15</f>
        <v>59874</v>
      </c>
      <c r="H525" s="195">
        <f>'WEST MIDLANDS'!J15</f>
        <v>58359</v>
      </c>
      <c r="I525" s="195">
        <f>'WEST MIDLANDS'!K15</f>
        <v>59296</v>
      </c>
      <c r="J525" s="195">
        <f>'WEST MIDLANDS'!L15</f>
        <v>59373</v>
      </c>
      <c r="K525" s="196">
        <f t="shared" si="24"/>
        <v>2.6851758030195564E-3</v>
      </c>
      <c r="L525" s="196"/>
      <c r="M525" s="195">
        <f t="shared" si="25"/>
        <v>-17780</v>
      </c>
      <c r="N525" s="196">
        <f t="shared" si="26"/>
        <v>-0.23045118141873938</v>
      </c>
      <c r="O525" s="197">
        <v>527</v>
      </c>
      <c r="P525" s="197">
        <v>528</v>
      </c>
      <c r="Q525" s="197">
        <v>529</v>
      </c>
      <c r="R525" s="197">
        <v>528</v>
      </c>
      <c r="S525" s="197">
        <v>522</v>
      </c>
      <c r="T525" s="197">
        <v>510</v>
      </c>
      <c r="U525" s="197">
        <v>516</v>
      </c>
      <c r="V525" s="197">
        <v>519</v>
      </c>
      <c r="W525" s="197">
        <v>522</v>
      </c>
      <c r="X525" s="197"/>
      <c r="Y525" s="197">
        <v>2</v>
      </c>
      <c r="Z525" s="197"/>
    </row>
    <row r="526" spans="1:26">
      <c r="A526" s="191" t="str">
        <f>'"HUMBERSIDE"'!A35</f>
        <v>Kingston upon Hull West and Hessle BC</v>
      </c>
      <c r="B526" s="195">
        <f>'"HUMBERSIDE"'!D37</f>
        <v>60947</v>
      </c>
      <c r="C526" s="195">
        <f>'"HUMBERSIDE"'!E37</f>
        <v>61232</v>
      </c>
      <c r="D526" s="195">
        <f>'"HUMBERSIDE"'!F37</f>
        <v>61114</v>
      </c>
      <c r="E526" s="195">
        <f>'"HUMBERSIDE"'!G37</f>
        <v>61237</v>
      </c>
      <c r="F526" s="195">
        <f>'"HUMBERSIDE"'!H37</f>
        <v>61141</v>
      </c>
      <c r="G526" s="195">
        <f>'"HUMBERSIDE"'!I37</f>
        <v>58234</v>
      </c>
      <c r="H526" s="195">
        <f>'"HUMBERSIDE"'!J37</f>
        <v>58283</v>
      </c>
      <c r="I526" s="195">
        <f>'"HUMBERSIDE"'!K37</f>
        <v>59568</v>
      </c>
      <c r="J526" s="195">
        <f>'"HUMBERSIDE"'!L37</f>
        <v>59081</v>
      </c>
      <c r="K526" s="196">
        <f t="shared" si="24"/>
        <v>-3.0616765386319262E-2</v>
      </c>
      <c r="L526" s="196"/>
      <c r="M526" s="195">
        <f t="shared" si="25"/>
        <v>-18072</v>
      </c>
      <c r="N526" s="196">
        <f t="shared" si="26"/>
        <v>-0.23423586898759607</v>
      </c>
      <c r="O526" s="197">
        <v>520</v>
      </c>
      <c r="P526" s="197">
        <v>522</v>
      </c>
      <c r="Q526" s="197">
        <v>526</v>
      </c>
      <c r="R526" s="197">
        <v>523</v>
      </c>
      <c r="S526" s="197">
        <v>514</v>
      </c>
      <c r="T526" s="197">
        <v>519</v>
      </c>
      <c r="U526" s="197">
        <v>517</v>
      </c>
      <c r="V526" s="197">
        <v>517</v>
      </c>
      <c r="W526" s="197">
        <v>523</v>
      </c>
      <c r="X526" s="197"/>
      <c r="Y526" s="197">
        <v>244</v>
      </c>
      <c r="Z526" s="197"/>
    </row>
    <row r="527" spans="1:26">
      <c r="A527" s="191" t="str">
        <f>'WEST MIDLANDS'!A73</f>
        <v>Wolverhampton South West BC</v>
      </c>
      <c r="B527" s="195">
        <f>'WEST MIDLANDS'!D73</f>
        <v>58431</v>
      </c>
      <c r="C527" s="195">
        <f>'WEST MIDLANDS'!E73</f>
        <v>59846</v>
      </c>
      <c r="D527" s="195">
        <f>'WEST MIDLANDS'!F73</f>
        <v>61018</v>
      </c>
      <c r="E527" s="195">
        <f>'WEST MIDLANDS'!G73</f>
        <v>59945</v>
      </c>
      <c r="F527" s="195">
        <f>'WEST MIDLANDS'!H73</f>
        <v>60158</v>
      </c>
      <c r="G527" s="195">
        <f>'WEST MIDLANDS'!I73</f>
        <v>59599</v>
      </c>
      <c r="H527" s="195">
        <f>'WEST MIDLANDS'!J73</f>
        <v>58224</v>
      </c>
      <c r="I527" s="195">
        <f>'WEST MIDLANDS'!K73</f>
        <v>58843</v>
      </c>
      <c r="J527" s="195">
        <f>'WEST MIDLANDS'!L73</f>
        <v>59080</v>
      </c>
      <c r="K527" s="196">
        <f t="shared" si="24"/>
        <v>1.1107117797059781E-2</v>
      </c>
      <c r="L527" s="196"/>
      <c r="M527" s="195">
        <f t="shared" si="25"/>
        <v>-18073</v>
      </c>
      <c r="N527" s="196">
        <f t="shared" si="26"/>
        <v>-0.23424883024639354</v>
      </c>
      <c r="O527" s="197">
        <v>529</v>
      </c>
      <c r="P527" s="197">
        <v>527</v>
      </c>
      <c r="Q527" s="197">
        <v>527</v>
      </c>
      <c r="R527" s="197">
        <v>530</v>
      </c>
      <c r="S527" s="197">
        <v>525</v>
      </c>
      <c r="T527" s="197">
        <v>511</v>
      </c>
      <c r="U527" s="197">
        <v>519</v>
      </c>
      <c r="V527" s="197">
        <v>521</v>
      </c>
      <c r="W527" s="197">
        <v>524</v>
      </c>
      <c r="X527" s="197"/>
      <c r="Y527" s="197">
        <v>522</v>
      </c>
      <c r="Z527" s="197"/>
    </row>
    <row r="528" spans="1:26">
      <c r="A528" s="191" t="str">
        <f>'TYNE &amp; WEAR'!A30</f>
        <v>Newcastle upon Tyne East BC</v>
      </c>
      <c r="B528" s="195">
        <f>'TYNE &amp; WEAR'!D30</f>
        <v>64647</v>
      </c>
      <c r="C528" s="195">
        <f>'TYNE &amp; WEAR'!E30</f>
        <v>65203</v>
      </c>
      <c r="D528" s="195">
        <f>'TYNE &amp; WEAR'!F30</f>
        <v>68908</v>
      </c>
      <c r="E528" s="195">
        <f>'TYNE &amp; WEAR'!G30</f>
        <v>69589</v>
      </c>
      <c r="F528" s="195">
        <f>'TYNE &amp; WEAR'!H30</f>
        <v>67945</v>
      </c>
      <c r="G528" s="195">
        <f>'TYNE &amp; WEAR'!I30</f>
        <v>58557</v>
      </c>
      <c r="H528" s="195">
        <f>'TYNE &amp; WEAR'!J30</f>
        <v>58407</v>
      </c>
      <c r="I528" s="195">
        <f>'TYNE &amp; WEAR'!K30</f>
        <v>62469</v>
      </c>
      <c r="J528" s="195">
        <f>'TYNE &amp; WEAR'!L30</f>
        <v>58877</v>
      </c>
      <c r="K528" s="196">
        <f t="shared" si="24"/>
        <v>-8.9253948365740091E-2</v>
      </c>
      <c r="L528" s="196"/>
      <c r="M528" s="195">
        <f t="shared" si="25"/>
        <v>-18276</v>
      </c>
      <c r="N528" s="196">
        <f t="shared" si="26"/>
        <v>-0.23687996578227677</v>
      </c>
      <c r="O528" s="197">
        <v>474</v>
      </c>
      <c r="P528" s="197">
        <v>471</v>
      </c>
      <c r="Q528" s="197">
        <v>374</v>
      </c>
      <c r="R528" s="197">
        <v>370</v>
      </c>
      <c r="S528" s="197">
        <v>404</v>
      </c>
      <c r="T528" s="197">
        <v>517</v>
      </c>
      <c r="U528" s="197">
        <v>514</v>
      </c>
      <c r="V528" s="197">
        <v>493</v>
      </c>
      <c r="W528" s="197">
        <v>525</v>
      </c>
      <c r="X528" s="197"/>
      <c r="Y528" s="197">
        <v>303</v>
      </c>
      <c r="Z528" s="197"/>
    </row>
    <row r="529" spans="1:26">
      <c r="A529" s="191" t="str">
        <f>NORTHAMPTONSHIRE!A26</f>
        <v>Northampton North BC</v>
      </c>
      <c r="B529" s="195">
        <f>NORTHAMPTONSHIRE!D26</f>
        <v>61749</v>
      </c>
      <c r="C529" s="195">
        <f>NORTHAMPTONSHIRE!E26</f>
        <v>62095</v>
      </c>
      <c r="D529" s="195">
        <f>NORTHAMPTONSHIRE!F26</f>
        <v>61808</v>
      </c>
      <c r="E529" s="195">
        <f>NORTHAMPTONSHIRE!G26</f>
        <v>62032</v>
      </c>
      <c r="F529" s="195">
        <f>NORTHAMPTONSHIRE!H26</f>
        <v>58295</v>
      </c>
      <c r="G529" s="195">
        <f>NORTHAMPTONSHIRE!I26</f>
        <v>57749</v>
      </c>
      <c r="H529" s="195">
        <f>NORTHAMPTONSHIRE!J26</f>
        <v>56005</v>
      </c>
      <c r="I529" s="195">
        <f>NORTHAMPTONSHIRE!K26</f>
        <v>57463</v>
      </c>
      <c r="J529" s="195">
        <f>NORTHAMPTONSHIRE!L26</f>
        <v>58324</v>
      </c>
      <c r="K529" s="196">
        <f t="shared" si="24"/>
        <v>-5.5466485287211126E-2</v>
      </c>
      <c r="L529" s="196"/>
      <c r="M529" s="195">
        <f t="shared" si="25"/>
        <v>-18829</v>
      </c>
      <c r="N529" s="196">
        <f t="shared" si="26"/>
        <v>-0.24404754189726907</v>
      </c>
      <c r="O529" s="197">
        <v>515</v>
      </c>
      <c r="P529" s="197">
        <v>514</v>
      </c>
      <c r="Q529" s="197">
        <v>520</v>
      </c>
      <c r="R529" s="197">
        <v>516</v>
      </c>
      <c r="S529" s="197">
        <v>528</v>
      </c>
      <c r="T529" s="197">
        <v>521</v>
      </c>
      <c r="U529" s="197">
        <v>525</v>
      </c>
      <c r="V529" s="197">
        <v>526</v>
      </c>
      <c r="W529" s="197">
        <v>526</v>
      </c>
      <c r="X529" s="197"/>
      <c r="Y529" s="197">
        <v>332</v>
      </c>
      <c r="Z529" s="197"/>
    </row>
    <row r="530" spans="1:26">
      <c r="A530" s="191" t="str">
        <f>NORTHUMBERLAND!A7</f>
        <v>Berwick-upon-Tweed CC</v>
      </c>
      <c r="B530" s="195">
        <f>NORTHUMBERLAND!D7</f>
        <v>57112</v>
      </c>
      <c r="C530" s="195">
        <f>NORTHUMBERLAND!E7</f>
        <v>55785</v>
      </c>
      <c r="D530" s="195">
        <f>NORTHUMBERLAND!F7</f>
        <v>57712</v>
      </c>
      <c r="E530" s="195">
        <f>NORTHUMBERLAND!G7</f>
        <v>58392</v>
      </c>
      <c r="F530" s="195">
        <f>NORTHUMBERLAND!H7</f>
        <v>57262</v>
      </c>
      <c r="G530" s="195">
        <f>NORTHUMBERLAND!I7</f>
        <v>57640</v>
      </c>
      <c r="H530" s="195">
        <f>NORTHUMBERLAND!J7</f>
        <v>55548</v>
      </c>
      <c r="I530" s="195">
        <f>NORTHUMBERLAND!K7</f>
        <v>56234</v>
      </c>
      <c r="J530" s="195">
        <f>NORTHUMBERLAND!L7</f>
        <v>57860</v>
      </c>
      <c r="K530" s="196">
        <f t="shared" si="24"/>
        <v>1.3097072419106317E-2</v>
      </c>
      <c r="L530" s="196"/>
      <c r="M530" s="195">
        <f t="shared" si="25"/>
        <v>-19293</v>
      </c>
      <c r="N530" s="196">
        <f t="shared" si="26"/>
        <v>-0.25006156597928791</v>
      </c>
      <c r="O530" s="197">
        <v>531</v>
      </c>
      <c r="P530" s="197">
        <v>532</v>
      </c>
      <c r="Q530" s="197">
        <v>531</v>
      </c>
      <c r="R530" s="197">
        <v>531</v>
      </c>
      <c r="S530" s="197">
        <v>530</v>
      </c>
      <c r="T530" s="197">
        <v>522</v>
      </c>
      <c r="U530" s="197">
        <v>529</v>
      </c>
      <c r="V530" s="197">
        <v>531</v>
      </c>
      <c r="W530" s="197">
        <v>527</v>
      </c>
      <c r="X530" s="197"/>
      <c r="Y530" s="197">
        <v>25</v>
      </c>
      <c r="Z530" s="197"/>
    </row>
    <row r="531" spans="1:26">
      <c r="A531" s="191" t="str">
        <f>STAFFORDSHIRE!A40</f>
        <v>Stoke-on-Trent Central BC</v>
      </c>
      <c r="B531" s="195">
        <f>STAFFORDSHIRE!D40</f>
        <v>61083</v>
      </c>
      <c r="C531" s="195">
        <f>STAFFORDSHIRE!E40</f>
        <v>61774</v>
      </c>
      <c r="D531" s="195">
        <f>STAFFORDSHIRE!F40</f>
        <v>62483</v>
      </c>
      <c r="E531" s="195">
        <f>STAFFORDSHIRE!G40</f>
        <v>61821</v>
      </c>
      <c r="F531" s="195">
        <f>STAFFORDSHIRE!H40</f>
        <v>61561</v>
      </c>
      <c r="G531" s="195">
        <f>STAFFORDSHIRE!I40</f>
        <v>59472</v>
      </c>
      <c r="H531" s="195">
        <f>STAFFORDSHIRE!J40</f>
        <v>58259</v>
      </c>
      <c r="I531" s="195">
        <f>STAFFORDSHIRE!K40</f>
        <v>56358</v>
      </c>
      <c r="J531" s="195">
        <f>STAFFORDSHIRE!L40</f>
        <v>57802</v>
      </c>
      <c r="K531" s="196">
        <f t="shared" si="24"/>
        <v>-5.3713799256749011E-2</v>
      </c>
      <c r="L531" s="196"/>
      <c r="M531" s="195">
        <f t="shared" si="25"/>
        <v>-19351</v>
      </c>
      <c r="N531" s="196">
        <f t="shared" si="26"/>
        <v>-0.25081331898954029</v>
      </c>
      <c r="O531" s="197">
        <v>518</v>
      </c>
      <c r="P531" s="197">
        <v>517</v>
      </c>
      <c r="Q531" s="197">
        <v>508</v>
      </c>
      <c r="R531" s="197">
        <v>519</v>
      </c>
      <c r="S531" s="197">
        <v>509</v>
      </c>
      <c r="T531" s="197">
        <v>512</v>
      </c>
      <c r="U531" s="197">
        <v>518</v>
      </c>
      <c r="V531" s="197">
        <v>530</v>
      </c>
      <c r="W531" s="197">
        <v>528</v>
      </c>
      <c r="X531" s="197"/>
      <c r="Y531" s="197">
        <v>443</v>
      </c>
      <c r="Z531" s="197"/>
    </row>
    <row r="532" spans="1:26">
      <c r="A532" s="191" t="str">
        <f>MERSEYSIDE!A43</f>
        <v>Wirral South CC</v>
      </c>
      <c r="B532" s="195">
        <f>MERSEYSIDE!D43</f>
        <v>56200</v>
      </c>
      <c r="C532" s="195">
        <f>MERSEYSIDE!E43</f>
        <v>56238</v>
      </c>
      <c r="D532" s="195">
        <f>MERSEYSIDE!F43</f>
        <v>56503</v>
      </c>
      <c r="E532" s="195">
        <f>MERSEYSIDE!G43</f>
        <v>56583</v>
      </c>
      <c r="F532" s="195">
        <f>MERSEYSIDE!H43</f>
        <v>56639</v>
      </c>
      <c r="G532" s="195">
        <f>MERSEYSIDE!I43</f>
        <v>55885</v>
      </c>
      <c r="H532" s="195">
        <f>MERSEYSIDE!J43</f>
        <v>55972</v>
      </c>
      <c r="I532" s="195">
        <f>MERSEYSIDE!K43</f>
        <v>56754</v>
      </c>
      <c r="J532" s="195">
        <f>MERSEYSIDE!L43</f>
        <v>56931</v>
      </c>
      <c r="K532" s="196">
        <f t="shared" si="24"/>
        <v>1.3007117437722419E-2</v>
      </c>
      <c r="L532" s="196"/>
      <c r="M532" s="195">
        <f t="shared" si="25"/>
        <v>-20222</v>
      </c>
      <c r="N532" s="196">
        <f t="shared" si="26"/>
        <v>-0.26210257540212306</v>
      </c>
      <c r="O532" s="197">
        <v>532</v>
      </c>
      <c r="P532" s="197">
        <v>531</v>
      </c>
      <c r="Q532" s="197">
        <v>532</v>
      </c>
      <c r="R532" s="197">
        <v>532</v>
      </c>
      <c r="S532" s="197">
        <v>531</v>
      </c>
      <c r="T532" s="197">
        <v>529</v>
      </c>
      <c r="U532" s="197">
        <v>527</v>
      </c>
      <c r="V532" s="197">
        <v>528</v>
      </c>
      <c r="W532" s="197">
        <v>529</v>
      </c>
      <c r="X532" s="197"/>
      <c r="Y532" s="197">
        <v>514</v>
      </c>
      <c r="Z532" s="197"/>
    </row>
    <row r="533" spans="1:26">
      <c r="A533" s="191" t="str">
        <f>LANCASHIRE!A33</f>
        <v>Blackpool South BC</v>
      </c>
      <c r="B533" s="195">
        <f>LANCASHIRE!D33</f>
        <v>63461</v>
      </c>
      <c r="C533" s="195">
        <f>LANCASHIRE!E33</f>
        <v>64081</v>
      </c>
      <c r="D533" s="195">
        <f>LANCASHIRE!F33</f>
        <v>64289</v>
      </c>
      <c r="E533" s="195">
        <f>LANCASHIRE!G33</f>
        <v>63088</v>
      </c>
      <c r="F533" s="195">
        <f>LANCASHIRE!H33</f>
        <v>61949</v>
      </c>
      <c r="G533" s="195">
        <f>LANCASHIRE!I33</f>
        <v>56304</v>
      </c>
      <c r="H533" s="195">
        <f>LANCASHIRE!J33</f>
        <v>54607</v>
      </c>
      <c r="I533" s="195">
        <f>LANCASHIRE!K33</f>
        <v>55932</v>
      </c>
      <c r="J533" s="195">
        <f>LANCASHIRE!L33</f>
        <v>56850</v>
      </c>
      <c r="K533" s="196">
        <f t="shared" si="24"/>
        <v>-0.1041742172357826</v>
      </c>
      <c r="L533" s="196"/>
      <c r="M533" s="195">
        <f t="shared" si="25"/>
        <v>-20303</v>
      </c>
      <c r="N533" s="196">
        <f t="shared" si="26"/>
        <v>-0.26315243736471688</v>
      </c>
      <c r="O533" s="197">
        <v>493</v>
      </c>
      <c r="P533" s="197">
        <v>491</v>
      </c>
      <c r="Q533" s="197">
        <v>489</v>
      </c>
      <c r="R533" s="197">
        <v>504</v>
      </c>
      <c r="S533" s="197">
        <v>506</v>
      </c>
      <c r="T533" s="197">
        <v>527</v>
      </c>
      <c r="U533" s="197">
        <v>532</v>
      </c>
      <c r="V533" s="197">
        <v>532</v>
      </c>
      <c r="W533" s="197">
        <v>530</v>
      </c>
      <c r="X533" s="197"/>
      <c r="Y533" s="197">
        <v>44</v>
      </c>
      <c r="Z533" s="197"/>
    </row>
    <row r="534" spans="1:26">
      <c r="A534" s="191" t="str">
        <f>LANCASHIRE!A55</f>
        <v>Preston BC</v>
      </c>
      <c r="B534" s="195">
        <f>LANCASHIRE!D55</f>
        <v>60746</v>
      </c>
      <c r="C534" s="195">
        <f>LANCASHIRE!E55</f>
        <v>61025</v>
      </c>
      <c r="D534" s="195">
        <f>LANCASHIRE!F55</f>
        <v>61548</v>
      </c>
      <c r="E534" s="195">
        <f>LANCASHIRE!G55</f>
        <v>61844</v>
      </c>
      <c r="F534" s="195">
        <f>LANCASHIRE!H55</f>
        <v>60948</v>
      </c>
      <c r="G534" s="195">
        <f>LANCASHIRE!I55</f>
        <v>57542</v>
      </c>
      <c r="H534" s="195">
        <f>LANCASHIRE!J55</f>
        <v>56110</v>
      </c>
      <c r="I534" s="195">
        <f>LANCASHIRE!K55</f>
        <v>56623</v>
      </c>
      <c r="J534" s="195">
        <f>LANCASHIRE!L55</f>
        <v>55937</v>
      </c>
      <c r="K534" s="196">
        <f t="shared" si="24"/>
        <v>-7.9165706383959436E-2</v>
      </c>
      <c r="L534" s="196"/>
      <c r="M534" s="195">
        <f t="shared" si="25"/>
        <v>-21216</v>
      </c>
      <c r="N534" s="196">
        <f t="shared" si="26"/>
        <v>-0.27498606664679276</v>
      </c>
      <c r="O534" s="197">
        <v>522</v>
      </c>
      <c r="P534" s="197">
        <v>523</v>
      </c>
      <c r="Q534" s="197">
        <v>522</v>
      </c>
      <c r="R534" s="197">
        <v>518</v>
      </c>
      <c r="S534" s="197">
        <v>516</v>
      </c>
      <c r="T534" s="197">
        <v>524</v>
      </c>
      <c r="U534" s="197">
        <v>526</v>
      </c>
      <c r="V534" s="197">
        <v>529</v>
      </c>
      <c r="W534" s="197">
        <v>531</v>
      </c>
      <c r="X534" s="197"/>
      <c r="Y534" s="197">
        <v>356</v>
      </c>
      <c r="Z534" s="197"/>
    </row>
    <row r="535" spans="1:26">
      <c r="A535" s="191" t="str">
        <f>MERSEYSIDE!A45</f>
        <v>Wirral West CC</v>
      </c>
      <c r="B535" s="195">
        <f>MERSEYSIDE!D45</f>
        <v>55152</v>
      </c>
      <c r="C535" s="195">
        <f>MERSEYSIDE!E45</f>
        <v>55077</v>
      </c>
      <c r="D535" s="195">
        <f>MERSEYSIDE!F45</f>
        <v>54792</v>
      </c>
      <c r="E535" s="195">
        <f>MERSEYSIDE!G45</f>
        <v>55145</v>
      </c>
      <c r="F535" s="195">
        <f>MERSEYSIDE!H45</f>
        <v>54814</v>
      </c>
      <c r="G535" s="195">
        <f>MERSEYSIDE!I45</f>
        <v>53877</v>
      </c>
      <c r="H535" s="195">
        <f>MERSEYSIDE!J45</f>
        <v>54232</v>
      </c>
      <c r="I535" s="195">
        <f>MERSEYSIDE!K45</f>
        <v>54927</v>
      </c>
      <c r="J535" s="195">
        <f>MERSEYSIDE!L45</f>
        <v>55084</v>
      </c>
      <c r="K535" s="196">
        <f t="shared" si="24"/>
        <v>-1.2329561937917028E-3</v>
      </c>
      <c r="L535" s="196"/>
      <c r="M535" s="195">
        <f t="shared" si="25"/>
        <v>-22069</v>
      </c>
      <c r="N535" s="196">
        <f t="shared" si="26"/>
        <v>-0.28604202040102134</v>
      </c>
      <c r="O535" s="197">
        <v>533</v>
      </c>
      <c r="P535" s="197">
        <v>533</v>
      </c>
      <c r="Q535" s="197">
        <v>533</v>
      </c>
      <c r="R535" s="197">
        <v>533</v>
      </c>
      <c r="S535" s="197">
        <v>533</v>
      </c>
      <c r="T535" s="197">
        <v>533</v>
      </c>
      <c r="U535" s="197">
        <v>533</v>
      </c>
      <c r="V535" s="197">
        <v>533</v>
      </c>
      <c r="W535" s="197">
        <v>532</v>
      </c>
      <c r="X535" s="197"/>
      <c r="Y535" s="197">
        <v>515</v>
      </c>
      <c r="Z535" s="197"/>
    </row>
    <row r="536" spans="1:26">
      <c r="A536" s="191" t="str">
        <f>'TYNE &amp; WEAR'!A28</f>
        <v>Newcastle upon Tyne Central BC</v>
      </c>
      <c r="B536" s="195">
        <f>'TYNE &amp; WEAR'!D28</f>
        <v>60565</v>
      </c>
      <c r="C536" s="195">
        <f>'TYNE &amp; WEAR'!E28</f>
        <v>60795</v>
      </c>
      <c r="D536" s="195">
        <f>'TYNE &amp; WEAR'!F28</f>
        <v>61943</v>
      </c>
      <c r="E536" s="195">
        <f>'TYNE &amp; WEAR'!G28</f>
        <v>62464</v>
      </c>
      <c r="F536" s="195">
        <f>'TYNE &amp; WEAR'!H28</f>
        <v>60853</v>
      </c>
      <c r="G536" s="195">
        <f>'TYNE &amp; WEAR'!I28</f>
        <v>55337</v>
      </c>
      <c r="H536" s="195">
        <f>'TYNE &amp; WEAR'!J28</f>
        <v>55483</v>
      </c>
      <c r="I536" s="195">
        <f>'TYNE &amp; WEAR'!K28</f>
        <v>58571</v>
      </c>
      <c r="J536" s="195">
        <f>'TYNE &amp; WEAR'!L28</f>
        <v>53420</v>
      </c>
      <c r="K536" s="196">
        <f t="shared" si="24"/>
        <v>-0.11797242631883101</v>
      </c>
      <c r="L536" s="196"/>
      <c r="M536" s="195">
        <f t="shared" si="25"/>
        <v>-23733</v>
      </c>
      <c r="N536" s="196">
        <f t="shared" si="26"/>
        <v>-0.30760955503998549</v>
      </c>
      <c r="O536" s="197">
        <v>524</v>
      </c>
      <c r="P536" s="197">
        <v>524</v>
      </c>
      <c r="Q536" s="197">
        <v>517</v>
      </c>
      <c r="R536" s="197">
        <v>510</v>
      </c>
      <c r="S536" s="197">
        <v>519</v>
      </c>
      <c r="T536" s="197">
        <v>530</v>
      </c>
      <c r="U536" s="197">
        <v>530</v>
      </c>
      <c r="V536" s="197">
        <v>525</v>
      </c>
      <c r="W536" s="197">
        <v>533</v>
      </c>
      <c r="X536" s="197"/>
      <c r="Y536" s="197">
        <v>302</v>
      </c>
      <c r="Z536" s="197"/>
    </row>
    <row r="537" spans="1:26">
      <c r="A537" s="191"/>
      <c r="B537" s="195"/>
      <c r="C537" s="195"/>
      <c r="D537" s="195"/>
      <c r="E537" s="195"/>
      <c r="F537" s="195"/>
      <c r="G537" s="195"/>
      <c r="H537" s="195"/>
      <c r="I537" s="195"/>
      <c r="J537" s="195"/>
      <c r="K537" s="196"/>
      <c r="L537" s="196"/>
      <c r="M537" s="195"/>
      <c r="N537" s="196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</row>
    <row r="538" spans="1:26">
      <c r="A538" s="191" t="s">
        <v>8697</v>
      </c>
      <c r="B538" s="195">
        <f t="shared" ref="B538:H538" si="27">SUM(B4:B536)</f>
        <v>38129082</v>
      </c>
      <c r="C538" s="195">
        <f t="shared" si="27"/>
        <v>38443481</v>
      </c>
      <c r="D538" s="195">
        <f t="shared" si="27"/>
        <v>38654054</v>
      </c>
      <c r="E538" s="195">
        <f t="shared" si="27"/>
        <v>38837344</v>
      </c>
      <c r="F538" s="195">
        <f t="shared" si="27"/>
        <v>38597137</v>
      </c>
      <c r="G538" s="195">
        <f t="shared" si="27"/>
        <v>37831553</v>
      </c>
      <c r="H538" s="195">
        <f t="shared" si="27"/>
        <v>37399942</v>
      </c>
      <c r="I538" s="195">
        <f t="shared" ref="I538:J538" si="28">SUM(I4:I536)</f>
        <v>38386864</v>
      </c>
      <c r="J538" s="195">
        <f t="shared" si="28"/>
        <v>38693859</v>
      </c>
      <c r="K538" s="196">
        <f>(J538-B538)/B538</f>
        <v>1.4812237021599419E-2</v>
      </c>
      <c r="L538" s="196"/>
    </row>
    <row r="539" spans="1:26">
      <c r="B539" s="203"/>
      <c r="C539" s="203"/>
      <c r="D539" s="203"/>
      <c r="E539" s="203"/>
      <c r="F539" s="203"/>
      <c r="G539" s="203"/>
      <c r="H539" s="203"/>
      <c r="I539" s="203"/>
      <c r="J539" s="203"/>
    </row>
    <row r="540" spans="1:26">
      <c r="A540" s="191" t="s">
        <v>8698</v>
      </c>
      <c r="B540" s="195">
        <f t="shared" ref="B540:H540" si="29">MAX(B4:B536)-MIN(B4:B536)</f>
        <v>55076</v>
      </c>
      <c r="C540" s="195">
        <f t="shared" si="29"/>
        <v>55847</v>
      </c>
      <c r="D540" s="195">
        <f t="shared" si="29"/>
        <v>56108</v>
      </c>
      <c r="E540" s="195">
        <f t="shared" si="29"/>
        <v>55964</v>
      </c>
      <c r="F540" s="195">
        <f t="shared" si="29"/>
        <v>56986</v>
      </c>
      <c r="G540" s="195">
        <f t="shared" si="29"/>
        <v>53695</v>
      </c>
      <c r="H540" s="195">
        <f t="shared" si="29"/>
        <v>51216</v>
      </c>
      <c r="I540" s="195">
        <f t="shared" ref="I540:J540" si="30">MAX(I4:I536)-MIN(I4:I536)</f>
        <v>53664</v>
      </c>
      <c r="J540" s="195">
        <f t="shared" si="30"/>
        <v>56518</v>
      </c>
      <c r="K540" s="196">
        <f>(J540-B540)/B540</f>
        <v>2.6182003050330454E-2</v>
      </c>
      <c r="L540" s="196"/>
    </row>
    <row r="541" spans="1:26">
      <c r="A541" s="191" t="s">
        <v>8699</v>
      </c>
      <c r="B541" s="195">
        <f t="shared" ref="B541:H541" si="31">MAX(B4:B536)</f>
        <v>110228</v>
      </c>
      <c r="C541" s="195">
        <f t="shared" si="31"/>
        <v>110924</v>
      </c>
      <c r="D541" s="195">
        <f t="shared" si="31"/>
        <v>110900</v>
      </c>
      <c r="E541" s="195">
        <f t="shared" si="31"/>
        <v>111109</v>
      </c>
      <c r="F541" s="195">
        <f t="shared" si="31"/>
        <v>111800</v>
      </c>
      <c r="G541" s="195">
        <f t="shared" si="31"/>
        <v>107572</v>
      </c>
      <c r="H541" s="195">
        <f t="shared" si="31"/>
        <v>105448</v>
      </c>
      <c r="I541" s="195">
        <f t="shared" ref="I541:J541" si="32">MAX(I4:I536)</f>
        <v>108591</v>
      </c>
      <c r="J541" s="195">
        <f t="shared" si="32"/>
        <v>109938</v>
      </c>
    </row>
    <row r="542" spans="1:26">
      <c r="A542" s="191" t="s">
        <v>8700</v>
      </c>
      <c r="B542" s="195">
        <f t="shared" ref="B542:H542" si="33">MIN(B4:B536)</f>
        <v>55152</v>
      </c>
      <c r="C542" s="195">
        <f t="shared" si="33"/>
        <v>55077</v>
      </c>
      <c r="D542" s="195">
        <f t="shared" si="33"/>
        <v>54792</v>
      </c>
      <c r="E542" s="195">
        <f t="shared" si="33"/>
        <v>55145</v>
      </c>
      <c r="F542" s="195">
        <f t="shared" si="33"/>
        <v>54814</v>
      </c>
      <c r="G542" s="195">
        <f t="shared" si="33"/>
        <v>53877</v>
      </c>
      <c r="H542" s="195">
        <f t="shared" si="33"/>
        <v>54232</v>
      </c>
      <c r="I542" s="195">
        <f t="shared" ref="I542:J542" si="34">MIN(I4:I536)</f>
        <v>54927</v>
      </c>
      <c r="J542" s="195">
        <f t="shared" si="34"/>
        <v>53420</v>
      </c>
    </row>
    <row r="543" spans="1:26">
      <c r="A543" s="191" t="s">
        <v>8701</v>
      </c>
      <c r="B543" s="195">
        <f t="shared" ref="B543:H543" si="35">STDEVP(B4:B536)</f>
        <v>5883.7516634737858</v>
      </c>
      <c r="C543" s="195">
        <f t="shared" si="35"/>
        <v>6025.394510568909</v>
      </c>
      <c r="D543" s="195">
        <f t="shared" si="35"/>
        <v>6147.9720206876473</v>
      </c>
      <c r="E543" s="195">
        <f t="shared" si="35"/>
        <v>6225.5034931696664</v>
      </c>
      <c r="F543" s="195">
        <f t="shared" si="35"/>
        <v>6484.6382983616677</v>
      </c>
      <c r="G543" s="195">
        <f t="shared" si="35"/>
        <v>6507.198080382208</v>
      </c>
      <c r="H543" s="195">
        <f t="shared" si="35"/>
        <v>6415.0102339514015</v>
      </c>
      <c r="I543" s="195">
        <f t="shared" ref="I543:J543" si="36">STDEVP(I4:I536)</f>
        <v>6829.6532135048938</v>
      </c>
      <c r="J543" s="195">
        <f t="shared" si="36"/>
        <v>6922.8196606277979</v>
      </c>
      <c r="K543" s="196">
        <f>(J543-B543)/B543</f>
        <v>0.17659956717828962</v>
      </c>
      <c r="L543" s="196"/>
    </row>
    <row r="544" spans="1:26">
      <c r="A544" s="191" t="s">
        <v>8702</v>
      </c>
      <c r="B544" s="204">
        <f>REGIONS!B470</f>
        <v>75932</v>
      </c>
      <c r="C544" s="204">
        <f>REGIONS!C470</f>
        <v>76641</v>
      </c>
      <c r="D544" s="204">
        <f>REGIONS!D470</f>
        <v>77081</v>
      </c>
      <c r="E544" s="204">
        <f>REGIONS!E470</f>
        <v>77494</v>
      </c>
      <c r="F544" s="204">
        <f>REGIONS!F470</f>
        <v>77134</v>
      </c>
      <c r="G544" s="204">
        <f>REGIONS!G470</f>
        <v>75774</v>
      </c>
      <c r="H544" s="204">
        <f>REGIONS!H470</f>
        <v>74769</v>
      </c>
      <c r="I544" s="204">
        <f>REGIONS!I470</f>
        <v>76515</v>
      </c>
      <c r="J544" s="204">
        <f>REGIONS!J470</f>
        <v>77153</v>
      </c>
      <c r="K544" s="196">
        <f>(J544-B544)/B544</f>
        <v>1.6080177000474108E-2</v>
      </c>
      <c r="L544" s="196"/>
    </row>
    <row r="546" spans="1:10">
      <c r="A546" s="72" t="s">
        <v>14502</v>
      </c>
      <c r="B546" s="197">
        <v>1</v>
      </c>
      <c r="C546" s="197">
        <v>1</v>
      </c>
      <c r="D546" s="197">
        <v>1</v>
      </c>
      <c r="E546" s="197">
        <v>1</v>
      </c>
      <c r="F546" s="197">
        <v>2</v>
      </c>
      <c r="G546" s="197">
        <v>2</v>
      </c>
      <c r="H546" s="197">
        <v>2</v>
      </c>
      <c r="I546" s="197">
        <v>2</v>
      </c>
      <c r="J546" s="197">
        <v>1</v>
      </c>
    </row>
    <row r="547" spans="1:10">
      <c r="A547" s="72" t="s">
        <v>14503</v>
      </c>
      <c r="B547" s="197">
        <v>2</v>
      </c>
      <c r="C547" s="197">
        <v>3</v>
      </c>
      <c r="D547" s="197">
        <v>3</v>
      </c>
      <c r="E547" s="197">
        <v>3</v>
      </c>
      <c r="F547" s="197">
        <v>3</v>
      </c>
      <c r="G547" s="197">
        <v>3</v>
      </c>
      <c r="H547" s="197">
        <v>4</v>
      </c>
      <c r="I547" s="197">
        <v>5</v>
      </c>
      <c r="J547" s="197">
        <v>4</v>
      </c>
    </row>
    <row r="548" spans="1:10">
      <c r="A548" s="72" t="s">
        <v>14504</v>
      </c>
      <c r="B548" s="197">
        <v>8</v>
      </c>
      <c r="C548" s="197">
        <v>7</v>
      </c>
      <c r="D548" s="197">
        <v>8</v>
      </c>
      <c r="E548" s="197">
        <v>10</v>
      </c>
      <c r="F548" s="197">
        <v>9</v>
      </c>
      <c r="G548" s="197">
        <v>8</v>
      </c>
      <c r="H548" s="197">
        <v>9</v>
      </c>
      <c r="I548" s="197">
        <v>9</v>
      </c>
      <c r="J548" s="197">
        <v>12</v>
      </c>
    </row>
    <row r="549" spans="1:10">
      <c r="A549" s="72" t="s">
        <v>14505</v>
      </c>
      <c r="B549" s="197">
        <v>27</v>
      </c>
      <c r="C549" s="197">
        <v>26</v>
      </c>
      <c r="D549" s="197">
        <v>26</v>
      </c>
      <c r="E549" s="197">
        <v>23</v>
      </c>
      <c r="F549" s="197">
        <v>27</v>
      </c>
      <c r="G549" s="197">
        <v>30</v>
      </c>
      <c r="H549" s="197">
        <v>29</v>
      </c>
      <c r="I549" s="197">
        <v>46</v>
      </c>
      <c r="J549" s="197">
        <v>46</v>
      </c>
    </row>
    <row r="550" spans="1:10">
      <c r="A550" s="72" t="s">
        <v>8251</v>
      </c>
      <c r="B550" s="197">
        <v>196</v>
      </c>
      <c r="C550" s="197">
        <v>200</v>
      </c>
      <c r="D550" s="197">
        <v>197</v>
      </c>
      <c r="E550" s="197">
        <v>192</v>
      </c>
      <c r="F550" s="197">
        <v>193</v>
      </c>
      <c r="G550" s="197">
        <v>190</v>
      </c>
      <c r="H550" s="197">
        <v>184</v>
      </c>
      <c r="I550" s="197">
        <v>171</v>
      </c>
      <c r="J550" s="197">
        <v>174</v>
      </c>
    </row>
    <row r="551" spans="1:10">
      <c r="A551" s="72" t="s">
        <v>14506</v>
      </c>
      <c r="B551" s="197">
        <v>134</v>
      </c>
      <c r="C551" s="197">
        <v>133</v>
      </c>
      <c r="D551" s="197">
        <v>133</v>
      </c>
      <c r="E551" s="197">
        <v>136</v>
      </c>
      <c r="F551" s="197">
        <v>125</v>
      </c>
      <c r="G551" s="197">
        <v>126</v>
      </c>
      <c r="H551" s="197">
        <v>138</v>
      </c>
      <c r="I551" s="197">
        <v>133</v>
      </c>
      <c r="J551" s="197">
        <v>131</v>
      </c>
    </row>
    <row r="552" spans="1:10">
      <c r="A552" s="72" t="s">
        <v>14507</v>
      </c>
      <c r="B552" s="197">
        <v>106</v>
      </c>
      <c r="C552" s="197">
        <v>103</v>
      </c>
      <c r="D552" s="197">
        <v>96</v>
      </c>
      <c r="E552" s="197">
        <v>104</v>
      </c>
      <c r="F552" s="197">
        <v>101</v>
      </c>
      <c r="G552" s="197">
        <v>93</v>
      </c>
      <c r="H552" s="197">
        <v>84</v>
      </c>
      <c r="I552" s="197">
        <v>87</v>
      </c>
      <c r="J552" s="197">
        <v>78</v>
      </c>
    </row>
    <row r="553" spans="1:10">
      <c r="A553" s="72" t="s">
        <v>14508</v>
      </c>
      <c r="B553" s="197">
        <v>48</v>
      </c>
      <c r="C553" s="197">
        <v>47</v>
      </c>
      <c r="D553" s="197">
        <v>56</v>
      </c>
      <c r="E553" s="197">
        <v>47</v>
      </c>
      <c r="F553" s="197">
        <v>47</v>
      </c>
      <c r="G553" s="197">
        <v>51</v>
      </c>
      <c r="H553" s="197">
        <v>57</v>
      </c>
      <c r="I553" s="197">
        <v>52</v>
      </c>
      <c r="J553" s="197">
        <v>58</v>
      </c>
    </row>
    <row r="554" spans="1:10">
      <c r="A554" s="72" t="s">
        <v>14509</v>
      </c>
      <c r="B554" s="197">
        <v>11</v>
      </c>
      <c r="C554" s="197">
        <v>13</v>
      </c>
      <c r="D554" s="197">
        <v>13</v>
      </c>
      <c r="E554" s="197">
        <v>17</v>
      </c>
      <c r="F554" s="197">
        <v>26</v>
      </c>
      <c r="G554" s="197">
        <v>30</v>
      </c>
      <c r="H554" s="197">
        <v>26</v>
      </c>
      <c r="I554" s="197">
        <v>28</v>
      </c>
      <c r="J554" s="197">
        <v>29</v>
      </c>
    </row>
    <row r="556" spans="1:10">
      <c r="A556" s="191" t="s">
        <v>7334</v>
      </c>
      <c r="B556" s="195">
        <f t="shared" ref="B556:G556" si="37">B544*1.2</f>
        <v>91118.399999999994</v>
      </c>
      <c r="C556" s="195">
        <f t="shared" si="37"/>
        <v>91969.2</v>
      </c>
      <c r="D556" s="195">
        <f t="shared" si="37"/>
        <v>92497.2</v>
      </c>
      <c r="E556" s="195">
        <f t="shared" si="37"/>
        <v>92992.8</v>
      </c>
      <c r="F556" s="195">
        <f t="shared" si="37"/>
        <v>92560.8</v>
      </c>
      <c r="G556" s="195">
        <f t="shared" si="37"/>
        <v>90928.8</v>
      </c>
      <c r="H556" s="195">
        <f t="shared" ref="H556:I556" si="38">H544*1.2</f>
        <v>89722.8</v>
      </c>
      <c r="I556" s="195">
        <f t="shared" si="38"/>
        <v>91818</v>
      </c>
      <c r="J556" s="195">
        <f t="shared" ref="J556" si="39">J544*1.2</f>
        <v>92583.599999999991</v>
      </c>
    </row>
    <row r="557" spans="1:10">
      <c r="A557" s="191" t="s">
        <v>7335</v>
      </c>
      <c r="B557" s="195">
        <f t="shared" ref="B557:G557" si="40">B544*1.15</f>
        <v>87321.799999999988</v>
      </c>
      <c r="C557" s="195">
        <f t="shared" si="40"/>
        <v>88137.15</v>
      </c>
      <c r="D557" s="195">
        <f t="shared" si="40"/>
        <v>88643.15</v>
      </c>
      <c r="E557" s="195">
        <f t="shared" si="40"/>
        <v>89118.099999999991</v>
      </c>
      <c r="F557" s="195">
        <f t="shared" si="40"/>
        <v>88704.099999999991</v>
      </c>
      <c r="G557" s="195">
        <f t="shared" si="40"/>
        <v>87140.099999999991</v>
      </c>
      <c r="H557" s="195">
        <f t="shared" ref="H557:I557" si="41">H544*1.15</f>
        <v>85984.349999999991</v>
      </c>
      <c r="I557" s="195">
        <f t="shared" si="41"/>
        <v>87992.25</v>
      </c>
      <c r="J557" s="195">
        <f t="shared" ref="J557" si="42">J544*1.15</f>
        <v>88725.95</v>
      </c>
    </row>
    <row r="558" spans="1:10">
      <c r="A558" s="191" t="s">
        <v>7336</v>
      </c>
      <c r="B558" s="195">
        <f t="shared" ref="B558:G558" si="43">B544*1.1</f>
        <v>83525.200000000012</v>
      </c>
      <c r="C558" s="195">
        <f t="shared" si="43"/>
        <v>84305.1</v>
      </c>
      <c r="D558" s="195">
        <f t="shared" si="43"/>
        <v>84789.1</v>
      </c>
      <c r="E558" s="195">
        <f t="shared" si="43"/>
        <v>85243.400000000009</v>
      </c>
      <c r="F558" s="195">
        <f t="shared" si="43"/>
        <v>84847.400000000009</v>
      </c>
      <c r="G558" s="195">
        <f t="shared" si="43"/>
        <v>83351.400000000009</v>
      </c>
      <c r="H558" s="195">
        <f t="shared" ref="H558:I558" si="44">H544*1.1</f>
        <v>82245.900000000009</v>
      </c>
      <c r="I558" s="195">
        <f t="shared" si="44"/>
        <v>84166.5</v>
      </c>
      <c r="J558" s="195">
        <f t="shared" ref="J558" si="45">J544*1.1</f>
        <v>84868.3</v>
      </c>
    </row>
    <row r="559" spans="1:10">
      <c r="A559" s="191" t="s">
        <v>7337</v>
      </c>
      <c r="B559" s="195">
        <f>(B544*1.05)-1</f>
        <v>79727.600000000006</v>
      </c>
      <c r="C559" s="195">
        <f>C544*1.05</f>
        <v>80473.05</v>
      </c>
      <c r="D559" s="195">
        <f>(D544*1.05)-1</f>
        <v>80934.05</v>
      </c>
      <c r="E559" s="195">
        <f>(E544*1.05)-1</f>
        <v>81367.7</v>
      </c>
      <c r="F559" s="195">
        <f>(F544*1.05)-1</f>
        <v>80989.7</v>
      </c>
      <c r="G559" s="195">
        <f>(G544*1.05)-1</f>
        <v>79561.7</v>
      </c>
      <c r="H559" s="195">
        <f>(H544*1.05)</f>
        <v>78507.45</v>
      </c>
      <c r="I559" s="195">
        <f>(I544*1.05)-1</f>
        <v>80339.75</v>
      </c>
      <c r="J559" s="195">
        <f>(J544*1.05)-1</f>
        <v>81009.650000000009</v>
      </c>
    </row>
    <row r="560" spans="1:10">
      <c r="A560" s="191" t="s">
        <v>7338</v>
      </c>
      <c r="B560" s="195">
        <f>(B544*0.95)+1</f>
        <v>72136.399999999994</v>
      </c>
      <c r="C560" s="195">
        <f>(C544*0.95)+1</f>
        <v>72809.95</v>
      </c>
      <c r="D560" s="195">
        <f>D544*0.95</f>
        <v>73226.95</v>
      </c>
      <c r="E560" s="195">
        <f>(E544*0.95)+1</f>
        <v>73620.3</v>
      </c>
      <c r="F560" s="195">
        <f>(F544*0.95)+1</f>
        <v>73278.3</v>
      </c>
      <c r="G560" s="195">
        <f>(G544*0.95)+1</f>
        <v>71986.3</v>
      </c>
      <c r="H560" s="195">
        <f>(H544*0.95)</f>
        <v>71030.55</v>
      </c>
      <c r="I560" s="195">
        <f>(I544*0.95)+1</f>
        <v>72690.25</v>
      </c>
      <c r="J560" s="195">
        <f>(J544*0.95)+1</f>
        <v>73296.349999999991</v>
      </c>
    </row>
    <row r="561" spans="1:10">
      <c r="A561" s="191" t="s">
        <v>7339</v>
      </c>
      <c r="B561" s="195">
        <f t="shared" ref="B561:G561" si="46">B544*0.9</f>
        <v>68338.8</v>
      </c>
      <c r="C561" s="195">
        <f t="shared" si="46"/>
        <v>68976.900000000009</v>
      </c>
      <c r="D561" s="195">
        <f t="shared" si="46"/>
        <v>69372.900000000009</v>
      </c>
      <c r="E561" s="195">
        <f t="shared" si="46"/>
        <v>69744.600000000006</v>
      </c>
      <c r="F561" s="195">
        <f t="shared" si="46"/>
        <v>69420.600000000006</v>
      </c>
      <c r="G561" s="195">
        <f t="shared" si="46"/>
        <v>68196.600000000006</v>
      </c>
      <c r="H561" s="195">
        <f t="shared" ref="H561:I561" si="47">H544*0.9</f>
        <v>67292.100000000006</v>
      </c>
      <c r="I561" s="195">
        <f t="shared" si="47"/>
        <v>68863.5</v>
      </c>
      <c r="J561" s="195">
        <f t="shared" ref="J561" si="48">J544*0.9</f>
        <v>69437.7</v>
      </c>
    </row>
    <row r="562" spans="1:10">
      <c r="A562" s="191" t="s">
        <v>7340</v>
      </c>
      <c r="B562" s="195">
        <f t="shared" ref="B562:G562" si="49">B544*0.85</f>
        <v>64542.2</v>
      </c>
      <c r="C562" s="195">
        <f t="shared" si="49"/>
        <v>65144.85</v>
      </c>
      <c r="D562" s="195">
        <f t="shared" si="49"/>
        <v>65518.85</v>
      </c>
      <c r="E562" s="195">
        <f t="shared" si="49"/>
        <v>65869.899999999994</v>
      </c>
      <c r="F562" s="195">
        <f t="shared" si="49"/>
        <v>65563.899999999994</v>
      </c>
      <c r="G562" s="195">
        <f t="shared" si="49"/>
        <v>64407.9</v>
      </c>
      <c r="H562" s="195">
        <f t="shared" ref="H562:I562" si="50">H544*0.85</f>
        <v>63553.65</v>
      </c>
      <c r="I562" s="195">
        <f t="shared" si="50"/>
        <v>65037.75</v>
      </c>
      <c r="J562" s="195">
        <f t="shared" ref="J562" si="51">J544*0.85</f>
        <v>65580.05</v>
      </c>
    </row>
    <row r="563" spans="1:10">
      <c r="A563" s="191" t="s">
        <v>7341</v>
      </c>
      <c r="B563" s="195">
        <f t="shared" ref="B563:G563" si="52">B544*0.8</f>
        <v>60745.600000000006</v>
      </c>
      <c r="C563" s="195">
        <f t="shared" si="52"/>
        <v>61312.800000000003</v>
      </c>
      <c r="D563" s="195">
        <f t="shared" si="52"/>
        <v>61664.800000000003</v>
      </c>
      <c r="E563" s="195">
        <f t="shared" si="52"/>
        <v>61995.200000000004</v>
      </c>
      <c r="F563" s="195">
        <f t="shared" si="52"/>
        <v>61707.200000000004</v>
      </c>
      <c r="G563" s="195">
        <f t="shared" si="52"/>
        <v>60619.200000000004</v>
      </c>
      <c r="H563" s="195">
        <f t="shared" ref="H563:I563" si="53">H544*0.8</f>
        <v>59815.200000000004</v>
      </c>
      <c r="I563" s="195">
        <f t="shared" si="53"/>
        <v>61212</v>
      </c>
      <c r="J563" s="195">
        <f t="shared" ref="J563" si="54">J544*0.8</f>
        <v>61722.400000000001</v>
      </c>
    </row>
  </sheetData>
  <autoFilter ref="A1:GY563"/>
  <sortState ref="A4:GY536">
    <sortCondition ref="W4:W536"/>
  </sortState>
  <phoneticPr fontId="7" type="noConversion"/>
  <printOptions gridLinesSet="0"/>
  <pageMargins left="1.1023622047244095" right="0" top="0.78740157480314965" bottom="0.51181102362204722" header="0.51181102362204722" footer="0.51181102362204722"/>
  <pageSetup paperSize="8" scale="90" orientation="landscape" r:id="rId1"/>
  <headerFooter alignWithMargins="0">
    <oddFooter>&amp;C&amp;8&amp;P of &amp;N</oddFooter>
  </headerFooter>
  <rowBreaks count="10" manualBreakCount="10">
    <brk id="54" max="14" man="1"/>
    <brk id="104" max="14" man="1"/>
    <brk id="154" max="14" man="1"/>
    <brk id="204" max="14" man="1"/>
    <brk id="254" max="14" man="1"/>
    <brk id="304" max="14" man="1"/>
    <brk id="354" max="14" man="1"/>
    <brk id="404" max="14" man="1"/>
    <brk id="454" max="14" man="1"/>
    <brk id="504" max="14" man="1"/>
  </rowBreaks>
  <ignoredErrors>
    <ignoredError sqref="B537:C537 B556:D558 E537 B561:D563 C560 B559:B560 E555:G563 A538:E544 E545 F537:G545 H556:H558 N537 H561:H563 I556:I563 H537:I544 N539 N538 N541:N542 N540 K545:N563 N543 N544 J556:J563 L544:M544 L543:M543 L540:M540 K541:M542 L538:M538 K539:M539 K537:M537 J538:K538 J537 J540:K540 J539 J544:K544 J541:J542 J543:K543" unlockedFormula="1"/>
    <ignoredError sqref="D559:D560 C559 H559:H560" formula="1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340"/>
  <sheetViews>
    <sheetView showGridLines="0" zoomScaleNormal="100" workbookViewId="0"/>
  </sheetViews>
  <sheetFormatPr defaultColWidth="12.5703125" defaultRowHeight="15"/>
  <cols>
    <col min="1" max="1" width="4.85546875" style="557" customWidth="1"/>
    <col min="2" max="2" width="45.7109375" style="557" customWidth="1"/>
    <col min="3" max="3" width="11.42578125" style="557" customWidth="1"/>
    <col min="4" max="12" width="10.140625" style="557" customWidth="1"/>
    <col min="13" max="13" width="2.28515625" style="557" customWidth="1"/>
    <col min="14" max="14" width="29.42578125" style="557" customWidth="1"/>
    <col min="15" max="16384" width="12.5703125" style="557"/>
  </cols>
  <sheetData>
    <row r="1" spans="1:14">
      <c r="A1" s="556" t="s">
        <v>8847</v>
      </c>
      <c r="D1" s="558">
        <v>2010</v>
      </c>
      <c r="E1" s="558">
        <v>2011</v>
      </c>
      <c r="F1" s="558">
        <v>2012</v>
      </c>
      <c r="G1" s="558">
        <v>2013</v>
      </c>
      <c r="H1" s="558">
        <v>2014</v>
      </c>
      <c r="I1" s="558">
        <v>2015</v>
      </c>
      <c r="J1" s="558">
        <v>2016</v>
      </c>
      <c r="K1" s="558">
        <v>2017</v>
      </c>
      <c r="L1" s="558">
        <v>2018</v>
      </c>
    </row>
    <row r="3" spans="1:14">
      <c r="A3" s="556" t="s">
        <v>3584</v>
      </c>
      <c r="C3" s="556"/>
      <c r="D3" s="559">
        <f t="shared" ref="D3:I3" si="0">SUM(D7:D14)</f>
        <v>597320</v>
      </c>
      <c r="E3" s="559">
        <f t="shared" si="0"/>
        <v>599776</v>
      </c>
      <c r="F3" s="559">
        <f t="shared" si="0"/>
        <v>601842</v>
      </c>
      <c r="G3" s="559">
        <f t="shared" si="0"/>
        <v>605387</v>
      </c>
      <c r="H3" s="559">
        <f t="shared" si="0"/>
        <v>604938</v>
      </c>
      <c r="I3" s="559">
        <f t="shared" si="0"/>
        <v>595846</v>
      </c>
      <c r="J3" s="559">
        <f t="shared" ref="J3:K3" si="1">SUM(J7:J14)</f>
        <v>585891</v>
      </c>
      <c r="K3" s="559">
        <f t="shared" si="1"/>
        <v>601039</v>
      </c>
      <c r="L3" s="559">
        <f t="shared" ref="L3" si="2">SUM(L7:L14)</f>
        <v>606008</v>
      </c>
    </row>
    <row r="4" spans="1:14" ht="15.75" thickBot="1">
      <c r="A4" s="556" t="s">
        <v>3571</v>
      </c>
      <c r="C4" s="556"/>
      <c r="D4" s="560">
        <f t="shared" ref="D4:I4" si="3">D62</f>
        <v>173057</v>
      </c>
      <c r="E4" s="560">
        <f t="shared" si="3"/>
        <v>175659</v>
      </c>
      <c r="F4" s="560">
        <f t="shared" si="3"/>
        <v>177443</v>
      </c>
      <c r="G4" s="560">
        <f t="shared" si="3"/>
        <v>176951</v>
      </c>
      <c r="H4" s="560">
        <f t="shared" si="3"/>
        <v>175062</v>
      </c>
      <c r="I4" s="560">
        <f t="shared" si="3"/>
        <v>167269</v>
      </c>
      <c r="J4" s="560">
        <f t="shared" ref="J4:K4" si="4">J62</f>
        <v>170659</v>
      </c>
      <c r="K4" s="560">
        <f t="shared" si="4"/>
        <v>169154</v>
      </c>
      <c r="L4" s="560">
        <f t="shared" ref="L4" si="5">L62</f>
        <v>168544</v>
      </c>
    </row>
    <row r="5" spans="1:14" ht="15.75" thickBot="1">
      <c r="D5" s="560">
        <f t="shared" ref="D5:I5" si="6">D3+D4</f>
        <v>770377</v>
      </c>
      <c r="E5" s="560">
        <f t="shared" si="6"/>
        <v>775435</v>
      </c>
      <c r="F5" s="560">
        <f t="shared" si="6"/>
        <v>779285</v>
      </c>
      <c r="G5" s="560">
        <f t="shared" si="6"/>
        <v>782338</v>
      </c>
      <c r="H5" s="560">
        <f t="shared" si="6"/>
        <v>780000</v>
      </c>
      <c r="I5" s="560">
        <f t="shared" si="6"/>
        <v>763115</v>
      </c>
      <c r="J5" s="560">
        <f t="shared" ref="J5:K5" si="7">J3+J4</f>
        <v>756550</v>
      </c>
      <c r="K5" s="560">
        <f t="shared" si="7"/>
        <v>770193</v>
      </c>
      <c r="L5" s="560">
        <f t="shared" ref="L5" si="8">L3+L4</f>
        <v>774552</v>
      </c>
    </row>
    <row r="6" spans="1:14">
      <c r="D6" s="561"/>
      <c r="E6" s="561"/>
      <c r="F6" s="561"/>
      <c r="G6" s="561"/>
      <c r="H6" s="561"/>
      <c r="I6" s="561"/>
      <c r="J6" s="561"/>
      <c r="K6" s="561"/>
      <c r="L6" s="561"/>
    </row>
    <row r="7" spans="1:14">
      <c r="A7" s="556" t="s">
        <v>3572</v>
      </c>
      <c r="C7" s="556"/>
      <c r="D7" s="559">
        <f t="shared" ref="D7:I7" si="9">D90</f>
        <v>96862</v>
      </c>
      <c r="E7" s="559">
        <f t="shared" si="9"/>
        <v>97127</v>
      </c>
      <c r="F7" s="559">
        <f t="shared" si="9"/>
        <v>97440</v>
      </c>
      <c r="G7" s="559">
        <f t="shared" si="9"/>
        <v>98057</v>
      </c>
      <c r="H7" s="559">
        <f t="shared" si="9"/>
        <v>98440</v>
      </c>
      <c r="I7" s="559">
        <f t="shared" si="9"/>
        <v>97788</v>
      </c>
      <c r="J7" s="559">
        <f t="shared" ref="J7:K7" si="10">J90</f>
        <v>90840</v>
      </c>
      <c r="K7" s="559">
        <f t="shared" si="10"/>
        <v>94183</v>
      </c>
      <c r="L7" s="559">
        <f t="shared" ref="L7" si="11">L90</f>
        <v>97199</v>
      </c>
      <c r="N7" s="562"/>
    </row>
    <row r="8" spans="1:14">
      <c r="A8" s="556" t="s">
        <v>3573</v>
      </c>
      <c r="C8" s="556"/>
      <c r="D8" s="559">
        <f t="shared" ref="D8:I8" si="12">D127</f>
        <v>58843</v>
      </c>
      <c r="E8" s="559">
        <f t="shared" si="12"/>
        <v>57694</v>
      </c>
      <c r="F8" s="559">
        <f t="shared" si="12"/>
        <v>57137</v>
      </c>
      <c r="G8" s="559">
        <f t="shared" si="12"/>
        <v>57353</v>
      </c>
      <c r="H8" s="559">
        <f t="shared" si="12"/>
        <v>57501</v>
      </c>
      <c r="I8" s="559">
        <f t="shared" si="12"/>
        <v>56877</v>
      </c>
      <c r="J8" s="559">
        <f t="shared" ref="J8:K8" si="13">J127</f>
        <v>56533</v>
      </c>
      <c r="K8" s="559">
        <f t="shared" si="13"/>
        <v>58312</v>
      </c>
      <c r="L8" s="559">
        <f t="shared" ref="L8" si="14">L127</f>
        <v>58315</v>
      </c>
      <c r="N8" s="562"/>
    </row>
    <row r="9" spans="1:14">
      <c r="A9" s="556" t="s">
        <v>3574</v>
      </c>
      <c r="C9" s="556"/>
      <c r="D9" s="559">
        <f t="shared" ref="D9:I9" si="15">D157</f>
        <v>80031</v>
      </c>
      <c r="E9" s="559">
        <f t="shared" si="15"/>
        <v>80945</v>
      </c>
      <c r="F9" s="559">
        <f t="shared" si="15"/>
        <v>80718</v>
      </c>
      <c r="G9" s="559">
        <f t="shared" si="15"/>
        <v>81633</v>
      </c>
      <c r="H9" s="559">
        <f t="shared" si="15"/>
        <v>80351</v>
      </c>
      <c r="I9" s="559">
        <f t="shared" si="15"/>
        <v>77709</v>
      </c>
      <c r="J9" s="559">
        <f t="shared" ref="J9:K9" si="16">J157</f>
        <v>79028</v>
      </c>
      <c r="K9" s="559">
        <f t="shared" si="16"/>
        <v>79656</v>
      </c>
      <c r="L9" s="559">
        <f t="shared" ref="L9" si="17">L157</f>
        <v>78758</v>
      </c>
      <c r="N9" s="562"/>
    </row>
    <row r="10" spans="1:14">
      <c r="A10" s="556" t="s">
        <v>3575</v>
      </c>
      <c r="C10" s="556"/>
      <c r="D10" s="559">
        <f t="shared" ref="D10:I10" si="18">D186</f>
        <v>57679</v>
      </c>
      <c r="E10" s="559">
        <f t="shared" si="18"/>
        <v>57433</v>
      </c>
      <c r="F10" s="559">
        <f t="shared" si="18"/>
        <v>57557</v>
      </c>
      <c r="G10" s="559">
        <f t="shared" si="18"/>
        <v>57719</v>
      </c>
      <c r="H10" s="559">
        <f t="shared" si="18"/>
        <v>57220</v>
      </c>
      <c r="I10" s="559">
        <f t="shared" si="18"/>
        <v>56360</v>
      </c>
      <c r="J10" s="559">
        <f t="shared" ref="J10:K10" si="19">J186</f>
        <v>54902</v>
      </c>
      <c r="K10" s="559">
        <f t="shared" si="19"/>
        <v>56655</v>
      </c>
      <c r="L10" s="559">
        <f t="shared" ref="L10" si="20">L186</f>
        <v>57137</v>
      </c>
      <c r="N10" s="562"/>
    </row>
    <row r="11" spans="1:14">
      <c r="A11" s="556" t="s">
        <v>5289</v>
      </c>
      <c r="C11" s="556"/>
      <c r="D11" s="559">
        <f t="shared" ref="D11:I11" si="21">D220</f>
        <v>83767</v>
      </c>
      <c r="E11" s="559">
        <f t="shared" si="21"/>
        <v>84310</v>
      </c>
      <c r="F11" s="559">
        <f t="shared" si="21"/>
        <v>85279</v>
      </c>
      <c r="G11" s="559">
        <f t="shared" si="21"/>
        <v>85634</v>
      </c>
      <c r="H11" s="559">
        <f t="shared" si="21"/>
        <v>85283</v>
      </c>
      <c r="I11" s="559">
        <f t="shared" si="21"/>
        <v>85237</v>
      </c>
      <c r="J11" s="559">
        <f t="shared" ref="J11:K11" si="22">J220</f>
        <v>84625</v>
      </c>
      <c r="K11" s="559">
        <f t="shared" si="22"/>
        <v>86017</v>
      </c>
      <c r="L11" s="559">
        <f t="shared" ref="L11" si="23">L220</f>
        <v>85564</v>
      </c>
      <c r="N11" s="562"/>
    </row>
    <row r="12" spans="1:14">
      <c r="A12" s="556" t="s">
        <v>5290</v>
      </c>
      <c r="C12" s="556"/>
      <c r="D12" s="559">
        <f t="shared" ref="D12:I12" si="24">D249</f>
        <v>71685</v>
      </c>
      <c r="E12" s="559">
        <f t="shared" si="24"/>
        <v>72178</v>
      </c>
      <c r="F12" s="559">
        <f t="shared" si="24"/>
        <v>72211</v>
      </c>
      <c r="G12" s="559">
        <f t="shared" si="24"/>
        <v>72226</v>
      </c>
      <c r="H12" s="559">
        <f t="shared" si="24"/>
        <v>72226</v>
      </c>
      <c r="I12" s="559">
        <f t="shared" si="24"/>
        <v>71263</v>
      </c>
      <c r="J12" s="559">
        <f t="shared" ref="J12:K12" si="25">J249</f>
        <v>71130</v>
      </c>
      <c r="K12" s="559">
        <f t="shared" si="25"/>
        <v>72415</v>
      </c>
      <c r="L12" s="559">
        <f t="shared" ref="L12" si="26">L249</f>
        <v>71880</v>
      </c>
      <c r="N12" s="562"/>
    </row>
    <row r="13" spans="1:14">
      <c r="A13" s="556" t="s">
        <v>5291</v>
      </c>
      <c r="C13" s="556"/>
      <c r="D13" s="559">
        <f t="shared" ref="D13:I13" si="27">D286</f>
        <v>78010</v>
      </c>
      <c r="E13" s="559">
        <f t="shared" si="27"/>
        <v>78763</v>
      </c>
      <c r="F13" s="559">
        <f t="shared" si="27"/>
        <v>79146</v>
      </c>
      <c r="G13" s="559">
        <f t="shared" si="27"/>
        <v>79419</v>
      </c>
      <c r="H13" s="559">
        <f t="shared" si="27"/>
        <v>79712</v>
      </c>
      <c r="I13" s="559">
        <f t="shared" si="27"/>
        <v>77640</v>
      </c>
      <c r="J13" s="559">
        <f t="shared" ref="J13:K13" si="28">J286</f>
        <v>77256</v>
      </c>
      <c r="K13" s="559">
        <f t="shared" si="28"/>
        <v>78439</v>
      </c>
      <c r="L13" s="559">
        <f t="shared" ref="L13" si="29">L286</f>
        <v>78466</v>
      </c>
      <c r="N13" s="562"/>
    </row>
    <row r="14" spans="1:14">
      <c r="A14" s="556" t="s">
        <v>5292</v>
      </c>
      <c r="C14" s="556"/>
      <c r="D14" s="559">
        <f t="shared" ref="D14:I14" si="30">D321</f>
        <v>70443</v>
      </c>
      <c r="E14" s="559">
        <f t="shared" si="30"/>
        <v>71326</v>
      </c>
      <c r="F14" s="559">
        <f t="shared" si="30"/>
        <v>72354</v>
      </c>
      <c r="G14" s="559">
        <f t="shared" si="30"/>
        <v>73346</v>
      </c>
      <c r="H14" s="559">
        <f t="shared" si="30"/>
        <v>74205</v>
      </c>
      <c r="I14" s="559">
        <f t="shared" si="30"/>
        <v>72972</v>
      </c>
      <c r="J14" s="559">
        <f t="shared" ref="J14:K14" si="31">J321</f>
        <v>71577</v>
      </c>
      <c r="K14" s="559">
        <f t="shared" si="31"/>
        <v>75362</v>
      </c>
      <c r="L14" s="559">
        <f t="shared" ref="L14" si="32">L321</f>
        <v>78689</v>
      </c>
      <c r="N14" s="562"/>
    </row>
    <row r="16" spans="1:14">
      <c r="A16" s="556" t="s">
        <v>5293</v>
      </c>
      <c r="D16" s="559">
        <f t="shared" ref="D16:I16" si="33">D3/8</f>
        <v>74665</v>
      </c>
      <c r="E16" s="559">
        <f t="shared" si="33"/>
        <v>74972</v>
      </c>
      <c r="F16" s="559">
        <f t="shared" si="33"/>
        <v>75230.25</v>
      </c>
      <c r="G16" s="559">
        <f t="shared" si="33"/>
        <v>75673.375</v>
      </c>
      <c r="H16" s="559">
        <f t="shared" si="33"/>
        <v>75617.25</v>
      </c>
      <c r="I16" s="559">
        <f t="shared" si="33"/>
        <v>74480.75</v>
      </c>
      <c r="J16" s="559">
        <f t="shared" ref="J16:K16" si="34">J3/8</f>
        <v>73236.375</v>
      </c>
      <c r="K16" s="559">
        <f t="shared" si="34"/>
        <v>75129.875</v>
      </c>
      <c r="L16" s="559">
        <f t="shared" ref="L16" si="35">L3/8</f>
        <v>75751</v>
      </c>
    </row>
    <row r="17" spans="1:14">
      <c r="A17" s="556" t="s">
        <v>5294</v>
      </c>
      <c r="D17" s="559">
        <f t="shared" ref="D17:I17" si="36">D4/2</f>
        <v>86528.5</v>
      </c>
      <c r="E17" s="559">
        <f t="shared" si="36"/>
        <v>87829.5</v>
      </c>
      <c r="F17" s="559">
        <f t="shared" si="36"/>
        <v>88721.5</v>
      </c>
      <c r="G17" s="559">
        <f t="shared" si="36"/>
        <v>88475.5</v>
      </c>
      <c r="H17" s="559">
        <f t="shared" si="36"/>
        <v>87531</v>
      </c>
      <c r="I17" s="559">
        <f t="shared" si="36"/>
        <v>83634.5</v>
      </c>
      <c r="J17" s="559">
        <f t="shared" ref="J17:K17" si="37">J4/2</f>
        <v>85329.5</v>
      </c>
      <c r="K17" s="559">
        <f t="shared" si="37"/>
        <v>84577</v>
      </c>
      <c r="L17" s="559">
        <f t="shared" ref="L17" si="38">L4/2</f>
        <v>84272</v>
      </c>
    </row>
    <row r="18" spans="1:14">
      <c r="A18" s="556" t="s">
        <v>4183</v>
      </c>
      <c r="D18" s="559">
        <f t="shared" ref="D18:I18" si="39">D5/10</f>
        <v>77037.7</v>
      </c>
      <c r="E18" s="559">
        <f t="shared" si="39"/>
        <v>77543.5</v>
      </c>
      <c r="F18" s="559">
        <f t="shared" si="39"/>
        <v>77928.5</v>
      </c>
      <c r="G18" s="559">
        <f t="shared" si="39"/>
        <v>78233.8</v>
      </c>
      <c r="H18" s="559">
        <f t="shared" si="39"/>
        <v>78000</v>
      </c>
      <c r="I18" s="559">
        <f t="shared" si="39"/>
        <v>76311.5</v>
      </c>
      <c r="J18" s="559">
        <f t="shared" ref="J18:K18" si="40">J5/10</f>
        <v>75655</v>
      </c>
      <c r="K18" s="559">
        <f t="shared" si="40"/>
        <v>77019.3</v>
      </c>
      <c r="L18" s="559">
        <f t="shared" ref="L18" si="41">L5/10</f>
        <v>77455.199999999997</v>
      </c>
    </row>
    <row r="19" spans="1:14">
      <c r="A19" s="556"/>
      <c r="D19" s="563"/>
      <c r="E19" s="563"/>
      <c r="F19" s="563"/>
      <c r="G19" s="563"/>
      <c r="H19" s="563"/>
      <c r="I19" s="563"/>
      <c r="J19" s="563"/>
      <c r="K19" s="563"/>
      <c r="L19" s="563"/>
    </row>
    <row r="20" spans="1:14">
      <c r="A20" s="556" t="s">
        <v>3537</v>
      </c>
      <c r="D20" s="559">
        <f t="shared" ref="D20:I20" si="42">D117</f>
        <v>69385</v>
      </c>
      <c r="E20" s="559">
        <f t="shared" si="42"/>
        <v>69538</v>
      </c>
      <c r="F20" s="559">
        <f t="shared" si="42"/>
        <v>69590</v>
      </c>
      <c r="G20" s="559">
        <f t="shared" si="42"/>
        <v>69955</v>
      </c>
      <c r="H20" s="559">
        <f t="shared" si="42"/>
        <v>70231</v>
      </c>
      <c r="I20" s="559">
        <f t="shared" si="42"/>
        <v>69532</v>
      </c>
      <c r="J20" s="559">
        <f t="shared" ref="J20:K20" si="43">J117</f>
        <v>64454</v>
      </c>
      <c r="K20" s="559">
        <f t="shared" si="43"/>
        <v>66639</v>
      </c>
      <c r="L20" s="559">
        <f t="shared" ref="L20" si="44">L117</f>
        <v>68716</v>
      </c>
      <c r="N20" s="556" t="s">
        <v>3538</v>
      </c>
    </row>
    <row r="21" spans="1:14">
      <c r="D21" s="561"/>
      <c r="E21" s="561"/>
      <c r="F21" s="561"/>
      <c r="G21" s="561"/>
      <c r="H21" s="561"/>
      <c r="I21" s="561"/>
      <c r="J21" s="561"/>
      <c r="K21" s="561"/>
      <c r="L21" s="561"/>
    </row>
    <row r="22" spans="1:14">
      <c r="A22" s="556" t="s">
        <v>3539</v>
      </c>
      <c r="D22" s="559">
        <f t="shared" ref="D22:I22" si="45">D149</f>
        <v>58843</v>
      </c>
      <c r="E22" s="559">
        <f t="shared" si="45"/>
        <v>57694</v>
      </c>
      <c r="F22" s="559">
        <f t="shared" si="45"/>
        <v>57137</v>
      </c>
      <c r="G22" s="559">
        <f t="shared" si="45"/>
        <v>57353</v>
      </c>
      <c r="H22" s="559">
        <f t="shared" si="45"/>
        <v>57501</v>
      </c>
      <c r="I22" s="559">
        <f t="shared" si="45"/>
        <v>56877</v>
      </c>
      <c r="J22" s="559">
        <f t="shared" ref="J22:K22" si="46">J149</f>
        <v>56533</v>
      </c>
      <c r="K22" s="559">
        <f t="shared" si="46"/>
        <v>58312</v>
      </c>
      <c r="L22" s="559">
        <f t="shared" ref="L22" si="47">L149</f>
        <v>58315</v>
      </c>
      <c r="N22" s="556" t="s">
        <v>3348</v>
      </c>
    </row>
    <row r="23" spans="1:14" ht="15.75" thickBot="1">
      <c r="D23" s="560">
        <f t="shared" ref="D23:I23" si="48">D313</f>
        <v>14327</v>
      </c>
      <c r="E23" s="560">
        <f t="shared" si="48"/>
        <v>14468</v>
      </c>
      <c r="F23" s="560">
        <f t="shared" si="48"/>
        <v>14522</v>
      </c>
      <c r="G23" s="560">
        <f t="shared" si="48"/>
        <v>14639</v>
      </c>
      <c r="H23" s="560">
        <f t="shared" si="48"/>
        <v>14783</v>
      </c>
      <c r="I23" s="560">
        <f t="shared" si="48"/>
        <v>14363</v>
      </c>
      <c r="J23" s="560">
        <f t="shared" ref="J23:K23" si="49">J313</f>
        <v>14347</v>
      </c>
      <c r="K23" s="560">
        <f t="shared" si="49"/>
        <v>14647</v>
      </c>
      <c r="L23" s="560">
        <f t="shared" ref="L23" si="50">L313</f>
        <v>14719</v>
      </c>
      <c r="N23" s="556" t="s">
        <v>3540</v>
      </c>
    </row>
    <row r="24" spans="1:14" ht="15.75" thickBot="1">
      <c r="D24" s="560">
        <f t="shared" ref="D24:I24" si="51">SUM(D22:D23)</f>
        <v>73170</v>
      </c>
      <c r="E24" s="560">
        <f t="shared" si="51"/>
        <v>72162</v>
      </c>
      <c r="F24" s="560">
        <f t="shared" si="51"/>
        <v>71659</v>
      </c>
      <c r="G24" s="560">
        <f t="shared" si="51"/>
        <v>71992</v>
      </c>
      <c r="H24" s="560">
        <f t="shared" si="51"/>
        <v>72284</v>
      </c>
      <c r="I24" s="560">
        <f t="shared" si="51"/>
        <v>71240</v>
      </c>
      <c r="J24" s="560">
        <f t="shared" ref="J24:K24" si="52">SUM(J22:J23)</f>
        <v>70880</v>
      </c>
      <c r="K24" s="560">
        <f t="shared" si="52"/>
        <v>72959</v>
      </c>
      <c r="L24" s="560">
        <f t="shared" ref="L24" si="53">SUM(L22:L23)</f>
        <v>73034</v>
      </c>
    </row>
    <row r="25" spans="1:14">
      <c r="D25" s="561"/>
      <c r="E25" s="561"/>
      <c r="F25" s="561"/>
      <c r="G25" s="561"/>
      <c r="H25" s="561"/>
      <c r="I25" s="561"/>
      <c r="J25" s="561"/>
      <c r="K25" s="561"/>
      <c r="L25" s="561"/>
    </row>
    <row r="26" spans="1:14">
      <c r="A26" s="556" t="s">
        <v>3541</v>
      </c>
      <c r="D26" s="559">
        <f t="shared" ref="D26:I26" si="54">D178</f>
        <v>72077</v>
      </c>
      <c r="E26" s="559">
        <f t="shared" si="54"/>
        <v>72866</v>
      </c>
      <c r="F26" s="559">
        <f t="shared" si="54"/>
        <v>72611</v>
      </c>
      <c r="G26" s="559">
        <f t="shared" si="54"/>
        <v>73542</v>
      </c>
      <c r="H26" s="559">
        <f t="shared" si="54"/>
        <v>72368</v>
      </c>
      <c r="I26" s="559">
        <f t="shared" si="54"/>
        <v>70046</v>
      </c>
      <c r="J26" s="559">
        <f t="shared" ref="J26:K26" si="55">J178</f>
        <v>71297</v>
      </c>
      <c r="K26" s="559">
        <f t="shared" si="55"/>
        <v>71818</v>
      </c>
      <c r="L26" s="559">
        <f t="shared" ref="L26" si="56">L178</f>
        <v>70942</v>
      </c>
      <c r="N26" s="556" t="s">
        <v>3542</v>
      </c>
    </row>
    <row r="27" spans="1:14">
      <c r="D27" s="561"/>
      <c r="E27" s="561"/>
      <c r="F27" s="561"/>
      <c r="G27" s="561"/>
      <c r="H27" s="561"/>
      <c r="I27" s="561"/>
      <c r="J27" s="561"/>
      <c r="K27" s="561"/>
      <c r="L27" s="561"/>
    </row>
    <row r="28" spans="1:14">
      <c r="A28" s="556" t="s">
        <v>3543</v>
      </c>
      <c r="D28" s="559">
        <f t="shared" ref="D28:I28" si="57">D118</f>
        <v>6293</v>
      </c>
      <c r="E28" s="559">
        <f t="shared" si="57"/>
        <v>6299</v>
      </c>
      <c r="F28" s="559">
        <f t="shared" si="57"/>
        <v>6347</v>
      </c>
      <c r="G28" s="559">
        <f t="shared" si="57"/>
        <v>6386</v>
      </c>
      <c r="H28" s="559">
        <f t="shared" si="57"/>
        <v>6397</v>
      </c>
      <c r="I28" s="559">
        <f t="shared" si="57"/>
        <v>6419</v>
      </c>
      <c r="J28" s="559">
        <f t="shared" ref="J28:K28" si="58">J118</f>
        <v>6007</v>
      </c>
      <c r="K28" s="559">
        <f t="shared" si="58"/>
        <v>6450</v>
      </c>
      <c r="L28" s="559">
        <f t="shared" ref="L28" si="59">L118</f>
        <v>6835</v>
      </c>
      <c r="N28" s="556" t="s">
        <v>3538</v>
      </c>
    </row>
    <row r="29" spans="1:14" ht="15.75" thickBot="1">
      <c r="D29" s="560">
        <f t="shared" ref="D29:I29" si="60">D213</f>
        <v>57679</v>
      </c>
      <c r="E29" s="560">
        <f t="shared" si="60"/>
        <v>57433</v>
      </c>
      <c r="F29" s="560">
        <f t="shared" si="60"/>
        <v>57557</v>
      </c>
      <c r="G29" s="560">
        <f t="shared" si="60"/>
        <v>57719</v>
      </c>
      <c r="H29" s="560">
        <f t="shared" si="60"/>
        <v>57220</v>
      </c>
      <c r="I29" s="560">
        <f t="shared" si="60"/>
        <v>56360</v>
      </c>
      <c r="J29" s="560">
        <f t="shared" ref="J29:K29" si="61">J213</f>
        <v>54902</v>
      </c>
      <c r="K29" s="560">
        <f t="shared" si="61"/>
        <v>56655</v>
      </c>
      <c r="L29" s="560">
        <f t="shared" ref="L29" si="62">L213</f>
        <v>57137</v>
      </c>
      <c r="N29" s="556" t="s">
        <v>3350</v>
      </c>
    </row>
    <row r="30" spans="1:14" ht="15.75" thickBot="1">
      <c r="D30" s="560">
        <f t="shared" ref="D30:I30" si="63">D28+D29</f>
        <v>63972</v>
      </c>
      <c r="E30" s="560">
        <f t="shared" si="63"/>
        <v>63732</v>
      </c>
      <c r="F30" s="560">
        <f t="shared" si="63"/>
        <v>63904</v>
      </c>
      <c r="G30" s="560">
        <f t="shared" si="63"/>
        <v>64105</v>
      </c>
      <c r="H30" s="560">
        <f t="shared" si="63"/>
        <v>63617</v>
      </c>
      <c r="I30" s="560">
        <f t="shared" si="63"/>
        <v>62779</v>
      </c>
      <c r="J30" s="560">
        <f t="shared" ref="J30:K30" si="64">J28+J29</f>
        <v>60909</v>
      </c>
      <c r="K30" s="560">
        <f t="shared" si="64"/>
        <v>63105</v>
      </c>
      <c r="L30" s="560">
        <f t="shared" ref="L30" si="65">L28+L29</f>
        <v>63972</v>
      </c>
    </row>
    <row r="31" spans="1:14">
      <c r="D31" s="561"/>
      <c r="E31" s="561"/>
      <c r="F31" s="561"/>
      <c r="G31" s="561"/>
      <c r="H31" s="561"/>
      <c r="I31" s="561"/>
      <c r="J31" s="561"/>
      <c r="K31" s="561"/>
      <c r="L31" s="561"/>
    </row>
    <row r="32" spans="1:14">
      <c r="A32" s="556" t="s">
        <v>3544</v>
      </c>
      <c r="D32" s="559">
        <f t="shared" ref="D32:I32" si="66">D81</f>
        <v>71370</v>
      </c>
      <c r="E32" s="559">
        <f t="shared" si="66"/>
        <v>72617</v>
      </c>
      <c r="F32" s="559">
        <f t="shared" si="66"/>
        <v>73662</v>
      </c>
      <c r="G32" s="559">
        <f t="shared" si="66"/>
        <v>72881</v>
      </c>
      <c r="H32" s="559">
        <f t="shared" si="66"/>
        <v>72234</v>
      </c>
      <c r="I32" s="559">
        <f t="shared" si="66"/>
        <v>68294</v>
      </c>
      <c r="J32" s="559">
        <f t="shared" ref="J32:K32" si="67">J81</f>
        <v>69670</v>
      </c>
      <c r="K32" s="559">
        <f t="shared" si="67"/>
        <v>68999</v>
      </c>
      <c r="L32" s="559">
        <f t="shared" ref="L32" si="68">L81</f>
        <v>68526</v>
      </c>
      <c r="N32" s="556" t="s">
        <v>3545</v>
      </c>
    </row>
    <row r="33" spans="1:14">
      <c r="D33" s="561"/>
      <c r="E33" s="561"/>
      <c r="F33" s="561"/>
      <c r="G33" s="561"/>
      <c r="H33" s="561"/>
      <c r="I33" s="561"/>
      <c r="J33" s="561"/>
      <c r="K33" s="561"/>
      <c r="L33" s="561"/>
    </row>
    <row r="34" spans="1:14">
      <c r="A34" s="556" t="s">
        <v>3546</v>
      </c>
      <c r="D34" s="559">
        <f t="shared" ref="D34:I34" si="69">D82</f>
        <v>71110</v>
      </c>
      <c r="E34" s="559">
        <f t="shared" si="69"/>
        <v>72048</v>
      </c>
      <c r="F34" s="559">
        <f t="shared" si="69"/>
        <v>72701</v>
      </c>
      <c r="G34" s="559">
        <f t="shared" si="69"/>
        <v>72854</v>
      </c>
      <c r="H34" s="559">
        <f t="shared" si="69"/>
        <v>71773</v>
      </c>
      <c r="I34" s="559">
        <f t="shared" si="69"/>
        <v>68358</v>
      </c>
      <c r="J34" s="559">
        <f t="shared" ref="J34:K34" si="70">J82</f>
        <v>69735</v>
      </c>
      <c r="K34" s="559">
        <f t="shared" si="70"/>
        <v>69300</v>
      </c>
      <c r="L34" s="559">
        <f t="shared" ref="L34" si="71">L82</f>
        <v>69244</v>
      </c>
      <c r="N34" s="556" t="s">
        <v>3545</v>
      </c>
    </row>
    <row r="35" spans="1:14">
      <c r="D35" s="561"/>
      <c r="E35" s="561"/>
      <c r="F35" s="561"/>
      <c r="G35" s="561"/>
      <c r="H35" s="561"/>
      <c r="I35" s="561"/>
      <c r="J35" s="561"/>
      <c r="K35" s="561"/>
      <c r="L35" s="561"/>
    </row>
    <row r="36" spans="1:14">
      <c r="A36" s="556" t="s">
        <v>3547</v>
      </c>
      <c r="D36" s="559">
        <f t="shared" ref="D36:I36" si="72">D241</f>
        <v>69599</v>
      </c>
      <c r="E36" s="559">
        <f t="shared" si="72"/>
        <v>70022</v>
      </c>
      <c r="F36" s="559">
        <f t="shared" si="72"/>
        <v>70899</v>
      </c>
      <c r="G36" s="559">
        <f t="shared" si="72"/>
        <v>71149</v>
      </c>
      <c r="H36" s="559">
        <f t="shared" si="72"/>
        <v>70792</v>
      </c>
      <c r="I36" s="559">
        <f t="shared" si="72"/>
        <v>70836</v>
      </c>
      <c r="J36" s="559">
        <f t="shared" ref="J36:K36" si="73">J241</f>
        <v>70299</v>
      </c>
      <c r="K36" s="559">
        <f t="shared" si="73"/>
        <v>71476</v>
      </c>
      <c r="L36" s="559">
        <f t="shared" ref="L36" si="74">L241</f>
        <v>71029</v>
      </c>
      <c r="N36" s="556" t="s">
        <v>3548</v>
      </c>
    </row>
    <row r="37" spans="1:14">
      <c r="D37" s="561"/>
      <c r="E37" s="561"/>
      <c r="F37" s="561"/>
      <c r="G37" s="561"/>
      <c r="H37" s="561"/>
      <c r="I37" s="561"/>
      <c r="J37" s="561"/>
      <c r="K37" s="561"/>
      <c r="L37" s="561"/>
    </row>
    <row r="38" spans="1:14">
      <c r="A38" s="556" t="s">
        <v>3549</v>
      </c>
      <c r="D38" s="564">
        <f t="shared" ref="D38:I38" si="75">D279</f>
        <v>71685</v>
      </c>
      <c r="E38" s="564">
        <f t="shared" si="75"/>
        <v>72178</v>
      </c>
      <c r="F38" s="564">
        <f t="shared" si="75"/>
        <v>72211</v>
      </c>
      <c r="G38" s="564">
        <f t="shared" si="75"/>
        <v>72226</v>
      </c>
      <c r="H38" s="564">
        <f t="shared" si="75"/>
        <v>72226</v>
      </c>
      <c r="I38" s="564">
        <f t="shared" si="75"/>
        <v>71263</v>
      </c>
      <c r="J38" s="564">
        <f t="shared" ref="J38:K38" si="76">J279</f>
        <v>71130</v>
      </c>
      <c r="K38" s="564">
        <f t="shared" si="76"/>
        <v>72415</v>
      </c>
      <c r="L38" s="564">
        <f t="shared" ref="L38" si="77">L279</f>
        <v>71880</v>
      </c>
      <c r="N38" s="556" t="s">
        <v>3352</v>
      </c>
    </row>
    <row r="39" spans="1:14">
      <c r="D39" s="561"/>
      <c r="E39" s="561"/>
      <c r="F39" s="561"/>
      <c r="G39" s="561"/>
      <c r="H39" s="561"/>
      <c r="I39" s="561"/>
      <c r="J39" s="561"/>
      <c r="K39" s="561"/>
      <c r="L39" s="561"/>
    </row>
    <row r="40" spans="1:14">
      <c r="A40" s="557" t="s">
        <v>3550</v>
      </c>
      <c r="D40" s="559">
        <f t="shared" ref="D40:I40" si="78">D119</f>
        <v>21184</v>
      </c>
      <c r="E40" s="559">
        <f t="shared" si="78"/>
        <v>21290</v>
      </c>
      <c r="F40" s="559">
        <f t="shared" si="78"/>
        <v>21503</v>
      </c>
      <c r="G40" s="559">
        <f t="shared" si="78"/>
        <v>21716</v>
      </c>
      <c r="H40" s="559">
        <f t="shared" si="78"/>
        <v>21812</v>
      </c>
      <c r="I40" s="559">
        <f t="shared" si="78"/>
        <v>21837</v>
      </c>
      <c r="J40" s="559">
        <f t="shared" ref="J40:K40" si="79">J119</f>
        <v>20379</v>
      </c>
      <c r="K40" s="559">
        <f t="shared" si="79"/>
        <v>21094</v>
      </c>
      <c r="L40" s="559">
        <f t="shared" ref="L40" si="80">L119</f>
        <v>21648</v>
      </c>
      <c r="N40" s="556" t="s">
        <v>3538</v>
      </c>
    </row>
    <row r="41" spans="1:14">
      <c r="D41" s="561">
        <f t="shared" ref="D41:I41" si="81">D83</f>
        <v>30577</v>
      </c>
      <c r="E41" s="561">
        <f t="shared" si="81"/>
        <v>30994</v>
      </c>
      <c r="F41" s="561">
        <f t="shared" si="81"/>
        <v>31080</v>
      </c>
      <c r="G41" s="561">
        <f t="shared" si="81"/>
        <v>31216</v>
      </c>
      <c r="H41" s="561">
        <f t="shared" si="81"/>
        <v>31055</v>
      </c>
      <c r="I41" s="561">
        <f t="shared" si="81"/>
        <v>30617</v>
      </c>
      <c r="J41" s="561">
        <f t="shared" ref="J41:K41" si="82">J83</f>
        <v>31254</v>
      </c>
      <c r="K41" s="561">
        <f t="shared" si="82"/>
        <v>30855</v>
      </c>
      <c r="L41" s="561">
        <f t="shared" ref="L41" si="83">L83</f>
        <v>30774</v>
      </c>
      <c r="N41" s="557" t="s">
        <v>3545</v>
      </c>
    </row>
    <row r="42" spans="1:14" ht="15.75" thickBot="1">
      <c r="D42" s="560">
        <f t="shared" ref="D42:I42" si="84">D242</f>
        <v>14168</v>
      </c>
      <c r="E42" s="560">
        <f t="shared" si="84"/>
        <v>14288</v>
      </c>
      <c r="F42" s="560">
        <f t="shared" si="84"/>
        <v>14380</v>
      </c>
      <c r="G42" s="560">
        <f t="shared" si="84"/>
        <v>14485</v>
      </c>
      <c r="H42" s="560">
        <f t="shared" si="84"/>
        <v>14491</v>
      </c>
      <c r="I42" s="560">
        <f t="shared" si="84"/>
        <v>14401</v>
      </c>
      <c r="J42" s="560">
        <f t="shared" ref="J42:K42" si="85">J242</f>
        <v>14326</v>
      </c>
      <c r="K42" s="560">
        <f t="shared" si="85"/>
        <v>14541</v>
      </c>
      <c r="L42" s="560">
        <f t="shared" ref="L42" si="86">L242</f>
        <v>14535</v>
      </c>
      <c r="N42" s="556" t="s">
        <v>3548</v>
      </c>
    </row>
    <row r="43" spans="1:14" ht="15.75" thickBot="1">
      <c r="D43" s="565">
        <f t="shared" ref="D43:I43" si="87">SUM(D40:D42)</f>
        <v>65929</v>
      </c>
      <c r="E43" s="565">
        <f t="shared" si="87"/>
        <v>66572</v>
      </c>
      <c r="F43" s="565">
        <f t="shared" si="87"/>
        <v>66963</v>
      </c>
      <c r="G43" s="565">
        <f t="shared" si="87"/>
        <v>67417</v>
      </c>
      <c r="H43" s="565">
        <f t="shared" si="87"/>
        <v>67358</v>
      </c>
      <c r="I43" s="565">
        <f t="shared" si="87"/>
        <v>66855</v>
      </c>
      <c r="J43" s="565">
        <f t="shared" ref="J43:K43" si="88">SUM(J40:J42)</f>
        <v>65959</v>
      </c>
      <c r="K43" s="565">
        <f t="shared" si="88"/>
        <v>66490</v>
      </c>
      <c r="L43" s="565">
        <f t="shared" ref="L43" si="89">SUM(L40:L42)</f>
        <v>66957</v>
      </c>
      <c r="N43" s="556"/>
    </row>
    <row r="44" spans="1:14">
      <c r="D44" s="561"/>
      <c r="E44" s="561"/>
      <c r="F44" s="561"/>
      <c r="G44" s="561"/>
      <c r="H44" s="561"/>
      <c r="I44" s="561"/>
      <c r="J44" s="561"/>
      <c r="K44" s="561"/>
      <c r="L44" s="561"/>
    </row>
    <row r="45" spans="1:14">
      <c r="A45" s="556" t="s">
        <v>3551</v>
      </c>
      <c r="D45" s="559">
        <f t="shared" ref="D45:I45" si="90">D179</f>
        <v>7954</v>
      </c>
      <c r="E45" s="559">
        <f t="shared" si="90"/>
        <v>8079</v>
      </c>
      <c r="F45" s="559">
        <f t="shared" si="90"/>
        <v>8107</v>
      </c>
      <c r="G45" s="559">
        <f t="shared" si="90"/>
        <v>8091</v>
      </c>
      <c r="H45" s="559">
        <f t="shared" si="90"/>
        <v>7983</v>
      </c>
      <c r="I45" s="559">
        <f t="shared" si="90"/>
        <v>7663</v>
      </c>
      <c r="J45" s="559">
        <f t="shared" ref="J45:K45" si="91">J179</f>
        <v>7731</v>
      </c>
      <c r="K45" s="559">
        <f t="shared" si="91"/>
        <v>7838</v>
      </c>
      <c r="L45" s="559">
        <f t="shared" ref="L45" si="92">L179</f>
        <v>7816</v>
      </c>
      <c r="N45" s="556" t="s">
        <v>3542</v>
      </c>
    </row>
    <row r="46" spans="1:14" ht="15.75" thickBot="1">
      <c r="D46" s="560">
        <f t="shared" ref="D46:I46" si="93">D314</f>
        <v>63683</v>
      </c>
      <c r="E46" s="560">
        <f t="shared" si="93"/>
        <v>64295</v>
      </c>
      <c r="F46" s="560">
        <f t="shared" si="93"/>
        <v>64624</v>
      </c>
      <c r="G46" s="560">
        <f t="shared" si="93"/>
        <v>64780</v>
      </c>
      <c r="H46" s="560">
        <f t="shared" si="93"/>
        <v>64929</v>
      </c>
      <c r="I46" s="560">
        <f t="shared" si="93"/>
        <v>63277</v>
      </c>
      <c r="J46" s="560">
        <f t="shared" ref="J46:K46" si="94">J314</f>
        <v>62909</v>
      </c>
      <c r="K46" s="560">
        <f t="shared" si="94"/>
        <v>63792</v>
      </c>
      <c r="L46" s="560">
        <f t="shared" ref="L46" si="95">L314</f>
        <v>63747</v>
      </c>
      <c r="N46" s="556" t="s">
        <v>3540</v>
      </c>
    </row>
    <row r="47" spans="1:14" ht="15.75" thickBot="1">
      <c r="D47" s="560">
        <f t="shared" ref="D47:I47" si="96">D45+D46</f>
        <v>71637</v>
      </c>
      <c r="E47" s="560">
        <f t="shared" si="96"/>
        <v>72374</v>
      </c>
      <c r="F47" s="560">
        <f t="shared" si="96"/>
        <v>72731</v>
      </c>
      <c r="G47" s="560">
        <f t="shared" si="96"/>
        <v>72871</v>
      </c>
      <c r="H47" s="560">
        <f t="shared" si="96"/>
        <v>72912</v>
      </c>
      <c r="I47" s="560">
        <f t="shared" si="96"/>
        <v>70940</v>
      </c>
      <c r="J47" s="560">
        <f t="shared" ref="J47:K47" si="97">J45+J46</f>
        <v>70640</v>
      </c>
      <c r="K47" s="560">
        <f t="shared" si="97"/>
        <v>71630</v>
      </c>
      <c r="L47" s="560">
        <f t="shared" ref="L47" si="98">L45+L46</f>
        <v>71563</v>
      </c>
    </row>
    <row r="48" spans="1:14">
      <c r="D48" s="561"/>
      <c r="E48" s="561"/>
      <c r="F48" s="561"/>
      <c r="G48" s="561"/>
      <c r="H48" s="561"/>
      <c r="I48" s="561"/>
      <c r="J48" s="561"/>
      <c r="K48" s="561"/>
      <c r="L48" s="561"/>
    </row>
    <row r="49" spans="1:14">
      <c r="A49" s="556" t="s">
        <v>3552</v>
      </c>
      <c r="D49" s="564">
        <f t="shared" ref="D49:I49" si="99">D338</f>
        <v>70443</v>
      </c>
      <c r="E49" s="564">
        <f t="shared" si="99"/>
        <v>71326</v>
      </c>
      <c r="F49" s="564">
        <f t="shared" si="99"/>
        <v>72354</v>
      </c>
      <c r="G49" s="564">
        <f t="shared" si="99"/>
        <v>73346</v>
      </c>
      <c r="H49" s="564">
        <f t="shared" si="99"/>
        <v>74205</v>
      </c>
      <c r="I49" s="564">
        <f t="shared" si="99"/>
        <v>72972</v>
      </c>
      <c r="J49" s="564">
        <f t="shared" ref="J49:K49" si="100">J338</f>
        <v>71577</v>
      </c>
      <c r="K49" s="564">
        <f t="shared" si="100"/>
        <v>75362</v>
      </c>
      <c r="L49" s="564">
        <f t="shared" ref="L49" si="101">L338</f>
        <v>78689</v>
      </c>
      <c r="N49" s="556" t="s">
        <v>3354</v>
      </c>
    </row>
    <row r="50" spans="1:14">
      <c r="D50" s="561"/>
      <c r="E50" s="561"/>
      <c r="F50" s="561"/>
      <c r="G50" s="561"/>
      <c r="H50" s="561"/>
      <c r="I50" s="561"/>
      <c r="J50" s="561"/>
      <c r="K50" s="561"/>
      <c r="L50" s="561"/>
    </row>
    <row r="51" spans="1:14">
      <c r="A51" s="556" t="s">
        <v>8697</v>
      </c>
      <c r="D51" s="559">
        <f t="shared" ref="D51:I51" si="102">D20+D24+D26+D30+D32+D34+D36+D38+D43+D47+D49</f>
        <v>770377</v>
      </c>
      <c r="E51" s="559">
        <f t="shared" si="102"/>
        <v>775435</v>
      </c>
      <c r="F51" s="559">
        <f t="shared" si="102"/>
        <v>779285</v>
      </c>
      <c r="G51" s="559">
        <f t="shared" si="102"/>
        <v>782338</v>
      </c>
      <c r="H51" s="559">
        <f t="shared" si="102"/>
        <v>780000</v>
      </c>
      <c r="I51" s="559">
        <f t="shared" si="102"/>
        <v>763115</v>
      </c>
      <c r="J51" s="559">
        <f t="shared" ref="J51:K51" si="103">J20+J24+J26+J30+J32+J34+J36+J38+J43+J47+J49</f>
        <v>756550</v>
      </c>
      <c r="K51" s="559">
        <f t="shared" si="103"/>
        <v>770193</v>
      </c>
      <c r="L51" s="559">
        <f t="shared" ref="L51" si="104">L20+L24+L26+L30+L32+L34+L36+L38+L43+L47+L49</f>
        <v>774552</v>
      </c>
    </row>
    <row r="52" spans="1:14">
      <c r="D52" s="561"/>
      <c r="E52" s="561"/>
      <c r="F52" s="561"/>
      <c r="G52" s="561"/>
      <c r="H52" s="561"/>
      <c r="I52" s="561"/>
      <c r="J52" s="561"/>
      <c r="K52" s="561"/>
      <c r="L52" s="561"/>
    </row>
    <row r="53" spans="1:14">
      <c r="A53" s="556" t="s">
        <v>8698</v>
      </c>
      <c r="D53" s="559">
        <f t="shared" ref="D53:I53" si="105">MAX(D20,D24,D26,D30,D32,D34,D36,D38,D43,D47,D49)-MIN(D20,D24,D26,D30,D32,D34,D36,D38,D43,D47,D49)</f>
        <v>9198</v>
      </c>
      <c r="E53" s="559">
        <f t="shared" si="105"/>
        <v>9134</v>
      </c>
      <c r="F53" s="559">
        <f t="shared" si="105"/>
        <v>9758</v>
      </c>
      <c r="G53" s="559">
        <f t="shared" si="105"/>
        <v>9437</v>
      </c>
      <c r="H53" s="559">
        <f t="shared" si="105"/>
        <v>10588</v>
      </c>
      <c r="I53" s="559">
        <f t="shared" si="105"/>
        <v>10193</v>
      </c>
      <c r="J53" s="559">
        <f t="shared" ref="J53:K53" si="106">MAX(J20,J24,J26,J30,J32,J34,J36,J38,J43,J47,J49)-MIN(J20,J24,J26,J30,J32,J34,J36,J38,J43,J47,J49)</f>
        <v>10668</v>
      </c>
      <c r="K53" s="559">
        <f t="shared" si="106"/>
        <v>12257</v>
      </c>
      <c r="L53" s="559">
        <f t="shared" ref="L53" si="107">MAX(L20,L24,L26,L30,L32,L34,L36,L38,L43,L47,L49)-MIN(L20,L24,L26,L30,L32,L34,L36,L38,L43,L47,L49)</f>
        <v>14717</v>
      </c>
    </row>
    <row r="54" spans="1:14">
      <c r="D54" s="561"/>
      <c r="E54" s="561"/>
      <c r="F54" s="561"/>
      <c r="G54" s="561"/>
      <c r="H54" s="561"/>
      <c r="I54" s="561"/>
      <c r="J54" s="561"/>
      <c r="K54" s="561"/>
      <c r="L54" s="561"/>
    </row>
    <row r="55" spans="1:14">
      <c r="A55" s="556" t="s">
        <v>8701</v>
      </c>
      <c r="D55" s="559">
        <f t="shared" ref="D55:I55" si="108">STDEVP(D20,D24,D26,D30,D32,D34,D36,D38,D43,D47,D49)</f>
        <v>2639.2664645833661</v>
      </c>
      <c r="E55" s="559">
        <f t="shared" si="108"/>
        <v>2773.8483426638836</v>
      </c>
      <c r="F55" s="559">
        <f t="shared" si="108"/>
        <v>2823.3916887493974</v>
      </c>
      <c r="G55" s="559">
        <f t="shared" si="108"/>
        <v>2800.310511117952</v>
      </c>
      <c r="H55" s="559">
        <f t="shared" si="108"/>
        <v>2850.6423344587206</v>
      </c>
      <c r="I55" s="559">
        <f t="shared" si="108"/>
        <v>2647.4734252094172</v>
      </c>
      <c r="J55" s="559">
        <f t="shared" ref="J55:K55" si="109">STDEVP(J20,J24,J26,J30,J32,J34,J36,J38,J43,J47,J49)</f>
        <v>3305.4632488134239</v>
      </c>
      <c r="K55" s="559">
        <f t="shared" si="109"/>
        <v>3359.1883587783623</v>
      </c>
      <c r="L55" s="559">
        <f t="shared" ref="L55" si="110">STDEVP(L20,L24,L26,L30,L32,L34,L36,L38,L43,L47,L49)</f>
        <v>3576.8606300696351</v>
      </c>
    </row>
    <row r="56" spans="1:14">
      <c r="A56" s="556"/>
      <c r="D56" s="559"/>
      <c r="E56" s="559"/>
      <c r="F56" s="559"/>
      <c r="G56" s="559"/>
      <c r="H56" s="559"/>
      <c r="I56" s="559"/>
      <c r="J56" s="559"/>
      <c r="K56" s="559"/>
      <c r="L56" s="559"/>
    </row>
    <row r="57" spans="1:14">
      <c r="A57" s="556" t="s">
        <v>3553</v>
      </c>
      <c r="D57" s="559"/>
      <c r="E57" s="559"/>
      <c r="F57" s="559"/>
      <c r="G57" s="559"/>
      <c r="H57" s="559"/>
      <c r="I57" s="559"/>
      <c r="J57" s="559"/>
      <c r="K57" s="559"/>
      <c r="L57" s="559"/>
    </row>
    <row r="59" spans="1:14">
      <c r="A59" s="20"/>
    </row>
    <row r="60" spans="1:14">
      <c r="E60" s="42" t="s">
        <v>2303</v>
      </c>
      <c r="F60" s="42"/>
      <c r="G60" s="42"/>
      <c r="H60" s="42"/>
      <c r="I60" s="42"/>
      <c r="J60" s="42"/>
      <c r="K60" s="42"/>
      <c r="L60" s="42"/>
      <c r="M60" s="65"/>
      <c r="N60" s="66" t="s">
        <v>13319</v>
      </c>
    </row>
    <row r="61" spans="1:14">
      <c r="D61" s="55">
        <v>2010</v>
      </c>
      <c r="E61" s="55">
        <v>2011</v>
      </c>
      <c r="F61" s="55">
        <v>2012</v>
      </c>
      <c r="G61" s="55">
        <v>2013</v>
      </c>
      <c r="H61" s="55">
        <v>2014</v>
      </c>
      <c r="I61" s="55">
        <v>2015</v>
      </c>
      <c r="J61" s="55">
        <v>2016</v>
      </c>
      <c r="K61" s="55">
        <v>2017</v>
      </c>
      <c r="L61" s="55">
        <v>2018</v>
      </c>
      <c r="M61" s="65"/>
      <c r="N61" s="67" t="s">
        <v>2304</v>
      </c>
    </row>
    <row r="62" spans="1:14">
      <c r="A62" s="556" t="s">
        <v>3571</v>
      </c>
      <c r="D62" s="559">
        <f t="shared" ref="D62:I62" si="111">SUM(D63:D79)</f>
        <v>173057</v>
      </c>
      <c r="E62" s="559">
        <f t="shared" si="111"/>
        <v>175659</v>
      </c>
      <c r="F62" s="559">
        <f t="shared" si="111"/>
        <v>177443</v>
      </c>
      <c r="G62" s="559">
        <f t="shared" si="111"/>
        <v>176951</v>
      </c>
      <c r="H62" s="559">
        <f t="shared" si="111"/>
        <v>175062</v>
      </c>
      <c r="I62" s="559">
        <f t="shared" si="111"/>
        <v>167269</v>
      </c>
      <c r="J62" s="559">
        <f t="shared" ref="J62:K62" si="112">SUM(J63:J79)</f>
        <v>170659</v>
      </c>
      <c r="K62" s="559">
        <f t="shared" si="112"/>
        <v>169154</v>
      </c>
      <c r="L62" s="559">
        <f t="shared" ref="L62" si="113">SUM(L63:L79)</f>
        <v>168544</v>
      </c>
    </row>
    <row r="63" spans="1:14">
      <c r="A63" s="566">
        <v>1</v>
      </c>
      <c r="B63" s="556" t="s">
        <v>8199</v>
      </c>
      <c r="C63" s="4" t="s">
        <v>144</v>
      </c>
      <c r="D63" s="559">
        <v>9456</v>
      </c>
      <c r="E63" s="559">
        <v>9633</v>
      </c>
      <c r="F63" s="559">
        <v>10095</v>
      </c>
      <c r="G63" s="30">
        <v>9928</v>
      </c>
      <c r="H63" s="30">
        <v>9745</v>
      </c>
      <c r="I63" s="30">
        <v>8748</v>
      </c>
      <c r="J63" s="30">
        <v>8996</v>
      </c>
      <c r="K63" s="30">
        <v>8870</v>
      </c>
      <c r="L63" s="30">
        <v>8600</v>
      </c>
      <c r="N63" s="556" t="s">
        <v>3544</v>
      </c>
    </row>
    <row r="64" spans="1:14">
      <c r="A64" s="566">
        <v>2</v>
      </c>
      <c r="B64" s="556" t="s">
        <v>3554</v>
      </c>
      <c r="C64" s="4" t="s">
        <v>145</v>
      </c>
      <c r="D64" s="559">
        <v>10863</v>
      </c>
      <c r="E64" s="559">
        <v>10997</v>
      </c>
      <c r="F64" s="559">
        <v>10967</v>
      </c>
      <c r="G64" s="559">
        <v>11025</v>
      </c>
      <c r="H64" s="30">
        <v>11063</v>
      </c>
      <c r="I64" s="30">
        <v>10994</v>
      </c>
      <c r="J64" s="30">
        <v>11220</v>
      </c>
      <c r="K64" s="30">
        <v>11007</v>
      </c>
      <c r="L64" s="30">
        <v>10938</v>
      </c>
      <c r="N64" s="556" t="s">
        <v>3550</v>
      </c>
    </row>
    <row r="65" spans="1:14">
      <c r="A65" s="566">
        <v>3</v>
      </c>
      <c r="B65" s="556" t="s">
        <v>3555</v>
      </c>
      <c r="C65" s="4" t="s">
        <v>146</v>
      </c>
      <c r="D65" s="559">
        <v>11039</v>
      </c>
      <c r="E65" s="559">
        <v>11303</v>
      </c>
      <c r="F65" s="559">
        <v>11467</v>
      </c>
      <c r="G65" s="559">
        <v>11634</v>
      </c>
      <c r="H65" s="30">
        <v>11471</v>
      </c>
      <c r="I65" s="30">
        <v>10538</v>
      </c>
      <c r="J65" s="30">
        <v>10911</v>
      </c>
      <c r="K65" s="30">
        <v>10844</v>
      </c>
      <c r="L65" s="30">
        <v>10828</v>
      </c>
      <c r="N65" s="556" t="s">
        <v>3546</v>
      </c>
    </row>
    <row r="66" spans="1:14">
      <c r="A66" s="566">
        <v>4</v>
      </c>
      <c r="B66" s="556" t="s">
        <v>3556</v>
      </c>
      <c r="C66" s="4" t="s">
        <v>147</v>
      </c>
      <c r="D66" s="559">
        <v>9908</v>
      </c>
      <c r="E66" s="559">
        <v>10093</v>
      </c>
      <c r="F66" s="559">
        <v>10325</v>
      </c>
      <c r="G66" s="559">
        <v>10361</v>
      </c>
      <c r="H66" s="30">
        <v>10088</v>
      </c>
      <c r="I66" s="30">
        <v>9242</v>
      </c>
      <c r="J66" s="30">
        <v>9408</v>
      </c>
      <c r="K66" s="30">
        <v>9545</v>
      </c>
      <c r="L66" s="30">
        <v>9732</v>
      </c>
      <c r="N66" s="556" t="s">
        <v>3546</v>
      </c>
    </row>
    <row r="67" spans="1:14">
      <c r="A67" s="566">
        <v>5</v>
      </c>
      <c r="B67" s="556" t="s">
        <v>3557</v>
      </c>
      <c r="C67" s="4" t="s">
        <v>148</v>
      </c>
      <c r="D67" s="559">
        <v>9715</v>
      </c>
      <c r="E67" s="559">
        <v>9908</v>
      </c>
      <c r="F67" s="559">
        <v>9927</v>
      </c>
      <c r="G67" s="559">
        <v>9907</v>
      </c>
      <c r="H67" s="30">
        <v>9855</v>
      </c>
      <c r="I67" s="30">
        <v>9708</v>
      </c>
      <c r="J67" s="30">
        <v>9799</v>
      </c>
      <c r="K67" s="30">
        <v>9590</v>
      </c>
      <c r="L67" s="30">
        <v>9557</v>
      </c>
      <c r="N67" s="556" t="s">
        <v>3546</v>
      </c>
    </row>
    <row r="68" spans="1:14">
      <c r="A68" s="566">
        <v>6</v>
      </c>
      <c r="B68" s="556" t="s">
        <v>5281</v>
      </c>
      <c r="C68" s="4" t="s">
        <v>149</v>
      </c>
      <c r="D68" s="559">
        <v>10107</v>
      </c>
      <c r="E68" s="559">
        <v>10116</v>
      </c>
      <c r="F68" s="559">
        <v>10180</v>
      </c>
      <c r="G68" s="559">
        <v>10111</v>
      </c>
      <c r="H68" s="30">
        <v>10001</v>
      </c>
      <c r="I68" s="30">
        <v>9554</v>
      </c>
      <c r="J68" s="30">
        <v>9810</v>
      </c>
      <c r="K68" s="30">
        <v>9739</v>
      </c>
      <c r="L68" s="30">
        <v>9730</v>
      </c>
      <c r="N68" s="556" t="s">
        <v>3546</v>
      </c>
    </row>
    <row r="69" spans="1:14">
      <c r="A69" s="566">
        <v>7</v>
      </c>
      <c r="B69" s="556" t="s">
        <v>3565</v>
      </c>
      <c r="C69" s="4" t="s">
        <v>150</v>
      </c>
      <c r="D69" s="559">
        <v>9987</v>
      </c>
      <c r="E69" s="559">
        <v>10129</v>
      </c>
      <c r="F69" s="559">
        <v>10127</v>
      </c>
      <c r="G69" s="559">
        <v>10171</v>
      </c>
      <c r="H69" s="30">
        <v>10115</v>
      </c>
      <c r="I69" s="30">
        <v>9917</v>
      </c>
      <c r="J69" s="30">
        <v>10015</v>
      </c>
      <c r="K69" s="30">
        <v>9809</v>
      </c>
      <c r="L69" s="30">
        <v>9779</v>
      </c>
      <c r="N69" s="556" t="s">
        <v>3544</v>
      </c>
    </row>
    <row r="70" spans="1:14">
      <c r="A70" s="566">
        <v>8</v>
      </c>
      <c r="B70" s="556" t="s">
        <v>3566</v>
      </c>
      <c r="C70" s="4" t="s">
        <v>151</v>
      </c>
      <c r="D70" s="559">
        <v>11164</v>
      </c>
      <c r="E70" s="559">
        <v>11280</v>
      </c>
      <c r="F70" s="559">
        <v>11329</v>
      </c>
      <c r="G70" s="559">
        <v>11377</v>
      </c>
      <c r="H70" s="30">
        <v>11312</v>
      </c>
      <c r="I70" s="30">
        <v>11161</v>
      </c>
      <c r="J70" s="30">
        <v>11355</v>
      </c>
      <c r="K70" s="30">
        <v>11320</v>
      </c>
      <c r="L70" s="30">
        <v>11362</v>
      </c>
      <c r="N70" s="556" t="s">
        <v>3546</v>
      </c>
    </row>
    <row r="71" spans="1:14">
      <c r="A71" s="566">
        <v>9</v>
      </c>
      <c r="B71" s="556" t="s">
        <v>3567</v>
      </c>
      <c r="C71" s="4" t="s">
        <v>152</v>
      </c>
      <c r="D71" s="559">
        <v>11003</v>
      </c>
      <c r="E71" s="559">
        <v>11171</v>
      </c>
      <c r="F71" s="559">
        <v>11598</v>
      </c>
      <c r="G71" s="559">
        <v>11161</v>
      </c>
      <c r="H71" s="30">
        <v>11089</v>
      </c>
      <c r="I71" s="30">
        <v>9939</v>
      </c>
      <c r="J71" s="30">
        <v>9931</v>
      </c>
      <c r="K71" s="30">
        <v>9903</v>
      </c>
      <c r="L71" s="30">
        <v>9666</v>
      </c>
      <c r="N71" s="556" t="s">
        <v>3544</v>
      </c>
    </row>
    <row r="72" spans="1:14">
      <c r="A72" s="566">
        <v>10</v>
      </c>
      <c r="B72" s="556" t="s">
        <v>3568</v>
      </c>
      <c r="C72" s="4" t="s">
        <v>153</v>
      </c>
      <c r="D72" s="559">
        <v>9673</v>
      </c>
      <c r="E72" s="559">
        <v>9732</v>
      </c>
      <c r="F72" s="559">
        <v>9714</v>
      </c>
      <c r="G72" s="559">
        <v>9622</v>
      </c>
      <c r="H72" s="30">
        <v>9418</v>
      </c>
      <c r="I72" s="30">
        <v>8988</v>
      </c>
      <c r="J72" s="30">
        <v>9243</v>
      </c>
      <c r="K72" s="30">
        <v>9247</v>
      </c>
      <c r="L72" s="30">
        <v>9312</v>
      </c>
      <c r="N72" s="556" t="s">
        <v>3544</v>
      </c>
    </row>
    <row r="73" spans="1:14">
      <c r="A73" s="566">
        <v>11</v>
      </c>
      <c r="B73" s="556" t="s">
        <v>3569</v>
      </c>
      <c r="C73" s="4" t="s">
        <v>154</v>
      </c>
      <c r="D73" s="559">
        <v>10357</v>
      </c>
      <c r="E73" s="559">
        <v>10519</v>
      </c>
      <c r="F73" s="559">
        <v>10541</v>
      </c>
      <c r="G73" s="559">
        <v>10422</v>
      </c>
      <c r="H73" s="30">
        <v>10427</v>
      </c>
      <c r="I73" s="30">
        <v>10279</v>
      </c>
      <c r="J73" s="30">
        <v>10645</v>
      </c>
      <c r="K73" s="30">
        <v>10563</v>
      </c>
      <c r="L73" s="30">
        <v>10592</v>
      </c>
      <c r="N73" s="556" t="s">
        <v>3544</v>
      </c>
    </row>
    <row r="74" spans="1:14">
      <c r="A74" s="566">
        <v>12</v>
      </c>
      <c r="B74" s="556" t="s">
        <v>3570</v>
      </c>
      <c r="C74" s="4" t="s">
        <v>155</v>
      </c>
      <c r="D74" s="559">
        <v>9757</v>
      </c>
      <c r="E74" s="559">
        <v>9987</v>
      </c>
      <c r="F74" s="559">
        <v>10094</v>
      </c>
      <c r="G74" s="559">
        <v>10000</v>
      </c>
      <c r="H74" s="30">
        <v>9802</v>
      </c>
      <c r="I74" s="30">
        <v>8930</v>
      </c>
      <c r="J74" s="30">
        <v>9174</v>
      </c>
      <c r="K74" s="30">
        <v>9222</v>
      </c>
      <c r="L74" s="30">
        <v>9264</v>
      </c>
      <c r="N74" s="556" t="s">
        <v>3544</v>
      </c>
    </row>
    <row r="75" spans="1:14">
      <c r="A75" s="566">
        <v>13</v>
      </c>
      <c r="B75" s="556" t="s">
        <v>7135</v>
      </c>
      <c r="C75" s="4" t="s">
        <v>156</v>
      </c>
      <c r="D75" s="559">
        <v>11137</v>
      </c>
      <c r="E75" s="559">
        <v>11446</v>
      </c>
      <c r="F75" s="559">
        <v>11493</v>
      </c>
      <c r="G75" s="559">
        <v>11577</v>
      </c>
      <c r="H75" s="30">
        <v>11638</v>
      </c>
      <c r="I75" s="30">
        <v>11493</v>
      </c>
      <c r="J75" s="30">
        <v>11666</v>
      </c>
      <c r="K75" s="30">
        <v>11385</v>
      </c>
      <c r="L75" s="30">
        <v>11313</v>
      </c>
      <c r="N75" s="556" t="s">
        <v>3544</v>
      </c>
    </row>
    <row r="76" spans="1:14">
      <c r="A76" s="566">
        <v>14</v>
      </c>
      <c r="B76" s="556" t="s">
        <v>7136</v>
      </c>
      <c r="C76" s="4" t="s">
        <v>157</v>
      </c>
      <c r="D76" s="559">
        <v>9650</v>
      </c>
      <c r="E76" s="559">
        <v>9729</v>
      </c>
      <c r="F76" s="559">
        <v>9824</v>
      </c>
      <c r="G76" s="559">
        <v>9827</v>
      </c>
      <c r="H76" s="30">
        <v>9514</v>
      </c>
      <c r="I76" s="30">
        <v>8974</v>
      </c>
      <c r="J76" s="30">
        <v>9100</v>
      </c>
      <c r="K76" s="30">
        <v>9034</v>
      </c>
      <c r="L76" s="30">
        <v>8966</v>
      </c>
      <c r="N76" s="556" t="s">
        <v>3546</v>
      </c>
    </row>
    <row r="77" spans="1:14">
      <c r="A77" s="566">
        <v>15</v>
      </c>
      <c r="B77" s="556" t="s">
        <v>7137</v>
      </c>
      <c r="C77" s="4" t="s">
        <v>158</v>
      </c>
      <c r="D77" s="559">
        <v>10013</v>
      </c>
      <c r="E77" s="559">
        <v>10089</v>
      </c>
      <c r="F77" s="559">
        <v>10101</v>
      </c>
      <c r="G77" s="559">
        <v>10198</v>
      </c>
      <c r="H77" s="31">
        <v>10081</v>
      </c>
      <c r="I77" s="31">
        <v>9884</v>
      </c>
      <c r="J77" s="31">
        <v>10018</v>
      </c>
      <c r="K77" s="31">
        <v>9901</v>
      </c>
      <c r="L77" s="31">
        <v>9943</v>
      </c>
      <c r="N77" s="556" t="s">
        <v>3550</v>
      </c>
    </row>
    <row r="78" spans="1:14">
      <c r="A78" s="566">
        <v>16</v>
      </c>
      <c r="B78" s="556" t="s">
        <v>7138</v>
      </c>
      <c r="C78" s="4" t="s">
        <v>159</v>
      </c>
      <c r="D78" s="559">
        <v>9527</v>
      </c>
      <c r="E78" s="559">
        <v>9619</v>
      </c>
      <c r="F78" s="559">
        <v>9649</v>
      </c>
      <c r="G78" s="559">
        <v>9637</v>
      </c>
      <c r="H78" s="30">
        <v>9532</v>
      </c>
      <c r="I78" s="30">
        <v>9181</v>
      </c>
      <c r="J78" s="30">
        <v>9352</v>
      </c>
      <c r="K78" s="30">
        <v>9228</v>
      </c>
      <c r="L78" s="30">
        <v>9069</v>
      </c>
      <c r="N78" s="556" t="s">
        <v>3546</v>
      </c>
    </row>
    <row r="79" spans="1:14">
      <c r="A79" s="566">
        <v>17</v>
      </c>
      <c r="B79" s="556" t="s">
        <v>7139</v>
      </c>
      <c r="C79" s="4" t="s">
        <v>160</v>
      </c>
      <c r="D79" s="559">
        <v>9701</v>
      </c>
      <c r="E79" s="559">
        <v>9908</v>
      </c>
      <c r="F79" s="559">
        <v>10012</v>
      </c>
      <c r="G79" s="559">
        <v>9993</v>
      </c>
      <c r="H79" s="31">
        <v>9911</v>
      </c>
      <c r="I79" s="31">
        <v>9739</v>
      </c>
      <c r="J79" s="31">
        <v>10016</v>
      </c>
      <c r="K79" s="31">
        <v>9947</v>
      </c>
      <c r="L79" s="31">
        <v>9893</v>
      </c>
      <c r="N79" s="556" t="s">
        <v>3550</v>
      </c>
    </row>
    <row r="80" spans="1:14">
      <c r="D80" s="561"/>
      <c r="E80" s="561"/>
      <c r="F80" s="561"/>
      <c r="G80" s="561"/>
      <c r="H80" s="561"/>
      <c r="I80" s="561"/>
      <c r="J80" s="561"/>
      <c r="K80" s="561"/>
      <c r="L80" s="561"/>
    </row>
    <row r="81" spans="1:18">
      <c r="A81" s="556" t="s">
        <v>3544</v>
      </c>
      <c r="D81" s="559">
        <f t="shared" ref="D81:I81" si="114">D63+D69+SUM(D71:D75)</f>
        <v>71370</v>
      </c>
      <c r="E81" s="559">
        <f t="shared" si="114"/>
        <v>72617</v>
      </c>
      <c r="F81" s="559">
        <f t="shared" si="114"/>
        <v>73662</v>
      </c>
      <c r="G81" s="559">
        <f t="shared" si="114"/>
        <v>72881</v>
      </c>
      <c r="H81" s="559">
        <f t="shared" si="114"/>
        <v>72234</v>
      </c>
      <c r="I81" s="559">
        <f t="shared" si="114"/>
        <v>68294</v>
      </c>
      <c r="J81" s="559">
        <f t="shared" ref="J81:K81" si="115">J63+J69+SUM(J71:J75)</f>
        <v>69670</v>
      </c>
      <c r="K81" s="559">
        <f t="shared" si="115"/>
        <v>68999</v>
      </c>
      <c r="L81" s="559">
        <f t="shared" ref="L81" si="116">L63+L69+SUM(L71:L75)</f>
        <v>68526</v>
      </c>
    </row>
    <row r="82" spans="1:18">
      <c r="A82" s="556" t="s">
        <v>3546</v>
      </c>
      <c r="D82" s="559">
        <f t="shared" ref="D82:I82" si="117">SUM(D65:D68)+D70+D76+D78</f>
        <v>71110</v>
      </c>
      <c r="E82" s="559">
        <f t="shared" si="117"/>
        <v>72048</v>
      </c>
      <c r="F82" s="559">
        <f t="shared" si="117"/>
        <v>72701</v>
      </c>
      <c r="G82" s="559">
        <f t="shared" si="117"/>
        <v>72854</v>
      </c>
      <c r="H82" s="559">
        <f t="shared" si="117"/>
        <v>71773</v>
      </c>
      <c r="I82" s="559">
        <f t="shared" si="117"/>
        <v>68358</v>
      </c>
      <c r="J82" s="559">
        <f t="shared" ref="J82:K82" si="118">SUM(J65:J68)+J70+J76+J78</f>
        <v>69735</v>
      </c>
      <c r="K82" s="559">
        <f t="shared" si="118"/>
        <v>69300</v>
      </c>
      <c r="L82" s="559">
        <f t="shared" ref="L82" si="119">SUM(L65:L68)+L70+L76+L78</f>
        <v>69244</v>
      </c>
    </row>
    <row r="83" spans="1:18">
      <c r="A83" s="556" t="s">
        <v>7140</v>
      </c>
      <c r="D83" s="559">
        <f t="shared" ref="D83:I83" si="120">D64+D77+D79</f>
        <v>30577</v>
      </c>
      <c r="E83" s="559">
        <f t="shared" si="120"/>
        <v>30994</v>
      </c>
      <c r="F83" s="559">
        <f t="shared" si="120"/>
        <v>31080</v>
      </c>
      <c r="G83" s="559">
        <f t="shared" si="120"/>
        <v>31216</v>
      </c>
      <c r="H83" s="559">
        <f t="shared" si="120"/>
        <v>31055</v>
      </c>
      <c r="I83" s="559">
        <f t="shared" si="120"/>
        <v>30617</v>
      </c>
      <c r="J83" s="559">
        <f t="shared" ref="J83:K83" si="121">J64+J77+J79</f>
        <v>31254</v>
      </c>
      <c r="K83" s="559">
        <f t="shared" si="121"/>
        <v>30855</v>
      </c>
      <c r="L83" s="559">
        <f t="shared" ref="L83" si="122">L64+L77+L79</f>
        <v>30774</v>
      </c>
    </row>
    <row r="85" spans="1:18">
      <c r="A85" s="556" t="s">
        <v>7141</v>
      </c>
    </row>
    <row r="86" spans="1:18">
      <c r="A86" s="556"/>
    </row>
    <row r="87" spans="1:18">
      <c r="A87" s="556"/>
    </row>
    <row r="88" spans="1:18">
      <c r="E88" s="42" t="s">
        <v>2303</v>
      </c>
      <c r="F88" s="42"/>
      <c r="G88" s="42"/>
      <c r="H88" s="42"/>
      <c r="I88" s="42"/>
      <c r="J88" s="42"/>
      <c r="K88" s="42"/>
      <c r="L88" s="42"/>
      <c r="M88" s="65"/>
      <c r="N88" s="66" t="s">
        <v>13319</v>
      </c>
    </row>
    <row r="89" spans="1:18">
      <c r="D89" s="55">
        <v>2010</v>
      </c>
      <c r="E89" s="55">
        <v>2011</v>
      </c>
      <c r="F89" s="55">
        <v>2012</v>
      </c>
      <c r="G89" s="55">
        <v>2013</v>
      </c>
      <c r="H89" s="55">
        <v>2014</v>
      </c>
      <c r="I89" s="55">
        <v>2015</v>
      </c>
      <c r="J89" s="55">
        <v>2016</v>
      </c>
      <c r="K89" s="55">
        <v>2017</v>
      </c>
      <c r="L89" s="55">
        <v>2018</v>
      </c>
      <c r="M89" s="65"/>
      <c r="N89" s="67" t="s">
        <v>2304</v>
      </c>
    </row>
    <row r="90" spans="1:18">
      <c r="A90" s="556" t="s">
        <v>7142</v>
      </c>
      <c r="D90" s="559">
        <f t="shared" ref="D90:I90" si="123">SUM(D91:D106)+SUM(D108:D115)</f>
        <v>96862</v>
      </c>
      <c r="E90" s="559">
        <f t="shared" si="123"/>
        <v>97127</v>
      </c>
      <c r="F90" s="559">
        <f t="shared" si="123"/>
        <v>97440</v>
      </c>
      <c r="G90" s="559">
        <f t="shared" si="123"/>
        <v>98057</v>
      </c>
      <c r="H90" s="559">
        <f t="shared" si="123"/>
        <v>98440</v>
      </c>
      <c r="I90" s="559">
        <f t="shared" si="123"/>
        <v>97788</v>
      </c>
      <c r="J90" s="559">
        <f t="shared" ref="J90:K90" si="124">SUM(J91:J106)+SUM(J108:J115)</f>
        <v>90840</v>
      </c>
      <c r="K90" s="559">
        <f t="shared" si="124"/>
        <v>94183</v>
      </c>
      <c r="L90" s="559">
        <f t="shared" ref="L90" si="125">SUM(L91:L106)+SUM(L108:L115)</f>
        <v>97199</v>
      </c>
    </row>
    <row r="91" spans="1:18">
      <c r="A91" s="566">
        <v>1</v>
      </c>
      <c r="B91" s="556" t="s">
        <v>7143</v>
      </c>
      <c r="C91" s="4" t="s">
        <v>161</v>
      </c>
      <c r="D91" s="559">
        <v>6180</v>
      </c>
      <c r="E91" s="559">
        <v>6180</v>
      </c>
      <c r="F91" s="559">
        <v>6156</v>
      </c>
      <c r="G91" s="559">
        <v>6193</v>
      </c>
      <c r="H91" s="48">
        <v>6162</v>
      </c>
      <c r="I91" s="48">
        <v>6095</v>
      </c>
      <c r="J91" s="48">
        <v>5630</v>
      </c>
      <c r="K91" s="30">
        <v>5867</v>
      </c>
      <c r="L91" s="30">
        <v>5960</v>
      </c>
      <c r="N91" s="556" t="s">
        <v>3537</v>
      </c>
      <c r="P91" s="4"/>
      <c r="R91" s="4"/>
    </row>
    <row r="92" spans="1:18">
      <c r="A92" s="566">
        <v>2</v>
      </c>
      <c r="B92" s="556" t="s">
        <v>7144</v>
      </c>
      <c r="C92" s="4" t="s">
        <v>162</v>
      </c>
      <c r="D92" s="559">
        <v>2122</v>
      </c>
      <c r="E92" s="559">
        <v>2127</v>
      </c>
      <c r="F92" s="559">
        <v>2151</v>
      </c>
      <c r="G92" s="559">
        <v>2167</v>
      </c>
      <c r="H92" s="48">
        <v>2161</v>
      </c>
      <c r="I92" s="48">
        <v>2180</v>
      </c>
      <c r="J92" s="48">
        <v>2002</v>
      </c>
      <c r="K92" s="31">
        <v>2121</v>
      </c>
      <c r="L92" s="31">
        <v>2146</v>
      </c>
      <c r="N92" s="556" t="s">
        <v>3543</v>
      </c>
      <c r="P92" s="4"/>
      <c r="R92" s="4"/>
    </row>
    <row r="93" spans="1:18">
      <c r="A93" s="566">
        <v>3</v>
      </c>
      <c r="B93" s="556" t="s">
        <v>7145</v>
      </c>
      <c r="C93" s="4" t="s">
        <v>163</v>
      </c>
      <c r="D93" s="559">
        <v>4230</v>
      </c>
      <c r="E93" s="559">
        <v>4288</v>
      </c>
      <c r="F93" s="559">
        <v>4329</v>
      </c>
      <c r="G93" s="559">
        <v>4352</v>
      </c>
      <c r="H93" s="48">
        <v>4433</v>
      </c>
      <c r="I93" s="48">
        <v>4458</v>
      </c>
      <c r="J93" s="48">
        <v>4138</v>
      </c>
      <c r="K93" s="31">
        <v>4302</v>
      </c>
      <c r="L93" s="31">
        <v>4388</v>
      </c>
      <c r="N93" s="556" t="s">
        <v>3550</v>
      </c>
      <c r="P93" s="4"/>
      <c r="R93" s="4"/>
    </row>
    <row r="94" spans="1:18">
      <c r="A94" s="566">
        <v>4</v>
      </c>
      <c r="B94" s="556" t="s">
        <v>7146</v>
      </c>
      <c r="C94" s="4" t="s">
        <v>164</v>
      </c>
      <c r="D94" s="559">
        <v>4568</v>
      </c>
      <c r="E94" s="559">
        <v>4575</v>
      </c>
      <c r="F94" s="559">
        <v>4631</v>
      </c>
      <c r="G94" s="559">
        <v>4720</v>
      </c>
      <c r="H94" s="48">
        <v>4738</v>
      </c>
      <c r="I94" s="48">
        <v>4761</v>
      </c>
      <c r="J94" s="48">
        <v>4483</v>
      </c>
      <c r="K94" s="31">
        <v>4579</v>
      </c>
      <c r="L94" s="31">
        <v>4753</v>
      </c>
      <c r="N94" s="556" t="s">
        <v>3550</v>
      </c>
      <c r="P94" s="4"/>
      <c r="R94" s="4"/>
    </row>
    <row r="95" spans="1:18">
      <c r="A95" s="566">
        <v>5</v>
      </c>
      <c r="B95" s="556" t="s">
        <v>7147</v>
      </c>
      <c r="C95" s="4" t="s">
        <v>165</v>
      </c>
      <c r="D95" s="559">
        <v>4036</v>
      </c>
      <c r="E95" s="559">
        <v>4025</v>
      </c>
      <c r="F95" s="559">
        <v>4044</v>
      </c>
      <c r="G95" s="559">
        <v>4051</v>
      </c>
      <c r="H95" s="48">
        <v>4034</v>
      </c>
      <c r="I95" s="48">
        <v>4007</v>
      </c>
      <c r="J95" s="48">
        <v>3767</v>
      </c>
      <c r="K95" s="31">
        <v>3895</v>
      </c>
      <c r="L95" s="31">
        <v>3978</v>
      </c>
      <c r="N95" s="556" t="s">
        <v>3550</v>
      </c>
      <c r="P95" s="4"/>
      <c r="R95" s="4"/>
    </row>
    <row r="96" spans="1:18">
      <c r="A96" s="566">
        <v>6</v>
      </c>
      <c r="B96" s="556" t="s">
        <v>7148</v>
      </c>
      <c r="C96" s="4" t="s">
        <v>266</v>
      </c>
      <c r="D96" s="559">
        <v>4386</v>
      </c>
      <c r="E96" s="559">
        <v>4380</v>
      </c>
      <c r="F96" s="559">
        <v>4471</v>
      </c>
      <c r="G96" s="559">
        <v>4524</v>
      </c>
      <c r="H96" s="48">
        <v>4537</v>
      </c>
      <c r="I96" s="48">
        <v>4533</v>
      </c>
      <c r="J96" s="48">
        <v>4164</v>
      </c>
      <c r="K96" s="31">
        <v>4320</v>
      </c>
      <c r="L96" s="31">
        <v>4449</v>
      </c>
      <c r="N96" s="556" t="s">
        <v>3550</v>
      </c>
      <c r="P96" s="4"/>
      <c r="R96" s="4"/>
    </row>
    <row r="97" spans="1:18">
      <c r="A97" s="566">
        <v>7</v>
      </c>
      <c r="B97" s="556" t="s">
        <v>7149</v>
      </c>
      <c r="C97" s="4" t="s">
        <v>166</v>
      </c>
      <c r="D97" s="559">
        <v>3983</v>
      </c>
      <c r="E97" s="559">
        <v>3988</v>
      </c>
      <c r="F97" s="559">
        <v>3927</v>
      </c>
      <c r="G97" s="559">
        <v>3950</v>
      </c>
      <c r="H97" s="48">
        <v>3871</v>
      </c>
      <c r="I97" s="48">
        <v>3863</v>
      </c>
      <c r="J97" s="48">
        <v>3599</v>
      </c>
      <c r="K97" s="30">
        <v>3747</v>
      </c>
      <c r="L97" s="30">
        <v>3888</v>
      </c>
      <c r="N97" s="556" t="s">
        <v>3537</v>
      </c>
      <c r="P97" s="4"/>
      <c r="R97" s="4"/>
    </row>
    <row r="98" spans="1:18">
      <c r="A98" s="566">
        <v>8</v>
      </c>
      <c r="B98" s="556" t="s">
        <v>7150</v>
      </c>
      <c r="C98" s="4" t="s">
        <v>167</v>
      </c>
      <c r="D98" s="559">
        <v>1988</v>
      </c>
      <c r="E98" s="559">
        <v>1976</v>
      </c>
      <c r="F98" s="559">
        <v>1969</v>
      </c>
      <c r="G98" s="559">
        <v>1976</v>
      </c>
      <c r="H98" s="48">
        <v>1985</v>
      </c>
      <c r="I98" s="48">
        <v>2006</v>
      </c>
      <c r="J98" s="48">
        <v>1892</v>
      </c>
      <c r="K98" s="31">
        <v>1950</v>
      </c>
      <c r="L98" s="31">
        <v>2008</v>
      </c>
      <c r="N98" s="556" t="s">
        <v>3543</v>
      </c>
      <c r="P98" s="4"/>
      <c r="R98" s="4"/>
    </row>
    <row r="99" spans="1:18">
      <c r="A99" s="566">
        <v>9</v>
      </c>
      <c r="B99" s="556" t="s">
        <v>7151</v>
      </c>
      <c r="C99" s="4" t="s">
        <v>267</v>
      </c>
      <c r="D99" s="559">
        <v>3892</v>
      </c>
      <c r="E99" s="559">
        <v>3946</v>
      </c>
      <c r="F99" s="559">
        <v>3952</v>
      </c>
      <c r="G99" s="559">
        <v>3988</v>
      </c>
      <c r="H99" s="48">
        <v>3994</v>
      </c>
      <c r="I99" s="48">
        <v>4000</v>
      </c>
      <c r="J99" s="48">
        <v>3753</v>
      </c>
      <c r="K99" s="31">
        <v>3922</v>
      </c>
      <c r="L99" s="31">
        <v>4009</v>
      </c>
      <c r="N99" s="556" t="s">
        <v>3550</v>
      </c>
      <c r="P99" s="4"/>
      <c r="R99" s="4"/>
    </row>
    <row r="100" spans="1:18">
      <c r="A100" s="566">
        <v>10</v>
      </c>
      <c r="B100" s="556" t="s">
        <v>7152</v>
      </c>
      <c r="C100" s="4" t="s">
        <v>168</v>
      </c>
      <c r="D100" s="559">
        <v>4026</v>
      </c>
      <c r="E100" s="559">
        <v>4050</v>
      </c>
      <c r="F100" s="559">
        <v>4088</v>
      </c>
      <c r="G100" s="559">
        <v>4078</v>
      </c>
      <c r="H100" s="48">
        <v>4074</v>
      </c>
      <c r="I100" s="48">
        <v>4069</v>
      </c>
      <c r="J100" s="48">
        <v>3753</v>
      </c>
      <c r="K100" s="30">
        <v>3879</v>
      </c>
      <c r="L100" s="30">
        <v>4019</v>
      </c>
      <c r="N100" s="556" t="s">
        <v>3537</v>
      </c>
      <c r="P100" s="4"/>
      <c r="R100" s="4"/>
    </row>
    <row r="101" spans="1:18">
      <c r="A101" s="566">
        <v>11</v>
      </c>
      <c r="B101" s="556" t="s">
        <v>7153</v>
      </c>
      <c r="C101" s="4" t="s">
        <v>169</v>
      </c>
      <c r="D101" s="559">
        <v>4071</v>
      </c>
      <c r="E101" s="559">
        <v>4088</v>
      </c>
      <c r="F101" s="559">
        <v>4104</v>
      </c>
      <c r="G101" s="559">
        <v>4090</v>
      </c>
      <c r="H101" s="48">
        <v>4121</v>
      </c>
      <c r="I101" s="48">
        <v>4054</v>
      </c>
      <c r="J101" s="48">
        <v>3790</v>
      </c>
      <c r="K101" s="30">
        <v>3924</v>
      </c>
      <c r="L101" s="30">
        <v>4022</v>
      </c>
      <c r="N101" s="556" t="s">
        <v>3537</v>
      </c>
      <c r="P101" s="4"/>
      <c r="R101" s="4"/>
    </row>
    <row r="102" spans="1:18">
      <c r="A102" s="566">
        <v>12</v>
      </c>
      <c r="B102" s="556" t="s">
        <v>7154</v>
      </c>
      <c r="C102" s="4" t="s">
        <v>268</v>
      </c>
      <c r="D102" s="559">
        <v>4486</v>
      </c>
      <c r="E102" s="559">
        <v>4505</v>
      </c>
      <c r="F102" s="559">
        <v>4563</v>
      </c>
      <c r="G102" s="559">
        <v>4601</v>
      </c>
      <c r="H102" s="48">
        <v>4661</v>
      </c>
      <c r="I102" s="48">
        <v>4596</v>
      </c>
      <c r="J102" s="48">
        <v>4249</v>
      </c>
      <c r="K102" s="30">
        <v>4352</v>
      </c>
      <c r="L102" s="30">
        <v>4480</v>
      </c>
      <c r="N102" s="556" t="s">
        <v>3537</v>
      </c>
      <c r="P102" s="4"/>
      <c r="R102" s="4"/>
    </row>
    <row r="103" spans="1:18">
      <c r="A103" s="566">
        <v>13</v>
      </c>
      <c r="B103" s="556" t="s">
        <v>7155</v>
      </c>
      <c r="C103" s="4" t="s">
        <v>170</v>
      </c>
      <c r="D103" s="559">
        <v>4722</v>
      </c>
      <c r="E103" s="559">
        <v>4756</v>
      </c>
      <c r="F103" s="559">
        <v>4730</v>
      </c>
      <c r="G103" s="559">
        <v>4753</v>
      </c>
      <c r="H103" s="48">
        <v>4742</v>
      </c>
      <c r="I103" s="48">
        <v>4645</v>
      </c>
      <c r="J103" s="48">
        <v>4312</v>
      </c>
      <c r="K103" s="30">
        <v>4425</v>
      </c>
      <c r="L103" s="30">
        <v>4663</v>
      </c>
      <c r="N103" s="556" t="s">
        <v>3537</v>
      </c>
      <c r="P103" s="4"/>
      <c r="R103" s="4"/>
    </row>
    <row r="104" spans="1:18">
      <c r="A104" s="566">
        <v>14</v>
      </c>
      <c r="B104" s="556" t="s">
        <v>7156</v>
      </c>
      <c r="C104" s="4" t="s">
        <v>171</v>
      </c>
      <c r="D104" s="559">
        <v>4598</v>
      </c>
      <c r="E104" s="559">
        <v>4632</v>
      </c>
      <c r="F104" s="559">
        <v>4654</v>
      </c>
      <c r="G104" s="559">
        <v>4616</v>
      </c>
      <c r="H104" s="48">
        <v>4643</v>
      </c>
      <c r="I104" s="48">
        <v>4581</v>
      </c>
      <c r="J104" s="48">
        <v>4154</v>
      </c>
      <c r="K104" s="30">
        <v>4247</v>
      </c>
      <c r="L104" s="30">
        <v>4458</v>
      </c>
      <c r="N104" s="556" t="s">
        <v>3537</v>
      </c>
      <c r="P104" s="4"/>
      <c r="R104" s="4"/>
    </row>
    <row r="105" spans="1:18">
      <c r="A105" s="566">
        <v>15</v>
      </c>
      <c r="B105" s="556" t="s">
        <v>7983</v>
      </c>
      <c r="C105" s="4" t="s">
        <v>269</v>
      </c>
      <c r="D105" s="559">
        <v>6084</v>
      </c>
      <c r="E105" s="559">
        <v>6128</v>
      </c>
      <c r="F105" s="559">
        <v>6140</v>
      </c>
      <c r="G105" s="559">
        <v>6153</v>
      </c>
      <c r="H105" s="48">
        <v>6289</v>
      </c>
      <c r="I105" s="48">
        <v>6253</v>
      </c>
      <c r="J105" s="48">
        <v>5870</v>
      </c>
      <c r="K105" s="30">
        <v>6074</v>
      </c>
      <c r="L105" s="30">
        <v>6297</v>
      </c>
      <c r="N105" s="556" t="s">
        <v>3537</v>
      </c>
      <c r="P105" s="4"/>
      <c r="R105" s="4"/>
    </row>
    <row r="106" spans="1:18" ht="15.75" thickBot="1">
      <c r="A106" s="566"/>
      <c r="B106" s="556"/>
      <c r="C106" s="4" t="s">
        <v>269</v>
      </c>
      <c r="D106" s="560">
        <v>72</v>
      </c>
      <c r="E106" s="564">
        <v>76</v>
      </c>
      <c r="F106" s="564">
        <v>76</v>
      </c>
      <c r="G106" s="564">
        <v>81</v>
      </c>
      <c r="H106" s="48">
        <v>76</v>
      </c>
      <c r="I106" s="48">
        <v>78</v>
      </c>
      <c r="J106" s="48">
        <v>74</v>
      </c>
      <c r="K106" s="31">
        <v>76</v>
      </c>
      <c r="L106" s="31">
        <v>71</v>
      </c>
      <c r="N106" s="556" t="s">
        <v>3550</v>
      </c>
    </row>
    <row r="107" spans="1:18" ht="15.75" thickBot="1">
      <c r="A107" s="566"/>
      <c r="B107" s="556"/>
      <c r="C107" s="4" t="s">
        <v>269</v>
      </c>
      <c r="D107" s="565">
        <f t="shared" ref="D107:L107" si="126">D105+D106</f>
        <v>6156</v>
      </c>
      <c r="E107" s="565">
        <f t="shared" si="126"/>
        <v>6204</v>
      </c>
      <c r="F107" s="565">
        <f t="shared" si="126"/>
        <v>6216</v>
      </c>
      <c r="G107" s="565">
        <f t="shared" si="126"/>
        <v>6234</v>
      </c>
      <c r="H107" s="565">
        <f t="shared" si="126"/>
        <v>6365</v>
      </c>
      <c r="I107" s="565">
        <f t="shared" si="126"/>
        <v>6331</v>
      </c>
      <c r="J107" s="565">
        <f t="shared" si="126"/>
        <v>5944</v>
      </c>
      <c r="K107" s="565">
        <f t="shared" si="126"/>
        <v>6150</v>
      </c>
      <c r="L107" s="565">
        <f t="shared" si="126"/>
        <v>6368</v>
      </c>
      <c r="N107" s="556"/>
    </row>
    <row r="108" spans="1:18">
      <c r="A108" s="566">
        <v>16</v>
      </c>
      <c r="B108" s="556" t="s">
        <v>7984</v>
      </c>
      <c r="C108" s="4" t="s">
        <v>172</v>
      </c>
      <c r="D108" s="559">
        <v>4145</v>
      </c>
      <c r="E108" s="559">
        <v>4165</v>
      </c>
      <c r="F108" s="559">
        <v>4050</v>
      </c>
      <c r="G108" s="559">
        <v>4191</v>
      </c>
      <c r="H108" s="48">
        <v>4164</v>
      </c>
      <c r="I108" s="48">
        <v>4063</v>
      </c>
      <c r="J108" s="48">
        <v>3698</v>
      </c>
      <c r="K108" s="30">
        <v>3825</v>
      </c>
      <c r="L108" s="30">
        <v>3999</v>
      </c>
      <c r="N108" s="556" t="s">
        <v>3537</v>
      </c>
      <c r="P108" s="4"/>
      <c r="R108" s="4"/>
    </row>
    <row r="109" spans="1:18">
      <c r="A109" s="566">
        <v>17</v>
      </c>
      <c r="B109" s="556" t="s">
        <v>7985</v>
      </c>
      <c r="C109" s="4" t="s">
        <v>173</v>
      </c>
      <c r="D109" s="559">
        <v>6980</v>
      </c>
      <c r="E109" s="559">
        <v>7017</v>
      </c>
      <c r="F109" s="559">
        <v>7024</v>
      </c>
      <c r="G109" s="559">
        <v>7057</v>
      </c>
      <c r="H109" s="48">
        <v>7074</v>
      </c>
      <c r="I109" s="48">
        <v>7039</v>
      </c>
      <c r="J109" s="48">
        <v>6553</v>
      </c>
      <c r="K109" s="30">
        <v>6827</v>
      </c>
      <c r="L109" s="30">
        <v>7095</v>
      </c>
      <c r="N109" s="556" t="s">
        <v>3537</v>
      </c>
      <c r="P109" s="4"/>
      <c r="R109" s="4"/>
    </row>
    <row r="110" spans="1:18">
      <c r="A110" s="566">
        <v>18</v>
      </c>
      <c r="B110" s="556" t="s">
        <v>7986</v>
      </c>
      <c r="C110" s="4" t="s">
        <v>174</v>
      </c>
      <c r="D110" s="559">
        <v>4693</v>
      </c>
      <c r="E110" s="559">
        <v>4674</v>
      </c>
      <c r="F110" s="559">
        <v>4661</v>
      </c>
      <c r="G110" s="559">
        <v>4655</v>
      </c>
      <c r="H110" s="48">
        <v>4607</v>
      </c>
      <c r="I110" s="48">
        <v>4597</v>
      </c>
      <c r="J110" s="48">
        <v>4288</v>
      </c>
      <c r="K110" s="30">
        <v>4426</v>
      </c>
      <c r="L110" s="30">
        <v>4448</v>
      </c>
      <c r="N110" s="556" t="s">
        <v>3537</v>
      </c>
      <c r="P110" s="4"/>
      <c r="R110" s="4"/>
    </row>
    <row r="111" spans="1:18">
      <c r="A111" s="566">
        <v>19</v>
      </c>
      <c r="B111" s="556" t="s">
        <v>7987</v>
      </c>
      <c r="C111" s="4" t="s">
        <v>270</v>
      </c>
      <c r="D111" s="559">
        <v>4641</v>
      </c>
      <c r="E111" s="559">
        <v>4646</v>
      </c>
      <c r="F111" s="559">
        <v>4608</v>
      </c>
      <c r="G111" s="559">
        <v>4657</v>
      </c>
      <c r="H111" s="48">
        <v>4724</v>
      </c>
      <c r="I111" s="48">
        <v>4646</v>
      </c>
      <c r="J111" s="48">
        <v>4407</v>
      </c>
      <c r="K111" s="30">
        <v>4613</v>
      </c>
      <c r="L111" s="30">
        <v>4786</v>
      </c>
      <c r="N111" s="556" t="s">
        <v>3537</v>
      </c>
      <c r="P111" s="4"/>
      <c r="R111" s="4"/>
    </row>
    <row r="112" spans="1:18">
      <c r="A112" s="566">
        <v>20</v>
      </c>
      <c r="B112" s="556" t="s">
        <v>7988</v>
      </c>
      <c r="C112" s="4" t="s">
        <v>175</v>
      </c>
      <c r="D112" s="559">
        <v>4591</v>
      </c>
      <c r="E112" s="559">
        <v>4581</v>
      </c>
      <c r="F112" s="559">
        <v>4683</v>
      </c>
      <c r="G112" s="559">
        <v>4718</v>
      </c>
      <c r="H112" s="48">
        <v>4762</v>
      </c>
      <c r="I112" s="48">
        <v>4691</v>
      </c>
      <c r="J112" s="48">
        <v>4187</v>
      </c>
      <c r="K112" s="30">
        <v>4319</v>
      </c>
      <c r="L112" s="30">
        <v>4377</v>
      </c>
      <c r="N112" s="556" t="s">
        <v>3537</v>
      </c>
      <c r="P112" s="4"/>
      <c r="R112" s="4"/>
    </row>
    <row r="113" spans="1:18">
      <c r="A113" s="566">
        <v>21</v>
      </c>
      <c r="B113" s="556" t="s">
        <v>7989</v>
      </c>
      <c r="C113" s="4" t="s">
        <v>176</v>
      </c>
      <c r="D113" s="559">
        <v>2183</v>
      </c>
      <c r="E113" s="559">
        <v>2196</v>
      </c>
      <c r="F113" s="559">
        <v>2227</v>
      </c>
      <c r="G113" s="559">
        <v>2243</v>
      </c>
      <c r="H113" s="48">
        <v>2251</v>
      </c>
      <c r="I113" s="48">
        <v>2233</v>
      </c>
      <c r="J113" s="48">
        <v>2113</v>
      </c>
      <c r="K113" s="31">
        <v>2379</v>
      </c>
      <c r="L113" s="31">
        <v>2681</v>
      </c>
      <c r="N113" s="556" t="s">
        <v>3543</v>
      </c>
      <c r="P113" s="4"/>
      <c r="R113" s="4"/>
    </row>
    <row r="114" spans="1:18">
      <c r="A114" s="566">
        <v>22</v>
      </c>
      <c r="B114" s="556" t="s">
        <v>7990</v>
      </c>
      <c r="C114" s="4" t="s">
        <v>177</v>
      </c>
      <c r="D114" s="559">
        <v>4311</v>
      </c>
      <c r="E114" s="559">
        <v>4269</v>
      </c>
      <c r="F114" s="559">
        <v>4326</v>
      </c>
      <c r="G114" s="559">
        <v>4366</v>
      </c>
      <c r="H114" s="48">
        <v>4459</v>
      </c>
      <c r="I114" s="48">
        <v>4472</v>
      </c>
      <c r="J114" s="48">
        <v>4172</v>
      </c>
      <c r="K114" s="30">
        <v>4232</v>
      </c>
      <c r="L114" s="30">
        <v>4331</v>
      </c>
      <c r="N114" s="556" t="s">
        <v>3537</v>
      </c>
      <c r="P114" s="4"/>
      <c r="R114" s="4"/>
    </row>
    <row r="115" spans="1:18">
      <c r="A115" s="566">
        <v>23</v>
      </c>
      <c r="B115" s="556" t="s">
        <v>7991</v>
      </c>
      <c r="C115" s="4" t="s">
        <v>178</v>
      </c>
      <c r="D115" s="559">
        <v>1874</v>
      </c>
      <c r="E115" s="559">
        <v>1859</v>
      </c>
      <c r="F115" s="559">
        <v>1876</v>
      </c>
      <c r="G115" s="559">
        <v>1877</v>
      </c>
      <c r="H115" s="48">
        <v>1878</v>
      </c>
      <c r="I115" s="48">
        <v>1868</v>
      </c>
      <c r="J115" s="48">
        <v>1792</v>
      </c>
      <c r="K115" s="30">
        <v>1882</v>
      </c>
      <c r="L115" s="30">
        <v>1893</v>
      </c>
      <c r="N115" s="556" t="s">
        <v>3537</v>
      </c>
      <c r="P115" s="4"/>
      <c r="R115" s="4"/>
    </row>
    <row r="116" spans="1:18">
      <c r="D116" s="561"/>
      <c r="E116" s="561"/>
      <c r="F116" s="561"/>
      <c r="G116" s="561"/>
      <c r="H116" s="561"/>
      <c r="I116" s="561"/>
      <c r="J116" s="561"/>
      <c r="K116" s="561"/>
      <c r="L116" s="561"/>
    </row>
    <row r="117" spans="1:18">
      <c r="A117" s="556" t="s">
        <v>3537</v>
      </c>
      <c r="D117" s="559">
        <f t="shared" ref="D117:I117" si="127">D91+D97+SUM(D100:D105)+SUM(D108:D112)+D114+D115</f>
        <v>69385</v>
      </c>
      <c r="E117" s="559">
        <f t="shared" si="127"/>
        <v>69538</v>
      </c>
      <c r="F117" s="559">
        <f t="shared" si="127"/>
        <v>69590</v>
      </c>
      <c r="G117" s="559">
        <f t="shared" si="127"/>
        <v>69955</v>
      </c>
      <c r="H117" s="559">
        <f t="shared" si="127"/>
        <v>70231</v>
      </c>
      <c r="I117" s="559">
        <f t="shared" si="127"/>
        <v>69532</v>
      </c>
      <c r="J117" s="559">
        <f t="shared" ref="J117:K117" si="128">J91+J97+SUM(J100:J105)+SUM(J108:J112)+J114+J115</f>
        <v>64454</v>
      </c>
      <c r="K117" s="559">
        <f t="shared" si="128"/>
        <v>66639</v>
      </c>
      <c r="L117" s="559">
        <f t="shared" ref="L117" si="129">L91+L97+SUM(L100:L105)+SUM(L108:L112)+L114+L115</f>
        <v>68716</v>
      </c>
    </row>
    <row r="118" spans="1:18">
      <c r="A118" s="556" t="s">
        <v>7992</v>
      </c>
      <c r="D118" s="559">
        <f t="shared" ref="D118:I118" si="130">D92+D98+D113</f>
        <v>6293</v>
      </c>
      <c r="E118" s="559">
        <f t="shared" si="130"/>
        <v>6299</v>
      </c>
      <c r="F118" s="559">
        <f t="shared" si="130"/>
        <v>6347</v>
      </c>
      <c r="G118" s="559">
        <f t="shared" si="130"/>
        <v>6386</v>
      </c>
      <c r="H118" s="559">
        <f t="shared" si="130"/>
        <v>6397</v>
      </c>
      <c r="I118" s="559">
        <f t="shared" si="130"/>
        <v>6419</v>
      </c>
      <c r="J118" s="559">
        <f t="shared" ref="J118:K118" si="131">J92+J98+J113</f>
        <v>6007</v>
      </c>
      <c r="K118" s="559">
        <f t="shared" si="131"/>
        <v>6450</v>
      </c>
      <c r="L118" s="559">
        <f t="shared" ref="L118" si="132">L92+L98+L113</f>
        <v>6835</v>
      </c>
    </row>
    <row r="119" spans="1:18">
      <c r="A119" s="556" t="s">
        <v>7140</v>
      </c>
      <c r="D119" s="559">
        <f t="shared" ref="D119:I119" si="133">SUM(D93:D96)+D99+D106</f>
        <v>21184</v>
      </c>
      <c r="E119" s="559">
        <f t="shared" si="133"/>
        <v>21290</v>
      </c>
      <c r="F119" s="559">
        <f t="shared" si="133"/>
        <v>21503</v>
      </c>
      <c r="G119" s="559">
        <f t="shared" si="133"/>
        <v>21716</v>
      </c>
      <c r="H119" s="559">
        <f t="shared" si="133"/>
        <v>21812</v>
      </c>
      <c r="I119" s="559">
        <f t="shared" si="133"/>
        <v>21837</v>
      </c>
      <c r="J119" s="559">
        <f t="shared" ref="J119:K119" si="134">SUM(J93:J96)+J99+J106</f>
        <v>20379</v>
      </c>
      <c r="K119" s="559">
        <f t="shared" si="134"/>
        <v>21094</v>
      </c>
      <c r="L119" s="559">
        <f t="shared" ref="L119" si="135">SUM(L93:L96)+L99+L106</f>
        <v>21648</v>
      </c>
    </row>
    <row r="120" spans="1:18">
      <c r="A120" s="556"/>
      <c r="B120" s="556"/>
      <c r="D120" s="559"/>
      <c r="E120" s="559"/>
      <c r="F120" s="559"/>
      <c r="G120" s="559"/>
      <c r="H120" s="559"/>
      <c r="I120" s="559"/>
      <c r="J120" s="559"/>
      <c r="K120" s="559"/>
      <c r="L120" s="559"/>
    </row>
    <row r="121" spans="1:18">
      <c r="A121" s="556" t="s">
        <v>8272</v>
      </c>
      <c r="B121" s="556"/>
      <c r="D121" s="559"/>
      <c r="E121" s="559"/>
      <c r="F121" s="559"/>
      <c r="G121" s="559"/>
      <c r="H121" s="559"/>
      <c r="I121" s="559"/>
      <c r="J121" s="559"/>
      <c r="K121" s="559"/>
      <c r="L121" s="559"/>
    </row>
    <row r="122" spans="1:18">
      <c r="A122" s="556" t="s">
        <v>8273</v>
      </c>
      <c r="B122" s="556"/>
      <c r="D122" s="559"/>
      <c r="E122" s="559"/>
      <c r="F122" s="559"/>
      <c r="G122" s="559"/>
      <c r="H122" s="559"/>
      <c r="I122" s="559"/>
      <c r="J122" s="559"/>
      <c r="K122" s="559"/>
      <c r="L122" s="559"/>
    </row>
    <row r="123" spans="1:18">
      <c r="A123" s="556"/>
      <c r="B123" s="556"/>
      <c r="D123" s="567"/>
      <c r="E123" s="567"/>
      <c r="F123" s="567"/>
      <c r="G123" s="567"/>
      <c r="H123" s="567"/>
      <c r="I123" s="567"/>
      <c r="J123" s="567"/>
      <c r="K123" s="567"/>
      <c r="L123" s="567"/>
    </row>
    <row r="124" spans="1:18">
      <c r="A124" s="556"/>
      <c r="B124" s="556"/>
      <c r="D124" s="567"/>
      <c r="E124" s="567"/>
      <c r="F124" s="567"/>
      <c r="G124" s="567"/>
      <c r="H124" s="567"/>
      <c r="I124" s="567"/>
      <c r="J124" s="567"/>
      <c r="K124" s="567"/>
      <c r="L124" s="567"/>
    </row>
    <row r="125" spans="1:18">
      <c r="E125" s="42" t="s">
        <v>2303</v>
      </c>
      <c r="F125" s="42"/>
      <c r="G125" s="42"/>
      <c r="H125" s="42"/>
      <c r="I125" s="42"/>
      <c r="J125" s="42"/>
      <c r="K125" s="42"/>
      <c r="L125" s="42"/>
      <c r="M125" s="65"/>
      <c r="N125" s="66" t="s">
        <v>13319</v>
      </c>
    </row>
    <row r="126" spans="1:18">
      <c r="D126" s="55">
        <v>2010</v>
      </c>
      <c r="E126" s="55">
        <v>2011</v>
      </c>
      <c r="F126" s="55">
        <v>2012</v>
      </c>
      <c r="G126" s="55">
        <v>2013</v>
      </c>
      <c r="H126" s="55">
        <v>2014</v>
      </c>
      <c r="I126" s="55">
        <v>2015</v>
      </c>
      <c r="J126" s="55">
        <v>2016</v>
      </c>
      <c r="K126" s="55">
        <v>2017</v>
      </c>
      <c r="L126" s="55">
        <v>2018</v>
      </c>
      <c r="M126" s="65"/>
      <c r="N126" s="67" t="s">
        <v>2304</v>
      </c>
    </row>
    <row r="127" spans="1:18">
      <c r="A127" s="556" t="s">
        <v>7993</v>
      </c>
      <c r="D127" s="559">
        <f t="shared" ref="D127:I127" si="136">SUM(D128:D147)</f>
        <v>58843</v>
      </c>
      <c r="E127" s="559">
        <f t="shared" si="136"/>
        <v>57694</v>
      </c>
      <c r="F127" s="559">
        <f t="shared" si="136"/>
        <v>57137</v>
      </c>
      <c r="G127" s="559">
        <f t="shared" si="136"/>
        <v>57353</v>
      </c>
      <c r="H127" s="559">
        <f t="shared" si="136"/>
        <v>57501</v>
      </c>
      <c r="I127" s="559">
        <f t="shared" si="136"/>
        <v>56877</v>
      </c>
      <c r="J127" s="559">
        <f t="shared" ref="J127:K127" si="137">SUM(J128:J147)</f>
        <v>56533</v>
      </c>
      <c r="K127" s="559">
        <f t="shared" si="137"/>
        <v>58312</v>
      </c>
      <c r="L127" s="559">
        <f t="shared" ref="L127" si="138">SUM(L128:L147)</f>
        <v>58315</v>
      </c>
    </row>
    <row r="128" spans="1:18">
      <c r="A128" s="566">
        <v>1</v>
      </c>
      <c r="B128" s="556" t="s">
        <v>7994</v>
      </c>
      <c r="C128" s="4" t="s">
        <v>179</v>
      </c>
      <c r="D128" s="559">
        <v>2505</v>
      </c>
      <c r="E128" s="559">
        <v>2516</v>
      </c>
      <c r="F128" s="559">
        <v>2483</v>
      </c>
      <c r="G128" s="30">
        <v>2492</v>
      </c>
      <c r="H128" s="30">
        <v>2483</v>
      </c>
      <c r="I128" s="30">
        <v>2482</v>
      </c>
      <c r="J128" s="30">
        <v>2452</v>
      </c>
      <c r="K128" s="30">
        <v>2523</v>
      </c>
      <c r="L128" s="30">
        <v>2500</v>
      </c>
      <c r="N128" s="556" t="s">
        <v>3539</v>
      </c>
      <c r="P128" s="4"/>
      <c r="R128" s="4"/>
    </row>
    <row r="129" spans="1:18">
      <c r="A129" s="566">
        <v>2</v>
      </c>
      <c r="B129" s="556" t="s">
        <v>7995</v>
      </c>
      <c r="C129" s="4" t="s">
        <v>180</v>
      </c>
      <c r="D129" s="559">
        <v>3453</v>
      </c>
      <c r="E129" s="559">
        <v>3441</v>
      </c>
      <c r="F129" s="559">
        <v>3429</v>
      </c>
      <c r="G129" s="30">
        <v>3449</v>
      </c>
      <c r="H129" s="30">
        <v>3480</v>
      </c>
      <c r="I129" s="30">
        <v>3449</v>
      </c>
      <c r="J129" s="30">
        <v>3459</v>
      </c>
      <c r="K129" s="30">
        <v>3513</v>
      </c>
      <c r="L129" s="30">
        <v>3506</v>
      </c>
      <c r="N129" s="556" t="s">
        <v>3539</v>
      </c>
      <c r="P129" s="4"/>
      <c r="R129" s="4"/>
    </row>
    <row r="130" spans="1:18">
      <c r="A130" s="566">
        <v>3</v>
      </c>
      <c r="B130" s="556" t="s">
        <v>7996</v>
      </c>
      <c r="C130" s="4" t="s">
        <v>181</v>
      </c>
      <c r="D130" s="559">
        <v>3072</v>
      </c>
      <c r="E130" s="559">
        <v>2970</v>
      </c>
      <c r="F130" s="559">
        <v>2951</v>
      </c>
      <c r="G130" s="30">
        <v>2908</v>
      </c>
      <c r="H130" s="30">
        <v>2997</v>
      </c>
      <c r="I130" s="30">
        <v>2933</v>
      </c>
      <c r="J130" s="30">
        <v>2889</v>
      </c>
      <c r="K130" s="30">
        <v>2951</v>
      </c>
      <c r="L130" s="30">
        <v>2984</v>
      </c>
      <c r="N130" s="556" t="s">
        <v>3539</v>
      </c>
      <c r="P130" s="4"/>
      <c r="R130" s="4"/>
    </row>
    <row r="131" spans="1:18">
      <c r="A131" s="566">
        <v>4</v>
      </c>
      <c r="B131" s="556" t="s">
        <v>7997</v>
      </c>
      <c r="C131" s="4" t="s">
        <v>182</v>
      </c>
      <c r="D131" s="559">
        <v>3076</v>
      </c>
      <c r="E131" s="559">
        <v>3001</v>
      </c>
      <c r="F131" s="559">
        <v>2979</v>
      </c>
      <c r="G131" s="30">
        <v>3009</v>
      </c>
      <c r="H131" s="30">
        <v>2976</v>
      </c>
      <c r="I131" s="30">
        <v>2981</v>
      </c>
      <c r="J131" s="30">
        <v>2948</v>
      </c>
      <c r="K131" s="30">
        <v>3004</v>
      </c>
      <c r="L131" s="30">
        <v>2968</v>
      </c>
      <c r="N131" s="556" t="s">
        <v>3539</v>
      </c>
      <c r="P131" s="4"/>
      <c r="R131" s="4"/>
    </row>
    <row r="132" spans="1:18">
      <c r="A132" s="566">
        <v>5</v>
      </c>
      <c r="B132" s="556" t="s">
        <v>7998</v>
      </c>
      <c r="C132" s="4" t="s">
        <v>183</v>
      </c>
      <c r="D132" s="559">
        <v>2966</v>
      </c>
      <c r="E132" s="559">
        <v>2863</v>
      </c>
      <c r="F132" s="559">
        <v>2894</v>
      </c>
      <c r="G132" s="30">
        <v>2860</v>
      </c>
      <c r="H132" s="30">
        <v>2898</v>
      </c>
      <c r="I132" s="30">
        <v>2905</v>
      </c>
      <c r="J132" s="30">
        <v>2819</v>
      </c>
      <c r="K132" s="30">
        <v>2857</v>
      </c>
      <c r="L132" s="30">
        <v>2819</v>
      </c>
      <c r="N132" s="556" t="s">
        <v>3539</v>
      </c>
      <c r="P132" s="4"/>
      <c r="R132" s="4"/>
    </row>
    <row r="133" spans="1:18">
      <c r="A133" s="566">
        <v>6</v>
      </c>
      <c r="B133" s="556" t="s">
        <v>7999</v>
      </c>
      <c r="C133" s="4" t="s">
        <v>184</v>
      </c>
      <c r="D133" s="559">
        <v>3082</v>
      </c>
      <c r="E133" s="559">
        <v>3015</v>
      </c>
      <c r="F133" s="559">
        <v>2998</v>
      </c>
      <c r="G133" s="30">
        <v>2970</v>
      </c>
      <c r="H133" s="30">
        <v>3096</v>
      </c>
      <c r="I133" s="30">
        <v>3034</v>
      </c>
      <c r="J133" s="30">
        <v>2955</v>
      </c>
      <c r="K133" s="30">
        <v>3059</v>
      </c>
      <c r="L133" s="30">
        <v>3089</v>
      </c>
      <c r="N133" s="556" t="s">
        <v>3539</v>
      </c>
      <c r="P133" s="4"/>
      <c r="R133" s="4"/>
    </row>
    <row r="134" spans="1:18">
      <c r="A134" s="566">
        <v>7</v>
      </c>
      <c r="B134" s="556" t="s">
        <v>7106</v>
      </c>
      <c r="C134" s="4" t="s">
        <v>185</v>
      </c>
      <c r="D134" s="559">
        <v>2954</v>
      </c>
      <c r="E134" s="559">
        <v>2892</v>
      </c>
      <c r="F134" s="559">
        <v>2878</v>
      </c>
      <c r="G134" s="30">
        <v>2899</v>
      </c>
      <c r="H134" s="30">
        <v>2859</v>
      </c>
      <c r="I134" s="30">
        <v>2847</v>
      </c>
      <c r="J134" s="30">
        <v>2958</v>
      </c>
      <c r="K134" s="30">
        <v>3136</v>
      </c>
      <c r="L134" s="30">
        <v>3226</v>
      </c>
      <c r="N134" s="556" t="s">
        <v>3539</v>
      </c>
      <c r="P134" s="4"/>
      <c r="R134" s="4"/>
    </row>
    <row r="135" spans="1:18">
      <c r="A135" s="566">
        <v>8</v>
      </c>
      <c r="B135" s="556" t="s">
        <v>7107</v>
      </c>
      <c r="C135" s="4" t="s">
        <v>14378</v>
      </c>
      <c r="D135" s="559">
        <v>4650</v>
      </c>
      <c r="E135" s="559">
        <v>4599</v>
      </c>
      <c r="F135" s="559">
        <v>4688</v>
      </c>
      <c r="G135" s="30">
        <v>4695</v>
      </c>
      <c r="H135" s="30">
        <v>4660</v>
      </c>
      <c r="I135" s="30">
        <v>4544</v>
      </c>
      <c r="J135" s="30">
        <v>4498</v>
      </c>
      <c r="K135" s="30">
        <v>4611</v>
      </c>
      <c r="L135" s="30">
        <v>4577</v>
      </c>
      <c r="N135" s="556" t="s">
        <v>3539</v>
      </c>
      <c r="P135" s="4"/>
      <c r="R135" s="4"/>
    </row>
    <row r="136" spans="1:18">
      <c r="A136" s="566">
        <v>9</v>
      </c>
      <c r="B136" s="556" t="s">
        <v>7108</v>
      </c>
      <c r="C136" s="4" t="s">
        <v>186</v>
      </c>
      <c r="D136" s="559">
        <v>3460</v>
      </c>
      <c r="E136" s="559">
        <v>3367</v>
      </c>
      <c r="F136" s="559">
        <v>3340</v>
      </c>
      <c r="G136" s="30">
        <v>3409</v>
      </c>
      <c r="H136" s="30">
        <v>3370</v>
      </c>
      <c r="I136" s="30">
        <v>3310</v>
      </c>
      <c r="J136" s="30">
        <v>3254</v>
      </c>
      <c r="K136" s="30">
        <v>3257</v>
      </c>
      <c r="L136" s="30">
        <v>3283</v>
      </c>
      <c r="N136" s="556" t="s">
        <v>3539</v>
      </c>
      <c r="P136" s="4"/>
      <c r="R136" s="4"/>
    </row>
    <row r="137" spans="1:18">
      <c r="A137" s="566">
        <v>10</v>
      </c>
      <c r="B137" s="556" t="s">
        <v>1035</v>
      </c>
      <c r="C137" s="4" t="s">
        <v>187</v>
      </c>
      <c r="D137" s="559">
        <v>3055</v>
      </c>
      <c r="E137" s="559">
        <v>2990</v>
      </c>
      <c r="F137" s="559">
        <v>3015</v>
      </c>
      <c r="G137" s="30">
        <v>3069</v>
      </c>
      <c r="H137" s="30">
        <v>2969</v>
      </c>
      <c r="I137" s="30">
        <v>2969</v>
      </c>
      <c r="J137" s="30">
        <v>2977</v>
      </c>
      <c r="K137" s="30">
        <v>3154</v>
      </c>
      <c r="L137" s="30">
        <v>3193</v>
      </c>
      <c r="N137" s="556" t="s">
        <v>3539</v>
      </c>
      <c r="P137" s="4"/>
      <c r="R137" s="4"/>
    </row>
    <row r="138" spans="1:18">
      <c r="A138" s="566">
        <v>11</v>
      </c>
      <c r="B138" s="556" t="s">
        <v>1036</v>
      </c>
      <c r="C138" s="4" t="s">
        <v>188</v>
      </c>
      <c r="D138" s="559">
        <v>3338</v>
      </c>
      <c r="E138" s="559">
        <v>3238</v>
      </c>
      <c r="F138" s="559">
        <v>3132</v>
      </c>
      <c r="G138" s="30">
        <v>3241</v>
      </c>
      <c r="H138" s="30">
        <v>3169</v>
      </c>
      <c r="I138" s="30">
        <v>3146</v>
      </c>
      <c r="J138" s="30">
        <v>3100</v>
      </c>
      <c r="K138" s="30">
        <v>3170</v>
      </c>
      <c r="L138" s="30">
        <v>3191</v>
      </c>
      <c r="N138" s="556" t="s">
        <v>3539</v>
      </c>
      <c r="P138" s="4"/>
      <c r="R138" s="4"/>
    </row>
    <row r="139" spans="1:18">
      <c r="A139" s="566">
        <v>12</v>
      </c>
      <c r="B139" s="556" t="s">
        <v>3632</v>
      </c>
      <c r="C139" s="4" t="s">
        <v>189</v>
      </c>
      <c r="D139" s="559">
        <v>1215</v>
      </c>
      <c r="E139" s="559">
        <v>1131</v>
      </c>
      <c r="F139" s="559">
        <v>1076</v>
      </c>
      <c r="G139" s="30">
        <v>1053</v>
      </c>
      <c r="H139" s="30">
        <v>1006</v>
      </c>
      <c r="I139" s="30">
        <v>1019</v>
      </c>
      <c r="J139" s="30">
        <v>999</v>
      </c>
      <c r="K139" s="30">
        <v>1092</v>
      </c>
      <c r="L139" s="30">
        <v>1090</v>
      </c>
      <c r="N139" s="556" t="s">
        <v>3539</v>
      </c>
      <c r="P139" s="4"/>
      <c r="R139" s="4"/>
    </row>
    <row r="140" spans="1:18">
      <c r="A140" s="566">
        <v>13</v>
      </c>
      <c r="B140" s="556" t="s">
        <v>3633</v>
      </c>
      <c r="C140" s="4" t="s">
        <v>190</v>
      </c>
      <c r="D140" s="559">
        <v>1761</v>
      </c>
      <c r="E140" s="559">
        <v>1727</v>
      </c>
      <c r="F140" s="559">
        <v>1662</v>
      </c>
      <c r="G140" s="30">
        <v>1622</v>
      </c>
      <c r="H140" s="30">
        <v>1596</v>
      </c>
      <c r="I140" s="30">
        <v>1578</v>
      </c>
      <c r="J140" s="30">
        <v>1609</v>
      </c>
      <c r="K140" s="30">
        <v>1380</v>
      </c>
      <c r="L140" s="30">
        <v>1386</v>
      </c>
      <c r="N140" s="556" t="s">
        <v>3539</v>
      </c>
      <c r="P140" s="4"/>
      <c r="R140" s="4"/>
    </row>
    <row r="141" spans="1:18">
      <c r="A141" s="566">
        <v>14</v>
      </c>
      <c r="B141" s="556" t="s">
        <v>3634</v>
      </c>
      <c r="C141" s="4" t="s">
        <v>191</v>
      </c>
      <c r="D141" s="559">
        <v>1630</v>
      </c>
      <c r="E141" s="559">
        <v>1622</v>
      </c>
      <c r="F141" s="559">
        <v>1531</v>
      </c>
      <c r="G141" s="30">
        <v>1496</v>
      </c>
      <c r="H141" s="30">
        <v>1631</v>
      </c>
      <c r="I141" s="30">
        <v>1614</v>
      </c>
      <c r="J141" s="30">
        <v>1592</v>
      </c>
      <c r="K141" s="30">
        <v>1897</v>
      </c>
      <c r="L141" s="30">
        <v>1873</v>
      </c>
      <c r="N141" s="556" t="s">
        <v>3539</v>
      </c>
      <c r="P141" s="4"/>
      <c r="R141" s="4"/>
    </row>
    <row r="142" spans="1:18">
      <c r="A142" s="566">
        <v>15</v>
      </c>
      <c r="B142" s="556" t="s">
        <v>3635</v>
      </c>
      <c r="C142" s="4" t="s">
        <v>192</v>
      </c>
      <c r="D142" s="559">
        <v>1611</v>
      </c>
      <c r="E142" s="559">
        <v>1537</v>
      </c>
      <c r="F142" s="559">
        <v>1485</v>
      </c>
      <c r="G142" s="30">
        <v>1465</v>
      </c>
      <c r="H142" s="30">
        <v>1525</v>
      </c>
      <c r="I142" s="30">
        <v>1453</v>
      </c>
      <c r="J142" s="30">
        <v>1403</v>
      </c>
      <c r="K142" s="30">
        <v>1330</v>
      </c>
      <c r="L142" s="30">
        <v>1319</v>
      </c>
      <c r="N142" s="556" t="s">
        <v>3539</v>
      </c>
      <c r="P142" s="4"/>
      <c r="R142" s="4"/>
    </row>
    <row r="143" spans="1:18">
      <c r="A143" s="566">
        <v>16</v>
      </c>
      <c r="B143" s="556" t="s">
        <v>3636</v>
      </c>
      <c r="C143" s="4" t="s">
        <v>193</v>
      </c>
      <c r="D143" s="559">
        <v>1924</v>
      </c>
      <c r="E143" s="559">
        <v>1875</v>
      </c>
      <c r="F143" s="559">
        <v>1843</v>
      </c>
      <c r="G143" s="31">
        <v>1778</v>
      </c>
      <c r="H143" s="31">
        <v>1876</v>
      </c>
      <c r="I143" s="31">
        <v>1843</v>
      </c>
      <c r="J143" s="31">
        <v>1831</v>
      </c>
      <c r="K143" s="31">
        <v>1837</v>
      </c>
      <c r="L143" s="31">
        <v>1854</v>
      </c>
      <c r="N143" s="556" t="s">
        <v>3539</v>
      </c>
      <c r="P143" s="4"/>
      <c r="R143" s="4"/>
    </row>
    <row r="144" spans="1:18">
      <c r="A144" s="566">
        <v>17</v>
      </c>
      <c r="B144" s="556" t="s">
        <v>3637</v>
      </c>
      <c r="C144" s="4" t="s">
        <v>194</v>
      </c>
      <c r="D144" s="559">
        <v>3351</v>
      </c>
      <c r="E144" s="559">
        <v>3310</v>
      </c>
      <c r="F144" s="559">
        <v>3212</v>
      </c>
      <c r="G144" s="31">
        <v>3241</v>
      </c>
      <c r="H144" s="31">
        <v>3255</v>
      </c>
      <c r="I144" s="31">
        <v>3323</v>
      </c>
      <c r="J144" s="31">
        <v>3370</v>
      </c>
      <c r="K144" s="31">
        <v>3539</v>
      </c>
      <c r="L144" s="31">
        <v>3536</v>
      </c>
      <c r="N144" s="556" t="s">
        <v>3539</v>
      </c>
      <c r="P144" s="4"/>
      <c r="R144" s="4"/>
    </row>
    <row r="145" spans="1:18">
      <c r="A145" s="566">
        <v>18</v>
      </c>
      <c r="B145" s="556" t="s">
        <v>3638</v>
      </c>
      <c r="C145" s="4" t="s">
        <v>195</v>
      </c>
      <c r="D145" s="559">
        <v>4926</v>
      </c>
      <c r="E145" s="559">
        <v>4817</v>
      </c>
      <c r="F145" s="559">
        <v>4728</v>
      </c>
      <c r="G145" s="31">
        <v>4715</v>
      </c>
      <c r="H145" s="31">
        <v>4567</v>
      </c>
      <c r="I145" s="31">
        <v>4532</v>
      </c>
      <c r="J145" s="31">
        <v>4618</v>
      </c>
      <c r="K145" s="31">
        <v>4996</v>
      </c>
      <c r="L145" s="31">
        <v>4977</v>
      </c>
      <c r="N145" s="556" t="s">
        <v>3539</v>
      </c>
      <c r="P145" s="4"/>
      <c r="R145" s="4"/>
    </row>
    <row r="146" spans="1:18">
      <c r="A146" s="566">
        <v>19</v>
      </c>
      <c r="B146" s="556" t="s">
        <v>3639</v>
      </c>
      <c r="C146" s="4" t="s">
        <v>196</v>
      </c>
      <c r="D146" s="559">
        <v>3654</v>
      </c>
      <c r="E146" s="559">
        <v>3652</v>
      </c>
      <c r="F146" s="559">
        <v>3673</v>
      </c>
      <c r="G146" s="31">
        <v>3817</v>
      </c>
      <c r="H146" s="31">
        <v>3906</v>
      </c>
      <c r="I146" s="31">
        <v>3861</v>
      </c>
      <c r="J146" s="31">
        <v>3806</v>
      </c>
      <c r="K146" s="31">
        <v>3960</v>
      </c>
      <c r="L146" s="31">
        <v>3944</v>
      </c>
      <c r="N146" s="556" t="s">
        <v>3539</v>
      </c>
      <c r="P146" s="4"/>
      <c r="R146" s="4"/>
    </row>
    <row r="147" spans="1:18">
      <c r="A147" s="566">
        <v>20</v>
      </c>
      <c r="B147" s="556" t="s">
        <v>5339</v>
      </c>
      <c r="C147" s="4" t="s">
        <v>14379</v>
      </c>
      <c r="D147" s="559">
        <v>3160</v>
      </c>
      <c r="E147" s="559">
        <v>3131</v>
      </c>
      <c r="F147" s="559">
        <v>3140</v>
      </c>
      <c r="G147" s="31">
        <v>3165</v>
      </c>
      <c r="H147" s="31">
        <v>3182</v>
      </c>
      <c r="I147" s="31">
        <v>3054</v>
      </c>
      <c r="J147" s="31">
        <v>2996</v>
      </c>
      <c r="K147" s="31">
        <v>3046</v>
      </c>
      <c r="L147" s="31">
        <v>3000</v>
      </c>
      <c r="N147" s="556" t="s">
        <v>3539</v>
      </c>
      <c r="P147" s="4"/>
      <c r="R147" s="4"/>
    </row>
    <row r="148" spans="1:18">
      <c r="D148" s="561"/>
      <c r="E148" s="561"/>
      <c r="F148" s="561"/>
      <c r="G148" s="561"/>
      <c r="H148" s="561"/>
      <c r="I148" s="561"/>
      <c r="J148" s="561"/>
      <c r="K148" s="561"/>
      <c r="L148" s="561"/>
    </row>
    <row r="149" spans="1:18">
      <c r="A149" s="556" t="s">
        <v>5340</v>
      </c>
      <c r="D149" s="559">
        <f t="shared" ref="D149:I149" si="139">SUM(D128:D137)+D138+D139+D140+D141+D142+D143+SUM(D144:D147)</f>
        <v>58843</v>
      </c>
      <c r="E149" s="559">
        <f t="shared" si="139"/>
        <v>57694</v>
      </c>
      <c r="F149" s="559">
        <f t="shared" si="139"/>
        <v>57137</v>
      </c>
      <c r="G149" s="559">
        <f t="shared" si="139"/>
        <v>57353</v>
      </c>
      <c r="H149" s="559">
        <f t="shared" si="139"/>
        <v>57501</v>
      </c>
      <c r="I149" s="559">
        <f t="shared" si="139"/>
        <v>56877</v>
      </c>
      <c r="J149" s="559">
        <f t="shared" ref="J149:K149" si="140">SUM(J128:J137)+J138+J139+J140+J141+J142+J143+SUM(J144:J147)</f>
        <v>56533</v>
      </c>
      <c r="K149" s="559">
        <f t="shared" si="140"/>
        <v>58312</v>
      </c>
      <c r="L149" s="559">
        <f t="shared" ref="L149" si="141">SUM(L128:L137)+L138+L139+L140+L141+L142+L143+SUM(L144:L147)</f>
        <v>58315</v>
      </c>
    </row>
    <row r="150" spans="1:18">
      <c r="A150" s="556"/>
      <c r="B150" s="556"/>
      <c r="D150" s="559"/>
      <c r="E150" s="559"/>
      <c r="F150" s="559"/>
      <c r="G150" s="559"/>
      <c r="H150" s="559"/>
      <c r="I150" s="559"/>
      <c r="J150" s="559"/>
      <c r="K150" s="559"/>
      <c r="L150" s="559"/>
    </row>
    <row r="151" spans="1:18">
      <c r="A151" s="556" t="s">
        <v>13796</v>
      </c>
      <c r="B151" s="556"/>
      <c r="D151" s="559"/>
      <c r="E151" s="559"/>
      <c r="F151" s="559"/>
      <c r="G151" s="559"/>
      <c r="H151" s="559"/>
      <c r="I151" s="559"/>
      <c r="J151" s="559"/>
      <c r="K151" s="559"/>
      <c r="L151" s="559"/>
    </row>
    <row r="152" spans="1:18">
      <c r="A152" s="556" t="s">
        <v>13797</v>
      </c>
      <c r="B152" s="556"/>
      <c r="D152" s="559"/>
      <c r="E152" s="559"/>
      <c r="F152" s="559"/>
      <c r="G152" s="559"/>
      <c r="H152" s="559"/>
      <c r="I152" s="559"/>
      <c r="J152" s="559"/>
      <c r="K152" s="559"/>
      <c r="L152" s="559"/>
    </row>
    <row r="153" spans="1:18">
      <c r="A153" s="556"/>
      <c r="B153" s="556"/>
      <c r="D153" s="567"/>
      <c r="E153" s="567"/>
      <c r="F153" s="567"/>
      <c r="G153" s="567"/>
      <c r="H153" s="567"/>
      <c r="I153" s="567"/>
      <c r="J153" s="567"/>
      <c r="K153" s="567"/>
      <c r="L153" s="567"/>
    </row>
    <row r="154" spans="1:18">
      <c r="A154" s="556"/>
      <c r="B154" s="556"/>
      <c r="D154" s="567"/>
      <c r="E154" s="567"/>
      <c r="F154" s="567"/>
      <c r="G154" s="567"/>
      <c r="H154" s="567"/>
      <c r="I154" s="567"/>
      <c r="J154" s="567"/>
      <c r="K154" s="567"/>
      <c r="L154" s="567"/>
    </row>
    <row r="155" spans="1:18">
      <c r="E155" s="42" t="s">
        <v>2303</v>
      </c>
      <c r="F155" s="42"/>
      <c r="G155" s="42"/>
      <c r="H155" s="42"/>
      <c r="I155" s="42"/>
      <c r="J155" s="42"/>
      <c r="K155" s="42"/>
      <c r="L155" s="42"/>
      <c r="M155" s="65"/>
      <c r="N155" s="66" t="s">
        <v>13319</v>
      </c>
    </row>
    <row r="156" spans="1:18">
      <c r="D156" s="55">
        <v>2010</v>
      </c>
      <c r="E156" s="55">
        <v>2011</v>
      </c>
      <c r="F156" s="55">
        <v>2012</v>
      </c>
      <c r="G156" s="55">
        <v>2013</v>
      </c>
      <c r="H156" s="55">
        <v>2014</v>
      </c>
      <c r="I156" s="55">
        <v>2015</v>
      </c>
      <c r="J156" s="55">
        <v>2016</v>
      </c>
      <c r="K156" s="55">
        <v>2017</v>
      </c>
      <c r="L156" s="55">
        <v>2018</v>
      </c>
      <c r="M156" s="65"/>
      <c r="N156" s="67" t="s">
        <v>2304</v>
      </c>
    </row>
    <row r="157" spans="1:18">
      <c r="A157" s="556" t="s">
        <v>5341</v>
      </c>
      <c r="D157" s="559">
        <f t="shared" ref="D157:I157" si="142">SUM(D158:D176)</f>
        <v>80031</v>
      </c>
      <c r="E157" s="559">
        <f t="shared" si="142"/>
        <v>80945</v>
      </c>
      <c r="F157" s="559">
        <f t="shared" si="142"/>
        <v>80718</v>
      </c>
      <c r="G157" s="559">
        <f t="shared" si="142"/>
        <v>81633</v>
      </c>
      <c r="H157" s="559">
        <f t="shared" si="142"/>
        <v>80351</v>
      </c>
      <c r="I157" s="559">
        <f t="shared" si="142"/>
        <v>77709</v>
      </c>
      <c r="J157" s="559">
        <f t="shared" ref="J157:K157" si="143">SUM(J158:J176)</f>
        <v>79028</v>
      </c>
      <c r="K157" s="559">
        <f t="shared" si="143"/>
        <v>79656</v>
      </c>
      <c r="L157" s="559">
        <f t="shared" ref="L157" si="144">SUM(L158:L176)</f>
        <v>78758</v>
      </c>
    </row>
    <row r="158" spans="1:18">
      <c r="A158" s="566">
        <v>1</v>
      </c>
      <c r="B158" s="556" t="s">
        <v>5342</v>
      </c>
      <c r="C158" s="4" t="s">
        <v>197</v>
      </c>
      <c r="D158" s="559">
        <v>4524</v>
      </c>
      <c r="E158" s="559">
        <v>4559</v>
      </c>
      <c r="F158" s="559">
        <v>4591</v>
      </c>
      <c r="G158" s="31">
        <v>4567</v>
      </c>
      <c r="H158" s="31">
        <v>4517</v>
      </c>
      <c r="I158" s="31">
        <v>4333</v>
      </c>
      <c r="J158" s="31">
        <v>4378</v>
      </c>
      <c r="K158" s="31">
        <v>4401</v>
      </c>
      <c r="L158" s="31">
        <v>4345</v>
      </c>
      <c r="N158" s="556" t="s">
        <v>3551</v>
      </c>
      <c r="P158" s="4"/>
      <c r="R158" s="4"/>
    </row>
    <row r="159" spans="1:18">
      <c r="A159" s="566">
        <v>2</v>
      </c>
      <c r="B159" s="556" t="s">
        <v>5343</v>
      </c>
      <c r="C159" s="4" t="s">
        <v>198</v>
      </c>
      <c r="D159" s="559">
        <v>3084</v>
      </c>
      <c r="E159" s="559">
        <v>3167</v>
      </c>
      <c r="F159" s="559">
        <v>3170</v>
      </c>
      <c r="G159" s="30">
        <v>3249</v>
      </c>
      <c r="H159" s="30">
        <v>3135</v>
      </c>
      <c r="I159" s="30">
        <v>2943</v>
      </c>
      <c r="J159" s="30">
        <v>2956</v>
      </c>
      <c r="K159" s="30">
        <v>3028</v>
      </c>
      <c r="L159" s="30">
        <v>3041</v>
      </c>
      <c r="N159" s="556" t="s">
        <v>3541</v>
      </c>
      <c r="P159" s="4"/>
      <c r="R159" s="4"/>
    </row>
    <row r="160" spans="1:18">
      <c r="A160" s="566">
        <v>3</v>
      </c>
      <c r="B160" s="556" t="s">
        <v>5344</v>
      </c>
      <c r="C160" s="4" t="s">
        <v>199</v>
      </c>
      <c r="D160" s="559">
        <v>4773</v>
      </c>
      <c r="E160" s="559">
        <v>4901</v>
      </c>
      <c r="F160" s="559">
        <v>4934</v>
      </c>
      <c r="G160" s="30">
        <v>4979</v>
      </c>
      <c r="H160" s="30">
        <v>4909</v>
      </c>
      <c r="I160" s="30">
        <v>4741</v>
      </c>
      <c r="J160" s="30">
        <v>4827</v>
      </c>
      <c r="K160" s="30">
        <v>4898</v>
      </c>
      <c r="L160" s="30">
        <v>4840</v>
      </c>
      <c r="N160" s="556" t="s">
        <v>3541</v>
      </c>
      <c r="P160" s="4"/>
      <c r="R160" s="4"/>
    </row>
    <row r="161" spans="1:18">
      <c r="A161" s="566">
        <v>4</v>
      </c>
      <c r="B161" s="556" t="s">
        <v>5345</v>
      </c>
      <c r="C161" s="4" t="s">
        <v>200</v>
      </c>
      <c r="D161" s="559">
        <v>4845</v>
      </c>
      <c r="E161" s="559">
        <v>4994</v>
      </c>
      <c r="F161" s="559">
        <v>4906</v>
      </c>
      <c r="G161" s="30">
        <v>4973</v>
      </c>
      <c r="H161" s="30">
        <v>4928</v>
      </c>
      <c r="I161" s="30">
        <v>4820</v>
      </c>
      <c r="J161" s="30">
        <v>4936</v>
      </c>
      <c r="K161" s="30">
        <v>5012</v>
      </c>
      <c r="L161" s="30">
        <v>4961</v>
      </c>
      <c r="N161" s="556" t="s">
        <v>3541</v>
      </c>
      <c r="P161" s="4"/>
      <c r="R161" s="4"/>
    </row>
    <row r="162" spans="1:18">
      <c r="A162" s="566">
        <v>5</v>
      </c>
      <c r="B162" s="556" t="s">
        <v>5346</v>
      </c>
      <c r="C162" s="4" t="s">
        <v>201</v>
      </c>
      <c r="D162" s="559">
        <v>4948</v>
      </c>
      <c r="E162" s="559">
        <v>4884</v>
      </c>
      <c r="F162" s="559">
        <v>4810</v>
      </c>
      <c r="G162" s="30">
        <v>4917</v>
      </c>
      <c r="H162" s="30">
        <v>4834</v>
      </c>
      <c r="I162" s="30">
        <v>4642</v>
      </c>
      <c r="J162" s="30">
        <v>4664</v>
      </c>
      <c r="K162" s="30">
        <v>4661</v>
      </c>
      <c r="L162" s="30">
        <v>4609</v>
      </c>
      <c r="N162" s="556" t="s">
        <v>3541</v>
      </c>
      <c r="P162" s="4"/>
      <c r="R162" s="4"/>
    </row>
    <row r="163" spans="1:18">
      <c r="A163" s="566">
        <v>6</v>
      </c>
      <c r="B163" s="556" t="s">
        <v>5347</v>
      </c>
      <c r="C163" s="4" t="s">
        <v>202</v>
      </c>
      <c r="D163" s="559">
        <v>5138</v>
      </c>
      <c r="E163" s="559">
        <v>5029</v>
      </c>
      <c r="F163" s="559">
        <v>5120</v>
      </c>
      <c r="G163" s="30">
        <v>5180</v>
      </c>
      <c r="H163" s="30">
        <v>5087</v>
      </c>
      <c r="I163" s="30">
        <v>4920</v>
      </c>
      <c r="J163" s="30">
        <v>5004</v>
      </c>
      <c r="K163" s="30">
        <v>5056</v>
      </c>
      <c r="L163" s="30">
        <v>4946</v>
      </c>
      <c r="N163" s="556" t="s">
        <v>3541</v>
      </c>
      <c r="P163" s="4"/>
      <c r="R163" s="4"/>
    </row>
    <row r="164" spans="1:18">
      <c r="A164" s="566">
        <v>7</v>
      </c>
      <c r="B164" s="556" t="s">
        <v>5348</v>
      </c>
      <c r="C164" s="4" t="s">
        <v>203</v>
      </c>
      <c r="D164" s="559">
        <v>5874</v>
      </c>
      <c r="E164" s="559">
        <v>6051</v>
      </c>
      <c r="F164" s="559">
        <v>5908</v>
      </c>
      <c r="G164" s="30">
        <v>5998</v>
      </c>
      <c r="H164" s="30">
        <v>5968</v>
      </c>
      <c r="I164" s="30">
        <v>5855</v>
      </c>
      <c r="J164" s="30">
        <v>5885</v>
      </c>
      <c r="K164" s="30">
        <v>5889</v>
      </c>
      <c r="L164" s="30">
        <v>5821</v>
      </c>
      <c r="N164" s="556" t="s">
        <v>3541</v>
      </c>
      <c r="P164" s="4"/>
      <c r="R164" s="4"/>
    </row>
    <row r="165" spans="1:18">
      <c r="A165" s="566">
        <v>8</v>
      </c>
      <c r="B165" s="556" t="s">
        <v>5349</v>
      </c>
      <c r="C165" s="4" t="s">
        <v>204</v>
      </c>
      <c r="D165" s="559">
        <v>3235</v>
      </c>
      <c r="E165" s="559">
        <v>3270</v>
      </c>
      <c r="F165" s="559">
        <v>3306</v>
      </c>
      <c r="G165" s="30">
        <v>3374</v>
      </c>
      <c r="H165" s="30">
        <v>3245</v>
      </c>
      <c r="I165" s="30">
        <v>3068</v>
      </c>
      <c r="J165" s="30">
        <v>3142</v>
      </c>
      <c r="K165" s="30">
        <v>3158</v>
      </c>
      <c r="L165" s="30">
        <v>3107</v>
      </c>
      <c r="N165" s="556" t="s">
        <v>3541</v>
      </c>
      <c r="P165" s="4"/>
      <c r="R165" s="4"/>
    </row>
    <row r="166" spans="1:18">
      <c r="A166" s="566">
        <v>9</v>
      </c>
      <c r="B166" s="556" t="s">
        <v>5350</v>
      </c>
      <c r="C166" s="4" t="s">
        <v>205</v>
      </c>
      <c r="D166" s="559">
        <v>3301</v>
      </c>
      <c r="E166" s="559">
        <v>3322</v>
      </c>
      <c r="F166" s="559">
        <v>3327</v>
      </c>
      <c r="G166" s="30">
        <v>3330</v>
      </c>
      <c r="H166" s="30">
        <v>3278</v>
      </c>
      <c r="I166" s="30">
        <v>3184</v>
      </c>
      <c r="J166" s="30">
        <v>3255</v>
      </c>
      <c r="K166" s="30">
        <v>3200</v>
      </c>
      <c r="L166" s="30">
        <v>3205</v>
      </c>
      <c r="N166" s="556" t="s">
        <v>3541</v>
      </c>
      <c r="P166" s="4"/>
      <c r="R166" s="4"/>
    </row>
    <row r="167" spans="1:18">
      <c r="A167" s="566">
        <v>10</v>
      </c>
      <c r="B167" s="556" t="s">
        <v>5351</v>
      </c>
      <c r="C167" s="4" t="s">
        <v>206</v>
      </c>
      <c r="D167" s="559">
        <v>3132</v>
      </c>
      <c r="E167" s="559">
        <v>3127</v>
      </c>
      <c r="F167" s="559">
        <v>3162</v>
      </c>
      <c r="G167" s="30">
        <v>3185</v>
      </c>
      <c r="H167" s="30">
        <v>3028</v>
      </c>
      <c r="I167" s="30">
        <v>2925</v>
      </c>
      <c r="J167" s="30">
        <v>2963</v>
      </c>
      <c r="K167" s="30">
        <v>2957</v>
      </c>
      <c r="L167" s="30">
        <v>2925</v>
      </c>
      <c r="N167" s="556" t="s">
        <v>3541</v>
      </c>
      <c r="P167" s="4"/>
      <c r="R167" s="4"/>
    </row>
    <row r="168" spans="1:18">
      <c r="A168" s="566">
        <v>11</v>
      </c>
      <c r="B168" s="556" t="s">
        <v>5352</v>
      </c>
      <c r="C168" s="4" t="s">
        <v>207</v>
      </c>
      <c r="D168" s="559">
        <v>3430</v>
      </c>
      <c r="E168" s="559">
        <v>3520</v>
      </c>
      <c r="F168" s="559">
        <v>3516</v>
      </c>
      <c r="G168" s="31">
        <v>3524</v>
      </c>
      <c r="H168" s="31">
        <v>3466</v>
      </c>
      <c r="I168" s="31">
        <v>3330</v>
      </c>
      <c r="J168" s="31">
        <v>3353</v>
      </c>
      <c r="K168" s="31">
        <v>3437</v>
      </c>
      <c r="L168" s="31">
        <v>3471</v>
      </c>
      <c r="N168" s="556" t="s">
        <v>3551</v>
      </c>
      <c r="P168" s="4"/>
      <c r="R168" s="4"/>
    </row>
    <row r="169" spans="1:18">
      <c r="A169" s="566">
        <v>12</v>
      </c>
      <c r="B169" s="556" t="s">
        <v>5353</v>
      </c>
      <c r="C169" s="4" t="s">
        <v>208</v>
      </c>
      <c r="D169" s="559">
        <v>3457</v>
      </c>
      <c r="E169" s="559">
        <v>3566</v>
      </c>
      <c r="F169" s="559">
        <v>3539</v>
      </c>
      <c r="G169" s="30">
        <v>3570</v>
      </c>
      <c r="H169" s="30">
        <v>3531</v>
      </c>
      <c r="I169" s="30">
        <v>3401</v>
      </c>
      <c r="J169" s="30">
        <v>3433</v>
      </c>
      <c r="K169" s="30">
        <v>3452</v>
      </c>
      <c r="L169" s="30">
        <v>3443</v>
      </c>
      <c r="N169" s="556" t="s">
        <v>3541</v>
      </c>
      <c r="P169" s="4"/>
      <c r="R169" s="4"/>
    </row>
    <row r="170" spans="1:18">
      <c r="A170" s="566">
        <v>13</v>
      </c>
      <c r="B170" s="556" t="s">
        <v>5354</v>
      </c>
      <c r="C170" s="4" t="s">
        <v>209</v>
      </c>
      <c r="D170" s="559">
        <v>3355</v>
      </c>
      <c r="E170" s="559">
        <v>3385</v>
      </c>
      <c r="F170" s="559">
        <v>3375</v>
      </c>
      <c r="G170" s="30">
        <v>3372</v>
      </c>
      <c r="H170" s="30">
        <v>3346</v>
      </c>
      <c r="I170" s="30">
        <v>3224</v>
      </c>
      <c r="J170" s="30">
        <v>3234</v>
      </c>
      <c r="K170" s="30">
        <v>3306</v>
      </c>
      <c r="L170" s="30">
        <v>3268</v>
      </c>
      <c r="N170" s="556" t="s">
        <v>3541</v>
      </c>
      <c r="P170" s="4"/>
      <c r="R170" s="4"/>
    </row>
    <row r="171" spans="1:18">
      <c r="A171" s="566">
        <v>14</v>
      </c>
      <c r="B171" s="556" t="s">
        <v>5355</v>
      </c>
      <c r="C171" s="4" t="s">
        <v>210</v>
      </c>
      <c r="D171" s="559">
        <v>3317</v>
      </c>
      <c r="E171" s="559">
        <v>3295</v>
      </c>
      <c r="F171" s="559">
        <v>3243</v>
      </c>
      <c r="G171" s="30">
        <v>3281</v>
      </c>
      <c r="H171" s="30">
        <v>3200</v>
      </c>
      <c r="I171" s="30">
        <v>3076</v>
      </c>
      <c r="J171" s="30">
        <v>3133</v>
      </c>
      <c r="K171" s="30">
        <v>3136</v>
      </c>
      <c r="L171" s="30">
        <v>3102</v>
      </c>
      <c r="N171" s="556" t="s">
        <v>3541</v>
      </c>
      <c r="P171" s="4"/>
      <c r="R171" s="4"/>
    </row>
    <row r="172" spans="1:18">
      <c r="A172" s="566">
        <v>15</v>
      </c>
      <c r="B172" s="556" t="s">
        <v>5008</v>
      </c>
      <c r="C172" s="4" t="s">
        <v>211</v>
      </c>
      <c r="D172" s="559">
        <v>4804</v>
      </c>
      <c r="E172" s="559">
        <v>4829</v>
      </c>
      <c r="F172" s="559">
        <v>4770</v>
      </c>
      <c r="G172" s="30">
        <v>4851</v>
      </c>
      <c r="H172" s="30">
        <v>4782</v>
      </c>
      <c r="I172" s="30">
        <v>4630</v>
      </c>
      <c r="J172" s="30">
        <v>4656</v>
      </c>
      <c r="K172" s="30">
        <v>4672</v>
      </c>
      <c r="L172" s="30">
        <v>4597</v>
      </c>
      <c r="N172" s="556" t="s">
        <v>3541</v>
      </c>
      <c r="P172" s="4"/>
      <c r="R172" s="4"/>
    </row>
    <row r="173" spans="1:18">
      <c r="A173" s="566">
        <v>16</v>
      </c>
      <c r="B173" s="556" t="s">
        <v>5356</v>
      </c>
      <c r="C173" s="4" t="s">
        <v>212</v>
      </c>
      <c r="D173" s="559">
        <v>3343</v>
      </c>
      <c r="E173" s="559">
        <v>3336</v>
      </c>
      <c r="F173" s="559">
        <v>3367</v>
      </c>
      <c r="G173" s="30">
        <v>3421</v>
      </c>
      <c r="H173" s="30">
        <v>3353</v>
      </c>
      <c r="I173" s="30">
        <v>3248</v>
      </c>
      <c r="J173" s="30">
        <v>3440</v>
      </c>
      <c r="K173" s="30">
        <v>3575</v>
      </c>
      <c r="L173" s="30">
        <v>3458</v>
      </c>
      <c r="N173" s="556" t="s">
        <v>3541</v>
      </c>
      <c r="P173" s="4"/>
      <c r="R173" s="4"/>
    </row>
    <row r="174" spans="1:18">
      <c r="A174" s="566">
        <v>17</v>
      </c>
      <c r="B174" s="556" t="s">
        <v>5357</v>
      </c>
      <c r="C174" s="4" t="s">
        <v>213</v>
      </c>
      <c r="D174" s="561">
        <v>5698</v>
      </c>
      <c r="E174" s="561">
        <v>5893</v>
      </c>
      <c r="F174" s="561">
        <v>5885</v>
      </c>
      <c r="G174" s="30">
        <v>6022</v>
      </c>
      <c r="H174" s="30">
        <v>5956</v>
      </c>
      <c r="I174" s="30">
        <v>5733</v>
      </c>
      <c r="J174" s="30">
        <v>6011</v>
      </c>
      <c r="K174" s="30">
        <v>6057</v>
      </c>
      <c r="L174" s="30">
        <v>5968</v>
      </c>
      <c r="N174" s="556" t="s">
        <v>3541</v>
      </c>
      <c r="P174" s="4"/>
      <c r="R174" s="4"/>
    </row>
    <row r="175" spans="1:18">
      <c r="A175" s="566">
        <v>18</v>
      </c>
      <c r="B175" s="556" t="s">
        <v>7876</v>
      </c>
      <c r="C175" s="4" t="s">
        <v>214</v>
      </c>
      <c r="D175" s="561">
        <v>4731</v>
      </c>
      <c r="E175" s="561">
        <v>4741</v>
      </c>
      <c r="F175" s="561">
        <v>4720</v>
      </c>
      <c r="G175" s="31">
        <v>4773</v>
      </c>
      <c r="H175" s="31">
        <v>4715</v>
      </c>
      <c r="I175" s="31">
        <v>4702</v>
      </c>
      <c r="J175" s="31">
        <v>4720</v>
      </c>
      <c r="K175" s="31">
        <v>4679</v>
      </c>
      <c r="L175" s="31">
        <v>4606</v>
      </c>
      <c r="N175" s="556" t="s">
        <v>3541</v>
      </c>
      <c r="P175" s="4"/>
      <c r="R175" s="4"/>
    </row>
    <row r="176" spans="1:18">
      <c r="A176" s="566">
        <v>19</v>
      </c>
      <c r="B176" s="556" t="s">
        <v>7817</v>
      </c>
      <c r="C176" s="4" t="s">
        <v>215</v>
      </c>
      <c r="D176" s="561">
        <v>5042</v>
      </c>
      <c r="E176" s="561">
        <v>5076</v>
      </c>
      <c r="F176" s="561">
        <v>5069</v>
      </c>
      <c r="G176" s="31">
        <v>5067</v>
      </c>
      <c r="H176" s="31">
        <v>5073</v>
      </c>
      <c r="I176" s="31">
        <v>4934</v>
      </c>
      <c r="J176" s="31">
        <v>5038</v>
      </c>
      <c r="K176" s="31">
        <v>5082</v>
      </c>
      <c r="L176" s="31">
        <v>5045</v>
      </c>
      <c r="N176" s="556" t="s">
        <v>3541</v>
      </c>
      <c r="P176" s="4"/>
      <c r="R176" s="4"/>
    </row>
    <row r="177" spans="1:18">
      <c r="D177" s="561"/>
      <c r="E177" s="561"/>
      <c r="F177" s="561"/>
      <c r="G177" s="561"/>
      <c r="H177" s="561"/>
      <c r="I177" s="561"/>
      <c r="J177" s="561"/>
      <c r="K177" s="561"/>
      <c r="L177" s="561"/>
    </row>
    <row r="178" spans="1:18">
      <c r="A178" s="556" t="s">
        <v>3541</v>
      </c>
      <c r="D178" s="559">
        <f t="shared" ref="D178:I178" si="145">SUM(D159:D164)+SUM(D165:D167)+SUM(D169:D176)</f>
        <v>72077</v>
      </c>
      <c r="E178" s="559">
        <f t="shared" si="145"/>
        <v>72866</v>
      </c>
      <c r="F178" s="559">
        <f t="shared" si="145"/>
        <v>72611</v>
      </c>
      <c r="G178" s="559">
        <f t="shared" si="145"/>
        <v>73542</v>
      </c>
      <c r="H178" s="559">
        <f t="shared" si="145"/>
        <v>72368</v>
      </c>
      <c r="I178" s="559">
        <f t="shared" si="145"/>
        <v>70046</v>
      </c>
      <c r="J178" s="559">
        <f t="shared" ref="J178:K178" si="146">SUM(J159:J164)+SUM(J165:J167)+SUM(J169:J176)</f>
        <v>71297</v>
      </c>
      <c r="K178" s="559">
        <f t="shared" si="146"/>
        <v>71818</v>
      </c>
      <c r="L178" s="559">
        <f t="shared" ref="L178" si="147">SUM(L159:L164)+SUM(L165:L167)+SUM(L169:L176)</f>
        <v>70942</v>
      </c>
    </row>
    <row r="179" spans="1:18">
      <c r="A179" s="556" t="s">
        <v>5358</v>
      </c>
      <c r="D179" s="559">
        <f t="shared" ref="D179:I179" si="148">D158+D168</f>
        <v>7954</v>
      </c>
      <c r="E179" s="559">
        <f t="shared" si="148"/>
        <v>8079</v>
      </c>
      <c r="F179" s="559">
        <f t="shared" si="148"/>
        <v>8107</v>
      </c>
      <c r="G179" s="559">
        <f t="shared" si="148"/>
        <v>8091</v>
      </c>
      <c r="H179" s="559">
        <f t="shared" si="148"/>
        <v>7983</v>
      </c>
      <c r="I179" s="559">
        <f t="shared" si="148"/>
        <v>7663</v>
      </c>
      <c r="J179" s="559">
        <f t="shared" ref="J179:K179" si="149">J158+J168</f>
        <v>7731</v>
      </c>
      <c r="K179" s="559">
        <f t="shared" si="149"/>
        <v>7838</v>
      </c>
      <c r="L179" s="559">
        <f t="shared" ref="L179" si="150">L158+L168</f>
        <v>7816</v>
      </c>
    </row>
    <row r="180" spans="1:18">
      <c r="A180" s="556"/>
      <c r="B180" s="556"/>
      <c r="D180" s="559"/>
      <c r="E180" s="559"/>
      <c r="F180" s="559"/>
      <c r="G180" s="559"/>
      <c r="H180" s="559"/>
      <c r="I180" s="559"/>
      <c r="J180" s="559"/>
      <c r="K180" s="559"/>
      <c r="L180" s="559"/>
    </row>
    <row r="181" spans="1:18">
      <c r="A181" s="556" t="s">
        <v>5359</v>
      </c>
      <c r="B181" s="556"/>
      <c r="D181" s="559"/>
      <c r="E181" s="559"/>
      <c r="F181" s="559"/>
      <c r="G181" s="559"/>
      <c r="H181" s="559"/>
      <c r="I181" s="559"/>
      <c r="J181" s="559"/>
      <c r="K181" s="559"/>
      <c r="L181" s="559"/>
    </row>
    <row r="182" spans="1:18">
      <c r="A182" s="556"/>
      <c r="B182" s="556"/>
      <c r="D182" s="567"/>
      <c r="E182" s="567"/>
      <c r="F182" s="567"/>
      <c r="G182" s="567"/>
      <c r="H182" s="567"/>
      <c r="I182" s="567"/>
      <c r="J182" s="567"/>
      <c r="K182" s="567"/>
      <c r="L182" s="567"/>
    </row>
    <row r="183" spans="1:18">
      <c r="A183" s="556"/>
      <c r="B183" s="556"/>
      <c r="D183" s="567"/>
      <c r="E183" s="567"/>
      <c r="F183" s="567"/>
      <c r="G183" s="567"/>
      <c r="H183" s="567"/>
      <c r="I183" s="567"/>
      <c r="J183" s="567"/>
      <c r="K183" s="567"/>
      <c r="L183" s="567"/>
    </row>
    <row r="184" spans="1:18">
      <c r="E184" s="42" t="s">
        <v>2303</v>
      </c>
      <c r="F184" s="42"/>
      <c r="G184" s="42"/>
      <c r="H184" s="42"/>
      <c r="I184" s="42"/>
      <c r="J184" s="42"/>
      <c r="K184" s="42"/>
      <c r="L184" s="42"/>
      <c r="M184" s="65"/>
      <c r="N184" s="66" t="s">
        <v>13319</v>
      </c>
    </row>
    <row r="185" spans="1:18">
      <c r="D185" s="55">
        <v>2010</v>
      </c>
      <c r="E185" s="55">
        <v>2011</v>
      </c>
      <c r="F185" s="55">
        <v>2012</v>
      </c>
      <c r="G185" s="55">
        <v>2013</v>
      </c>
      <c r="H185" s="55">
        <v>2014</v>
      </c>
      <c r="I185" s="55">
        <v>2015</v>
      </c>
      <c r="J185" s="55">
        <v>2016</v>
      </c>
      <c r="K185" s="55">
        <v>2017</v>
      </c>
      <c r="L185" s="55">
        <v>2018</v>
      </c>
      <c r="M185" s="65"/>
      <c r="N185" s="67" t="s">
        <v>2304</v>
      </c>
    </row>
    <row r="186" spans="1:18">
      <c r="A186" s="556" t="s">
        <v>5360</v>
      </c>
      <c r="D186" s="559">
        <f t="shared" ref="D186:I186" si="151">SUM(D187:D190)+SUM(D191:D200)+SUM(D201:D203)+SUM(D204:D211)</f>
        <v>57679</v>
      </c>
      <c r="E186" s="559">
        <f t="shared" si="151"/>
        <v>57433</v>
      </c>
      <c r="F186" s="559">
        <f t="shared" si="151"/>
        <v>57557</v>
      </c>
      <c r="G186" s="559">
        <f t="shared" si="151"/>
        <v>57719</v>
      </c>
      <c r="H186" s="559">
        <f t="shared" si="151"/>
        <v>57220</v>
      </c>
      <c r="I186" s="559">
        <f t="shared" si="151"/>
        <v>56360</v>
      </c>
      <c r="J186" s="559">
        <f t="shared" ref="J186:K186" si="152">SUM(J187:J190)+SUM(J191:J200)+SUM(J201:J203)+SUM(J204:J211)</f>
        <v>54902</v>
      </c>
      <c r="K186" s="559">
        <f t="shared" si="152"/>
        <v>56655</v>
      </c>
      <c r="L186" s="559">
        <f t="shared" ref="L186" si="153">SUM(L187:L190)+SUM(L191:L200)+SUM(L201:L203)+SUM(L204:L211)</f>
        <v>57137</v>
      </c>
    </row>
    <row r="187" spans="1:18">
      <c r="A187" s="566">
        <v>1</v>
      </c>
      <c r="B187" s="556" t="s">
        <v>5361</v>
      </c>
      <c r="C187" s="4" t="s">
        <v>216</v>
      </c>
      <c r="D187" s="559">
        <v>2974</v>
      </c>
      <c r="E187" s="559">
        <v>2988</v>
      </c>
      <c r="F187" s="559">
        <v>3001</v>
      </c>
      <c r="G187" s="559">
        <v>3061</v>
      </c>
      <c r="H187" s="48">
        <v>3008</v>
      </c>
      <c r="I187" s="48">
        <v>2959</v>
      </c>
      <c r="J187" s="48">
        <v>2880</v>
      </c>
      <c r="K187" s="30">
        <v>2955</v>
      </c>
      <c r="L187" s="30">
        <v>2983</v>
      </c>
      <c r="N187" s="556" t="s">
        <v>3543</v>
      </c>
      <c r="P187" s="4"/>
      <c r="R187" s="4"/>
    </row>
    <row r="188" spans="1:18">
      <c r="A188" s="566">
        <v>2</v>
      </c>
      <c r="B188" s="556" t="s">
        <v>5362</v>
      </c>
      <c r="C188" s="4" t="s">
        <v>217</v>
      </c>
      <c r="D188" s="559">
        <v>3676</v>
      </c>
      <c r="E188" s="559">
        <v>3612</v>
      </c>
      <c r="F188" s="559">
        <v>3601</v>
      </c>
      <c r="G188" s="559">
        <v>3633</v>
      </c>
      <c r="H188" s="48">
        <v>3623</v>
      </c>
      <c r="I188" s="48">
        <v>3596</v>
      </c>
      <c r="J188" s="48">
        <v>3486</v>
      </c>
      <c r="K188" s="30">
        <v>3723</v>
      </c>
      <c r="L188" s="30">
        <v>3925</v>
      </c>
      <c r="N188" s="556" t="s">
        <v>3543</v>
      </c>
      <c r="P188" s="4"/>
      <c r="R188" s="4"/>
    </row>
    <row r="189" spans="1:18">
      <c r="A189" s="566">
        <v>3</v>
      </c>
      <c r="B189" s="556" t="s">
        <v>5363</v>
      </c>
      <c r="C189" s="4" t="s">
        <v>218</v>
      </c>
      <c r="D189" s="559">
        <v>3998</v>
      </c>
      <c r="E189" s="559">
        <v>4003</v>
      </c>
      <c r="F189" s="559">
        <v>3992</v>
      </c>
      <c r="G189" s="48">
        <v>3935</v>
      </c>
      <c r="H189" s="48">
        <v>3824</v>
      </c>
      <c r="I189" s="48">
        <v>3790</v>
      </c>
      <c r="J189" s="48">
        <v>3650</v>
      </c>
      <c r="K189" s="30">
        <v>3776</v>
      </c>
      <c r="L189" s="30">
        <v>3761</v>
      </c>
      <c r="N189" s="556" t="s">
        <v>3543</v>
      </c>
      <c r="P189" s="4"/>
      <c r="R189" s="4"/>
    </row>
    <row r="190" spans="1:18">
      <c r="A190" s="566">
        <v>4</v>
      </c>
      <c r="B190" s="556" t="s">
        <v>5364</v>
      </c>
      <c r="C190" s="4" t="s">
        <v>219</v>
      </c>
      <c r="D190" s="559">
        <v>1602</v>
      </c>
      <c r="E190" s="559">
        <v>1568</v>
      </c>
      <c r="F190" s="559">
        <v>1570</v>
      </c>
      <c r="G190" s="48">
        <v>1581</v>
      </c>
      <c r="H190" s="48">
        <v>1548</v>
      </c>
      <c r="I190" s="48">
        <v>1546</v>
      </c>
      <c r="J190" s="48">
        <v>1467</v>
      </c>
      <c r="K190" s="30">
        <v>1504</v>
      </c>
      <c r="L190" s="30">
        <v>1511</v>
      </c>
      <c r="N190" s="556" t="s">
        <v>3543</v>
      </c>
      <c r="P190" s="4"/>
      <c r="R190" s="4"/>
    </row>
    <row r="191" spans="1:18">
      <c r="A191" s="566">
        <v>5</v>
      </c>
      <c r="B191" s="556" t="s">
        <v>1956</v>
      </c>
      <c r="C191" s="4" t="s">
        <v>220</v>
      </c>
      <c r="D191" s="559">
        <v>1362</v>
      </c>
      <c r="E191" s="559">
        <v>1336</v>
      </c>
      <c r="F191" s="559">
        <v>1321</v>
      </c>
      <c r="G191" s="48">
        <v>1357</v>
      </c>
      <c r="H191" s="48">
        <v>1348</v>
      </c>
      <c r="I191" s="48">
        <v>1307</v>
      </c>
      <c r="J191" s="48">
        <v>1328</v>
      </c>
      <c r="K191" s="30">
        <v>1388</v>
      </c>
      <c r="L191" s="30">
        <v>1445</v>
      </c>
      <c r="N191" s="556" t="s">
        <v>3543</v>
      </c>
      <c r="P191" s="4"/>
      <c r="R191" s="4"/>
    </row>
    <row r="192" spans="1:18">
      <c r="A192" s="566">
        <v>6</v>
      </c>
      <c r="B192" s="556" t="s">
        <v>1957</v>
      </c>
      <c r="C192" s="4" t="s">
        <v>221</v>
      </c>
      <c r="D192" s="559">
        <v>1577</v>
      </c>
      <c r="E192" s="559">
        <v>1576</v>
      </c>
      <c r="F192" s="559">
        <v>1568</v>
      </c>
      <c r="G192" s="48">
        <v>1549</v>
      </c>
      <c r="H192" s="48">
        <v>1560</v>
      </c>
      <c r="I192" s="48">
        <v>1493</v>
      </c>
      <c r="J192" s="48">
        <v>1488</v>
      </c>
      <c r="K192" s="30">
        <v>1506</v>
      </c>
      <c r="L192" s="30">
        <v>1487</v>
      </c>
      <c r="N192" s="556" t="s">
        <v>3543</v>
      </c>
      <c r="P192" s="4"/>
      <c r="R192" s="4"/>
    </row>
    <row r="193" spans="1:18">
      <c r="A193" s="566">
        <v>7</v>
      </c>
      <c r="B193" s="556" t="s">
        <v>1958</v>
      </c>
      <c r="C193" s="4" t="s">
        <v>222</v>
      </c>
      <c r="D193" s="559">
        <v>1528</v>
      </c>
      <c r="E193" s="559">
        <v>1537</v>
      </c>
      <c r="F193" s="559">
        <v>1545</v>
      </c>
      <c r="G193" s="48">
        <v>1519</v>
      </c>
      <c r="H193" s="48">
        <v>1537</v>
      </c>
      <c r="I193" s="48">
        <v>1496</v>
      </c>
      <c r="J193" s="48">
        <v>1491</v>
      </c>
      <c r="K193" s="30">
        <v>1548</v>
      </c>
      <c r="L193" s="30">
        <v>1572</v>
      </c>
      <c r="N193" s="556" t="s">
        <v>3543</v>
      </c>
      <c r="P193" s="4"/>
      <c r="R193" s="4"/>
    </row>
    <row r="194" spans="1:18">
      <c r="A194" s="566">
        <v>8</v>
      </c>
      <c r="B194" s="556" t="s">
        <v>1959</v>
      </c>
      <c r="C194" s="4" t="s">
        <v>223</v>
      </c>
      <c r="D194" s="559">
        <v>1410</v>
      </c>
      <c r="E194" s="559">
        <v>1448</v>
      </c>
      <c r="F194" s="559">
        <v>1396</v>
      </c>
      <c r="G194" s="48">
        <v>1387</v>
      </c>
      <c r="H194" s="48">
        <v>1383</v>
      </c>
      <c r="I194" s="48">
        <v>1360</v>
      </c>
      <c r="J194" s="48">
        <v>1324</v>
      </c>
      <c r="K194" s="30">
        <v>1363</v>
      </c>
      <c r="L194" s="30">
        <v>1346</v>
      </c>
      <c r="N194" s="556" t="s">
        <v>3543</v>
      </c>
      <c r="P194" s="4"/>
      <c r="R194" s="4"/>
    </row>
    <row r="195" spans="1:18">
      <c r="A195" s="566">
        <v>9</v>
      </c>
      <c r="B195" s="556" t="s">
        <v>1960</v>
      </c>
      <c r="C195" s="4" t="s">
        <v>224</v>
      </c>
      <c r="D195" s="559">
        <v>1488</v>
      </c>
      <c r="E195" s="559">
        <v>1517</v>
      </c>
      <c r="F195" s="559">
        <v>1520</v>
      </c>
      <c r="G195" s="48">
        <v>1515</v>
      </c>
      <c r="H195" s="48">
        <v>1496</v>
      </c>
      <c r="I195" s="48">
        <v>1460</v>
      </c>
      <c r="J195" s="48">
        <v>1441</v>
      </c>
      <c r="K195" s="30">
        <v>1468</v>
      </c>
      <c r="L195" s="30">
        <v>1451</v>
      </c>
      <c r="N195" s="556" t="s">
        <v>3543</v>
      </c>
      <c r="P195" s="4"/>
      <c r="R195" s="4"/>
    </row>
    <row r="196" spans="1:18">
      <c r="A196" s="566">
        <v>10</v>
      </c>
      <c r="B196" s="556" t="s">
        <v>1961</v>
      </c>
      <c r="C196" s="4" t="s">
        <v>225</v>
      </c>
      <c r="D196" s="559">
        <v>4384</v>
      </c>
      <c r="E196" s="559">
        <v>4413</v>
      </c>
      <c r="F196" s="559">
        <v>4450</v>
      </c>
      <c r="G196" s="48">
        <v>4495</v>
      </c>
      <c r="H196" s="48">
        <v>4520</v>
      </c>
      <c r="I196" s="48">
        <v>4467</v>
      </c>
      <c r="J196" s="48">
        <v>4448</v>
      </c>
      <c r="K196" s="30">
        <v>4635</v>
      </c>
      <c r="L196" s="30">
        <v>4742</v>
      </c>
      <c r="N196" s="556" t="s">
        <v>3543</v>
      </c>
      <c r="P196" s="4"/>
      <c r="R196" s="4"/>
    </row>
    <row r="197" spans="1:18">
      <c r="A197" s="566">
        <v>11</v>
      </c>
      <c r="B197" s="556" t="s">
        <v>1962</v>
      </c>
      <c r="C197" s="4" t="s">
        <v>226</v>
      </c>
      <c r="D197" s="559">
        <v>1395</v>
      </c>
      <c r="E197" s="559">
        <v>1416</v>
      </c>
      <c r="F197" s="559">
        <v>1406</v>
      </c>
      <c r="G197" s="48">
        <v>1399</v>
      </c>
      <c r="H197" s="48">
        <v>1376</v>
      </c>
      <c r="I197" s="48">
        <v>1346</v>
      </c>
      <c r="J197" s="48">
        <v>1321</v>
      </c>
      <c r="K197" s="30">
        <v>1358</v>
      </c>
      <c r="L197" s="30">
        <v>1350</v>
      </c>
      <c r="N197" s="556" t="s">
        <v>3543</v>
      </c>
      <c r="P197" s="4"/>
      <c r="R197" s="4"/>
    </row>
    <row r="198" spans="1:18">
      <c r="A198" s="566">
        <v>12</v>
      </c>
      <c r="B198" s="556" t="s">
        <v>1963</v>
      </c>
      <c r="C198" s="4" t="s">
        <v>227</v>
      </c>
      <c r="D198" s="559">
        <v>1564</v>
      </c>
      <c r="E198" s="559">
        <v>1538</v>
      </c>
      <c r="F198" s="559">
        <v>1531</v>
      </c>
      <c r="G198" s="48">
        <v>1531</v>
      </c>
      <c r="H198" s="48">
        <v>1555</v>
      </c>
      <c r="I198" s="48">
        <v>1542</v>
      </c>
      <c r="J198" s="48">
        <v>1528</v>
      </c>
      <c r="K198" s="30">
        <v>1543</v>
      </c>
      <c r="L198" s="30">
        <v>1540</v>
      </c>
      <c r="N198" s="556" t="s">
        <v>3543</v>
      </c>
      <c r="P198" s="4"/>
      <c r="R198" s="4"/>
    </row>
    <row r="199" spans="1:18">
      <c r="A199" s="566">
        <v>13</v>
      </c>
      <c r="B199" s="556" t="s">
        <v>1964</v>
      </c>
      <c r="C199" s="4" t="s">
        <v>228</v>
      </c>
      <c r="D199" s="559">
        <v>1355</v>
      </c>
      <c r="E199" s="559">
        <v>1361</v>
      </c>
      <c r="F199" s="559">
        <v>1392</v>
      </c>
      <c r="G199" s="48">
        <v>1386</v>
      </c>
      <c r="H199" s="48">
        <v>1371</v>
      </c>
      <c r="I199" s="48">
        <v>1383</v>
      </c>
      <c r="J199" s="48">
        <v>1357</v>
      </c>
      <c r="K199" s="30">
        <v>1395</v>
      </c>
      <c r="L199" s="30">
        <v>1388</v>
      </c>
      <c r="N199" s="556" t="s">
        <v>3543</v>
      </c>
      <c r="P199" s="4"/>
      <c r="R199" s="4"/>
    </row>
    <row r="200" spans="1:18">
      <c r="A200" s="566">
        <v>14</v>
      </c>
      <c r="B200" s="556" t="s">
        <v>1965</v>
      </c>
      <c r="C200" s="4" t="s">
        <v>229</v>
      </c>
      <c r="D200" s="559">
        <v>3212</v>
      </c>
      <c r="E200" s="559">
        <v>3185</v>
      </c>
      <c r="F200" s="559">
        <v>3174</v>
      </c>
      <c r="G200" s="48">
        <v>3177</v>
      </c>
      <c r="H200" s="48">
        <v>3140</v>
      </c>
      <c r="I200" s="48">
        <v>3086</v>
      </c>
      <c r="J200" s="48">
        <v>2994</v>
      </c>
      <c r="K200" s="30">
        <v>3106</v>
      </c>
      <c r="L200" s="30">
        <v>3164</v>
      </c>
      <c r="N200" s="556" t="s">
        <v>3543</v>
      </c>
      <c r="P200" s="4"/>
      <c r="R200" s="4"/>
    </row>
    <row r="201" spans="1:18">
      <c r="A201" s="566">
        <v>15</v>
      </c>
      <c r="B201" s="556" t="s">
        <v>1939</v>
      </c>
      <c r="C201" s="4" t="s">
        <v>230</v>
      </c>
      <c r="D201" s="559">
        <v>1506</v>
      </c>
      <c r="E201" s="559">
        <v>1499</v>
      </c>
      <c r="F201" s="559">
        <v>1494</v>
      </c>
      <c r="G201" s="48">
        <v>1494</v>
      </c>
      <c r="H201" s="48">
        <v>1524</v>
      </c>
      <c r="I201" s="48">
        <v>1518</v>
      </c>
      <c r="J201" s="48">
        <v>1483</v>
      </c>
      <c r="K201" s="30">
        <v>1511</v>
      </c>
      <c r="L201" s="30">
        <v>1537</v>
      </c>
      <c r="N201" s="556" t="s">
        <v>3543</v>
      </c>
      <c r="P201" s="4"/>
      <c r="R201" s="4"/>
    </row>
    <row r="202" spans="1:18">
      <c r="A202" s="566">
        <v>16</v>
      </c>
      <c r="B202" s="556" t="s">
        <v>1940</v>
      </c>
      <c r="C202" s="4" t="s">
        <v>231</v>
      </c>
      <c r="D202" s="559">
        <v>1336</v>
      </c>
      <c r="E202" s="559">
        <v>1333</v>
      </c>
      <c r="F202" s="559">
        <v>1339</v>
      </c>
      <c r="G202" s="48">
        <v>1334</v>
      </c>
      <c r="H202" s="48">
        <v>1304</v>
      </c>
      <c r="I202" s="48">
        <v>1302</v>
      </c>
      <c r="J202" s="48">
        <v>1246</v>
      </c>
      <c r="K202" s="31">
        <v>1261</v>
      </c>
      <c r="L202" s="31">
        <v>1287</v>
      </c>
      <c r="N202" s="556" t="s">
        <v>3543</v>
      </c>
      <c r="P202" s="4"/>
      <c r="R202" s="4"/>
    </row>
    <row r="203" spans="1:18">
      <c r="A203" s="566">
        <v>17</v>
      </c>
      <c r="B203" s="556" t="s">
        <v>1941</v>
      </c>
      <c r="C203" s="4" t="s">
        <v>232</v>
      </c>
      <c r="D203" s="559">
        <v>1424</v>
      </c>
      <c r="E203" s="559">
        <v>1413</v>
      </c>
      <c r="F203" s="559">
        <v>1419</v>
      </c>
      <c r="G203" s="48">
        <v>1405</v>
      </c>
      <c r="H203" s="48">
        <v>1418</v>
      </c>
      <c r="I203" s="48">
        <v>1392</v>
      </c>
      <c r="J203" s="48">
        <v>1325</v>
      </c>
      <c r="K203" s="31">
        <v>1371</v>
      </c>
      <c r="L203" s="31">
        <v>1341</v>
      </c>
      <c r="N203" s="556" t="s">
        <v>3543</v>
      </c>
      <c r="P203" s="4"/>
      <c r="R203" s="4"/>
    </row>
    <row r="204" spans="1:18">
      <c r="A204" s="566">
        <v>18</v>
      </c>
      <c r="B204" s="556" t="s">
        <v>1942</v>
      </c>
      <c r="C204" s="4" t="s">
        <v>233</v>
      </c>
      <c r="D204" s="559">
        <v>2530</v>
      </c>
      <c r="E204" s="559">
        <v>2500</v>
      </c>
      <c r="F204" s="559">
        <v>2506</v>
      </c>
      <c r="G204" s="48">
        <v>2497</v>
      </c>
      <c r="H204" s="48">
        <v>2459</v>
      </c>
      <c r="I204" s="48">
        <v>2409</v>
      </c>
      <c r="J204" s="48">
        <v>2332</v>
      </c>
      <c r="K204" s="31">
        <v>2391</v>
      </c>
      <c r="L204" s="31">
        <v>2387</v>
      </c>
      <c r="N204" s="556" t="s">
        <v>3543</v>
      </c>
      <c r="P204" s="4"/>
      <c r="R204" s="4"/>
    </row>
    <row r="205" spans="1:18">
      <c r="A205" s="566">
        <v>19</v>
      </c>
      <c r="B205" s="556" t="s">
        <v>7183</v>
      </c>
      <c r="C205" s="4" t="s">
        <v>234</v>
      </c>
      <c r="D205" s="559">
        <v>4370</v>
      </c>
      <c r="E205" s="559">
        <v>4341</v>
      </c>
      <c r="F205" s="559">
        <v>4374</v>
      </c>
      <c r="G205" s="48">
        <v>4465</v>
      </c>
      <c r="H205" s="48">
        <v>4457</v>
      </c>
      <c r="I205" s="48">
        <v>4364</v>
      </c>
      <c r="J205" s="48">
        <v>4189</v>
      </c>
      <c r="K205" s="31">
        <v>4277</v>
      </c>
      <c r="L205" s="31">
        <v>4330</v>
      </c>
      <c r="N205" s="556" t="s">
        <v>3543</v>
      </c>
      <c r="P205" s="4"/>
      <c r="R205" s="4"/>
    </row>
    <row r="206" spans="1:18">
      <c r="A206" s="566">
        <v>20</v>
      </c>
      <c r="B206" s="556" t="s">
        <v>7184</v>
      </c>
      <c r="C206" s="4" t="s">
        <v>235</v>
      </c>
      <c r="D206" s="559">
        <v>4416</v>
      </c>
      <c r="E206" s="559">
        <v>4396</v>
      </c>
      <c r="F206" s="559">
        <v>4422</v>
      </c>
      <c r="G206" s="48">
        <v>4460</v>
      </c>
      <c r="H206" s="48">
        <v>4380</v>
      </c>
      <c r="I206" s="48">
        <v>4282</v>
      </c>
      <c r="J206" s="48">
        <v>4144</v>
      </c>
      <c r="K206" s="31">
        <v>4285</v>
      </c>
      <c r="L206" s="31">
        <v>4287</v>
      </c>
      <c r="N206" s="556" t="s">
        <v>3543</v>
      </c>
      <c r="P206" s="4"/>
      <c r="R206" s="4"/>
    </row>
    <row r="207" spans="1:18">
      <c r="A207" s="566">
        <v>21</v>
      </c>
      <c r="B207" s="556" t="s">
        <v>8191</v>
      </c>
      <c r="C207" s="4" t="s">
        <v>236</v>
      </c>
      <c r="D207" s="559">
        <v>1374</v>
      </c>
      <c r="E207" s="559">
        <v>1364</v>
      </c>
      <c r="F207" s="559">
        <v>1376</v>
      </c>
      <c r="G207" s="48">
        <v>1366</v>
      </c>
      <c r="H207" s="48">
        <v>1377</v>
      </c>
      <c r="I207" s="48">
        <v>1389</v>
      </c>
      <c r="J207" s="48">
        <v>1357</v>
      </c>
      <c r="K207" s="31">
        <v>1390</v>
      </c>
      <c r="L207" s="31">
        <v>1412</v>
      </c>
      <c r="N207" s="556" t="s">
        <v>3543</v>
      </c>
      <c r="P207" s="4"/>
      <c r="R207" s="4"/>
    </row>
    <row r="208" spans="1:18">
      <c r="A208" s="566">
        <v>22</v>
      </c>
      <c r="B208" s="556" t="s">
        <v>7185</v>
      </c>
      <c r="C208" s="4" t="s">
        <v>237</v>
      </c>
      <c r="D208" s="559">
        <v>1502</v>
      </c>
      <c r="E208" s="559">
        <v>1476</v>
      </c>
      <c r="F208" s="559">
        <v>1504</v>
      </c>
      <c r="G208" s="48">
        <v>1487</v>
      </c>
      <c r="H208" s="48">
        <v>1455</v>
      </c>
      <c r="I208" s="48">
        <v>1439</v>
      </c>
      <c r="J208" s="48">
        <v>1405</v>
      </c>
      <c r="K208" s="31">
        <v>1429</v>
      </c>
      <c r="L208" s="31">
        <v>1441</v>
      </c>
      <c r="N208" s="556" t="s">
        <v>3543</v>
      </c>
      <c r="P208" s="4"/>
      <c r="R208" s="4"/>
    </row>
    <row r="209" spans="1:18">
      <c r="A209" s="566">
        <v>23</v>
      </c>
      <c r="B209" s="556" t="s">
        <v>7186</v>
      </c>
      <c r="C209" s="4" t="s">
        <v>238</v>
      </c>
      <c r="D209" s="559">
        <v>1522</v>
      </c>
      <c r="E209" s="559">
        <v>1513</v>
      </c>
      <c r="F209" s="559">
        <v>1513</v>
      </c>
      <c r="G209" s="48">
        <v>1497</v>
      </c>
      <c r="H209" s="48">
        <v>1464</v>
      </c>
      <c r="I209" s="48">
        <v>1413</v>
      </c>
      <c r="J209" s="48">
        <v>1354</v>
      </c>
      <c r="K209" s="31">
        <v>1393</v>
      </c>
      <c r="L209" s="31">
        <v>1395</v>
      </c>
      <c r="N209" s="556" t="s">
        <v>3543</v>
      </c>
      <c r="P209" s="4"/>
      <c r="R209" s="4"/>
    </row>
    <row r="210" spans="1:18">
      <c r="A210" s="566">
        <v>24</v>
      </c>
      <c r="B210" s="556" t="s">
        <v>7187</v>
      </c>
      <c r="C210" s="4" t="s">
        <v>239</v>
      </c>
      <c r="D210" s="561">
        <v>1449</v>
      </c>
      <c r="E210" s="561">
        <v>1430</v>
      </c>
      <c r="F210" s="561">
        <v>1441</v>
      </c>
      <c r="G210" s="48">
        <v>1453</v>
      </c>
      <c r="H210" s="48">
        <v>1433</v>
      </c>
      <c r="I210" s="48">
        <v>1401</v>
      </c>
      <c r="J210" s="48">
        <v>1371</v>
      </c>
      <c r="K210" s="31">
        <v>1399</v>
      </c>
      <c r="L210" s="31">
        <v>1355</v>
      </c>
      <c r="N210" s="556" t="s">
        <v>3543</v>
      </c>
      <c r="P210" s="4"/>
      <c r="R210" s="4"/>
    </row>
    <row r="211" spans="1:18">
      <c r="A211" s="566">
        <v>25</v>
      </c>
      <c r="B211" s="556" t="s">
        <v>7188</v>
      </c>
      <c r="C211" s="4" t="s">
        <v>240</v>
      </c>
      <c r="D211" s="561">
        <v>4725</v>
      </c>
      <c r="E211" s="561">
        <v>4670</v>
      </c>
      <c r="F211" s="561">
        <v>4702</v>
      </c>
      <c r="G211" s="48">
        <v>4736</v>
      </c>
      <c r="H211" s="48">
        <v>4660</v>
      </c>
      <c r="I211" s="48">
        <v>4620</v>
      </c>
      <c r="J211" s="48">
        <v>4493</v>
      </c>
      <c r="K211" s="31">
        <v>4680</v>
      </c>
      <c r="L211" s="31">
        <v>4700</v>
      </c>
      <c r="N211" s="556" t="s">
        <v>3543</v>
      </c>
      <c r="P211" s="4"/>
      <c r="R211" s="4"/>
    </row>
    <row r="212" spans="1:18">
      <c r="D212" s="561"/>
      <c r="E212" s="561"/>
      <c r="F212" s="561"/>
      <c r="G212" s="561"/>
      <c r="H212" s="561"/>
      <c r="I212" s="561"/>
      <c r="J212" s="561"/>
      <c r="K212" s="561"/>
      <c r="L212" s="561"/>
    </row>
    <row r="213" spans="1:18">
      <c r="A213" s="556" t="s">
        <v>7992</v>
      </c>
      <c r="D213" s="559">
        <f t="shared" ref="D213:I213" si="154">SUM(D187:D211)</f>
        <v>57679</v>
      </c>
      <c r="E213" s="559">
        <f t="shared" si="154"/>
        <v>57433</v>
      </c>
      <c r="F213" s="559">
        <f t="shared" si="154"/>
        <v>57557</v>
      </c>
      <c r="G213" s="559">
        <f t="shared" si="154"/>
        <v>57719</v>
      </c>
      <c r="H213" s="559">
        <f t="shared" si="154"/>
        <v>57220</v>
      </c>
      <c r="I213" s="559">
        <f t="shared" si="154"/>
        <v>56360</v>
      </c>
      <c r="J213" s="559">
        <f t="shared" ref="J213:K213" si="155">SUM(J187:J211)</f>
        <v>54902</v>
      </c>
      <c r="K213" s="559">
        <f t="shared" si="155"/>
        <v>56655</v>
      </c>
      <c r="L213" s="559">
        <f t="shared" ref="L213" si="156">SUM(L187:L211)</f>
        <v>57137</v>
      </c>
    </row>
    <row r="214" spans="1:18">
      <c r="A214" s="556"/>
      <c r="B214" s="556"/>
      <c r="D214" s="559"/>
      <c r="E214" s="559"/>
      <c r="F214" s="559"/>
      <c r="G214" s="559"/>
      <c r="H214" s="559"/>
      <c r="I214" s="559"/>
      <c r="J214" s="559"/>
      <c r="K214" s="559"/>
      <c r="L214" s="559"/>
    </row>
    <row r="215" spans="1:18">
      <c r="A215" s="556" t="s">
        <v>7189</v>
      </c>
      <c r="B215" s="556"/>
      <c r="D215" s="559"/>
      <c r="E215" s="559"/>
      <c r="F215" s="559"/>
      <c r="G215" s="559"/>
      <c r="H215" s="559"/>
      <c r="I215" s="559"/>
      <c r="J215" s="559"/>
      <c r="K215" s="559"/>
      <c r="L215" s="559"/>
    </row>
    <row r="216" spans="1:18">
      <c r="A216" s="556"/>
      <c r="B216" s="556"/>
      <c r="D216" s="567"/>
      <c r="E216" s="567"/>
      <c r="F216" s="567"/>
      <c r="G216" s="567"/>
      <c r="H216" s="567"/>
      <c r="I216" s="567"/>
      <c r="J216" s="567"/>
      <c r="K216" s="567"/>
      <c r="L216" s="567"/>
    </row>
    <row r="217" spans="1:18">
      <c r="A217" s="556"/>
      <c r="B217" s="556"/>
      <c r="D217" s="567"/>
      <c r="E217" s="567"/>
      <c r="F217" s="567"/>
      <c r="G217" s="567"/>
      <c r="H217" s="567"/>
      <c r="I217" s="567"/>
      <c r="J217" s="567"/>
      <c r="K217" s="567"/>
      <c r="L217" s="567"/>
    </row>
    <row r="218" spans="1:18">
      <c r="E218" s="42" t="s">
        <v>2303</v>
      </c>
      <c r="F218" s="42"/>
      <c r="G218" s="42"/>
      <c r="H218" s="42"/>
      <c r="I218" s="42"/>
      <c r="J218" s="42"/>
      <c r="K218" s="42"/>
      <c r="L218" s="42"/>
      <c r="M218" s="65"/>
      <c r="N218" s="66" t="s">
        <v>13319</v>
      </c>
    </row>
    <row r="219" spans="1:18">
      <c r="D219" s="55">
        <v>2010</v>
      </c>
      <c r="E219" s="55">
        <v>2011</v>
      </c>
      <c r="F219" s="55">
        <v>2012</v>
      </c>
      <c r="G219" s="55">
        <v>2013</v>
      </c>
      <c r="H219" s="55">
        <v>2014</v>
      </c>
      <c r="I219" s="55">
        <v>2015</v>
      </c>
      <c r="J219" s="55">
        <v>2016</v>
      </c>
      <c r="K219" s="55">
        <v>2017</v>
      </c>
      <c r="L219" s="55">
        <v>2018</v>
      </c>
      <c r="M219" s="65"/>
      <c r="N219" s="67" t="s">
        <v>2304</v>
      </c>
    </row>
    <row r="220" spans="1:18">
      <c r="A220" s="556" t="s">
        <v>7190</v>
      </c>
      <c r="D220" s="559">
        <f t="shared" ref="D220:J220" si="157">SUM(D221:D239)</f>
        <v>83767</v>
      </c>
      <c r="E220" s="559">
        <f t="shared" si="157"/>
        <v>84310</v>
      </c>
      <c r="F220" s="559">
        <f t="shared" si="157"/>
        <v>85279</v>
      </c>
      <c r="G220" s="559">
        <f t="shared" si="157"/>
        <v>85634</v>
      </c>
      <c r="H220" s="559">
        <f t="shared" si="157"/>
        <v>85283</v>
      </c>
      <c r="I220" s="559">
        <f t="shared" si="157"/>
        <v>85237</v>
      </c>
      <c r="J220" s="559">
        <f t="shared" si="157"/>
        <v>84625</v>
      </c>
      <c r="K220" s="559">
        <f t="shared" ref="K220:L220" si="158">SUM(K221:K239)</f>
        <v>86017</v>
      </c>
      <c r="L220" s="559">
        <f t="shared" si="158"/>
        <v>85564</v>
      </c>
    </row>
    <row r="221" spans="1:18">
      <c r="A221" s="566">
        <v>1</v>
      </c>
      <c r="B221" s="556" t="s">
        <v>14633</v>
      </c>
      <c r="C221" s="4" t="s">
        <v>14635</v>
      </c>
      <c r="D221" s="559">
        <v>69599</v>
      </c>
      <c r="E221" s="559">
        <v>70022</v>
      </c>
      <c r="F221" s="559">
        <v>70899</v>
      </c>
      <c r="G221" s="48">
        <v>71149</v>
      </c>
      <c r="H221" s="48">
        <v>70792</v>
      </c>
      <c r="I221" s="48">
        <v>70836</v>
      </c>
      <c r="J221" s="48">
        <v>3431</v>
      </c>
      <c r="K221" s="48">
        <v>3516</v>
      </c>
      <c r="L221" s="48">
        <v>3409</v>
      </c>
      <c r="N221" s="556" t="s">
        <v>3547</v>
      </c>
      <c r="P221" s="4"/>
      <c r="R221" s="4"/>
    </row>
    <row r="222" spans="1:18">
      <c r="A222" s="566">
        <v>2</v>
      </c>
      <c r="B222" s="556" t="s">
        <v>1966</v>
      </c>
      <c r="C222" s="4" t="s">
        <v>14643</v>
      </c>
      <c r="D222" s="559">
        <v>0</v>
      </c>
      <c r="E222" s="559">
        <v>0</v>
      </c>
      <c r="F222" s="559">
        <v>0</v>
      </c>
      <c r="G222" s="48">
        <v>0</v>
      </c>
      <c r="H222" s="48">
        <v>0</v>
      </c>
      <c r="I222" s="48">
        <v>0</v>
      </c>
      <c r="J222" s="48">
        <v>3706</v>
      </c>
      <c r="K222" s="48">
        <v>3756</v>
      </c>
      <c r="L222" s="48">
        <v>3712</v>
      </c>
      <c r="N222" s="556" t="s">
        <v>3547</v>
      </c>
      <c r="P222" s="4"/>
      <c r="R222" s="4"/>
    </row>
    <row r="223" spans="1:18">
      <c r="A223" s="566">
        <v>3</v>
      </c>
      <c r="B223" s="556" t="s">
        <v>7194</v>
      </c>
      <c r="C223" s="4" t="s">
        <v>14644</v>
      </c>
      <c r="D223" s="559">
        <v>0</v>
      </c>
      <c r="E223" s="559">
        <v>0</v>
      </c>
      <c r="F223" s="559">
        <v>0</v>
      </c>
      <c r="G223" s="48">
        <v>0</v>
      </c>
      <c r="H223" s="48">
        <v>0</v>
      </c>
      <c r="I223" s="48">
        <v>0</v>
      </c>
      <c r="J223" s="48">
        <v>3531</v>
      </c>
      <c r="K223" s="48">
        <v>3533</v>
      </c>
      <c r="L223" s="48">
        <v>3547</v>
      </c>
      <c r="N223" s="556" t="s">
        <v>3547</v>
      </c>
      <c r="P223" s="4"/>
      <c r="R223" s="4"/>
    </row>
    <row r="224" spans="1:18">
      <c r="A224" s="566">
        <v>4</v>
      </c>
      <c r="B224" s="556" t="s">
        <v>7195</v>
      </c>
      <c r="C224" s="4" t="s">
        <v>14645</v>
      </c>
      <c r="D224" s="559">
        <v>0</v>
      </c>
      <c r="E224" s="559">
        <v>0</v>
      </c>
      <c r="F224" s="559">
        <v>0</v>
      </c>
      <c r="G224" s="48">
        <v>0</v>
      </c>
      <c r="H224" s="48">
        <v>0</v>
      </c>
      <c r="I224" s="48">
        <v>0</v>
      </c>
      <c r="J224" s="48">
        <v>3587</v>
      </c>
      <c r="K224" s="48">
        <v>3755</v>
      </c>
      <c r="L224" s="48">
        <v>3723</v>
      </c>
      <c r="N224" s="556" t="s">
        <v>3547</v>
      </c>
      <c r="P224" s="4"/>
      <c r="R224" s="4"/>
    </row>
    <row r="225" spans="1:18">
      <c r="A225" s="566">
        <v>5</v>
      </c>
      <c r="B225" s="556" t="s">
        <v>7191</v>
      </c>
      <c r="C225" s="4" t="s">
        <v>14646</v>
      </c>
      <c r="D225" s="559">
        <v>0</v>
      </c>
      <c r="E225" s="559">
        <v>0</v>
      </c>
      <c r="F225" s="559">
        <v>0</v>
      </c>
      <c r="G225" s="48">
        <v>0</v>
      </c>
      <c r="H225" s="48">
        <v>0</v>
      </c>
      <c r="I225" s="48">
        <v>0</v>
      </c>
      <c r="J225" s="48">
        <v>5583</v>
      </c>
      <c r="K225" s="48">
        <v>5620</v>
      </c>
      <c r="L225" s="48">
        <v>5608</v>
      </c>
      <c r="N225" s="556" t="s">
        <v>3547</v>
      </c>
      <c r="P225" s="4"/>
      <c r="R225" s="4"/>
    </row>
    <row r="226" spans="1:18">
      <c r="A226" s="566">
        <v>6</v>
      </c>
      <c r="B226" s="556" t="s">
        <v>14634</v>
      </c>
      <c r="C226" s="4" t="s">
        <v>14647</v>
      </c>
      <c r="D226" s="559">
        <v>0</v>
      </c>
      <c r="E226" s="559">
        <v>0</v>
      </c>
      <c r="F226" s="559">
        <v>0</v>
      </c>
      <c r="G226" s="48">
        <v>0</v>
      </c>
      <c r="H226" s="48">
        <v>0</v>
      </c>
      <c r="I226" s="48">
        <v>0</v>
      </c>
      <c r="J226" s="48">
        <v>3232</v>
      </c>
      <c r="K226" s="48">
        <v>3260</v>
      </c>
      <c r="L226" s="48">
        <v>3279</v>
      </c>
      <c r="N226" s="556" t="s">
        <v>3547</v>
      </c>
      <c r="P226" s="4"/>
      <c r="R226" s="4"/>
    </row>
    <row r="227" spans="1:18">
      <c r="A227" s="566">
        <v>7</v>
      </c>
      <c r="B227" s="556" t="s">
        <v>7192</v>
      </c>
      <c r="C227" s="4" t="s">
        <v>14648</v>
      </c>
      <c r="D227" s="559">
        <v>0</v>
      </c>
      <c r="E227" s="559">
        <v>0</v>
      </c>
      <c r="F227" s="559">
        <v>0</v>
      </c>
      <c r="G227" s="48">
        <v>0</v>
      </c>
      <c r="H227" s="48">
        <v>0</v>
      </c>
      <c r="I227" s="48">
        <v>0</v>
      </c>
      <c r="J227" s="48">
        <v>3502</v>
      </c>
      <c r="K227" s="48">
        <v>3538</v>
      </c>
      <c r="L227" s="48">
        <v>3541</v>
      </c>
      <c r="N227" s="556" t="s">
        <v>3547</v>
      </c>
      <c r="P227" s="4"/>
      <c r="R227" s="4"/>
    </row>
    <row r="228" spans="1:18">
      <c r="A228" s="566">
        <v>8</v>
      </c>
      <c r="B228" s="556" t="s">
        <v>14636</v>
      </c>
      <c r="C228" s="4" t="s">
        <v>14649</v>
      </c>
      <c r="D228" s="559">
        <v>0</v>
      </c>
      <c r="E228" s="559">
        <v>0</v>
      </c>
      <c r="F228" s="559">
        <v>0</v>
      </c>
      <c r="G228" s="48">
        <v>0</v>
      </c>
      <c r="H228" s="48">
        <v>0</v>
      </c>
      <c r="I228" s="48">
        <v>0</v>
      </c>
      <c r="J228" s="48">
        <v>4975</v>
      </c>
      <c r="K228" s="48">
        <v>4996</v>
      </c>
      <c r="L228" s="48">
        <v>5002</v>
      </c>
      <c r="N228" s="556" t="s">
        <v>3547</v>
      </c>
      <c r="P228" s="4"/>
      <c r="R228" s="4"/>
    </row>
    <row r="229" spans="1:18">
      <c r="A229" s="566">
        <v>9</v>
      </c>
      <c r="B229" s="556" t="s">
        <v>14637</v>
      </c>
      <c r="C229" s="4" t="s">
        <v>14650</v>
      </c>
      <c r="D229" s="559">
        <v>0</v>
      </c>
      <c r="E229" s="559">
        <v>0</v>
      </c>
      <c r="F229" s="559">
        <v>0</v>
      </c>
      <c r="G229" s="48">
        <v>0</v>
      </c>
      <c r="H229" s="48">
        <v>0</v>
      </c>
      <c r="I229" s="48">
        <v>0</v>
      </c>
      <c r="J229" s="48">
        <v>5867</v>
      </c>
      <c r="K229" s="48">
        <v>5941</v>
      </c>
      <c r="L229" s="48">
        <v>5906</v>
      </c>
      <c r="N229" s="556" t="s">
        <v>3547</v>
      </c>
      <c r="P229" s="4"/>
      <c r="R229" s="4"/>
    </row>
    <row r="230" spans="1:18">
      <c r="A230" s="566">
        <v>10</v>
      </c>
      <c r="B230" s="556" t="s">
        <v>14638</v>
      </c>
      <c r="C230" s="4" t="s">
        <v>14651</v>
      </c>
      <c r="D230" s="559">
        <v>14168</v>
      </c>
      <c r="E230" s="559">
        <v>14288</v>
      </c>
      <c r="F230" s="559">
        <v>14380</v>
      </c>
      <c r="G230" s="48">
        <v>14485</v>
      </c>
      <c r="H230" s="48">
        <v>14491</v>
      </c>
      <c r="I230" s="48">
        <v>14401</v>
      </c>
      <c r="J230" s="48">
        <v>3523</v>
      </c>
      <c r="K230" s="48">
        <v>3602</v>
      </c>
      <c r="L230" s="48">
        <v>3626</v>
      </c>
      <c r="N230" s="556" t="s">
        <v>3550</v>
      </c>
      <c r="P230" s="4"/>
      <c r="R230" s="4"/>
    </row>
    <row r="231" spans="1:18">
      <c r="A231" s="566">
        <v>11</v>
      </c>
      <c r="B231" s="556" t="s">
        <v>7193</v>
      </c>
      <c r="C231" s="4" t="s">
        <v>14652</v>
      </c>
      <c r="D231" s="559">
        <v>0</v>
      </c>
      <c r="E231" s="559">
        <v>0</v>
      </c>
      <c r="F231" s="559">
        <v>0</v>
      </c>
      <c r="G231" s="48">
        <v>0</v>
      </c>
      <c r="H231" s="48">
        <v>0</v>
      </c>
      <c r="I231" s="48">
        <v>0</v>
      </c>
      <c r="J231" s="48">
        <v>3437</v>
      </c>
      <c r="K231" s="48">
        <v>3529</v>
      </c>
      <c r="L231" s="48">
        <v>3470</v>
      </c>
      <c r="N231" s="556" t="s">
        <v>3547</v>
      </c>
      <c r="P231" s="4"/>
      <c r="R231" s="4"/>
    </row>
    <row r="232" spans="1:18">
      <c r="A232" s="566">
        <v>12</v>
      </c>
      <c r="B232" s="556" t="s">
        <v>5382</v>
      </c>
      <c r="C232" s="4" t="s">
        <v>14653</v>
      </c>
      <c r="D232" s="559">
        <v>0</v>
      </c>
      <c r="E232" s="559">
        <v>0</v>
      </c>
      <c r="F232" s="559">
        <v>0</v>
      </c>
      <c r="G232" s="48">
        <v>0</v>
      </c>
      <c r="H232" s="48">
        <v>0</v>
      </c>
      <c r="I232" s="48">
        <v>0</v>
      </c>
      <c r="J232" s="48">
        <v>5180</v>
      </c>
      <c r="K232" s="48">
        <v>5409</v>
      </c>
      <c r="L232" s="48">
        <v>5325</v>
      </c>
      <c r="N232" s="556" t="s">
        <v>3547</v>
      </c>
      <c r="P232" s="4"/>
      <c r="R232" s="4"/>
    </row>
    <row r="233" spans="1:18">
      <c r="A233" s="566">
        <v>13</v>
      </c>
      <c r="B233" s="556" t="s">
        <v>5383</v>
      </c>
      <c r="C233" s="4" t="s">
        <v>14654</v>
      </c>
      <c r="D233" s="559">
        <v>0</v>
      </c>
      <c r="E233" s="559">
        <v>0</v>
      </c>
      <c r="F233" s="559">
        <v>0</v>
      </c>
      <c r="G233" s="48">
        <v>0</v>
      </c>
      <c r="H233" s="48">
        <v>0</v>
      </c>
      <c r="I233" s="48">
        <v>0</v>
      </c>
      <c r="J233" s="48">
        <v>3658</v>
      </c>
      <c r="K233" s="48">
        <v>3718</v>
      </c>
      <c r="L233" s="48">
        <v>3689</v>
      </c>
      <c r="N233" s="556" t="s">
        <v>3547</v>
      </c>
      <c r="P233" s="4"/>
      <c r="R233" s="4"/>
    </row>
    <row r="234" spans="1:18">
      <c r="A234" s="566">
        <v>14</v>
      </c>
      <c r="B234" s="556" t="s">
        <v>14639</v>
      </c>
      <c r="C234" s="4" t="s">
        <v>14655</v>
      </c>
      <c r="D234" s="559">
        <v>0</v>
      </c>
      <c r="E234" s="559">
        <v>0</v>
      </c>
      <c r="F234" s="559">
        <v>0</v>
      </c>
      <c r="G234" s="48">
        <v>0</v>
      </c>
      <c r="H234" s="48">
        <v>0</v>
      </c>
      <c r="I234" s="48">
        <v>0</v>
      </c>
      <c r="J234" s="48">
        <v>5674</v>
      </c>
      <c r="K234" s="48">
        <v>5715</v>
      </c>
      <c r="L234" s="48">
        <v>5690</v>
      </c>
      <c r="N234" s="556" t="s">
        <v>3550</v>
      </c>
      <c r="P234" s="4"/>
      <c r="R234" s="4"/>
    </row>
    <row r="235" spans="1:18">
      <c r="A235" s="566">
        <v>15</v>
      </c>
      <c r="B235" s="556" t="s">
        <v>14640</v>
      </c>
      <c r="C235" s="4" t="s">
        <v>14656</v>
      </c>
      <c r="D235" s="559">
        <v>0</v>
      </c>
      <c r="E235" s="559">
        <v>0</v>
      </c>
      <c r="F235" s="559">
        <v>0</v>
      </c>
      <c r="G235" s="48">
        <v>0</v>
      </c>
      <c r="H235" s="48">
        <v>0</v>
      </c>
      <c r="I235" s="48">
        <v>0</v>
      </c>
      <c r="J235" s="48">
        <v>5922</v>
      </c>
      <c r="K235" s="48">
        <v>6059</v>
      </c>
      <c r="L235" s="48">
        <v>6053</v>
      </c>
      <c r="N235" s="556" t="s">
        <v>3547</v>
      </c>
      <c r="P235" s="4"/>
      <c r="R235" s="4"/>
    </row>
    <row r="236" spans="1:18">
      <c r="A236" s="566">
        <v>16</v>
      </c>
      <c r="B236" s="556" t="s">
        <v>5384</v>
      </c>
      <c r="C236" s="4" t="s">
        <v>14657</v>
      </c>
      <c r="D236" s="559">
        <v>0</v>
      </c>
      <c r="E236" s="559">
        <v>0</v>
      </c>
      <c r="F236" s="559">
        <v>0</v>
      </c>
      <c r="G236" s="48">
        <v>0</v>
      </c>
      <c r="H236" s="48">
        <v>0</v>
      </c>
      <c r="I236" s="48">
        <v>0</v>
      </c>
      <c r="J236" s="48">
        <v>5097</v>
      </c>
      <c r="K236" s="48">
        <v>5148</v>
      </c>
      <c r="L236" s="48">
        <v>5118</v>
      </c>
      <c r="N236" s="556" t="s">
        <v>3547</v>
      </c>
      <c r="P236" s="4"/>
      <c r="R236" s="4"/>
    </row>
    <row r="237" spans="1:18">
      <c r="A237" s="566">
        <v>17</v>
      </c>
      <c r="B237" s="556" t="s">
        <v>14641</v>
      </c>
      <c r="C237" s="4" t="s">
        <v>14658</v>
      </c>
      <c r="D237" s="559">
        <v>0</v>
      </c>
      <c r="E237" s="559">
        <v>0</v>
      </c>
      <c r="F237" s="559">
        <v>0</v>
      </c>
      <c r="G237" s="48">
        <v>0</v>
      </c>
      <c r="H237" s="48">
        <v>0</v>
      </c>
      <c r="I237" s="48">
        <v>0</v>
      </c>
      <c r="J237" s="48">
        <v>3807</v>
      </c>
      <c r="K237" s="48">
        <v>3845</v>
      </c>
      <c r="L237" s="48">
        <v>3834</v>
      </c>
      <c r="N237" s="556" t="s">
        <v>3547</v>
      </c>
      <c r="P237" s="4"/>
      <c r="R237" s="4"/>
    </row>
    <row r="238" spans="1:18">
      <c r="A238" s="566">
        <v>18</v>
      </c>
      <c r="B238" s="556" t="s">
        <v>14642</v>
      </c>
      <c r="C238" s="4" t="s">
        <v>14659</v>
      </c>
      <c r="D238" s="559">
        <v>0</v>
      </c>
      <c r="E238" s="559">
        <v>0</v>
      </c>
      <c r="F238" s="559">
        <v>0</v>
      </c>
      <c r="G238" s="48">
        <v>0</v>
      </c>
      <c r="H238" s="48">
        <v>0</v>
      </c>
      <c r="I238" s="48">
        <v>0</v>
      </c>
      <c r="J238" s="48">
        <v>5129</v>
      </c>
      <c r="K238" s="48">
        <v>5224</v>
      </c>
      <c r="L238" s="48">
        <v>5219</v>
      </c>
      <c r="N238" s="556" t="s">
        <v>3550</v>
      </c>
      <c r="P238" s="4"/>
      <c r="R238" s="4"/>
    </row>
    <row r="239" spans="1:18">
      <c r="A239" s="566">
        <v>19</v>
      </c>
      <c r="B239" s="556" t="s">
        <v>5386</v>
      </c>
      <c r="C239" s="4" t="s">
        <v>14660</v>
      </c>
      <c r="D239" s="559">
        <v>0</v>
      </c>
      <c r="E239" s="559">
        <v>0</v>
      </c>
      <c r="F239" s="559">
        <v>0</v>
      </c>
      <c r="G239" s="48">
        <v>0</v>
      </c>
      <c r="H239" s="48">
        <v>0</v>
      </c>
      <c r="I239" s="48">
        <v>0</v>
      </c>
      <c r="J239" s="48">
        <v>5784</v>
      </c>
      <c r="K239" s="48">
        <v>5853</v>
      </c>
      <c r="L239" s="48">
        <v>5813</v>
      </c>
      <c r="N239" s="556" t="s">
        <v>3547</v>
      </c>
      <c r="P239" s="4"/>
      <c r="R239" s="4"/>
    </row>
    <row r="240" spans="1:18">
      <c r="D240" s="561"/>
      <c r="E240" s="561"/>
      <c r="F240" s="561"/>
      <c r="G240" s="561"/>
      <c r="H240" s="561"/>
      <c r="I240" s="561"/>
      <c r="J240" s="561"/>
      <c r="K240" s="561"/>
      <c r="L240" s="561"/>
    </row>
    <row r="241" spans="1:18">
      <c r="A241" s="556" t="s">
        <v>3547</v>
      </c>
      <c r="D241" s="559">
        <f>SUM(D221:D229)+SUM(D231:D233)+SUM(D235:D237)+D239</f>
        <v>69599</v>
      </c>
      <c r="E241" s="559">
        <f t="shared" ref="E241:J241" si="159">SUM(E221:E229)+SUM(E231:E233)+SUM(E235:E237)+E239</f>
        <v>70022</v>
      </c>
      <c r="F241" s="559">
        <f t="shared" si="159"/>
        <v>70899</v>
      </c>
      <c r="G241" s="559">
        <f t="shared" si="159"/>
        <v>71149</v>
      </c>
      <c r="H241" s="559">
        <f t="shared" si="159"/>
        <v>70792</v>
      </c>
      <c r="I241" s="559">
        <f t="shared" si="159"/>
        <v>70836</v>
      </c>
      <c r="J241" s="559">
        <f t="shared" si="159"/>
        <v>70299</v>
      </c>
      <c r="K241" s="559">
        <f t="shared" ref="K241:L241" si="160">SUM(K221:K229)+SUM(K231:K233)+SUM(K235:K237)+K239</f>
        <v>71476</v>
      </c>
      <c r="L241" s="559">
        <f t="shared" si="160"/>
        <v>71029</v>
      </c>
    </row>
    <row r="242" spans="1:18">
      <c r="A242" s="556" t="s">
        <v>7140</v>
      </c>
      <c r="D242" s="559">
        <f>D230+D234+D238</f>
        <v>14168</v>
      </c>
      <c r="E242" s="559">
        <f t="shared" ref="E242:J242" si="161">E230+E234+E238</f>
        <v>14288</v>
      </c>
      <c r="F242" s="559">
        <f t="shared" si="161"/>
        <v>14380</v>
      </c>
      <c r="G242" s="559">
        <f t="shared" si="161"/>
        <v>14485</v>
      </c>
      <c r="H242" s="559">
        <f t="shared" si="161"/>
        <v>14491</v>
      </c>
      <c r="I242" s="559">
        <f t="shared" si="161"/>
        <v>14401</v>
      </c>
      <c r="J242" s="559">
        <f t="shared" si="161"/>
        <v>14326</v>
      </c>
      <c r="K242" s="559">
        <f t="shared" ref="K242:L242" si="162">K230+K234+K238</f>
        <v>14541</v>
      </c>
      <c r="L242" s="559">
        <f t="shared" si="162"/>
        <v>14535</v>
      </c>
    </row>
    <row r="243" spans="1:18">
      <c r="A243" s="556"/>
      <c r="B243" s="556"/>
      <c r="D243" s="559"/>
      <c r="E243" s="559"/>
      <c r="F243" s="559"/>
      <c r="G243" s="559"/>
      <c r="H243" s="559"/>
      <c r="I243" s="559"/>
      <c r="J243" s="559"/>
      <c r="K243" s="559"/>
      <c r="L243" s="559"/>
    </row>
    <row r="244" spans="1:18">
      <c r="A244" s="556" t="s">
        <v>14661</v>
      </c>
      <c r="B244" s="556"/>
      <c r="D244" s="559"/>
      <c r="E244" s="559"/>
      <c r="F244" s="559"/>
      <c r="G244" s="559"/>
      <c r="H244" s="559"/>
      <c r="I244" s="559"/>
      <c r="J244" s="559"/>
      <c r="K244" s="559"/>
      <c r="L244" s="559"/>
    </row>
    <row r="245" spans="1:18">
      <c r="A245" s="556"/>
      <c r="B245" s="556"/>
      <c r="D245" s="567"/>
      <c r="E245" s="567"/>
      <c r="F245" s="567"/>
      <c r="G245" s="567"/>
      <c r="H245" s="567"/>
      <c r="I245" s="567"/>
      <c r="J245" s="567"/>
      <c r="K245" s="567"/>
      <c r="L245" s="567"/>
    </row>
    <row r="246" spans="1:18">
      <c r="A246" s="556"/>
      <c r="B246" s="556"/>
      <c r="D246" s="567"/>
      <c r="E246" s="567"/>
      <c r="F246" s="567"/>
      <c r="G246" s="567"/>
      <c r="H246" s="567"/>
      <c r="I246" s="567"/>
      <c r="J246" s="567"/>
      <c r="K246" s="567"/>
      <c r="L246" s="567"/>
    </row>
    <row r="247" spans="1:18">
      <c r="E247" s="42" t="s">
        <v>2303</v>
      </c>
      <c r="F247" s="42"/>
      <c r="G247" s="42"/>
      <c r="H247" s="42"/>
      <c r="I247" s="42"/>
      <c r="J247" s="42"/>
      <c r="K247" s="42"/>
      <c r="L247" s="42"/>
      <c r="M247" s="65"/>
      <c r="N247" s="66" t="s">
        <v>13319</v>
      </c>
    </row>
    <row r="248" spans="1:18">
      <c r="D248" s="55">
        <v>2010</v>
      </c>
      <c r="E248" s="55">
        <v>2011</v>
      </c>
      <c r="F248" s="55">
        <v>2012</v>
      </c>
      <c r="G248" s="55">
        <v>2013</v>
      </c>
      <c r="H248" s="55">
        <v>2014</v>
      </c>
      <c r="I248" s="55">
        <v>2015</v>
      </c>
      <c r="J248" s="55">
        <v>2016</v>
      </c>
      <c r="K248" s="55">
        <v>2017</v>
      </c>
      <c r="L248" s="55">
        <v>2018</v>
      </c>
      <c r="M248" s="65"/>
      <c r="N248" s="67" t="s">
        <v>2304</v>
      </c>
    </row>
    <row r="249" spans="1:18">
      <c r="A249" s="556" t="s">
        <v>5387</v>
      </c>
      <c r="D249" s="559">
        <f t="shared" ref="D249:I249" si="163">SUM(D250:D277)</f>
        <v>71685</v>
      </c>
      <c r="E249" s="559">
        <f t="shared" si="163"/>
        <v>72178</v>
      </c>
      <c r="F249" s="559">
        <f t="shared" si="163"/>
        <v>72211</v>
      </c>
      <c r="G249" s="559">
        <f t="shared" si="163"/>
        <v>72226</v>
      </c>
      <c r="H249" s="559">
        <f t="shared" si="163"/>
        <v>72226</v>
      </c>
      <c r="I249" s="559">
        <f t="shared" si="163"/>
        <v>71263</v>
      </c>
      <c r="J249" s="559">
        <f t="shared" ref="J249:K249" si="164">SUM(J250:J277)</f>
        <v>71130</v>
      </c>
      <c r="K249" s="559">
        <f t="shared" si="164"/>
        <v>72415</v>
      </c>
      <c r="L249" s="559">
        <f t="shared" ref="L249" si="165">SUM(L250:L277)</f>
        <v>71880</v>
      </c>
    </row>
    <row r="250" spans="1:18">
      <c r="A250" s="566">
        <v>1</v>
      </c>
      <c r="B250" s="556" t="s">
        <v>5388</v>
      </c>
      <c r="C250" s="4" t="s">
        <v>14662</v>
      </c>
      <c r="D250" s="559">
        <v>71685</v>
      </c>
      <c r="E250" s="559">
        <v>72178</v>
      </c>
      <c r="F250" s="559">
        <v>72211</v>
      </c>
      <c r="G250" s="30">
        <v>72226</v>
      </c>
      <c r="H250" s="30">
        <v>72226</v>
      </c>
      <c r="I250" s="30">
        <v>71263</v>
      </c>
      <c r="J250" s="30">
        <v>1380</v>
      </c>
      <c r="K250" s="30">
        <v>1438</v>
      </c>
      <c r="L250" s="30">
        <v>1433</v>
      </c>
      <c r="N250" s="556" t="s">
        <v>3549</v>
      </c>
      <c r="P250" s="4"/>
      <c r="R250" s="4"/>
    </row>
    <row r="251" spans="1:18">
      <c r="A251" s="566">
        <v>2</v>
      </c>
      <c r="B251" s="556" t="s">
        <v>5389</v>
      </c>
      <c r="C251" s="4" t="s">
        <v>14663</v>
      </c>
      <c r="D251" s="559">
        <v>0</v>
      </c>
      <c r="E251" s="559">
        <v>0</v>
      </c>
      <c r="F251" s="559">
        <v>0</v>
      </c>
      <c r="G251" s="30">
        <v>0</v>
      </c>
      <c r="H251" s="30">
        <v>0</v>
      </c>
      <c r="I251" s="30">
        <v>0</v>
      </c>
      <c r="J251" s="30">
        <v>3127</v>
      </c>
      <c r="K251" s="30">
        <v>3267</v>
      </c>
      <c r="L251" s="30">
        <v>3346</v>
      </c>
      <c r="N251" s="556" t="s">
        <v>3549</v>
      </c>
      <c r="P251" s="4"/>
      <c r="R251" s="4"/>
    </row>
    <row r="252" spans="1:18">
      <c r="A252" s="566">
        <v>3</v>
      </c>
      <c r="B252" s="556" t="s">
        <v>5390</v>
      </c>
      <c r="C252" s="4" t="s">
        <v>14664</v>
      </c>
      <c r="D252" s="559">
        <v>0</v>
      </c>
      <c r="E252" s="559">
        <v>0</v>
      </c>
      <c r="F252" s="559">
        <v>0</v>
      </c>
      <c r="G252" s="30">
        <v>0</v>
      </c>
      <c r="H252" s="30">
        <v>0</v>
      </c>
      <c r="I252" s="30">
        <v>0</v>
      </c>
      <c r="J252" s="30">
        <v>1594</v>
      </c>
      <c r="K252" s="30">
        <v>1614</v>
      </c>
      <c r="L252" s="30">
        <v>1595</v>
      </c>
      <c r="N252" s="556" t="s">
        <v>3549</v>
      </c>
      <c r="P252" s="4"/>
      <c r="R252" s="4"/>
    </row>
    <row r="253" spans="1:18">
      <c r="A253" s="566">
        <v>4</v>
      </c>
      <c r="B253" s="556" t="s">
        <v>5391</v>
      </c>
      <c r="C253" s="4" t="s">
        <v>14665</v>
      </c>
      <c r="D253" s="559">
        <v>0</v>
      </c>
      <c r="E253" s="559">
        <v>0</v>
      </c>
      <c r="F253" s="559">
        <v>0</v>
      </c>
      <c r="G253" s="30">
        <v>0</v>
      </c>
      <c r="H253" s="30">
        <v>0</v>
      </c>
      <c r="I253" s="30">
        <v>0</v>
      </c>
      <c r="J253" s="30">
        <v>2949</v>
      </c>
      <c r="K253" s="30">
        <v>3019</v>
      </c>
      <c r="L253" s="30">
        <v>2944</v>
      </c>
      <c r="N253" s="556" t="s">
        <v>3549</v>
      </c>
      <c r="P253" s="4"/>
      <c r="R253" s="4"/>
    </row>
    <row r="254" spans="1:18">
      <c r="A254" s="566">
        <v>5</v>
      </c>
      <c r="B254" s="556" t="s">
        <v>5392</v>
      </c>
      <c r="C254" s="4" t="s">
        <v>14666</v>
      </c>
      <c r="D254" s="559">
        <v>0</v>
      </c>
      <c r="E254" s="559">
        <v>0</v>
      </c>
      <c r="F254" s="559">
        <v>0</v>
      </c>
      <c r="G254" s="30">
        <v>0</v>
      </c>
      <c r="H254" s="30">
        <v>0</v>
      </c>
      <c r="I254" s="30">
        <v>0</v>
      </c>
      <c r="J254" s="30">
        <v>1744</v>
      </c>
      <c r="K254" s="30">
        <v>1779</v>
      </c>
      <c r="L254" s="30">
        <v>1707</v>
      </c>
      <c r="N254" s="556" t="s">
        <v>3549</v>
      </c>
      <c r="P254" s="4"/>
      <c r="R254" s="4"/>
    </row>
    <row r="255" spans="1:18">
      <c r="A255" s="566">
        <v>6</v>
      </c>
      <c r="B255" s="556" t="s">
        <v>5393</v>
      </c>
      <c r="C255" s="4" t="s">
        <v>14667</v>
      </c>
      <c r="D255" s="559">
        <v>0</v>
      </c>
      <c r="E255" s="559">
        <v>0</v>
      </c>
      <c r="F255" s="559">
        <v>0</v>
      </c>
      <c r="G255" s="30">
        <v>0</v>
      </c>
      <c r="H255" s="30">
        <v>0</v>
      </c>
      <c r="I255" s="30">
        <v>0</v>
      </c>
      <c r="J255" s="30">
        <v>3472</v>
      </c>
      <c r="K255" s="30">
        <v>3646</v>
      </c>
      <c r="L255" s="30">
        <v>3686</v>
      </c>
      <c r="N255" s="556" t="s">
        <v>3549</v>
      </c>
      <c r="P255" s="4"/>
      <c r="R255" s="4"/>
    </row>
    <row r="256" spans="1:18">
      <c r="A256" s="566">
        <v>7</v>
      </c>
      <c r="B256" s="556" t="s">
        <v>5394</v>
      </c>
      <c r="C256" s="4" t="s">
        <v>14668</v>
      </c>
      <c r="D256" s="559">
        <v>0</v>
      </c>
      <c r="E256" s="559">
        <v>0</v>
      </c>
      <c r="F256" s="559">
        <v>0</v>
      </c>
      <c r="G256" s="30">
        <v>0</v>
      </c>
      <c r="H256" s="30">
        <v>0</v>
      </c>
      <c r="I256" s="30">
        <v>0</v>
      </c>
      <c r="J256" s="30">
        <v>3203</v>
      </c>
      <c r="K256" s="30">
        <v>3211</v>
      </c>
      <c r="L256" s="30">
        <v>3168</v>
      </c>
      <c r="N256" s="556" t="s">
        <v>3549</v>
      </c>
      <c r="P256" s="4"/>
      <c r="R256" s="4"/>
    </row>
    <row r="257" spans="1:18">
      <c r="A257" s="566">
        <v>8</v>
      </c>
      <c r="B257" s="556" t="s">
        <v>5395</v>
      </c>
      <c r="C257" s="4" t="s">
        <v>14669</v>
      </c>
      <c r="D257" s="559">
        <v>0</v>
      </c>
      <c r="E257" s="559">
        <v>0</v>
      </c>
      <c r="F257" s="559">
        <v>0</v>
      </c>
      <c r="G257" s="30">
        <v>0</v>
      </c>
      <c r="H257" s="30">
        <v>0</v>
      </c>
      <c r="I257" s="30">
        <v>0</v>
      </c>
      <c r="J257" s="30">
        <v>3181</v>
      </c>
      <c r="K257" s="30">
        <v>3183</v>
      </c>
      <c r="L257" s="30">
        <v>3137</v>
      </c>
      <c r="N257" s="556" t="s">
        <v>3549</v>
      </c>
      <c r="P257" s="4"/>
      <c r="R257" s="4"/>
    </row>
    <row r="258" spans="1:18">
      <c r="A258" s="566">
        <v>9</v>
      </c>
      <c r="B258" s="556" t="s">
        <v>5396</v>
      </c>
      <c r="C258" s="4" t="s">
        <v>14670</v>
      </c>
      <c r="D258" s="559">
        <v>0</v>
      </c>
      <c r="E258" s="559">
        <v>0</v>
      </c>
      <c r="F258" s="559">
        <v>0</v>
      </c>
      <c r="G258" s="30">
        <v>0</v>
      </c>
      <c r="H258" s="30">
        <v>0</v>
      </c>
      <c r="I258" s="30">
        <v>0</v>
      </c>
      <c r="J258" s="30">
        <v>1644</v>
      </c>
      <c r="K258" s="30">
        <v>1664</v>
      </c>
      <c r="L258" s="30">
        <v>1689</v>
      </c>
      <c r="N258" s="556" t="s">
        <v>3549</v>
      </c>
      <c r="P258" s="4"/>
      <c r="R258" s="4"/>
    </row>
    <row r="259" spans="1:18">
      <c r="A259" s="566">
        <v>10</v>
      </c>
      <c r="B259" s="556" t="s">
        <v>5397</v>
      </c>
      <c r="C259" s="4" t="s">
        <v>14671</v>
      </c>
      <c r="D259" s="559">
        <v>0</v>
      </c>
      <c r="E259" s="559">
        <v>0</v>
      </c>
      <c r="F259" s="559">
        <v>0</v>
      </c>
      <c r="G259" s="30">
        <v>0</v>
      </c>
      <c r="H259" s="30">
        <v>0</v>
      </c>
      <c r="I259" s="30">
        <v>0</v>
      </c>
      <c r="J259" s="30">
        <v>1674</v>
      </c>
      <c r="K259" s="30">
        <v>1683</v>
      </c>
      <c r="L259" s="30">
        <v>1735</v>
      </c>
      <c r="N259" s="556" t="s">
        <v>3549</v>
      </c>
      <c r="P259" s="4"/>
      <c r="R259" s="4"/>
    </row>
    <row r="260" spans="1:18">
      <c r="A260" s="566">
        <v>11</v>
      </c>
      <c r="B260" s="556" t="s">
        <v>5398</v>
      </c>
      <c r="C260" s="4" t="s">
        <v>14672</v>
      </c>
      <c r="D260" s="559">
        <v>0</v>
      </c>
      <c r="E260" s="559">
        <v>0</v>
      </c>
      <c r="F260" s="559">
        <v>0</v>
      </c>
      <c r="G260" s="30">
        <v>0</v>
      </c>
      <c r="H260" s="30">
        <v>0</v>
      </c>
      <c r="I260" s="30">
        <v>0</v>
      </c>
      <c r="J260" s="30">
        <v>1736</v>
      </c>
      <c r="K260" s="30">
        <v>1752</v>
      </c>
      <c r="L260" s="30">
        <v>1707</v>
      </c>
      <c r="N260" s="556" t="s">
        <v>3549</v>
      </c>
      <c r="P260" s="4"/>
      <c r="R260" s="4"/>
    </row>
    <row r="261" spans="1:18">
      <c r="A261" s="566">
        <v>12</v>
      </c>
      <c r="B261" s="556" t="s">
        <v>5399</v>
      </c>
      <c r="C261" s="4" t="s">
        <v>14673</v>
      </c>
      <c r="D261" s="559">
        <v>0</v>
      </c>
      <c r="E261" s="559">
        <v>0</v>
      </c>
      <c r="F261" s="559">
        <v>0</v>
      </c>
      <c r="G261" s="30">
        <v>0</v>
      </c>
      <c r="H261" s="30">
        <v>0</v>
      </c>
      <c r="I261" s="30">
        <v>0</v>
      </c>
      <c r="J261" s="30">
        <v>3399</v>
      </c>
      <c r="K261" s="30">
        <v>3431</v>
      </c>
      <c r="L261" s="30">
        <v>3384</v>
      </c>
      <c r="N261" s="556" t="s">
        <v>3549</v>
      </c>
      <c r="P261" s="4"/>
      <c r="R261" s="4"/>
    </row>
    <row r="262" spans="1:18">
      <c r="A262" s="566">
        <v>13</v>
      </c>
      <c r="B262" s="556" t="s">
        <v>5400</v>
      </c>
      <c r="C262" s="4" t="s">
        <v>14674</v>
      </c>
      <c r="D262" s="559">
        <v>0</v>
      </c>
      <c r="E262" s="559">
        <v>0</v>
      </c>
      <c r="F262" s="559">
        <v>0</v>
      </c>
      <c r="G262" s="30">
        <v>0</v>
      </c>
      <c r="H262" s="30">
        <v>0</v>
      </c>
      <c r="I262" s="30">
        <v>0</v>
      </c>
      <c r="J262" s="30">
        <v>1625</v>
      </c>
      <c r="K262" s="30">
        <v>1702</v>
      </c>
      <c r="L262" s="30">
        <v>1670</v>
      </c>
      <c r="N262" s="556" t="s">
        <v>3549</v>
      </c>
      <c r="P262" s="4"/>
      <c r="R262" s="938"/>
    </row>
    <row r="263" spans="1:18">
      <c r="A263" s="566">
        <v>14</v>
      </c>
      <c r="B263" s="556" t="s">
        <v>5401</v>
      </c>
      <c r="C263" s="4" t="s">
        <v>14675</v>
      </c>
      <c r="D263" s="559">
        <v>0</v>
      </c>
      <c r="E263" s="559">
        <v>0</v>
      </c>
      <c r="F263" s="559">
        <v>0</v>
      </c>
      <c r="G263" s="30">
        <v>0</v>
      </c>
      <c r="H263" s="30">
        <v>0</v>
      </c>
      <c r="I263" s="30">
        <v>0</v>
      </c>
      <c r="J263" s="30">
        <v>3183</v>
      </c>
      <c r="K263" s="30">
        <v>3212</v>
      </c>
      <c r="L263" s="30">
        <v>3165</v>
      </c>
      <c r="N263" s="556" t="s">
        <v>3549</v>
      </c>
      <c r="P263" s="4"/>
      <c r="R263" s="4"/>
    </row>
    <row r="264" spans="1:18">
      <c r="A264" s="566">
        <v>15</v>
      </c>
      <c r="B264" s="556" t="s">
        <v>5402</v>
      </c>
      <c r="C264" s="4" t="s">
        <v>14676</v>
      </c>
      <c r="D264" s="559">
        <v>0</v>
      </c>
      <c r="E264" s="559">
        <v>0</v>
      </c>
      <c r="F264" s="559">
        <v>0</v>
      </c>
      <c r="G264" s="30">
        <v>0</v>
      </c>
      <c r="H264" s="30">
        <v>0</v>
      </c>
      <c r="I264" s="30">
        <v>0</v>
      </c>
      <c r="J264" s="31">
        <v>3408</v>
      </c>
      <c r="K264" s="31">
        <v>3467</v>
      </c>
      <c r="L264" s="31">
        <v>3491</v>
      </c>
      <c r="N264" s="556" t="s">
        <v>3549</v>
      </c>
      <c r="P264" s="4"/>
      <c r="R264" s="4"/>
    </row>
    <row r="265" spans="1:18">
      <c r="A265" s="566">
        <v>16</v>
      </c>
      <c r="B265" s="556" t="s">
        <v>5403</v>
      </c>
      <c r="C265" s="4" t="s">
        <v>14677</v>
      </c>
      <c r="D265" s="559">
        <v>0</v>
      </c>
      <c r="E265" s="559">
        <v>0</v>
      </c>
      <c r="F265" s="559">
        <v>0</v>
      </c>
      <c r="G265" s="30">
        <v>0</v>
      </c>
      <c r="H265" s="30">
        <v>0</v>
      </c>
      <c r="I265" s="30">
        <v>0</v>
      </c>
      <c r="J265" s="31">
        <v>1675</v>
      </c>
      <c r="K265" s="31">
        <v>1687</v>
      </c>
      <c r="L265" s="31">
        <v>1698</v>
      </c>
      <c r="N265" s="556" t="s">
        <v>3549</v>
      </c>
      <c r="P265" s="4"/>
      <c r="R265" s="4"/>
    </row>
    <row r="266" spans="1:18">
      <c r="A266" s="566">
        <v>17</v>
      </c>
      <c r="B266" s="556" t="s">
        <v>5404</v>
      </c>
      <c r="C266" s="4" t="s">
        <v>14678</v>
      </c>
      <c r="D266" s="559">
        <v>0</v>
      </c>
      <c r="E266" s="559">
        <v>0</v>
      </c>
      <c r="F266" s="559">
        <v>0</v>
      </c>
      <c r="G266" s="30">
        <v>0</v>
      </c>
      <c r="H266" s="30">
        <v>0</v>
      </c>
      <c r="I266" s="30">
        <v>0</v>
      </c>
      <c r="J266" s="31">
        <v>3034</v>
      </c>
      <c r="K266" s="31">
        <v>3084</v>
      </c>
      <c r="L266" s="31">
        <v>3082</v>
      </c>
      <c r="N266" s="556" t="s">
        <v>3549</v>
      </c>
      <c r="P266" s="4"/>
      <c r="R266" s="4"/>
    </row>
    <row r="267" spans="1:18">
      <c r="A267" s="566">
        <v>18</v>
      </c>
      <c r="B267" s="556" t="s">
        <v>5405</v>
      </c>
      <c r="C267" s="4" t="s">
        <v>14679</v>
      </c>
      <c r="D267" s="559">
        <v>0</v>
      </c>
      <c r="E267" s="559">
        <v>0</v>
      </c>
      <c r="F267" s="559">
        <v>0</v>
      </c>
      <c r="G267" s="30">
        <v>0</v>
      </c>
      <c r="H267" s="30">
        <v>0</v>
      </c>
      <c r="I267" s="30">
        <v>0</v>
      </c>
      <c r="J267" s="31">
        <v>3415</v>
      </c>
      <c r="K267" s="31">
        <v>3533</v>
      </c>
      <c r="L267" s="31">
        <v>3461</v>
      </c>
      <c r="N267" s="556" t="s">
        <v>3549</v>
      </c>
      <c r="P267" s="4"/>
      <c r="R267" s="4"/>
    </row>
    <row r="268" spans="1:18">
      <c r="A268" s="566">
        <v>19</v>
      </c>
      <c r="B268" s="556" t="s">
        <v>5406</v>
      </c>
      <c r="C268" s="4" t="s">
        <v>14680</v>
      </c>
      <c r="D268" s="559">
        <v>0</v>
      </c>
      <c r="E268" s="559">
        <v>0</v>
      </c>
      <c r="F268" s="559">
        <v>0</v>
      </c>
      <c r="G268" s="30">
        <v>0</v>
      </c>
      <c r="H268" s="30">
        <v>0</v>
      </c>
      <c r="I268" s="30">
        <v>0</v>
      </c>
      <c r="J268" s="31">
        <v>3689</v>
      </c>
      <c r="K268" s="31">
        <v>3729</v>
      </c>
      <c r="L268" s="31">
        <v>3648</v>
      </c>
      <c r="N268" s="556" t="s">
        <v>3549</v>
      </c>
      <c r="P268" s="4"/>
      <c r="R268" s="4"/>
    </row>
    <row r="269" spans="1:18">
      <c r="A269" s="566">
        <v>20</v>
      </c>
      <c r="B269" s="556" t="s">
        <v>5407</v>
      </c>
      <c r="C269" s="4" t="s">
        <v>14681</v>
      </c>
      <c r="D269" s="559">
        <v>0</v>
      </c>
      <c r="E269" s="559">
        <v>0</v>
      </c>
      <c r="F269" s="559">
        <v>0</v>
      </c>
      <c r="G269" s="30">
        <v>0</v>
      </c>
      <c r="H269" s="30">
        <v>0</v>
      </c>
      <c r="I269" s="30">
        <v>0</v>
      </c>
      <c r="J269" s="31">
        <v>1814</v>
      </c>
      <c r="K269" s="31">
        <v>1881</v>
      </c>
      <c r="L269" s="31">
        <v>1850</v>
      </c>
      <c r="N269" s="556" t="s">
        <v>3549</v>
      </c>
      <c r="P269" s="4"/>
      <c r="R269" s="4"/>
    </row>
    <row r="270" spans="1:18">
      <c r="A270" s="566">
        <v>21</v>
      </c>
      <c r="B270" s="556" t="s">
        <v>6414</v>
      </c>
      <c r="C270" s="4" t="s">
        <v>14682</v>
      </c>
      <c r="D270" s="559">
        <v>0</v>
      </c>
      <c r="E270" s="559">
        <v>0</v>
      </c>
      <c r="F270" s="559">
        <v>0</v>
      </c>
      <c r="G270" s="30">
        <v>0</v>
      </c>
      <c r="H270" s="30">
        <v>0</v>
      </c>
      <c r="I270" s="30">
        <v>0</v>
      </c>
      <c r="J270" s="31">
        <v>1488</v>
      </c>
      <c r="K270" s="31">
        <v>1553</v>
      </c>
      <c r="L270" s="31">
        <v>1561</v>
      </c>
      <c r="N270" s="556" t="s">
        <v>3549</v>
      </c>
      <c r="P270" s="4"/>
      <c r="R270" s="4"/>
    </row>
    <row r="271" spans="1:18">
      <c r="A271" s="566">
        <v>22</v>
      </c>
      <c r="B271" s="556" t="s">
        <v>5408</v>
      </c>
      <c r="C271" s="4" t="s">
        <v>14683</v>
      </c>
      <c r="D271" s="559">
        <v>0</v>
      </c>
      <c r="E271" s="559">
        <v>0</v>
      </c>
      <c r="F271" s="559">
        <v>0</v>
      </c>
      <c r="G271" s="30">
        <v>0</v>
      </c>
      <c r="H271" s="30">
        <v>0</v>
      </c>
      <c r="I271" s="30">
        <v>0</v>
      </c>
      <c r="J271" s="31">
        <v>1654</v>
      </c>
      <c r="K271" s="31">
        <v>1668</v>
      </c>
      <c r="L271" s="31">
        <v>1663</v>
      </c>
      <c r="N271" s="556" t="s">
        <v>3549</v>
      </c>
      <c r="P271" s="4"/>
      <c r="R271" s="4"/>
    </row>
    <row r="272" spans="1:18">
      <c r="A272" s="566">
        <v>23</v>
      </c>
      <c r="B272" s="556" t="s">
        <v>5409</v>
      </c>
      <c r="C272" s="4" t="s">
        <v>14684</v>
      </c>
      <c r="D272" s="559">
        <v>0</v>
      </c>
      <c r="E272" s="559">
        <v>0</v>
      </c>
      <c r="F272" s="559">
        <v>0</v>
      </c>
      <c r="G272" s="30">
        <v>0</v>
      </c>
      <c r="H272" s="30">
        <v>0</v>
      </c>
      <c r="I272" s="30">
        <v>0</v>
      </c>
      <c r="J272" s="31">
        <v>3500</v>
      </c>
      <c r="K272" s="31">
        <v>3506</v>
      </c>
      <c r="L272" s="31">
        <v>3475</v>
      </c>
      <c r="N272" s="556" t="s">
        <v>3549</v>
      </c>
      <c r="P272" s="4"/>
      <c r="R272" s="938"/>
    </row>
    <row r="273" spans="1:18">
      <c r="A273" s="566">
        <v>24</v>
      </c>
      <c r="B273" s="556" t="s">
        <v>5410</v>
      </c>
      <c r="C273" s="4" t="s">
        <v>14685</v>
      </c>
      <c r="D273" s="559">
        <v>0</v>
      </c>
      <c r="E273" s="559">
        <v>0</v>
      </c>
      <c r="F273" s="559">
        <v>0</v>
      </c>
      <c r="G273" s="30">
        <v>0</v>
      </c>
      <c r="H273" s="30">
        <v>0</v>
      </c>
      <c r="I273" s="30">
        <v>0</v>
      </c>
      <c r="J273" s="31">
        <v>3157</v>
      </c>
      <c r="K273" s="31">
        <v>3178</v>
      </c>
      <c r="L273" s="31">
        <v>3160</v>
      </c>
      <c r="N273" s="556" t="s">
        <v>3549</v>
      </c>
      <c r="P273" s="4"/>
      <c r="R273" s="4"/>
    </row>
    <row r="274" spans="1:18">
      <c r="A274" s="566">
        <v>25</v>
      </c>
      <c r="B274" s="556" t="s">
        <v>5411</v>
      </c>
      <c r="C274" s="4" t="s">
        <v>14686</v>
      </c>
      <c r="D274" s="559">
        <v>0</v>
      </c>
      <c r="E274" s="559">
        <v>0</v>
      </c>
      <c r="F274" s="559">
        <v>0</v>
      </c>
      <c r="G274" s="30">
        <v>0</v>
      </c>
      <c r="H274" s="30">
        <v>0</v>
      </c>
      <c r="I274" s="30">
        <v>0</v>
      </c>
      <c r="J274" s="31">
        <v>1801</v>
      </c>
      <c r="K274" s="31">
        <v>1805</v>
      </c>
      <c r="L274" s="31">
        <v>1819</v>
      </c>
      <c r="N274" s="556" t="s">
        <v>3549</v>
      </c>
      <c r="P274" s="4"/>
      <c r="R274" s="4"/>
    </row>
    <row r="275" spans="1:18">
      <c r="A275" s="566">
        <v>26</v>
      </c>
      <c r="B275" s="556" t="s">
        <v>5412</v>
      </c>
      <c r="C275" s="4" t="s">
        <v>14687</v>
      </c>
      <c r="D275" s="559">
        <v>0</v>
      </c>
      <c r="E275" s="559">
        <v>0</v>
      </c>
      <c r="F275" s="559">
        <v>0</v>
      </c>
      <c r="G275" s="30">
        <v>0</v>
      </c>
      <c r="H275" s="30">
        <v>0</v>
      </c>
      <c r="I275" s="30">
        <v>0</v>
      </c>
      <c r="J275" s="31">
        <v>1627</v>
      </c>
      <c r="K275" s="31">
        <v>1641</v>
      </c>
      <c r="L275" s="31">
        <v>1617</v>
      </c>
      <c r="N275" s="556" t="s">
        <v>3549</v>
      </c>
      <c r="O275" s="929"/>
      <c r="P275" s="4"/>
      <c r="R275" s="4"/>
    </row>
    <row r="276" spans="1:18">
      <c r="A276" s="566">
        <v>27</v>
      </c>
      <c r="B276" s="556" t="s">
        <v>5413</v>
      </c>
      <c r="C276" s="4" t="s">
        <v>14688</v>
      </c>
      <c r="D276" s="559">
        <v>0</v>
      </c>
      <c r="E276" s="559">
        <v>0</v>
      </c>
      <c r="F276" s="559">
        <v>0</v>
      </c>
      <c r="G276" s="30">
        <v>0</v>
      </c>
      <c r="H276" s="30">
        <v>0</v>
      </c>
      <c r="I276" s="30">
        <v>0</v>
      </c>
      <c r="J276" s="31">
        <v>5217</v>
      </c>
      <c r="K276" s="31">
        <v>5330</v>
      </c>
      <c r="L276" s="31">
        <v>5258</v>
      </c>
      <c r="N276" s="556" t="s">
        <v>3549</v>
      </c>
      <c r="O276" s="929"/>
      <c r="P276" s="4"/>
      <c r="R276" s="4"/>
    </row>
    <row r="277" spans="1:18">
      <c r="A277" s="566">
        <v>28</v>
      </c>
      <c r="B277" s="556" t="s">
        <v>8076</v>
      </c>
      <c r="C277" s="4" t="s">
        <v>14689</v>
      </c>
      <c r="D277" s="559">
        <v>0</v>
      </c>
      <c r="E277" s="559">
        <v>0</v>
      </c>
      <c r="F277" s="559">
        <v>0</v>
      </c>
      <c r="G277" s="30">
        <v>0</v>
      </c>
      <c r="H277" s="30">
        <v>0</v>
      </c>
      <c r="I277" s="30">
        <v>0</v>
      </c>
      <c r="J277" s="31">
        <v>1740</v>
      </c>
      <c r="K277" s="31">
        <v>1752</v>
      </c>
      <c r="L277" s="31">
        <v>1731</v>
      </c>
      <c r="N277" s="556" t="s">
        <v>3549</v>
      </c>
      <c r="O277" s="929"/>
      <c r="P277" s="4"/>
      <c r="R277" s="4"/>
    </row>
    <row r="278" spans="1:18">
      <c r="D278" s="561"/>
      <c r="E278" s="561"/>
      <c r="F278" s="561"/>
      <c r="G278" s="561"/>
      <c r="H278" s="561"/>
      <c r="I278" s="561"/>
      <c r="J278" s="561"/>
      <c r="K278" s="561"/>
      <c r="L278" s="561"/>
    </row>
    <row r="279" spans="1:18">
      <c r="A279" s="556" t="s">
        <v>3549</v>
      </c>
      <c r="D279" s="559">
        <f t="shared" ref="D279:I279" si="166">SUM(D250:D277)</f>
        <v>71685</v>
      </c>
      <c r="E279" s="559">
        <f t="shared" si="166"/>
        <v>72178</v>
      </c>
      <c r="F279" s="559">
        <f t="shared" si="166"/>
        <v>72211</v>
      </c>
      <c r="G279" s="559">
        <f t="shared" si="166"/>
        <v>72226</v>
      </c>
      <c r="H279" s="559">
        <f t="shared" si="166"/>
        <v>72226</v>
      </c>
      <c r="I279" s="559">
        <f t="shared" si="166"/>
        <v>71263</v>
      </c>
      <c r="J279" s="559">
        <f t="shared" ref="J279:K279" si="167">SUM(J250:J277)</f>
        <v>71130</v>
      </c>
      <c r="K279" s="559">
        <f t="shared" si="167"/>
        <v>72415</v>
      </c>
      <c r="L279" s="559">
        <f t="shared" ref="L279" si="168">SUM(L250:L277)</f>
        <v>71880</v>
      </c>
    </row>
    <row r="280" spans="1:18">
      <c r="B280" s="556"/>
      <c r="D280" s="559"/>
      <c r="E280" s="559"/>
      <c r="F280" s="559"/>
      <c r="G280" s="559"/>
      <c r="H280" s="559"/>
      <c r="I280" s="559"/>
      <c r="J280" s="559"/>
      <c r="K280" s="559"/>
      <c r="L280" s="559"/>
    </row>
    <row r="281" spans="1:18">
      <c r="A281" s="556" t="s">
        <v>14690</v>
      </c>
      <c r="B281" s="556"/>
      <c r="D281" s="559"/>
      <c r="E281" s="559"/>
      <c r="F281" s="559"/>
      <c r="G281" s="559"/>
      <c r="H281" s="559"/>
      <c r="I281" s="559"/>
      <c r="J281" s="559"/>
      <c r="K281" s="559"/>
      <c r="L281" s="559"/>
    </row>
    <row r="282" spans="1:18">
      <c r="A282" s="556"/>
      <c r="B282" s="556"/>
      <c r="D282" s="567"/>
      <c r="E282" s="567"/>
      <c r="F282" s="567"/>
      <c r="G282" s="567"/>
      <c r="H282" s="567"/>
      <c r="I282" s="567"/>
      <c r="J282" s="567"/>
      <c r="K282" s="567"/>
      <c r="L282" s="567"/>
    </row>
    <row r="283" spans="1:18">
      <c r="A283" s="556"/>
      <c r="B283" s="556"/>
      <c r="D283" s="567"/>
      <c r="E283" s="567"/>
      <c r="F283" s="567"/>
      <c r="G283" s="567"/>
      <c r="H283" s="567"/>
      <c r="I283" s="567"/>
      <c r="J283" s="567"/>
      <c r="K283" s="567"/>
      <c r="L283" s="567"/>
    </row>
    <row r="284" spans="1:18">
      <c r="E284" s="42" t="s">
        <v>2303</v>
      </c>
      <c r="F284" s="42"/>
      <c r="G284" s="42"/>
      <c r="H284" s="42"/>
      <c r="I284" s="42"/>
      <c r="J284" s="42"/>
      <c r="K284" s="42"/>
      <c r="L284" s="42"/>
      <c r="M284" s="65"/>
      <c r="N284" s="66" t="s">
        <v>13319</v>
      </c>
    </row>
    <row r="285" spans="1:18">
      <c r="D285" s="55">
        <v>2010</v>
      </c>
      <c r="E285" s="55">
        <v>2011</v>
      </c>
      <c r="F285" s="55">
        <v>2012</v>
      </c>
      <c r="G285" s="55">
        <v>2013</v>
      </c>
      <c r="H285" s="55">
        <v>2014</v>
      </c>
      <c r="I285" s="55">
        <v>2015</v>
      </c>
      <c r="J285" s="55">
        <v>2016</v>
      </c>
      <c r="K285" s="55">
        <v>2017</v>
      </c>
      <c r="L285" s="55">
        <v>2018</v>
      </c>
      <c r="M285" s="65"/>
      <c r="N285" s="67" t="s">
        <v>2304</v>
      </c>
    </row>
    <row r="286" spans="1:18">
      <c r="A286" s="556" t="s">
        <v>7257</v>
      </c>
      <c r="D286" s="559">
        <f t="shared" ref="D286:I286" si="169">SUM(D287:D311)</f>
        <v>78010</v>
      </c>
      <c r="E286" s="559">
        <f t="shared" si="169"/>
        <v>78763</v>
      </c>
      <c r="F286" s="559">
        <f t="shared" si="169"/>
        <v>79146</v>
      </c>
      <c r="G286" s="559">
        <f t="shared" si="169"/>
        <v>79419</v>
      </c>
      <c r="H286" s="559">
        <f t="shared" si="169"/>
        <v>79712</v>
      </c>
      <c r="I286" s="559">
        <f t="shared" si="169"/>
        <v>77640</v>
      </c>
      <c r="J286" s="559">
        <f t="shared" ref="J286:K286" si="170">SUM(J287:J311)</f>
        <v>77256</v>
      </c>
      <c r="K286" s="559">
        <f t="shared" si="170"/>
        <v>78439</v>
      </c>
      <c r="L286" s="559">
        <f t="shared" ref="L286" si="171">SUM(L287:L311)</f>
        <v>78466</v>
      </c>
    </row>
    <row r="287" spans="1:18">
      <c r="A287" s="566">
        <v>1</v>
      </c>
      <c r="B287" s="556" t="s">
        <v>7258</v>
      </c>
      <c r="C287" s="4" t="s">
        <v>241</v>
      </c>
      <c r="D287" s="559">
        <v>1607</v>
      </c>
      <c r="E287" s="559">
        <v>1616</v>
      </c>
      <c r="F287" s="559">
        <v>1602</v>
      </c>
      <c r="G287" s="30">
        <v>1619</v>
      </c>
      <c r="H287" s="30">
        <v>1610</v>
      </c>
      <c r="I287" s="30">
        <v>1566</v>
      </c>
      <c r="J287" s="30">
        <v>1563</v>
      </c>
      <c r="K287" s="30">
        <v>1600</v>
      </c>
      <c r="L287" s="30">
        <v>1599</v>
      </c>
      <c r="N287" s="556" t="s">
        <v>3551</v>
      </c>
      <c r="P287" s="4"/>
      <c r="R287" s="4"/>
    </row>
    <row r="288" spans="1:18">
      <c r="A288" s="566">
        <v>2</v>
      </c>
      <c r="B288" s="556" t="s">
        <v>7259</v>
      </c>
      <c r="C288" s="4" t="s">
        <v>242</v>
      </c>
      <c r="D288" s="559">
        <v>1513</v>
      </c>
      <c r="E288" s="559">
        <v>1562</v>
      </c>
      <c r="F288" s="559">
        <v>1543</v>
      </c>
      <c r="G288" s="30">
        <v>1562</v>
      </c>
      <c r="H288" s="30">
        <v>1567</v>
      </c>
      <c r="I288" s="30">
        <v>1541</v>
      </c>
      <c r="J288" s="30">
        <v>1553</v>
      </c>
      <c r="K288" s="30">
        <v>1570</v>
      </c>
      <c r="L288" s="30">
        <v>1591</v>
      </c>
      <c r="N288" s="556" t="s">
        <v>3551</v>
      </c>
      <c r="P288" s="4"/>
      <c r="R288" s="4"/>
    </row>
    <row r="289" spans="1:18">
      <c r="A289" s="566">
        <v>3</v>
      </c>
      <c r="B289" s="556" t="s">
        <v>7260</v>
      </c>
      <c r="C289" s="4" t="s">
        <v>243</v>
      </c>
      <c r="D289" s="559">
        <v>2962</v>
      </c>
      <c r="E289" s="559">
        <v>3014</v>
      </c>
      <c r="F289" s="559">
        <v>3005</v>
      </c>
      <c r="G289" s="30">
        <v>3014</v>
      </c>
      <c r="H289" s="30">
        <v>3041</v>
      </c>
      <c r="I289" s="30">
        <v>2966</v>
      </c>
      <c r="J289" s="30">
        <v>2998</v>
      </c>
      <c r="K289" s="30">
        <v>3021</v>
      </c>
      <c r="L289" s="30">
        <v>3032</v>
      </c>
      <c r="N289" s="556" t="s">
        <v>3551</v>
      </c>
      <c r="P289" s="4"/>
      <c r="R289" s="4"/>
    </row>
    <row r="290" spans="1:18">
      <c r="A290" s="566">
        <v>4</v>
      </c>
      <c r="B290" s="556" t="s">
        <v>7261</v>
      </c>
      <c r="C290" s="4" t="s">
        <v>244</v>
      </c>
      <c r="D290" s="559">
        <v>4472</v>
      </c>
      <c r="E290" s="559">
        <v>4551</v>
      </c>
      <c r="F290" s="559">
        <v>4619</v>
      </c>
      <c r="G290" s="30">
        <v>4689</v>
      </c>
      <c r="H290" s="30">
        <v>4707</v>
      </c>
      <c r="I290" s="30">
        <v>4541</v>
      </c>
      <c r="J290" s="30">
        <v>4579</v>
      </c>
      <c r="K290" s="30">
        <v>4702</v>
      </c>
      <c r="L290" s="30">
        <v>4685</v>
      </c>
      <c r="N290" s="556" t="s">
        <v>3551</v>
      </c>
      <c r="P290" s="4"/>
      <c r="R290" s="4"/>
    </row>
    <row r="291" spans="1:18">
      <c r="A291" s="566">
        <v>5</v>
      </c>
      <c r="B291" s="556" t="s">
        <v>7262</v>
      </c>
      <c r="C291" s="4" t="s">
        <v>245</v>
      </c>
      <c r="D291" s="559">
        <v>2892</v>
      </c>
      <c r="E291" s="559">
        <v>2927</v>
      </c>
      <c r="F291" s="559">
        <v>3005</v>
      </c>
      <c r="G291" s="30">
        <v>3027</v>
      </c>
      <c r="H291" s="30">
        <v>2985</v>
      </c>
      <c r="I291" s="30">
        <v>2883</v>
      </c>
      <c r="J291" s="30">
        <v>2818</v>
      </c>
      <c r="K291" s="30">
        <v>2833</v>
      </c>
      <c r="L291" s="30">
        <v>2852</v>
      </c>
      <c r="N291" s="556" t="s">
        <v>3551</v>
      </c>
      <c r="P291" s="4"/>
      <c r="R291" s="4"/>
    </row>
    <row r="292" spans="1:18">
      <c r="A292" s="566">
        <v>6</v>
      </c>
      <c r="B292" s="556" t="s">
        <v>7263</v>
      </c>
      <c r="C292" s="4" t="s">
        <v>246</v>
      </c>
      <c r="D292" s="559">
        <v>2778</v>
      </c>
      <c r="E292" s="559">
        <v>2789</v>
      </c>
      <c r="F292" s="559">
        <v>2776</v>
      </c>
      <c r="G292" s="30">
        <v>2804</v>
      </c>
      <c r="H292" s="30">
        <v>2788</v>
      </c>
      <c r="I292" s="30">
        <v>2717</v>
      </c>
      <c r="J292" s="30">
        <v>2699</v>
      </c>
      <c r="K292" s="30">
        <v>2729</v>
      </c>
      <c r="L292" s="30">
        <v>2683</v>
      </c>
      <c r="N292" s="556" t="s">
        <v>3551</v>
      </c>
      <c r="P292" s="4"/>
      <c r="R292" s="4"/>
    </row>
    <row r="293" spans="1:18">
      <c r="A293" s="566">
        <v>7</v>
      </c>
      <c r="B293" s="556" t="s">
        <v>7264</v>
      </c>
      <c r="C293" s="4" t="s">
        <v>247</v>
      </c>
      <c r="D293" s="559">
        <v>3215</v>
      </c>
      <c r="E293" s="559">
        <v>3258</v>
      </c>
      <c r="F293" s="559">
        <v>3277</v>
      </c>
      <c r="G293" s="30">
        <v>3307</v>
      </c>
      <c r="H293" s="30">
        <v>3321</v>
      </c>
      <c r="I293" s="30">
        <v>3204</v>
      </c>
      <c r="J293" s="30">
        <v>3189</v>
      </c>
      <c r="K293" s="30">
        <v>3238</v>
      </c>
      <c r="L293" s="30">
        <v>3222</v>
      </c>
      <c r="N293" s="556" t="s">
        <v>3551</v>
      </c>
      <c r="P293" s="4"/>
      <c r="R293" s="4"/>
    </row>
    <row r="294" spans="1:18">
      <c r="A294" s="566">
        <v>8</v>
      </c>
      <c r="B294" s="556" t="s">
        <v>7265</v>
      </c>
      <c r="C294" s="4" t="s">
        <v>248</v>
      </c>
      <c r="D294" s="559">
        <v>4235</v>
      </c>
      <c r="E294" s="559">
        <v>4282</v>
      </c>
      <c r="F294" s="559">
        <v>4265</v>
      </c>
      <c r="G294" s="30">
        <v>4212</v>
      </c>
      <c r="H294" s="30">
        <v>4232</v>
      </c>
      <c r="I294" s="30">
        <v>4194</v>
      </c>
      <c r="J294" s="30">
        <v>4149</v>
      </c>
      <c r="K294" s="30">
        <v>4216</v>
      </c>
      <c r="L294" s="30">
        <v>4176</v>
      </c>
      <c r="N294" s="556" t="s">
        <v>3551</v>
      </c>
      <c r="P294" s="4"/>
      <c r="R294" s="4"/>
    </row>
    <row r="295" spans="1:18">
      <c r="A295" s="566">
        <v>9</v>
      </c>
      <c r="B295" s="556" t="s">
        <v>3684</v>
      </c>
      <c r="C295" s="4" t="s">
        <v>249</v>
      </c>
      <c r="D295" s="559">
        <v>2809</v>
      </c>
      <c r="E295" s="559">
        <v>2811</v>
      </c>
      <c r="F295" s="559">
        <v>2844</v>
      </c>
      <c r="G295" s="30">
        <v>2851</v>
      </c>
      <c r="H295" s="30">
        <v>2837</v>
      </c>
      <c r="I295" s="30">
        <v>2768</v>
      </c>
      <c r="J295" s="30">
        <v>2797</v>
      </c>
      <c r="K295" s="30">
        <v>2821</v>
      </c>
      <c r="L295" s="30">
        <v>2827</v>
      </c>
      <c r="N295" s="556" t="s">
        <v>3551</v>
      </c>
      <c r="P295" s="4"/>
      <c r="R295" s="4"/>
    </row>
    <row r="296" spans="1:18">
      <c r="A296" s="566">
        <v>10</v>
      </c>
      <c r="B296" s="556" t="s">
        <v>3685</v>
      </c>
      <c r="C296" s="4" t="s">
        <v>250</v>
      </c>
      <c r="D296" s="559">
        <v>2900</v>
      </c>
      <c r="E296" s="559">
        <v>2925</v>
      </c>
      <c r="F296" s="559">
        <v>2941</v>
      </c>
      <c r="G296" s="30">
        <v>2953</v>
      </c>
      <c r="H296" s="30">
        <v>2925</v>
      </c>
      <c r="I296" s="30">
        <v>2884</v>
      </c>
      <c r="J296" s="30">
        <v>2810</v>
      </c>
      <c r="K296" s="30">
        <v>2812</v>
      </c>
      <c r="L296" s="30">
        <v>2787</v>
      </c>
      <c r="N296" s="556" t="s">
        <v>3551</v>
      </c>
      <c r="P296" s="4"/>
      <c r="R296" s="4"/>
    </row>
    <row r="297" spans="1:18">
      <c r="A297" s="566">
        <v>11</v>
      </c>
      <c r="B297" s="556" t="s">
        <v>3686</v>
      </c>
      <c r="C297" s="4" t="s">
        <v>251</v>
      </c>
      <c r="D297" s="559">
        <v>2949</v>
      </c>
      <c r="E297" s="559">
        <v>2993</v>
      </c>
      <c r="F297" s="559">
        <v>2958</v>
      </c>
      <c r="G297" s="30">
        <v>2953</v>
      </c>
      <c r="H297" s="30">
        <v>2965</v>
      </c>
      <c r="I297" s="30">
        <v>2797</v>
      </c>
      <c r="J297" s="30">
        <v>2802</v>
      </c>
      <c r="K297" s="30">
        <v>2844</v>
      </c>
      <c r="L297" s="30">
        <v>2851</v>
      </c>
      <c r="N297" s="556" t="s">
        <v>3551</v>
      </c>
      <c r="P297" s="4"/>
      <c r="R297" s="4"/>
    </row>
    <row r="298" spans="1:18">
      <c r="A298" s="566">
        <v>12</v>
      </c>
      <c r="B298" s="556" t="s">
        <v>3687</v>
      </c>
      <c r="C298" s="4" t="s">
        <v>252</v>
      </c>
      <c r="D298" s="559">
        <v>4142</v>
      </c>
      <c r="E298" s="559">
        <v>4178</v>
      </c>
      <c r="F298" s="559">
        <v>4224</v>
      </c>
      <c r="G298" s="31">
        <v>4257</v>
      </c>
      <c r="H298" s="31">
        <v>4288</v>
      </c>
      <c r="I298" s="31">
        <v>4227</v>
      </c>
      <c r="J298" s="31">
        <v>4133</v>
      </c>
      <c r="K298" s="31">
        <v>4142</v>
      </c>
      <c r="L298" s="31">
        <v>4132</v>
      </c>
      <c r="N298" s="556" t="s">
        <v>3551</v>
      </c>
      <c r="P298" s="4"/>
      <c r="R298" s="4"/>
    </row>
    <row r="299" spans="1:18">
      <c r="A299" s="566">
        <v>13</v>
      </c>
      <c r="B299" s="557" t="s">
        <v>3688</v>
      </c>
      <c r="C299" s="4" t="s">
        <v>253</v>
      </c>
      <c r="D299" s="559">
        <v>2985</v>
      </c>
      <c r="E299" s="559">
        <v>2998</v>
      </c>
      <c r="F299" s="559">
        <v>3039</v>
      </c>
      <c r="G299" s="31">
        <v>3110</v>
      </c>
      <c r="H299" s="31">
        <v>3153</v>
      </c>
      <c r="I299" s="31">
        <v>3045</v>
      </c>
      <c r="J299" s="31">
        <v>3074</v>
      </c>
      <c r="K299" s="31">
        <v>3103</v>
      </c>
      <c r="L299" s="31">
        <v>3133</v>
      </c>
      <c r="N299" s="556" t="s">
        <v>3551</v>
      </c>
      <c r="P299" s="4"/>
      <c r="R299" s="4"/>
    </row>
    <row r="300" spans="1:18">
      <c r="A300" s="566">
        <v>14</v>
      </c>
      <c r="B300" s="556" t="s">
        <v>3689</v>
      </c>
      <c r="C300" s="4" t="s">
        <v>254</v>
      </c>
      <c r="D300" s="559">
        <v>2744</v>
      </c>
      <c r="E300" s="559">
        <v>2750</v>
      </c>
      <c r="F300" s="559">
        <v>2801</v>
      </c>
      <c r="G300" s="559">
        <v>2854</v>
      </c>
      <c r="H300" s="30">
        <v>2889</v>
      </c>
      <c r="I300" s="30">
        <v>2765</v>
      </c>
      <c r="J300" s="30">
        <v>2702</v>
      </c>
      <c r="K300" s="30">
        <v>2775</v>
      </c>
      <c r="L300" s="30">
        <v>2788</v>
      </c>
      <c r="N300" s="556" t="s">
        <v>3539</v>
      </c>
      <c r="P300" s="4"/>
      <c r="R300" s="4"/>
    </row>
    <row r="301" spans="1:18">
      <c r="A301" s="566">
        <v>15</v>
      </c>
      <c r="B301" s="556" t="s">
        <v>3690</v>
      </c>
      <c r="C301" s="4" t="s">
        <v>255</v>
      </c>
      <c r="D301" s="559">
        <v>2915</v>
      </c>
      <c r="E301" s="559">
        <v>2933</v>
      </c>
      <c r="F301" s="559">
        <v>2953</v>
      </c>
      <c r="G301" s="31">
        <v>2952</v>
      </c>
      <c r="H301" s="31">
        <v>2996</v>
      </c>
      <c r="I301" s="31">
        <v>2905</v>
      </c>
      <c r="J301" s="31">
        <v>2959</v>
      </c>
      <c r="K301" s="31">
        <v>2977</v>
      </c>
      <c r="L301" s="31">
        <v>2992</v>
      </c>
      <c r="N301" s="556" t="s">
        <v>3551</v>
      </c>
      <c r="P301" s="4"/>
      <c r="R301" s="4"/>
    </row>
    <row r="302" spans="1:18">
      <c r="A302" s="566">
        <v>16</v>
      </c>
      <c r="B302" s="556" t="s">
        <v>3691</v>
      </c>
      <c r="C302" s="4" t="s">
        <v>256</v>
      </c>
      <c r="D302" s="559">
        <v>4339</v>
      </c>
      <c r="E302" s="559">
        <v>4388</v>
      </c>
      <c r="F302" s="559">
        <v>4458</v>
      </c>
      <c r="G302" s="31">
        <v>4470</v>
      </c>
      <c r="H302" s="31">
        <v>4466</v>
      </c>
      <c r="I302" s="31">
        <v>4343</v>
      </c>
      <c r="J302" s="31">
        <v>4286</v>
      </c>
      <c r="K302" s="31">
        <v>4317</v>
      </c>
      <c r="L302" s="31">
        <v>4283</v>
      </c>
      <c r="N302" s="556" t="s">
        <v>3551</v>
      </c>
      <c r="P302" s="4"/>
      <c r="R302" s="4"/>
    </row>
    <row r="303" spans="1:18">
      <c r="A303" s="566">
        <v>17</v>
      </c>
      <c r="B303" s="556" t="s">
        <v>3692</v>
      </c>
      <c r="C303" s="4" t="s">
        <v>257</v>
      </c>
      <c r="D303" s="559">
        <v>4491</v>
      </c>
      <c r="E303" s="559">
        <v>4556</v>
      </c>
      <c r="F303" s="559">
        <v>4569</v>
      </c>
      <c r="G303" s="31">
        <v>4515</v>
      </c>
      <c r="H303" s="31">
        <v>4495</v>
      </c>
      <c r="I303" s="31">
        <v>4386</v>
      </c>
      <c r="J303" s="31">
        <v>4290</v>
      </c>
      <c r="K303" s="31">
        <v>4332</v>
      </c>
      <c r="L303" s="31">
        <v>4325</v>
      </c>
      <c r="N303" s="556" t="s">
        <v>3551</v>
      </c>
      <c r="P303" s="4"/>
      <c r="R303" s="4"/>
    </row>
    <row r="304" spans="1:18">
      <c r="A304" s="566">
        <v>18</v>
      </c>
      <c r="B304" s="556" t="s">
        <v>3693</v>
      </c>
      <c r="C304" s="4" t="s">
        <v>258</v>
      </c>
      <c r="D304" s="559">
        <v>4060</v>
      </c>
      <c r="E304" s="559">
        <v>4078</v>
      </c>
      <c r="F304" s="559">
        <v>4088</v>
      </c>
      <c r="G304" s="559">
        <v>4112</v>
      </c>
      <c r="H304" s="30">
        <v>4156</v>
      </c>
      <c r="I304" s="30">
        <v>4104</v>
      </c>
      <c r="J304" s="30">
        <v>4159</v>
      </c>
      <c r="K304" s="30">
        <v>4228</v>
      </c>
      <c r="L304" s="30">
        <v>4233</v>
      </c>
      <c r="N304" s="556" t="s">
        <v>3539</v>
      </c>
      <c r="P304" s="4"/>
      <c r="R304" s="4"/>
    </row>
    <row r="305" spans="1:18">
      <c r="A305" s="566">
        <v>19</v>
      </c>
      <c r="B305" s="556" t="s">
        <v>3694</v>
      </c>
      <c r="C305" s="4" t="s">
        <v>259</v>
      </c>
      <c r="D305" s="559">
        <v>1998</v>
      </c>
      <c r="E305" s="559">
        <v>2037</v>
      </c>
      <c r="F305" s="559">
        <v>2023</v>
      </c>
      <c r="G305" s="559">
        <v>2017</v>
      </c>
      <c r="H305" s="31">
        <v>2034</v>
      </c>
      <c r="I305" s="31">
        <v>1962</v>
      </c>
      <c r="J305" s="31">
        <v>1916</v>
      </c>
      <c r="K305" s="31">
        <v>1929</v>
      </c>
      <c r="L305" s="31">
        <v>1951</v>
      </c>
      <c r="N305" s="556" t="s">
        <v>3551</v>
      </c>
      <c r="P305" s="4"/>
      <c r="R305" s="4"/>
    </row>
    <row r="306" spans="1:18">
      <c r="A306" s="566">
        <v>20</v>
      </c>
      <c r="B306" s="556" t="s">
        <v>3695</v>
      </c>
      <c r="C306" s="4" t="s">
        <v>260</v>
      </c>
      <c r="D306" s="559">
        <v>1374</v>
      </c>
      <c r="E306" s="559">
        <v>1379</v>
      </c>
      <c r="F306" s="559">
        <v>1403</v>
      </c>
      <c r="G306" s="559">
        <v>1404</v>
      </c>
      <c r="H306" s="31">
        <v>1420</v>
      </c>
      <c r="I306" s="31">
        <v>1391</v>
      </c>
      <c r="J306" s="31">
        <v>1369</v>
      </c>
      <c r="K306" s="31">
        <v>1400</v>
      </c>
      <c r="L306" s="31">
        <v>1417</v>
      </c>
      <c r="N306" s="556" t="s">
        <v>3551</v>
      </c>
      <c r="P306" s="4"/>
      <c r="R306" s="4"/>
    </row>
    <row r="307" spans="1:18">
      <c r="A307" s="566">
        <v>21</v>
      </c>
      <c r="B307" s="556" t="s">
        <v>3696</v>
      </c>
      <c r="C307" s="4" t="s">
        <v>261</v>
      </c>
      <c r="D307" s="559">
        <v>4354</v>
      </c>
      <c r="E307" s="559">
        <v>4416</v>
      </c>
      <c r="F307" s="559">
        <v>4439</v>
      </c>
      <c r="G307" s="559">
        <v>4478</v>
      </c>
      <c r="H307" s="30">
        <v>4532</v>
      </c>
      <c r="I307" s="30">
        <v>4346</v>
      </c>
      <c r="J307" s="30">
        <v>4368</v>
      </c>
      <c r="K307" s="30">
        <v>4500</v>
      </c>
      <c r="L307" s="30">
        <v>4513</v>
      </c>
      <c r="N307" s="556" t="s">
        <v>3539</v>
      </c>
      <c r="P307" s="4"/>
      <c r="R307" s="4"/>
    </row>
    <row r="308" spans="1:18">
      <c r="A308" s="566">
        <v>22</v>
      </c>
      <c r="B308" s="556" t="s">
        <v>8811</v>
      </c>
      <c r="C308" s="4" t="s">
        <v>262</v>
      </c>
      <c r="D308" s="559">
        <v>3169</v>
      </c>
      <c r="E308" s="559">
        <v>3224</v>
      </c>
      <c r="F308" s="559">
        <v>3194</v>
      </c>
      <c r="G308" s="559">
        <v>3195</v>
      </c>
      <c r="H308" s="30">
        <v>3206</v>
      </c>
      <c r="I308" s="30">
        <v>3148</v>
      </c>
      <c r="J308" s="30">
        <v>3118</v>
      </c>
      <c r="K308" s="30">
        <v>3144</v>
      </c>
      <c r="L308" s="30">
        <v>3185</v>
      </c>
      <c r="N308" s="556" t="s">
        <v>3539</v>
      </c>
      <c r="P308" s="4"/>
      <c r="R308" s="4"/>
    </row>
    <row r="309" spans="1:18">
      <c r="A309" s="566">
        <v>23</v>
      </c>
      <c r="B309" s="556" t="s">
        <v>3697</v>
      </c>
      <c r="C309" s="4" t="s">
        <v>263</v>
      </c>
      <c r="D309" s="559">
        <v>3066</v>
      </c>
      <c r="E309" s="559">
        <v>3056</v>
      </c>
      <c r="F309" s="559">
        <v>3052</v>
      </c>
      <c r="G309" s="559">
        <v>3014</v>
      </c>
      <c r="H309" s="31">
        <v>3076</v>
      </c>
      <c r="I309" s="31">
        <v>2997</v>
      </c>
      <c r="J309" s="31">
        <v>2972</v>
      </c>
      <c r="K309" s="31">
        <v>3067</v>
      </c>
      <c r="L309" s="31">
        <v>3173</v>
      </c>
      <c r="N309" s="556" t="s">
        <v>3551</v>
      </c>
      <c r="P309" s="4"/>
      <c r="R309" s="4"/>
    </row>
    <row r="310" spans="1:18">
      <c r="A310" s="566">
        <v>24</v>
      </c>
      <c r="B310" s="556" t="s">
        <v>3698</v>
      </c>
      <c r="C310" s="4" t="s">
        <v>264</v>
      </c>
      <c r="D310" s="559">
        <v>1426</v>
      </c>
      <c r="E310" s="559">
        <v>1442</v>
      </c>
      <c r="F310" s="559">
        <v>1464</v>
      </c>
      <c r="G310" s="559">
        <v>1462</v>
      </c>
      <c r="H310" s="31">
        <v>1485</v>
      </c>
      <c r="I310" s="31">
        <v>1447</v>
      </c>
      <c r="J310" s="31">
        <v>1449</v>
      </c>
      <c r="K310" s="31">
        <v>1475</v>
      </c>
      <c r="L310" s="31">
        <v>1439</v>
      </c>
      <c r="N310" s="556" t="s">
        <v>3551</v>
      </c>
      <c r="P310" s="4"/>
      <c r="R310" s="4"/>
    </row>
    <row r="311" spans="1:18">
      <c r="A311" s="566">
        <v>25</v>
      </c>
      <c r="B311" s="556" t="s">
        <v>2048</v>
      </c>
      <c r="C311" s="4" t="s">
        <v>265</v>
      </c>
      <c r="D311" s="559">
        <v>4615</v>
      </c>
      <c r="E311" s="559">
        <v>4600</v>
      </c>
      <c r="F311" s="559">
        <v>4604</v>
      </c>
      <c r="G311" s="559">
        <v>4588</v>
      </c>
      <c r="H311" s="31">
        <v>4538</v>
      </c>
      <c r="I311" s="31">
        <v>4513</v>
      </c>
      <c r="J311" s="31">
        <v>4504</v>
      </c>
      <c r="K311" s="31">
        <v>4664</v>
      </c>
      <c r="L311" s="31">
        <v>4597</v>
      </c>
      <c r="N311" s="556" t="s">
        <v>3551</v>
      </c>
      <c r="P311" s="4"/>
      <c r="R311" s="4"/>
    </row>
    <row r="312" spans="1:18">
      <c r="D312" s="561"/>
      <c r="E312" s="561"/>
      <c r="F312" s="561"/>
      <c r="G312" s="561"/>
      <c r="H312" s="561"/>
      <c r="I312" s="561"/>
      <c r="J312" s="561"/>
      <c r="K312" s="561"/>
      <c r="L312" s="561"/>
    </row>
    <row r="313" spans="1:18">
      <c r="A313" s="556" t="s">
        <v>5340</v>
      </c>
      <c r="D313" s="559">
        <f t="shared" ref="D313:I313" si="172">D300+D304+D307+D308</f>
        <v>14327</v>
      </c>
      <c r="E313" s="559">
        <f t="shared" si="172"/>
        <v>14468</v>
      </c>
      <c r="F313" s="559">
        <f t="shared" si="172"/>
        <v>14522</v>
      </c>
      <c r="G313" s="559">
        <f t="shared" si="172"/>
        <v>14639</v>
      </c>
      <c r="H313" s="559">
        <f t="shared" si="172"/>
        <v>14783</v>
      </c>
      <c r="I313" s="559">
        <f t="shared" si="172"/>
        <v>14363</v>
      </c>
      <c r="J313" s="559">
        <f t="shared" ref="J313:K313" si="173">J300+J304+J307+J308</f>
        <v>14347</v>
      </c>
      <c r="K313" s="559">
        <f t="shared" si="173"/>
        <v>14647</v>
      </c>
      <c r="L313" s="559">
        <f t="shared" ref="L313" si="174">L300+L304+L307+L308</f>
        <v>14719</v>
      </c>
    </row>
    <row r="314" spans="1:18">
      <c r="A314" s="556" t="s">
        <v>5358</v>
      </c>
      <c r="D314" s="559">
        <f t="shared" ref="D314:I314" si="175">SUM(D287:D299)+SUM(D301:D303)+D305+D306+SUM(D309:D311)</f>
        <v>63683</v>
      </c>
      <c r="E314" s="559">
        <f t="shared" si="175"/>
        <v>64295</v>
      </c>
      <c r="F314" s="559">
        <f t="shared" si="175"/>
        <v>64624</v>
      </c>
      <c r="G314" s="559">
        <f t="shared" si="175"/>
        <v>64780</v>
      </c>
      <c r="H314" s="559">
        <f t="shared" si="175"/>
        <v>64929</v>
      </c>
      <c r="I314" s="559">
        <f t="shared" si="175"/>
        <v>63277</v>
      </c>
      <c r="J314" s="559">
        <f t="shared" ref="J314:K314" si="176">SUM(J287:J299)+SUM(J301:J303)+J305+J306+SUM(J309:J311)</f>
        <v>62909</v>
      </c>
      <c r="K314" s="559">
        <f t="shared" si="176"/>
        <v>63792</v>
      </c>
      <c r="L314" s="559">
        <f t="shared" ref="L314" si="177">SUM(L287:L299)+SUM(L301:L303)+L305+L306+SUM(L309:L311)</f>
        <v>63747</v>
      </c>
    </row>
    <row r="315" spans="1:18">
      <c r="A315" s="556"/>
      <c r="B315" s="556"/>
      <c r="D315" s="559"/>
      <c r="E315" s="559"/>
      <c r="F315" s="559"/>
      <c r="G315" s="559"/>
      <c r="H315" s="559"/>
      <c r="I315" s="559"/>
      <c r="J315" s="559"/>
      <c r="K315" s="559"/>
      <c r="L315" s="559"/>
    </row>
    <row r="316" spans="1:18">
      <c r="A316" s="556" t="s">
        <v>2049</v>
      </c>
      <c r="B316" s="556"/>
      <c r="D316" s="559"/>
      <c r="E316" s="559"/>
      <c r="F316" s="559"/>
      <c r="G316" s="559"/>
      <c r="H316" s="559"/>
      <c r="I316" s="559"/>
      <c r="J316" s="559"/>
      <c r="K316" s="559"/>
      <c r="L316" s="559"/>
    </row>
    <row r="317" spans="1:18">
      <c r="A317" s="556"/>
      <c r="B317" s="556"/>
      <c r="D317" s="567"/>
      <c r="E317" s="567"/>
      <c r="F317" s="567"/>
      <c r="G317" s="567"/>
      <c r="H317" s="567"/>
      <c r="I317" s="567"/>
      <c r="J317" s="567"/>
      <c r="K317" s="567"/>
      <c r="L317" s="567"/>
    </row>
    <row r="318" spans="1:18">
      <c r="A318" s="556"/>
      <c r="B318" s="556"/>
      <c r="D318" s="567"/>
      <c r="E318" s="567"/>
      <c r="F318" s="567"/>
      <c r="G318" s="567"/>
      <c r="H318" s="567"/>
      <c r="I318" s="567"/>
      <c r="J318" s="567"/>
      <c r="K318" s="567"/>
      <c r="L318" s="567"/>
    </row>
    <row r="319" spans="1:18">
      <c r="E319" s="42" t="s">
        <v>2303</v>
      </c>
      <c r="F319" s="42"/>
      <c r="G319" s="42"/>
      <c r="H319" s="42"/>
      <c r="I319" s="42"/>
      <c r="J319" s="42"/>
      <c r="K319" s="42"/>
      <c r="L319" s="42"/>
      <c r="M319" s="65"/>
      <c r="N319" s="66" t="s">
        <v>13319</v>
      </c>
    </row>
    <row r="320" spans="1:18">
      <c r="D320" s="55">
        <v>2010</v>
      </c>
      <c r="E320" s="55">
        <v>2011</v>
      </c>
      <c r="F320" s="55">
        <v>2012</v>
      </c>
      <c r="G320" s="55">
        <v>2013</v>
      </c>
      <c r="H320" s="55">
        <v>2014</v>
      </c>
      <c r="I320" s="55">
        <v>2015</v>
      </c>
      <c r="J320" s="55">
        <v>2016</v>
      </c>
      <c r="K320" s="55">
        <v>2017</v>
      </c>
      <c r="L320" s="55">
        <v>2018</v>
      </c>
      <c r="M320" s="65"/>
      <c r="N320" s="67" t="s">
        <v>2304</v>
      </c>
    </row>
    <row r="321" spans="1:18">
      <c r="A321" s="556" t="s">
        <v>2050</v>
      </c>
      <c r="D321" s="559">
        <f t="shared" ref="D321:I321" si="178">SUM(D322:D336)</f>
        <v>70443</v>
      </c>
      <c r="E321" s="559">
        <f t="shared" si="178"/>
        <v>71326</v>
      </c>
      <c r="F321" s="559">
        <f t="shared" si="178"/>
        <v>72354</v>
      </c>
      <c r="G321" s="559">
        <f t="shared" si="178"/>
        <v>73346</v>
      </c>
      <c r="H321" s="559">
        <f t="shared" si="178"/>
        <v>74205</v>
      </c>
      <c r="I321" s="559">
        <f t="shared" si="178"/>
        <v>72972</v>
      </c>
      <c r="J321" s="559">
        <f t="shared" ref="J321:K321" si="179">SUM(J322:J336)</f>
        <v>71577</v>
      </c>
      <c r="K321" s="559">
        <f t="shared" si="179"/>
        <v>75362</v>
      </c>
      <c r="L321" s="559">
        <f t="shared" ref="L321" si="180">SUM(L322:L336)</f>
        <v>78689</v>
      </c>
    </row>
    <row r="322" spans="1:18">
      <c r="A322" s="566">
        <v>1</v>
      </c>
      <c r="B322" s="556" t="s">
        <v>2051</v>
      </c>
      <c r="C322" s="4" t="s">
        <v>12772</v>
      </c>
      <c r="D322" s="559">
        <v>70443</v>
      </c>
      <c r="E322" s="559">
        <v>71326</v>
      </c>
      <c r="F322" s="559">
        <v>5287</v>
      </c>
      <c r="G322" s="30">
        <v>5261</v>
      </c>
      <c r="H322" s="30">
        <v>5374</v>
      </c>
      <c r="I322" s="30">
        <v>5335</v>
      </c>
      <c r="J322" s="30">
        <v>5323</v>
      </c>
      <c r="K322" s="30">
        <v>5698</v>
      </c>
      <c r="L322" s="30">
        <v>6046</v>
      </c>
      <c r="N322" s="556" t="s">
        <v>3552</v>
      </c>
      <c r="P322" s="4"/>
      <c r="R322" s="4"/>
    </row>
    <row r="323" spans="1:18">
      <c r="A323" s="566">
        <v>2</v>
      </c>
      <c r="B323" s="556" t="s">
        <v>2052</v>
      </c>
      <c r="C323" s="4" t="s">
        <v>12773</v>
      </c>
      <c r="D323" s="559">
        <v>0</v>
      </c>
      <c r="E323" s="559">
        <v>0</v>
      </c>
      <c r="F323" s="559">
        <v>5382</v>
      </c>
      <c r="G323" s="30">
        <v>5606</v>
      </c>
      <c r="H323" s="30">
        <v>5977</v>
      </c>
      <c r="I323" s="30">
        <v>5919</v>
      </c>
      <c r="J323" s="30">
        <v>5858</v>
      </c>
      <c r="K323" s="30">
        <v>6207</v>
      </c>
      <c r="L323" s="30">
        <v>6463</v>
      </c>
      <c r="N323" s="556" t="s">
        <v>3552</v>
      </c>
      <c r="P323" s="4"/>
      <c r="R323" s="4"/>
    </row>
    <row r="324" spans="1:18">
      <c r="A324" s="566">
        <v>3</v>
      </c>
      <c r="B324" s="556" t="s">
        <v>2053</v>
      </c>
      <c r="C324" s="4" t="s">
        <v>12774</v>
      </c>
      <c r="D324" s="559">
        <v>0</v>
      </c>
      <c r="E324" s="559">
        <v>0</v>
      </c>
      <c r="F324" s="559">
        <v>4427</v>
      </c>
      <c r="G324" s="30">
        <v>4464</v>
      </c>
      <c r="H324" s="30">
        <v>4501</v>
      </c>
      <c r="I324" s="30">
        <v>4351</v>
      </c>
      <c r="J324" s="30">
        <v>4246</v>
      </c>
      <c r="K324" s="30">
        <v>4450</v>
      </c>
      <c r="L324" s="30">
        <v>4559</v>
      </c>
      <c r="N324" s="556" t="s">
        <v>3552</v>
      </c>
      <c r="P324" s="4"/>
      <c r="R324" s="4"/>
    </row>
    <row r="325" spans="1:18">
      <c r="A325" s="566">
        <v>4</v>
      </c>
      <c r="B325" s="556" t="s">
        <v>2054</v>
      </c>
      <c r="C325" s="4" t="s">
        <v>12775</v>
      </c>
      <c r="D325" s="559">
        <v>0</v>
      </c>
      <c r="E325" s="559">
        <v>0</v>
      </c>
      <c r="F325" s="559">
        <v>1979</v>
      </c>
      <c r="G325" s="30">
        <v>1984</v>
      </c>
      <c r="H325" s="30">
        <v>2011</v>
      </c>
      <c r="I325" s="30">
        <v>1971</v>
      </c>
      <c r="J325" s="30">
        <v>1934</v>
      </c>
      <c r="K325" s="30">
        <v>2038</v>
      </c>
      <c r="L325" s="30">
        <v>2107</v>
      </c>
      <c r="N325" s="556" t="s">
        <v>3552</v>
      </c>
      <c r="P325" s="4"/>
      <c r="R325" s="4"/>
    </row>
    <row r="326" spans="1:18">
      <c r="A326" s="566">
        <v>5</v>
      </c>
      <c r="B326" s="556" t="s">
        <v>2055</v>
      </c>
      <c r="C326" s="4" t="s">
        <v>12776</v>
      </c>
      <c r="D326" s="559">
        <v>0</v>
      </c>
      <c r="E326" s="559">
        <v>0</v>
      </c>
      <c r="F326" s="559">
        <v>6789</v>
      </c>
      <c r="G326" s="30">
        <v>6891</v>
      </c>
      <c r="H326" s="30">
        <v>6941</v>
      </c>
      <c r="I326" s="30">
        <v>6739</v>
      </c>
      <c r="J326" s="30">
        <v>6589</v>
      </c>
      <c r="K326" s="30">
        <v>6959</v>
      </c>
      <c r="L326" s="30">
        <v>7268</v>
      </c>
      <c r="N326" s="556" t="s">
        <v>3552</v>
      </c>
      <c r="P326" s="4"/>
      <c r="R326" s="4"/>
    </row>
    <row r="327" spans="1:18">
      <c r="A327" s="566">
        <v>6</v>
      </c>
      <c r="B327" s="556" t="s">
        <v>7890</v>
      </c>
      <c r="C327" s="4" t="s">
        <v>12777</v>
      </c>
      <c r="D327" s="559">
        <v>0</v>
      </c>
      <c r="E327" s="559">
        <v>0</v>
      </c>
      <c r="F327" s="559">
        <v>3989</v>
      </c>
      <c r="G327" s="30">
        <v>4058</v>
      </c>
      <c r="H327" s="30">
        <v>4059</v>
      </c>
      <c r="I327" s="30">
        <v>4004</v>
      </c>
      <c r="J327" s="30">
        <v>3923</v>
      </c>
      <c r="K327" s="30">
        <v>4122</v>
      </c>
      <c r="L327" s="30">
        <v>4373</v>
      </c>
      <c r="N327" s="556" t="s">
        <v>3552</v>
      </c>
      <c r="P327" s="4"/>
      <c r="R327" s="4"/>
    </row>
    <row r="328" spans="1:18">
      <c r="A328" s="566">
        <v>7</v>
      </c>
      <c r="B328" s="556" t="s">
        <v>2056</v>
      </c>
      <c r="C328" s="4" t="s">
        <v>12778</v>
      </c>
      <c r="D328" s="559">
        <v>0</v>
      </c>
      <c r="E328" s="559">
        <v>0</v>
      </c>
      <c r="F328" s="559">
        <v>4068</v>
      </c>
      <c r="G328" s="30">
        <v>4149</v>
      </c>
      <c r="H328" s="30">
        <v>4232</v>
      </c>
      <c r="I328" s="30">
        <v>4243</v>
      </c>
      <c r="J328" s="30">
        <v>4175</v>
      </c>
      <c r="K328" s="30">
        <v>4387</v>
      </c>
      <c r="L328" s="30">
        <v>4566</v>
      </c>
      <c r="N328" s="556" t="s">
        <v>3552</v>
      </c>
      <c r="P328" s="4"/>
      <c r="R328" s="4"/>
    </row>
    <row r="329" spans="1:18">
      <c r="A329" s="566">
        <v>8</v>
      </c>
      <c r="B329" s="556" t="s">
        <v>2057</v>
      </c>
      <c r="C329" s="4" t="s">
        <v>12779</v>
      </c>
      <c r="D329" s="559">
        <v>0</v>
      </c>
      <c r="E329" s="559">
        <v>0</v>
      </c>
      <c r="F329" s="559">
        <v>6345</v>
      </c>
      <c r="G329" s="30">
        <v>6391</v>
      </c>
      <c r="H329" s="30">
        <v>6350</v>
      </c>
      <c r="I329" s="30">
        <v>6219</v>
      </c>
      <c r="J329" s="30">
        <v>6031</v>
      </c>
      <c r="K329" s="30">
        <v>6289</v>
      </c>
      <c r="L329" s="30">
        <v>6483</v>
      </c>
      <c r="N329" s="556" t="s">
        <v>3552</v>
      </c>
      <c r="P329" s="4"/>
      <c r="R329" s="4"/>
    </row>
    <row r="330" spans="1:18">
      <c r="A330" s="566">
        <v>9</v>
      </c>
      <c r="B330" s="556" t="s">
        <v>2058</v>
      </c>
      <c r="C330" s="4" t="s">
        <v>12780</v>
      </c>
      <c r="D330" s="559">
        <v>0</v>
      </c>
      <c r="E330" s="559">
        <v>0</v>
      </c>
      <c r="F330" s="559">
        <v>6355</v>
      </c>
      <c r="G330" s="30">
        <v>6462</v>
      </c>
      <c r="H330" s="30">
        <v>6450</v>
      </c>
      <c r="I330" s="30">
        <v>6316</v>
      </c>
      <c r="J330" s="30">
        <v>6169</v>
      </c>
      <c r="K330" s="30">
        <v>6286</v>
      </c>
      <c r="L330" s="30">
        <v>6453</v>
      </c>
      <c r="N330" s="556" t="s">
        <v>3552</v>
      </c>
      <c r="P330" s="4"/>
      <c r="R330" s="4"/>
    </row>
    <row r="331" spans="1:18">
      <c r="A331" s="566">
        <v>10</v>
      </c>
      <c r="B331" s="556" t="s">
        <v>2059</v>
      </c>
      <c r="C331" s="4" t="s">
        <v>12781</v>
      </c>
      <c r="D331" s="559">
        <v>0</v>
      </c>
      <c r="E331" s="559">
        <v>0</v>
      </c>
      <c r="F331" s="559">
        <v>4123</v>
      </c>
      <c r="G331" s="30">
        <v>4145</v>
      </c>
      <c r="H331" s="30">
        <v>4126</v>
      </c>
      <c r="I331" s="30">
        <v>4041</v>
      </c>
      <c r="J331" s="30">
        <v>3886</v>
      </c>
      <c r="K331" s="30">
        <v>4203</v>
      </c>
      <c r="L331" s="30">
        <v>4345</v>
      </c>
      <c r="N331" s="556" t="s">
        <v>3552</v>
      </c>
      <c r="P331" s="4"/>
      <c r="R331" s="4"/>
    </row>
    <row r="332" spans="1:18">
      <c r="A332" s="566">
        <v>11</v>
      </c>
      <c r="B332" s="556" t="s">
        <v>2060</v>
      </c>
      <c r="C332" s="4" t="s">
        <v>12782</v>
      </c>
      <c r="D332" s="559">
        <v>0</v>
      </c>
      <c r="E332" s="559">
        <v>0</v>
      </c>
      <c r="F332" s="559">
        <v>4165</v>
      </c>
      <c r="G332" s="30">
        <v>4231</v>
      </c>
      <c r="H332" s="30">
        <v>4246</v>
      </c>
      <c r="I332" s="30">
        <v>4156</v>
      </c>
      <c r="J332" s="30">
        <v>4111</v>
      </c>
      <c r="K332" s="30">
        <v>4204</v>
      </c>
      <c r="L332" s="30">
        <v>4345</v>
      </c>
      <c r="N332" s="556" t="s">
        <v>3552</v>
      </c>
      <c r="P332" s="4"/>
      <c r="R332" s="4"/>
    </row>
    <row r="333" spans="1:18">
      <c r="A333" s="566">
        <v>12</v>
      </c>
      <c r="B333" s="556" t="s">
        <v>2061</v>
      </c>
      <c r="C333" s="4" t="s">
        <v>12783</v>
      </c>
      <c r="D333" s="559">
        <v>0</v>
      </c>
      <c r="E333" s="559">
        <v>0</v>
      </c>
      <c r="F333" s="559">
        <v>3259</v>
      </c>
      <c r="G333" s="30">
        <v>3295</v>
      </c>
      <c r="H333" s="30">
        <v>3303</v>
      </c>
      <c r="I333" s="30">
        <v>3350</v>
      </c>
      <c r="J333" s="30">
        <v>3394</v>
      </c>
      <c r="K333" s="30">
        <v>3823</v>
      </c>
      <c r="L333" s="30">
        <v>4116</v>
      </c>
      <c r="N333" s="556" t="s">
        <v>3552</v>
      </c>
      <c r="P333" s="4"/>
      <c r="R333" s="4"/>
    </row>
    <row r="334" spans="1:18">
      <c r="A334" s="566">
        <v>13</v>
      </c>
      <c r="B334" s="556" t="s">
        <v>2062</v>
      </c>
      <c r="C334" s="4" t="s">
        <v>12784</v>
      </c>
      <c r="D334" s="559">
        <v>0</v>
      </c>
      <c r="E334" s="559">
        <v>0</v>
      </c>
      <c r="F334" s="559">
        <v>6102</v>
      </c>
      <c r="G334" s="30">
        <v>6180</v>
      </c>
      <c r="H334" s="30">
        <v>6222</v>
      </c>
      <c r="I334" s="30">
        <v>6100</v>
      </c>
      <c r="J334" s="30">
        <v>5876</v>
      </c>
      <c r="K334" s="30">
        <v>6071</v>
      </c>
      <c r="L334" s="30">
        <v>6237</v>
      </c>
      <c r="N334" s="556" t="s">
        <v>3552</v>
      </c>
      <c r="P334" s="4"/>
      <c r="R334" s="4"/>
    </row>
    <row r="335" spans="1:18">
      <c r="A335" s="566">
        <v>14</v>
      </c>
      <c r="B335" s="556" t="s">
        <v>2063</v>
      </c>
      <c r="C335" s="4" t="s">
        <v>12785</v>
      </c>
      <c r="D335" s="559">
        <v>0</v>
      </c>
      <c r="E335" s="559">
        <v>0</v>
      </c>
      <c r="F335" s="559">
        <v>3542</v>
      </c>
      <c r="G335" s="30">
        <v>3586</v>
      </c>
      <c r="H335" s="30">
        <v>3580</v>
      </c>
      <c r="I335" s="30">
        <v>3582</v>
      </c>
      <c r="J335" s="30">
        <v>3635</v>
      </c>
      <c r="K335" s="30">
        <v>3922</v>
      </c>
      <c r="L335" s="30">
        <v>4377</v>
      </c>
      <c r="N335" s="556" t="s">
        <v>3552</v>
      </c>
      <c r="P335" s="4"/>
      <c r="R335" s="4"/>
    </row>
    <row r="336" spans="1:18">
      <c r="A336" s="566">
        <v>15</v>
      </c>
      <c r="B336" s="556" t="s">
        <v>2064</v>
      </c>
      <c r="C336" s="4" t="s">
        <v>12786</v>
      </c>
      <c r="D336" s="559">
        <v>0</v>
      </c>
      <c r="E336" s="559">
        <v>0</v>
      </c>
      <c r="F336" s="559">
        <v>6542</v>
      </c>
      <c r="G336" s="30">
        <v>6643</v>
      </c>
      <c r="H336" s="30">
        <v>6833</v>
      </c>
      <c r="I336" s="30">
        <v>6646</v>
      </c>
      <c r="J336" s="30">
        <v>6427</v>
      </c>
      <c r="K336" s="30">
        <v>6703</v>
      </c>
      <c r="L336" s="30">
        <v>6951</v>
      </c>
      <c r="N336" s="556" t="s">
        <v>3552</v>
      </c>
      <c r="P336" s="4"/>
      <c r="R336" s="4"/>
    </row>
    <row r="337" spans="1:12">
      <c r="D337" s="561"/>
      <c r="E337" s="561"/>
      <c r="F337" s="561"/>
      <c r="G337" s="561"/>
      <c r="H337" s="561"/>
      <c r="I337" s="561"/>
      <c r="J337" s="561"/>
      <c r="K337" s="561"/>
      <c r="L337" s="561"/>
    </row>
    <row r="338" spans="1:12" ht="15" customHeight="1">
      <c r="A338" s="556" t="s">
        <v>3552</v>
      </c>
      <c r="D338" s="559">
        <f>SUM(D322:D336)</f>
        <v>70443</v>
      </c>
      <c r="E338" s="559">
        <f t="shared" ref="E338:L338" si="181">SUM(E322:E336)</f>
        <v>71326</v>
      </c>
      <c r="F338" s="559">
        <f t="shared" si="181"/>
        <v>72354</v>
      </c>
      <c r="G338" s="559">
        <f t="shared" si="181"/>
        <v>73346</v>
      </c>
      <c r="H338" s="559">
        <f t="shared" si="181"/>
        <v>74205</v>
      </c>
      <c r="I338" s="559">
        <f t="shared" si="181"/>
        <v>72972</v>
      </c>
      <c r="J338" s="559">
        <f t="shared" si="181"/>
        <v>71577</v>
      </c>
      <c r="K338" s="559">
        <f t="shared" si="181"/>
        <v>75362</v>
      </c>
      <c r="L338" s="559">
        <f t="shared" si="181"/>
        <v>78689</v>
      </c>
    </row>
    <row r="340" spans="1:12">
      <c r="A340" s="557" t="s">
        <v>12838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220:K220 D149:K149 D90:E90 D107:E107 D249:K249 D279:K279 D62:K62 D127:K127 D117:D119 D81:D83 D157:K157 D178:D179 D186:K186 D213:K213 D321:K321 D286:K286 D313:D314 D3:D15 E313:E314 E81:E83 E178:E179 E117:E119 E3:E15 D338:K338 F81:F83 F90:F119 F178:F179 F313:F314 F3:F15 G81:G83 G313:G314 G107:K107 G117:G119 G90:K90 G178:G179 G3:G15 D16:D17 E16:E17 F16:F17 G16:G17 D19:D55 E19:E55 F19:F55 G19:G55 D18:G18 H117:H119 H178:H179 H313:H314 H81:H83 H3:H15 H16:H55 I81:I83 I117:I119 I178:I179 I313:I314 I3:I55 D241:I242 J178:J179 J313:J314 J81:J83 J241:J242 J117:J119 J3:J55 K178:K179 K313:K314 K81:K83 K241:K242 K117:K119 K3:K55 L3:L338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402"/>
  <sheetViews>
    <sheetView showGridLines="0" zoomScaleNormal="100" workbookViewId="0"/>
  </sheetViews>
  <sheetFormatPr defaultColWidth="12.5703125" defaultRowHeight="15"/>
  <cols>
    <col min="1" max="1" width="4.85546875" style="461" customWidth="1"/>
    <col min="2" max="2" width="40.7109375" style="461" customWidth="1"/>
    <col min="3" max="3" width="11.5703125" style="461" customWidth="1"/>
    <col min="4" max="12" width="10.140625" style="461" customWidth="1"/>
    <col min="13" max="13" width="2.28515625" style="461" customWidth="1"/>
    <col min="14" max="14" width="36" style="461" customWidth="1"/>
    <col min="15" max="15" width="12.5703125" style="939"/>
    <col min="16" max="16384" width="12.5703125" style="461"/>
  </cols>
  <sheetData>
    <row r="1" spans="1:14">
      <c r="A1" s="460" t="s">
        <v>8847</v>
      </c>
      <c r="D1" s="462">
        <v>2010</v>
      </c>
      <c r="E1" s="462">
        <v>2011</v>
      </c>
      <c r="F1" s="462">
        <v>2012</v>
      </c>
      <c r="G1" s="462">
        <v>2013</v>
      </c>
      <c r="H1" s="462">
        <v>2014</v>
      </c>
      <c r="I1" s="462">
        <v>2015</v>
      </c>
      <c r="J1" s="462">
        <v>2016</v>
      </c>
      <c r="K1" s="462">
        <v>2017</v>
      </c>
      <c r="L1" s="462">
        <v>2018</v>
      </c>
    </row>
    <row r="3" spans="1:14">
      <c r="A3" s="460" t="s">
        <v>2065</v>
      </c>
      <c r="C3" s="460"/>
      <c r="D3" s="463">
        <f t="shared" ref="D3:I3" si="0">SUM(D8:D15)</f>
        <v>585374</v>
      </c>
      <c r="E3" s="463">
        <f t="shared" si="0"/>
        <v>587002</v>
      </c>
      <c r="F3" s="463">
        <f t="shared" si="0"/>
        <v>590480</v>
      </c>
      <c r="G3" s="463">
        <f t="shared" si="0"/>
        <v>592601</v>
      </c>
      <c r="H3" s="463">
        <f t="shared" si="0"/>
        <v>584823</v>
      </c>
      <c r="I3" s="463">
        <f t="shared" si="0"/>
        <v>580485</v>
      </c>
      <c r="J3" s="463">
        <f t="shared" ref="J3:K3" si="1">SUM(J8:J15)</f>
        <v>578059</v>
      </c>
      <c r="K3" s="463">
        <f t="shared" si="1"/>
        <v>595659</v>
      </c>
      <c r="L3" s="463">
        <f t="shared" ref="L3" si="2">SUM(L8:L15)</f>
        <v>602870</v>
      </c>
    </row>
    <row r="4" spans="1:14">
      <c r="A4" s="460" t="s">
        <v>2066</v>
      </c>
      <c r="C4" s="460"/>
      <c r="D4" s="463">
        <f t="shared" ref="D4:I4" si="3">D72</f>
        <v>179541</v>
      </c>
      <c r="E4" s="463">
        <f t="shared" si="3"/>
        <v>182688</v>
      </c>
      <c r="F4" s="463">
        <f t="shared" si="3"/>
        <v>178511</v>
      </c>
      <c r="G4" s="463">
        <f t="shared" si="3"/>
        <v>180278</v>
      </c>
      <c r="H4" s="463">
        <f t="shared" si="3"/>
        <v>178524</v>
      </c>
      <c r="I4" s="463">
        <f t="shared" si="3"/>
        <v>174034</v>
      </c>
      <c r="J4" s="463">
        <f t="shared" ref="J4:K4" si="4">J72</f>
        <v>176755</v>
      </c>
      <c r="K4" s="463">
        <f t="shared" si="4"/>
        <v>180356</v>
      </c>
      <c r="L4" s="463">
        <f t="shared" ref="L4" si="5">L72</f>
        <v>183050</v>
      </c>
    </row>
    <row r="5" spans="1:14" ht="15.75" thickBot="1">
      <c r="A5" s="460" t="s">
        <v>3776</v>
      </c>
      <c r="C5" s="460"/>
      <c r="D5" s="464">
        <f t="shared" ref="D5:I5" si="6">D103</f>
        <v>103442</v>
      </c>
      <c r="E5" s="464">
        <f t="shared" si="6"/>
        <v>103358</v>
      </c>
      <c r="F5" s="464">
        <f t="shared" si="6"/>
        <v>103991</v>
      </c>
      <c r="G5" s="464">
        <f t="shared" si="6"/>
        <v>105363</v>
      </c>
      <c r="H5" s="464">
        <f t="shared" si="6"/>
        <v>106330</v>
      </c>
      <c r="I5" s="464">
        <f t="shared" si="6"/>
        <v>103113</v>
      </c>
      <c r="J5" s="464">
        <f t="shared" ref="J5:K5" si="7">J103</f>
        <v>97951</v>
      </c>
      <c r="K5" s="464">
        <f t="shared" si="7"/>
        <v>100267</v>
      </c>
      <c r="L5" s="464">
        <f t="shared" ref="L5" si="8">L103</f>
        <v>101796</v>
      </c>
    </row>
    <row r="6" spans="1:14" ht="15.75" thickBot="1">
      <c r="A6" s="20"/>
      <c r="C6" s="20"/>
      <c r="D6" s="465">
        <f t="shared" ref="D6:I6" si="9">SUM(D3:D5)</f>
        <v>868357</v>
      </c>
      <c r="E6" s="465">
        <f t="shared" si="9"/>
        <v>873048</v>
      </c>
      <c r="F6" s="465">
        <f t="shared" si="9"/>
        <v>872982</v>
      </c>
      <c r="G6" s="465">
        <f t="shared" si="9"/>
        <v>878242</v>
      </c>
      <c r="H6" s="465">
        <f t="shared" si="9"/>
        <v>869677</v>
      </c>
      <c r="I6" s="465">
        <f t="shared" si="9"/>
        <v>857632</v>
      </c>
      <c r="J6" s="465">
        <f t="shared" ref="J6:K6" si="10">SUM(J3:J5)</f>
        <v>852765</v>
      </c>
      <c r="K6" s="465">
        <f t="shared" si="10"/>
        <v>876282</v>
      </c>
      <c r="L6" s="465">
        <f t="shared" ref="L6" si="11">SUM(L3:L5)</f>
        <v>887716</v>
      </c>
      <c r="M6" s="20"/>
    </row>
    <row r="7" spans="1:14">
      <c r="A7" s="20"/>
      <c r="C7" s="20"/>
      <c r="D7" s="21"/>
      <c r="E7" s="21"/>
      <c r="F7" s="21"/>
      <c r="G7" s="21"/>
      <c r="H7" s="21"/>
      <c r="I7" s="21"/>
      <c r="J7" s="21"/>
      <c r="K7" s="21"/>
      <c r="L7" s="21"/>
      <c r="M7" s="20"/>
      <c r="N7" s="20"/>
    </row>
    <row r="8" spans="1:14">
      <c r="A8" s="460" t="s">
        <v>3765</v>
      </c>
      <c r="C8" s="460"/>
      <c r="D8" s="463">
        <f t="shared" ref="D8:I8" si="12">D128</f>
        <v>104424</v>
      </c>
      <c r="E8" s="463">
        <f t="shared" si="12"/>
        <v>103381</v>
      </c>
      <c r="F8" s="463">
        <f t="shared" si="12"/>
        <v>103382</v>
      </c>
      <c r="G8" s="463">
        <f t="shared" si="12"/>
        <v>103526</v>
      </c>
      <c r="H8" s="463">
        <f t="shared" si="12"/>
        <v>96974</v>
      </c>
      <c r="I8" s="463">
        <f t="shared" si="12"/>
        <v>102056</v>
      </c>
      <c r="J8" s="463">
        <f t="shared" ref="J8:K8" si="13">J128</f>
        <v>107456</v>
      </c>
      <c r="K8" s="463">
        <f t="shared" si="13"/>
        <v>112596</v>
      </c>
      <c r="L8" s="463">
        <f t="shared" ref="L8" si="14">L128</f>
        <v>114428</v>
      </c>
      <c r="M8" s="466"/>
      <c r="N8" s="466"/>
    </row>
    <row r="9" spans="1:14">
      <c r="A9" s="460" t="s">
        <v>3766</v>
      </c>
      <c r="C9" s="460"/>
      <c r="D9" s="463">
        <f t="shared" ref="D9:I9" si="15">D174</f>
        <v>84910</v>
      </c>
      <c r="E9" s="463">
        <f t="shared" si="15"/>
        <v>85924</v>
      </c>
      <c r="F9" s="463">
        <f t="shared" si="15"/>
        <v>87388</v>
      </c>
      <c r="G9" s="463">
        <f t="shared" si="15"/>
        <v>87289</v>
      </c>
      <c r="H9" s="463">
        <f t="shared" si="15"/>
        <v>88519</v>
      </c>
      <c r="I9" s="463">
        <f t="shared" si="15"/>
        <v>83742</v>
      </c>
      <c r="J9" s="463">
        <f t="shared" ref="J9:K9" si="16">J174</f>
        <v>81231</v>
      </c>
      <c r="K9" s="463">
        <f t="shared" si="16"/>
        <v>83654</v>
      </c>
      <c r="L9" s="463">
        <f t="shared" ref="L9" si="17">L174</f>
        <v>85456</v>
      </c>
      <c r="M9" s="466"/>
      <c r="N9" s="466"/>
    </row>
    <row r="10" spans="1:14">
      <c r="A10" s="460" t="s">
        <v>3767</v>
      </c>
      <c r="C10" s="460"/>
      <c r="D10" s="463">
        <f t="shared" ref="D10:I10" si="18">D203</f>
        <v>59582</v>
      </c>
      <c r="E10" s="463">
        <f t="shared" si="18"/>
        <v>59274</v>
      </c>
      <c r="F10" s="463">
        <f t="shared" si="18"/>
        <v>59841</v>
      </c>
      <c r="G10" s="463">
        <f t="shared" si="18"/>
        <v>59912</v>
      </c>
      <c r="H10" s="463">
        <f t="shared" si="18"/>
        <v>59488</v>
      </c>
      <c r="I10" s="463">
        <f t="shared" si="18"/>
        <v>59038</v>
      </c>
      <c r="J10" s="463">
        <f t="shared" ref="J10:K10" si="19">J203</f>
        <v>57917</v>
      </c>
      <c r="K10" s="463">
        <f t="shared" si="19"/>
        <v>59306</v>
      </c>
      <c r="L10" s="463">
        <f t="shared" ref="L10" si="20">L203</f>
        <v>62441</v>
      </c>
      <c r="M10" s="466"/>
      <c r="N10" s="466"/>
    </row>
    <row r="11" spans="1:14">
      <c r="A11" s="460" t="s">
        <v>3768</v>
      </c>
      <c r="C11" s="460"/>
      <c r="D11" s="463">
        <f t="shared" ref="D11:I11" si="21">D239</f>
        <v>74408</v>
      </c>
      <c r="E11" s="463">
        <f t="shared" si="21"/>
        <v>75098</v>
      </c>
      <c r="F11" s="463">
        <f t="shared" si="21"/>
        <v>75353</v>
      </c>
      <c r="G11" s="463">
        <f t="shared" si="21"/>
        <v>75744</v>
      </c>
      <c r="H11" s="463">
        <f t="shared" si="21"/>
        <v>74228</v>
      </c>
      <c r="I11" s="463">
        <f t="shared" si="21"/>
        <v>73358</v>
      </c>
      <c r="J11" s="463">
        <f t="shared" ref="J11:K11" si="22">J239</f>
        <v>73240</v>
      </c>
      <c r="K11" s="463">
        <f t="shared" si="22"/>
        <v>75489</v>
      </c>
      <c r="L11" s="463">
        <f t="shared" ref="L11" si="23">L239</f>
        <v>74101</v>
      </c>
      <c r="M11" s="466"/>
      <c r="N11" s="466"/>
    </row>
    <row r="12" spans="1:14">
      <c r="A12" s="460" t="s">
        <v>3769</v>
      </c>
      <c r="C12" s="460"/>
      <c r="D12" s="463">
        <f t="shared" ref="D12:I12" si="24">D277</f>
        <v>68490</v>
      </c>
      <c r="E12" s="463">
        <f t="shared" si="24"/>
        <v>68283</v>
      </c>
      <c r="F12" s="463">
        <f t="shared" si="24"/>
        <v>68020</v>
      </c>
      <c r="G12" s="463">
        <f t="shared" si="24"/>
        <v>68347</v>
      </c>
      <c r="H12" s="463">
        <f t="shared" si="24"/>
        <v>68002</v>
      </c>
      <c r="I12" s="463">
        <f t="shared" si="24"/>
        <v>67311</v>
      </c>
      <c r="J12" s="463">
        <f t="shared" ref="J12:K12" si="25">J277</f>
        <v>65782</v>
      </c>
      <c r="K12" s="463">
        <f t="shared" si="25"/>
        <v>67245</v>
      </c>
      <c r="L12" s="463">
        <f t="shared" ref="L12" si="26">L277</f>
        <v>67313</v>
      </c>
      <c r="M12" s="466"/>
      <c r="N12" s="466"/>
    </row>
    <row r="13" spans="1:14">
      <c r="A13" s="460" t="s">
        <v>3762</v>
      </c>
      <c r="C13" s="460"/>
      <c r="D13" s="463">
        <f t="shared" ref="D13:I13" si="27">D309</f>
        <v>101385</v>
      </c>
      <c r="E13" s="463">
        <f t="shared" si="27"/>
        <v>101677</v>
      </c>
      <c r="F13" s="463">
        <f t="shared" si="27"/>
        <v>102062</v>
      </c>
      <c r="G13" s="463">
        <f t="shared" si="27"/>
        <v>102475</v>
      </c>
      <c r="H13" s="463">
        <f t="shared" si="27"/>
        <v>103042</v>
      </c>
      <c r="I13" s="463">
        <f t="shared" si="27"/>
        <v>101328</v>
      </c>
      <c r="J13" s="463">
        <f t="shared" ref="J13:K13" si="28">J309</f>
        <v>99599</v>
      </c>
      <c r="K13" s="463">
        <f t="shared" si="28"/>
        <v>102036</v>
      </c>
      <c r="L13" s="463">
        <f t="shared" ref="L13" si="29">L309</f>
        <v>103295</v>
      </c>
      <c r="M13" s="466"/>
      <c r="N13" s="466"/>
    </row>
    <row r="14" spans="1:14">
      <c r="A14" s="460" t="s">
        <v>3763</v>
      </c>
      <c r="C14" s="460"/>
      <c r="D14" s="463">
        <f t="shared" ref="D14:I14" si="30">D345</f>
        <v>50482</v>
      </c>
      <c r="E14" s="463">
        <f t="shared" si="30"/>
        <v>50920</v>
      </c>
      <c r="F14" s="463">
        <f t="shared" si="30"/>
        <v>51235</v>
      </c>
      <c r="G14" s="463">
        <f t="shared" si="30"/>
        <v>51915</v>
      </c>
      <c r="H14" s="463">
        <f t="shared" si="30"/>
        <v>51695</v>
      </c>
      <c r="I14" s="463">
        <f t="shared" si="30"/>
        <v>51119</v>
      </c>
      <c r="J14" s="463">
        <f t="shared" ref="J14:K14" si="31">J345</f>
        <v>51061</v>
      </c>
      <c r="K14" s="463">
        <f t="shared" si="31"/>
        <v>52193</v>
      </c>
      <c r="L14" s="463">
        <f t="shared" ref="L14" si="32">L345</f>
        <v>52558</v>
      </c>
      <c r="M14" s="466"/>
      <c r="N14" s="466"/>
    </row>
    <row r="15" spans="1:14">
      <c r="A15" s="460" t="s">
        <v>3764</v>
      </c>
      <c r="C15" s="460"/>
      <c r="D15" s="463">
        <f t="shared" ref="D15:I15" si="33">D377</f>
        <v>41693</v>
      </c>
      <c r="E15" s="463">
        <f t="shared" si="33"/>
        <v>42445</v>
      </c>
      <c r="F15" s="463">
        <f t="shared" si="33"/>
        <v>43199</v>
      </c>
      <c r="G15" s="463">
        <f t="shared" si="33"/>
        <v>43393</v>
      </c>
      <c r="H15" s="463">
        <f t="shared" si="33"/>
        <v>42875</v>
      </c>
      <c r="I15" s="463">
        <f t="shared" si="33"/>
        <v>42533</v>
      </c>
      <c r="J15" s="463">
        <f t="shared" ref="J15:K15" si="34">J377</f>
        <v>41773</v>
      </c>
      <c r="K15" s="463">
        <f t="shared" si="34"/>
        <v>43140</v>
      </c>
      <c r="L15" s="463">
        <f t="shared" ref="L15" si="35">L377</f>
        <v>43278</v>
      </c>
      <c r="M15" s="466"/>
      <c r="N15" s="466"/>
    </row>
    <row r="16" spans="1:14">
      <c r="A16" s="460"/>
      <c r="D16" s="467"/>
      <c r="E16" s="467"/>
      <c r="F16" s="467"/>
      <c r="G16" s="467"/>
      <c r="H16" s="467"/>
      <c r="I16" s="467"/>
      <c r="J16" s="467"/>
      <c r="K16" s="467"/>
      <c r="L16" s="467"/>
    </row>
    <row r="17" spans="1:14">
      <c r="A17" s="460" t="s">
        <v>5482</v>
      </c>
      <c r="D17" s="463">
        <f t="shared" ref="D17:I17" si="36">D3/8</f>
        <v>73171.75</v>
      </c>
      <c r="E17" s="463">
        <f t="shared" si="36"/>
        <v>73375.25</v>
      </c>
      <c r="F17" s="463">
        <f t="shared" si="36"/>
        <v>73810</v>
      </c>
      <c r="G17" s="463">
        <f t="shared" si="36"/>
        <v>74075.125</v>
      </c>
      <c r="H17" s="463">
        <f t="shared" si="36"/>
        <v>73102.875</v>
      </c>
      <c r="I17" s="463">
        <f t="shared" si="36"/>
        <v>72560.625</v>
      </c>
      <c r="J17" s="463">
        <f t="shared" ref="J17:K17" si="37">J3/8</f>
        <v>72257.375</v>
      </c>
      <c r="K17" s="463">
        <f t="shared" si="37"/>
        <v>74457.375</v>
      </c>
      <c r="L17" s="463">
        <f t="shared" ref="L17" si="38">L3/8</f>
        <v>75358.75</v>
      </c>
    </row>
    <row r="18" spans="1:14">
      <c r="A18" s="460" t="s">
        <v>13395</v>
      </c>
      <c r="D18" s="463">
        <f t="shared" ref="D18:I18" si="39">D4/2</f>
        <v>89770.5</v>
      </c>
      <c r="E18" s="463">
        <f t="shared" si="39"/>
        <v>91344</v>
      </c>
      <c r="F18" s="463">
        <f t="shared" si="39"/>
        <v>89255.5</v>
      </c>
      <c r="G18" s="463">
        <f t="shared" si="39"/>
        <v>90139</v>
      </c>
      <c r="H18" s="463">
        <f t="shared" si="39"/>
        <v>89262</v>
      </c>
      <c r="I18" s="463">
        <f t="shared" si="39"/>
        <v>87017</v>
      </c>
      <c r="J18" s="463">
        <f t="shared" ref="J18:K18" si="40">J4/2</f>
        <v>88377.5</v>
      </c>
      <c r="K18" s="463">
        <f t="shared" si="40"/>
        <v>90178</v>
      </c>
      <c r="L18" s="463">
        <f t="shared" ref="L18" si="41">L4/2</f>
        <v>91525</v>
      </c>
    </row>
    <row r="19" spans="1:14">
      <c r="A19" s="460" t="s">
        <v>3775</v>
      </c>
      <c r="D19" s="463">
        <f t="shared" ref="D19:I19" si="42">D5/1</f>
        <v>103442</v>
      </c>
      <c r="E19" s="463">
        <f t="shared" si="42"/>
        <v>103358</v>
      </c>
      <c r="F19" s="463">
        <f t="shared" si="42"/>
        <v>103991</v>
      </c>
      <c r="G19" s="463">
        <f t="shared" si="42"/>
        <v>105363</v>
      </c>
      <c r="H19" s="463">
        <f t="shared" si="42"/>
        <v>106330</v>
      </c>
      <c r="I19" s="463">
        <f t="shared" si="42"/>
        <v>103113</v>
      </c>
      <c r="J19" s="463">
        <f t="shared" ref="J19:K19" si="43">J5/1</f>
        <v>97951</v>
      </c>
      <c r="K19" s="463">
        <f t="shared" si="43"/>
        <v>100267</v>
      </c>
      <c r="L19" s="463">
        <f t="shared" ref="L19" si="44">L5/1</f>
        <v>101796</v>
      </c>
    </row>
    <row r="20" spans="1:14">
      <c r="A20" s="460" t="s">
        <v>2356</v>
      </c>
      <c r="D20" s="463">
        <f t="shared" ref="D20:I20" si="45">D5/2</f>
        <v>51721</v>
      </c>
      <c r="E20" s="463">
        <f t="shared" si="45"/>
        <v>51679</v>
      </c>
      <c r="F20" s="463">
        <f t="shared" si="45"/>
        <v>51995.5</v>
      </c>
      <c r="G20" s="463">
        <f t="shared" si="45"/>
        <v>52681.5</v>
      </c>
      <c r="H20" s="463">
        <f t="shared" si="45"/>
        <v>53165</v>
      </c>
      <c r="I20" s="463">
        <f t="shared" si="45"/>
        <v>51556.5</v>
      </c>
      <c r="J20" s="463">
        <f t="shared" ref="J20:K20" si="46">J5/2</f>
        <v>48975.5</v>
      </c>
      <c r="K20" s="463">
        <f t="shared" si="46"/>
        <v>50133.5</v>
      </c>
      <c r="L20" s="463">
        <f t="shared" ref="L20" si="47">L5/2</f>
        <v>50898</v>
      </c>
    </row>
    <row r="21" spans="1:14">
      <c r="A21" s="460" t="s">
        <v>3536</v>
      </c>
      <c r="D21" s="463">
        <f t="shared" ref="D21:I21" si="48">D6/11</f>
        <v>78941.545454545456</v>
      </c>
      <c r="E21" s="463">
        <f t="shared" si="48"/>
        <v>79368</v>
      </c>
      <c r="F21" s="463">
        <f t="shared" si="48"/>
        <v>79362</v>
      </c>
      <c r="G21" s="463">
        <f t="shared" si="48"/>
        <v>79840.181818181823</v>
      </c>
      <c r="H21" s="463">
        <f t="shared" si="48"/>
        <v>79061.545454545456</v>
      </c>
      <c r="I21" s="463">
        <f t="shared" si="48"/>
        <v>77966.545454545456</v>
      </c>
      <c r="J21" s="463">
        <f t="shared" ref="J21:K21" si="49">J6/11</f>
        <v>77524.090909090912</v>
      </c>
      <c r="K21" s="463">
        <f t="shared" si="49"/>
        <v>79662</v>
      </c>
      <c r="L21" s="463">
        <f t="shared" ref="L21" si="50">L6/11</f>
        <v>80701.454545454544</v>
      </c>
    </row>
    <row r="22" spans="1:14">
      <c r="A22" s="460"/>
      <c r="D22" s="468"/>
      <c r="E22" s="468"/>
      <c r="F22" s="468"/>
      <c r="G22" s="468"/>
      <c r="H22" s="468"/>
      <c r="I22" s="468"/>
      <c r="J22" s="468"/>
      <c r="K22" s="468"/>
      <c r="L22" s="468"/>
    </row>
    <row r="23" spans="1:14">
      <c r="A23" s="461" t="s">
        <v>2357</v>
      </c>
      <c r="D23" s="469">
        <f t="shared" ref="D23:I23" si="51">D164</f>
        <v>1625</v>
      </c>
      <c r="E23" s="469">
        <f t="shared" si="51"/>
        <v>1593</v>
      </c>
      <c r="F23" s="469">
        <f t="shared" si="51"/>
        <v>1592</v>
      </c>
      <c r="G23" s="469">
        <f t="shared" si="51"/>
        <v>1596</v>
      </c>
      <c r="H23" s="469">
        <f t="shared" si="51"/>
        <v>1444</v>
      </c>
      <c r="I23" s="469">
        <f t="shared" si="51"/>
        <v>1512</v>
      </c>
      <c r="J23" s="469">
        <f t="shared" ref="J23:K23" si="52">J164</f>
        <v>1587</v>
      </c>
      <c r="K23" s="469">
        <f t="shared" si="52"/>
        <v>1661</v>
      </c>
      <c r="L23" s="469">
        <f t="shared" ref="L23" si="53">L164</f>
        <v>1662</v>
      </c>
      <c r="N23" s="460" t="s">
        <v>2358</v>
      </c>
    </row>
    <row r="24" spans="1:14">
      <c r="D24" s="469">
        <f t="shared" ref="D24:I24" si="54">D229</f>
        <v>21884</v>
      </c>
      <c r="E24" s="469">
        <f t="shared" si="54"/>
        <v>21945</v>
      </c>
      <c r="F24" s="469">
        <f t="shared" si="54"/>
        <v>22202</v>
      </c>
      <c r="G24" s="469">
        <f t="shared" si="54"/>
        <v>22255</v>
      </c>
      <c r="H24" s="469">
        <f t="shared" si="54"/>
        <v>22072</v>
      </c>
      <c r="I24" s="469">
        <f t="shared" si="54"/>
        <v>21859</v>
      </c>
      <c r="J24" s="469">
        <f t="shared" ref="J24:K24" si="55">J229</f>
        <v>21423</v>
      </c>
      <c r="K24" s="469">
        <f t="shared" si="55"/>
        <v>21807</v>
      </c>
      <c r="L24" s="469">
        <f t="shared" ref="L24" si="56">L229</f>
        <v>22861</v>
      </c>
      <c r="N24" s="461" t="s">
        <v>2359</v>
      </c>
    </row>
    <row r="25" spans="1:14">
      <c r="D25" s="469">
        <f t="shared" ref="D25:I25" si="57">D336</f>
        <v>31979</v>
      </c>
      <c r="E25" s="469">
        <f t="shared" si="57"/>
        <v>32077</v>
      </c>
      <c r="F25" s="469">
        <f t="shared" si="57"/>
        <v>32141</v>
      </c>
      <c r="G25" s="469">
        <f t="shared" si="57"/>
        <v>32305</v>
      </c>
      <c r="H25" s="469">
        <f t="shared" si="57"/>
        <v>32488</v>
      </c>
      <c r="I25" s="469">
        <f t="shared" si="57"/>
        <v>32008</v>
      </c>
      <c r="J25" s="469">
        <f t="shared" ref="J25:K25" si="58">J336</f>
        <v>31703</v>
      </c>
      <c r="K25" s="469">
        <f t="shared" si="58"/>
        <v>32223</v>
      </c>
      <c r="L25" s="469">
        <f t="shared" ref="L25" si="59">L336</f>
        <v>32571</v>
      </c>
      <c r="N25" s="461" t="s">
        <v>2360</v>
      </c>
    </row>
    <row r="26" spans="1:14" ht="15.75" thickBot="1">
      <c r="D26" s="470">
        <f t="shared" ref="D26:I26" si="60">D399</f>
        <v>15601</v>
      </c>
      <c r="E26" s="470">
        <f t="shared" si="60"/>
        <v>15948</v>
      </c>
      <c r="F26" s="470">
        <f t="shared" si="60"/>
        <v>16391</v>
      </c>
      <c r="G26" s="470">
        <f t="shared" si="60"/>
        <v>16466</v>
      </c>
      <c r="H26" s="470">
        <f t="shared" si="60"/>
        <v>16291</v>
      </c>
      <c r="I26" s="470">
        <f t="shared" si="60"/>
        <v>16196</v>
      </c>
      <c r="J26" s="470">
        <f t="shared" ref="J26:K26" si="61">J399</f>
        <v>15830</v>
      </c>
      <c r="K26" s="470">
        <f t="shared" si="61"/>
        <v>16523</v>
      </c>
      <c r="L26" s="470">
        <f t="shared" ref="L26" si="62">L399</f>
        <v>16724</v>
      </c>
      <c r="N26" s="461" t="s">
        <v>2361</v>
      </c>
    </row>
    <row r="27" spans="1:14" ht="15.75" thickBot="1">
      <c r="D27" s="471">
        <f t="shared" ref="D27:I27" si="63">SUM(D23:D26)</f>
        <v>71089</v>
      </c>
      <c r="E27" s="471">
        <f t="shared" si="63"/>
        <v>71563</v>
      </c>
      <c r="F27" s="471">
        <f t="shared" si="63"/>
        <v>72326</v>
      </c>
      <c r="G27" s="471">
        <f t="shared" si="63"/>
        <v>72622</v>
      </c>
      <c r="H27" s="471">
        <f t="shared" si="63"/>
        <v>72295</v>
      </c>
      <c r="I27" s="471">
        <f t="shared" si="63"/>
        <v>71575</v>
      </c>
      <c r="J27" s="471">
        <f t="shared" ref="J27:K27" si="64">SUM(J23:J26)</f>
        <v>70543</v>
      </c>
      <c r="K27" s="471">
        <f t="shared" si="64"/>
        <v>72214</v>
      </c>
      <c r="L27" s="471">
        <f t="shared" ref="L27" si="65">SUM(L23:L26)</f>
        <v>73818</v>
      </c>
    </row>
    <row r="28" spans="1:14">
      <c r="A28" s="460"/>
      <c r="D28" s="468"/>
      <c r="E28" s="468"/>
      <c r="F28" s="468"/>
      <c r="G28" s="468"/>
      <c r="H28" s="468"/>
      <c r="I28" s="468"/>
      <c r="J28" s="468"/>
      <c r="K28" s="468"/>
      <c r="L28" s="468"/>
    </row>
    <row r="29" spans="1:14">
      <c r="A29" s="460" t="s">
        <v>2362</v>
      </c>
      <c r="D29" s="463">
        <f t="shared" ref="D29:I29" si="66">D165</f>
        <v>63780</v>
      </c>
      <c r="E29" s="463">
        <f t="shared" si="66"/>
        <v>63278</v>
      </c>
      <c r="F29" s="463">
        <f t="shared" si="66"/>
        <v>63454</v>
      </c>
      <c r="G29" s="463">
        <f t="shared" si="66"/>
        <v>63470</v>
      </c>
      <c r="H29" s="463">
        <f t="shared" si="66"/>
        <v>59641</v>
      </c>
      <c r="I29" s="463">
        <f t="shared" si="66"/>
        <v>63001</v>
      </c>
      <c r="J29" s="463">
        <f t="shared" ref="J29:K29" si="67">J165</f>
        <v>66579</v>
      </c>
      <c r="K29" s="463">
        <f t="shared" si="67"/>
        <v>69914</v>
      </c>
      <c r="L29" s="463">
        <f t="shared" ref="L29" si="68">L165</f>
        <v>71261</v>
      </c>
      <c r="N29" s="460" t="s">
        <v>2358</v>
      </c>
    </row>
    <row r="30" spans="1:14" ht="15.75" thickBot="1">
      <c r="A30" s="460"/>
      <c r="D30" s="464">
        <f t="shared" ref="D30:I30" si="69">D195</f>
        <v>8974</v>
      </c>
      <c r="E30" s="464">
        <f t="shared" si="69"/>
        <v>9128</v>
      </c>
      <c r="F30" s="464">
        <f t="shared" si="69"/>
        <v>9352</v>
      </c>
      <c r="G30" s="464">
        <f t="shared" si="69"/>
        <v>9501</v>
      </c>
      <c r="H30" s="464">
        <f t="shared" si="69"/>
        <v>9693</v>
      </c>
      <c r="I30" s="464">
        <f t="shared" si="69"/>
        <v>9702</v>
      </c>
      <c r="J30" s="464">
        <f t="shared" ref="J30:K30" si="70">J195</f>
        <v>9827</v>
      </c>
      <c r="K30" s="464">
        <f t="shared" si="70"/>
        <v>10445</v>
      </c>
      <c r="L30" s="464">
        <f t="shared" ref="L30" si="71">L195</f>
        <v>10689</v>
      </c>
      <c r="N30" s="460" t="s">
        <v>1502</v>
      </c>
    </row>
    <row r="31" spans="1:14" ht="15.75" thickBot="1">
      <c r="A31" s="460"/>
      <c r="D31" s="472">
        <f t="shared" ref="D31:I31" si="72">D29+D30</f>
        <v>72754</v>
      </c>
      <c r="E31" s="472">
        <f t="shared" si="72"/>
        <v>72406</v>
      </c>
      <c r="F31" s="472">
        <f t="shared" si="72"/>
        <v>72806</v>
      </c>
      <c r="G31" s="472">
        <f t="shared" si="72"/>
        <v>72971</v>
      </c>
      <c r="H31" s="472">
        <f t="shared" si="72"/>
        <v>69334</v>
      </c>
      <c r="I31" s="472">
        <f t="shared" si="72"/>
        <v>72703</v>
      </c>
      <c r="J31" s="472">
        <f t="shared" ref="J31:K31" si="73">J29+J30</f>
        <v>76406</v>
      </c>
      <c r="K31" s="472">
        <f t="shared" si="73"/>
        <v>80359</v>
      </c>
      <c r="L31" s="472">
        <f t="shared" ref="L31" si="74">L29+L30</f>
        <v>81950</v>
      </c>
      <c r="N31" s="460"/>
    </row>
    <row r="32" spans="1:14">
      <c r="D32" s="469"/>
      <c r="E32" s="469"/>
      <c r="F32" s="469"/>
      <c r="G32" s="469"/>
      <c r="H32" s="469"/>
      <c r="I32" s="469"/>
      <c r="J32" s="469"/>
      <c r="K32" s="469"/>
      <c r="L32" s="469"/>
    </row>
    <row r="33" spans="1:14">
      <c r="A33" s="460" t="s">
        <v>1503</v>
      </c>
      <c r="D33" s="463">
        <f t="shared" ref="D33:I33" si="75">D196</f>
        <v>75936</v>
      </c>
      <c r="E33" s="463">
        <f t="shared" si="75"/>
        <v>76796</v>
      </c>
      <c r="F33" s="463">
        <f t="shared" si="75"/>
        <v>78036</v>
      </c>
      <c r="G33" s="463">
        <f t="shared" si="75"/>
        <v>77788</v>
      </c>
      <c r="H33" s="463">
        <f t="shared" si="75"/>
        <v>78826</v>
      </c>
      <c r="I33" s="463">
        <f t="shared" si="75"/>
        <v>74040</v>
      </c>
      <c r="J33" s="463">
        <f t="shared" ref="J33:K33" si="76">J196</f>
        <v>71404</v>
      </c>
      <c r="K33" s="463">
        <f t="shared" si="76"/>
        <v>73209</v>
      </c>
      <c r="L33" s="463">
        <f t="shared" ref="L33" si="77">L196</f>
        <v>74767</v>
      </c>
      <c r="N33" s="460" t="s">
        <v>1502</v>
      </c>
    </row>
    <row r="34" spans="1:14">
      <c r="D34" s="469"/>
      <c r="E34" s="469"/>
      <c r="F34" s="469"/>
      <c r="G34" s="469"/>
      <c r="H34" s="469"/>
      <c r="I34" s="469"/>
      <c r="J34" s="469"/>
      <c r="K34" s="469"/>
      <c r="L34" s="469"/>
    </row>
    <row r="35" spans="1:14">
      <c r="A35" s="460" t="s">
        <v>1504</v>
      </c>
      <c r="D35" s="463">
        <f t="shared" ref="D35:I35" si="78">D337</f>
        <v>69406</v>
      </c>
      <c r="E35" s="463">
        <f t="shared" si="78"/>
        <v>69600</v>
      </c>
      <c r="F35" s="463">
        <f t="shared" si="78"/>
        <v>69921</v>
      </c>
      <c r="G35" s="463">
        <f t="shared" si="78"/>
        <v>70170</v>
      </c>
      <c r="H35" s="463">
        <f t="shared" si="78"/>
        <v>70554</v>
      </c>
      <c r="I35" s="463">
        <f t="shared" si="78"/>
        <v>69320</v>
      </c>
      <c r="J35" s="463">
        <f t="shared" ref="J35:K35" si="79">J337</f>
        <v>67896</v>
      </c>
      <c r="K35" s="463">
        <f t="shared" si="79"/>
        <v>69813</v>
      </c>
      <c r="L35" s="463">
        <f t="shared" ref="L35" si="80">L337</f>
        <v>70724</v>
      </c>
      <c r="N35" s="460" t="s">
        <v>2360</v>
      </c>
    </row>
    <row r="36" spans="1:14">
      <c r="D36" s="469"/>
      <c r="E36" s="469"/>
      <c r="F36" s="469"/>
      <c r="G36" s="469"/>
      <c r="H36" s="469"/>
      <c r="I36" s="469"/>
      <c r="J36" s="469"/>
      <c r="K36" s="469"/>
      <c r="L36" s="469"/>
    </row>
    <row r="37" spans="1:14">
      <c r="A37" s="460" t="s">
        <v>1505</v>
      </c>
      <c r="D37" s="473">
        <f t="shared" ref="D37:I37" si="81">D268</f>
        <v>74408</v>
      </c>
      <c r="E37" s="473">
        <f t="shared" si="81"/>
        <v>75098</v>
      </c>
      <c r="F37" s="473">
        <f t="shared" si="81"/>
        <v>75353</v>
      </c>
      <c r="G37" s="473">
        <f t="shared" si="81"/>
        <v>75744</v>
      </c>
      <c r="H37" s="473">
        <f t="shared" si="81"/>
        <v>74228</v>
      </c>
      <c r="I37" s="473">
        <f t="shared" si="81"/>
        <v>73358</v>
      </c>
      <c r="J37" s="473">
        <f t="shared" ref="J37:K37" si="82">J268</f>
        <v>73240</v>
      </c>
      <c r="K37" s="473">
        <f t="shared" si="82"/>
        <v>75489</v>
      </c>
      <c r="L37" s="473">
        <f t="shared" ref="L37" si="83">L268</f>
        <v>74101</v>
      </c>
      <c r="N37" s="460" t="s">
        <v>3361</v>
      </c>
    </row>
    <row r="38" spans="1:14">
      <c r="D38" s="469"/>
      <c r="E38" s="469"/>
      <c r="F38" s="469"/>
      <c r="G38" s="469"/>
      <c r="H38" s="469"/>
      <c r="I38" s="469"/>
      <c r="J38" s="469"/>
      <c r="K38" s="469"/>
      <c r="L38" s="469"/>
    </row>
    <row r="39" spans="1:14">
      <c r="A39" s="460" t="s">
        <v>1506</v>
      </c>
      <c r="D39" s="463">
        <f t="shared" ref="D39:I39" si="84">D94</f>
        <v>67501</v>
      </c>
      <c r="E39" s="463">
        <f t="shared" si="84"/>
        <v>68556</v>
      </c>
      <c r="F39" s="463">
        <f t="shared" si="84"/>
        <v>67843</v>
      </c>
      <c r="G39" s="463">
        <f t="shared" si="84"/>
        <v>67966</v>
      </c>
      <c r="H39" s="463">
        <f t="shared" si="84"/>
        <v>67024</v>
      </c>
      <c r="I39" s="463">
        <f t="shared" si="84"/>
        <v>66426</v>
      </c>
      <c r="J39" s="463">
        <f t="shared" ref="J39:K39" si="85">J94</f>
        <v>65905</v>
      </c>
      <c r="K39" s="463">
        <f t="shared" si="85"/>
        <v>67209</v>
      </c>
      <c r="L39" s="463">
        <f t="shared" ref="L39" si="86">L94</f>
        <v>68035</v>
      </c>
      <c r="N39" s="460" t="s">
        <v>1507</v>
      </c>
    </row>
    <row r="40" spans="1:14">
      <c r="D40" s="469"/>
      <c r="E40" s="469"/>
      <c r="F40" s="469"/>
      <c r="G40" s="469"/>
      <c r="H40" s="469"/>
      <c r="I40" s="469"/>
      <c r="J40" s="469"/>
      <c r="K40" s="469"/>
      <c r="L40" s="469"/>
    </row>
    <row r="41" spans="1:14">
      <c r="A41" s="460" t="s">
        <v>2377</v>
      </c>
      <c r="D41" s="463">
        <f t="shared" ref="D41:I41" si="87">D95</f>
        <v>69474</v>
      </c>
      <c r="E41" s="463">
        <f t="shared" si="87"/>
        <v>71236</v>
      </c>
      <c r="F41" s="463">
        <f t="shared" si="87"/>
        <v>67781</v>
      </c>
      <c r="G41" s="463">
        <f t="shared" si="87"/>
        <v>70020</v>
      </c>
      <c r="H41" s="463">
        <f t="shared" si="87"/>
        <v>69069</v>
      </c>
      <c r="I41" s="463">
        <f t="shared" si="87"/>
        <v>65754</v>
      </c>
      <c r="J41" s="463">
        <f t="shared" ref="J41:K41" si="88">J95</f>
        <v>68987</v>
      </c>
      <c r="K41" s="463">
        <f t="shared" si="88"/>
        <v>70530</v>
      </c>
      <c r="L41" s="463">
        <f t="shared" ref="L41" si="89">L95</f>
        <v>72304</v>
      </c>
      <c r="N41" s="460" t="s">
        <v>1507</v>
      </c>
    </row>
    <row r="42" spans="1:14">
      <c r="D42" s="469"/>
      <c r="E42" s="469"/>
      <c r="F42" s="469"/>
      <c r="G42" s="469"/>
      <c r="H42" s="469"/>
      <c r="I42" s="469"/>
      <c r="J42" s="469"/>
      <c r="K42" s="469"/>
      <c r="L42" s="469"/>
    </row>
    <row r="43" spans="1:14">
      <c r="A43" s="460" t="s">
        <v>2378</v>
      </c>
      <c r="D43" s="463">
        <f t="shared" ref="D43:I43" si="90">D96</f>
        <v>42566</v>
      </c>
      <c r="E43" s="463">
        <f t="shared" si="90"/>
        <v>42896</v>
      </c>
      <c r="F43" s="463">
        <f t="shared" si="90"/>
        <v>42887</v>
      </c>
      <c r="G43" s="463">
        <f t="shared" si="90"/>
        <v>42292</v>
      </c>
      <c r="H43" s="463">
        <f t="shared" si="90"/>
        <v>42431</v>
      </c>
      <c r="I43" s="463">
        <f t="shared" si="90"/>
        <v>41854</v>
      </c>
      <c r="J43" s="463">
        <f t="shared" ref="J43:K43" si="91">J96</f>
        <v>41863</v>
      </c>
      <c r="K43" s="463">
        <f t="shared" si="91"/>
        <v>42617</v>
      </c>
      <c r="L43" s="463">
        <f t="shared" ref="L43" si="92">L96</f>
        <v>42711</v>
      </c>
      <c r="N43" s="460" t="s">
        <v>1507</v>
      </c>
    </row>
    <row r="44" spans="1:14" ht="15.75" thickBot="1">
      <c r="D44" s="464">
        <f t="shared" ref="D44:I44" si="93">D301</f>
        <v>27848</v>
      </c>
      <c r="E44" s="464">
        <f t="shared" si="93"/>
        <v>27860</v>
      </c>
      <c r="F44" s="464">
        <f t="shared" si="93"/>
        <v>27843</v>
      </c>
      <c r="G44" s="464">
        <f t="shared" si="93"/>
        <v>28038</v>
      </c>
      <c r="H44" s="464">
        <f t="shared" si="93"/>
        <v>27799</v>
      </c>
      <c r="I44" s="464">
        <f t="shared" si="93"/>
        <v>27413</v>
      </c>
      <c r="J44" s="464">
        <f t="shared" ref="J44:K44" si="94">J301</f>
        <v>26802</v>
      </c>
      <c r="K44" s="464">
        <f t="shared" si="94"/>
        <v>27444</v>
      </c>
      <c r="L44" s="464">
        <f t="shared" ref="L44" si="95">L301</f>
        <v>27328</v>
      </c>
      <c r="N44" s="460" t="s">
        <v>2379</v>
      </c>
    </row>
    <row r="45" spans="1:14" ht="15.75" thickBot="1">
      <c r="D45" s="464">
        <f t="shared" ref="D45:I45" si="96">SUM(D43:D44)</f>
        <v>70414</v>
      </c>
      <c r="E45" s="464">
        <f t="shared" si="96"/>
        <v>70756</v>
      </c>
      <c r="F45" s="464">
        <f t="shared" si="96"/>
        <v>70730</v>
      </c>
      <c r="G45" s="464">
        <f t="shared" si="96"/>
        <v>70330</v>
      </c>
      <c r="H45" s="464">
        <f t="shared" si="96"/>
        <v>70230</v>
      </c>
      <c r="I45" s="464">
        <f t="shared" si="96"/>
        <v>69267</v>
      </c>
      <c r="J45" s="464">
        <f t="shared" ref="J45:K45" si="97">SUM(J43:J44)</f>
        <v>68665</v>
      </c>
      <c r="K45" s="464">
        <f t="shared" si="97"/>
        <v>70061</v>
      </c>
      <c r="L45" s="464">
        <f t="shared" ref="L45" si="98">SUM(L43:L44)</f>
        <v>70039</v>
      </c>
    </row>
    <row r="46" spans="1:14">
      <c r="D46" s="469"/>
      <c r="E46" s="469"/>
      <c r="F46" s="469"/>
      <c r="G46" s="469"/>
      <c r="H46" s="469"/>
      <c r="I46" s="469"/>
      <c r="J46" s="469"/>
      <c r="K46" s="469"/>
      <c r="L46" s="469"/>
    </row>
    <row r="47" spans="1:14">
      <c r="A47" s="460" t="s">
        <v>2380</v>
      </c>
      <c r="D47" s="463">
        <f t="shared" ref="D47:I47" si="99">D166</f>
        <v>39019</v>
      </c>
      <c r="E47" s="463">
        <f t="shared" si="99"/>
        <v>38510</v>
      </c>
      <c r="F47" s="463">
        <f t="shared" si="99"/>
        <v>38336</v>
      </c>
      <c r="G47" s="463">
        <f t="shared" si="99"/>
        <v>38460</v>
      </c>
      <c r="H47" s="463">
        <f t="shared" si="99"/>
        <v>35889</v>
      </c>
      <c r="I47" s="463">
        <f t="shared" si="99"/>
        <v>37543</v>
      </c>
      <c r="J47" s="463">
        <f t="shared" ref="J47:K47" si="100">J166</f>
        <v>39290</v>
      </c>
      <c r="K47" s="463">
        <f t="shared" si="100"/>
        <v>41021</v>
      </c>
      <c r="L47" s="463">
        <f t="shared" ref="L47" si="101">L166</f>
        <v>41505</v>
      </c>
      <c r="N47" s="460" t="s">
        <v>2358</v>
      </c>
    </row>
    <row r="48" spans="1:14" ht="15.75" thickBot="1">
      <c r="D48" s="464">
        <f t="shared" ref="D48:I48" si="102">D230</f>
        <v>37698</v>
      </c>
      <c r="E48" s="464">
        <f t="shared" si="102"/>
        <v>37329</v>
      </c>
      <c r="F48" s="464">
        <f t="shared" si="102"/>
        <v>37639</v>
      </c>
      <c r="G48" s="464">
        <f t="shared" si="102"/>
        <v>37657</v>
      </c>
      <c r="H48" s="464">
        <f t="shared" si="102"/>
        <v>37416</v>
      </c>
      <c r="I48" s="464">
        <f t="shared" si="102"/>
        <v>37179</v>
      </c>
      <c r="J48" s="464">
        <f t="shared" ref="J48:K48" si="103">J230</f>
        <v>36494</v>
      </c>
      <c r="K48" s="464">
        <f t="shared" si="103"/>
        <v>37499</v>
      </c>
      <c r="L48" s="464">
        <f t="shared" ref="L48" si="104">L230</f>
        <v>39580</v>
      </c>
      <c r="N48" s="460" t="s">
        <v>2359</v>
      </c>
    </row>
    <row r="49" spans="1:14" ht="15.75" thickBot="1">
      <c r="D49" s="464">
        <f t="shared" ref="D49:I49" si="105">D47+D48</f>
        <v>76717</v>
      </c>
      <c r="E49" s="464">
        <f t="shared" si="105"/>
        <v>75839</v>
      </c>
      <c r="F49" s="464">
        <f t="shared" si="105"/>
        <v>75975</v>
      </c>
      <c r="G49" s="464">
        <f t="shared" si="105"/>
        <v>76117</v>
      </c>
      <c r="H49" s="464">
        <f t="shared" si="105"/>
        <v>73305</v>
      </c>
      <c r="I49" s="464">
        <f t="shared" si="105"/>
        <v>74722</v>
      </c>
      <c r="J49" s="464">
        <f t="shared" ref="J49:K49" si="106">J47+J48</f>
        <v>75784</v>
      </c>
      <c r="K49" s="464">
        <f t="shared" si="106"/>
        <v>78520</v>
      </c>
      <c r="L49" s="464">
        <f t="shared" ref="L49" si="107">L47+L48</f>
        <v>81085</v>
      </c>
    </row>
    <row r="50" spans="1:14">
      <c r="D50" s="469"/>
      <c r="E50" s="469"/>
      <c r="F50" s="469"/>
      <c r="G50" s="469"/>
      <c r="H50" s="469"/>
      <c r="I50" s="469"/>
      <c r="J50" s="469"/>
      <c r="K50" s="469"/>
      <c r="L50" s="469"/>
    </row>
    <row r="51" spans="1:14">
      <c r="A51" s="460" t="s">
        <v>2381</v>
      </c>
      <c r="D51" s="463">
        <f t="shared" ref="D51:I51" si="108">D120</f>
        <v>76253</v>
      </c>
      <c r="E51" s="463">
        <f t="shared" si="108"/>
        <v>76219</v>
      </c>
      <c r="F51" s="463">
        <f t="shared" si="108"/>
        <v>76793</v>
      </c>
      <c r="G51" s="463">
        <f t="shared" si="108"/>
        <v>77769</v>
      </c>
      <c r="H51" s="463">
        <f t="shared" si="108"/>
        <v>78410</v>
      </c>
      <c r="I51" s="463">
        <f t="shared" si="108"/>
        <v>75754</v>
      </c>
      <c r="J51" s="463">
        <f t="shared" ref="J51:K51" si="109">J120</f>
        <v>71459</v>
      </c>
      <c r="K51" s="463">
        <f t="shared" si="109"/>
        <v>73277</v>
      </c>
      <c r="L51" s="463">
        <f t="shared" ref="L51" si="110">L120</f>
        <v>74377</v>
      </c>
      <c r="N51" s="460" t="s">
        <v>2382</v>
      </c>
    </row>
    <row r="52" spans="1:14">
      <c r="D52" s="469"/>
      <c r="E52" s="469"/>
      <c r="F52" s="469"/>
      <c r="G52" s="469"/>
      <c r="H52" s="469"/>
      <c r="I52" s="469"/>
      <c r="J52" s="469"/>
      <c r="K52" s="469"/>
      <c r="L52" s="469"/>
    </row>
    <row r="53" spans="1:14">
      <c r="A53" s="460" t="s">
        <v>2383</v>
      </c>
      <c r="D53" s="463">
        <f t="shared" ref="D53:I53" si="111">D370</f>
        <v>50482</v>
      </c>
      <c r="E53" s="463">
        <f t="shared" si="111"/>
        <v>50920</v>
      </c>
      <c r="F53" s="463">
        <f t="shared" si="111"/>
        <v>51235</v>
      </c>
      <c r="G53" s="463">
        <f t="shared" si="111"/>
        <v>51915</v>
      </c>
      <c r="H53" s="463">
        <f t="shared" si="111"/>
        <v>51695</v>
      </c>
      <c r="I53" s="463">
        <f t="shared" si="111"/>
        <v>51119</v>
      </c>
      <c r="J53" s="463">
        <f t="shared" ref="J53:K53" si="112">J370</f>
        <v>51061</v>
      </c>
      <c r="K53" s="463">
        <f t="shared" si="112"/>
        <v>52193</v>
      </c>
      <c r="L53" s="463">
        <f t="shared" ref="L53" si="113">L370</f>
        <v>52558</v>
      </c>
      <c r="N53" s="460" t="s">
        <v>3364</v>
      </c>
    </row>
    <row r="54" spans="1:14" ht="15.75" thickBot="1">
      <c r="D54" s="464">
        <f t="shared" ref="D54:I54" si="114">D400</f>
        <v>26092</v>
      </c>
      <c r="E54" s="464">
        <f t="shared" si="114"/>
        <v>26497</v>
      </c>
      <c r="F54" s="464">
        <f t="shared" si="114"/>
        <v>26808</v>
      </c>
      <c r="G54" s="464">
        <f t="shared" si="114"/>
        <v>26927</v>
      </c>
      <c r="H54" s="464">
        <f t="shared" si="114"/>
        <v>26584</v>
      </c>
      <c r="I54" s="464">
        <f t="shared" si="114"/>
        <v>26337</v>
      </c>
      <c r="J54" s="464">
        <f t="shared" ref="J54:K54" si="115">J400</f>
        <v>25943</v>
      </c>
      <c r="K54" s="464">
        <f t="shared" si="115"/>
        <v>26617</v>
      </c>
      <c r="L54" s="464">
        <f t="shared" ref="L54" si="116">L400</f>
        <v>26554</v>
      </c>
      <c r="N54" s="460" t="s">
        <v>2361</v>
      </c>
    </row>
    <row r="55" spans="1:14" ht="15.75" thickBot="1">
      <c r="D55" s="464">
        <f t="shared" ref="D55:I55" si="117">SUM(D53:D54)</f>
        <v>76574</v>
      </c>
      <c r="E55" s="464">
        <f t="shared" si="117"/>
        <v>77417</v>
      </c>
      <c r="F55" s="464">
        <f t="shared" si="117"/>
        <v>78043</v>
      </c>
      <c r="G55" s="464">
        <f t="shared" si="117"/>
        <v>78842</v>
      </c>
      <c r="H55" s="464">
        <f t="shared" si="117"/>
        <v>78279</v>
      </c>
      <c r="I55" s="464">
        <f t="shared" si="117"/>
        <v>77456</v>
      </c>
      <c r="J55" s="464">
        <f t="shared" ref="J55:K55" si="118">SUM(J53:J54)</f>
        <v>77004</v>
      </c>
      <c r="K55" s="464">
        <f t="shared" si="118"/>
        <v>78810</v>
      </c>
      <c r="L55" s="464">
        <f t="shared" ref="L55" si="119">SUM(L53:L54)</f>
        <v>79112</v>
      </c>
    </row>
    <row r="56" spans="1:14">
      <c r="D56" s="469"/>
      <c r="E56" s="469"/>
      <c r="F56" s="469"/>
      <c r="G56" s="469"/>
      <c r="H56" s="469"/>
      <c r="I56" s="469"/>
      <c r="J56" s="469"/>
      <c r="K56" s="469"/>
      <c r="L56" s="469"/>
    </row>
    <row r="57" spans="1:14">
      <c r="A57" s="460" t="s">
        <v>2384</v>
      </c>
      <c r="D57" s="463">
        <f t="shared" ref="D57:I57" si="120">D302</f>
        <v>40642</v>
      </c>
      <c r="E57" s="463">
        <f t="shared" si="120"/>
        <v>40423</v>
      </c>
      <c r="F57" s="463">
        <f t="shared" si="120"/>
        <v>40177</v>
      </c>
      <c r="G57" s="463">
        <f t="shared" si="120"/>
        <v>40309</v>
      </c>
      <c r="H57" s="463">
        <f t="shared" si="120"/>
        <v>40203</v>
      </c>
      <c r="I57" s="463">
        <f t="shared" si="120"/>
        <v>39898</v>
      </c>
      <c r="J57" s="463">
        <f t="shared" ref="J57:K57" si="121">J302</f>
        <v>38980</v>
      </c>
      <c r="K57" s="463">
        <f t="shared" si="121"/>
        <v>39801</v>
      </c>
      <c r="L57" s="463">
        <f t="shared" ref="L57" si="122">L302</f>
        <v>39985</v>
      </c>
      <c r="N57" s="460" t="s">
        <v>2379</v>
      </c>
    </row>
    <row r="58" spans="1:14" ht="15.75" thickBot="1">
      <c r="D58" s="464">
        <f t="shared" ref="D58:I58" si="123">D121</f>
        <v>27189</v>
      </c>
      <c r="E58" s="464">
        <f t="shared" si="123"/>
        <v>27139</v>
      </c>
      <c r="F58" s="464">
        <f t="shared" si="123"/>
        <v>27198</v>
      </c>
      <c r="G58" s="464">
        <f t="shared" si="123"/>
        <v>27594</v>
      </c>
      <c r="H58" s="464">
        <f t="shared" si="123"/>
        <v>27920</v>
      </c>
      <c r="I58" s="464">
        <f t="shared" si="123"/>
        <v>27359</v>
      </c>
      <c r="J58" s="464">
        <f t="shared" ref="J58:K58" si="124">J121</f>
        <v>26492</v>
      </c>
      <c r="K58" s="464">
        <f t="shared" si="124"/>
        <v>26990</v>
      </c>
      <c r="L58" s="464">
        <f t="shared" ref="L58" si="125">L121</f>
        <v>27419</v>
      </c>
      <c r="N58" s="460" t="s">
        <v>2385</v>
      </c>
    </row>
    <row r="59" spans="1:14" ht="15.75" thickBot="1">
      <c r="D59" s="464">
        <f t="shared" ref="D59:I59" si="126">SUM(D57:D58)</f>
        <v>67831</v>
      </c>
      <c r="E59" s="464">
        <f t="shared" si="126"/>
        <v>67562</v>
      </c>
      <c r="F59" s="464">
        <f t="shared" si="126"/>
        <v>67375</v>
      </c>
      <c r="G59" s="464">
        <f t="shared" si="126"/>
        <v>67903</v>
      </c>
      <c r="H59" s="464">
        <f t="shared" si="126"/>
        <v>68123</v>
      </c>
      <c r="I59" s="464">
        <f t="shared" si="126"/>
        <v>67257</v>
      </c>
      <c r="J59" s="464">
        <f t="shared" ref="J59:K59" si="127">SUM(J57:J58)</f>
        <v>65472</v>
      </c>
      <c r="K59" s="464">
        <f t="shared" si="127"/>
        <v>66791</v>
      </c>
      <c r="L59" s="464">
        <f t="shared" ref="L59" si="128">SUM(L57:L58)</f>
        <v>67404</v>
      </c>
    </row>
    <row r="60" spans="1:14">
      <c r="D60" s="469"/>
      <c r="E60" s="469"/>
      <c r="F60" s="469"/>
      <c r="G60" s="469"/>
      <c r="H60" s="469"/>
      <c r="I60" s="469"/>
      <c r="J60" s="469"/>
      <c r="K60" s="469"/>
      <c r="L60" s="469"/>
    </row>
    <row r="61" spans="1:14">
      <c r="A61" s="460" t="s">
        <v>8697</v>
      </c>
      <c r="D61" s="463">
        <f t="shared" ref="D61:I61" si="129">D27+D31+D33+D35+D37+D39+D41+D45+D49+D51+D55+D59</f>
        <v>868357</v>
      </c>
      <c r="E61" s="463">
        <f t="shared" si="129"/>
        <v>873048</v>
      </c>
      <c r="F61" s="463">
        <f t="shared" si="129"/>
        <v>872982</v>
      </c>
      <c r="G61" s="463">
        <f t="shared" si="129"/>
        <v>878242</v>
      </c>
      <c r="H61" s="463">
        <f t="shared" si="129"/>
        <v>869677</v>
      </c>
      <c r="I61" s="463">
        <f t="shared" si="129"/>
        <v>857632</v>
      </c>
      <c r="J61" s="463">
        <f t="shared" ref="J61:K61" si="130">J27+J31+J33+J35+J37+J39+J41+J45+J49+J51+J55+J59</f>
        <v>852765</v>
      </c>
      <c r="K61" s="463">
        <f t="shared" si="130"/>
        <v>876282</v>
      </c>
      <c r="L61" s="463">
        <f t="shared" ref="L61" si="131">L27+L31+L33+L35+L37+L39+L41+L45+L49+L51+L55+L59</f>
        <v>887716</v>
      </c>
    </row>
    <row r="62" spans="1:14">
      <c r="D62" s="469"/>
      <c r="E62" s="469"/>
      <c r="F62" s="469"/>
      <c r="G62" s="469"/>
      <c r="H62" s="469"/>
      <c r="I62" s="469"/>
      <c r="J62" s="469"/>
      <c r="K62" s="469"/>
      <c r="L62" s="469"/>
    </row>
    <row r="63" spans="1:14">
      <c r="A63" s="460" t="s">
        <v>8698</v>
      </c>
      <c r="D63" s="463">
        <f t="shared" ref="D63:I63" si="132">MAX(D27,D31,D33,D35,D37,D39,D41,D45,D49,D51,D55,D59)-MIN(D27,D31,D33,D35,D37,D39,D41,D45,D49,D51,D55,D59)</f>
        <v>9216</v>
      </c>
      <c r="E63" s="463">
        <f t="shared" si="132"/>
        <v>9855</v>
      </c>
      <c r="F63" s="463">
        <f t="shared" si="132"/>
        <v>10668</v>
      </c>
      <c r="G63" s="463">
        <f t="shared" si="132"/>
        <v>10939</v>
      </c>
      <c r="H63" s="463">
        <f t="shared" si="132"/>
        <v>11802</v>
      </c>
      <c r="I63" s="463">
        <f t="shared" si="132"/>
        <v>11702</v>
      </c>
      <c r="J63" s="463">
        <f t="shared" ref="J63:K63" si="133">MAX(J27,J31,J33,J35,J37,J39,J41,J45,J49,J51,J55,J59)-MIN(J27,J31,J33,J35,J37,J39,J41,J45,J49,J51,J55,J59)</f>
        <v>11532</v>
      </c>
      <c r="K63" s="463">
        <f t="shared" si="133"/>
        <v>13568</v>
      </c>
      <c r="L63" s="463">
        <f t="shared" ref="L63" si="134">MAX(L27,L31,L33,L35,L37,L39,L41,L45,L49,L51,L55,L59)-MIN(L27,L31,L33,L35,L37,L39,L41,L45,L49,L51,L55,L59)</f>
        <v>14546</v>
      </c>
    </row>
    <row r="64" spans="1:14">
      <c r="D64" s="469"/>
      <c r="E64" s="469"/>
      <c r="F64" s="469"/>
      <c r="G64" s="469"/>
      <c r="H64" s="469"/>
      <c r="I64" s="469"/>
      <c r="J64" s="469"/>
      <c r="K64" s="469"/>
      <c r="L64" s="469"/>
    </row>
    <row r="65" spans="1:17">
      <c r="A65" s="460" t="s">
        <v>8701</v>
      </c>
      <c r="D65" s="463">
        <f t="shared" ref="D65:I65" si="135">STDEVP(D27,D31,D33,D35,D37,D39,D41,D45,D49,D51,D55,D59)</f>
        <v>3361.7094723353011</v>
      </c>
      <c r="E65" s="463">
        <f t="shared" si="135"/>
        <v>3259.1258541721481</v>
      </c>
      <c r="F65" s="463">
        <f t="shared" si="135"/>
        <v>3866.5929123713036</v>
      </c>
      <c r="G65" s="463">
        <f t="shared" si="135"/>
        <v>3787.1064555350904</v>
      </c>
      <c r="H65" s="463">
        <f t="shared" si="135"/>
        <v>3998.8581173949592</v>
      </c>
      <c r="I65" s="463">
        <f t="shared" si="135"/>
        <v>3671.9747033744966</v>
      </c>
      <c r="J65" s="463">
        <f t="shared" ref="J65:K65" si="136">STDEVP(J27,J31,J33,J35,J37,J39,J41,J45,J49,J51,J55,J59)</f>
        <v>3756.8615475553529</v>
      </c>
      <c r="K65" s="463">
        <f t="shared" si="136"/>
        <v>4303.9810350418602</v>
      </c>
      <c r="L65" s="463">
        <f t="shared" ref="L65" si="137">STDEVP(L27,L31,L33,L35,L37,L39,L41,L45,L49,L51,L55,L59)</f>
        <v>4552.3422969817302</v>
      </c>
    </row>
    <row r="66" spans="1:17">
      <c r="A66" s="460"/>
      <c r="D66" s="468"/>
      <c r="E66" s="468"/>
      <c r="F66" s="468"/>
      <c r="G66" s="468"/>
      <c r="H66" s="468"/>
      <c r="I66" s="468"/>
      <c r="J66" s="468"/>
      <c r="K66" s="468"/>
      <c r="L66" s="468"/>
    </row>
    <row r="67" spans="1:17">
      <c r="A67" s="460" t="s">
        <v>5487</v>
      </c>
      <c r="D67" s="468"/>
      <c r="E67" s="468"/>
      <c r="F67" s="468"/>
      <c r="G67" s="468"/>
      <c r="H67" s="468"/>
      <c r="I67" s="468"/>
      <c r="J67" s="468"/>
      <c r="K67" s="468"/>
      <c r="L67" s="468"/>
    </row>
    <row r="68" spans="1:17">
      <c r="A68" s="460"/>
      <c r="D68" s="468"/>
      <c r="E68" s="468"/>
      <c r="F68" s="468"/>
      <c r="G68" s="468"/>
      <c r="H68" s="468"/>
      <c r="I68" s="468"/>
      <c r="J68" s="468"/>
      <c r="K68" s="468"/>
      <c r="L68" s="468"/>
    </row>
    <row r="69" spans="1:17">
      <c r="A69" s="460"/>
      <c r="D69" s="468"/>
      <c r="E69" s="468"/>
      <c r="F69" s="468"/>
      <c r="G69" s="468"/>
      <c r="H69" s="468"/>
      <c r="I69" s="468"/>
      <c r="J69" s="468"/>
      <c r="K69" s="468"/>
      <c r="L69" s="468"/>
    </row>
    <row r="70" spans="1:17">
      <c r="E70" s="42" t="s">
        <v>2303</v>
      </c>
      <c r="F70" s="42"/>
      <c r="G70" s="42"/>
      <c r="H70" s="42"/>
      <c r="I70" s="42"/>
      <c r="J70" s="42"/>
      <c r="K70" s="42"/>
      <c r="L70" s="42"/>
      <c r="M70" s="109"/>
      <c r="N70" s="109" t="s">
        <v>13319</v>
      </c>
    </row>
    <row r="71" spans="1:17">
      <c r="D71" s="110">
        <v>2010</v>
      </c>
      <c r="E71" s="110">
        <v>2011</v>
      </c>
      <c r="F71" s="110">
        <v>2012</v>
      </c>
      <c r="G71" s="110">
        <v>2013</v>
      </c>
      <c r="H71" s="110">
        <v>2014</v>
      </c>
      <c r="I71" s="110">
        <v>2015</v>
      </c>
      <c r="J71" s="110">
        <v>2016</v>
      </c>
      <c r="K71" s="110">
        <v>2017</v>
      </c>
      <c r="L71" s="110">
        <v>2018</v>
      </c>
      <c r="N71" s="112" t="s">
        <v>2304</v>
      </c>
    </row>
    <row r="72" spans="1:17">
      <c r="A72" s="460" t="s">
        <v>2066</v>
      </c>
      <c r="C72" s="460"/>
      <c r="D72" s="463">
        <f t="shared" ref="D72:I72" si="138">SUM(D73:D92)</f>
        <v>179541</v>
      </c>
      <c r="E72" s="463">
        <f t="shared" si="138"/>
        <v>182688</v>
      </c>
      <c r="F72" s="463">
        <f t="shared" si="138"/>
        <v>178511</v>
      </c>
      <c r="G72" s="463">
        <f t="shared" si="138"/>
        <v>180278</v>
      </c>
      <c r="H72" s="463">
        <f t="shared" si="138"/>
        <v>178524</v>
      </c>
      <c r="I72" s="463">
        <f t="shared" si="138"/>
        <v>174034</v>
      </c>
      <c r="J72" s="463">
        <f t="shared" ref="J72:K72" si="139">SUM(J73:J92)</f>
        <v>176755</v>
      </c>
      <c r="K72" s="463">
        <f t="shared" si="139"/>
        <v>180356</v>
      </c>
      <c r="L72" s="463">
        <f t="shared" ref="L72" si="140">SUM(L73:L92)</f>
        <v>183050</v>
      </c>
    </row>
    <row r="73" spans="1:17">
      <c r="A73" s="460" t="s">
        <v>6957</v>
      </c>
      <c r="B73" s="460" t="s">
        <v>5488</v>
      </c>
      <c r="C73" s="4" t="s">
        <v>9676</v>
      </c>
      <c r="D73" s="463">
        <v>9459</v>
      </c>
      <c r="E73" s="463">
        <v>9660</v>
      </c>
      <c r="F73" s="463">
        <v>9661</v>
      </c>
      <c r="G73" s="48">
        <v>9632</v>
      </c>
      <c r="H73" s="48">
        <v>9221</v>
      </c>
      <c r="I73" s="48">
        <v>9153</v>
      </c>
      <c r="J73" s="48">
        <v>9146</v>
      </c>
      <c r="K73" s="48">
        <v>9351</v>
      </c>
      <c r="L73" s="48">
        <v>9433</v>
      </c>
      <c r="N73" s="460" t="s">
        <v>1506</v>
      </c>
      <c r="O73" s="940"/>
      <c r="Q73" s="4"/>
    </row>
    <row r="74" spans="1:17">
      <c r="A74" s="460" t="s">
        <v>6959</v>
      </c>
      <c r="B74" s="460" t="s">
        <v>4113</v>
      </c>
      <c r="C74" s="4" t="s">
        <v>9677</v>
      </c>
      <c r="D74" s="463">
        <v>9208</v>
      </c>
      <c r="E74" s="463">
        <v>9311</v>
      </c>
      <c r="F74" s="463">
        <v>9023</v>
      </c>
      <c r="G74" s="48">
        <v>8835</v>
      </c>
      <c r="H74" s="48">
        <v>8242</v>
      </c>
      <c r="I74" s="48">
        <v>8270</v>
      </c>
      <c r="J74" s="48">
        <v>8529</v>
      </c>
      <c r="K74" s="48">
        <v>8595</v>
      </c>
      <c r="L74" s="48">
        <v>8844</v>
      </c>
      <c r="N74" s="460" t="s">
        <v>2377</v>
      </c>
      <c r="O74" s="940"/>
      <c r="Q74" s="4"/>
    </row>
    <row r="75" spans="1:17">
      <c r="A75" s="460" t="s">
        <v>6961</v>
      </c>
      <c r="B75" s="460" t="s">
        <v>5489</v>
      </c>
      <c r="C75" s="4" t="s">
        <v>9678</v>
      </c>
      <c r="D75" s="463">
        <v>9208</v>
      </c>
      <c r="E75" s="463">
        <v>9616</v>
      </c>
      <c r="F75" s="463">
        <v>9174</v>
      </c>
      <c r="G75" s="48">
        <v>9568</v>
      </c>
      <c r="H75" s="48">
        <v>9343</v>
      </c>
      <c r="I75" s="48">
        <v>9334</v>
      </c>
      <c r="J75" s="48">
        <v>9380</v>
      </c>
      <c r="K75" s="48">
        <v>9732</v>
      </c>
      <c r="L75" s="48">
        <v>10129</v>
      </c>
      <c r="N75" s="460" t="s">
        <v>2377</v>
      </c>
      <c r="O75" s="940"/>
      <c r="Q75" s="4"/>
    </row>
    <row r="76" spans="1:17">
      <c r="A76" s="460" t="s">
        <v>6963</v>
      </c>
      <c r="B76" s="460" t="s">
        <v>5490</v>
      </c>
      <c r="C76" s="4" t="s">
        <v>9679</v>
      </c>
      <c r="D76" s="463">
        <v>4474</v>
      </c>
      <c r="E76" s="463">
        <v>4520</v>
      </c>
      <c r="F76" s="463">
        <v>3332</v>
      </c>
      <c r="G76" s="48">
        <v>4747</v>
      </c>
      <c r="H76" s="48">
        <v>6075</v>
      </c>
      <c r="I76" s="48">
        <v>3948</v>
      </c>
      <c r="J76" s="48">
        <v>5504</v>
      </c>
      <c r="K76" s="48">
        <v>5316</v>
      </c>
      <c r="L76" s="48">
        <v>5460</v>
      </c>
      <c r="N76" s="460" t="s">
        <v>2377</v>
      </c>
      <c r="O76" s="940"/>
      <c r="Q76" s="4"/>
    </row>
    <row r="77" spans="1:17">
      <c r="A77" s="460" t="s">
        <v>6965</v>
      </c>
      <c r="B77" s="460" t="s">
        <v>5491</v>
      </c>
      <c r="C77" s="4" t="s">
        <v>9680</v>
      </c>
      <c r="D77" s="463">
        <v>9292</v>
      </c>
      <c r="E77" s="463">
        <v>9322</v>
      </c>
      <c r="F77" s="463">
        <v>9112</v>
      </c>
      <c r="G77" s="48">
        <v>9572</v>
      </c>
      <c r="H77" s="48">
        <v>9224</v>
      </c>
      <c r="I77" s="48">
        <v>9021</v>
      </c>
      <c r="J77" s="48">
        <v>9121</v>
      </c>
      <c r="K77" s="48">
        <v>9386</v>
      </c>
      <c r="L77" s="48">
        <v>9406</v>
      </c>
      <c r="N77" s="460" t="s">
        <v>2377</v>
      </c>
      <c r="O77" s="940"/>
      <c r="Q77" s="4"/>
    </row>
    <row r="78" spans="1:17">
      <c r="A78" s="460" t="s">
        <v>6997</v>
      </c>
      <c r="B78" s="460" t="s">
        <v>5492</v>
      </c>
      <c r="C78" s="4" t="s">
        <v>9681</v>
      </c>
      <c r="D78" s="463">
        <v>10184</v>
      </c>
      <c r="E78" s="463">
        <v>10355</v>
      </c>
      <c r="F78" s="463">
        <v>10358</v>
      </c>
      <c r="G78" s="48">
        <v>10263</v>
      </c>
      <c r="H78" s="48">
        <v>10208</v>
      </c>
      <c r="I78" s="48">
        <v>10076</v>
      </c>
      <c r="J78" s="48">
        <v>9854</v>
      </c>
      <c r="K78" s="48">
        <v>9959</v>
      </c>
      <c r="L78" s="48">
        <v>10034</v>
      </c>
      <c r="N78" s="460" t="s">
        <v>1506</v>
      </c>
      <c r="O78" s="940"/>
      <c r="Q78" s="4"/>
    </row>
    <row r="79" spans="1:17">
      <c r="A79" s="460" t="s">
        <v>6999</v>
      </c>
      <c r="B79" s="460" t="s">
        <v>5493</v>
      </c>
      <c r="C79" s="4" t="s">
        <v>9682</v>
      </c>
      <c r="D79" s="463">
        <v>9623</v>
      </c>
      <c r="E79" s="463">
        <v>9631</v>
      </c>
      <c r="F79" s="463">
        <v>9140</v>
      </c>
      <c r="G79" s="48">
        <v>9223</v>
      </c>
      <c r="H79" s="48">
        <v>9170</v>
      </c>
      <c r="I79" s="48">
        <v>9145</v>
      </c>
      <c r="J79" s="48">
        <v>9094</v>
      </c>
      <c r="K79" s="48">
        <v>9543</v>
      </c>
      <c r="L79" s="48">
        <v>9873</v>
      </c>
      <c r="N79" s="460" t="s">
        <v>1506</v>
      </c>
      <c r="O79" s="940"/>
      <c r="Q79" s="4"/>
    </row>
    <row r="80" spans="1:17">
      <c r="A80" s="460" t="s">
        <v>7001</v>
      </c>
      <c r="B80" s="460" t="s">
        <v>5494</v>
      </c>
      <c r="C80" s="4" t="s">
        <v>9683</v>
      </c>
      <c r="D80" s="463">
        <v>10027</v>
      </c>
      <c r="E80" s="463">
        <v>10298</v>
      </c>
      <c r="F80" s="463">
        <v>10183</v>
      </c>
      <c r="G80" s="48">
        <v>10189</v>
      </c>
      <c r="H80" s="48">
        <v>10031</v>
      </c>
      <c r="I80" s="48">
        <v>9999</v>
      </c>
      <c r="J80" s="48">
        <v>9761</v>
      </c>
      <c r="K80" s="48">
        <v>9936</v>
      </c>
      <c r="L80" s="48">
        <v>9968</v>
      </c>
      <c r="N80" s="460" t="s">
        <v>1506</v>
      </c>
      <c r="O80" s="940"/>
      <c r="Q80" s="4"/>
    </row>
    <row r="81" spans="1:17">
      <c r="A81" s="460" t="s">
        <v>7003</v>
      </c>
      <c r="B81" s="460" t="s">
        <v>5495</v>
      </c>
      <c r="C81" s="4" t="s">
        <v>9684</v>
      </c>
      <c r="D81" s="463">
        <v>9237</v>
      </c>
      <c r="E81" s="463">
        <v>9257</v>
      </c>
      <c r="F81" s="463">
        <v>9250</v>
      </c>
      <c r="G81" s="48">
        <v>9209</v>
      </c>
      <c r="H81" s="48">
        <v>9017</v>
      </c>
      <c r="I81" s="48">
        <v>9001</v>
      </c>
      <c r="J81" s="48">
        <v>9142</v>
      </c>
      <c r="K81" s="48">
        <v>9436</v>
      </c>
      <c r="L81" s="48">
        <v>9619</v>
      </c>
      <c r="N81" s="460" t="s">
        <v>1506</v>
      </c>
      <c r="O81" s="940"/>
      <c r="Q81" s="4"/>
    </row>
    <row r="82" spans="1:17">
      <c r="A82" s="460" t="s">
        <v>7005</v>
      </c>
      <c r="B82" s="460" t="s">
        <v>2075</v>
      </c>
      <c r="C82" s="4" t="s">
        <v>9685</v>
      </c>
      <c r="D82" s="463">
        <v>9877</v>
      </c>
      <c r="E82" s="463">
        <v>10154</v>
      </c>
      <c r="F82" s="463">
        <v>10041</v>
      </c>
      <c r="G82" s="48">
        <v>10036</v>
      </c>
      <c r="H82" s="48">
        <v>9873</v>
      </c>
      <c r="I82" s="48">
        <v>9777</v>
      </c>
      <c r="J82" s="48">
        <v>9846</v>
      </c>
      <c r="K82" s="48">
        <v>9987</v>
      </c>
      <c r="L82" s="48">
        <v>10005</v>
      </c>
      <c r="N82" s="460" t="s">
        <v>2377</v>
      </c>
      <c r="O82" s="940"/>
      <c r="Q82" s="4"/>
    </row>
    <row r="83" spans="1:17">
      <c r="A83" s="460" t="s">
        <v>7007</v>
      </c>
      <c r="B83" s="460" t="s">
        <v>2076</v>
      </c>
      <c r="C83" s="4" t="s">
        <v>9686</v>
      </c>
      <c r="D83" s="463">
        <v>6126</v>
      </c>
      <c r="E83" s="463">
        <v>6219</v>
      </c>
      <c r="F83" s="463">
        <v>6246</v>
      </c>
      <c r="G83" s="48">
        <v>6201</v>
      </c>
      <c r="H83" s="48">
        <v>6178</v>
      </c>
      <c r="I83" s="48">
        <v>6090</v>
      </c>
      <c r="J83" s="48">
        <v>5945</v>
      </c>
      <c r="K83" s="48">
        <v>6028</v>
      </c>
      <c r="L83" s="48">
        <v>5974</v>
      </c>
      <c r="N83" s="460" t="s">
        <v>2378</v>
      </c>
      <c r="O83" s="940"/>
      <c r="Q83" s="4"/>
    </row>
    <row r="84" spans="1:17">
      <c r="A84" s="460" t="s">
        <v>7009</v>
      </c>
      <c r="B84" s="460" t="s">
        <v>2077</v>
      </c>
      <c r="C84" s="4" t="s">
        <v>9687</v>
      </c>
      <c r="D84" s="463">
        <v>6851</v>
      </c>
      <c r="E84" s="463">
        <v>6914</v>
      </c>
      <c r="F84" s="463">
        <v>6927</v>
      </c>
      <c r="G84" s="48">
        <v>6845</v>
      </c>
      <c r="H84" s="48">
        <v>6889</v>
      </c>
      <c r="I84" s="48">
        <v>6773</v>
      </c>
      <c r="J84" s="48">
        <v>6680</v>
      </c>
      <c r="K84" s="48">
        <v>6766</v>
      </c>
      <c r="L84" s="48">
        <v>6666</v>
      </c>
      <c r="N84" s="460" t="s">
        <v>2378</v>
      </c>
      <c r="O84" s="940"/>
      <c r="Q84" s="4"/>
    </row>
    <row r="85" spans="1:17">
      <c r="A85" s="460" t="s">
        <v>7011</v>
      </c>
      <c r="B85" s="460" t="s">
        <v>2078</v>
      </c>
      <c r="C85" s="4" t="s">
        <v>9688</v>
      </c>
      <c r="D85" s="463">
        <v>10082</v>
      </c>
      <c r="E85" s="463">
        <v>10113</v>
      </c>
      <c r="F85" s="463">
        <v>10152</v>
      </c>
      <c r="G85" s="48">
        <v>10076</v>
      </c>
      <c r="H85" s="48">
        <v>10178</v>
      </c>
      <c r="I85" s="48">
        <v>9988</v>
      </c>
      <c r="J85" s="48">
        <v>9973</v>
      </c>
      <c r="K85" s="48">
        <v>10055</v>
      </c>
      <c r="L85" s="48">
        <v>10053</v>
      </c>
      <c r="N85" s="460" t="s">
        <v>2378</v>
      </c>
      <c r="O85" s="940"/>
      <c r="Q85" s="4"/>
    </row>
    <row r="86" spans="1:17">
      <c r="A86" s="460" t="s">
        <v>7013</v>
      </c>
      <c r="B86" s="460" t="s">
        <v>2079</v>
      </c>
      <c r="C86" s="4" t="s">
        <v>9689</v>
      </c>
      <c r="D86" s="463">
        <v>9763</v>
      </c>
      <c r="E86" s="463">
        <v>9828</v>
      </c>
      <c r="F86" s="463">
        <v>9752</v>
      </c>
      <c r="G86" s="48">
        <v>9632</v>
      </c>
      <c r="H86" s="48">
        <v>9559</v>
      </c>
      <c r="I86" s="48">
        <v>9459</v>
      </c>
      <c r="J86" s="48">
        <v>9465</v>
      </c>
      <c r="K86" s="48">
        <v>9544</v>
      </c>
      <c r="L86" s="48">
        <v>9547</v>
      </c>
      <c r="N86" s="460" t="s">
        <v>2378</v>
      </c>
      <c r="O86" s="940"/>
      <c r="Q86" s="4"/>
    </row>
    <row r="87" spans="1:17">
      <c r="A87" s="460" t="s">
        <v>7015</v>
      </c>
      <c r="B87" s="460" t="s">
        <v>2080</v>
      </c>
      <c r="C87" s="4" t="s">
        <v>9690</v>
      </c>
      <c r="D87" s="463">
        <v>9744</v>
      </c>
      <c r="E87" s="463">
        <v>9822</v>
      </c>
      <c r="F87" s="463">
        <v>9810</v>
      </c>
      <c r="G87" s="48">
        <v>9538</v>
      </c>
      <c r="H87" s="48">
        <v>9627</v>
      </c>
      <c r="I87" s="48">
        <v>9544</v>
      </c>
      <c r="J87" s="48">
        <v>9800</v>
      </c>
      <c r="K87" s="48">
        <v>10224</v>
      </c>
      <c r="L87" s="48">
        <v>10471</v>
      </c>
      <c r="N87" s="460" t="s">
        <v>2378</v>
      </c>
      <c r="O87" s="940"/>
      <c r="Q87" s="4"/>
    </row>
    <row r="88" spans="1:17">
      <c r="A88" s="460" t="s">
        <v>7017</v>
      </c>
      <c r="B88" s="460" t="s">
        <v>2081</v>
      </c>
      <c r="C88" s="4" t="s">
        <v>9691</v>
      </c>
      <c r="D88" s="463">
        <v>9543</v>
      </c>
      <c r="E88" s="463">
        <v>9642</v>
      </c>
      <c r="F88" s="463">
        <v>9338</v>
      </c>
      <c r="G88" s="48">
        <v>9534</v>
      </c>
      <c r="H88" s="48">
        <v>9533</v>
      </c>
      <c r="I88" s="48">
        <v>9403</v>
      </c>
      <c r="J88" s="48">
        <v>9238</v>
      </c>
      <c r="K88" s="48">
        <v>9390</v>
      </c>
      <c r="L88" s="48">
        <v>9489</v>
      </c>
      <c r="N88" s="460" t="s">
        <v>1506</v>
      </c>
      <c r="O88" s="940"/>
      <c r="Q88" s="4"/>
    </row>
    <row r="89" spans="1:17">
      <c r="A89" s="460" t="s">
        <v>7019</v>
      </c>
      <c r="B89" s="460" t="s">
        <v>2082</v>
      </c>
      <c r="C89" s="4" t="s">
        <v>9692</v>
      </c>
      <c r="D89" s="463">
        <v>8849</v>
      </c>
      <c r="E89" s="463">
        <v>9390</v>
      </c>
      <c r="F89" s="463">
        <v>8898</v>
      </c>
      <c r="G89" s="48">
        <v>9532</v>
      </c>
      <c r="H89" s="48">
        <v>9152</v>
      </c>
      <c r="I89" s="48">
        <v>8354</v>
      </c>
      <c r="J89" s="48">
        <v>9221</v>
      </c>
      <c r="K89" s="48">
        <v>9488</v>
      </c>
      <c r="L89" s="48">
        <v>9962</v>
      </c>
      <c r="N89" s="460" t="s">
        <v>2377</v>
      </c>
      <c r="O89" s="940"/>
      <c r="Q89" s="4"/>
    </row>
    <row r="90" spans="1:17">
      <c r="A90" s="460" t="s">
        <v>7021</v>
      </c>
      <c r="B90" s="460" t="s">
        <v>2083</v>
      </c>
      <c r="C90" s="4" t="s">
        <v>9693</v>
      </c>
      <c r="D90" s="463">
        <v>9428</v>
      </c>
      <c r="E90" s="463">
        <v>9713</v>
      </c>
      <c r="F90" s="463">
        <v>9913</v>
      </c>
      <c r="G90" s="48">
        <v>9916</v>
      </c>
      <c r="H90" s="48">
        <v>9844</v>
      </c>
      <c r="I90" s="48">
        <v>9649</v>
      </c>
      <c r="J90" s="48">
        <v>9670</v>
      </c>
      <c r="K90" s="48">
        <v>9594</v>
      </c>
      <c r="L90" s="48">
        <v>9619</v>
      </c>
      <c r="N90" s="460" t="s">
        <v>1506</v>
      </c>
      <c r="O90" s="940"/>
      <c r="Q90" s="4"/>
    </row>
    <row r="91" spans="1:17">
      <c r="A91" s="460" t="s">
        <v>7023</v>
      </c>
      <c r="B91" s="460" t="s">
        <v>2084</v>
      </c>
      <c r="C91" s="4" t="s">
        <v>9694</v>
      </c>
      <c r="D91" s="463">
        <v>9038</v>
      </c>
      <c r="E91" s="463">
        <v>9359</v>
      </c>
      <c r="F91" s="463">
        <v>9184</v>
      </c>
      <c r="G91" s="48">
        <v>9211</v>
      </c>
      <c r="H91" s="48">
        <v>8828</v>
      </c>
      <c r="I91" s="48">
        <v>8772</v>
      </c>
      <c r="J91" s="48">
        <v>8796</v>
      </c>
      <c r="K91" s="48">
        <v>9098</v>
      </c>
      <c r="L91" s="48">
        <v>9544</v>
      </c>
      <c r="N91" s="460" t="s">
        <v>2377</v>
      </c>
      <c r="O91" s="940"/>
      <c r="Q91" s="4"/>
    </row>
    <row r="92" spans="1:17">
      <c r="A92" s="460" t="s">
        <v>7025</v>
      </c>
      <c r="B92" s="460" t="s">
        <v>7294</v>
      </c>
      <c r="C92" s="4" t="s">
        <v>9695</v>
      </c>
      <c r="D92" s="463">
        <v>9528</v>
      </c>
      <c r="E92" s="463">
        <v>9564</v>
      </c>
      <c r="F92" s="463">
        <v>9017</v>
      </c>
      <c r="G92" s="48">
        <v>8519</v>
      </c>
      <c r="H92" s="48">
        <v>8332</v>
      </c>
      <c r="I92" s="48">
        <v>8278</v>
      </c>
      <c r="J92" s="48">
        <v>8590</v>
      </c>
      <c r="K92" s="48">
        <v>8928</v>
      </c>
      <c r="L92" s="48">
        <v>8954</v>
      </c>
      <c r="N92" s="460" t="s">
        <v>2377</v>
      </c>
      <c r="O92" s="940"/>
      <c r="Q92" s="4"/>
    </row>
    <row r="93" spans="1:17">
      <c r="D93" s="469"/>
      <c r="E93" s="469"/>
      <c r="F93" s="469"/>
      <c r="G93" s="469"/>
      <c r="H93" s="469"/>
      <c r="I93" s="469"/>
      <c r="J93" s="469"/>
      <c r="K93" s="469"/>
      <c r="L93" s="469"/>
    </row>
    <row r="94" spans="1:17">
      <c r="A94" s="460" t="s">
        <v>1506</v>
      </c>
      <c r="D94" s="463">
        <f t="shared" ref="D94:I94" si="141">D73+SUM(D78:D81)+D88+D90</f>
        <v>67501</v>
      </c>
      <c r="E94" s="463">
        <f t="shared" si="141"/>
        <v>68556</v>
      </c>
      <c r="F94" s="463">
        <f t="shared" si="141"/>
        <v>67843</v>
      </c>
      <c r="G94" s="463">
        <f t="shared" si="141"/>
        <v>67966</v>
      </c>
      <c r="H94" s="463">
        <f t="shared" si="141"/>
        <v>67024</v>
      </c>
      <c r="I94" s="463">
        <f t="shared" si="141"/>
        <v>66426</v>
      </c>
      <c r="J94" s="463">
        <f t="shared" ref="J94:K94" si="142">J73+SUM(J78:J81)+J88+J90</f>
        <v>65905</v>
      </c>
      <c r="K94" s="463">
        <f t="shared" si="142"/>
        <v>67209</v>
      </c>
      <c r="L94" s="463">
        <f t="shared" ref="L94" si="143">L73+SUM(L78:L81)+L88+L90</f>
        <v>68035</v>
      </c>
    </row>
    <row r="95" spans="1:17">
      <c r="A95" s="460" t="s">
        <v>2377</v>
      </c>
      <c r="D95" s="463">
        <f t="shared" ref="D95:I95" si="144">SUM(D74:D77)+D82+D89+D91+D92</f>
        <v>69474</v>
      </c>
      <c r="E95" s="463">
        <f t="shared" si="144"/>
        <v>71236</v>
      </c>
      <c r="F95" s="463">
        <f t="shared" si="144"/>
        <v>67781</v>
      </c>
      <c r="G95" s="463">
        <f t="shared" si="144"/>
        <v>70020</v>
      </c>
      <c r="H95" s="463">
        <f t="shared" si="144"/>
        <v>69069</v>
      </c>
      <c r="I95" s="463">
        <f t="shared" si="144"/>
        <v>65754</v>
      </c>
      <c r="J95" s="463">
        <f t="shared" ref="J95:K95" si="145">SUM(J74:J77)+J82+J89+J91+J92</f>
        <v>68987</v>
      </c>
      <c r="K95" s="463">
        <f t="shared" si="145"/>
        <v>70530</v>
      </c>
      <c r="L95" s="463">
        <f t="shared" ref="L95" si="146">SUM(L74:L77)+L82+L89+L91+L92</f>
        <v>72304</v>
      </c>
    </row>
    <row r="96" spans="1:17">
      <c r="A96" s="460" t="s">
        <v>7295</v>
      </c>
      <c r="D96" s="463">
        <f t="shared" ref="D96:I96" si="147">SUM(D83:D87)</f>
        <v>42566</v>
      </c>
      <c r="E96" s="463">
        <f t="shared" si="147"/>
        <v>42896</v>
      </c>
      <c r="F96" s="463">
        <f t="shared" si="147"/>
        <v>42887</v>
      </c>
      <c r="G96" s="463">
        <f t="shared" si="147"/>
        <v>42292</v>
      </c>
      <c r="H96" s="463">
        <f t="shared" si="147"/>
        <v>42431</v>
      </c>
      <c r="I96" s="463">
        <f t="shared" si="147"/>
        <v>41854</v>
      </c>
      <c r="J96" s="463">
        <f t="shared" ref="J96:K96" si="148">SUM(J83:J87)</f>
        <v>41863</v>
      </c>
      <c r="K96" s="463">
        <f t="shared" si="148"/>
        <v>42617</v>
      </c>
      <c r="L96" s="463">
        <f t="shared" ref="L96" si="149">SUM(L83:L87)</f>
        <v>42711</v>
      </c>
      <c r="M96" s="463"/>
    </row>
    <row r="98" spans="1:17">
      <c r="A98" s="460" t="s">
        <v>7296</v>
      </c>
    </row>
    <row r="99" spans="1:17">
      <c r="A99" s="460"/>
    </row>
    <row r="100" spans="1:17">
      <c r="A100" s="460"/>
    </row>
    <row r="101" spans="1:17">
      <c r="E101" s="42" t="s">
        <v>2303</v>
      </c>
      <c r="F101" s="42"/>
      <c r="G101" s="42"/>
      <c r="H101" s="42"/>
      <c r="I101" s="42"/>
      <c r="J101" s="42"/>
      <c r="K101" s="42"/>
      <c r="L101" s="42"/>
      <c r="M101" s="109"/>
      <c r="N101" s="109" t="s">
        <v>13319</v>
      </c>
    </row>
    <row r="102" spans="1:17">
      <c r="D102" s="110">
        <v>2010</v>
      </c>
      <c r="E102" s="110">
        <v>2011</v>
      </c>
      <c r="F102" s="110">
        <v>2012</v>
      </c>
      <c r="G102" s="110">
        <v>2013</v>
      </c>
      <c r="H102" s="110">
        <v>2014</v>
      </c>
      <c r="I102" s="110">
        <v>2015</v>
      </c>
      <c r="J102" s="110">
        <v>2016</v>
      </c>
      <c r="K102" s="110">
        <v>2017</v>
      </c>
      <c r="L102" s="110">
        <v>2018</v>
      </c>
      <c r="N102" s="112" t="s">
        <v>2304</v>
      </c>
    </row>
    <row r="103" spans="1:17">
      <c r="A103" s="460" t="s">
        <v>3776</v>
      </c>
      <c r="D103" s="463">
        <f t="shared" ref="D103:I103" si="150">SUM(D104:D118)</f>
        <v>103442</v>
      </c>
      <c r="E103" s="463">
        <f t="shared" si="150"/>
        <v>103358</v>
      </c>
      <c r="F103" s="463">
        <f t="shared" si="150"/>
        <v>103991</v>
      </c>
      <c r="G103" s="463">
        <f t="shared" si="150"/>
        <v>105363</v>
      </c>
      <c r="H103" s="463">
        <f t="shared" si="150"/>
        <v>106330</v>
      </c>
      <c r="I103" s="463">
        <f t="shared" si="150"/>
        <v>103113</v>
      </c>
      <c r="J103" s="463">
        <f t="shared" ref="J103:K103" si="151">SUM(J104:J118)</f>
        <v>97951</v>
      </c>
      <c r="K103" s="463">
        <f t="shared" si="151"/>
        <v>100267</v>
      </c>
      <c r="L103" s="463">
        <f t="shared" ref="L103" si="152">SUM(L104:L118)</f>
        <v>101796</v>
      </c>
    </row>
    <row r="104" spans="1:17">
      <c r="A104" s="460" t="s">
        <v>6957</v>
      </c>
      <c r="B104" s="460" t="s">
        <v>7297</v>
      </c>
      <c r="C104" s="4" t="s">
        <v>9696</v>
      </c>
      <c r="D104" s="463">
        <v>7786</v>
      </c>
      <c r="E104" s="463">
        <v>7747</v>
      </c>
      <c r="F104" s="463">
        <v>7691</v>
      </c>
      <c r="G104" s="30">
        <v>7852</v>
      </c>
      <c r="H104" s="30">
        <v>7923</v>
      </c>
      <c r="I104" s="30">
        <v>7683</v>
      </c>
      <c r="J104" s="30">
        <v>7494</v>
      </c>
      <c r="K104" s="30">
        <v>7521</v>
      </c>
      <c r="L104" s="30">
        <v>7629</v>
      </c>
      <c r="N104" s="460" t="s">
        <v>2384</v>
      </c>
      <c r="O104" s="940"/>
      <c r="Q104" s="4"/>
    </row>
    <row r="105" spans="1:17">
      <c r="A105" s="460" t="s">
        <v>6959</v>
      </c>
      <c r="B105" s="460" t="s">
        <v>7298</v>
      </c>
      <c r="C105" s="4" t="s">
        <v>9697</v>
      </c>
      <c r="D105" s="473">
        <v>7906</v>
      </c>
      <c r="E105" s="473">
        <v>7889</v>
      </c>
      <c r="F105" s="473">
        <v>7959</v>
      </c>
      <c r="G105" s="30">
        <v>7982</v>
      </c>
      <c r="H105" s="30">
        <v>8177</v>
      </c>
      <c r="I105" s="30">
        <v>8004</v>
      </c>
      <c r="J105" s="30">
        <v>7800</v>
      </c>
      <c r="K105" s="30">
        <v>8054</v>
      </c>
      <c r="L105" s="30">
        <v>8372</v>
      </c>
      <c r="N105" s="460" t="s">
        <v>2384</v>
      </c>
      <c r="O105" s="940"/>
      <c r="Q105" s="4"/>
    </row>
    <row r="106" spans="1:17">
      <c r="A106" s="460" t="s">
        <v>6961</v>
      </c>
      <c r="B106" s="460" t="s">
        <v>7299</v>
      </c>
      <c r="C106" s="4" t="s">
        <v>9698</v>
      </c>
      <c r="D106" s="473">
        <v>5708</v>
      </c>
      <c r="E106" s="473">
        <v>5700</v>
      </c>
      <c r="F106" s="473">
        <v>5782</v>
      </c>
      <c r="G106" s="30">
        <v>5800</v>
      </c>
      <c r="H106" s="30">
        <v>5762</v>
      </c>
      <c r="I106" s="30">
        <v>5735</v>
      </c>
      <c r="J106" s="30">
        <v>5578</v>
      </c>
      <c r="K106" s="30">
        <v>5691</v>
      </c>
      <c r="L106" s="30">
        <v>5597</v>
      </c>
      <c r="N106" s="460" t="s">
        <v>2384</v>
      </c>
      <c r="O106" s="940"/>
      <c r="Q106" s="4"/>
    </row>
    <row r="107" spans="1:17">
      <c r="A107" s="460" t="s">
        <v>6963</v>
      </c>
      <c r="B107" s="460" t="s">
        <v>7300</v>
      </c>
      <c r="C107" s="4" t="s">
        <v>9699</v>
      </c>
      <c r="D107" s="463">
        <v>5749</v>
      </c>
      <c r="E107" s="463">
        <v>5728</v>
      </c>
      <c r="F107" s="463">
        <v>5749</v>
      </c>
      <c r="G107" s="30">
        <v>5840</v>
      </c>
      <c r="H107" s="30">
        <v>5828</v>
      </c>
      <c r="I107" s="30">
        <v>5709</v>
      </c>
      <c r="J107" s="30">
        <v>5386</v>
      </c>
      <c r="K107" s="30">
        <v>5449</v>
      </c>
      <c r="L107" s="30">
        <v>5538</v>
      </c>
      <c r="N107" s="460" t="s">
        <v>2381</v>
      </c>
      <c r="O107" s="940"/>
      <c r="Q107" s="4"/>
    </row>
    <row r="108" spans="1:17">
      <c r="A108" s="460" t="s">
        <v>6965</v>
      </c>
      <c r="B108" s="460" t="s">
        <v>7301</v>
      </c>
      <c r="C108" s="4" t="s">
        <v>9700</v>
      </c>
      <c r="D108" s="463">
        <v>8482</v>
      </c>
      <c r="E108" s="463">
        <v>8544</v>
      </c>
      <c r="F108" s="463">
        <v>8514</v>
      </c>
      <c r="G108" s="30">
        <v>8611</v>
      </c>
      <c r="H108" s="30">
        <v>8635</v>
      </c>
      <c r="I108" s="30">
        <v>8345</v>
      </c>
      <c r="J108" s="30">
        <v>8040</v>
      </c>
      <c r="K108" s="30">
        <v>8259</v>
      </c>
      <c r="L108" s="30">
        <v>8366</v>
      </c>
      <c r="N108" s="460" t="s">
        <v>2381</v>
      </c>
      <c r="O108" s="940"/>
      <c r="Q108" s="4"/>
    </row>
    <row r="109" spans="1:17">
      <c r="A109" s="460" t="s">
        <v>6997</v>
      </c>
      <c r="B109" s="460" t="s">
        <v>5496</v>
      </c>
      <c r="C109" s="4" t="s">
        <v>9701</v>
      </c>
      <c r="D109" s="463">
        <v>5563</v>
      </c>
      <c r="E109" s="463">
        <v>5345</v>
      </c>
      <c r="F109" s="463">
        <v>5481</v>
      </c>
      <c r="G109" s="30">
        <v>5532</v>
      </c>
      <c r="H109" s="30">
        <v>5576</v>
      </c>
      <c r="I109" s="30">
        <v>5368</v>
      </c>
      <c r="J109" s="30">
        <v>4854</v>
      </c>
      <c r="K109" s="30">
        <v>5016</v>
      </c>
      <c r="L109" s="30">
        <v>5113</v>
      </c>
      <c r="N109" s="460" t="s">
        <v>2381</v>
      </c>
      <c r="O109" s="940"/>
      <c r="Q109" s="4"/>
    </row>
    <row r="110" spans="1:17">
      <c r="A110" s="460" t="s">
        <v>6999</v>
      </c>
      <c r="B110" s="460" t="s">
        <v>5497</v>
      </c>
      <c r="C110" s="4" t="s">
        <v>9702</v>
      </c>
      <c r="D110" s="463">
        <v>5736</v>
      </c>
      <c r="E110" s="463">
        <v>5644</v>
      </c>
      <c r="F110" s="463">
        <v>5727</v>
      </c>
      <c r="G110" s="30">
        <v>5755</v>
      </c>
      <c r="H110" s="30">
        <v>5744</v>
      </c>
      <c r="I110" s="30">
        <v>5690</v>
      </c>
      <c r="J110" s="30">
        <v>5539</v>
      </c>
      <c r="K110" s="30">
        <v>5708</v>
      </c>
      <c r="L110" s="30">
        <v>5803</v>
      </c>
      <c r="N110" s="460" t="s">
        <v>2381</v>
      </c>
      <c r="O110" s="940"/>
      <c r="Q110" s="4"/>
    </row>
    <row r="111" spans="1:17">
      <c r="A111" s="460" t="s">
        <v>7001</v>
      </c>
      <c r="B111" s="460" t="s">
        <v>5081</v>
      </c>
      <c r="C111" s="4" t="s">
        <v>9703</v>
      </c>
      <c r="D111" s="463">
        <v>8405</v>
      </c>
      <c r="E111" s="463">
        <v>8387</v>
      </c>
      <c r="F111" s="463">
        <v>8372</v>
      </c>
      <c r="G111" s="30">
        <v>8429</v>
      </c>
      <c r="H111" s="30">
        <v>8463</v>
      </c>
      <c r="I111" s="30">
        <v>8299</v>
      </c>
      <c r="J111" s="30">
        <v>7930</v>
      </c>
      <c r="K111" s="30">
        <v>8116</v>
      </c>
      <c r="L111" s="30">
        <v>8210</v>
      </c>
      <c r="N111" s="460" t="s">
        <v>2381</v>
      </c>
      <c r="O111" s="940"/>
      <c r="Q111" s="4"/>
    </row>
    <row r="112" spans="1:17">
      <c r="A112" s="460" t="s">
        <v>7003</v>
      </c>
      <c r="B112" s="460" t="s">
        <v>5498</v>
      </c>
      <c r="C112" s="4" t="s">
        <v>9704</v>
      </c>
      <c r="D112" s="463">
        <v>5684</v>
      </c>
      <c r="E112" s="463">
        <v>5568</v>
      </c>
      <c r="F112" s="463">
        <v>5719</v>
      </c>
      <c r="G112" s="30">
        <v>6088</v>
      </c>
      <c r="H112" s="30">
        <v>6320</v>
      </c>
      <c r="I112" s="30">
        <v>5895</v>
      </c>
      <c r="J112" s="30">
        <v>5475</v>
      </c>
      <c r="K112" s="30">
        <v>5613</v>
      </c>
      <c r="L112" s="30">
        <v>5869</v>
      </c>
      <c r="N112" s="460" t="s">
        <v>2381</v>
      </c>
      <c r="O112" s="940"/>
      <c r="Q112" s="4"/>
    </row>
    <row r="113" spans="1:17">
      <c r="A113" s="460" t="s">
        <v>7005</v>
      </c>
      <c r="B113" s="460" t="s">
        <v>3790</v>
      </c>
      <c r="C113" s="4" t="s">
        <v>9705</v>
      </c>
      <c r="D113" s="463">
        <v>9032</v>
      </c>
      <c r="E113" s="463">
        <v>9077</v>
      </c>
      <c r="F113" s="463">
        <v>9129</v>
      </c>
      <c r="G113" s="30">
        <v>9232</v>
      </c>
      <c r="H113" s="30">
        <v>9222</v>
      </c>
      <c r="I113" s="30">
        <v>8877</v>
      </c>
      <c r="J113" s="30">
        <v>8393</v>
      </c>
      <c r="K113" s="30">
        <v>8542</v>
      </c>
      <c r="L113" s="30">
        <v>8659</v>
      </c>
      <c r="N113" s="460" t="s">
        <v>2381</v>
      </c>
      <c r="O113" s="940"/>
      <c r="Q113" s="4"/>
    </row>
    <row r="114" spans="1:17">
      <c r="A114" s="460" t="s">
        <v>7007</v>
      </c>
      <c r="B114" s="460" t="s">
        <v>3791</v>
      </c>
      <c r="C114" s="4" t="s">
        <v>9706</v>
      </c>
      <c r="D114" s="463">
        <v>5789</v>
      </c>
      <c r="E114" s="463">
        <v>5803</v>
      </c>
      <c r="F114" s="463">
        <v>5766</v>
      </c>
      <c r="G114" s="30">
        <v>5960</v>
      </c>
      <c r="H114" s="30">
        <v>6058</v>
      </c>
      <c r="I114" s="30">
        <v>5937</v>
      </c>
      <c r="J114" s="30">
        <v>5620</v>
      </c>
      <c r="K114" s="30">
        <v>5724</v>
      </c>
      <c r="L114" s="30">
        <v>5821</v>
      </c>
      <c r="N114" s="460" t="s">
        <v>2384</v>
      </c>
      <c r="O114" s="940"/>
      <c r="Q114" s="4"/>
    </row>
    <row r="115" spans="1:17">
      <c r="A115" s="474">
        <v>12</v>
      </c>
      <c r="B115" s="460" t="s">
        <v>3792</v>
      </c>
      <c r="C115" s="4" t="s">
        <v>9707</v>
      </c>
      <c r="D115" s="463">
        <v>7144</v>
      </c>
      <c r="E115" s="463">
        <v>7142</v>
      </c>
      <c r="F115" s="463">
        <v>7195</v>
      </c>
      <c r="G115" s="30">
        <v>7302</v>
      </c>
      <c r="H115" s="30">
        <v>7583</v>
      </c>
      <c r="I115" s="30">
        <v>7436</v>
      </c>
      <c r="J115" s="30">
        <v>7062</v>
      </c>
      <c r="K115" s="30">
        <v>7258</v>
      </c>
      <c r="L115" s="30">
        <v>7333</v>
      </c>
      <c r="N115" s="460" t="s">
        <v>2381</v>
      </c>
      <c r="O115" s="940"/>
      <c r="Q115" s="4"/>
    </row>
    <row r="116" spans="1:17">
      <c r="A116" s="474">
        <v>13</v>
      </c>
      <c r="B116" s="460" t="s">
        <v>3793</v>
      </c>
      <c r="C116" s="4" t="s">
        <v>9708</v>
      </c>
      <c r="D116" s="463">
        <v>8279</v>
      </c>
      <c r="E116" s="463">
        <v>8418</v>
      </c>
      <c r="F116" s="463">
        <v>8553</v>
      </c>
      <c r="G116" s="30">
        <v>8610</v>
      </c>
      <c r="H116" s="30">
        <v>8709</v>
      </c>
      <c r="I116" s="30">
        <v>8286</v>
      </c>
      <c r="J116" s="30">
        <v>7538</v>
      </c>
      <c r="K116" s="30">
        <v>7860</v>
      </c>
      <c r="L116" s="30">
        <v>7885</v>
      </c>
      <c r="N116" s="460" t="s">
        <v>2381</v>
      </c>
      <c r="O116" s="940"/>
      <c r="Q116" s="4"/>
    </row>
    <row r="117" spans="1:17">
      <c r="A117" s="474">
        <v>14</v>
      </c>
      <c r="B117" s="460" t="s">
        <v>2101</v>
      </c>
      <c r="C117" s="4" t="s">
        <v>9709</v>
      </c>
      <c r="D117" s="469">
        <v>5495</v>
      </c>
      <c r="E117" s="469">
        <v>5589</v>
      </c>
      <c r="F117" s="469">
        <v>5520</v>
      </c>
      <c r="G117" s="30">
        <v>5477</v>
      </c>
      <c r="H117" s="30">
        <v>5451</v>
      </c>
      <c r="I117" s="30">
        <v>5311</v>
      </c>
      <c r="J117" s="30">
        <v>5037</v>
      </c>
      <c r="K117" s="30">
        <v>5007</v>
      </c>
      <c r="L117" s="30">
        <v>5102</v>
      </c>
      <c r="N117" s="460" t="s">
        <v>2381</v>
      </c>
      <c r="O117" s="940"/>
      <c r="Q117" s="4"/>
    </row>
    <row r="118" spans="1:17">
      <c r="A118" s="474">
        <v>15</v>
      </c>
      <c r="B118" s="460" t="s">
        <v>2102</v>
      </c>
      <c r="C118" s="4" t="s">
        <v>9710</v>
      </c>
      <c r="D118" s="469">
        <v>6684</v>
      </c>
      <c r="E118" s="469">
        <v>6777</v>
      </c>
      <c r="F118" s="469">
        <v>6834</v>
      </c>
      <c r="G118" s="30">
        <v>6893</v>
      </c>
      <c r="H118" s="30">
        <v>6879</v>
      </c>
      <c r="I118" s="30">
        <v>6538</v>
      </c>
      <c r="J118" s="30">
        <v>6205</v>
      </c>
      <c r="K118" s="30">
        <v>6449</v>
      </c>
      <c r="L118" s="30">
        <v>6499</v>
      </c>
      <c r="N118" s="460" t="s">
        <v>2381</v>
      </c>
      <c r="O118" s="940"/>
      <c r="Q118" s="4"/>
    </row>
    <row r="119" spans="1:17">
      <c r="D119" s="469"/>
      <c r="E119" s="469"/>
      <c r="F119" s="469"/>
      <c r="G119" s="469"/>
      <c r="H119" s="469"/>
      <c r="I119" s="469"/>
      <c r="J119" s="469"/>
      <c r="K119" s="469"/>
      <c r="L119" s="469"/>
    </row>
    <row r="120" spans="1:17">
      <c r="A120" s="460" t="s">
        <v>2381</v>
      </c>
      <c r="D120" s="463">
        <f t="shared" ref="D120:I120" si="153">SUM(D107:D113)+SUM(D115:D118)</f>
        <v>76253</v>
      </c>
      <c r="E120" s="463">
        <f t="shared" si="153"/>
        <v>76219</v>
      </c>
      <c r="F120" s="463">
        <f t="shared" si="153"/>
        <v>76793</v>
      </c>
      <c r="G120" s="463">
        <f t="shared" si="153"/>
        <v>77769</v>
      </c>
      <c r="H120" s="463">
        <f t="shared" si="153"/>
        <v>78410</v>
      </c>
      <c r="I120" s="463">
        <f t="shared" si="153"/>
        <v>75754</v>
      </c>
      <c r="J120" s="463">
        <f t="shared" ref="J120:K120" si="154">SUM(J107:J113)+SUM(J115:J118)</f>
        <v>71459</v>
      </c>
      <c r="K120" s="463">
        <f t="shared" si="154"/>
        <v>73277</v>
      </c>
      <c r="L120" s="463">
        <f t="shared" ref="L120" si="155">SUM(L107:L113)+SUM(L115:L118)</f>
        <v>74377</v>
      </c>
    </row>
    <row r="121" spans="1:17">
      <c r="A121" s="460" t="s">
        <v>2103</v>
      </c>
      <c r="D121" s="463">
        <f t="shared" ref="D121:I121" si="156">D104+D105+D106+D114</f>
        <v>27189</v>
      </c>
      <c r="E121" s="463">
        <f t="shared" si="156"/>
        <v>27139</v>
      </c>
      <c r="F121" s="463">
        <f t="shared" si="156"/>
        <v>27198</v>
      </c>
      <c r="G121" s="463">
        <f t="shared" si="156"/>
        <v>27594</v>
      </c>
      <c r="H121" s="463">
        <f t="shared" si="156"/>
        <v>27920</v>
      </c>
      <c r="I121" s="463">
        <f t="shared" si="156"/>
        <v>27359</v>
      </c>
      <c r="J121" s="463">
        <f t="shared" ref="J121:K121" si="157">J104+J105+J106+J114</f>
        <v>26492</v>
      </c>
      <c r="K121" s="463">
        <f t="shared" si="157"/>
        <v>26990</v>
      </c>
      <c r="L121" s="463">
        <f t="shared" ref="L121" si="158">L104+L105+L106+L114</f>
        <v>27419</v>
      </c>
    </row>
    <row r="122" spans="1:17">
      <c r="A122" s="460"/>
      <c r="B122" s="460"/>
      <c r="D122" s="467"/>
      <c r="E122" s="467"/>
      <c r="F122" s="467"/>
      <c r="G122" s="467"/>
      <c r="H122" s="467"/>
      <c r="I122" s="467"/>
      <c r="J122" s="467"/>
      <c r="K122" s="467"/>
      <c r="L122" s="467"/>
    </row>
    <row r="123" spans="1:17">
      <c r="A123" s="460" t="s">
        <v>2104</v>
      </c>
      <c r="B123" s="460"/>
      <c r="D123" s="467"/>
      <c r="E123" s="467"/>
      <c r="F123" s="467"/>
      <c r="G123" s="467"/>
      <c r="H123" s="467"/>
      <c r="I123" s="467"/>
      <c r="J123" s="467"/>
      <c r="K123" s="467"/>
      <c r="L123" s="467"/>
    </row>
    <row r="124" spans="1:17">
      <c r="A124" s="460"/>
      <c r="B124" s="460"/>
      <c r="D124" s="467"/>
      <c r="E124" s="467"/>
      <c r="F124" s="467"/>
      <c r="G124" s="467"/>
      <c r="H124" s="467"/>
      <c r="I124" s="467"/>
      <c r="J124" s="467"/>
      <c r="K124" s="467"/>
      <c r="L124" s="467"/>
    </row>
    <row r="125" spans="1:17">
      <c r="A125" s="460"/>
      <c r="B125" s="460"/>
      <c r="D125" s="467"/>
      <c r="E125" s="467"/>
      <c r="F125" s="467"/>
      <c r="G125" s="467"/>
      <c r="H125" s="467"/>
      <c r="I125" s="467"/>
      <c r="J125" s="467"/>
      <c r="K125" s="467"/>
      <c r="L125" s="467"/>
    </row>
    <row r="126" spans="1:17">
      <c r="E126" s="42" t="s">
        <v>2303</v>
      </c>
      <c r="F126" s="42"/>
      <c r="G126" s="42"/>
      <c r="H126" s="42"/>
      <c r="I126" s="42"/>
      <c r="J126" s="42"/>
      <c r="K126" s="42"/>
      <c r="L126" s="42"/>
      <c r="M126" s="109"/>
      <c r="N126" s="109" t="s">
        <v>13319</v>
      </c>
    </row>
    <row r="127" spans="1:17">
      <c r="D127" s="110">
        <v>2010</v>
      </c>
      <c r="E127" s="110">
        <v>2011</v>
      </c>
      <c r="F127" s="110">
        <v>2012</v>
      </c>
      <c r="G127" s="110">
        <v>2013</v>
      </c>
      <c r="H127" s="110">
        <v>2014</v>
      </c>
      <c r="I127" s="110">
        <v>2015</v>
      </c>
      <c r="J127" s="110">
        <v>2016</v>
      </c>
      <c r="K127" s="110">
        <v>2017</v>
      </c>
      <c r="L127" s="110">
        <v>2018</v>
      </c>
      <c r="N127" s="112" t="s">
        <v>2304</v>
      </c>
    </row>
    <row r="128" spans="1:17">
      <c r="A128" s="460" t="s">
        <v>2105</v>
      </c>
      <c r="D128" s="463">
        <f>SUM(D129:D144)+SUM(D146:D162)</f>
        <v>104424</v>
      </c>
      <c r="E128" s="463">
        <f t="shared" ref="E128:G128" si="159">SUM(E129:E144)+SUM(E146:E162)</f>
        <v>103381</v>
      </c>
      <c r="F128" s="463">
        <f t="shared" si="159"/>
        <v>103382</v>
      </c>
      <c r="G128" s="463">
        <f t="shared" si="159"/>
        <v>103526</v>
      </c>
      <c r="H128" s="463">
        <f t="shared" ref="H128:I128" si="160">SUM(H129:H144)+SUM(H146:H162)</f>
        <v>96974</v>
      </c>
      <c r="I128" s="463">
        <f t="shared" si="160"/>
        <v>102056</v>
      </c>
      <c r="J128" s="463">
        <f t="shared" ref="J128:K128" si="161">SUM(J129:J144)+SUM(J146:J162)</f>
        <v>107456</v>
      </c>
      <c r="K128" s="463">
        <f t="shared" si="161"/>
        <v>112596</v>
      </c>
      <c r="L128" s="463">
        <f t="shared" ref="L128" si="162">SUM(L129:L144)+SUM(L146:L162)</f>
        <v>114428</v>
      </c>
    </row>
    <row r="129" spans="1:17">
      <c r="A129" s="460" t="s">
        <v>6957</v>
      </c>
      <c r="B129" s="460" t="s">
        <v>2106</v>
      </c>
      <c r="C129" s="4" t="s">
        <v>12076</v>
      </c>
      <c r="D129" s="463">
        <v>2007</v>
      </c>
      <c r="E129" s="463">
        <v>2016</v>
      </c>
      <c r="F129" s="463">
        <v>1970</v>
      </c>
      <c r="G129" s="31">
        <v>1978</v>
      </c>
      <c r="H129" s="31">
        <v>1835</v>
      </c>
      <c r="I129" s="31">
        <v>1955</v>
      </c>
      <c r="J129" s="31">
        <v>2165</v>
      </c>
      <c r="K129" s="31">
        <v>2299</v>
      </c>
      <c r="L129" s="31">
        <v>2369</v>
      </c>
      <c r="N129" s="460" t="s">
        <v>2380</v>
      </c>
      <c r="Q129" s="4"/>
    </row>
    <row r="130" spans="1:17">
      <c r="A130" s="460" t="s">
        <v>6959</v>
      </c>
      <c r="B130" s="460" t="s">
        <v>2107</v>
      </c>
      <c r="C130" s="4" t="s">
        <v>12077</v>
      </c>
      <c r="D130" s="463">
        <v>3441</v>
      </c>
      <c r="E130" s="463">
        <v>3367</v>
      </c>
      <c r="F130" s="463">
        <v>3446</v>
      </c>
      <c r="G130" s="31">
        <v>3453</v>
      </c>
      <c r="H130" s="31">
        <v>3241</v>
      </c>
      <c r="I130" s="31">
        <v>3392</v>
      </c>
      <c r="J130" s="31">
        <v>3595</v>
      </c>
      <c r="K130" s="31">
        <v>3898</v>
      </c>
      <c r="L130" s="31">
        <v>4040</v>
      </c>
      <c r="N130" s="460" t="s">
        <v>2380</v>
      </c>
      <c r="Q130" s="4"/>
    </row>
    <row r="131" spans="1:17">
      <c r="A131" s="460" t="s">
        <v>6961</v>
      </c>
      <c r="B131" s="460" t="s">
        <v>2108</v>
      </c>
      <c r="C131" s="4" t="s">
        <v>12078</v>
      </c>
      <c r="D131" s="463">
        <v>1546</v>
      </c>
      <c r="E131" s="463">
        <v>1507</v>
      </c>
      <c r="F131" s="463">
        <v>1492</v>
      </c>
      <c r="G131" s="31">
        <v>1487</v>
      </c>
      <c r="H131" s="31">
        <v>1381</v>
      </c>
      <c r="I131" s="31">
        <v>1468</v>
      </c>
      <c r="J131" s="31">
        <v>1517</v>
      </c>
      <c r="K131" s="31">
        <v>1550</v>
      </c>
      <c r="L131" s="31">
        <v>1550</v>
      </c>
      <c r="N131" s="460" t="s">
        <v>2380</v>
      </c>
      <c r="Q131" s="4"/>
    </row>
    <row r="132" spans="1:17">
      <c r="A132" s="460" t="s">
        <v>6963</v>
      </c>
      <c r="B132" s="460" t="s">
        <v>2109</v>
      </c>
      <c r="C132" s="4" t="s">
        <v>12079</v>
      </c>
      <c r="D132" s="463">
        <v>3779</v>
      </c>
      <c r="E132" s="463">
        <v>3749</v>
      </c>
      <c r="F132" s="463">
        <v>3693</v>
      </c>
      <c r="G132" s="30">
        <v>3731</v>
      </c>
      <c r="H132" s="30">
        <v>4078</v>
      </c>
      <c r="I132" s="30">
        <v>4676</v>
      </c>
      <c r="J132" s="30">
        <v>5653</v>
      </c>
      <c r="K132" s="30">
        <v>6550</v>
      </c>
      <c r="L132" s="30">
        <v>7142</v>
      </c>
      <c r="N132" s="460" t="s">
        <v>2362</v>
      </c>
      <c r="Q132" s="4"/>
    </row>
    <row r="133" spans="1:17">
      <c r="A133" s="460" t="s">
        <v>6965</v>
      </c>
      <c r="B133" s="460" t="s">
        <v>2110</v>
      </c>
      <c r="C133" s="4" t="s">
        <v>12080</v>
      </c>
      <c r="D133" s="463">
        <v>4913</v>
      </c>
      <c r="E133" s="463">
        <v>4950</v>
      </c>
      <c r="F133" s="463">
        <v>4949</v>
      </c>
      <c r="G133" s="30">
        <v>4893</v>
      </c>
      <c r="H133" s="30">
        <v>4666</v>
      </c>
      <c r="I133" s="30">
        <v>4808</v>
      </c>
      <c r="J133" s="30">
        <v>5057</v>
      </c>
      <c r="K133" s="30">
        <v>5136</v>
      </c>
      <c r="L133" s="30">
        <v>5209</v>
      </c>
      <c r="N133" s="460" t="s">
        <v>2362</v>
      </c>
      <c r="Q133" s="4"/>
    </row>
    <row r="134" spans="1:17">
      <c r="A134" s="460" t="s">
        <v>6997</v>
      </c>
      <c r="B134" s="460" t="s">
        <v>2111</v>
      </c>
      <c r="C134" s="4" t="s">
        <v>12081</v>
      </c>
      <c r="D134" s="463">
        <v>1915</v>
      </c>
      <c r="E134" s="463">
        <v>1917</v>
      </c>
      <c r="F134" s="463">
        <v>1940</v>
      </c>
      <c r="G134" s="30">
        <v>1943</v>
      </c>
      <c r="H134" s="30">
        <v>1797</v>
      </c>
      <c r="I134" s="30">
        <v>1850</v>
      </c>
      <c r="J134" s="30">
        <v>1916</v>
      </c>
      <c r="K134" s="30">
        <v>1956</v>
      </c>
      <c r="L134" s="30">
        <v>1988</v>
      </c>
      <c r="N134" s="460" t="s">
        <v>2362</v>
      </c>
      <c r="Q134" s="4"/>
    </row>
    <row r="135" spans="1:17">
      <c r="A135" s="460" t="s">
        <v>6999</v>
      </c>
      <c r="B135" s="460" t="s">
        <v>2112</v>
      </c>
      <c r="C135" s="4" t="s">
        <v>12082</v>
      </c>
      <c r="D135" s="463">
        <v>3647</v>
      </c>
      <c r="E135" s="463">
        <v>3669</v>
      </c>
      <c r="F135" s="463">
        <v>3655</v>
      </c>
      <c r="G135" s="31">
        <v>3713</v>
      </c>
      <c r="H135" s="31">
        <v>3523</v>
      </c>
      <c r="I135" s="31">
        <v>3670</v>
      </c>
      <c r="J135" s="31">
        <v>3774</v>
      </c>
      <c r="K135" s="31">
        <v>3847</v>
      </c>
      <c r="L135" s="31">
        <v>3881</v>
      </c>
      <c r="N135" s="460" t="s">
        <v>2380</v>
      </c>
      <c r="Q135" s="4"/>
    </row>
    <row r="136" spans="1:17">
      <c r="A136" s="460" t="s">
        <v>7001</v>
      </c>
      <c r="B136" s="460" t="s">
        <v>2113</v>
      </c>
      <c r="C136" s="4" t="s">
        <v>12083</v>
      </c>
      <c r="D136" s="463">
        <v>1597</v>
      </c>
      <c r="E136" s="463">
        <v>1561</v>
      </c>
      <c r="F136" s="463">
        <v>1593</v>
      </c>
      <c r="G136" s="31">
        <v>1589</v>
      </c>
      <c r="H136" s="31">
        <v>1502</v>
      </c>
      <c r="I136" s="31">
        <v>1583</v>
      </c>
      <c r="J136" s="31">
        <v>1675</v>
      </c>
      <c r="K136" s="31">
        <v>1806</v>
      </c>
      <c r="L136" s="31">
        <v>1808</v>
      </c>
      <c r="N136" s="460" t="s">
        <v>2380</v>
      </c>
      <c r="Q136" s="4"/>
    </row>
    <row r="137" spans="1:17">
      <c r="A137" s="460" t="s">
        <v>7003</v>
      </c>
      <c r="B137" s="460" t="s">
        <v>2114</v>
      </c>
      <c r="C137" s="4" t="s">
        <v>12084</v>
      </c>
      <c r="D137" s="463">
        <v>1625</v>
      </c>
      <c r="E137" s="463">
        <v>1593</v>
      </c>
      <c r="F137" s="463">
        <v>1592</v>
      </c>
      <c r="G137" s="30">
        <v>1596</v>
      </c>
      <c r="H137" s="30">
        <v>1444</v>
      </c>
      <c r="I137" s="30">
        <v>1512</v>
      </c>
      <c r="J137" s="30">
        <v>1587</v>
      </c>
      <c r="K137" s="30">
        <v>1661</v>
      </c>
      <c r="L137" s="30">
        <v>1662</v>
      </c>
      <c r="N137" s="460" t="s">
        <v>2357</v>
      </c>
      <c r="Q137" s="4"/>
    </row>
    <row r="138" spans="1:17">
      <c r="A138" s="460" t="s">
        <v>7005</v>
      </c>
      <c r="B138" s="460" t="s">
        <v>2115</v>
      </c>
      <c r="C138" s="4" t="s">
        <v>12085</v>
      </c>
      <c r="D138" s="463">
        <v>5009</v>
      </c>
      <c r="E138" s="463">
        <v>4887</v>
      </c>
      <c r="F138" s="463">
        <v>4889</v>
      </c>
      <c r="G138" s="30">
        <v>4872</v>
      </c>
      <c r="H138" s="30">
        <v>4532</v>
      </c>
      <c r="I138" s="30">
        <v>4784</v>
      </c>
      <c r="J138" s="30">
        <v>4989</v>
      </c>
      <c r="K138" s="30">
        <v>5153</v>
      </c>
      <c r="L138" s="30">
        <v>5125</v>
      </c>
      <c r="N138" s="460" t="s">
        <v>2362</v>
      </c>
      <c r="Q138" s="4"/>
    </row>
    <row r="139" spans="1:17">
      <c r="A139" s="460" t="s">
        <v>7007</v>
      </c>
      <c r="B139" s="460" t="s">
        <v>2116</v>
      </c>
      <c r="C139" s="4" t="s">
        <v>12086</v>
      </c>
      <c r="D139" s="463">
        <v>5304</v>
      </c>
      <c r="E139" s="463">
        <v>5249</v>
      </c>
      <c r="F139" s="463">
        <v>5302</v>
      </c>
      <c r="G139" s="30">
        <v>5295</v>
      </c>
      <c r="H139" s="30">
        <v>4896</v>
      </c>
      <c r="I139" s="30">
        <v>5124</v>
      </c>
      <c r="J139" s="30">
        <v>5272</v>
      </c>
      <c r="K139" s="30">
        <v>5479</v>
      </c>
      <c r="L139" s="30">
        <v>5510</v>
      </c>
      <c r="N139" s="460" t="s">
        <v>2362</v>
      </c>
      <c r="Q139" s="4"/>
    </row>
    <row r="140" spans="1:17">
      <c r="A140" s="460" t="s">
        <v>7009</v>
      </c>
      <c r="B140" s="460" t="s">
        <v>2117</v>
      </c>
      <c r="C140" s="4" t="s">
        <v>12087</v>
      </c>
      <c r="D140" s="463">
        <v>5596</v>
      </c>
      <c r="E140" s="463">
        <v>5578</v>
      </c>
      <c r="F140" s="463">
        <v>5643</v>
      </c>
      <c r="G140" s="30">
        <v>5667</v>
      </c>
      <c r="H140" s="30">
        <v>5341</v>
      </c>
      <c r="I140" s="30">
        <v>5580</v>
      </c>
      <c r="J140" s="30">
        <v>5797</v>
      </c>
      <c r="K140" s="30">
        <v>6143</v>
      </c>
      <c r="L140" s="30">
        <v>6444</v>
      </c>
      <c r="N140" s="460" t="s">
        <v>2362</v>
      </c>
      <c r="Q140" s="4"/>
    </row>
    <row r="141" spans="1:17">
      <c r="A141" s="460" t="s">
        <v>7011</v>
      </c>
      <c r="B141" s="460" t="s">
        <v>2118</v>
      </c>
      <c r="C141" s="4" t="s">
        <v>12088</v>
      </c>
      <c r="D141" s="463">
        <v>4814</v>
      </c>
      <c r="E141" s="463">
        <v>4807</v>
      </c>
      <c r="F141" s="463">
        <v>4710</v>
      </c>
      <c r="G141" s="30">
        <v>4610</v>
      </c>
      <c r="H141" s="30">
        <v>4010</v>
      </c>
      <c r="I141" s="30">
        <v>4286</v>
      </c>
      <c r="J141" s="30">
        <v>4662</v>
      </c>
      <c r="K141" s="30">
        <v>5088</v>
      </c>
      <c r="L141" s="30">
        <v>5225</v>
      </c>
      <c r="N141" s="460" t="s">
        <v>2362</v>
      </c>
      <c r="Q141" s="4"/>
    </row>
    <row r="142" spans="1:17">
      <c r="A142" s="460" t="s">
        <v>7013</v>
      </c>
      <c r="B142" s="460" t="s">
        <v>2119</v>
      </c>
      <c r="C142" s="4" t="s">
        <v>12089</v>
      </c>
      <c r="D142" s="463">
        <v>5392</v>
      </c>
      <c r="E142" s="463">
        <v>5277</v>
      </c>
      <c r="F142" s="463">
        <v>5279</v>
      </c>
      <c r="G142" s="30">
        <v>5242</v>
      </c>
      <c r="H142" s="30">
        <v>4788</v>
      </c>
      <c r="I142" s="30">
        <v>5134</v>
      </c>
      <c r="J142" s="30">
        <v>5370</v>
      </c>
      <c r="K142" s="30">
        <v>5635</v>
      </c>
      <c r="L142" s="30">
        <v>5497</v>
      </c>
      <c r="N142" s="460" t="s">
        <v>2362</v>
      </c>
      <c r="Q142" s="4"/>
    </row>
    <row r="143" spans="1:17">
      <c r="A143" s="460" t="s">
        <v>7015</v>
      </c>
      <c r="B143" s="460" t="s">
        <v>2120</v>
      </c>
      <c r="C143" s="4" t="s">
        <v>13029</v>
      </c>
      <c r="D143" s="469">
        <v>0</v>
      </c>
      <c r="E143" s="469">
        <v>0</v>
      </c>
      <c r="F143" s="469">
        <v>34</v>
      </c>
      <c r="G143" s="469">
        <v>36</v>
      </c>
      <c r="H143" s="469">
        <v>27</v>
      </c>
      <c r="I143" s="31">
        <v>33</v>
      </c>
      <c r="J143" s="31">
        <v>34</v>
      </c>
      <c r="K143" s="31">
        <v>33</v>
      </c>
      <c r="L143" s="31">
        <v>31</v>
      </c>
      <c r="N143" s="460" t="s">
        <v>2362</v>
      </c>
      <c r="O143" s="941"/>
      <c r="Q143" s="4"/>
    </row>
    <row r="144" spans="1:17" ht="15.75" thickBot="1">
      <c r="A144" s="460"/>
      <c r="B144" s="460"/>
      <c r="C144" s="4" t="s">
        <v>13029</v>
      </c>
      <c r="D144" s="464">
        <v>1735</v>
      </c>
      <c r="E144" s="464">
        <v>1741</v>
      </c>
      <c r="F144" s="464">
        <v>1710</v>
      </c>
      <c r="G144" s="473">
        <v>1730</v>
      </c>
      <c r="H144" s="31">
        <v>1586</v>
      </c>
      <c r="I144" s="31">
        <v>1689</v>
      </c>
      <c r="J144" s="31">
        <v>1807</v>
      </c>
      <c r="K144" s="31">
        <v>1895</v>
      </c>
      <c r="L144" s="31">
        <v>1899</v>
      </c>
      <c r="N144" s="460" t="s">
        <v>2380</v>
      </c>
      <c r="Q144" s="4"/>
    </row>
    <row r="145" spans="1:17" ht="15.75" thickBot="1">
      <c r="A145" s="460"/>
      <c r="B145" s="460"/>
      <c r="C145" s="4" t="s">
        <v>13029</v>
      </c>
      <c r="D145" s="472">
        <f>D143+D144</f>
        <v>1735</v>
      </c>
      <c r="E145" s="472">
        <f t="shared" ref="E145:L145" si="163">E143+E144</f>
        <v>1741</v>
      </c>
      <c r="F145" s="472">
        <f t="shared" si="163"/>
        <v>1744</v>
      </c>
      <c r="G145" s="472">
        <f t="shared" si="163"/>
        <v>1766</v>
      </c>
      <c r="H145" s="472">
        <f t="shared" si="163"/>
        <v>1613</v>
      </c>
      <c r="I145" s="472">
        <f t="shared" si="163"/>
        <v>1722</v>
      </c>
      <c r="J145" s="472">
        <f t="shared" si="163"/>
        <v>1841</v>
      </c>
      <c r="K145" s="472">
        <f t="shared" si="163"/>
        <v>1928</v>
      </c>
      <c r="L145" s="472">
        <f t="shared" si="163"/>
        <v>1930</v>
      </c>
      <c r="N145" s="460"/>
      <c r="Q145" s="4"/>
    </row>
    <row r="146" spans="1:17">
      <c r="A146" s="460" t="s">
        <v>7017</v>
      </c>
      <c r="B146" s="460" t="s">
        <v>2121</v>
      </c>
      <c r="C146" s="4" t="s">
        <v>13030</v>
      </c>
      <c r="D146" s="463">
        <v>5401</v>
      </c>
      <c r="E146" s="463">
        <v>5272</v>
      </c>
      <c r="F146" s="463">
        <v>5217</v>
      </c>
      <c r="G146" s="31">
        <v>5164</v>
      </c>
      <c r="H146" s="31">
        <v>4813</v>
      </c>
      <c r="I146" s="31">
        <v>5000</v>
      </c>
      <c r="J146" s="31">
        <v>5232</v>
      </c>
      <c r="K146" s="31">
        <v>5412</v>
      </c>
      <c r="L146" s="31">
        <v>5416</v>
      </c>
      <c r="N146" s="460" t="s">
        <v>2380</v>
      </c>
      <c r="Q146" s="4"/>
    </row>
    <row r="147" spans="1:17">
      <c r="A147" s="460" t="s">
        <v>7019</v>
      </c>
      <c r="B147" s="460" t="s">
        <v>2122</v>
      </c>
      <c r="C147" s="4" t="s">
        <v>12090</v>
      </c>
      <c r="D147" s="463">
        <v>3791</v>
      </c>
      <c r="E147" s="463">
        <v>3710</v>
      </c>
      <c r="F147" s="463">
        <v>3699</v>
      </c>
      <c r="G147" s="31">
        <v>3695</v>
      </c>
      <c r="H147" s="31">
        <v>3367</v>
      </c>
      <c r="I147" s="31">
        <v>3533</v>
      </c>
      <c r="J147" s="31">
        <v>3782</v>
      </c>
      <c r="K147" s="31">
        <v>3931</v>
      </c>
      <c r="L147" s="31">
        <v>3949</v>
      </c>
      <c r="N147" s="460" t="s">
        <v>2380</v>
      </c>
      <c r="Q147" s="4"/>
    </row>
    <row r="148" spans="1:17">
      <c r="A148" s="460" t="s">
        <v>7021</v>
      </c>
      <c r="B148" s="460" t="s">
        <v>2123</v>
      </c>
      <c r="C148" s="4" t="s">
        <v>12091</v>
      </c>
      <c r="D148" s="463">
        <v>1979</v>
      </c>
      <c r="E148" s="463">
        <v>1960</v>
      </c>
      <c r="F148" s="463">
        <v>1954</v>
      </c>
      <c r="G148" s="31">
        <v>1992</v>
      </c>
      <c r="H148" s="31">
        <v>1903</v>
      </c>
      <c r="I148" s="31">
        <v>1956</v>
      </c>
      <c r="J148" s="31">
        <v>2007</v>
      </c>
      <c r="K148" s="31">
        <v>2052</v>
      </c>
      <c r="L148" s="31">
        <v>2043</v>
      </c>
      <c r="N148" s="460" t="s">
        <v>2380</v>
      </c>
      <c r="Q148" s="4"/>
    </row>
    <row r="149" spans="1:17">
      <c r="A149" s="460" t="s">
        <v>7023</v>
      </c>
      <c r="B149" s="460" t="s">
        <v>2094</v>
      </c>
      <c r="C149" s="4" t="s">
        <v>12092</v>
      </c>
      <c r="D149" s="463">
        <v>1714</v>
      </c>
      <c r="E149" s="463">
        <v>1707</v>
      </c>
      <c r="F149" s="463">
        <v>1708</v>
      </c>
      <c r="G149" s="30">
        <v>1711</v>
      </c>
      <c r="H149" s="30">
        <v>1618</v>
      </c>
      <c r="I149" s="30">
        <v>1675</v>
      </c>
      <c r="J149" s="30">
        <v>1716</v>
      </c>
      <c r="K149" s="30">
        <v>1781</v>
      </c>
      <c r="L149" s="30">
        <v>1824</v>
      </c>
      <c r="N149" s="460" t="s">
        <v>2362</v>
      </c>
      <c r="Q149" s="4"/>
    </row>
    <row r="150" spans="1:17">
      <c r="A150" s="460" t="s">
        <v>7025</v>
      </c>
      <c r="B150" s="460" t="s">
        <v>2097</v>
      </c>
      <c r="C150" s="4" t="s">
        <v>12093</v>
      </c>
      <c r="D150" s="463">
        <v>1832</v>
      </c>
      <c r="E150" s="463">
        <v>1819</v>
      </c>
      <c r="F150" s="463">
        <v>1783</v>
      </c>
      <c r="G150" s="31">
        <v>1786</v>
      </c>
      <c r="H150" s="31">
        <v>1696</v>
      </c>
      <c r="I150" s="31">
        <v>1757</v>
      </c>
      <c r="J150" s="31">
        <v>1798</v>
      </c>
      <c r="K150" s="31">
        <v>1871</v>
      </c>
      <c r="L150" s="31">
        <v>1875</v>
      </c>
      <c r="N150" s="460" t="s">
        <v>2380</v>
      </c>
      <c r="Q150" s="4"/>
    </row>
    <row r="151" spans="1:17">
      <c r="A151" s="460" t="s">
        <v>7570</v>
      </c>
      <c r="B151" s="460" t="s">
        <v>2095</v>
      </c>
      <c r="C151" s="4" t="s">
        <v>13031</v>
      </c>
      <c r="D151" s="463">
        <v>3369</v>
      </c>
      <c r="E151" s="463">
        <v>3298</v>
      </c>
      <c r="F151" s="463">
        <v>3319</v>
      </c>
      <c r="G151" s="30">
        <v>3371</v>
      </c>
      <c r="H151" s="30">
        <v>3167</v>
      </c>
      <c r="I151" s="30">
        <v>3290</v>
      </c>
      <c r="J151" s="30">
        <v>3410</v>
      </c>
      <c r="K151" s="30">
        <v>3488</v>
      </c>
      <c r="L151" s="30">
        <v>3535</v>
      </c>
      <c r="N151" s="460" t="s">
        <v>2362</v>
      </c>
      <c r="Q151" s="4"/>
    </row>
    <row r="152" spans="1:17">
      <c r="A152" s="460" t="s">
        <v>7572</v>
      </c>
      <c r="B152" s="460" t="s">
        <v>2096</v>
      </c>
      <c r="C152" s="4" t="s">
        <v>12094</v>
      </c>
      <c r="D152" s="463">
        <v>3782</v>
      </c>
      <c r="E152" s="463">
        <v>3788</v>
      </c>
      <c r="F152" s="463">
        <v>3729</v>
      </c>
      <c r="G152" s="30">
        <v>3705</v>
      </c>
      <c r="H152" s="30">
        <v>3512</v>
      </c>
      <c r="I152" s="30">
        <v>3687</v>
      </c>
      <c r="J152" s="30">
        <v>3874</v>
      </c>
      <c r="K152" s="30">
        <v>4099</v>
      </c>
      <c r="L152" s="30">
        <v>4236</v>
      </c>
      <c r="N152" s="460" t="s">
        <v>2362</v>
      </c>
      <c r="Q152" s="4"/>
    </row>
    <row r="153" spans="1:17">
      <c r="A153" s="460" t="s">
        <v>7573</v>
      </c>
      <c r="B153" s="460" t="s">
        <v>2098</v>
      </c>
      <c r="C153" s="4" t="s">
        <v>12095</v>
      </c>
      <c r="D153" s="463">
        <v>1611</v>
      </c>
      <c r="E153" s="463">
        <v>1617</v>
      </c>
      <c r="F153" s="463">
        <v>1641</v>
      </c>
      <c r="G153" s="30">
        <v>1628</v>
      </c>
      <c r="H153" s="30">
        <v>1514</v>
      </c>
      <c r="I153" s="30">
        <v>1579</v>
      </c>
      <c r="J153" s="30">
        <v>1681</v>
      </c>
      <c r="K153" s="30">
        <v>1713</v>
      </c>
      <c r="L153" s="30">
        <v>1719</v>
      </c>
      <c r="N153" s="460" t="s">
        <v>2362</v>
      </c>
      <c r="Q153" s="4"/>
    </row>
    <row r="154" spans="1:17">
      <c r="A154" s="460" t="s">
        <v>5798</v>
      </c>
      <c r="B154" s="460" t="s">
        <v>6415</v>
      </c>
      <c r="C154" s="4" t="s">
        <v>12096</v>
      </c>
      <c r="D154" s="463">
        <v>6054</v>
      </c>
      <c r="E154" s="463">
        <v>5950</v>
      </c>
      <c r="F154" s="463">
        <v>5904</v>
      </c>
      <c r="G154" s="31">
        <v>5920</v>
      </c>
      <c r="H154" s="31">
        <v>5484</v>
      </c>
      <c r="I154" s="31">
        <v>5768</v>
      </c>
      <c r="J154" s="31">
        <v>5920</v>
      </c>
      <c r="K154" s="31">
        <v>6259</v>
      </c>
      <c r="L154" s="31">
        <v>6403</v>
      </c>
      <c r="N154" s="460" t="s">
        <v>2380</v>
      </c>
      <c r="Q154" s="4"/>
    </row>
    <row r="155" spans="1:17">
      <c r="A155" s="460" t="s">
        <v>5799</v>
      </c>
      <c r="B155" s="460" t="s">
        <v>5542</v>
      </c>
      <c r="C155" s="4" t="s">
        <v>12097</v>
      </c>
      <c r="D155" s="463">
        <v>1861</v>
      </c>
      <c r="E155" s="463">
        <v>1809</v>
      </c>
      <c r="F155" s="463">
        <v>1814</v>
      </c>
      <c r="G155" s="30">
        <v>1822</v>
      </c>
      <c r="H155" s="30">
        <v>1727</v>
      </c>
      <c r="I155" s="30">
        <v>1819</v>
      </c>
      <c r="J155" s="30">
        <v>1903</v>
      </c>
      <c r="K155" s="30">
        <v>1921</v>
      </c>
      <c r="L155" s="30">
        <v>1935</v>
      </c>
      <c r="N155" s="460" t="s">
        <v>2362</v>
      </c>
      <c r="Q155" s="4"/>
    </row>
    <row r="156" spans="1:17">
      <c r="A156" s="460" t="s">
        <v>5801</v>
      </c>
      <c r="B156" s="460" t="s">
        <v>5543</v>
      </c>
      <c r="C156" s="4" t="s">
        <v>12098</v>
      </c>
      <c r="D156" s="463">
        <v>5194</v>
      </c>
      <c r="E156" s="463">
        <v>5150</v>
      </c>
      <c r="F156" s="463">
        <v>5181</v>
      </c>
      <c r="G156" s="30">
        <v>5278</v>
      </c>
      <c r="H156" s="30">
        <v>4887</v>
      </c>
      <c r="I156" s="30">
        <v>5160</v>
      </c>
      <c r="J156" s="30">
        <v>5335</v>
      </c>
      <c r="K156" s="30">
        <v>5503</v>
      </c>
      <c r="L156" s="30">
        <v>5592</v>
      </c>
      <c r="N156" s="460" t="s">
        <v>2362</v>
      </c>
      <c r="Q156" s="4"/>
    </row>
    <row r="157" spans="1:17">
      <c r="A157" s="460" t="s">
        <v>5927</v>
      </c>
      <c r="B157" s="460" t="s">
        <v>5544</v>
      </c>
      <c r="C157" s="4" t="s">
        <v>12099</v>
      </c>
      <c r="D157" s="463">
        <v>4342</v>
      </c>
      <c r="E157" s="463">
        <v>4339</v>
      </c>
      <c r="F157" s="463">
        <v>4384</v>
      </c>
      <c r="G157" s="31">
        <v>4397</v>
      </c>
      <c r="H157" s="31">
        <v>4179</v>
      </c>
      <c r="I157" s="31">
        <v>4362</v>
      </c>
      <c r="J157" s="31">
        <v>4487</v>
      </c>
      <c r="K157" s="31">
        <v>4596</v>
      </c>
      <c r="L157" s="31">
        <v>4593</v>
      </c>
      <c r="N157" s="460" t="s">
        <v>2362</v>
      </c>
      <c r="Q157" s="4"/>
    </row>
    <row r="158" spans="1:17">
      <c r="A158" s="460" t="s">
        <v>5929</v>
      </c>
      <c r="B158" s="460" t="s">
        <v>5545</v>
      </c>
      <c r="C158" s="4" t="s">
        <v>12100</v>
      </c>
      <c r="D158" s="463">
        <v>1962</v>
      </c>
      <c r="E158" s="463">
        <v>1954</v>
      </c>
      <c r="F158" s="463">
        <v>1976</v>
      </c>
      <c r="G158" s="31">
        <v>1964</v>
      </c>
      <c r="H158" s="31">
        <v>1803</v>
      </c>
      <c r="I158" s="31">
        <v>1887</v>
      </c>
      <c r="J158" s="31">
        <v>1970</v>
      </c>
      <c r="K158" s="31">
        <v>2074</v>
      </c>
      <c r="L158" s="31">
        <v>2066</v>
      </c>
      <c r="N158" s="460" t="s">
        <v>2380</v>
      </c>
      <c r="Q158" s="4"/>
    </row>
    <row r="159" spans="1:17">
      <c r="A159" s="460" t="s">
        <v>5931</v>
      </c>
      <c r="B159" s="460" t="s">
        <v>5546</v>
      </c>
      <c r="C159" s="4" t="s">
        <v>12101</v>
      </c>
      <c r="D159" s="463">
        <v>2098</v>
      </c>
      <c r="E159" s="463">
        <v>2088</v>
      </c>
      <c r="F159" s="463">
        <v>2037</v>
      </c>
      <c r="G159" s="31">
        <v>2050</v>
      </c>
      <c r="H159" s="31">
        <v>1901</v>
      </c>
      <c r="I159" s="31">
        <v>1979</v>
      </c>
      <c r="J159" s="31">
        <v>2066</v>
      </c>
      <c r="K159" s="31">
        <v>2111</v>
      </c>
      <c r="L159" s="31">
        <v>2159</v>
      </c>
      <c r="N159" s="460" t="s">
        <v>2380</v>
      </c>
      <c r="Q159" s="4"/>
    </row>
    <row r="160" spans="1:17">
      <c r="A160" s="460" t="s">
        <v>5933</v>
      </c>
      <c r="B160" s="460" t="s">
        <v>5547</v>
      </c>
      <c r="C160" s="4" t="s">
        <v>13032</v>
      </c>
      <c r="D160" s="463">
        <v>1779</v>
      </c>
      <c r="E160" s="463">
        <v>1805</v>
      </c>
      <c r="F160" s="463">
        <v>1819</v>
      </c>
      <c r="G160" s="31">
        <v>1850</v>
      </c>
      <c r="H160" s="31">
        <v>1754</v>
      </c>
      <c r="I160" s="31">
        <v>1838</v>
      </c>
      <c r="J160" s="31">
        <v>1930</v>
      </c>
      <c r="K160" s="31">
        <v>1979</v>
      </c>
      <c r="L160" s="31">
        <v>1952</v>
      </c>
      <c r="N160" s="460" t="s">
        <v>2362</v>
      </c>
      <c r="Q160" s="4"/>
    </row>
    <row r="161" spans="1:17">
      <c r="A161" s="460" t="s">
        <v>7897</v>
      </c>
      <c r="B161" s="460" t="s">
        <v>5548</v>
      </c>
      <c r="C161" s="4" t="s">
        <v>12102</v>
      </c>
      <c r="D161" s="463">
        <v>3406</v>
      </c>
      <c r="E161" s="463">
        <v>3351</v>
      </c>
      <c r="F161" s="463">
        <v>3420</v>
      </c>
      <c r="G161" s="31">
        <v>3419</v>
      </c>
      <c r="H161" s="31">
        <v>3148</v>
      </c>
      <c r="I161" s="31">
        <v>3316</v>
      </c>
      <c r="J161" s="31">
        <v>3493</v>
      </c>
      <c r="K161" s="31">
        <v>3661</v>
      </c>
      <c r="L161" s="31">
        <v>3704</v>
      </c>
      <c r="N161" s="460" t="s">
        <v>2362</v>
      </c>
      <c r="O161" s="940"/>
      <c r="Q161" s="4"/>
    </row>
    <row r="162" spans="1:17">
      <c r="A162" s="460" t="s">
        <v>7898</v>
      </c>
      <c r="B162" s="460" t="s">
        <v>5549</v>
      </c>
      <c r="C162" s="4" t="s">
        <v>12103</v>
      </c>
      <c r="D162" s="463">
        <v>1929</v>
      </c>
      <c r="E162" s="463">
        <v>1896</v>
      </c>
      <c r="F162" s="463">
        <v>1900</v>
      </c>
      <c r="G162" s="31">
        <v>1939</v>
      </c>
      <c r="H162" s="31">
        <v>1854</v>
      </c>
      <c r="I162" s="31">
        <v>1906</v>
      </c>
      <c r="J162" s="31">
        <v>1982</v>
      </c>
      <c r="K162" s="31">
        <v>2016</v>
      </c>
      <c r="L162" s="31">
        <v>2047</v>
      </c>
      <c r="N162" s="460" t="s">
        <v>2380</v>
      </c>
      <c r="O162" s="940"/>
      <c r="Q162" s="4"/>
    </row>
    <row r="163" spans="1:17">
      <c r="D163" s="469"/>
      <c r="E163" s="469"/>
      <c r="F163" s="469"/>
      <c r="G163" s="469"/>
      <c r="H163" s="469"/>
      <c r="I163" s="469"/>
      <c r="J163" s="469"/>
      <c r="K163" s="469"/>
      <c r="L163" s="469"/>
    </row>
    <row r="164" spans="1:17">
      <c r="A164" s="461" t="s">
        <v>5550</v>
      </c>
      <c r="D164" s="469">
        <f t="shared" ref="D164:I164" si="164">D137</f>
        <v>1625</v>
      </c>
      <c r="E164" s="469">
        <f t="shared" si="164"/>
        <v>1593</v>
      </c>
      <c r="F164" s="469">
        <f t="shared" si="164"/>
        <v>1592</v>
      </c>
      <c r="G164" s="469">
        <f t="shared" si="164"/>
        <v>1596</v>
      </c>
      <c r="H164" s="469">
        <f t="shared" si="164"/>
        <v>1444</v>
      </c>
      <c r="I164" s="469">
        <f t="shared" si="164"/>
        <v>1512</v>
      </c>
      <c r="J164" s="469">
        <f t="shared" ref="J164:K164" si="165">J137</f>
        <v>1587</v>
      </c>
      <c r="K164" s="469">
        <f t="shared" si="165"/>
        <v>1661</v>
      </c>
      <c r="L164" s="469">
        <f t="shared" ref="L164" si="166">L137</f>
        <v>1662</v>
      </c>
    </row>
    <row r="165" spans="1:17">
      <c r="A165" s="460" t="s">
        <v>5551</v>
      </c>
      <c r="D165" s="463">
        <f t="shared" ref="D165:E165" si="167">SUM(D132:D134)+SUM(D138:D143)+D149+SUM(D151:D153)+SUM(D155:D157)+D160+D161</f>
        <v>63780</v>
      </c>
      <c r="E165" s="463">
        <f t="shared" si="167"/>
        <v>63278</v>
      </c>
      <c r="F165" s="463">
        <f t="shared" ref="F165:K165" si="168">SUM(F132:F134)+SUM(F138:F143)+F149+SUM(F151:F153)+SUM(F155:F157)+F160+F161</f>
        <v>63454</v>
      </c>
      <c r="G165" s="463">
        <f t="shared" si="168"/>
        <v>63470</v>
      </c>
      <c r="H165" s="463">
        <f t="shared" si="168"/>
        <v>59641</v>
      </c>
      <c r="I165" s="463">
        <f t="shared" si="168"/>
        <v>63001</v>
      </c>
      <c r="J165" s="463">
        <f t="shared" si="168"/>
        <v>66579</v>
      </c>
      <c r="K165" s="463">
        <f t="shared" si="168"/>
        <v>69914</v>
      </c>
      <c r="L165" s="463">
        <f t="shared" ref="L165" si="169">SUM(L132:L134)+SUM(L138:L143)+L149+SUM(L151:L153)+SUM(L155:L157)+L160+L161</f>
        <v>71261</v>
      </c>
    </row>
    <row r="166" spans="1:17">
      <c r="A166" s="460" t="s">
        <v>5552</v>
      </c>
      <c r="D166" s="463">
        <f t="shared" ref="D166:E166" si="170">SUM(D129:D131)+D135+D136+D144+SUM(D146:D148)+D150+D154+D158+D159+D162</f>
        <v>39019</v>
      </c>
      <c r="E166" s="463">
        <f t="shared" si="170"/>
        <v>38510</v>
      </c>
      <c r="F166" s="463">
        <f t="shared" ref="F166:K166" si="171">SUM(F129:F131)+F135+F136+F144+SUM(F146:F148)+F150+F154+F158+F159+F162</f>
        <v>38336</v>
      </c>
      <c r="G166" s="463">
        <f t="shared" si="171"/>
        <v>38460</v>
      </c>
      <c r="H166" s="463">
        <f t="shared" si="171"/>
        <v>35889</v>
      </c>
      <c r="I166" s="463">
        <f t="shared" si="171"/>
        <v>37543</v>
      </c>
      <c r="J166" s="463">
        <f t="shared" si="171"/>
        <v>39290</v>
      </c>
      <c r="K166" s="463">
        <f t="shared" si="171"/>
        <v>41021</v>
      </c>
      <c r="L166" s="463">
        <f t="shared" ref="L166" si="172">SUM(L129:L131)+L135+L136+L144+SUM(L146:L148)+L150+L154+L158+L159+L162</f>
        <v>41505</v>
      </c>
    </row>
    <row r="167" spans="1:17">
      <c r="A167" s="460"/>
      <c r="D167" s="463"/>
      <c r="E167" s="463"/>
      <c r="F167" s="463"/>
      <c r="G167" s="463"/>
      <c r="H167" s="463"/>
      <c r="I167" s="463"/>
      <c r="J167" s="463"/>
      <c r="K167" s="463"/>
      <c r="L167" s="463"/>
    </row>
    <row r="168" spans="1:17">
      <c r="A168" s="460" t="s">
        <v>13038</v>
      </c>
      <c r="D168" s="463"/>
      <c r="E168" s="463"/>
      <c r="F168" s="463"/>
      <c r="G168" s="463"/>
      <c r="H168" s="463"/>
      <c r="I168" s="463"/>
      <c r="J168" s="463"/>
      <c r="K168" s="463"/>
      <c r="L168" s="463"/>
    </row>
    <row r="169" spans="1:17">
      <c r="A169" s="460" t="s">
        <v>13039</v>
      </c>
      <c r="B169" s="460"/>
      <c r="D169" s="467"/>
      <c r="E169" s="467"/>
      <c r="F169" s="467"/>
      <c r="G169" s="467"/>
      <c r="H169" s="467"/>
      <c r="I169" s="467"/>
      <c r="J169" s="467"/>
      <c r="K169" s="467"/>
      <c r="L169" s="467"/>
    </row>
    <row r="170" spans="1:17">
      <c r="A170" s="460"/>
      <c r="B170" s="460"/>
      <c r="D170" s="467"/>
      <c r="E170" s="467"/>
      <c r="F170" s="467"/>
      <c r="G170" s="467"/>
      <c r="H170" s="467"/>
      <c r="I170" s="467"/>
      <c r="J170" s="467"/>
      <c r="K170" s="467"/>
      <c r="L170" s="467"/>
    </row>
    <row r="171" spans="1:17">
      <c r="A171" s="460"/>
      <c r="B171" s="460"/>
      <c r="D171" s="467"/>
      <c r="E171" s="467"/>
      <c r="F171" s="467"/>
      <c r="G171" s="467"/>
      <c r="H171" s="467"/>
      <c r="I171" s="467"/>
      <c r="J171" s="467"/>
      <c r="K171" s="467"/>
      <c r="L171" s="467"/>
    </row>
    <row r="172" spans="1:17">
      <c r="E172" s="42" t="s">
        <v>2303</v>
      </c>
      <c r="F172" s="42"/>
      <c r="G172" s="42"/>
      <c r="H172" s="42"/>
      <c r="I172" s="42"/>
      <c r="J172" s="42"/>
      <c r="K172" s="42"/>
      <c r="L172" s="42"/>
      <c r="M172" s="109"/>
      <c r="N172" s="109" t="s">
        <v>13319</v>
      </c>
    </row>
    <row r="173" spans="1:17">
      <c r="D173" s="110">
        <v>2010</v>
      </c>
      <c r="E173" s="110">
        <v>2011</v>
      </c>
      <c r="F173" s="110">
        <v>2012</v>
      </c>
      <c r="G173" s="110">
        <v>2013</v>
      </c>
      <c r="H173" s="110">
        <v>2014</v>
      </c>
      <c r="I173" s="110">
        <v>2015</v>
      </c>
      <c r="J173" s="110">
        <v>2016</v>
      </c>
      <c r="K173" s="110">
        <v>2017</v>
      </c>
      <c r="L173" s="110">
        <v>2018</v>
      </c>
      <c r="N173" s="112" t="s">
        <v>2304</v>
      </c>
    </row>
    <row r="174" spans="1:17">
      <c r="A174" s="460" t="s">
        <v>5553</v>
      </c>
      <c r="D174" s="463">
        <f t="shared" ref="D174:J174" si="173">SUM(D175:D184)+SUM(D186:D188)+SUM(D190:D192)</f>
        <v>84910</v>
      </c>
      <c r="E174" s="463">
        <f t="shared" si="173"/>
        <v>85924</v>
      </c>
      <c r="F174" s="463">
        <f t="shared" si="173"/>
        <v>87388</v>
      </c>
      <c r="G174" s="463">
        <f t="shared" si="173"/>
        <v>87289</v>
      </c>
      <c r="H174" s="463">
        <f t="shared" si="173"/>
        <v>88519</v>
      </c>
      <c r="I174" s="463">
        <f t="shared" si="173"/>
        <v>83742</v>
      </c>
      <c r="J174" s="463">
        <f t="shared" si="173"/>
        <v>81231</v>
      </c>
      <c r="K174" s="463">
        <f>SUM(K175:K184)+SUM(K186:K188)+SUM(K190:K192)</f>
        <v>83654</v>
      </c>
      <c r="L174" s="463">
        <f>SUM(L175:L184)+SUM(L186:L188)+SUM(L190:L192)</f>
        <v>85456</v>
      </c>
    </row>
    <row r="175" spans="1:17">
      <c r="A175" s="460" t="s">
        <v>6957</v>
      </c>
      <c r="B175" s="460" t="s">
        <v>5554</v>
      </c>
      <c r="C175" s="4" t="s">
        <v>16169</v>
      </c>
      <c r="D175" s="463">
        <v>75936</v>
      </c>
      <c r="E175" s="463">
        <v>76796</v>
      </c>
      <c r="F175" s="463">
        <v>78036</v>
      </c>
      <c r="G175" s="30">
        <v>77788</v>
      </c>
      <c r="H175" s="30">
        <v>78826</v>
      </c>
      <c r="I175" s="30">
        <v>74040</v>
      </c>
      <c r="J175" s="30">
        <v>71404</v>
      </c>
      <c r="K175" s="30">
        <v>6302</v>
      </c>
      <c r="L175" s="30">
        <v>6331</v>
      </c>
      <c r="N175" s="460" t="s">
        <v>1503</v>
      </c>
      <c r="O175" s="934"/>
      <c r="Q175" s="4"/>
    </row>
    <row r="176" spans="1:17">
      <c r="A176" s="460" t="s">
        <v>6959</v>
      </c>
      <c r="B176" s="460" t="s">
        <v>16183</v>
      </c>
      <c r="C176" s="4" t="s">
        <v>16170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5991</v>
      </c>
      <c r="L176" s="30">
        <v>6312</v>
      </c>
      <c r="N176" s="460" t="s">
        <v>1503</v>
      </c>
      <c r="O176" s="934"/>
      <c r="Q176" s="4"/>
    </row>
    <row r="177" spans="1:17">
      <c r="A177" s="460" t="s">
        <v>6961</v>
      </c>
      <c r="B177" s="460" t="s">
        <v>5555</v>
      </c>
      <c r="C177" s="4" t="s">
        <v>16171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7036</v>
      </c>
      <c r="L177" s="30">
        <v>7021</v>
      </c>
      <c r="N177" s="460" t="s">
        <v>1503</v>
      </c>
      <c r="O177" s="934"/>
      <c r="Q177" s="4"/>
    </row>
    <row r="178" spans="1:17">
      <c r="A178" s="460" t="s">
        <v>6963</v>
      </c>
      <c r="B178" s="460" t="s">
        <v>5556</v>
      </c>
      <c r="C178" s="4" t="s">
        <v>16172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6597</v>
      </c>
      <c r="L178" s="30">
        <v>6620</v>
      </c>
      <c r="N178" s="460" t="s">
        <v>1503</v>
      </c>
      <c r="O178" s="934"/>
      <c r="Q178" s="4"/>
    </row>
    <row r="179" spans="1:17">
      <c r="A179" s="460" t="s">
        <v>6965</v>
      </c>
      <c r="B179" s="460" t="s">
        <v>16184</v>
      </c>
      <c r="C179" s="4" t="s">
        <v>16173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6514</v>
      </c>
      <c r="L179" s="30">
        <v>6420</v>
      </c>
      <c r="N179" s="460" t="s">
        <v>1503</v>
      </c>
      <c r="O179" s="934"/>
      <c r="Q179" s="4"/>
    </row>
    <row r="180" spans="1:17">
      <c r="A180" s="460" t="s">
        <v>6997</v>
      </c>
      <c r="B180" s="461" t="s">
        <v>16185</v>
      </c>
      <c r="C180" s="4" t="s">
        <v>16174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6373</v>
      </c>
      <c r="L180" s="30">
        <v>6803</v>
      </c>
      <c r="N180" s="460" t="s">
        <v>1503</v>
      </c>
      <c r="O180" s="934"/>
      <c r="Q180" s="4"/>
    </row>
    <row r="181" spans="1:17">
      <c r="A181" s="460" t="s">
        <v>6999</v>
      </c>
      <c r="B181" s="460" t="s">
        <v>4095</v>
      </c>
      <c r="C181" s="4" t="s">
        <v>16175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7194</v>
      </c>
      <c r="L181" s="30">
        <v>7219</v>
      </c>
      <c r="N181" s="460" t="s">
        <v>1503</v>
      </c>
      <c r="O181" s="934"/>
      <c r="Q181" s="4"/>
    </row>
    <row r="182" spans="1:17">
      <c r="A182" s="460" t="s">
        <v>7001</v>
      </c>
      <c r="B182" s="460" t="s">
        <v>4096</v>
      </c>
      <c r="C182" s="4" t="s">
        <v>16176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5101</v>
      </c>
      <c r="L182" s="30">
        <v>5572</v>
      </c>
      <c r="N182" s="460" t="s">
        <v>1503</v>
      </c>
      <c r="O182" s="934"/>
      <c r="Q182" s="4"/>
    </row>
    <row r="183" spans="1:17">
      <c r="A183" s="460" t="s">
        <v>7003</v>
      </c>
      <c r="B183" s="460" t="s">
        <v>4097</v>
      </c>
      <c r="C183" s="4" t="s">
        <v>16177</v>
      </c>
      <c r="D183" s="463">
        <v>8974</v>
      </c>
      <c r="E183" s="463">
        <v>9128</v>
      </c>
      <c r="F183" s="463">
        <v>9352</v>
      </c>
      <c r="G183" s="30">
        <v>9501</v>
      </c>
      <c r="H183" s="30">
        <v>9693</v>
      </c>
      <c r="I183" s="30">
        <v>9702</v>
      </c>
      <c r="J183" s="30">
        <v>9827</v>
      </c>
      <c r="K183" s="30">
        <v>753</v>
      </c>
      <c r="L183" s="30">
        <v>755</v>
      </c>
      <c r="N183" s="460" t="s">
        <v>2362</v>
      </c>
      <c r="O183" s="934"/>
      <c r="Q183" s="4"/>
    </row>
    <row r="184" spans="1:17" ht="15.75" thickBot="1">
      <c r="A184" s="460"/>
      <c r="B184" s="460"/>
      <c r="C184" s="4" t="s">
        <v>16177</v>
      </c>
      <c r="D184" s="463">
        <v>0</v>
      </c>
      <c r="E184" s="463">
        <v>0</v>
      </c>
      <c r="F184" s="463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5337</v>
      </c>
      <c r="L184" s="30">
        <v>5408</v>
      </c>
      <c r="N184" s="460" t="s">
        <v>1503</v>
      </c>
      <c r="O184" s="934"/>
      <c r="Q184" s="4"/>
    </row>
    <row r="185" spans="1:17" ht="15.75" thickBot="1">
      <c r="A185" s="460"/>
      <c r="B185" s="460"/>
      <c r="C185" s="4" t="s">
        <v>16177</v>
      </c>
      <c r="D185" s="472">
        <f>D183+D184</f>
        <v>8974</v>
      </c>
      <c r="E185" s="472">
        <f t="shared" ref="E185:L185" si="174">E183+E184</f>
        <v>9128</v>
      </c>
      <c r="F185" s="472">
        <f t="shared" si="174"/>
        <v>9352</v>
      </c>
      <c r="G185" s="472">
        <f t="shared" si="174"/>
        <v>9501</v>
      </c>
      <c r="H185" s="472">
        <f t="shared" si="174"/>
        <v>9693</v>
      </c>
      <c r="I185" s="472">
        <f t="shared" si="174"/>
        <v>9702</v>
      </c>
      <c r="J185" s="472">
        <f t="shared" si="174"/>
        <v>9827</v>
      </c>
      <c r="K185" s="472">
        <f t="shared" si="174"/>
        <v>6090</v>
      </c>
      <c r="L185" s="472">
        <f t="shared" si="174"/>
        <v>6163</v>
      </c>
      <c r="N185" s="460"/>
      <c r="O185" s="934"/>
      <c r="Q185" s="4"/>
    </row>
    <row r="186" spans="1:17">
      <c r="A186" s="460" t="s">
        <v>7005</v>
      </c>
      <c r="B186" s="460" t="s">
        <v>4098</v>
      </c>
      <c r="C186" s="4" t="s">
        <v>16178</v>
      </c>
      <c r="D186" s="463">
        <v>0</v>
      </c>
      <c r="E186" s="463">
        <v>0</v>
      </c>
      <c r="F186" s="463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6388</v>
      </c>
      <c r="L186" s="30">
        <v>6727</v>
      </c>
      <c r="N186" s="460" t="s">
        <v>1503</v>
      </c>
      <c r="O186" s="934"/>
      <c r="Q186" s="4"/>
    </row>
    <row r="187" spans="1:17">
      <c r="A187" s="460" t="s">
        <v>7007</v>
      </c>
      <c r="B187" s="460" t="s">
        <v>4100</v>
      </c>
      <c r="C187" s="4" t="s">
        <v>16179</v>
      </c>
      <c r="D187" s="463">
        <v>0</v>
      </c>
      <c r="E187" s="463">
        <v>0</v>
      </c>
      <c r="F187" s="463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4768</v>
      </c>
      <c r="L187" s="30">
        <v>4820</v>
      </c>
      <c r="N187" s="460" t="s">
        <v>2362</v>
      </c>
      <c r="O187" s="934"/>
      <c r="Q187" s="4"/>
    </row>
    <row r="188" spans="1:17" ht="15.75" thickBot="1">
      <c r="B188" s="460"/>
      <c r="C188" s="4" t="s">
        <v>16179</v>
      </c>
      <c r="D188" s="463">
        <v>0</v>
      </c>
      <c r="E188" s="463">
        <v>0</v>
      </c>
      <c r="F188" s="463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1757</v>
      </c>
      <c r="L188" s="30">
        <v>1752</v>
      </c>
      <c r="N188" s="460" t="s">
        <v>1503</v>
      </c>
      <c r="O188" s="934"/>
      <c r="Q188" s="4"/>
    </row>
    <row r="189" spans="1:17" ht="15.75" thickBot="1">
      <c r="A189" s="460"/>
      <c r="B189" s="460"/>
      <c r="C189" s="4" t="s">
        <v>16179</v>
      </c>
      <c r="D189" s="472">
        <f>D187+D188</f>
        <v>0</v>
      </c>
      <c r="E189" s="472">
        <f t="shared" ref="E189:L189" si="175">E187+E188</f>
        <v>0</v>
      </c>
      <c r="F189" s="472">
        <f t="shared" si="175"/>
        <v>0</v>
      </c>
      <c r="G189" s="472">
        <f t="shared" si="175"/>
        <v>0</v>
      </c>
      <c r="H189" s="472">
        <f t="shared" si="175"/>
        <v>0</v>
      </c>
      <c r="I189" s="472">
        <f t="shared" si="175"/>
        <v>0</v>
      </c>
      <c r="J189" s="472">
        <f t="shared" si="175"/>
        <v>0</v>
      </c>
      <c r="K189" s="472">
        <f t="shared" si="175"/>
        <v>6525</v>
      </c>
      <c r="L189" s="472">
        <f t="shared" si="175"/>
        <v>6572</v>
      </c>
      <c r="N189" s="460"/>
      <c r="O189" s="934"/>
      <c r="Q189" s="4"/>
    </row>
    <row r="190" spans="1:17">
      <c r="A190" s="460" t="s">
        <v>7009</v>
      </c>
      <c r="B190" s="460" t="s">
        <v>4101</v>
      </c>
      <c r="C190" s="4" t="s">
        <v>16180</v>
      </c>
      <c r="D190" s="463">
        <v>0</v>
      </c>
      <c r="E190" s="463">
        <v>0</v>
      </c>
      <c r="F190" s="463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7064</v>
      </c>
      <c r="L190" s="30">
        <v>6996</v>
      </c>
      <c r="N190" s="460" t="s">
        <v>1503</v>
      </c>
      <c r="O190" s="934"/>
      <c r="Q190" s="4"/>
    </row>
    <row r="191" spans="1:17">
      <c r="A191" s="460" t="s">
        <v>7011</v>
      </c>
      <c r="B191" s="461" t="s">
        <v>4102</v>
      </c>
      <c r="C191" s="4" t="s">
        <v>16181</v>
      </c>
      <c r="D191" s="463">
        <v>0</v>
      </c>
      <c r="E191" s="463">
        <v>0</v>
      </c>
      <c r="F191" s="463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4924</v>
      </c>
      <c r="L191" s="30">
        <v>5114</v>
      </c>
      <c r="N191" s="460" t="s">
        <v>2362</v>
      </c>
      <c r="O191" s="934"/>
      <c r="Q191" s="4"/>
    </row>
    <row r="192" spans="1:17" ht="15.75" thickBot="1">
      <c r="A192" s="460"/>
      <c r="C192" s="4" t="s">
        <v>16181</v>
      </c>
      <c r="D192" s="463">
        <v>0</v>
      </c>
      <c r="E192" s="463">
        <v>0</v>
      </c>
      <c r="F192" s="463">
        <v>0</v>
      </c>
      <c r="G192" s="30">
        <v>0</v>
      </c>
      <c r="H192" s="30">
        <v>0</v>
      </c>
      <c r="I192" s="30">
        <v>0</v>
      </c>
      <c r="J192" s="30">
        <v>0</v>
      </c>
      <c r="K192" s="31">
        <v>1555</v>
      </c>
      <c r="L192" s="31">
        <v>1586</v>
      </c>
      <c r="N192" s="460" t="s">
        <v>1503</v>
      </c>
      <c r="O192" s="934"/>
      <c r="Q192" s="4"/>
    </row>
    <row r="193" spans="1:17" ht="15.75" thickBot="1">
      <c r="A193" s="460"/>
      <c r="C193" s="4" t="s">
        <v>16181</v>
      </c>
      <c r="D193" s="472">
        <f>D191+D192</f>
        <v>0</v>
      </c>
      <c r="E193" s="472">
        <f t="shared" ref="E193:K193" si="176">E191+E192</f>
        <v>0</v>
      </c>
      <c r="F193" s="472">
        <f t="shared" si="176"/>
        <v>0</v>
      </c>
      <c r="G193" s="472">
        <f t="shared" si="176"/>
        <v>0</v>
      </c>
      <c r="H193" s="472">
        <f t="shared" si="176"/>
        <v>0</v>
      </c>
      <c r="I193" s="472">
        <f t="shared" si="176"/>
        <v>0</v>
      </c>
      <c r="J193" s="472">
        <f t="shared" si="176"/>
        <v>0</v>
      </c>
      <c r="K193" s="472">
        <f t="shared" si="176"/>
        <v>6479</v>
      </c>
      <c r="L193" s="472">
        <f t="shared" ref="L193" si="177">L191+L192</f>
        <v>6700</v>
      </c>
      <c r="N193" s="460"/>
      <c r="O193" s="934"/>
      <c r="Q193" s="4"/>
    </row>
    <row r="194" spans="1:17">
      <c r="A194" s="460"/>
      <c r="B194" s="460"/>
      <c r="C194" s="460"/>
      <c r="D194" s="463"/>
      <c r="E194" s="463"/>
      <c r="F194" s="463"/>
      <c r="G194" s="463"/>
      <c r="H194" s="463"/>
      <c r="I194" s="463"/>
      <c r="J194" s="463"/>
      <c r="K194" s="463"/>
      <c r="L194" s="463"/>
      <c r="N194" s="460"/>
    </row>
    <row r="195" spans="1:17">
      <c r="A195" s="460" t="s">
        <v>5551</v>
      </c>
      <c r="D195" s="463">
        <f t="shared" ref="D195:K195" si="178">D183+D187+D191</f>
        <v>8974</v>
      </c>
      <c r="E195" s="463">
        <f t="shared" si="178"/>
        <v>9128</v>
      </c>
      <c r="F195" s="463">
        <f t="shared" si="178"/>
        <v>9352</v>
      </c>
      <c r="G195" s="463">
        <f t="shared" si="178"/>
        <v>9501</v>
      </c>
      <c r="H195" s="463">
        <f t="shared" si="178"/>
        <v>9693</v>
      </c>
      <c r="I195" s="463">
        <f t="shared" si="178"/>
        <v>9702</v>
      </c>
      <c r="J195" s="463">
        <f t="shared" si="178"/>
        <v>9827</v>
      </c>
      <c r="K195" s="463">
        <f t="shared" si="178"/>
        <v>10445</v>
      </c>
      <c r="L195" s="463">
        <f t="shared" ref="L195" si="179">L183+L187+L191</f>
        <v>10689</v>
      </c>
    </row>
    <row r="196" spans="1:17">
      <c r="A196" s="460" t="s">
        <v>1503</v>
      </c>
      <c r="D196" s="463">
        <f t="shared" ref="D196:K196" si="180">SUM(D175:D182)+D184+D188+D186+D190+D192</f>
        <v>75936</v>
      </c>
      <c r="E196" s="463">
        <f t="shared" si="180"/>
        <v>76796</v>
      </c>
      <c r="F196" s="463">
        <f t="shared" si="180"/>
        <v>78036</v>
      </c>
      <c r="G196" s="463">
        <f t="shared" si="180"/>
        <v>77788</v>
      </c>
      <c r="H196" s="463">
        <f t="shared" si="180"/>
        <v>78826</v>
      </c>
      <c r="I196" s="463">
        <f t="shared" si="180"/>
        <v>74040</v>
      </c>
      <c r="J196" s="463">
        <f t="shared" si="180"/>
        <v>71404</v>
      </c>
      <c r="K196" s="463">
        <f t="shared" si="180"/>
        <v>73209</v>
      </c>
      <c r="L196" s="463">
        <f t="shared" ref="L196" si="181">SUM(L175:L182)+L184+L188+L186+L190+L192</f>
        <v>74767</v>
      </c>
    </row>
    <row r="197" spans="1:17">
      <c r="A197" s="460"/>
      <c r="B197" s="460"/>
      <c r="D197" s="467"/>
      <c r="E197" s="467"/>
      <c r="F197" s="467"/>
      <c r="G197" s="467"/>
      <c r="H197" s="467"/>
      <c r="I197" s="467"/>
      <c r="J197" s="467"/>
      <c r="K197" s="467"/>
      <c r="L197" s="467"/>
    </row>
    <row r="198" spans="1:17">
      <c r="A198" s="460" t="s">
        <v>16182</v>
      </c>
      <c r="B198" s="460"/>
      <c r="D198" s="467"/>
      <c r="E198" s="467"/>
      <c r="F198" s="467"/>
      <c r="G198" s="467"/>
      <c r="H198" s="467"/>
      <c r="I198" s="467"/>
      <c r="J198" s="467"/>
      <c r="K198" s="467"/>
      <c r="L198" s="467"/>
    </row>
    <row r="199" spans="1:17">
      <c r="A199" s="460"/>
      <c r="B199" s="460"/>
      <c r="D199" s="467"/>
      <c r="E199" s="467"/>
      <c r="F199" s="467"/>
      <c r="G199" s="467"/>
      <c r="H199" s="467"/>
      <c r="I199" s="467"/>
      <c r="J199" s="467"/>
      <c r="K199" s="467"/>
      <c r="L199" s="467"/>
    </row>
    <row r="200" spans="1:17">
      <c r="A200" s="460"/>
      <c r="B200" s="460"/>
      <c r="D200" s="467"/>
      <c r="E200" s="467"/>
      <c r="F200" s="467"/>
      <c r="G200" s="467"/>
      <c r="H200" s="467"/>
      <c r="I200" s="467"/>
      <c r="J200" s="467"/>
      <c r="K200" s="467"/>
      <c r="L200" s="467"/>
    </row>
    <row r="201" spans="1:17">
      <c r="E201" s="42" t="s">
        <v>2303</v>
      </c>
      <c r="F201" s="42"/>
      <c r="G201" s="42"/>
      <c r="H201" s="42"/>
      <c r="I201" s="42"/>
      <c r="J201" s="42"/>
      <c r="K201" s="42"/>
      <c r="L201" s="42"/>
      <c r="M201" s="109"/>
      <c r="N201" s="109" t="s">
        <v>13319</v>
      </c>
    </row>
    <row r="202" spans="1:17">
      <c r="D202" s="110">
        <v>2010</v>
      </c>
      <c r="E202" s="110">
        <v>2011</v>
      </c>
      <c r="F202" s="110">
        <v>2012</v>
      </c>
      <c r="G202" s="110">
        <v>2013</v>
      </c>
      <c r="H202" s="110">
        <v>2014</v>
      </c>
      <c r="I202" s="110">
        <v>2015</v>
      </c>
      <c r="J202" s="110">
        <v>2016</v>
      </c>
      <c r="K202" s="110">
        <v>2017</v>
      </c>
      <c r="L202" s="110">
        <v>2018</v>
      </c>
      <c r="N202" s="112" t="s">
        <v>2304</v>
      </c>
    </row>
    <row r="203" spans="1:17">
      <c r="A203" s="460" t="s">
        <v>4103</v>
      </c>
      <c r="D203" s="463">
        <f t="shared" ref="D203:I203" si="182">SUM(D204:D227)</f>
        <v>59582</v>
      </c>
      <c r="E203" s="463">
        <f t="shared" si="182"/>
        <v>59274</v>
      </c>
      <c r="F203" s="463">
        <f t="shared" si="182"/>
        <v>59841</v>
      </c>
      <c r="G203" s="463">
        <f t="shared" si="182"/>
        <v>59912</v>
      </c>
      <c r="H203" s="463">
        <f t="shared" si="182"/>
        <v>59488</v>
      </c>
      <c r="I203" s="463">
        <f t="shared" si="182"/>
        <v>59038</v>
      </c>
      <c r="J203" s="463">
        <f t="shared" ref="J203:K203" si="183">SUM(J204:J227)</f>
        <v>57917</v>
      </c>
      <c r="K203" s="463">
        <f t="shared" si="183"/>
        <v>59306</v>
      </c>
      <c r="L203" s="463">
        <f t="shared" ref="L203" si="184">SUM(L204:L227)</f>
        <v>62441</v>
      </c>
    </row>
    <row r="204" spans="1:17">
      <c r="A204" s="460" t="s">
        <v>6957</v>
      </c>
      <c r="B204" s="460" t="s">
        <v>4104</v>
      </c>
      <c r="C204" s="4" t="s">
        <v>13035</v>
      </c>
      <c r="D204" s="463">
        <v>2980</v>
      </c>
      <c r="E204" s="463">
        <v>2900</v>
      </c>
      <c r="F204" s="463">
        <v>2938</v>
      </c>
      <c r="G204" s="30">
        <v>2920</v>
      </c>
      <c r="H204" s="30">
        <v>2892</v>
      </c>
      <c r="I204" s="30">
        <v>2876</v>
      </c>
      <c r="J204" s="30">
        <v>2798</v>
      </c>
      <c r="K204" s="30">
        <v>2828</v>
      </c>
      <c r="L204" s="30">
        <v>2924</v>
      </c>
      <c r="N204" s="460" t="s">
        <v>2357</v>
      </c>
      <c r="O204" s="940"/>
      <c r="Q204" s="4"/>
    </row>
    <row r="205" spans="1:17">
      <c r="A205" s="460" t="s">
        <v>6959</v>
      </c>
      <c r="B205" s="460" t="s">
        <v>4105</v>
      </c>
      <c r="C205" s="4" t="s">
        <v>12104</v>
      </c>
      <c r="D205" s="463">
        <v>1546</v>
      </c>
      <c r="E205" s="463">
        <v>1527</v>
      </c>
      <c r="F205" s="463">
        <v>1537</v>
      </c>
      <c r="G205" s="30">
        <v>1519</v>
      </c>
      <c r="H205" s="30">
        <v>1527</v>
      </c>
      <c r="I205" s="30">
        <v>1502</v>
      </c>
      <c r="J205" s="30">
        <v>1491</v>
      </c>
      <c r="K205" s="30">
        <v>1527</v>
      </c>
      <c r="L205" s="30">
        <v>1592</v>
      </c>
      <c r="N205" s="460" t="s">
        <v>2357</v>
      </c>
      <c r="O205" s="940"/>
      <c r="Q205" s="4"/>
    </row>
    <row r="206" spans="1:17">
      <c r="A206" s="460" t="s">
        <v>6961</v>
      </c>
      <c r="B206" s="460" t="s">
        <v>4106</v>
      </c>
      <c r="C206" s="4" t="s">
        <v>12105</v>
      </c>
      <c r="D206" s="463">
        <v>1272</v>
      </c>
      <c r="E206" s="463">
        <v>1288</v>
      </c>
      <c r="F206" s="463">
        <v>1294</v>
      </c>
      <c r="G206" s="30">
        <v>1328</v>
      </c>
      <c r="H206" s="30">
        <v>1307</v>
      </c>
      <c r="I206" s="30">
        <v>1302</v>
      </c>
      <c r="J206" s="30">
        <v>1288</v>
      </c>
      <c r="K206" s="30">
        <v>1310</v>
      </c>
      <c r="L206" s="30">
        <v>1366</v>
      </c>
      <c r="N206" s="460" t="s">
        <v>2357</v>
      </c>
      <c r="O206" s="940"/>
      <c r="Q206" s="4"/>
    </row>
    <row r="207" spans="1:17">
      <c r="A207" s="460" t="s">
        <v>6963</v>
      </c>
      <c r="B207" s="460" t="s">
        <v>4107</v>
      </c>
      <c r="C207" s="4" t="s">
        <v>12106</v>
      </c>
      <c r="D207" s="463">
        <v>2560</v>
      </c>
      <c r="E207" s="463">
        <v>2540</v>
      </c>
      <c r="F207" s="463">
        <v>2586</v>
      </c>
      <c r="G207" s="30">
        <v>2593</v>
      </c>
      <c r="H207" s="30">
        <v>2571</v>
      </c>
      <c r="I207" s="30">
        <v>2567</v>
      </c>
      <c r="J207" s="30">
        <v>2520</v>
      </c>
      <c r="K207" s="30">
        <v>2546</v>
      </c>
      <c r="L207" s="30">
        <v>2718</v>
      </c>
      <c r="N207" s="460" t="s">
        <v>2380</v>
      </c>
      <c r="O207" s="940"/>
      <c r="Q207" s="4"/>
    </row>
    <row r="208" spans="1:17">
      <c r="A208" s="460" t="s">
        <v>6965</v>
      </c>
      <c r="B208" s="460" t="s">
        <v>7588</v>
      </c>
      <c r="C208" s="4" t="s">
        <v>12107</v>
      </c>
      <c r="D208" s="463">
        <v>3211</v>
      </c>
      <c r="E208" s="463">
        <v>3158</v>
      </c>
      <c r="F208" s="463">
        <v>3118</v>
      </c>
      <c r="G208" s="30">
        <v>3076</v>
      </c>
      <c r="H208" s="30">
        <v>3020</v>
      </c>
      <c r="I208" s="30">
        <v>2969</v>
      </c>
      <c r="J208" s="30">
        <v>2924</v>
      </c>
      <c r="K208" s="30">
        <v>3025</v>
      </c>
      <c r="L208" s="30">
        <v>3215</v>
      </c>
      <c r="N208" s="460" t="s">
        <v>2380</v>
      </c>
      <c r="O208" s="940"/>
      <c r="Q208" s="4"/>
    </row>
    <row r="209" spans="1:17">
      <c r="A209" s="460" t="s">
        <v>6997</v>
      </c>
      <c r="B209" s="460" t="s">
        <v>4108</v>
      </c>
      <c r="C209" s="4" t="s">
        <v>12108</v>
      </c>
      <c r="D209" s="463">
        <v>2785</v>
      </c>
      <c r="E209" s="463">
        <v>2793</v>
      </c>
      <c r="F209" s="463">
        <v>2782</v>
      </c>
      <c r="G209" s="30">
        <v>2762</v>
      </c>
      <c r="H209" s="30">
        <v>2758</v>
      </c>
      <c r="I209" s="30">
        <v>2703</v>
      </c>
      <c r="J209" s="30">
        <v>2720</v>
      </c>
      <c r="K209" s="30">
        <v>2738</v>
      </c>
      <c r="L209" s="30">
        <v>2887</v>
      </c>
      <c r="N209" s="460" t="s">
        <v>2380</v>
      </c>
      <c r="O209" s="940"/>
      <c r="Q209" s="4"/>
    </row>
    <row r="210" spans="1:17">
      <c r="A210" s="460" t="s">
        <v>6999</v>
      </c>
      <c r="B210" s="460" t="s">
        <v>2201</v>
      </c>
      <c r="C210" s="4" t="s">
        <v>12109</v>
      </c>
      <c r="D210" s="463">
        <v>4006</v>
      </c>
      <c r="E210" s="463">
        <v>3917</v>
      </c>
      <c r="F210" s="463">
        <v>3943</v>
      </c>
      <c r="G210" s="31">
        <v>3913</v>
      </c>
      <c r="H210" s="31">
        <v>3887</v>
      </c>
      <c r="I210" s="31">
        <v>3856</v>
      </c>
      <c r="J210" s="31">
        <v>3784</v>
      </c>
      <c r="K210" s="31">
        <v>3833</v>
      </c>
      <c r="L210" s="31">
        <v>3969</v>
      </c>
      <c r="N210" s="460" t="s">
        <v>2380</v>
      </c>
      <c r="O210" s="940"/>
      <c r="Q210" s="4"/>
    </row>
    <row r="211" spans="1:17">
      <c r="A211" s="460" t="s">
        <v>7001</v>
      </c>
      <c r="B211" s="460" t="s">
        <v>2202</v>
      </c>
      <c r="C211" s="4" t="s">
        <v>12110</v>
      </c>
      <c r="D211" s="463">
        <v>3032</v>
      </c>
      <c r="E211" s="463">
        <v>3002</v>
      </c>
      <c r="F211" s="463">
        <v>3047</v>
      </c>
      <c r="G211" s="31">
        <v>3091</v>
      </c>
      <c r="H211" s="31">
        <v>3059</v>
      </c>
      <c r="I211" s="31">
        <v>3025</v>
      </c>
      <c r="J211" s="31">
        <v>2924</v>
      </c>
      <c r="K211" s="31">
        <v>3063</v>
      </c>
      <c r="L211" s="31">
        <v>3160</v>
      </c>
      <c r="N211" s="460" t="s">
        <v>2380</v>
      </c>
      <c r="O211" s="940"/>
      <c r="Q211" s="4"/>
    </row>
    <row r="212" spans="1:17">
      <c r="A212" s="460" t="s">
        <v>7003</v>
      </c>
      <c r="B212" s="460" t="s">
        <v>2203</v>
      </c>
      <c r="C212" s="4" t="s">
        <v>12111</v>
      </c>
      <c r="D212" s="463">
        <v>1449</v>
      </c>
      <c r="E212" s="463">
        <v>1476</v>
      </c>
      <c r="F212" s="463">
        <v>1459</v>
      </c>
      <c r="G212" s="31">
        <v>1507</v>
      </c>
      <c r="H212" s="31">
        <v>1461</v>
      </c>
      <c r="I212" s="31">
        <v>1442</v>
      </c>
      <c r="J212" s="31">
        <v>1440</v>
      </c>
      <c r="K212" s="31">
        <v>1474</v>
      </c>
      <c r="L212" s="31">
        <v>1676</v>
      </c>
      <c r="N212" s="460" t="s">
        <v>2380</v>
      </c>
      <c r="O212" s="940"/>
      <c r="Q212" s="4"/>
    </row>
    <row r="213" spans="1:17">
      <c r="A213" s="460" t="s">
        <v>7005</v>
      </c>
      <c r="B213" s="460" t="s">
        <v>13309</v>
      </c>
      <c r="C213" s="4" t="s">
        <v>12112</v>
      </c>
      <c r="D213" s="463">
        <v>2887</v>
      </c>
      <c r="E213" s="463">
        <v>2813</v>
      </c>
      <c r="F213" s="463">
        <v>2802</v>
      </c>
      <c r="G213" s="31">
        <v>2813</v>
      </c>
      <c r="H213" s="31">
        <v>2940</v>
      </c>
      <c r="I213" s="31">
        <v>2948</v>
      </c>
      <c r="J213" s="31">
        <v>3001</v>
      </c>
      <c r="K213" s="31">
        <v>3150</v>
      </c>
      <c r="L213" s="31">
        <v>3344</v>
      </c>
      <c r="N213" s="460" t="s">
        <v>2380</v>
      </c>
      <c r="O213" s="940"/>
      <c r="Q213" s="4"/>
    </row>
    <row r="214" spans="1:17">
      <c r="A214" s="460" t="s">
        <v>7007</v>
      </c>
      <c r="B214" s="460" t="s">
        <v>2204</v>
      </c>
      <c r="C214" s="4" t="s">
        <v>12113</v>
      </c>
      <c r="D214" s="463">
        <v>1547</v>
      </c>
      <c r="E214" s="463">
        <v>1543</v>
      </c>
      <c r="F214" s="463">
        <v>1563</v>
      </c>
      <c r="G214" s="31">
        <v>1545</v>
      </c>
      <c r="H214" s="31">
        <v>1521</v>
      </c>
      <c r="I214" s="31">
        <v>1524</v>
      </c>
      <c r="J214" s="31">
        <v>1504</v>
      </c>
      <c r="K214" s="31">
        <v>1534</v>
      </c>
      <c r="L214" s="31">
        <v>1633</v>
      </c>
      <c r="N214" s="460" t="s">
        <v>2380</v>
      </c>
      <c r="O214" s="940"/>
      <c r="Q214" s="4"/>
    </row>
    <row r="215" spans="1:17">
      <c r="A215" s="460" t="s">
        <v>7009</v>
      </c>
      <c r="B215" s="460" t="s">
        <v>2205</v>
      </c>
      <c r="C215" s="4" t="s">
        <v>12114</v>
      </c>
      <c r="D215" s="463">
        <v>2826</v>
      </c>
      <c r="E215" s="463">
        <v>2830</v>
      </c>
      <c r="F215" s="463">
        <v>2933</v>
      </c>
      <c r="G215" s="30">
        <v>2961</v>
      </c>
      <c r="H215" s="30">
        <v>2909</v>
      </c>
      <c r="I215" s="30">
        <v>2833</v>
      </c>
      <c r="J215" s="30">
        <v>2761</v>
      </c>
      <c r="K215" s="30">
        <v>2861</v>
      </c>
      <c r="L215" s="30">
        <v>2942</v>
      </c>
      <c r="N215" s="460" t="s">
        <v>2357</v>
      </c>
      <c r="O215" s="940"/>
      <c r="Q215" s="4"/>
    </row>
    <row r="216" spans="1:17">
      <c r="A216" s="460" t="s">
        <v>7011</v>
      </c>
      <c r="B216" s="460" t="s">
        <v>2206</v>
      </c>
      <c r="C216" s="4" t="s">
        <v>12115</v>
      </c>
      <c r="D216" s="463">
        <v>4445</v>
      </c>
      <c r="E216" s="463">
        <v>4436</v>
      </c>
      <c r="F216" s="463">
        <v>4491</v>
      </c>
      <c r="G216" s="31">
        <v>4503</v>
      </c>
      <c r="H216" s="31">
        <v>4491</v>
      </c>
      <c r="I216" s="31">
        <v>4488</v>
      </c>
      <c r="J216" s="31">
        <v>4354</v>
      </c>
      <c r="K216" s="31">
        <v>4490</v>
      </c>
      <c r="L216" s="31">
        <v>4686</v>
      </c>
      <c r="N216" s="460" t="s">
        <v>2380</v>
      </c>
      <c r="O216" s="940"/>
      <c r="Q216" s="4"/>
    </row>
    <row r="217" spans="1:17">
      <c r="A217" s="460" t="s">
        <v>7013</v>
      </c>
      <c r="B217" s="460" t="s">
        <v>2207</v>
      </c>
      <c r="C217" s="4" t="s">
        <v>12116</v>
      </c>
      <c r="D217" s="463">
        <v>4554</v>
      </c>
      <c r="E217" s="463">
        <v>4459</v>
      </c>
      <c r="F217" s="463">
        <v>4591</v>
      </c>
      <c r="G217" s="31">
        <v>4632</v>
      </c>
      <c r="H217" s="31">
        <v>4556</v>
      </c>
      <c r="I217" s="31">
        <v>4533</v>
      </c>
      <c r="J217" s="31">
        <v>4380</v>
      </c>
      <c r="K217" s="31">
        <v>4521</v>
      </c>
      <c r="L217" s="31">
        <v>4730</v>
      </c>
      <c r="N217" s="460" t="s">
        <v>2380</v>
      </c>
      <c r="O217" s="940"/>
      <c r="Q217" s="4"/>
    </row>
    <row r="218" spans="1:17">
      <c r="A218" s="460" t="s">
        <v>7015</v>
      </c>
      <c r="B218" s="460" t="s">
        <v>2208</v>
      </c>
      <c r="C218" s="4" t="s">
        <v>13305</v>
      </c>
      <c r="D218" s="463">
        <v>1237</v>
      </c>
      <c r="E218" s="463">
        <v>1281</v>
      </c>
      <c r="F218" s="463">
        <v>1285</v>
      </c>
      <c r="G218" s="30">
        <v>1307</v>
      </c>
      <c r="H218" s="30">
        <v>1274</v>
      </c>
      <c r="I218" s="30">
        <v>1258</v>
      </c>
      <c r="J218" s="30">
        <v>1195</v>
      </c>
      <c r="K218" s="30">
        <v>1222</v>
      </c>
      <c r="L218" s="30">
        <v>1279</v>
      </c>
      <c r="N218" s="460" t="s">
        <v>2357</v>
      </c>
      <c r="O218" s="940"/>
      <c r="Q218" s="4"/>
    </row>
    <row r="219" spans="1:17">
      <c r="A219" s="460" t="s">
        <v>7017</v>
      </c>
      <c r="B219" s="460" t="s">
        <v>2209</v>
      </c>
      <c r="C219" s="4" t="s">
        <v>12117</v>
      </c>
      <c r="D219" s="463">
        <v>2646</v>
      </c>
      <c r="E219" s="463">
        <v>2680</v>
      </c>
      <c r="F219" s="463">
        <v>2698</v>
      </c>
      <c r="G219" s="30">
        <v>2710</v>
      </c>
      <c r="H219" s="30">
        <v>2699</v>
      </c>
      <c r="I219" s="30">
        <v>2666</v>
      </c>
      <c r="J219" s="30">
        <v>2653</v>
      </c>
      <c r="K219" s="30">
        <v>2711</v>
      </c>
      <c r="L219" s="30">
        <v>2832</v>
      </c>
      <c r="N219" s="460" t="s">
        <v>2357</v>
      </c>
      <c r="O219" s="940"/>
      <c r="Q219" s="4"/>
    </row>
    <row r="220" spans="1:17">
      <c r="A220" s="460" t="s">
        <v>7019</v>
      </c>
      <c r="B220" s="460" t="s">
        <v>2210</v>
      </c>
      <c r="C220" s="4" t="s">
        <v>12118</v>
      </c>
      <c r="D220" s="463">
        <v>1468</v>
      </c>
      <c r="E220" s="463">
        <v>1464</v>
      </c>
      <c r="F220" s="463">
        <v>1483</v>
      </c>
      <c r="G220" s="30">
        <v>1498</v>
      </c>
      <c r="H220" s="30">
        <v>1474</v>
      </c>
      <c r="I220" s="30">
        <v>1491</v>
      </c>
      <c r="J220" s="30">
        <v>1469</v>
      </c>
      <c r="K220" s="30">
        <v>1448</v>
      </c>
      <c r="L220" s="30">
        <v>1562</v>
      </c>
      <c r="N220" s="460" t="s">
        <v>2357</v>
      </c>
      <c r="O220" s="940"/>
      <c r="Q220" s="4"/>
    </row>
    <row r="221" spans="1:17">
      <c r="A221" s="460" t="s">
        <v>7021</v>
      </c>
      <c r="B221" s="460" t="s">
        <v>2211</v>
      </c>
      <c r="C221" s="4" t="s">
        <v>12119</v>
      </c>
      <c r="D221" s="463">
        <v>1302</v>
      </c>
      <c r="E221" s="463">
        <v>1342</v>
      </c>
      <c r="F221" s="463">
        <v>1337</v>
      </c>
      <c r="G221" s="30">
        <v>1342</v>
      </c>
      <c r="H221" s="30">
        <v>1336</v>
      </c>
      <c r="I221" s="30">
        <v>1320</v>
      </c>
      <c r="J221" s="30">
        <v>1297</v>
      </c>
      <c r="K221" s="30">
        <v>1321</v>
      </c>
      <c r="L221" s="30">
        <v>1387</v>
      </c>
      <c r="N221" s="460" t="s">
        <v>2357</v>
      </c>
      <c r="O221" s="940"/>
      <c r="Q221" s="4"/>
    </row>
    <row r="222" spans="1:17">
      <c r="A222" s="460" t="s">
        <v>7023</v>
      </c>
      <c r="B222" s="460" t="s">
        <v>2212</v>
      </c>
      <c r="C222" s="4" t="s">
        <v>12120</v>
      </c>
      <c r="D222" s="463">
        <v>1342</v>
      </c>
      <c r="E222" s="463">
        <v>1346</v>
      </c>
      <c r="F222" s="463">
        <v>1372</v>
      </c>
      <c r="G222" s="30">
        <v>1374</v>
      </c>
      <c r="H222" s="30">
        <v>1336</v>
      </c>
      <c r="I222" s="30">
        <v>1327</v>
      </c>
      <c r="J222" s="30">
        <v>1315</v>
      </c>
      <c r="K222" s="30">
        <v>1369</v>
      </c>
      <c r="L222" s="30">
        <v>1429</v>
      </c>
      <c r="N222" s="460" t="s">
        <v>2357</v>
      </c>
      <c r="O222" s="940"/>
      <c r="Q222" s="4"/>
    </row>
    <row r="223" spans="1:17">
      <c r="A223" s="460" t="s">
        <v>7025</v>
      </c>
      <c r="B223" s="460" t="s">
        <v>2213</v>
      </c>
      <c r="C223" s="4" t="s">
        <v>12121</v>
      </c>
      <c r="D223" s="463">
        <v>3150</v>
      </c>
      <c r="E223" s="463">
        <v>3184</v>
      </c>
      <c r="F223" s="463">
        <v>3240</v>
      </c>
      <c r="G223" s="31">
        <v>3231</v>
      </c>
      <c r="H223" s="31">
        <v>3232</v>
      </c>
      <c r="I223" s="31">
        <v>3225</v>
      </c>
      <c r="J223" s="31">
        <v>3194</v>
      </c>
      <c r="K223" s="31">
        <v>3213</v>
      </c>
      <c r="L223" s="31">
        <v>3422</v>
      </c>
      <c r="N223" s="460" t="s">
        <v>2380</v>
      </c>
      <c r="O223" s="940"/>
      <c r="Q223" s="4"/>
    </row>
    <row r="224" spans="1:17">
      <c r="A224" s="460" t="s">
        <v>7570</v>
      </c>
      <c r="B224" s="460" t="s">
        <v>1428</v>
      </c>
      <c r="C224" s="4" t="s">
        <v>12122</v>
      </c>
      <c r="D224" s="463">
        <v>1364</v>
      </c>
      <c r="E224" s="463">
        <v>1319</v>
      </c>
      <c r="F224" s="463">
        <v>1365</v>
      </c>
      <c r="G224" s="30">
        <v>1347</v>
      </c>
      <c r="H224" s="30">
        <v>1334</v>
      </c>
      <c r="I224" s="30">
        <v>1332</v>
      </c>
      <c r="J224" s="30">
        <v>1334</v>
      </c>
      <c r="K224" s="30">
        <v>1340</v>
      </c>
      <c r="L224" s="30">
        <v>1410</v>
      </c>
      <c r="N224" s="460" t="s">
        <v>2357</v>
      </c>
      <c r="O224" s="940"/>
      <c r="Q224" s="4"/>
    </row>
    <row r="225" spans="1:17">
      <c r="A225" s="460" t="s">
        <v>7572</v>
      </c>
      <c r="B225" s="460" t="s">
        <v>1429</v>
      </c>
      <c r="C225" s="4" t="s">
        <v>12123</v>
      </c>
      <c r="D225" s="463">
        <v>1236</v>
      </c>
      <c r="E225" s="463">
        <v>1249</v>
      </c>
      <c r="F225" s="463">
        <v>1262</v>
      </c>
      <c r="G225" s="30">
        <v>1264</v>
      </c>
      <c r="H225" s="30">
        <v>1270</v>
      </c>
      <c r="I225" s="30">
        <v>1267</v>
      </c>
      <c r="J225" s="30">
        <v>1213</v>
      </c>
      <c r="K225" s="30">
        <v>1234</v>
      </c>
      <c r="L225" s="30">
        <v>1327</v>
      </c>
      <c r="N225" s="460" t="s">
        <v>2357</v>
      </c>
      <c r="O225" s="940"/>
      <c r="Q225" s="4"/>
    </row>
    <row r="226" spans="1:17">
      <c r="A226" s="460" t="s">
        <v>7573</v>
      </c>
      <c r="B226" s="460" t="s">
        <v>1430</v>
      </c>
      <c r="C226" s="4" t="s">
        <v>12124</v>
      </c>
      <c r="D226" s="463">
        <v>4072</v>
      </c>
      <c r="E226" s="463">
        <v>4008</v>
      </c>
      <c r="F226" s="463">
        <v>4017</v>
      </c>
      <c r="G226" s="31">
        <v>3991</v>
      </c>
      <c r="H226" s="31">
        <v>3920</v>
      </c>
      <c r="I226" s="31">
        <v>3899</v>
      </c>
      <c r="J226" s="31">
        <v>3749</v>
      </c>
      <c r="K226" s="31">
        <v>3912</v>
      </c>
      <c r="L226" s="31">
        <v>4140</v>
      </c>
      <c r="N226" s="460" t="s">
        <v>2380</v>
      </c>
      <c r="O226" s="940"/>
      <c r="Q226" s="4"/>
    </row>
    <row r="227" spans="1:17">
      <c r="A227" s="460" t="s">
        <v>5798</v>
      </c>
      <c r="B227" s="460" t="s">
        <v>1431</v>
      </c>
      <c r="C227" s="4" t="s">
        <v>15857</v>
      </c>
      <c r="D227" s="463">
        <v>2665</v>
      </c>
      <c r="E227" s="463">
        <v>2719</v>
      </c>
      <c r="F227" s="463">
        <v>2698</v>
      </c>
      <c r="G227" s="30">
        <v>2685</v>
      </c>
      <c r="H227" s="30">
        <v>2714</v>
      </c>
      <c r="I227" s="30">
        <v>2685</v>
      </c>
      <c r="J227" s="30">
        <v>2609</v>
      </c>
      <c r="K227" s="30">
        <v>2636</v>
      </c>
      <c r="L227" s="30">
        <v>2811</v>
      </c>
      <c r="N227" s="460" t="s">
        <v>2357</v>
      </c>
      <c r="O227" s="940"/>
      <c r="Q227" s="4"/>
    </row>
    <row r="228" spans="1:17">
      <c r="D228" s="463"/>
      <c r="E228" s="463"/>
      <c r="F228" s="463"/>
      <c r="G228" s="463"/>
      <c r="H228" s="463"/>
      <c r="I228" s="463"/>
      <c r="J228" s="463"/>
      <c r="K228" s="463"/>
      <c r="L228" s="463"/>
    </row>
    <row r="229" spans="1:17">
      <c r="A229" s="460" t="s">
        <v>5550</v>
      </c>
      <c r="D229" s="463">
        <f t="shared" ref="D229:I229" si="185">SUM(D204:D206)+D215+SUM(D218:D222)+D224+D225+D227</f>
        <v>21884</v>
      </c>
      <c r="E229" s="463">
        <f t="shared" si="185"/>
        <v>21945</v>
      </c>
      <c r="F229" s="463">
        <f t="shared" si="185"/>
        <v>22202</v>
      </c>
      <c r="G229" s="463">
        <f t="shared" si="185"/>
        <v>22255</v>
      </c>
      <c r="H229" s="463">
        <f t="shared" si="185"/>
        <v>22072</v>
      </c>
      <c r="I229" s="463">
        <f t="shared" si="185"/>
        <v>21859</v>
      </c>
      <c r="J229" s="463">
        <f t="shared" ref="J229:K229" si="186">SUM(J204:J206)+J215+SUM(J218:J222)+J224+J225+J227</f>
        <v>21423</v>
      </c>
      <c r="K229" s="463">
        <f t="shared" si="186"/>
        <v>21807</v>
      </c>
      <c r="L229" s="463">
        <f t="shared" ref="L229" si="187">SUM(L204:L206)+L215+SUM(L218:L222)+L224+L225+L227</f>
        <v>22861</v>
      </c>
    </row>
    <row r="230" spans="1:17">
      <c r="A230" s="460" t="s">
        <v>5552</v>
      </c>
      <c r="D230" s="463">
        <f t="shared" ref="D230:I230" si="188">SUM(D207:D214)+D216+D217+D223+D226</f>
        <v>37698</v>
      </c>
      <c r="E230" s="463">
        <f t="shared" si="188"/>
        <v>37329</v>
      </c>
      <c r="F230" s="463">
        <f t="shared" si="188"/>
        <v>37639</v>
      </c>
      <c r="G230" s="463">
        <f t="shared" si="188"/>
        <v>37657</v>
      </c>
      <c r="H230" s="463">
        <f t="shared" si="188"/>
        <v>37416</v>
      </c>
      <c r="I230" s="463">
        <f t="shared" si="188"/>
        <v>37179</v>
      </c>
      <c r="J230" s="463">
        <f t="shared" ref="J230:K230" si="189">SUM(J207:J214)+J216+J217+J223+J226</f>
        <v>36494</v>
      </c>
      <c r="K230" s="463">
        <f t="shared" si="189"/>
        <v>37499</v>
      </c>
      <c r="L230" s="463">
        <f t="shared" ref="L230" si="190">SUM(L207:L214)+L216+L217+L223+L226</f>
        <v>39580</v>
      </c>
    </row>
    <row r="231" spans="1:17">
      <c r="A231" s="460"/>
      <c r="D231" s="463"/>
      <c r="E231" s="463"/>
      <c r="F231" s="463"/>
      <c r="G231" s="463"/>
      <c r="H231" s="463"/>
      <c r="I231" s="463"/>
      <c r="J231" s="463"/>
      <c r="K231" s="463"/>
      <c r="L231" s="463"/>
    </row>
    <row r="232" spans="1:17">
      <c r="A232" s="460" t="s">
        <v>13036</v>
      </c>
      <c r="D232" s="463"/>
      <c r="E232" s="463"/>
      <c r="F232" s="463"/>
      <c r="G232" s="463"/>
      <c r="H232" s="463"/>
      <c r="I232" s="463"/>
      <c r="J232" s="463"/>
      <c r="K232" s="463"/>
      <c r="L232" s="463"/>
    </row>
    <row r="233" spans="1:17">
      <c r="A233" s="460" t="s">
        <v>13037</v>
      </c>
      <c r="D233" s="463"/>
      <c r="E233" s="463"/>
      <c r="F233" s="463"/>
      <c r="G233" s="463"/>
      <c r="H233" s="463"/>
      <c r="I233" s="463"/>
      <c r="J233" s="463"/>
      <c r="K233" s="463"/>
      <c r="L233" s="463"/>
    </row>
    <row r="234" spans="1:17">
      <c r="A234" s="460"/>
      <c r="B234" s="460"/>
      <c r="D234" s="467"/>
      <c r="E234" s="467"/>
      <c r="F234" s="467"/>
      <c r="G234" s="467"/>
      <c r="H234" s="467"/>
      <c r="I234" s="467"/>
      <c r="J234" s="467"/>
      <c r="K234" s="467"/>
      <c r="L234" s="467"/>
    </row>
    <row r="235" spans="1:17">
      <c r="A235" s="460"/>
      <c r="B235" s="460"/>
      <c r="D235" s="467"/>
      <c r="E235" s="467"/>
      <c r="F235" s="467"/>
      <c r="G235" s="467"/>
      <c r="H235" s="467"/>
      <c r="I235" s="467"/>
      <c r="J235" s="467"/>
      <c r="K235" s="467"/>
      <c r="L235" s="467"/>
    </row>
    <row r="236" spans="1:17">
      <c r="A236" s="460"/>
      <c r="B236" s="460"/>
      <c r="D236" s="467"/>
      <c r="E236" s="467"/>
      <c r="F236" s="467"/>
      <c r="G236" s="467"/>
      <c r="H236" s="467"/>
      <c r="I236" s="467"/>
      <c r="J236" s="467"/>
      <c r="K236" s="467"/>
      <c r="L236" s="467"/>
    </row>
    <row r="237" spans="1:17">
      <c r="E237" s="42" t="s">
        <v>2303</v>
      </c>
      <c r="F237" s="42"/>
      <c r="G237" s="42"/>
      <c r="H237" s="42"/>
      <c r="I237" s="42"/>
      <c r="J237" s="42"/>
      <c r="K237" s="42"/>
      <c r="L237" s="42"/>
      <c r="M237" s="109"/>
      <c r="N237" s="109" t="s">
        <v>13319</v>
      </c>
    </row>
    <row r="238" spans="1:17">
      <c r="D238" s="110">
        <v>2010</v>
      </c>
      <c r="E238" s="110">
        <v>2011</v>
      </c>
      <c r="F238" s="110">
        <v>2012</v>
      </c>
      <c r="G238" s="110">
        <v>2013</v>
      </c>
      <c r="H238" s="110">
        <v>2014</v>
      </c>
      <c r="I238" s="110">
        <v>2015</v>
      </c>
      <c r="J238" s="110">
        <v>2016</v>
      </c>
      <c r="K238" s="110">
        <v>2017</v>
      </c>
      <c r="L238" s="110">
        <v>2018</v>
      </c>
      <c r="N238" s="112" t="s">
        <v>2304</v>
      </c>
    </row>
    <row r="239" spans="1:17">
      <c r="A239" s="460" t="s">
        <v>1432</v>
      </c>
      <c r="D239" s="463">
        <f t="shared" ref="D239:I239" si="191">SUM(D240:D266)</f>
        <v>74408</v>
      </c>
      <c r="E239" s="463">
        <f t="shared" si="191"/>
        <v>75098</v>
      </c>
      <c r="F239" s="463">
        <f t="shared" si="191"/>
        <v>75353</v>
      </c>
      <c r="G239" s="463">
        <f t="shared" si="191"/>
        <v>75744</v>
      </c>
      <c r="H239" s="463">
        <f t="shared" si="191"/>
        <v>74228</v>
      </c>
      <c r="I239" s="463">
        <f t="shared" si="191"/>
        <v>73358</v>
      </c>
      <c r="J239" s="463">
        <f t="shared" ref="J239:K239" si="192">SUM(J240:J266)</f>
        <v>73240</v>
      </c>
      <c r="K239" s="463">
        <f t="shared" si="192"/>
        <v>75489</v>
      </c>
      <c r="L239" s="463">
        <f t="shared" ref="L239" si="193">SUM(L240:L266)</f>
        <v>74101</v>
      </c>
    </row>
    <row r="240" spans="1:17">
      <c r="A240" s="460" t="s">
        <v>6957</v>
      </c>
      <c r="B240" s="460" t="s">
        <v>1433</v>
      </c>
      <c r="C240" s="4" t="s">
        <v>12125</v>
      </c>
      <c r="D240" s="463">
        <v>3614</v>
      </c>
      <c r="E240" s="463">
        <v>3572</v>
      </c>
      <c r="F240" s="463">
        <v>3593</v>
      </c>
      <c r="G240" s="30">
        <v>3631</v>
      </c>
      <c r="H240" s="30">
        <v>3598</v>
      </c>
      <c r="I240" s="30">
        <v>3576</v>
      </c>
      <c r="J240" s="30">
        <v>3523</v>
      </c>
      <c r="K240" s="30">
        <v>3635</v>
      </c>
      <c r="L240" s="30">
        <v>3657</v>
      </c>
      <c r="N240" s="460" t="s">
        <v>1505</v>
      </c>
      <c r="O240" s="940"/>
      <c r="Q240" s="4"/>
    </row>
    <row r="241" spans="1:17">
      <c r="A241" s="460" t="s">
        <v>6959</v>
      </c>
      <c r="B241" s="460" t="s">
        <v>1434</v>
      </c>
      <c r="C241" s="4" t="s">
        <v>12126</v>
      </c>
      <c r="D241" s="463">
        <v>1673</v>
      </c>
      <c r="E241" s="463">
        <v>1672</v>
      </c>
      <c r="F241" s="463">
        <v>1684</v>
      </c>
      <c r="G241" s="30">
        <v>1726</v>
      </c>
      <c r="H241" s="30">
        <v>1694</v>
      </c>
      <c r="I241" s="30">
        <v>1697</v>
      </c>
      <c r="J241" s="30">
        <v>1715</v>
      </c>
      <c r="K241" s="30">
        <v>1763</v>
      </c>
      <c r="L241" s="30">
        <v>1778</v>
      </c>
      <c r="N241" s="460" t="s">
        <v>1505</v>
      </c>
      <c r="O241" s="940"/>
      <c r="Q241" s="4"/>
    </row>
    <row r="242" spans="1:17">
      <c r="A242" s="460" t="s">
        <v>6961</v>
      </c>
      <c r="B242" s="460" t="s">
        <v>1435</v>
      </c>
      <c r="C242" s="4" t="s">
        <v>12127</v>
      </c>
      <c r="D242" s="463">
        <v>1616</v>
      </c>
      <c r="E242" s="463">
        <v>1632</v>
      </c>
      <c r="F242" s="463">
        <v>1653</v>
      </c>
      <c r="G242" s="30">
        <v>1687</v>
      </c>
      <c r="H242" s="30">
        <v>1658</v>
      </c>
      <c r="I242" s="30">
        <v>1658</v>
      </c>
      <c r="J242" s="30">
        <v>1668</v>
      </c>
      <c r="K242" s="30">
        <v>1670</v>
      </c>
      <c r="L242" s="30">
        <v>1626</v>
      </c>
      <c r="N242" s="460" t="s">
        <v>1505</v>
      </c>
      <c r="O242" s="940"/>
      <c r="Q242" s="4"/>
    </row>
    <row r="243" spans="1:17">
      <c r="A243" s="460" t="s">
        <v>6963</v>
      </c>
      <c r="B243" s="460" t="s">
        <v>1436</v>
      </c>
      <c r="C243" s="4" t="s">
        <v>12128</v>
      </c>
      <c r="D243" s="463">
        <v>3232</v>
      </c>
      <c r="E243" s="463">
        <v>3251</v>
      </c>
      <c r="F243" s="463">
        <v>3233</v>
      </c>
      <c r="G243" s="30">
        <v>3243</v>
      </c>
      <c r="H243" s="30">
        <v>3187</v>
      </c>
      <c r="I243" s="30">
        <v>3181</v>
      </c>
      <c r="J243" s="30">
        <v>3208</v>
      </c>
      <c r="K243" s="30">
        <v>3259</v>
      </c>
      <c r="L243" s="30">
        <v>3235</v>
      </c>
      <c r="N243" s="460" t="s">
        <v>1505</v>
      </c>
      <c r="O243" s="940"/>
      <c r="Q243" s="4"/>
    </row>
    <row r="244" spans="1:17">
      <c r="A244" s="460" t="s">
        <v>6965</v>
      </c>
      <c r="B244" s="460" t="s">
        <v>1437</v>
      </c>
      <c r="C244" s="4" t="s">
        <v>12129</v>
      </c>
      <c r="D244" s="463">
        <v>3326</v>
      </c>
      <c r="E244" s="463">
        <v>3414</v>
      </c>
      <c r="F244" s="463">
        <v>3425</v>
      </c>
      <c r="G244" s="30">
        <v>3483</v>
      </c>
      <c r="H244" s="30">
        <v>3393</v>
      </c>
      <c r="I244" s="30">
        <v>3355</v>
      </c>
      <c r="J244" s="30">
        <v>3403</v>
      </c>
      <c r="K244" s="30">
        <v>3413</v>
      </c>
      <c r="L244" s="30">
        <v>3404</v>
      </c>
      <c r="N244" s="460" t="s">
        <v>1505</v>
      </c>
      <c r="O244" s="940"/>
      <c r="Q244" s="4"/>
    </row>
    <row r="245" spans="1:17">
      <c r="A245" s="474">
        <v>6</v>
      </c>
      <c r="B245" s="460" t="s">
        <v>1438</v>
      </c>
      <c r="C245" s="4" t="s">
        <v>12130</v>
      </c>
      <c r="D245" s="463">
        <v>3583</v>
      </c>
      <c r="E245" s="463">
        <v>3621</v>
      </c>
      <c r="F245" s="463">
        <v>3687</v>
      </c>
      <c r="G245" s="30">
        <v>3751</v>
      </c>
      <c r="H245" s="30">
        <v>3544</v>
      </c>
      <c r="I245" s="30">
        <v>3465</v>
      </c>
      <c r="J245" s="30">
        <v>3468</v>
      </c>
      <c r="K245" s="30">
        <v>3525</v>
      </c>
      <c r="L245" s="30">
        <v>3510</v>
      </c>
      <c r="N245" s="460" t="s">
        <v>1505</v>
      </c>
      <c r="O245" s="940"/>
      <c r="Q245" s="4"/>
    </row>
    <row r="246" spans="1:17">
      <c r="A246" s="474">
        <v>7</v>
      </c>
      <c r="B246" s="460" t="s">
        <v>1439</v>
      </c>
      <c r="C246" s="4" t="s">
        <v>14382</v>
      </c>
      <c r="D246" s="463">
        <v>1931</v>
      </c>
      <c r="E246" s="463">
        <v>1930</v>
      </c>
      <c r="F246" s="463">
        <v>1906</v>
      </c>
      <c r="G246" s="30">
        <v>1903</v>
      </c>
      <c r="H246" s="30">
        <v>1881</v>
      </c>
      <c r="I246" s="30">
        <v>1994</v>
      </c>
      <c r="J246" s="30">
        <v>2010</v>
      </c>
      <c r="K246" s="30">
        <v>2026</v>
      </c>
      <c r="L246" s="30">
        <v>1966</v>
      </c>
      <c r="N246" s="460" t="s">
        <v>1505</v>
      </c>
      <c r="O246" s="940"/>
      <c r="Q246" s="4"/>
    </row>
    <row r="247" spans="1:17">
      <c r="A247" s="460" t="s">
        <v>7001</v>
      </c>
      <c r="B247" s="460" t="s">
        <v>1440</v>
      </c>
      <c r="C247" s="4" t="s">
        <v>12131</v>
      </c>
      <c r="D247" s="463">
        <v>1812</v>
      </c>
      <c r="E247" s="463">
        <v>1820</v>
      </c>
      <c r="F247" s="463">
        <v>1802</v>
      </c>
      <c r="G247" s="30">
        <v>1843</v>
      </c>
      <c r="H247" s="30">
        <v>1815</v>
      </c>
      <c r="I247" s="30">
        <v>1810</v>
      </c>
      <c r="J247" s="30">
        <v>1827</v>
      </c>
      <c r="K247" s="30">
        <v>1869</v>
      </c>
      <c r="L247" s="30">
        <v>1848</v>
      </c>
      <c r="N247" s="460" t="s">
        <v>1505</v>
      </c>
      <c r="O247" s="940"/>
      <c r="Q247" s="4"/>
    </row>
    <row r="248" spans="1:17">
      <c r="A248" s="460" t="s">
        <v>7003</v>
      </c>
      <c r="B248" s="460" t="s">
        <v>1441</v>
      </c>
      <c r="C248" s="4" t="s">
        <v>12132</v>
      </c>
      <c r="D248" s="463">
        <v>3367</v>
      </c>
      <c r="E248" s="463">
        <v>3380</v>
      </c>
      <c r="F248" s="463">
        <v>3398</v>
      </c>
      <c r="G248" s="30">
        <v>3372</v>
      </c>
      <c r="H248" s="30">
        <v>3276</v>
      </c>
      <c r="I248" s="30">
        <v>3237</v>
      </c>
      <c r="J248" s="30">
        <v>3243</v>
      </c>
      <c r="K248" s="30">
        <v>3343</v>
      </c>
      <c r="L248" s="30">
        <v>3267</v>
      </c>
      <c r="N248" s="460" t="s">
        <v>1505</v>
      </c>
      <c r="O248" s="940"/>
      <c r="Q248" s="4"/>
    </row>
    <row r="249" spans="1:17">
      <c r="A249" s="460" t="s">
        <v>7005</v>
      </c>
      <c r="B249" s="460" t="s">
        <v>1442</v>
      </c>
      <c r="C249" s="4" t="s">
        <v>12133</v>
      </c>
      <c r="D249" s="463">
        <v>3206</v>
      </c>
      <c r="E249" s="463">
        <v>3267</v>
      </c>
      <c r="F249" s="463">
        <v>3198</v>
      </c>
      <c r="G249" s="30">
        <v>3189</v>
      </c>
      <c r="H249" s="30">
        <v>3069</v>
      </c>
      <c r="I249" s="30">
        <v>3067</v>
      </c>
      <c r="J249" s="30">
        <v>3035</v>
      </c>
      <c r="K249" s="30">
        <v>3184</v>
      </c>
      <c r="L249" s="30">
        <v>3082</v>
      </c>
      <c r="N249" s="460" t="s">
        <v>1505</v>
      </c>
      <c r="O249" s="940"/>
      <c r="Q249" s="4"/>
    </row>
    <row r="250" spans="1:17">
      <c r="A250" s="460" t="s">
        <v>7007</v>
      </c>
      <c r="B250" s="460" t="s">
        <v>1443</v>
      </c>
      <c r="C250" s="4" t="s">
        <v>12134</v>
      </c>
      <c r="D250" s="463">
        <v>3507</v>
      </c>
      <c r="E250" s="463">
        <v>3586</v>
      </c>
      <c r="F250" s="463">
        <v>3661</v>
      </c>
      <c r="G250" s="30">
        <v>3678</v>
      </c>
      <c r="H250" s="30">
        <v>3660</v>
      </c>
      <c r="I250" s="30">
        <v>3587</v>
      </c>
      <c r="J250" s="30">
        <v>3609</v>
      </c>
      <c r="K250" s="30">
        <v>3727</v>
      </c>
      <c r="L250" s="30">
        <v>3823</v>
      </c>
      <c r="N250" s="460" t="s">
        <v>1505</v>
      </c>
      <c r="O250" s="940"/>
      <c r="Q250" s="4"/>
    </row>
    <row r="251" spans="1:17">
      <c r="A251" s="460" t="s">
        <v>7009</v>
      </c>
      <c r="B251" s="460" t="s">
        <v>1444</v>
      </c>
      <c r="C251" s="4" t="s">
        <v>12135</v>
      </c>
      <c r="D251" s="463">
        <v>3039</v>
      </c>
      <c r="E251" s="463">
        <v>3029</v>
      </c>
      <c r="F251" s="463">
        <v>3008</v>
      </c>
      <c r="G251" s="30">
        <v>2990</v>
      </c>
      <c r="H251" s="30">
        <v>2893</v>
      </c>
      <c r="I251" s="30">
        <v>2843</v>
      </c>
      <c r="J251" s="30">
        <v>2881</v>
      </c>
      <c r="K251" s="30">
        <v>3006</v>
      </c>
      <c r="L251" s="30">
        <v>2899</v>
      </c>
      <c r="N251" s="460" t="s">
        <v>1505</v>
      </c>
      <c r="O251" s="940"/>
      <c r="Q251" s="4"/>
    </row>
    <row r="252" spans="1:17">
      <c r="A252" s="460" t="s">
        <v>7011</v>
      </c>
      <c r="B252" s="460" t="s">
        <v>1445</v>
      </c>
      <c r="C252" s="4" t="s">
        <v>12136</v>
      </c>
      <c r="D252" s="463">
        <v>1598</v>
      </c>
      <c r="E252" s="463">
        <v>1636</v>
      </c>
      <c r="F252" s="463">
        <v>1696</v>
      </c>
      <c r="G252" s="30">
        <v>1661</v>
      </c>
      <c r="H252" s="30">
        <v>1686</v>
      </c>
      <c r="I252" s="30">
        <v>1630</v>
      </c>
      <c r="J252" s="30">
        <v>1522</v>
      </c>
      <c r="K252" s="30">
        <v>1551</v>
      </c>
      <c r="L252" s="30">
        <v>1537</v>
      </c>
      <c r="N252" s="460" t="s">
        <v>1505</v>
      </c>
      <c r="O252" s="940"/>
      <c r="Q252" s="4"/>
    </row>
    <row r="253" spans="1:17">
      <c r="A253" s="460" t="s">
        <v>7013</v>
      </c>
      <c r="B253" s="460" t="s">
        <v>1446</v>
      </c>
      <c r="C253" s="4" t="s">
        <v>12137</v>
      </c>
      <c r="D253" s="463">
        <v>3501</v>
      </c>
      <c r="E253" s="463">
        <v>3546</v>
      </c>
      <c r="F253" s="463">
        <v>3539</v>
      </c>
      <c r="G253" s="30">
        <v>3584</v>
      </c>
      <c r="H253" s="30">
        <v>3473</v>
      </c>
      <c r="I253" s="30">
        <v>3333</v>
      </c>
      <c r="J253" s="30">
        <v>3229</v>
      </c>
      <c r="K253" s="30">
        <v>3289</v>
      </c>
      <c r="L253" s="30">
        <v>3224</v>
      </c>
      <c r="N253" s="460" t="s">
        <v>1505</v>
      </c>
      <c r="O253" s="940"/>
      <c r="Q253" s="4"/>
    </row>
    <row r="254" spans="1:17">
      <c r="A254" s="460" t="s">
        <v>7015</v>
      </c>
      <c r="B254" s="460" t="s">
        <v>1546</v>
      </c>
      <c r="C254" s="4" t="s">
        <v>12138</v>
      </c>
      <c r="D254" s="463">
        <v>1968</v>
      </c>
      <c r="E254" s="463">
        <v>1995</v>
      </c>
      <c r="F254" s="463">
        <v>2041</v>
      </c>
      <c r="G254" s="30">
        <v>2044</v>
      </c>
      <c r="H254" s="30">
        <v>1982</v>
      </c>
      <c r="I254" s="30">
        <v>1960</v>
      </c>
      <c r="J254" s="30">
        <v>1972</v>
      </c>
      <c r="K254" s="30">
        <v>2069</v>
      </c>
      <c r="L254" s="30">
        <v>1969</v>
      </c>
      <c r="N254" s="460" t="s">
        <v>1505</v>
      </c>
      <c r="O254" s="940"/>
      <c r="Q254" s="4"/>
    </row>
    <row r="255" spans="1:17">
      <c r="A255" s="460" t="s">
        <v>7017</v>
      </c>
      <c r="B255" s="460" t="s">
        <v>2190</v>
      </c>
      <c r="C255" s="4" t="s">
        <v>12139</v>
      </c>
      <c r="D255" s="463">
        <v>3614</v>
      </c>
      <c r="E255" s="463">
        <v>3626</v>
      </c>
      <c r="F255" s="463">
        <v>3669</v>
      </c>
      <c r="G255" s="31">
        <v>3654</v>
      </c>
      <c r="H255" s="31">
        <v>3612</v>
      </c>
      <c r="I255" s="31">
        <v>3533</v>
      </c>
      <c r="J255" s="31">
        <v>3468</v>
      </c>
      <c r="K255" s="31">
        <v>3613</v>
      </c>
      <c r="L255" s="31">
        <v>3481</v>
      </c>
      <c r="N255" s="460" t="s">
        <v>1505</v>
      </c>
      <c r="O255" s="940"/>
      <c r="Q255" s="4"/>
    </row>
    <row r="256" spans="1:17">
      <c r="A256" s="460" t="s">
        <v>7019</v>
      </c>
      <c r="B256" s="460" t="s">
        <v>2191</v>
      </c>
      <c r="C256" s="4" t="s">
        <v>12140</v>
      </c>
      <c r="D256" s="463">
        <v>1315</v>
      </c>
      <c r="E256" s="463">
        <v>1321</v>
      </c>
      <c r="F256" s="463">
        <v>1296</v>
      </c>
      <c r="G256" s="31">
        <v>1306</v>
      </c>
      <c r="H256" s="31">
        <v>1292</v>
      </c>
      <c r="I256" s="31">
        <v>1281</v>
      </c>
      <c r="J256" s="31">
        <v>1244</v>
      </c>
      <c r="K256" s="31">
        <v>1313</v>
      </c>
      <c r="L256" s="31">
        <v>1270</v>
      </c>
      <c r="N256" s="460" t="s">
        <v>1505</v>
      </c>
      <c r="O256" s="940"/>
      <c r="Q256" s="4"/>
    </row>
    <row r="257" spans="1:17">
      <c r="A257" s="460" t="s">
        <v>7021</v>
      </c>
      <c r="B257" s="460" t="s">
        <v>2192</v>
      </c>
      <c r="C257" s="4" t="s">
        <v>14383</v>
      </c>
      <c r="D257" s="463">
        <v>4049</v>
      </c>
      <c r="E257" s="463">
        <v>4107</v>
      </c>
      <c r="F257" s="463">
        <v>4082</v>
      </c>
      <c r="G257" s="31">
        <v>4123</v>
      </c>
      <c r="H257" s="31">
        <v>4075</v>
      </c>
      <c r="I257" s="31">
        <v>3951</v>
      </c>
      <c r="J257" s="31">
        <v>4003</v>
      </c>
      <c r="K257" s="31">
        <v>4281</v>
      </c>
      <c r="L257" s="31">
        <v>4157</v>
      </c>
      <c r="N257" s="460" t="s">
        <v>1505</v>
      </c>
      <c r="O257" s="940"/>
      <c r="Q257" s="4"/>
    </row>
    <row r="258" spans="1:17">
      <c r="A258" s="460" t="s">
        <v>7023</v>
      </c>
      <c r="B258" s="460" t="s">
        <v>8208</v>
      </c>
      <c r="C258" s="4" t="s">
        <v>12141</v>
      </c>
      <c r="D258" s="463">
        <v>3442</v>
      </c>
      <c r="E258" s="463">
        <v>3426</v>
      </c>
      <c r="F258" s="463">
        <v>3415</v>
      </c>
      <c r="G258" s="31">
        <v>3444</v>
      </c>
      <c r="H258" s="31">
        <v>3363</v>
      </c>
      <c r="I258" s="31">
        <v>3332</v>
      </c>
      <c r="J258" s="31">
        <v>3378</v>
      </c>
      <c r="K258" s="31">
        <v>3392</v>
      </c>
      <c r="L258" s="31">
        <v>3368</v>
      </c>
      <c r="N258" s="460" t="s">
        <v>1505</v>
      </c>
      <c r="O258" s="940"/>
      <c r="Q258" s="4"/>
    </row>
    <row r="259" spans="1:17">
      <c r="A259" s="460" t="s">
        <v>7025</v>
      </c>
      <c r="B259" s="460" t="s">
        <v>2193</v>
      </c>
      <c r="C259" s="4" t="s">
        <v>12142</v>
      </c>
      <c r="D259" s="463">
        <v>1478</v>
      </c>
      <c r="E259" s="463">
        <v>1469</v>
      </c>
      <c r="F259" s="463">
        <v>1455</v>
      </c>
      <c r="G259" s="31">
        <v>1464</v>
      </c>
      <c r="H259" s="31">
        <v>1435</v>
      </c>
      <c r="I259" s="31">
        <v>1383</v>
      </c>
      <c r="J259" s="31">
        <v>1391</v>
      </c>
      <c r="K259" s="31">
        <v>1488</v>
      </c>
      <c r="L259" s="31">
        <v>1430</v>
      </c>
      <c r="N259" s="460" t="s">
        <v>1505</v>
      </c>
      <c r="O259" s="940"/>
      <c r="Q259" s="4"/>
    </row>
    <row r="260" spans="1:17">
      <c r="A260" s="460" t="s">
        <v>7570</v>
      </c>
      <c r="B260" s="460" t="s">
        <v>3902</v>
      </c>
      <c r="C260" s="4" t="s">
        <v>12143</v>
      </c>
      <c r="D260" s="463">
        <v>1570</v>
      </c>
      <c r="E260" s="463">
        <v>1611</v>
      </c>
      <c r="F260" s="463">
        <v>1589</v>
      </c>
      <c r="G260" s="31">
        <v>1583</v>
      </c>
      <c r="H260" s="31">
        <v>1596</v>
      </c>
      <c r="I260" s="31">
        <v>1574</v>
      </c>
      <c r="J260" s="31">
        <v>1565</v>
      </c>
      <c r="K260" s="31">
        <v>1639</v>
      </c>
      <c r="L260" s="31">
        <v>1636</v>
      </c>
      <c r="N260" s="460" t="s">
        <v>1505</v>
      </c>
      <c r="O260" s="940"/>
      <c r="Q260" s="4"/>
    </row>
    <row r="261" spans="1:17">
      <c r="A261" s="460" t="s">
        <v>7572</v>
      </c>
      <c r="B261" s="460" t="s">
        <v>3903</v>
      </c>
      <c r="C261" s="4" t="s">
        <v>12144</v>
      </c>
      <c r="D261" s="463">
        <v>3580</v>
      </c>
      <c r="E261" s="463">
        <v>3599</v>
      </c>
      <c r="F261" s="463">
        <v>3597</v>
      </c>
      <c r="G261" s="31">
        <v>3615</v>
      </c>
      <c r="H261" s="31">
        <v>3597</v>
      </c>
      <c r="I261" s="31">
        <v>3589</v>
      </c>
      <c r="J261" s="31">
        <v>3557</v>
      </c>
      <c r="K261" s="31">
        <v>3666</v>
      </c>
      <c r="L261" s="31">
        <v>3622</v>
      </c>
      <c r="N261" s="460" t="s">
        <v>1505</v>
      </c>
      <c r="O261" s="940"/>
      <c r="Q261" s="4"/>
    </row>
    <row r="262" spans="1:17">
      <c r="A262" s="460" t="s">
        <v>7573</v>
      </c>
      <c r="B262" s="460" t="s">
        <v>3904</v>
      </c>
      <c r="C262" s="4" t="s">
        <v>12145</v>
      </c>
      <c r="D262" s="463">
        <v>1731</v>
      </c>
      <c r="E262" s="463">
        <v>1741</v>
      </c>
      <c r="F262" s="463">
        <v>1752</v>
      </c>
      <c r="G262" s="31">
        <v>1778</v>
      </c>
      <c r="H262" s="31">
        <v>1756</v>
      </c>
      <c r="I262" s="31">
        <v>1758</v>
      </c>
      <c r="J262" s="31">
        <v>1753</v>
      </c>
      <c r="K262" s="31">
        <v>1820</v>
      </c>
      <c r="L262" s="31">
        <v>1751</v>
      </c>
      <c r="N262" s="460" t="s">
        <v>1505</v>
      </c>
      <c r="O262" s="940"/>
      <c r="Q262" s="4"/>
    </row>
    <row r="263" spans="1:17">
      <c r="A263" s="460" t="s">
        <v>5798</v>
      </c>
      <c r="B263" s="460" t="s">
        <v>3905</v>
      </c>
      <c r="C263" s="4" t="s">
        <v>12146</v>
      </c>
      <c r="D263" s="463">
        <v>3504</v>
      </c>
      <c r="E263" s="463">
        <v>3560</v>
      </c>
      <c r="F263" s="463">
        <v>3561</v>
      </c>
      <c r="G263" s="31">
        <v>3531</v>
      </c>
      <c r="H263" s="31">
        <v>3448</v>
      </c>
      <c r="I263" s="31">
        <v>3422</v>
      </c>
      <c r="J263" s="31">
        <v>3455</v>
      </c>
      <c r="K263" s="31">
        <v>3502</v>
      </c>
      <c r="L263" s="31">
        <v>3413</v>
      </c>
      <c r="N263" s="460" t="s">
        <v>1505</v>
      </c>
      <c r="O263" s="940"/>
      <c r="Q263" s="4"/>
    </row>
    <row r="264" spans="1:17">
      <c r="A264" s="460" t="s">
        <v>5799</v>
      </c>
      <c r="B264" s="460" t="s">
        <v>3906</v>
      </c>
      <c r="C264" s="4" t="s">
        <v>12147</v>
      </c>
      <c r="D264" s="463">
        <v>3891</v>
      </c>
      <c r="E264" s="463">
        <v>3955</v>
      </c>
      <c r="F264" s="463">
        <v>4053</v>
      </c>
      <c r="G264" s="31">
        <v>4078</v>
      </c>
      <c r="H264" s="31">
        <v>3951</v>
      </c>
      <c r="I264" s="31">
        <v>3923</v>
      </c>
      <c r="J264" s="31">
        <v>3904</v>
      </c>
      <c r="K264" s="31">
        <v>4092</v>
      </c>
      <c r="L264" s="31">
        <v>3934</v>
      </c>
      <c r="N264" s="460" t="s">
        <v>1505</v>
      </c>
      <c r="O264" s="940"/>
      <c r="Q264" s="4"/>
    </row>
    <row r="265" spans="1:17">
      <c r="A265" s="460" t="s">
        <v>5801</v>
      </c>
      <c r="B265" s="460" t="s">
        <v>3907</v>
      </c>
      <c r="C265" s="4" t="s">
        <v>12148</v>
      </c>
      <c r="D265" s="463">
        <v>1865</v>
      </c>
      <c r="E265" s="463">
        <v>1916</v>
      </c>
      <c r="F265" s="463">
        <v>1956</v>
      </c>
      <c r="G265" s="31">
        <v>1947</v>
      </c>
      <c r="H265" s="31">
        <v>1914</v>
      </c>
      <c r="I265" s="31">
        <v>1897</v>
      </c>
      <c r="J265" s="31">
        <v>1942</v>
      </c>
      <c r="K265" s="31">
        <v>2004</v>
      </c>
      <c r="L265" s="31">
        <v>1918</v>
      </c>
      <c r="N265" s="460" t="s">
        <v>1505</v>
      </c>
      <c r="O265" s="940"/>
      <c r="Q265" s="4"/>
    </row>
    <row r="266" spans="1:17">
      <c r="A266" s="460" t="s">
        <v>5927</v>
      </c>
      <c r="B266" s="460" t="s">
        <v>3908</v>
      </c>
      <c r="C266" s="4" t="s">
        <v>12149</v>
      </c>
      <c r="D266" s="463">
        <v>3396</v>
      </c>
      <c r="E266" s="463">
        <v>3416</v>
      </c>
      <c r="F266" s="463">
        <v>3404</v>
      </c>
      <c r="G266" s="31">
        <v>3436</v>
      </c>
      <c r="H266" s="31">
        <v>3380</v>
      </c>
      <c r="I266" s="31">
        <v>3322</v>
      </c>
      <c r="J266" s="31">
        <v>3267</v>
      </c>
      <c r="K266" s="31">
        <v>3350</v>
      </c>
      <c r="L266" s="31">
        <v>3296</v>
      </c>
      <c r="N266" s="460" t="s">
        <v>1505</v>
      </c>
      <c r="O266" s="940"/>
      <c r="Q266" s="4"/>
    </row>
    <row r="267" spans="1:17">
      <c r="D267" s="469"/>
      <c r="E267" s="469"/>
      <c r="F267" s="469"/>
      <c r="G267" s="469"/>
      <c r="H267" s="469"/>
      <c r="I267" s="469"/>
      <c r="J267" s="469"/>
      <c r="K267" s="469"/>
      <c r="L267" s="469"/>
    </row>
    <row r="268" spans="1:17">
      <c r="A268" s="460" t="s">
        <v>1505</v>
      </c>
      <c r="D268" s="463">
        <f t="shared" ref="D268:I268" si="194">SUM(D240:D266)</f>
        <v>74408</v>
      </c>
      <c r="E268" s="463">
        <f t="shared" si="194"/>
        <v>75098</v>
      </c>
      <c r="F268" s="463">
        <f t="shared" si="194"/>
        <v>75353</v>
      </c>
      <c r="G268" s="463">
        <f t="shared" si="194"/>
        <v>75744</v>
      </c>
      <c r="H268" s="463">
        <f t="shared" si="194"/>
        <v>74228</v>
      </c>
      <c r="I268" s="463">
        <f t="shared" si="194"/>
        <v>73358</v>
      </c>
      <c r="J268" s="463">
        <f t="shared" ref="J268:K268" si="195">SUM(J240:J266)</f>
        <v>73240</v>
      </c>
      <c r="K268" s="463">
        <f t="shared" si="195"/>
        <v>75489</v>
      </c>
      <c r="L268" s="463">
        <f t="shared" ref="L268" si="196">SUM(L240:L266)</f>
        <v>74101</v>
      </c>
    </row>
    <row r="269" spans="1:17">
      <c r="A269" s="460"/>
      <c r="D269" s="463"/>
      <c r="E269" s="463"/>
      <c r="F269" s="463"/>
      <c r="G269" s="463"/>
      <c r="H269" s="463"/>
      <c r="I269" s="463"/>
      <c r="J269" s="463"/>
      <c r="K269" s="463"/>
      <c r="L269" s="463"/>
    </row>
    <row r="270" spans="1:17">
      <c r="A270" s="460" t="s">
        <v>3909</v>
      </c>
      <c r="D270" s="463"/>
      <c r="E270" s="463"/>
      <c r="F270" s="463"/>
      <c r="G270" s="463"/>
      <c r="H270" s="463"/>
      <c r="I270" s="463"/>
      <c r="J270" s="463"/>
      <c r="K270" s="463"/>
      <c r="L270" s="463"/>
    </row>
    <row r="271" spans="1:17">
      <c r="A271" s="460" t="s">
        <v>14380</v>
      </c>
      <c r="B271" s="460"/>
      <c r="D271" s="467"/>
      <c r="E271" s="467"/>
      <c r="F271" s="467"/>
      <c r="G271" s="467"/>
      <c r="H271" s="467"/>
      <c r="I271" s="467"/>
      <c r="J271" s="467"/>
      <c r="K271" s="467"/>
      <c r="L271" s="467"/>
    </row>
    <row r="272" spans="1:17">
      <c r="A272" s="460" t="s">
        <v>14381</v>
      </c>
      <c r="B272" s="460"/>
      <c r="D272" s="467"/>
      <c r="E272" s="467"/>
      <c r="F272" s="467"/>
      <c r="G272" s="467"/>
      <c r="H272" s="467"/>
      <c r="I272" s="467"/>
      <c r="J272" s="467"/>
      <c r="K272" s="467"/>
      <c r="L272" s="467"/>
    </row>
    <row r="273" spans="1:17">
      <c r="A273" s="460"/>
      <c r="B273" s="460"/>
      <c r="D273" s="467"/>
      <c r="E273" s="467"/>
      <c r="F273" s="467"/>
      <c r="G273" s="467"/>
      <c r="H273" s="467"/>
      <c r="I273" s="467"/>
      <c r="J273" s="467"/>
      <c r="K273" s="467"/>
      <c r="L273" s="467"/>
    </row>
    <row r="274" spans="1:17">
      <c r="A274" s="460"/>
      <c r="B274" s="460"/>
      <c r="D274" s="467"/>
      <c r="E274" s="467"/>
      <c r="F274" s="467"/>
      <c r="G274" s="467"/>
      <c r="H274" s="467"/>
      <c r="I274" s="467"/>
      <c r="J274" s="467"/>
      <c r="K274" s="467"/>
      <c r="L274" s="467"/>
    </row>
    <row r="275" spans="1:17">
      <c r="E275" s="42" t="s">
        <v>2303</v>
      </c>
      <c r="F275" s="42"/>
      <c r="G275" s="42"/>
      <c r="H275" s="42"/>
      <c r="I275" s="42"/>
      <c r="J275" s="42"/>
      <c r="K275" s="42"/>
      <c r="L275" s="42"/>
      <c r="M275" s="109"/>
      <c r="N275" s="109" t="s">
        <v>13319</v>
      </c>
    </row>
    <row r="276" spans="1:17">
      <c r="D276" s="110">
        <v>2010</v>
      </c>
      <c r="E276" s="110">
        <v>2011</v>
      </c>
      <c r="F276" s="110">
        <v>2012</v>
      </c>
      <c r="G276" s="110">
        <v>2013</v>
      </c>
      <c r="H276" s="110">
        <v>2014</v>
      </c>
      <c r="I276" s="110">
        <v>2015</v>
      </c>
      <c r="J276" s="110">
        <v>2016</v>
      </c>
      <c r="K276" s="110">
        <v>2017</v>
      </c>
      <c r="L276" s="110">
        <v>2018</v>
      </c>
      <c r="N276" s="112" t="s">
        <v>2304</v>
      </c>
    </row>
    <row r="277" spans="1:17">
      <c r="A277" s="460" t="s">
        <v>3910</v>
      </c>
      <c r="D277" s="463">
        <f t="shared" ref="D277:I277" si="197">SUM(D278:D289)+SUM(D291:D299)</f>
        <v>68490</v>
      </c>
      <c r="E277" s="463">
        <f t="shared" si="197"/>
        <v>68283</v>
      </c>
      <c r="F277" s="463">
        <f t="shared" si="197"/>
        <v>68020</v>
      </c>
      <c r="G277" s="463">
        <f t="shared" si="197"/>
        <v>68347</v>
      </c>
      <c r="H277" s="463">
        <f t="shared" si="197"/>
        <v>68002</v>
      </c>
      <c r="I277" s="463">
        <f t="shared" si="197"/>
        <v>67311</v>
      </c>
      <c r="J277" s="463">
        <f t="shared" ref="J277:K277" si="198">SUM(J278:J289)+SUM(J291:J299)</f>
        <v>65782</v>
      </c>
      <c r="K277" s="463">
        <f t="shared" si="198"/>
        <v>67245</v>
      </c>
      <c r="L277" s="463">
        <f t="shared" ref="L277" si="199">SUM(L278:L289)+SUM(L291:L299)</f>
        <v>67313</v>
      </c>
    </row>
    <row r="278" spans="1:17">
      <c r="A278" s="474">
        <v>1</v>
      </c>
      <c r="B278" s="460" t="s">
        <v>13899</v>
      </c>
      <c r="C278" s="4" t="s">
        <v>14384</v>
      </c>
      <c r="D278" s="463">
        <v>40642</v>
      </c>
      <c r="E278" s="463">
        <v>40423</v>
      </c>
      <c r="F278" s="463">
        <v>40177</v>
      </c>
      <c r="G278" s="30">
        <v>40309</v>
      </c>
      <c r="H278" s="30">
        <v>40203</v>
      </c>
      <c r="I278" s="30">
        <v>2359</v>
      </c>
      <c r="J278" s="30">
        <v>2306</v>
      </c>
      <c r="K278" s="30">
        <v>2375</v>
      </c>
      <c r="L278" s="30">
        <v>2392</v>
      </c>
      <c r="N278" s="460" t="s">
        <v>2384</v>
      </c>
      <c r="O278" s="940"/>
      <c r="Q278" s="4"/>
    </row>
    <row r="279" spans="1:17">
      <c r="A279" s="474">
        <v>2</v>
      </c>
      <c r="B279" s="460" t="s">
        <v>13900</v>
      </c>
      <c r="C279" s="4" t="s">
        <v>14385</v>
      </c>
      <c r="D279" s="463">
        <v>27848</v>
      </c>
      <c r="E279" s="463">
        <v>27860</v>
      </c>
      <c r="F279" s="463">
        <v>27843</v>
      </c>
      <c r="G279" s="30">
        <v>28038</v>
      </c>
      <c r="H279" s="30">
        <v>27799</v>
      </c>
      <c r="I279" s="30">
        <v>2236</v>
      </c>
      <c r="J279" s="30">
        <v>2197</v>
      </c>
      <c r="K279" s="30">
        <v>2283</v>
      </c>
      <c r="L279" s="30">
        <v>2248</v>
      </c>
      <c r="N279" s="460" t="s">
        <v>2378</v>
      </c>
      <c r="O279" s="940"/>
      <c r="Q279" s="4"/>
    </row>
    <row r="280" spans="1:17">
      <c r="A280" s="474">
        <v>3</v>
      </c>
      <c r="B280" s="460" t="s">
        <v>13901</v>
      </c>
      <c r="C280" s="4" t="s">
        <v>14386</v>
      </c>
      <c r="D280" s="463">
        <v>0</v>
      </c>
      <c r="E280" s="463">
        <v>0</v>
      </c>
      <c r="F280" s="463">
        <v>0</v>
      </c>
      <c r="G280" s="30">
        <v>0</v>
      </c>
      <c r="H280" s="30">
        <v>0</v>
      </c>
      <c r="I280" s="30">
        <v>1876</v>
      </c>
      <c r="J280" s="30">
        <v>1808</v>
      </c>
      <c r="K280" s="30">
        <v>1817</v>
      </c>
      <c r="L280" s="30">
        <v>1852</v>
      </c>
      <c r="N280" s="460" t="s">
        <v>2384</v>
      </c>
      <c r="O280" s="940"/>
      <c r="Q280" s="4"/>
    </row>
    <row r="281" spans="1:17">
      <c r="A281" s="474">
        <v>4</v>
      </c>
      <c r="B281" s="460" t="s">
        <v>2172</v>
      </c>
      <c r="C281" s="4" t="s">
        <v>14387</v>
      </c>
      <c r="D281" s="463">
        <v>0</v>
      </c>
      <c r="E281" s="463">
        <v>0</v>
      </c>
      <c r="F281" s="463">
        <v>0</v>
      </c>
      <c r="G281" s="30">
        <v>0</v>
      </c>
      <c r="H281" s="30">
        <v>0</v>
      </c>
      <c r="I281" s="30">
        <v>2280</v>
      </c>
      <c r="J281" s="30">
        <v>2217</v>
      </c>
      <c r="K281" s="30">
        <v>2247</v>
      </c>
      <c r="L281" s="30">
        <v>2245</v>
      </c>
      <c r="N281" s="460" t="s">
        <v>2378</v>
      </c>
      <c r="O281" s="940"/>
      <c r="Q281" s="4"/>
    </row>
    <row r="282" spans="1:17">
      <c r="A282" s="474">
        <v>5</v>
      </c>
      <c r="B282" s="460" t="s">
        <v>13902</v>
      </c>
      <c r="C282" s="4" t="s">
        <v>14388</v>
      </c>
      <c r="D282" s="463">
        <v>0</v>
      </c>
      <c r="E282" s="463">
        <v>0</v>
      </c>
      <c r="F282" s="463">
        <v>0</v>
      </c>
      <c r="G282" s="30">
        <v>0</v>
      </c>
      <c r="H282" s="30">
        <v>0</v>
      </c>
      <c r="I282" s="30">
        <v>2045</v>
      </c>
      <c r="J282" s="30">
        <v>1984</v>
      </c>
      <c r="K282" s="30">
        <v>2049</v>
      </c>
      <c r="L282" s="30">
        <v>2160</v>
      </c>
      <c r="N282" s="460" t="s">
        <v>2384</v>
      </c>
      <c r="O282" s="940"/>
      <c r="Q282" s="4"/>
    </row>
    <row r="283" spans="1:17">
      <c r="A283" s="474">
        <v>6</v>
      </c>
      <c r="B283" s="460" t="s">
        <v>13903</v>
      </c>
      <c r="C283" s="4" t="s">
        <v>14389</v>
      </c>
      <c r="D283" s="463">
        <v>0</v>
      </c>
      <c r="E283" s="463">
        <v>0</v>
      </c>
      <c r="F283" s="463">
        <v>0</v>
      </c>
      <c r="G283" s="30">
        <v>0</v>
      </c>
      <c r="H283" s="30">
        <v>0</v>
      </c>
      <c r="I283" s="30">
        <v>6359</v>
      </c>
      <c r="J283" s="30">
        <v>6216</v>
      </c>
      <c r="K283" s="30">
        <v>6276</v>
      </c>
      <c r="L283" s="30">
        <v>6149</v>
      </c>
      <c r="N283" s="460" t="s">
        <v>2384</v>
      </c>
      <c r="O283" s="940"/>
      <c r="Q283" s="4"/>
    </row>
    <row r="284" spans="1:17">
      <c r="A284" s="474">
        <v>7</v>
      </c>
      <c r="B284" s="460" t="s">
        <v>13904</v>
      </c>
      <c r="C284" s="4" t="s">
        <v>14390</v>
      </c>
      <c r="D284" s="463">
        <v>0</v>
      </c>
      <c r="E284" s="463">
        <v>0</v>
      </c>
      <c r="F284" s="463">
        <v>0</v>
      </c>
      <c r="G284" s="30">
        <v>0</v>
      </c>
      <c r="H284" s="30">
        <v>0</v>
      </c>
      <c r="I284" s="30">
        <v>2259</v>
      </c>
      <c r="J284" s="30">
        <v>2195</v>
      </c>
      <c r="K284" s="30">
        <v>2221</v>
      </c>
      <c r="L284" s="30">
        <v>2223</v>
      </c>
      <c r="N284" s="460" t="s">
        <v>2378</v>
      </c>
      <c r="O284" s="940"/>
      <c r="Q284" s="4"/>
    </row>
    <row r="285" spans="1:17">
      <c r="A285" s="474">
        <v>8</v>
      </c>
      <c r="B285" s="460" t="s">
        <v>13905</v>
      </c>
      <c r="C285" s="4" t="s">
        <v>14391</v>
      </c>
      <c r="D285" s="463">
        <v>0</v>
      </c>
      <c r="E285" s="463">
        <v>0</v>
      </c>
      <c r="F285" s="463">
        <v>0</v>
      </c>
      <c r="G285" s="30">
        <v>0</v>
      </c>
      <c r="H285" s="30">
        <v>0</v>
      </c>
      <c r="I285" s="30">
        <v>4376</v>
      </c>
      <c r="J285" s="30">
        <v>4201</v>
      </c>
      <c r="K285" s="30">
        <v>4291</v>
      </c>
      <c r="L285" s="30">
        <v>4266</v>
      </c>
      <c r="N285" s="460" t="s">
        <v>2378</v>
      </c>
      <c r="O285" s="940"/>
      <c r="Q285" s="4"/>
    </row>
    <row r="286" spans="1:17">
      <c r="A286" s="474">
        <v>9</v>
      </c>
      <c r="B286" s="460" t="s">
        <v>13906</v>
      </c>
      <c r="C286" s="4" t="s">
        <v>14392</v>
      </c>
      <c r="D286" s="463">
        <v>0</v>
      </c>
      <c r="E286" s="463">
        <v>0</v>
      </c>
      <c r="F286" s="463">
        <v>0</v>
      </c>
      <c r="G286" s="31">
        <v>0</v>
      </c>
      <c r="H286" s="31">
        <v>0</v>
      </c>
      <c r="I286" s="30">
        <v>4734</v>
      </c>
      <c r="J286" s="30">
        <v>4634</v>
      </c>
      <c r="K286" s="30">
        <v>4713</v>
      </c>
      <c r="L286" s="30">
        <v>4706</v>
      </c>
      <c r="N286" s="460" t="s">
        <v>2378</v>
      </c>
      <c r="O286" s="940"/>
      <c r="Q286" s="4"/>
    </row>
    <row r="287" spans="1:17">
      <c r="A287" s="474">
        <v>10</v>
      </c>
      <c r="B287" s="460" t="s">
        <v>13907</v>
      </c>
      <c r="C287" s="4" t="s">
        <v>14393</v>
      </c>
      <c r="D287" s="463">
        <v>0</v>
      </c>
      <c r="E287" s="463">
        <v>0</v>
      </c>
      <c r="F287" s="463">
        <v>0</v>
      </c>
      <c r="G287" s="31">
        <v>0</v>
      </c>
      <c r="H287" s="31">
        <v>0</v>
      </c>
      <c r="I287" s="30">
        <v>4640</v>
      </c>
      <c r="J287" s="30">
        <v>4454</v>
      </c>
      <c r="K287" s="30">
        <v>4500</v>
      </c>
      <c r="L287" s="30">
        <v>4436</v>
      </c>
      <c r="N287" s="460" t="s">
        <v>2384</v>
      </c>
      <c r="O287" s="940"/>
      <c r="Q287" s="4"/>
    </row>
    <row r="288" spans="1:17">
      <c r="A288" s="474">
        <v>11</v>
      </c>
      <c r="B288" s="460" t="s">
        <v>13908</v>
      </c>
      <c r="C288" s="4" t="s">
        <v>14394</v>
      </c>
      <c r="D288" s="463">
        <v>0</v>
      </c>
      <c r="E288" s="463">
        <v>0</v>
      </c>
      <c r="F288" s="463">
        <v>0</v>
      </c>
      <c r="G288" s="30">
        <v>0</v>
      </c>
      <c r="H288" s="30">
        <v>0</v>
      </c>
      <c r="I288" s="30">
        <v>698</v>
      </c>
      <c r="J288" s="30">
        <v>694</v>
      </c>
      <c r="K288" s="30">
        <v>718</v>
      </c>
      <c r="L288" s="30">
        <v>705</v>
      </c>
      <c r="N288" s="460" t="s">
        <v>2378</v>
      </c>
      <c r="O288" s="940"/>
      <c r="Q288" s="4"/>
    </row>
    <row r="289" spans="1:17" ht="15.75" thickBot="1">
      <c r="A289" s="474"/>
      <c r="B289" s="460"/>
      <c r="C289" s="4" t="s">
        <v>14394</v>
      </c>
      <c r="D289" s="464">
        <v>0</v>
      </c>
      <c r="E289" s="464">
        <v>0</v>
      </c>
      <c r="F289" s="464">
        <v>0</v>
      </c>
      <c r="G289" s="899">
        <v>0</v>
      </c>
      <c r="H289" s="899">
        <v>0</v>
      </c>
      <c r="I289" s="30">
        <v>1317</v>
      </c>
      <c r="J289" s="30">
        <v>1360</v>
      </c>
      <c r="K289" s="30">
        <v>1426</v>
      </c>
      <c r="L289" s="30">
        <v>1443</v>
      </c>
      <c r="N289" s="460" t="s">
        <v>2384</v>
      </c>
      <c r="O289" s="940"/>
      <c r="Q289" s="4"/>
    </row>
    <row r="290" spans="1:17" ht="15.75" thickBot="1">
      <c r="A290" s="474"/>
      <c r="B290" s="460"/>
      <c r="C290" s="4" t="s">
        <v>14394</v>
      </c>
      <c r="D290" s="472">
        <f>D288+D289</f>
        <v>0</v>
      </c>
      <c r="E290" s="472">
        <f t="shared" ref="E290:L290" si="200">E288+E289</f>
        <v>0</v>
      </c>
      <c r="F290" s="472">
        <f t="shared" si="200"/>
        <v>0</v>
      </c>
      <c r="G290" s="472">
        <f t="shared" si="200"/>
        <v>0</v>
      </c>
      <c r="H290" s="472">
        <f t="shared" si="200"/>
        <v>0</v>
      </c>
      <c r="I290" s="472">
        <f t="shared" si="200"/>
        <v>2015</v>
      </c>
      <c r="J290" s="472">
        <f t="shared" si="200"/>
        <v>2054</v>
      </c>
      <c r="K290" s="472">
        <f t="shared" si="200"/>
        <v>2144</v>
      </c>
      <c r="L290" s="472">
        <f t="shared" si="200"/>
        <v>2148</v>
      </c>
      <c r="N290" s="460"/>
    </row>
    <row r="291" spans="1:17">
      <c r="A291" s="474">
        <v>12</v>
      </c>
      <c r="B291" s="460" t="s">
        <v>15864</v>
      </c>
      <c r="C291" s="4" t="s">
        <v>14395</v>
      </c>
      <c r="D291" s="463">
        <v>0</v>
      </c>
      <c r="E291" s="463">
        <v>0</v>
      </c>
      <c r="F291" s="30">
        <v>0</v>
      </c>
      <c r="G291" s="30">
        <v>0</v>
      </c>
      <c r="H291" s="30">
        <v>0</v>
      </c>
      <c r="I291" s="31">
        <v>2315</v>
      </c>
      <c r="J291" s="31">
        <v>2293</v>
      </c>
      <c r="K291" s="31">
        <v>2295</v>
      </c>
      <c r="L291" s="31">
        <v>2344</v>
      </c>
      <c r="N291" s="460" t="s">
        <v>2384</v>
      </c>
      <c r="O291" s="940"/>
      <c r="Q291" s="4"/>
    </row>
    <row r="292" spans="1:17">
      <c r="A292" s="474">
        <v>13</v>
      </c>
      <c r="B292" s="460" t="s">
        <v>15867</v>
      </c>
      <c r="C292" s="4" t="s">
        <v>14396</v>
      </c>
      <c r="D292" s="463">
        <v>0</v>
      </c>
      <c r="E292" s="463">
        <v>0</v>
      </c>
      <c r="F292" s="30">
        <v>0</v>
      </c>
      <c r="G292" s="30">
        <v>0</v>
      </c>
      <c r="H292" s="30">
        <v>0</v>
      </c>
      <c r="I292" s="30">
        <v>4803</v>
      </c>
      <c r="J292" s="30">
        <v>4785</v>
      </c>
      <c r="K292" s="30">
        <v>4929</v>
      </c>
      <c r="L292" s="30">
        <v>4930</v>
      </c>
      <c r="N292" s="460" t="s">
        <v>2378</v>
      </c>
      <c r="O292" s="940"/>
      <c r="Q292" s="4"/>
    </row>
    <row r="293" spans="1:17">
      <c r="A293" s="474">
        <v>14</v>
      </c>
      <c r="B293" s="460" t="s">
        <v>13909</v>
      </c>
      <c r="C293" s="4" t="s">
        <v>14397</v>
      </c>
      <c r="D293" s="463">
        <v>0</v>
      </c>
      <c r="E293" s="463">
        <v>0</v>
      </c>
      <c r="F293" s="30">
        <v>0</v>
      </c>
      <c r="G293" s="30">
        <v>0</v>
      </c>
      <c r="H293" s="30">
        <v>0</v>
      </c>
      <c r="I293" s="31">
        <v>4090</v>
      </c>
      <c r="J293" s="31">
        <v>3958</v>
      </c>
      <c r="K293" s="31">
        <v>4049</v>
      </c>
      <c r="L293" s="31">
        <v>3979</v>
      </c>
      <c r="N293" s="460" t="s">
        <v>2384</v>
      </c>
      <c r="O293" s="940"/>
      <c r="Q293" s="4"/>
    </row>
    <row r="294" spans="1:17">
      <c r="A294" s="474">
        <v>15</v>
      </c>
      <c r="B294" s="460" t="s">
        <v>7517</v>
      </c>
      <c r="C294" s="4" t="s">
        <v>14398</v>
      </c>
      <c r="D294" s="463">
        <v>0</v>
      </c>
      <c r="E294" s="463">
        <v>0</v>
      </c>
      <c r="F294" s="30">
        <v>0</v>
      </c>
      <c r="G294" s="30">
        <v>0</v>
      </c>
      <c r="H294" s="31">
        <v>0</v>
      </c>
      <c r="I294" s="31">
        <v>4139</v>
      </c>
      <c r="J294" s="31">
        <v>4075</v>
      </c>
      <c r="K294" s="31">
        <v>4153</v>
      </c>
      <c r="L294" s="31">
        <v>4195</v>
      </c>
      <c r="N294" s="460" t="s">
        <v>2384</v>
      </c>
      <c r="O294" s="940"/>
      <c r="Q294" s="4"/>
    </row>
    <row r="295" spans="1:17">
      <c r="A295" s="474">
        <v>16</v>
      </c>
      <c r="B295" s="460" t="s">
        <v>7518</v>
      </c>
      <c r="C295" s="4" t="s">
        <v>14399</v>
      </c>
      <c r="D295" s="463">
        <v>0</v>
      </c>
      <c r="E295" s="463">
        <v>0</v>
      </c>
      <c r="F295" s="30">
        <v>0</v>
      </c>
      <c r="G295" s="30">
        <v>0</v>
      </c>
      <c r="H295" s="31">
        <v>0</v>
      </c>
      <c r="I295" s="31">
        <v>2188</v>
      </c>
      <c r="J295" s="31">
        <v>2146</v>
      </c>
      <c r="K295" s="31">
        <v>2225</v>
      </c>
      <c r="L295" s="31">
        <v>2217</v>
      </c>
      <c r="N295" s="460" t="s">
        <v>2384</v>
      </c>
      <c r="O295" s="940"/>
      <c r="Q295" s="4"/>
    </row>
    <row r="296" spans="1:17">
      <c r="A296" s="474">
        <v>17</v>
      </c>
      <c r="B296" s="460" t="s">
        <v>13910</v>
      </c>
      <c r="C296" s="4" t="s">
        <v>14400</v>
      </c>
      <c r="D296" s="463">
        <v>0</v>
      </c>
      <c r="E296" s="463">
        <v>0</v>
      </c>
      <c r="F296" s="30">
        <v>0</v>
      </c>
      <c r="G296" s="30">
        <v>0</v>
      </c>
      <c r="H296" s="31">
        <v>0</v>
      </c>
      <c r="I296" s="31">
        <v>6541</v>
      </c>
      <c r="J296" s="31">
        <v>6364</v>
      </c>
      <c r="K296" s="31">
        <v>6583</v>
      </c>
      <c r="L296" s="31">
        <v>6751</v>
      </c>
      <c r="N296" s="460" t="s">
        <v>2384</v>
      </c>
      <c r="O296" s="940"/>
      <c r="Q296" s="4"/>
    </row>
    <row r="297" spans="1:17">
      <c r="A297" s="474">
        <v>18</v>
      </c>
      <c r="B297" s="460" t="s">
        <v>13911</v>
      </c>
      <c r="C297" s="4" t="s">
        <v>14401</v>
      </c>
      <c r="D297" s="463">
        <v>0</v>
      </c>
      <c r="E297" s="463">
        <v>0</v>
      </c>
      <c r="F297" s="30">
        <v>0</v>
      </c>
      <c r="G297" s="30">
        <v>0</v>
      </c>
      <c r="H297" s="30">
        <v>0</v>
      </c>
      <c r="I297" s="30">
        <v>3688</v>
      </c>
      <c r="J297" s="30">
        <v>3664</v>
      </c>
      <c r="K297" s="30">
        <v>3777</v>
      </c>
      <c r="L297" s="30">
        <v>3781</v>
      </c>
      <c r="N297" s="460" t="s">
        <v>2378</v>
      </c>
      <c r="O297" s="940"/>
      <c r="Q297" s="4"/>
    </row>
    <row r="298" spans="1:17">
      <c r="A298" s="474">
        <v>19</v>
      </c>
      <c r="B298" s="460" t="s">
        <v>7519</v>
      </c>
      <c r="C298" s="4" t="s">
        <v>14402</v>
      </c>
      <c r="D298" s="463">
        <v>0</v>
      </c>
      <c r="E298" s="463">
        <v>0</v>
      </c>
      <c r="F298" s="30">
        <v>0</v>
      </c>
      <c r="G298" s="30">
        <v>0</v>
      </c>
      <c r="H298" s="31">
        <v>0</v>
      </c>
      <c r="I298" s="31">
        <v>2029</v>
      </c>
      <c r="J298" s="31">
        <v>2016</v>
      </c>
      <c r="K298" s="31">
        <v>2053</v>
      </c>
      <c r="L298" s="31">
        <v>2067</v>
      </c>
      <c r="N298" s="460" t="s">
        <v>2384</v>
      </c>
      <c r="O298" s="940"/>
      <c r="Q298" s="4"/>
    </row>
    <row r="299" spans="1:17">
      <c r="A299" s="474">
        <v>20</v>
      </c>
      <c r="B299" s="460" t="s">
        <v>13912</v>
      </c>
      <c r="C299" s="4" t="s">
        <v>14403</v>
      </c>
      <c r="D299" s="463">
        <v>0</v>
      </c>
      <c r="E299" s="463">
        <v>0</v>
      </c>
      <c r="F299" s="30">
        <v>0</v>
      </c>
      <c r="G299" s="30">
        <v>0</v>
      </c>
      <c r="H299" s="31">
        <v>0</v>
      </c>
      <c r="I299" s="30">
        <v>2339</v>
      </c>
      <c r="J299" s="30">
        <v>2215</v>
      </c>
      <c r="K299" s="30">
        <v>2265</v>
      </c>
      <c r="L299" s="30">
        <v>2224</v>
      </c>
      <c r="N299" s="460" t="s">
        <v>2378</v>
      </c>
      <c r="O299" s="940"/>
      <c r="Q299" s="4"/>
    </row>
    <row r="300" spans="1:17">
      <c r="A300" s="460"/>
      <c r="B300" s="460"/>
      <c r="D300" s="463"/>
      <c r="E300" s="463"/>
      <c r="F300" s="463"/>
      <c r="G300" s="463"/>
      <c r="H300" s="463"/>
      <c r="I300" s="463"/>
      <c r="J300" s="463"/>
      <c r="K300" s="463"/>
      <c r="L300" s="463"/>
      <c r="N300" s="460"/>
    </row>
    <row r="301" spans="1:17">
      <c r="A301" s="460" t="s">
        <v>7295</v>
      </c>
      <c r="D301" s="463">
        <f t="shared" ref="D301:H301" si="201">D279+D281+SUM(D284:D286)+D288+D292+D297+D299</f>
        <v>27848</v>
      </c>
      <c r="E301" s="463">
        <f t="shared" si="201"/>
        <v>27860</v>
      </c>
      <c r="F301" s="463">
        <f t="shared" si="201"/>
        <v>27843</v>
      </c>
      <c r="G301" s="463">
        <f t="shared" si="201"/>
        <v>28038</v>
      </c>
      <c r="H301" s="463">
        <f t="shared" si="201"/>
        <v>27799</v>
      </c>
      <c r="I301" s="463">
        <f>I279+I281+SUM(I284:I286)+I288+I292+I297+I299</f>
        <v>27413</v>
      </c>
      <c r="J301" s="463">
        <f>J279+J281+SUM(J284:J286)+J288+J292+J297+J299</f>
        <v>26802</v>
      </c>
      <c r="K301" s="463">
        <f>K279+K281+SUM(K284:K286)+K288+K292+K297+K299</f>
        <v>27444</v>
      </c>
      <c r="L301" s="463">
        <f>L279+L281+SUM(L284:L286)+L288+L292+L297+L299</f>
        <v>27328</v>
      </c>
    </row>
    <row r="302" spans="1:17">
      <c r="A302" s="460" t="s">
        <v>2103</v>
      </c>
      <c r="D302" s="463">
        <f t="shared" ref="D302:H302" si="202">D278+D280+D282+D283+D287+D289+D291+SUM(D293:D296)+D298</f>
        <v>40642</v>
      </c>
      <c r="E302" s="463">
        <f t="shared" si="202"/>
        <v>40423</v>
      </c>
      <c r="F302" s="463">
        <f t="shared" si="202"/>
        <v>40177</v>
      </c>
      <c r="G302" s="463">
        <f t="shared" si="202"/>
        <v>40309</v>
      </c>
      <c r="H302" s="463">
        <f t="shared" si="202"/>
        <v>40203</v>
      </c>
      <c r="I302" s="463">
        <f>I278+I280+I282+I283+I287+I289+I291+SUM(I293:I296)+I298</f>
        <v>39898</v>
      </c>
      <c r="J302" s="463">
        <f>J278+J280+J282+J283+J287+J289+J291+SUM(J293:J296)+J298</f>
        <v>38980</v>
      </c>
      <c r="K302" s="463">
        <f>K278+K280+K282+K283+K287+K289+K291+SUM(K293:K296)+K298</f>
        <v>39801</v>
      </c>
      <c r="L302" s="463">
        <f>L278+L280+L282+L283+L287+L289+L291+SUM(L293:L296)+L298</f>
        <v>39985</v>
      </c>
    </row>
    <row r="303" spans="1:17">
      <c r="A303" s="460"/>
      <c r="B303" s="460"/>
      <c r="D303" s="467"/>
      <c r="E303" s="467"/>
      <c r="F303" s="467"/>
      <c r="G303" s="467"/>
      <c r="H303" s="467"/>
      <c r="I303" s="467"/>
      <c r="J303" s="467"/>
      <c r="K303" s="467"/>
      <c r="L303" s="467"/>
    </row>
    <row r="304" spans="1:17">
      <c r="A304" s="460" t="s">
        <v>13913</v>
      </c>
      <c r="B304" s="460"/>
      <c r="D304" s="467"/>
      <c r="E304" s="467"/>
      <c r="F304" s="467"/>
      <c r="G304" s="467"/>
      <c r="H304" s="467"/>
      <c r="I304" s="467"/>
      <c r="J304" s="467"/>
      <c r="K304" s="467"/>
      <c r="L304" s="467"/>
    </row>
    <row r="306" spans="1:17">
      <c r="A306" s="460"/>
      <c r="B306" s="460"/>
      <c r="D306" s="467"/>
      <c r="E306" s="467"/>
      <c r="F306" s="467"/>
      <c r="G306" s="467"/>
      <c r="H306" s="467"/>
      <c r="I306" s="467"/>
      <c r="J306" s="467"/>
      <c r="K306" s="467"/>
      <c r="L306" s="467"/>
    </row>
    <row r="307" spans="1:17">
      <c r="E307" s="42" t="s">
        <v>2303</v>
      </c>
      <c r="F307" s="42"/>
      <c r="G307" s="42"/>
      <c r="H307" s="42"/>
      <c r="I307" s="42"/>
      <c r="J307" s="42"/>
      <c r="K307" s="42"/>
      <c r="L307" s="42"/>
      <c r="M307" s="109"/>
      <c r="N307" s="109" t="s">
        <v>13319</v>
      </c>
    </row>
    <row r="308" spans="1:17">
      <c r="D308" s="110">
        <v>2010</v>
      </c>
      <c r="E308" s="110">
        <v>2011</v>
      </c>
      <c r="F308" s="110">
        <v>2012</v>
      </c>
      <c r="G308" s="110">
        <v>2013</v>
      </c>
      <c r="H308" s="110">
        <v>2014</v>
      </c>
      <c r="I308" s="110">
        <v>2015</v>
      </c>
      <c r="J308" s="110">
        <v>2016</v>
      </c>
      <c r="K308" s="110">
        <v>2017</v>
      </c>
      <c r="L308" s="110">
        <v>2018</v>
      </c>
      <c r="N308" s="112" t="s">
        <v>2304</v>
      </c>
    </row>
    <row r="309" spans="1:17">
      <c r="A309" s="460" t="s">
        <v>7520</v>
      </c>
      <c r="D309" s="463">
        <f t="shared" ref="D309:I309" si="203">SUM(D310:D334)</f>
        <v>101385</v>
      </c>
      <c r="E309" s="463">
        <f t="shared" si="203"/>
        <v>101677</v>
      </c>
      <c r="F309" s="463">
        <f t="shared" si="203"/>
        <v>102062</v>
      </c>
      <c r="G309" s="463">
        <f t="shared" si="203"/>
        <v>102475</v>
      </c>
      <c r="H309" s="463">
        <f t="shared" si="203"/>
        <v>103042</v>
      </c>
      <c r="I309" s="463">
        <f t="shared" si="203"/>
        <v>101328</v>
      </c>
      <c r="J309" s="463">
        <f t="shared" ref="J309:K309" si="204">SUM(J310:J334)</f>
        <v>99599</v>
      </c>
      <c r="K309" s="463">
        <f t="shared" si="204"/>
        <v>102036</v>
      </c>
      <c r="L309" s="463">
        <f t="shared" ref="L309" si="205">SUM(L310:L334)</f>
        <v>103295</v>
      </c>
    </row>
    <row r="310" spans="1:17">
      <c r="A310" s="460" t="s">
        <v>6957</v>
      </c>
      <c r="B310" s="460" t="s">
        <v>7521</v>
      </c>
      <c r="C310" s="4" t="s">
        <v>13033</v>
      </c>
      <c r="D310" s="463">
        <v>4491</v>
      </c>
      <c r="E310" s="463">
        <v>4543</v>
      </c>
      <c r="F310" s="463">
        <v>4638</v>
      </c>
      <c r="G310" s="30">
        <v>4717</v>
      </c>
      <c r="H310" s="30">
        <v>4767</v>
      </c>
      <c r="I310" s="30">
        <v>4768</v>
      </c>
      <c r="J310" s="30">
        <v>4767</v>
      </c>
      <c r="K310" s="30">
        <v>4831</v>
      </c>
      <c r="L310" s="30">
        <v>4809</v>
      </c>
      <c r="N310" s="460" t="s">
        <v>1504</v>
      </c>
      <c r="O310" s="940"/>
      <c r="Q310" s="4"/>
    </row>
    <row r="311" spans="1:17">
      <c r="A311" s="460" t="s">
        <v>6959</v>
      </c>
      <c r="B311" s="460" t="s">
        <v>7522</v>
      </c>
      <c r="C311" s="4" t="s">
        <v>12150</v>
      </c>
      <c r="D311" s="463">
        <v>6334</v>
      </c>
      <c r="E311" s="463">
        <v>6348</v>
      </c>
      <c r="F311" s="463">
        <v>6335</v>
      </c>
      <c r="G311" s="30">
        <v>6323</v>
      </c>
      <c r="H311" s="30">
        <v>6289</v>
      </c>
      <c r="I311" s="30">
        <v>6100</v>
      </c>
      <c r="J311" s="30">
        <v>6060</v>
      </c>
      <c r="K311" s="30">
        <v>6083</v>
      </c>
      <c r="L311" s="30">
        <v>6088</v>
      </c>
      <c r="N311" s="460" t="s">
        <v>2357</v>
      </c>
      <c r="O311" s="940"/>
      <c r="Q311" s="4"/>
    </row>
    <row r="312" spans="1:17">
      <c r="A312" s="460" t="s">
        <v>6961</v>
      </c>
      <c r="B312" s="460" t="s">
        <v>7523</v>
      </c>
      <c r="C312" s="4" t="s">
        <v>12151</v>
      </c>
      <c r="D312" s="463">
        <v>2263</v>
      </c>
      <c r="E312" s="463">
        <v>2295</v>
      </c>
      <c r="F312" s="463">
        <v>2264</v>
      </c>
      <c r="G312" s="30">
        <v>2269</v>
      </c>
      <c r="H312" s="30">
        <v>2262</v>
      </c>
      <c r="I312" s="30">
        <v>2210</v>
      </c>
      <c r="J312" s="30">
        <v>2171</v>
      </c>
      <c r="K312" s="30">
        <v>2220</v>
      </c>
      <c r="L312" s="30">
        <v>2228</v>
      </c>
      <c r="N312" s="460" t="s">
        <v>1504</v>
      </c>
      <c r="O312" s="940"/>
      <c r="Q312" s="4"/>
    </row>
    <row r="313" spans="1:17">
      <c r="A313" s="460" t="s">
        <v>6963</v>
      </c>
      <c r="B313" s="460" t="s">
        <v>7524</v>
      </c>
      <c r="C313" s="4" t="s">
        <v>12152</v>
      </c>
      <c r="D313" s="463">
        <v>6484</v>
      </c>
      <c r="E313" s="463">
        <v>6380</v>
      </c>
      <c r="F313" s="463">
        <v>6432</v>
      </c>
      <c r="G313" s="30">
        <v>6525</v>
      </c>
      <c r="H313" s="30">
        <v>6549</v>
      </c>
      <c r="I313" s="30">
        <v>6447</v>
      </c>
      <c r="J313" s="30">
        <v>6437</v>
      </c>
      <c r="K313" s="30">
        <v>6545</v>
      </c>
      <c r="L313" s="30">
        <v>6679</v>
      </c>
      <c r="N313" s="460" t="s">
        <v>2357</v>
      </c>
      <c r="O313" s="940"/>
      <c r="Q313" s="4"/>
    </row>
    <row r="314" spans="1:17">
      <c r="A314" s="460" t="s">
        <v>6965</v>
      </c>
      <c r="B314" s="460" t="s">
        <v>7525</v>
      </c>
      <c r="C314" s="4" t="s">
        <v>12153</v>
      </c>
      <c r="D314" s="463">
        <v>4095</v>
      </c>
      <c r="E314" s="463">
        <v>4103</v>
      </c>
      <c r="F314" s="463">
        <v>4100</v>
      </c>
      <c r="G314" s="30">
        <v>4094</v>
      </c>
      <c r="H314" s="30">
        <v>4377</v>
      </c>
      <c r="I314" s="30">
        <v>4413</v>
      </c>
      <c r="J314" s="30">
        <v>4421</v>
      </c>
      <c r="K314" s="30">
        <v>4689</v>
      </c>
      <c r="L314" s="30">
        <v>4945</v>
      </c>
      <c r="N314" s="460" t="s">
        <v>1504</v>
      </c>
      <c r="O314" s="940"/>
      <c r="Q314" s="4"/>
    </row>
    <row r="315" spans="1:17">
      <c r="A315" s="460" t="s">
        <v>6997</v>
      </c>
      <c r="B315" s="460" t="s">
        <v>2174</v>
      </c>
      <c r="C315" s="4" t="s">
        <v>12154</v>
      </c>
      <c r="D315" s="463">
        <v>5769</v>
      </c>
      <c r="E315" s="463">
        <v>5792</v>
      </c>
      <c r="F315" s="463">
        <v>5773</v>
      </c>
      <c r="G315" s="30">
        <v>5727</v>
      </c>
      <c r="H315" s="30">
        <v>5752</v>
      </c>
      <c r="I315" s="30">
        <v>5620</v>
      </c>
      <c r="J315" s="30">
        <v>5546</v>
      </c>
      <c r="K315" s="30">
        <v>5590</v>
      </c>
      <c r="L315" s="30">
        <v>5506</v>
      </c>
      <c r="N315" s="460" t="s">
        <v>1504</v>
      </c>
      <c r="O315" s="940"/>
      <c r="Q315" s="4"/>
    </row>
    <row r="316" spans="1:17">
      <c r="A316" s="460" t="s">
        <v>6999</v>
      </c>
      <c r="B316" s="460" t="s">
        <v>2175</v>
      </c>
      <c r="C316" s="4" t="s">
        <v>12155</v>
      </c>
      <c r="D316" s="463">
        <v>5094</v>
      </c>
      <c r="E316" s="463">
        <v>5195</v>
      </c>
      <c r="F316" s="463">
        <v>5317</v>
      </c>
      <c r="G316" s="30">
        <v>5378</v>
      </c>
      <c r="H316" s="30">
        <v>5247</v>
      </c>
      <c r="I316" s="30">
        <v>5042</v>
      </c>
      <c r="J316" s="30">
        <v>4992</v>
      </c>
      <c r="K316" s="30">
        <v>5171</v>
      </c>
      <c r="L316" s="30">
        <v>5125</v>
      </c>
      <c r="N316" s="460" t="s">
        <v>1504</v>
      </c>
      <c r="O316" s="940"/>
      <c r="Q316" s="4"/>
    </row>
    <row r="317" spans="1:17">
      <c r="A317" s="460" t="s">
        <v>7001</v>
      </c>
      <c r="B317" s="460" t="s">
        <v>2176</v>
      </c>
      <c r="C317" s="4" t="s">
        <v>12156</v>
      </c>
      <c r="D317" s="463">
        <v>5031</v>
      </c>
      <c r="E317" s="463">
        <v>5060</v>
      </c>
      <c r="F317" s="463">
        <v>5079</v>
      </c>
      <c r="G317" s="30">
        <v>5135</v>
      </c>
      <c r="H317" s="30">
        <v>5118</v>
      </c>
      <c r="I317" s="30">
        <v>5070</v>
      </c>
      <c r="J317" s="30">
        <v>4959</v>
      </c>
      <c r="K317" s="30">
        <v>5042</v>
      </c>
      <c r="L317" s="30">
        <v>5079</v>
      </c>
      <c r="N317" s="460" t="s">
        <v>2357</v>
      </c>
      <c r="O317" s="940"/>
      <c r="Q317" s="4"/>
    </row>
    <row r="318" spans="1:17">
      <c r="A318" s="460" t="s">
        <v>7003</v>
      </c>
      <c r="B318" s="460" t="s">
        <v>2177</v>
      </c>
      <c r="C318" s="4" t="s">
        <v>13034</v>
      </c>
      <c r="D318" s="463">
        <v>4237</v>
      </c>
      <c r="E318" s="463">
        <v>4246</v>
      </c>
      <c r="F318" s="463">
        <v>4229</v>
      </c>
      <c r="G318" s="30">
        <v>4235</v>
      </c>
      <c r="H318" s="30">
        <v>4217</v>
      </c>
      <c r="I318" s="30">
        <v>4091</v>
      </c>
      <c r="J318" s="30">
        <v>3914</v>
      </c>
      <c r="K318" s="30">
        <v>4045</v>
      </c>
      <c r="L318" s="30">
        <v>4076</v>
      </c>
      <c r="N318" s="460" t="s">
        <v>1504</v>
      </c>
      <c r="O318" s="940"/>
      <c r="Q318" s="4"/>
    </row>
    <row r="319" spans="1:17">
      <c r="A319" s="460" t="s">
        <v>7005</v>
      </c>
      <c r="B319" s="460" t="s">
        <v>2178</v>
      </c>
      <c r="C319" s="4" t="s">
        <v>12157</v>
      </c>
      <c r="D319" s="463">
        <v>6827</v>
      </c>
      <c r="E319" s="463">
        <v>6778</v>
      </c>
      <c r="F319" s="463">
        <v>6831</v>
      </c>
      <c r="G319" s="30">
        <v>6938</v>
      </c>
      <c r="H319" s="30">
        <v>7087</v>
      </c>
      <c r="I319" s="30">
        <v>7043</v>
      </c>
      <c r="J319" s="30">
        <v>7003</v>
      </c>
      <c r="K319" s="30">
        <v>7344</v>
      </c>
      <c r="L319" s="30">
        <v>7525</v>
      </c>
      <c r="N319" s="460" t="s">
        <v>1504</v>
      </c>
      <c r="O319" s="940"/>
      <c r="Q319" s="4"/>
    </row>
    <row r="320" spans="1:17">
      <c r="A320" s="460" t="s">
        <v>7007</v>
      </c>
      <c r="B320" s="460" t="s">
        <v>2179</v>
      </c>
      <c r="C320" s="4" t="s">
        <v>12158</v>
      </c>
      <c r="D320" s="463">
        <v>4242</v>
      </c>
      <c r="E320" s="463">
        <v>4186</v>
      </c>
      <c r="F320" s="463">
        <v>4179</v>
      </c>
      <c r="G320" s="31">
        <v>4187</v>
      </c>
      <c r="H320" s="31">
        <v>4203</v>
      </c>
      <c r="I320" s="31">
        <v>4137</v>
      </c>
      <c r="J320" s="31">
        <v>3909</v>
      </c>
      <c r="K320" s="31">
        <v>3963</v>
      </c>
      <c r="L320" s="31">
        <v>3994</v>
      </c>
      <c r="N320" s="460" t="s">
        <v>1504</v>
      </c>
      <c r="O320" s="940"/>
      <c r="Q320" s="4"/>
    </row>
    <row r="321" spans="1:17">
      <c r="A321" s="460" t="s">
        <v>7009</v>
      </c>
      <c r="B321" s="460" t="s">
        <v>2180</v>
      </c>
      <c r="C321" s="4" t="s">
        <v>12159</v>
      </c>
      <c r="D321" s="463">
        <v>2330</v>
      </c>
      <c r="E321" s="463">
        <v>2374</v>
      </c>
      <c r="F321" s="463">
        <v>2382</v>
      </c>
      <c r="G321" s="30">
        <v>2406</v>
      </c>
      <c r="H321" s="30">
        <v>2390</v>
      </c>
      <c r="I321" s="30">
        <v>2316</v>
      </c>
      <c r="J321" s="30">
        <v>2287</v>
      </c>
      <c r="K321" s="30">
        <v>2329</v>
      </c>
      <c r="L321" s="30">
        <v>2334</v>
      </c>
      <c r="N321" s="460" t="s">
        <v>2357</v>
      </c>
      <c r="O321" s="940"/>
      <c r="Q321" s="4"/>
    </row>
    <row r="322" spans="1:17">
      <c r="A322" s="460" t="s">
        <v>7011</v>
      </c>
      <c r="B322" s="460" t="s">
        <v>2181</v>
      </c>
      <c r="C322" s="4" t="s">
        <v>12160</v>
      </c>
      <c r="D322" s="463">
        <v>2053</v>
      </c>
      <c r="E322" s="463">
        <v>2071</v>
      </c>
      <c r="F322" s="463">
        <v>2074</v>
      </c>
      <c r="G322" s="31">
        <v>2090</v>
      </c>
      <c r="H322" s="31">
        <v>2087</v>
      </c>
      <c r="I322" s="31">
        <v>2070</v>
      </c>
      <c r="J322" s="31">
        <v>2056</v>
      </c>
      <c r="K322" s="31">
        <v>2110</v>
      </c>
      <c r="L322" s="31">
        <v>2091</v>
      </c>
      <c r="N322" s="460" t="s">
        <v>1504</v>
      </c>
      <c r="O322" s="940"/>
      <c r="Q322" s="4"/>
    </row>
    <row r="323" spans="1:17">
      <c r="A323" s="460" t="s">
        <v>7013</v>
      </c>
      <c r="B323" s="460" t="s">
        <v>2182</v>
      </c>
      <c r="C323" s="4" t="s">
        <v>12161</v>
      </c>
      <c r="D323" s="463">
        <v>4799</v>
      </c>
      <c r="E323" s="463">
        <v>4841</v>
      </c>
      <c r="F323" s="463">
        <v>4806</v>
      </c>
      <c r="G323" s="30">
        <v>4821</v>
      </c>
      <c r="H323" s="30">
        <v>5062</v>
      </c>
      <c r="I323" s="30">
        <v>5111</v>
      </c>
      <c r="J323" s="30">
        <v>5067</v>
      </c>
      <c r="K323" s="30">
        <v>5197</v>
      </c>
      <c r="L323" s="30">
        <v>5342</v>
      </c>
      <c r="N323" s="460" t="s">
        <v>2357</v>
      </c>
      <c r="O323" s="940"/>
      <c r="Q323" s="4"/>
    </row>
    <row r="324" spans="1:17">
      <c r="A324" s="460" t="s">
        <v>7015</v>
      </c>
      <c r="B324" s="460" t="s">
        <v>2183</v>
      </c>
      <c r="C324" s="4" t="s">
        <v>12162</v>
      </c>
      <c r="D324" s="463">
        <v>2515</v>
      </c>
      <c r="E324" s="463">
        <v>2500</v>
      </c>
      <c r="F324" s="463">
        <v>2551</v>
      </c>
      <c r="G324" s="31">
        <v>2518</v>
      </c>
      <c r="H324" s="31">
        <v>2532</v>
      </c>
      <c r="I324" s="31">
        <v>2481</v>
      </c>
      <c r="J324" s="31">
        <v>2356</v>
      </c>
      <c r="K324" s="31">
        <v>2441</v>
      </c>
      <c r="L324" s="31">
        <v>2428</v>
      </c>
      <c r="N324" s="460" t="s">
        <v>1504</v>
      </c>
      <c r="O324" s="940"/>
      <c r="Q324" s="4"/>
    </row>
    <row r="325" spans="1:17">
      <c r="A325" s="460" t="s">
        <v>7017</v>
      </c>
      <c r="B325" s="460" t="s">
        <v>3885</v>
      </c>
      <c r="C325" s="4" t="s">
        <v>12163</v>
      </c>
      <c r="D325" s="463">
        <v>4661</v>
      </c>
      <c r="E325" s="463">
        <v>4681</v>
      </c>
      <c r="F325" s="463">
        <v>4763</v>
      </c>
      <c r="G325" s="31">
        <v>4760</v>
      </c>
      <c r="H325" s="31">
        <v>4784</v>
      </c>
      <c r="I325" s="31">
        <v>4767</v>
      </c>
      <c r="J325" s="31">
        <v>4634</v>
      </c>
      <c r="K325" s="31">
        <v>4779</v>
      </c>
      <c r="L325" s="31">
        <v>4922</v>
      </c>
      <c r="N325" s="460" t="s">
        <v>1504</v>
      </c>
      <c r="O325" s="940"/>
      <c r="Q325" s="4"/>
    </row>
    <row r="326" spans="1:17">
      <c r="A326" s="460" t="s">
        <v>7019</v>
      </c>
      <c r="B326" s="460" t="s">
        <v>13310</v>
      </c>
      <c r="C326" s="4" t="s">
        <v>12164</v>
      </c>
      <c r="D326" s="463">
        <v>4716</v>
      </c>
      <c r="E326" s="463">
        <v>4801</v>
      </c>
      <c r="F326" s="463">
        <v>4793</v>
      </c>
      <c r="G326" s="31">
        <v>4783</v>
      </c>
      <c r="H326" s="31">
        <v>4721</v>
      </c>
      <c r="I326" s="31">
        <v>4641</v>
      </c>
      <c r="J326" s="31">
        <v>4568</v>
      </c>
      <c r="K326" s="31">
        <v>4739</v>
      </c>
      <c r="L326" s="31">
        <v>4871</v>
      </c>
      <c r="N326" s="460" t="s">
        <v>1504</v>
      </c>
      <c r="O326" s="940"/>
      <c r="Q326" s="4"/>
    </row>
    <row r="327" spans="1:17">
      <c r="A327" s="460" t="s">
        <v>7021</v>
      </c>
      <c r="B327" s="460" t="s">
        <v>13311</v>
      </c>
      <c r="C327" s="4" t="s">
        <v>12165</v>
      </c>
      <c r="D327" s="463">
        <v>4307</v>
      </c>
      <c r="E327" s="463">
        <v>4279</v>
      </c>
      <c r="F327" s="463">
        <v>4292</v>
      </c>
      <c r="G327" s="31">
        <v>4309</v>
      </c>
      <c r="H327" s="31">
        <v>4268</v>
      </c>
      <c r="I327" s="31">
        <v>4183</v>
      </c>
      <c r="J327" s="31">
        <v>4134</v>
      </c>
      <c r="K327" s="31">
        <v>4231</v>
      </c>
      <c r="L327" s="31">
        <v>4381</v>
      </c>
      <c r="N327" s="460" t="s">
        <v>1504</v>
      </c>
      <c r="O327" s="940"/>
      <c r="Q327" s="4"/>
    </row>
    <row r="328" spans="1:17">
      <c r="A328" s="460" t="s">
        <v>7023</v>
      </c>
      <c r="B328" s="460" t="s">
        <v>5622</v>
      </c>
      <c r="C328" s="4" t="s">
        <v>12166</v>
      </c>
      <c r="D328" s="463">
        <v>2355</v>
      </c>
      <c r="E328" s="463">
        <v>2409</v>
      </c>
      <c r="F328" s="463">
        <v>2386</v>
      </c>
      <c r="G328" s="30">
        <v>2362</v>
      </c>
      <c r="H328" s="30">
        <v>2336</v>
      </c>
      <c r="I328" s="30">
        <v>2312</v>
      </c>
      <c r="J328" s="30">
        <v>2264</v>
      </c>
      <c r="K328" s="30">
        <v>2300</v>
      </c>
      <c r="L328" s="30">
        <v>2323</v>
      </c>
      <c r="N328" s="460" t="s">
        <v>2357</v>
      </c>
      <c r="O328" s="940"/>
      <c r="Q328" s="4"/>
    </row>
    <row r="329" spans="1:17">
      <c r="A329" s="460" t="s">
        <v>7025</v>
      </c>
      <c r="B329" s="460" t="s">
        <v>5623</v>
      </c>
      <c r="C329" s="4" t="s">
        <v>12167</v>
      </c>
      <c r="D329" s="463">
        <v>2105</v>
      </c>
      <c r="E329" s="463">
        <v>2133</v>
      </c>
      <c r="F329" s="463">
        <v>2098</v>
      </c>
      <c r="G329" s="31">
        <v>2089</v>
      </c>
      <c r="H329" s="31">
        <v>2115</v>
      </c>
      <c r="I329" s="31">
        <v>2059</v>
      </c>
      <c r="J329" s="31">
        <v>1986</v>
      </c>
      <c r="K329" s="31">
        <v>1995</v>
      </c>
      <c r="L329" s="31">
        <v>2031</v>
      </c>
      <c r="N329" s="460" t="s">
        <v>1504</v>
      </c>
      <c r="O329" s="940"/>
      <c r="Q329" s="4"/>
    </row>
    <row r="330" spans="1:17">
      <c r="A330" s="460" t="s">
        <v>7570</v>
      </c>
      <c r="B330" s="460" t="s">
        <v>5624</v>
      </c>
      <c r="C330" s="4" t="s">
        <v>12168</v>
      </c>
      <c r="D330" s="463">
        <v>2389</v>
      </c>
      <c r="E330" s="463">
        <v>2389</v>
      </c>
      <c r="F330" s="463">
        <v>2445</v>
      </c>
      <c r="G330" s="30">
        <v>2470</v>
      </c>
      <c r="H330" s="30">
        <v>2508</v>
      </c>
      <c r="I330" s="30">
        <v>2448</v>
      </c>
      <c r="J330" s="30">
        <v>2423</v>
      </c>
      <c r="K330" s="30">
        <v>2478</v>
      </c>
      <c r="L330" s="30">
        <v>2454</v>
      </c>
      <c r="N330" s="460" t="s">
        <v>2357</v>
      </c>
      <c r="O330" s="940"/>
      <c r="Q330" s="4"/>
    </row>
    <row r="331" spans="1:17">
      <c r="A331" s="460" t="s">
        <v>7572</v>
      </c>
      <c r="B331" s="460" t="s">
        <v>5625</v>
      </c>
      <c r="C331" s="4" t="s">
        <v>12169</v>
      </c>
      <c r="D331" s="463">
        <v>4028</v>
      </c>
      <c r="E331" s="463">
        <v>3994</v>
      </c>
      <c r="F331" s="463">
        <v>4004</v>
      </c>
      <c r="G331" s="30">
        <v>4021</v>
      </c>
      <c r="H331" s="30">
        <v>4026</v>
      </c>
      <c r="I331" s="31">
        <v>3877</v>
      </c>
      <c r="J331" s="31">
        <v>3732</v>
      </c>
      <c r="K331" s="31">
        <v>3830</v>
      </c>
      <c r="L331" s="31">
        <v>3912</v>
      </c>
      <c r="N331" s="460" t="s">
        <v>1504</v>
      </c>
      <c r="O331" s="940"/>
      <c r="Q331" s="4"/>
    </row>
    <row r="332" spans="1:17">
      <c r="A332" s="460" t="s">
        <v>7573</v>
      </c>
      <c r="B332" s="460" t="s">
        <v>5626</v>
      </c>
      <c r="C332" s="4" t="s">
        <v>12170</v>
      </c>
      <c r="D332" s="463">
        <v>4048</v>
      </c>
      <c r="E332" s="463">
        <v>4049</v>
      </c>
      <c r="F332" s="463">
        <v>4030</v>
      </c>
      <c r="G332" s="31">
        <v>4048</v>
      </c>
      <c r="H332" s="31">
        <v>4135</v>
      </c>
      <c r="I332" s="31">
        <v>4027</v>
      </c>
      <c r="J332" s="31">
        <v>3959</v>
      </c>
      <c r="K332" s="31">
        <v>4008</v>
      </c>
      <c r="L332" s="31">
        <v>4052</v>
      </c>
      <c r="N332" s="460" t="s">
        <v>1504</v>
      </c>
      <c r="O332" s="940"/>
      <c r="Q332" s="4"/>
    </row>
    <row r="333" spans="1:17">
      <c r="A333" s="460" t="s">
        <v>5798</v>
      </c>
      <c r="B333" s="460" t="s">
        <v>5627</v>
      </c>
      <c r="C333" s="4" t="s">
        <v>12171</v>
      </c>
      <c r="D333" s="463">
        <v>3955</v>
      </c>
      <c r="E333" s="463">
        <v>3954</v>
      </c>
      <c r="F333" s="463">
        <v>3985</v>
      </c>
      <c r="G333" s="31">
        <v>4007</v>
      </c>
      <c r="H333" s="31">
        <v>3974</v>
      </c>
      <c r="I333" s="31">
        <v>3891</v>
      </c>
      <c r="J333" s="31">
        <v>3748</v>
      </c>
      <c r="K333" s="31">
        <v>3827</v>
      </c>
      <c r="L333" s="31">
        <v>3828</v>
      </c>
      <c r="N333" s="460" t="s">
        <v>1504</v>
      </c>
      <c r="O333" s="940"/>
      <c r="Q333" s="4"/>
    </row>
    <row r="334" spans="1:17">
      <c r="A334" s="460" t="s">
        <v>5799</v>
      </c>
      <c r="B334" s="460" t="s">
        <v>2214</v>
      </c>
      <c r="C334" s="4" t="s">
        <v>12172</v>
      </c>
      <c r="D334" s="463">
        <v>2257</v>
      </c>
      <c r="E334" s="463">
        <v>2276</v>
      </c>
      <c r="F334" s="463">
        <v>2276</v>
      </c>
      <c r="G334" s="31">
        <v>2263</v>
      </c>
      <c r="H334" s="31">
        <v>2236</v>
      </c>
      <c r="I334" s="30">
        <v>2204</v>
      </c>
      <c r="J334" s="30">
        <v>2206</v>
      </c>
      <c r="K334" s="30">
        <v>2249</v>
      </c>
      <c r="L334" s="30">
        <v>2272</v>
      </c>
      <c r="N334" s="460" t="s">
        <v>2357</v>
      </c>
      <c r="O334" s="940"/>
      <c r="Q334" s="4"/>
    </row>
    <row r="335" spans="1:17">
      <c r="D335" s="469"/>
      <c r="E335" s="469"/>
      <c r="F335" s="469"/>
      <c r="G335" s="469"/>
      <c r="H335" s="469"/>
      <c r="I335" s="469"/>
      <c r="J335" s="469"/>
      <c r="K335" s="469"/>
      <c r="L335" s="469"/>
    </row>
    <row r="336" spans="1:17">
      <c r="A336" s="460" t="s">
        <v>5550</v>
      </c>
      <c r="D336" s="463">
        <f t="shared" ref="D336:I336" si="206">D311+D313+D317+D321+D323+D328+D330+D334</f>
        <v>31979</v>
      </c>
      <c r="E336" s="463">
        <f t="shared" si="206"/>
        <v>32077</v>
      </c>
      <c r="F336" s="463">
        <f t="shared" si="206"/>
        <v>32141</v>
      </c>
      <c r="G336" s="463">
        <f t="shared" si="206"/>
        <v>32305</v>
      </c>
      <c r="H336" s="463">
        <f t="shared" si="206"/>
        <v>32488</v>
      </c>
      <c r="I336" s="463">
        <f t="shared" si="206"/>
        <v>32008</v>
      </c>
      <c r="J336" s="463">
        <f t="shared" ref="J336:K336" si="207">J311+J313+J317+J321+J323+J328+J330+J334</f>
        <v>31703</v>
      </c>
      <c r="K336" s="463">
        <f t="shared" si="207"/>
        <v>32223</v>
      </c>
      <c r="L336" s="463">
        <f t="shared" ref="L336" si="208">L311+L313+L317+L321+L323+L328+L330+L334</f>
        <v>32571</v>
      </c>
    </row>
    <row r="337" spans="1:17">
      <c r="A337" s="460" t="s">
        <v>1504</v>
      </c>
      <c r="D337" s="463">
        <f t="shared" ref="D337:I337" si="209">D310+D312+SUM(D314:D316)+SUM(D318:D320)+D322+SUM(D324:D327)+D329+SUM(D331:D333)</f>
        <v>69406</v>
      </c>
      <c r="E337" s="463">
        <f t="shared" si="209"/>
        <v>69600</v>
      </c>
      <c r="F337" s="463">
        <f t="shared" si="209"/>
        <v>69921</v>
      </c>
      <c r="G337" s="463">
        <f t="shared" si="209"/>
        <v>70170</v>
      </c>
      <c r="H337" s="463">
        <f t="shared" si="209"/>
        <v>70554</v>
      </c>
      <c r="I337" s="463">
        <f t="shared" si="209"/>
        <v>69320</v>
      </c>
      <c r="J337" s="463">
        <f t="shared" ref="J337:K337" si="210">J310+J312+SUM(J314:J316)+SUM(J318:J320)+J322+SUM(J324:J327)+J329+SUM(J331:J333)</f>
        <v>67896</v>
      </c>
      <c r="K337" s="463">
        <f t="shared" si="210"/>
        <v>69813</v>
      </c>
      <c r="L337" s="463">
        <f t="shared" ref="L337" si="211">L310+L312+SUM(L314:L316)+SUM(L318:L320)+L322+SUM(L324:L327)+L329+SUM(L331:L333)</f>
        <v>70724</v>
      </c>
    </row>
    <row r="338" spans="1:17">
      <c r="A338" s="460"/>
      <c r="D338" s="463"/>
      <c r="E338" s="463"/>
      <c r="F338" s="463"/>
      <c r="G338" s="463"/>
      <c r="H338" s="463"/>
      <c r="I338" s="463"/>
      <c r="J338" s="463"/>
      <c r="K338" s="463"/>
      <c r="L338" s="463"/>
    </row>
    <row r="339" spans="1:17">
      <c r="A339" s="460" t="s">
        <v>13040</v>
      </c>
      <c r="D339" s="463"/>
      <c r="E339" s="463"/>
      <c r="F339" s="463"/>
      <c r="G339" s="463"/>
      <c r="H339" s="463"/>
      <c r="I339" s="463"/>
      <c r="J339" s="463"/>
      <c r="K339" s="463"/>
      <c r="L339" s="463"/>
    </row>
    <row r="340" spans="1:17">
      <c r="A340" s="460" t="s">
        <v>13041</v>
      </c>
      <c r="B340" s="460"/>
      <c r="D340" s="467"/>
      <c r="E340" s="467"/>
      <c r="F340" s="467"/>
      <c r="G340" s="467"/>
      <c r="H340" s="467"/>
      <c r="I340" s="467"/>
      <c r="J340" s="467"/>
      <c r="K340" s="467"/>
      <c r="L340" s="467"/>
    </row>
    <row r="341" spans="1:17">
      <c r="A341" s="460"/>
      <c r="B341" s="460"/>
      <c r="D341" s="467"/>
      <c r="E341" s="467"/>
      <c r="F341" s="467"/>
      <c r="G341" s="467"/>
      <c r="H341" s="467"/>
      <c r="I341" s="467"/>
      <c r="J341" s="467"/>
      <c r="K341" s="467"/>
      <c r="L341" s="467"/>
    </row>
    <row r="342" spans="1:17">
      <c r="A342" s="460"/>
      <c r="B342" s="460"/>
      <c r="D342" s="467"/>
      <c r="E342" s="467"/>
      <c r="F342" s="467"/>
      <c r="G342" s="467"/>
      <c r="H342" s="467"/>
      <c r="I342" s="467"/>
      <c r="J342" s="467"/>
      <c r="K342" s="467"/>
      <c r="L342" s="467"/>
    </row>
    <row r="343" spans="1:17">
      <c r="E343" s="42" t="s">
        <v>2303</v>
      </c>
      <c r="F343" s="42"/>
      <c r="G343" s="42"/>
      <c r="H343" s="42"/>
      <c r="I343" s="42"/>
      <c r="J343" s="42"/>
      <c r="K343" s="42"/>
      <c r="L343" s="42"/>
      <c r="M343" s="109"/>
      <c r="N343" s="109" t="s">
        <v>13319</v>
      </c>
    </row>
    <row r="344" spans="1:17">
      <c r="D344" s="110">
        <v>2010</v>
      </c>
      <c r="E344" s="110">
        <v>2011</v>
      </c>
      <c r="F344" s="110">
        <v>2012</v>
      </c>
      <c r="G344" s="110">
        <v>2013</v>
      </c>
      <c r="H344" s="110">
        <v>2014</v>
      </c>
      <c r="I344" s="110">
        <v>2015</v>
      </c>
      <c r="J344" s="110">
        <v>2016</v>
      </c>
      <c r="K344" s="110">
        <v>2017</v>
      </c>
      <c r="L344" s="110">
        <v>2018</v>
      </c>
      <c r="N344" s="112" t="s">
        <v>2304</v>
      </c>
    </row>
    <row r="345" spans="1:17">
      <c r="A345" s="460" t="s">
        <v>2259</v>
      </c>
      <c r="D345" s="463">
        <f t="shared" ref="D345:I345" si="212">SUM(D346:D368)</f>
        <v>50482</v>
      </c>
      <c r="E345" s="463">
        <f t="shared" si="212"/>
        <v>50920</v>
      </c>
      <c r="F345" s="463">
        <f t="shared" si="212"/>
        <v>51235</v>
      </c>
      <c r="G345" s="463">
        <f t="shared" si="212"/>
        <v>51915</v>
      </c>
      <c r="H345" s="463">
        <f t="shared" si="212"/>
        <v>51695</v>
      </c>
      <c r="I345" s="463">
        <f t="shared" si="212"/>
        <v>51119</v>
      </c>
      <c r="J345" s="463">
        <f t="shared" ref="J345:K345" si="213">SUM(J346:J368)</f>
        <v>51061</v>
      </c>
      <c r="K345" s="463">
        <f t="shared" si="213"/>
        <v>52193</v>
      </c>
      <c r="L345" s="463">
        <f t="shared" ref="L345" si="214">SUM(L346:L368)</f>
        <v>52558</v>
      </c>
    </row>
    <row r="346" spans="1:17">
      <c r="A346" s="460" t="s">
        <v>6957</v>
      </c>
      <c r="B346" s="460" t="s">
        <v>2260</v>
      </c>
      <c r="C346" s="4" t="s">
        <v>12173</v>
      </c>
      <c r="D346" s="463">
        <v>2379</v>
      </c>
      <c r="E346" s="463">
        <v>2332</v>
      </c>
      <c r="F346" s="463">
        <v>2347</v>
      </c>
      <c r="G346" s="30">
        <v>2335</v>
      </c>
      <c r="H346" s="30">
        <v>2352</v>
      </c>
      <c r="I346" s="30">
        <v>2242</v>
      </c>
      <c r="J346" s="30">
        <v>2216</v>
      </c>
      <c r="K346" s="30">
        <v>2235</v>
      </c>
      <c r="L346" s="30">
        <v>2203</v>
      </c>
      <c r="N346" s="460" t="s">
        <v>2383</v>
      </c>
      <c r="O346" s="934"/>
      <c r="Q346" s="4"/>
    </row>
    <row r="347" spans="1:17">
      <c r="A347" s="460" t="s">
        <v>6959</v>
      </c>
      <c r="B347" s="460" t="s">
        <v>2261</v>
      </c>
      <c r="C347" s="4" t="s">
        <v>12174</v>
      </c>
      <c r="D347" s="463">
        <v>4290</v>
      </c>
      <c r="E347" s="463">
        <v>4441</v>
      </c>
      <c r="F347" s="463">
        <v>4571</v>
      </c>
      <c r="G347" s="30">
        <v>4821</v>
      </c>
      <c r="H347" s="30">
        <v>4832</v>
      </c>
      <c r="I347" s="30">
        <v>4776</v>
      </c>
      <c r="J347" s="30">
        <v>4785</v>
      </c>
      <c r="K347" s="30">
        <v>4862</v>
      </c>
      <c r="L347" s="30">
        <v>4908</v>
      </c>
      <c r="N347" s="460" t="s">
        <v>2383</v>
      </c>
      <c r="O347" s="934"/>
      <c r="Q347" s="4"/>
    </row>
    <row r="348" spans="1:17">
      <c r="A348" s="460" t="s">
        <v>6961</v>
      </c>
      <c r="B348" s="460" t="s">
        <v>2262</v>
      </c>
      <c r="C348" s="4" t="s">
        <v>12175</v>
      </c>
      <c r="D348" s="463">
        <v>4414</v>
      </c>
      <c r="E348" s="463">
        <v>4326</v>
      </c>
      <c r="F348" s="463">
        <v>4433</v>
      </c>
      <c r="G348" s="30">
        <v>4470</v>
      </c>
      <c r="H348" s="30">
        <v>4337</v>
      </c>
      <c r="I348" s="30">
        <v>4306</v>
      </c>
      <c r="J348" s="30">
        <v>4277</v>
      </c>
      <c r="K348" s="30">
        <v>4382</v>
      </c>
      <c r="L348" s="30">
        <v>4407</v>
      </c>
      <c r="N348" s="460" t="s">
        <v>2383</v>
      </c>
      <c r="O348" s="934"/>
      <c r="Q348" s="4"/>
    </row>
    <row r="349" spans="1:17">
      <c r="A349" s="460" t="s">
        <v>6963</v>
      </c>
      <c r="B349" s="460" t="s">
        <v>2263</v>
      </c>
      <c r="C349" s="4" t="s">
        <v>12176</v>
      </c>
      <c r="D349" s="463">
        <v>4028</v>
      </c>
      <c r="E349" s="463">
        <v>4016</v>
      </c>
      <c r="F349" s="463">
        <v>4069</v>
      </c>
      <c r="G349" s="30">
        <v>4119</v>
      </c>
      <c r="H349" s="30">
        <v>4070</v>
      </c>
      <c r="I349" s="30">
        <v>4057</v>
      </c>
      <c r="J349" s="30">
        <v>4220</v>
      </c>
      <c r="K349" s="30">
        <v>4439</v>
      </c>
      <c r="L349" s="30">
        <v>4472</v>
      </c>
      <c r="N349" s="460" t="s">
        <v>2383</v>
      </c>
      <c r="O349" s="934"/>
      <c r="Q349" s="4"/>
    </row>
    <row r="350" spans="1:17">
      <c r="A350" s="460" t="s">
        <v>6965</v>
      </c>
      <c r="B350" s="460" t="s">
        <v>8558</v>
      </c>
      <c r="C350" s="4" t="s">
        <v>12177</v>
      </c>
      <c r="D350" s="463">
        <v>1352</v>
      </c>
      <c r="E350" s="463">
        <v>1364</v>
      </c>
      <c r="F350" s="463">
        <v>1328</v>
      </c>
      <c r="G350" s="30">
        <v>1340</v>
      </c>
      <c r="H350" s="30">
        <v>1370</v>
      </c>
      <c r="I350" s="30">
        <v>1366</v>
      </c>
      <c r="J350" s="30">
        <v>1371</v>
      </c>
      <c r="K350" s="30">
        <v>1415</v>
      </c>
      <c r="L350" s="30">
        <v>1434</v>
      </c>
      <c r="N350" s="460" t="s">
        <v>2383</v>
      </c>
      <c r="O350" s="934"/>
      <c r="Q350" s="4"/>
    </row>
    <row r="351" spans="1:17">
      <c r="A351" s="460" t="s">
        <v>6997</v>
      </c>
      <c r="B351" s="460" t="s">
        <v>2264</v>
      </c>
      <c r="C351" s="4" t="s">
        <v>12178</v>
      </c>
      <c r="D351" s="463">
        <v>1304</v>
      </c>
      <c r="E351" s="463">
        <v>1299</v>
      </c>
      <c r="F351" s="463">
        <v>1289</v>
      </c>
      <c r="G351" s="30">
        <v>1271</v>
      </c>
      <c r="H351" s="30">
        <v>1285</v>
      </c>
      <c r="I351" s="30">
        <v>1261</v>
      </c>
      <c r="J351" s="30">
        <v>1251</v>
      </c>
      <c r="K351" s="30">
        <v>1268</v>
      </c>
      <c r="L351" s="30">
        <v>1266</v>
      </c>
      <c r="N351" s="460" t="s">
        <v>2383</v>
      </c>
      <c r="O351" s="934"/>
      <c r="Q351" s="4"/>
    </row>
    <row r="352" spans="1:17">
      <c r="A352" s="460" t="s">
        <v>6999</v>
      </c>
      <c r="B352" s="460" t="s">
        <v>2265</v>
      </c>
      <c r="C352" s="4" t="s">
        <v>12179</v>
      </c>
      <c r="D352" s="463">
        <v>1281</v>
      </c>
      <c r="E352" s="463">
        <v>1287</v>
      </c>
      <c r="F352" s="463">
        <v>1293</v>
      </c>
      <c r="G352" s="30">
        <v>1285</v>
      </c>
      <c r="H352" s="30">
        <v>1299</v>
      </c>
      <c r="I352" s="30">
        <v>1244</v>
      </c>
      <c r="J352" s="30">
        <v>1224</v>
      </c>
      <c r="K352" s="30">
        <v>1235</v>
      </c>
      <c r="L352" s="30">
        <v>1241</v>
      </c>
      <c r="N352" s="460" t="s">
        <v>2383</v>
      </c>
      <c r="O352" s="934"/>
      <c r="Q352" s="4"/>
    </row>
    <row r="353" spans="1:17">
      <c r="A353" s="460" t="s">
        <v>7001</v>
      </c>
      <c r="B353" s="460" t="s">
        <v>2266</v>
      </c>
      <c r="C353" s="4" t="s">
        <v>12180</v>
      </c>
      <c r="D353" s="463">
        <v>1318</v>
      </c>
      <c r="E353" s="463">
        <v>1331</v>
      </c>
      <c r="F353" s="463">
        <v>1333</v>
      </c>
      <c r="G353" s="30">
        <v>1321</v>
      </c>
      <c r="H353" s="30">
        <v>1347</v>
      </c>
      <c r="I353" s="30">
        <v>1302</v>
      </c>
      <c r="J353" s="30">
        <v>1310</v>
      </c>
      <c r="K353" s="30">
        <v>1322</v>
      </c>
      <c r="L353" s="30">
        <v>1323</v>
      </c>
      <c r="N353" s="460" t="s">
        <v>2383</v>
      </c>
      <c r="O353" s="934"/>
      <c r="Q353" s="4"/>
    </row>
    <row r="354" spans="1:17">
      <c r="A354" s="460" t="s">
        <v>7003</v>
      </c>
      <c r="B354" s="460" t="s">
        <v>3970</v>
      </c>
      <c r="C354" s="4" t="s">
        <v>12181</v>
      </c>
      <c r="D354" s="463">
        <v>1402</v>
      </c>
      <c r="E354" s="463">
        <v>1420</v>
      </c>
      <c r="F354" s="463">
        <v>1414</v>
      </c>
      <c r="G354" s="30">
        <v>1429</v>
      </c>
      <c r="H354" s="30">
        <v>1410</v>
      </c>
      <c r="I354" s="30">
        <v>1374</v>
      </c>
      <c r="J354" s="30">
        <v>1420</v>
      </c>
      <c r="K354" s="30">
        <v>1439</v>
      </c>
      <c r="L354" s="30">
        <v>1442</v>
      </c>
      <c r="N354" s="460" t="s">
        <v>2383</v>
      </c>
      <c r="O354" s="934"/>
      <c r="Q354" s="4"/>
    </row>
    <row r="355" spans="1:17">
      <c r="A355" s="460" t="s">
        <v>7005</v>
      </c>
      <c r="B355" s="460" t="s">
        <v>3971</v>
      </c>
      <c r="C355" s="4" t="s">
        <v>12182</v>
      </c>
      <c r="D355" s="463">
        <v>2388</v>
      </c>
      <c r="E355" s="463">
        <v>2441</v>
      </c>
      <c r="F355" s="463">
        <v>2430</v>
      </c>
      <c r="G355" s="30">
        <v>2497</v>
      </c>
      <c r="H355" s="30">
        <v>2458</v>
      </c>
      <c r="I355" s="30">
        <v>2434</v>
      </c>
      <c r="J355" s="30">
        <v>2438</v>
      </c>
      <c r="K355" s="30">
        <v>2489</v>
      </c>
      <c r="L355" s="30">
        <v>2522</v>
      </c>
      <c r="N355" s="460" t="s">
        <v>2383</v>
      </c>
      <c r="O355" s="934"/>
      <c r="Q355" s="4"/>
    </row>
    <row r="356" spans="1:17">
      <c r="A356" s="460" t="s">
        <v>7007</v>
      </c>
      <c r="B356" s="460" t="s">
        <v>5696</v>
      </c>
      <c r="C356" s="4" t="s">
        <v>12183</v>
      </c>
      <c r="D356" s="463">
        <v>3113</v>
      </c>
      <c r="E356" s="463">
        <v>3155</v>
      </c>
      <c r="F356" s="463">
        <v>3245</v>
      </c>
      <c r="G356" s="30">
        <v>3284</v>
      </c>
      <c r="H356" s="30">
        <v>3306</v>
      </c>
      <c r="I356" s="30">
        <v>3307</v>
      </c>
      <c r="J356" s="30">
        <v>3269</v>
      </c>
      <c r="K356" s="30">
        <v>3434</v>
      </c>
      <c r="L356" s="30">
        <v>3499</v>
      </c>
      <c r="N356" s="460" t="s">
        <v>2383</v>
      </c>
      <c r="O356" s="934"/>
      <c r="Q356" s="4"/>
    </row>
    <row r="357" spans="1:17">
      <c r="A357" s="460" t="s">
        <v>7009</v>
      </c>
      <c r="B357" s="460" t="s">
        <v>5697</v>
      </c>
      <c r="C357" s="4" t="s">
        <v>12184</v>
      </c>
      <c r="D357" s="463">
        <v>1406</v>
      </c>
      <c r="E357" s="463">
        <v>1423</v>
      </c>
      <c r="F357" s="463">
        <v>1381</v>
      </c>
      <c r="G357" s="30">
        <v>1389</v>
      </c>
      <c r="H357" s="30">
        <v>1364</v>
      </c>
      <c r="I357" s="30">
        <v>1361</v>
      </c>
      <c r="J357" s="30">
        <v>1346</v>
      </c>
      <c r="K357" s="30">
        <v>1365</v>
      </c>
      <c r="L357" s="30">
        <v>1338</v>
      </c>
      <c r="N357" s="460" t="s">
        <v>2383</v>
      </c>
      <c r="O357" s="934"/>
      <c r="Q357" s="4"/>
    </row>
    <row r="358" spans="1:17">
      <c r="A358" s="460" t="s">
        <v>7011</v>
      </c>
      <c r="B358" s="460" t="s">
        <v>5698</v>
      </c>
      <c r="C358" s="4" t="s">
        <v>12185</v>
      </c>
      <c r="D358" s="463">
        <v>1221</v>
      </c>
      <c r="E358" s="463">
        <v>1226</v>
      </c>
      <c r="F358" s="463">
        <v>1223</v>
      </c>
      <c r="G358" s="30">
        <v>1267</v>
      </c>
      <c r="H358" s="30">
        <v>1232</v>
      </c>
      <c r="I358" s="30">
        <v>1219</v>
      </c>
      <c r="J358" s="30">
        <v>1232</v>
      </c>
      <c r="K358" s="30">
        <v>1227</v>
      </c>
      <c r="L358" s="30">
        <v>1258</v>
      </c>
      <c r="N358" s="460" t="s">
        <v>2383</v>
      </c>
      <c r="O358" s="934"/>
      <c r="Q358" s="4"/>
    </row>
    <row r="359" spans="1:17">
      <c r="A359" s="460" t="s">
        <v>7013</v>
      </c>
      <c r="B359" s="460" t="s">
        <v>3968</v>
      </c>
      <c r="C359" s="4" t="s">
        <v>12186</v>
      </c>
      <c r="D359" s="463">
        <v>4491</v>
      </c>
      <c r="E359" s="463">
        <v>4504</v>
      </c>
      <c r="F359" s="463">
        <v>4486</v>
      </c>
      <c r="G359" s="30">
        <v>4483</v>
      </c>
      <c r="H359" s="30">
        <v>4419</v>
      </c>
      <c r="I359" s="30">
        <v>4399</v>
      </c>
      <c r="J359" s="30">
        <v>4361</v>
      </c>
      <c r="K359" s="30">
        <v>4428</v>
      </c>
      <c r="L359" s="30">
        <v>4406</v>
      </c>
      <c r="N359" s="460" t="s">
        <v>2383</v>
      </c>
      <c r="O359" s="934"/>
      <c r="Q359" s="4"/>
    </row>
    <row r="360" spans="1:17">
      <c r="A360" s="460" t="s">
        <v>7015</v>
      </c>
      <c r="B360" s="460" t="s">
        <v>3969</v>
      </c>
      <c r="C360" s="4" t="s">
        <v>12187</v>
      </c>
      <c r="D360" s="463">
        <v>1412</v>
      </c>
      <c r="E360" s="463">
        <v>1477</v>
      </c>
      <c r="F360" s="463">
        <v>1468</v>
      </c>
      <c r="G360" s="30">
        <v>1489</v>
      </c>
      <c r="H360" s="30">
        <v>1499</v>
      </c>
      <c r="I360" s="30">
        <v>1473</v>
      </c>
      <c r="J360" s="30">
        <v>1453</v>
      </c>
      <c r="K360" s="30">
        <v>1482</v>
      </c>
      <c r="L360" s="30">
        <v>1454</v>
      </c>
      <c r="N360" s="460" t="s">
        <v>2383</v>
      </c>
      <c r="O360" s="934"/>
      <c r="Q360" s="4"/>
    </row>
    <row r="361" spans="1:17">
      <c r="A361" s="460" t="s">
        <v>7017</v>
      </c>
      <c r="B361" s="460" t="s">
        <v>5694</v>
      </c>
      <c r="C361" s="4" t="s">
        <v>12188</v>
      </c>
      <c r="D361" s="463">
        <v>1523</v>
      </c>
      <c r="E361" s="463">
        <v>1582</v>
      </c>
      <c r="F361" s="463">
        <v>1603</v>
      </c>
      <c r="G361" s="31">
        <v>1593</v>
      </c>
      <c r="H361" s="31">
        <v>1605</v>
      </c>
      <c r="I361" s="31">
        <v>1593</v>
      </c>
      <c r="J361" s="31">
        <v>1538</v>
      </c>
      <c r="K361" s="31">
        <v>1588</v>
      </c>
      <c r="L361" s="31">
        <v>1586</v>
      </c>
      <c r="N361" s="460" t="s">
        <v>2383</v>
      </c>
      <c r="O361" s="941"/>
      <c r="Q361" s="4"/>
    </row>
    <row r="362" spans="1:17">
      <c r="A362" s="460" t="s">
        <v>7019</v>
      </c>
      <c r="B362" s="460" t="s">
        <v>5695</v>
      </c>
      <c r="C362" s="4" t="s">
        <v>12189</v>
      </c>
      <c r="D362" s="463">
        <v>1342</v>
      </c>
      <c r="E362" s="463">
        <v>1360</v>
      </c>
      <c r="F362" s="463">
        <v>1357</v>
      </c>
      <c r="G362" s="31">
        <v>1398</v>
      </c>
      <c r="H362" s="31">
        <v>1426</v>
      </c>
      <c r="I362" s="31">
        <v>1397</v>
      </c>
      <c r="J362" s="31">
        <v>1383</v>
      </c>
      <c r="K362" s="31">
        <v>1437</v>
      </c>
      <c r="L362" s="31">
        <v>1433</v>
      </c>
      <c r="N362" s="460" t="s">
        <v>2383</v>
      </c>
      <c r="O362" s="941"/>
      <c r="Q362" s="4"/>
    </row>
    <row r="363" spans="1:17">
      <c r="A363" s="460" t="s">
        <v>7021</v>
      </c>
      <c r="B363" s="460" t="s">
        <v>7543</v>
      </c>
      <c r="C363" s="4" t="s">
        <v>12190</v>
      </c>
      <c r="D363" s="463">
        <v>1352</v>
      </c>
      <c r="E363" s="463">
        <v>1385</v>
      </c>
      <c r="F363" s="463">
        <v>1376</v>
      </c>
      <c r="G363" s="31">
        <v>1368</v>
      </c>
      <c r="H363" s="31">
        <v>1375</v>
      </c>
      <c r="I363" s="31">
        <v>1372</v>
      </c>
      <c r="J363" s="31">
        <v>1339</v>
      </c>
      <c r="K363" s="31">
        <v>1358</v>
      </c>
      <c r="L363" s="31">
        <v>1389</v>
      </c>
      <c r="N363" s="460" t="s">
        <v>2383</v>
      </c>
      <c r="O363" s="941"/>
      <c r="Q363" s="4"/>
    </row>
    <row r="364" spans="1:17">
      <c r="A364" s="460" t="s">
        <v>7023</v>
      </c>
      <c r="B364" s="460" t="s">
        <v>7544</v>
      </c>
      <c r="C364" s="4" t="s">
        <v>12191</v>
      </c>
      <c r="D364" s="463">
        <v>4204</v>
      </c>
      <c r="E364" s="463">
        <v>4226</v>
      </c>
      <c r="F364" s="463">
        <v>4289</v>
      </c>
      <c r="G364" s="31">
        <v>4331</v>
      </c>
      <c r="H364" s="31">
        <v>4258</v>
      </c>
      <c r="I364" s="31">
        <v>4205</v>
      </c>
      <c r="J364" s="31">
        <v>4240</v>
      </c>
      <c r="K364" s="31">
        <v>4251</v>
      </c>
      <c r="L364" s="31">
        <v>4362</v>
      </c>
      <c r="N364" s="460" t="s">
        <v>2383</v>
      </c>
      <c r="O364" s="941"/>
      <c r="Q364" s="4"/>
    </row>
    <row r="365" spans="1:17">
      <c r="A365" s="460" t="s">
        <v>7025</v>
      </c>
      <c r="B365" s="460" t="s">
        <v>3955</v>
      </c>
      <c r="C365" s="4" t="s">
        <v>12192</v>
      </c>
      <c r="D365" s="463">
        <v>1401</v>
      </c>
      <c r="E365" s="463">
        <v>1411</v>
      </c>
      <c r="F365" s="463">
        <v>1408</v>
      </c>
      <c r="G365" s="31">
        <v>1436</v>
      </c>
      <c r="H365" s="31">
        <v>1465</v>
      </c>
      <c r="I365" s="31">
        <v>1486</v>
      </c>
      <c r="J365" s="31">
        <v>1498</v>
      </c>
      <c r="K365" s="31">
        <v>1543</v>
      </c>
      <c r="L365" s="31">
        <v>1564</v>
      </c>
      <c r="N365" s="460" t="s">
        <v>2383</v>
      </c>
      <c r="O365" s="941"/>
      <c r="Q365" s="4"/>
    </row>
    <row r="366" spans="1:17">
      <c r="A366" s="460" t="s">
        <v>7570</v>
      </c>
      <c r="B366" s="460" t="s">
        <v>3956</v>
      </c>
      <c r="C366" s="4" t="s">
        <v>12193</v>
      </c>
      <c r="D366" s="463">
        <v>1346</v>
      </c>
      <c r="E366" s="463">
        <v>1371</v>
      </c>
      <c r="F366" s="463">
        <v>1363</v>
      </c>
      <c r="G366" s="31">
        <v>1360</v>
      </c>
      <c r="H366" s="31">
        <v>1391</v>
      </c>
      <c r="I366" s="31">
        <v>1392</v>
      </c>
      <c r="J366" s="31">
        <v>1378</v>
      </c>
      <c r="K366" s="31">
        <v>1422</v>
      </c>
      <c r="L366" s="31">
        <v>1435</v>
      </c>
      <c r="N366" s="460" t="s">
        <v>2383</v>
      </c>
      <c r="O366" s="941"/>
      <c r="Q366" s="4"/>
    </row>
    <row r="367" spans="1:17">
      <c r="A367" s="460" t="s">
        <v>7572</v>
      </c>
      <c r="B367" s="460" t="s">
        <v>3957</v>
      </c>
      <c r="C367" s="4" t="s">
        <v>12194</v>
      </c>
      <c r="D367" s="463">
        <v>1802</v>
      </c>
      <c r="E367" s="463">
        <v>1828</v>
      </c>
      <c r="F367" s="463">
        <v>1834</v>
      </c>
      <c r="G367" s="31">
        <v>1895</v>
      </c>
      <c r="H367" s="31">
        <v>1873</v>
      </c>
      <c r="I367" s="31">
        <v>1807</v>
      </c>
      <c r="J367" s="31">
        <v>1813</v>
      </c>
      <c r="K367" s="31">
        <v>1843</v>
      </c>
      <c r="L367" s="31">
        <v>1913</v>
      </c>
      <c r="N367" s="460" t="s">
        <v>2383</v>
      </c>
      <c r="O367" s="941"/>
      <c r="Q367" s="4"/>
    </row>
    <row r="368" spans="1:17">
      <c r="A368" s="460" t="s">
        <v>7573</v>
      </c>
      <c r="B368" s="460" t="s">
        <v>3958</v>
      </c>
      <c r="C368" s="4" t="s">
        <v>12195</v>
      </c>
      <c r="D368" s="463">
        <v>1713</v>
      </c>
      <c r="E368" s="463">
        <v>1715</v>
      </c>
      <c r="F368" s="463">
        <v>1695</v>
      </c>
      <c r="G368" s="31">
        <v>1734</v>
      </c>
      <c r="H368" s="31">
        <v>1722</v>
      </c>
      <c r="I368" s="31">
        <v>1746</v>
      </c>
      <c r="J368" s="31">
        <v>1699</v>
      </c>
      <c r="K368" s="31">
        <v>1729</v>
      </c>
      <c r="L368" s="31">
        <v>1703</v>
      </c>
      <c r="N368" s="460" t="s">
        <v>2383</v>
      </c>
      <c r="O368" s="941"/>
      <c r="Q368" s="4"/>
    </row>
    <row r="369" spans="1:17">
      <c r="D369" s="469"/>
      <c r="E369" s="469"/>
      <c r="F369" s="469"/>
      <c r="G369" s="469"/>
      <c r="H369" s="469"/>
      <c r="I369" s="469"/>
      <c r="J369" s="469"/>
      <c r="K369" s="469"/>
      <c r="L369" s="469"/>
    </row>
    <row r="370" spans="1:17">
      <c r="A370" s="460" t="s">
        <v>3959</v>
      </c>
      <c r="D370" s="463">
        <f t="shared" ref="D370:I370" si="215">SUM(D346:D368)</f>
        <v>50482</v>
      </c>
      <c r="E370" s="463">
        <f t="shared" si="215"/>
        <v>50920</v>
      </c>
      <c r="F370" s="463">
        <f t="shared" si="215"/>
        <v>51235</v>
      </c>
      <c r="G370" s="463">
        <f t="shared" si="215"/>
        <v>51915</v>
      </c>
      <c r="H370" s="463">
        <f t="shared" si="215"/>
        <v>51695</v>
      </c>
      <c r="I370" s="463">
        <f t="shared" si="215"/>
        <v>51119</v>
      </c>
      <c r="J370" s="463">
        <f t="shared" ref="J370:K370" si="216">SUM(J346:J368)</f>
        <v>51061</v>
      </c>
      <c r="K370" s="463">
        <f t="shared" si="216"/>
        <v>52193</v>
      </c>
      <c r="L370" s="463">
        <f t="shared" ref="L370" si="217">SUM(L346:L368)</f>
        <v>52558</v>
      </c>
    </row>
    <row r="371" spans="1:17">
      <c r="A371" s="460"/>
      <c r="D371" s="463"/>
      <c r="E371" s="463"/>
      <c r="F371" s="463"/>
      <c r="G371" s="463"/>
      <c r="H371" s="463"/>
      <c r="I371" s="463"/>
      <c r="J371" s="463"/>
      <c r="K371" s="463"/>
      <c r="L371" s="463"/>
    </row>
    <row r="372" spans="1:17">
      <c r="A372" s="460" t="s">
        <v>3960</v>
      </c>
      <c r="D372" s="463"/>
      <c r="E372" s="463"/>
      <c r="F372" s="463"/>
      <c r="G372" s="463"/>
      <c r="H372" s="463"/>
      <c r="I372" s="463"/>
      <c r="J372" s="463"/>
      <c r="K372" s="463"/>
      <c r="L372" s="463"/>
    </row>
    <row r="373" spans="1:17">
      <c r="A373" s="460"/>
      <c r="B373" s="460"/>
      <c r="D373" s="467"/>
      <c r="E373" s="467"/>
      <c r="F373" s="467"/>
      <c r="G373" s="467"/>
      <c r="H373" s="467"/>
      <c r="I373" s="467"/>
      <c r="J373" s="467"/>
      <c r="K373" s="467"/>
      <c r="L373" s="467"/>
    </row>
    <row r="374" spans="1:17">
      <c r="A374" s="460"/>
      <c r="B374" s="460"/>
      <c r="D374" s="467"/>
      <c r="E374" s="467"/>
      <c r="F374" s="467"/>
      <c r="G374" s="467"/>
      <c r="H374" s="467"/>
      <c r="I374" s="467"/>
      <c r="J374" s="467"/>
      <c r="K374" s="467"/>
      <c r="L374" s="467"/>
    </row>
    <row r="375" spans="1:17">
      <c r="E375" s="42" t="s">
        <v>2303</v>
      </c>
      <c r="F375" s="42"/>
      <c r="G375" s="42"/>
      <c r="H375" s="42"/>
      <c r="I375" s="42"/>
      <c r="J375" s="42"/>
      <c r="K375" s="42"/>
      <c r="L375" s="42"/>
      <c r="M375" s="109"/>
      <c r="N375" s="109" t="s">
        <v>13319</v>
      </c>
    </row>
    <row r="376" spans="1:17">
      <c r="D376" s="110">
        <v>2010</v>
      </c>
      <c r="E376" s="110">
        <v>2011</v>
      </c>
      <c r="F376" s="110">
        <v>2012</v>
      </c>
      <c r="G376" s="110">
        <v>2013</v>
      </c>
      <c r="H376" s="110">
        <v>2014</v>
      </c>
      <c r="I376" s="110">
        <v>2015</v>
      </c>
      <c r="J376" s="110">
        <v>2016</v>
      </c>
      <c r="K376" s="110">
        <v>2017</v>
      </c>
      <c r="L376" s="110">
        <v>2018</v>
      </c>
      <c r="N376" s="112" t="s">
        <v>2304</v>
      </c>
    </row>
    <row r="377" spans="1:17">
      <c r="A377" s="460" t="s">
        <v>3961</v>
      </c>
      <c r="D377" s="463">
        <f t="shared" ref="D377:J377" si="218">SUM(D378:D380)+SUM(D382:D397)</f>
        <v>41693</v>
      </c>
      <c r="E377" s="463">
        <f t="shared" si="218"/>
        <v>42445</v>
      </c>
      <c r="F377" s="463">
        <f t="shared" si="218"/>
        <v>43199</v>
      </c>
      <c r="G377" s="463">
        <f t="shared" si="218"/>
        <v>43393</v>
      </c>
      <c r="H377" s="463">
        <f t="shared" si="218"/>
        <v>42875</v>
      </c>
      <c r="I377" s="463">
        <f t="shared" si="218"/>
        <v>42533</v>
      </c>
      <c r="J377" s="463">
        <f t="shared" si="218"/>
        <v>41773</v>
      </c>
      <c r="K377" s="463">
        <f t="shared" ref="K377:L377" si="219">SUM(K378:K380)+SUM(K382:K397)</f>
        <v>43140</v>
      </c>
      <c r="L377" s="463">
        <f t="shared" si="219"/>
        <v>43278</v>
      </c>
    </row>
    <row r="378" spans="1:17">
      <c r="A378" s="460" t="s">
        <v>6957</v>
      </c>
      <c r="B378" s="460" t="s">
        <v>3962</v>
      </c>
      <c r="C378" s="4" t="s">
        <v>14691</v>
      </c>
      <c r="D378" s="463">
        <v>26092</v>
      </c>
      <c r="E378" s="463">
        <v>26497</v>
      </c>
      <c r="F378" s="463">
        <v>26808</v>
      </c>
      <c r="G378" s="30">
        <v>26927</v>
      </c>
      <c r="H378" s="30">
        <v>26584</v>
      </c>
      <c r="I378" s="30">
        <v>26337</v>
      </c>
      <c r="J378" s="30">
        <v>2847</v>
      </c>
      <c r="K378" s="30">
        <v>2957</v>
      </c>
      <c r="L378" s="30">
        <v>2955</v>
      </c>
      <c r="N378" s="460" t="s">
        <v>2383</v>
      </c>
      <c r="O378" s="934"/>
      <c r="Q378" s="4"/>
    </row>
    <row r="379" spans="1:17">
      <c r="A379" s="460" t="s">
        <v>6959</v>
      </c>
      <c r="B379" s="460" t="s">
        <v>3963</v>
      </c>
      <c r="C379" s="4" t="s">
        <v>14692</v>
      </c>
      <c r="D379" s="463">
        <v>0</v>
      </c>
      <c r="E379" s="463">
        <v>0</v>
      </c>
      <c r="F379" s="463">
        <v>0</v>
      </c>
      <c r="G379" s="30">
        <v>0</v>
      </c>
      <c r="H379" s="30">
        <v>0</v>
      </c>
      <c r="I379" s="30">
        <v>0</v>
      </c>
      <c r="J379" s="30">
        <v>191</v>
      </c>
      <c r="K379" s="30">
        <v>203</v>
      </c>
      <c r="L379" s="30">
        <v>205</v>
      </c>
      <c r="N379" s="460" t="s">
        <v>2357</v>
      </c>
      <c r="O379" s="934"/>
      <c r="Q379" s="4"/>
    </row>
    <row r="380" spans="1:17" ht="15.75" thickBot="1">
      <c r="A380" s="460"/>
      <c r="B380" s="460"/>
      <c r="C380" s="4" t="s">
        <v>14692</v>
      </c>
      <c r="D380" s="464">
        <v>0</v>
      </c>
      <c r="E380" s="464">
        <v>0</v>
      </c>
      <c r="F380" s="464">
        <v>0</v>
      </c>
      <c r="G380" s="899">
        <v>0</v>
      </c>
      <c r="H380" s="899">
        <v>0</v>
      </c>
      <c r="I380" s="899">
        <v>0</v>
      </c>
      <c r="J380" s="30">
        <v>2274</v>
      </c>
      <c r="K380" s="30">
        <v>2395</v>
      </c>
      <c r="L380" s="30">
        <v>2380</v>
      </c>
      <c r="N380" s="460" t="s">
        <v>2383</v>
      </c>
      <c r="O380" s="934"/>
      <c r="Q380" s="4"/>
    </row>
    <row r="381" spans="1:17" ht="15.75" thickBot="1">
      <c r="A381" s="460"/>
      <c r="B381" s="460"/>
      <c r="C381" s="4" t="s">
        <v>14692</v>
      </c>
      <c r="D381" s="472">
        <f>D379+D380</f>
        <v>0</v>
      </c>
      <c r="E381" s="472">
        <f t="shared" ref="E381:L381" si="220">E379+E380</f>
        <v>0</v>
      </c>
      <c r="F381" s="472">
        <f t="shared" si="220"/>
        <v>0</v>
      </c>
      <c r="G381" s="472">
        <f t="shared" si="220"/>
        <v>0</v>
      </c>
      <c r="H381" s="472">
        <f t="shared" si="220"/>
        <v>0</v>
      </c>
      <c r="I381" s="472">
        <f t="shared" si="220"/>
        <v>0</v>
      </c>
      <c r="J381" s="472">
        <f t="shared" si="220"/>
        <v>2465</v>
      </c>
      <c r="K381" s="472">
        <f t="shared" si="220"/>
        <v>2598</v>
      </c>
      <c r="L381" s="472">
        <f t="shared" si="220"/>
        <v>2585</v>
      </c>
      <c r="N381" s="460"/>
      <c r="O381" s="934"/>
      <c r="Q381" s="4"/>
    </row>
    <row r="382" spans="1:17">
      <c r="A382" s="460" t="s">
        <v>6961</v>
      </c>
      <c r="B382" s="460" t="s">
        <v>3964</v>
      </c>
      <c r="C382" s="4" t="s">
        <v>14697</v>
      </c>
      <c r="D382" s="463">
        <v>0</v>
      </c>
      <c r="E382" s="463">
        <v>0</v>
      </c>
      <c r="F382" s="463">
        <v>0</v>
      </c>
      <c r="G382" s="30">
        <v>0</v>
      </c>
      <c r="H382" s="30">
        <v>0</v>
      </c>
      <c r="I382" s="30">
        <v>0</v>
      </c>
      <c r="J382" s="30">
        <v>2969</v>
      </c>
      <c r="K382" s="30">
        <v>3015</v>
      </c>
      <c r="L382" s="30">
        <v>3030</v>
      </c>
      <c r="N382" s="460" t="s">
        <v>2383</v>
      </c>
      <c r="O382" s="934"/>
      <c r="Q382" s="4"/>
    </row>
    <row r="383" spans="1:17">
      <c r="A383" s="460" t="s">
        <v>6963</v>
      </c>
      <c r="B383" s="460" t="s">
        <v>3965</v>
      </c>
      <c r="C383" s="4" t="s">
        <v>14698</v>
      </c>
      <c r="D383" s="463">
        <v>0</v>
      </c>
      <c r="E383" s="463">
        <v>0</v>
      </c>
      <c r="F383" s="463">
        <v>0</v>
      </c>
      <c r="G383" s="30">
        <v>0</v>
      </c>
      <c r="H383" s="30">
        <v>0</v>
      </c>
      <c r="I383" s="30">
        <v>0</v>
      </c>
      <c r="J383" s="30">
        <v>2866</v>
      </c>
      <c r="K383" s="30">
        <v>2937</v>
      </c>
      <c r="L383" s="30">
        <v>2940</v>
      </c>
      <c r="N383" s="460" t="s">
        <v>2383</v>
      </c>
      <c r="O383" s="934"/>
      <c r="Q383" s="4"/>
    </row>
    <row r="384" spans="1:17">
      <c r="A384" s="460" t="s">
        <v>6965</v>
      </c>
      <c r="B384" s="460" t="s">
        <v>3966</v>
      </c>
      <c r="C384" s="4" t="s">
        <v>14699</v>
      </c>
      <c r="D384" s="463">
        <v>15601</v>
      </c>
      <c r="E384" s="463">
        <v>15948</v>
      </c>
      <c r="F384" s="463">
        <v>16391</v>
      </c>
      <c r="G384" s="475">
        <v>16466</v>
      </c>
      <c r="H384" s="30">
        <v>16291</v>
      </c>
      <c r="I384" s="30">
        <v>16196</v>
      </c>
      <c r="J384" s="30">
        <v>1152</v>
      </c>
      <c r="K384" s="30">
        <v>1212</v>
      </c>
      <c r="L384" s="30">
        <v>1201</v>
      </c>
      <c r="N384" s="460" t="s">
        <v>2357</v>
      </c>
      <c r="O384" s="934"/>
      <c r="Q384" s="4"/>
    </row>
    <row r="385" spans="1:17">
      <c r="A385" s="460" t="s">
        <v>6997</v>
      </c>
      <c r="B385" s="460" t="s">
        <v>14693</v>
      </c>
      <c r="C385" s="4" t="s">
        <v>14700</v>
      </c>
      <c r="D385" s="463">
        <v>0</v>
      </c>
      <c r="E385" s="463">
        <v>0</v>
      </c>
      <c r="F385" s="463">
        <v>0</v>
      </c>
      <c r="G385" s="30">
        <v>0</v>
      </c>
      <c r="H385" s="30">
        <v>0</v>
      </c>
      <c r="I385" s="30">
        <v>0</v>
      </c>
      <c r="J385" s="30">
        <v>1363</v>
      </c>
      <c r="K385" s="30">
        <v>1407</v>
      </c>
      <c r="L385" s="30">
        <v>1394</v>
      </c>
      <c r="N385" s="460" t="s">
        <v>2383</v>
      </c>
      <c r="O385" s="934"/>
      <c r="Q385" s="4"/>
    </row>
    <row r="386" spans="1:17">
      <c r="A386" s="460" t="s">
        <v>6999</v>
      </c>
      <c r="B386" s="460" t="s">
        <v>3967</v>
      </c>
      <c r="C386" s="4" t="s">
        <v>14701</v>
      </c>
      <c r="D386" s="463">
        <v>0</v>
      </c>
      <c r="E386" s="463">
        <v>0</v>
      </c>
      <c r="F386" s="463">
        <v>0</v>
      </c>
      <c r="G386" s="30">
        <v>0</v>
      </c>
      <c r="H386" s="30">
        <v>0</v>
      </c>
      <c r="I386" s="30">
        <v>0</v>
      </c>
      <c r="J386" s="30">
        <v>1325</v>
      </c>
      <c r="K386" s="30">
        <v>1400</v>
      </c>
      <c r="L386" s="30">
        <v>1408</v>
      </c>
      <c r="N386" s="460" t="s">
        <v>2357</v>
      </c>
      <c r="O386" s="934"/>
      <c r="Q386" s="4"/>
    </row>
    <row r="387" spans="1:17">
      <c r="A387" s="460" t="s">
        <v>7001</v>
      </c>
      <c r="B387" s="460" t="s">
        <v>8410</v>
      </c>
      <c r="C387" s="4" t="s">
        <v>14702</v>
      </c>
      <c r="D387" s="463">
        <v>0</v>
      </c>
      <c r="E387" s="463">
        <v>0</v>
      </c>
      <c r="F387" s="463">
        <v>0</v>
      </c>
      <c r="G387" s="30">
        <v>0</v>
      </c>
      <c r="H387" s="30">
        <v>0</v>
      </c>
      <c r="I387" s="30">
        <v>0</v>
      </c>
      <c r="J387" s="30">
        <v>2968</v>
      </c>
      <c r="K387" s="30">
        <v>3052</v>
      </c>
      <c r="L387" s="30">
        <v>3119</v>
      </c>
      <c r="N387" s="460" t="s">
        <v>2357</v>
      </c>
      <c r="O387" s="934"/>
      <c r="Q387" s="4"/>
    </row>
    <row r="388" spans="1:17">
      <c r="A388" s="460" t="s">
        <v>7003</v>
      </c>
      <c r="B388" s="460" t="s">
        <v>8411</v>
      </c>
      <c r="C388" s="4" t="s">
        <v>14703</v>
      </c>
      <c r="D388" s="463">
        <v>0</v>
      </c>
      <c r="E388" s="463">
        <v>0</v>
      </c>
      <c r="F388" s="463">
        <v>0</v>
      </c>
      <c r="G388" s="30">
        <v>0</v>
      </c>
      <c r="H388" s="30">
        <v>0</v>
      </c>
      <c r="I388" s="30">
        <v>0</v>
      </c>
      <c r="J388" s="30">
        <v>2341</v>
      </c>
      <c r="K388" s="30">
        <v>2387</v>
      </c>
      <c r="L388" s="30">
        <v>2401</v>
      </c>
      <c r="N388" s="460" t="s">
        <v>2357</v>
      </c>
      <c r="O388" s="934"/>
      <c r="Q388" s="4"/>
    </row>
    <row r="389" spans="1:17">
      <c r="A389" s="460" t="s">
        <v>7005</v>
      </c>
      <c r="B389" s="460" t="s">
        <v>8412</v>
      </c>
      <c r="C389" s="4" t="s">
        <v>14704</v>
      </c>
      <c r="D389" s="463">
        <v>0</v>
      </c>
      <c r="E389" s="463">
        <v>0</v>
      </c>
      <c r="F389" s="463">
        <v>0</v>
      </c>
      <c r="G389" s="30">
        <v>0</v>
      </c>
      <c r="H389" s="30">
        <v>0</v>
      </c>
      <c r="I389" s="30">
        <v>0</v>
      </c>
      <c r="J389" s="30">
        <v>1305</v>
      </c>
      <c r="K389" s="30">
        <v>1358</v>
      </c>
      <c r="L389" s="30">
        <v>1323</v>
      </c>
      <c r="N389" s="460" t="s">
        <v>2383</v>
      </c>
      <c r="O389" s="934"/>
      <c r="Q389" s="4"/>
    </row>
    <row r="390" spans="1:17">
      <c r="A390" s="460" t="s">
        <v>7007</v>
      </c>
      <c r="B390" s="460" t="s">
        <v>8413</v>
      </c>
      <c r="C390" s="4" t="s">
        <v>14705</v>
      </c>
      <c r="D390" s="463">
        <v>0</v>
      </c>
      <c r="E390" s="463">
        <v>0</v>
      </c>
      <c r="F390" s="463">
        <v>0</v>
      </c>
      <c r="G390" s="30">
        <v>0</v>
      </c>
      <c r="H390" s="30">
        <v>0</v>
      </c>
      <c r="I390" s="30">
        <v>0</v>
      </c>
      <c r="J390" s="30">
        <v>1454</v>
      </c>
      <c r="K390" s="30">
        <v>1476</v>
      </c>
      <c r="L390" s="30">
        <v>1490</v>
      </c>
      <c r="N390" s="460" t="s">
        <v>2383</v>
      </c>
      <c r="O390" s="934"/>
      <c r="Q390" s="4"/>
    </row>
    <row r="391" spans="1:17">
      <c r="A391" s="460" t="s">
        <v>7009</v>
      </c>
      <c r="B391" s="460" t="s">
        <v>14694</v>
      </c>
      <c r="C391" s="4" t="s">
        <v>14706</v>
      </c>
      <c r="D391" s="463">
        <v>0</v>
      </c>
      <c r="E391" s="463">
        <v>0</v>
      </c>
      <c r="F391" s="463">
        <v>0</v>
      </c>
      <c r="G391" s="30">
        <v>0</v>
      </c>
      <c r="H391" s="30">
        <v>0</v>
      </c>
      <c r="I391" s="30">
        <v>0</v>
      </c>
      <c r="J391" s="30">
        <v>3642</v>
      </c>
      <c r="K391" s="30">
        <v>3896</v>
      </c>
      <c r="L391" s="30">
        <v>4002</v>
      </c>
      <c r="N391" s="460" t="s">
        <v>2357</v>
      </c>
      <c r="O391" s="941"/>
      <c r="Q391" s="4"/>
    </row>
    <row r="392" spans="1:17">
      <c r="A392" s="460" t="s">
        <v>7011</v>
      </c>
      <c r="B392" s="460" t="s">
        <v>14695</v>
      </c>
      <c r="C392" s="4" t="s">
        <v>14707</v>
      </c>
      <c r="D392" s="463">
        <v>0</v>
      </c>
      <c r="E392" s="463">
        <v>0</v>
      </c>
      <c r="F392" s="463">
        <v>0</v>
      </c>
      <c r="G392" s="30">
        <v>0</v>
      </c>
      <c r="H392" s="30">
        <v>0</v>
      </c>
      <c r="I392" s="30">
        <v>0</v>
      </c>
      <c r="J392" s="30">
        <v>2696</v>
      </c>
      <c r="K392" s="30">
        <v>2790</v>
      </c>
      <c r="L392" s="30">
        <v>2806</v>
      </c>
      <c r="N392" s="460" t="s">
        <v>2357</v>
      </c>
      <c r="O392" s="934"/>
      <c r="Q392" s="4"/>
    </row>
    <row r="393" spans="1:17">
      <c r="A393" s="460" t="s">
        <v>7013</v>
      </c>
      <c r="B393" s="460" t="s">
        <v>7549</v>
      </c>
      <c r="C393" s="4" t="s">
        <v>14708</v>
      </c>
      <c r="D393" s="463">
        <v>0</v>
      </c>
      <c r="E393" s="463">
        <v>0</v>
      </c>
      <c r="F393" s="463">
        <v>0</v>
      </c>
      <c r="G393" s="30">
        <v>0</v>
      </c>
      <c r="H393" s="30">
        <v>0</v>
      </c>
      <c r="I393" s="30">
        <v>0</v>
      </c>
      <c r="J393" s="30">
        <v>1515</v>
      </c>
      <c r="K393" s="30">
        <v>1583</v>
      </c>
      <c r="L393" s="30">
        <v>1582</v>
      </c>
      <c r="N393" s="460" t="s">
        <v>2357</v>
      </c>
      <c r="O393" s="934"/>
      <c r="Q393" s="4"/>
    </row>
    <row r="394" spans="1:17">
      <c r="A394" s="460" t="s">
        <v>7015</v>
      </c>
      <c r="B394" s="460" t="s">
        <v>5695</v>
      </c>
      <c r="C394" s="4" t="s">
        <v>14709</v>
      </c>
      <c r="D394" s="463">
        <v>0</v>
      </c>
      <c r="E394" s="463">
        <v>0</v>
      </c>
      <c r="F394" s="463">
        <v>0</v>
      </c>
      <c r="G394" s="30">
        <v>0</v>
      </c>
      <c r="H394" s="30">
        <v>0</v>
      </c>
      <c r="I394" s="30">
        <v>0</v>
      </c>
      <c r="J394" s="31">
        <v>1400</v>
      </c>
      <c r="K394" s="31">
        <v>1411</v>
      </c>
      <c r="L394" s="31">
        <v>1429</v>
      </c>
      <c r="N394" s="460" t="s">
        <v>2383</v>
      </c>
      <c r="O394" s="934"/>
      <c r="Q394" s="4"/>
    </row>
    <row r="395" spans="1:17">
      <c r="A395" s="460" t="s">
        <v>7017</v>
      </c>
      <c r="B395" s="460" t="s">
        <v>7550</v>
      </c>
      <c r="C395" s="4" t="s">
        <v>14710</v>
      </c>
      <c r="D395" s="463">
        <v>0</v>
      </c>
      <c r="E395" s="463">
        <v>0</v>
      </c>
      <c r="F395" s="463">
        <v>0</v>
      </c>
      <c r="G395" s="30">
        <v>0</v>
      </c>
      <c r="H395" s="30">
        <v>0</v>
      </c>
      <c r="I395" s="30">
        <v>0</v>
      </c>
      <c r="J395" s="31">
        <v>3696</v>
      </c>
      <c r="K395" s="31">
        <v>3712</v>
      </c>
      <c r="L395" s="31">
        <v>3699</v>
      </c>
      <c r="N395" s="460" t="s">
        <v>2383</v>
      </c>
      <c r="O395" s="934"/>
      <c r="Q395" s="4"/>
    </row>
    <row r="396" spans="1:17">
      <c r="A396" s="460" t="s">
        <v>7019</v>
      </c>
      <c r="B396" s="460" t="s">
        <v>14696</v>
      </c>
      <c r="C396" s="4" t="s">
        <v>14711</v>
      </c>
      <c r="D396" s="463">
        <v>0</v>
      </c>
      <c r="E396" s="463">
        <v>0</v>
      </c>
      <c r="F396" s="463">
        <v>0</v>
      </c>
      <c r="G396" s="30">
        <v>0</v>
      </c>
      <c r="H396" s="30">
        <v>0</v>
      </c>
      <c r="I396" s="30">
        <v>0</v>
      </c>
      <c r="J396" s="31">
        <v>2946</v>
      </c>
      <c r="K396" s="31">
        <v>3020</v>
      </c>
      <c r="L396" s="31">
        <v>2979</v>
      </c>
      <c r="N396" s="460" t="s">
        <v>2383</v>
      </c>
      <c r="O396" s="941"/>
      <c r="Q396" s="4"/>
    </row>
    <row r="397" spans="1:17">
      <c r="A397" s="460" t="s">
        <v>7021</v>
      </c>
      <c r="B397" s="460" t="s">
        <v>7551</v>
      </c>
      <c r="C397" s="4" t="s">
        <v>14712</v>
      </c>
      <c r="D397" s="463">
        <v>0</v>
      </c>
      <c r="E397" s="463">
        <v>0</v>
      </c>
      <c r="F397" s="463">
        <v>0</v>
      </c>
      <c r="G397" s="30">
        <v>0</v>
      </c>
      <c r="H397" s="30">
        <v>0</v>
      </c>
      <c r="I397" s="30">
        <v>0</v>
      </c>
      <c r="J397" s="31">
        <v>2823</v>
      </c>
      <c r="K397" s="31">
        <v>2929</v>
      </c>
      <c r="L397" s="31">
        <v>2935</v>
      </c>
      <c r="N397" s="460" t="s">
        <v>2383</v>
      </c>
      <c r="O397" s="941"/>
      <c r="Q397" s="4"/>
    </row>
    <row r="398" spans="1:17">
      <c r="D398" s="469"/>
      <c r="E398" s="469"/>
      <c r="F398" s="469"/>
      <c r="G398" s="469"/>
      <c r="H398" s="469"/>
      <c r="I398" s="469"/>
      <c r="J398" s="469"/>
      <c r="K398" s="469"/>
      <c r="L398" s="469"/>
    </row>
    <row r="399" spans="1:17">
      <c r="A399" s="460" t="s">
        <v>5550</v>
      </c>
      <c r="D399" s="463">
        <f>D379+D384+SUM(D386:D388)+SUM(D391:D393)</f>
        <v>15601</v>
      </c>
      <c r="E399" s="463">
        <f t="shared" ref="E399:J399" si="221">E379+E384+SUM(E386:E388)+SUM(E391:E393)</f>
        <v>15948</v>
      </c>
      <c r="F399" s="463">
        <f t="shared" si="221"/>
        <v>16391</v>
      </c>
      <c r="G399" s="463">
        <f t="shared" si="221"/>
        <v>16466</v>
      </c>
      <c r="H399" s="463">
        <f t="shared" si="221"/>
        <v>16291</v>
      </c>
      <c r="I399" s="463">
        <f t="shared" si="221"/>
        <v>16196</v>
      </c>
      <c r="J399" s="463">
        <f t="shared" si="221"/>
        <v>15830</v>
      </c>
      <c r="K399" s="463">
        <f t="shared" ref="K399:L399" si="222">K379+K384+SUM(K386:K388)+SUM(K391:K393)</f>
        <v>16523</v>
      </c>
      <c r="L399" s="463">
        <f t="shared" si="222"/>
        <v>16724</v>
      </c>
      <c r="M399" s="463"/>
    </row>
    <row r="400" spans="1:17">
      <c r="A400" s="460" t="s">
        <v>3959</v>
      </c>
      <c r="D400" s="463">
        <f t="shared" ref="D400:I400" si="223">D378+D380+D382+D383+D385+D389+D390+SUM(D394:D397)</f>
        <v>26092</v>
      </c>
      <c r="E400" s="463">
        <f t="shared" si="223"/>
        <v>26497</v>
      </c>
      <c r="F400" s="463">
        <f t="shared" si="223"/>
        <v>26808</v>
      </c>
      <c r="G400" s="463">
        <f t="shared" si="223"/>
        <v>26927</v>
      </c>
      <c r="H400" s="463">
        <f t="shared" si="223"/>
        <v>26584</v>
      </c>
      <c r="I400" s="463">
        <f t="shared" si="223"/>
        <v>26337</v>
      </c>
      <c r="J400" s="463">
        <f>J378+J380+J382+J383+J385+J389+J390+SUM(J394:J397)</f>
        <v>25943</v>
      </c>
      <c r="K400" s="463">
        <f>K378+K380+K382+K383+K385+K389+K390+SUM(K394:K397)</f>
        <v>26617</v>
      </c>
      <c r="L400" s="463">
        <f>L378+L380+L382+L383+L385+L389+L390+SUM(L394:L397)</f>
        <v>26554</v>
      </c>
      <c r="M400" s="463"/>
    </row>
    <row r="402" spans="1:1">
      <c r="A402" s="461" t="s">
        <v>14713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7" orientation="portrait" horizontalDpi="300" verticalDpi="300" r:id="rId1"/>
  <headerFooter alignWithMargins="0">
    <oddFooter>&amp;C&amp;"Times New Roman,Regular"&amp;8&amp;P of &amp;N</oddFooter>
  </headerFooter>
  <ignoredErrors>
    <ignoredError sqref="D370:K370 D345:E345 D72:K72 D309:K309 D268:K268 D239:K239 D103:K103 D203:K203 D336:E337 D94:F95 D120:F121 D229:F230 F342:F345 D3:F16 D145:L145 D165:F166 D128:K128 F336:F340 G345:K345 G336:G337 G94:G95 G165:G166 G229:G230 G120:G121 G3:G16 D17:F17 G17 D19:F20 G19:G20 D18:G18 D22:F65 G22:G65 D21:G21 H120:H121 H229:H230 H336:H337 H94:H95 H165:H166 H3:H16 H17:H65 I120:I121 I94:I95 I229:I230 I336:I337 D290:K290 D277:K277 D301:H302 I301:I302 I164:I166 I3:I65 D381:K381 D377:K377 D399:I399 J120:J121 J301:J302 J336:J337 J399 D400:J400 J94:J95 J229:J230 J165:J166 J3:J65 D185:K185 D189:K189 D193:K193 D195:J196 K165:K166 K195:K196 D174:K174 K229:K230 K301:K302 K336:K337 K399:K400 K94:K95 K120:K121 K3:K65 L3:L144 L146:L400" unlockedFormula="1"/>
    <ignoredError sqref="D96:K96" formulaRange="1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90"/>
  <sheetViews>
    <sheetView showGridLines="0" zoomScaleNormal="100" workbookViewId="0"/>
  </sheetViews>
  <sheetFormatPr defaultColWidth="12.5703125" defaultRowHeight="15"/>
  <cols>
    <col min="1" max="1" width="4.85546875" style="109" customWidth="1"/>
    <col min="2" max="2" width="40.7109375" style="109" customWidth="1"/>
    <col min="3" max="3" width="11.5703125" style="109" customWidth="1"/>
    <col min="4" max="12" width="10" style="109" customWidth="1"/>
    <col min="13" max="13" width="2.28515625" style="109" customWidth="1"/>
    <col min="14" max="14" width="31.28515625" style="109" customWidth="1"/>
    <col min="15" max="16384" width="12.5703125" style="109"/>
  </cols>
  <sheetData>
    <row r="1" spans="1:14">
      <c r="A1" s="112" t="s">
        <v>8847</v>
      </c>
      <c r="D1" s="110">
        <v>2010</v>
      </c>
      <c r="E1" s="110">
        <v>2011</v>
      </c>
      <c r="F1" s="110">
        <v>2012</v>
      </c>
      <c r="G1" s="110">
        <v>2013</v>
      </c>
      <c r="H1" s="110">
        <v>2014</v>
      </c>
      <c r="I1" s="110">
        <v>2015</v>
      </c>
      <c r="J1" s="110">
        <v>2016</v>
      </c>
      <c r="K1" s="110">
        <v>2017</v>
      </c>
      <c r="L1" s="110">
        <v>2018</v>
      </c>
    </row>
    <row r="3" spans="1:14">
      <c r="A3" s="112" t="s">
        <v>6851</v>
      </c>
      <c r="C3" s="112"/>
      <c r="D3" s="476">
        <f t="shared" ref="D3:I3" si="0">SUM(D8:D13)</f>
        <v>329978</v>
      </c>
      <c r="E3" s="476">
        <f t="shared" si="0"/>
        <v>329444</v>
      </c>
      <c r="F3" s="476">
        <f t="shared" si="0"/>
        <v>330935</v>
      </c>
      <c r="G3" s="476">
        <f t="shared" si="0"/>
        <v>332764</v>
      </c>
      <c r="H3" s="476">
        <f t="shared" si="0"/>
        <v>331278</v>
      </c>
      <c r="I3" s="476">
        <f t="shared" si="0"/>
        <v>325391</v>
      </c>
      <c r="J3" s="476">
        <f t="shared" ref="J3:K3" si="1">SUM(J8:J13)</f>
        <v>317022</v>
      </c>
      <c r="K3" s="476">
        <f t="shared" si="1"/>
        <v>329627</v>
      </c>
      <c r="L3" s="476">
        <f t="shared" ref="L3" si="2">SUM(L8:L13)</f>
        <v>330740</v>
      </c>
    </row>
    <row r="4" spans="1:14">
      <c r="A4" s="112" t="s">
        <v>6852</v>
      </c>
      <c r="C4" s="112"/>
      <c r="D4" s="476">
        <f t="shared" ref="D4:I4" si="3">D59</f>
        <v>129851</v>
      </c>
      <c r="E4" s="476">
        <f t="shared" si="3"/>
        <v>132811</v>
      </c>
      <c r="F4" s="476">
        <f t="shared" si="3"/>
        <v>133400</v>
      </c>
      <c r="G4" s="476">
        <f t="shared" si="3"/>
        <v>134338</v>
      </c>
      <c r="H4" s="476">
        <f t="shared" si="3"/>
        <v>131378</v>
      </c>
      <c r="I4" s="476">
        <f t="shared" si="3"/>
        <v>127870</v>
      </c>
      <c r="J4" s="476">
        <f t="shared" ref="J4:K4" si="4">J59</f>
        <v>130405</v>
      </c>
      <c r="K4" s="476">
        <f t="shared" si="4"/>
        <v>133080</v>
      </c>
      <c r="L4" s="476">
        <f t="shared" ref="L4" si="5">L59</f>
        <v>133306</v>
      </c>
    </row>
    <row r="5" spans="1:14" ht="15.75" thickBot="1">
      <c r="A5" s="112" t="s">
        <v>6853</v>
      </c>
      <c r="C5" s="112"/>
      <c r="D5" s="477">
        <f t="shared" ref="D5:I5" si="6">D87</f>
        <v>112819</v>
      </c>
      <c r="E5" s="477">
        <f t="shared" si="6"/>
        <v>113194</v>
      </c>
      <c r="F5" s="477">
        <f t="shared" si="6"/>
        <v>113654</v>
      </c>
      <c r="G5" s="477">
        <f t="shared" si="6"/>
        <v>113447</v>
      </c>
      <c r="H5" s="477">
        <f t="shared" si="6"/>
        <v>113788</v>
      </c>
      <c r="I5" s="477">
        <f t="shared" si="6"/>
        <v>111312</v>
      </c>
      <c r="J5" s="477">
        <f t="shared" ref="J5:K5" si="7">J87</f>
        <v>108333</v>
      </c>
      <c r="K5" s="477">
        <f t="shared" si="7"/>
        <v>111596</v>
      </c>
      <c r="L5" s="477">
        <f t="shared" ref="L5" si="8">L87</f>
        <v>112305</v>
      </c>
    </row>
    <row r="6" spans="1:14" ht="15.75" thickBot="1">
      <c r="D6" s="477">
        <f t="shared" ref="D6:I6" si="9">SUM(D3:D5)</f>
        <v>572648</v>
      </c>
      <c r="E6" s="477">
        <f t="shared" si="9"/>
        <v>575449</v>
      </c>
      <c r="F6" s="477">
        <f t="shared" si="9"/>
        <v>577989</v>
      </c>
      <c r="G6" s="477">
        <f t="shared" si="9"/>
        <v>580549</v>
      </c>
      <c r="H6" s="477">
        <f t="shared" si="9"/>
        <v>576444</v>
      </c>
      <c r="I6" s="477">
        <f t="shared" si="9"/>
        <v>564573</v>
      </c>
      <c r="J6" s="477">
        <f t="shared" ref="J6:K6" si="10">SUM(J3:J5)</f>
        <v>555760</v>
      </c>
      <c r="K6" s="477">
        <f t="shared" si="10"/>
        <v>574303</v>
      </c>
      <c r="L6" s="477">
        <f t="shared" ref="L6" si="11">SUM(L3:L5)</f>
        <v>576351</v>
      </c>
    </row>
    <row r="7" spans="1:14">
      <c r="D7" s="478"/>
      <c r="E7" s="478"/>
      <c r="F7" s="478"/>
      <c r="G7" s="478"/>
      <c r="H7" s="478"/>
      <c r="I7" s="478"/>
      <c r="J7" s="478"/>
      <c r="K7" s="478"/>
      <c r="L7" s="478"/>
    </row>
    <row r="8" spans="1:14">
      <c r="A8" s="112" t="s">
        <v>6854</v>
      </c>
      <c r="C8" s="112"/>
      <c r="D8" s="476">
        <f t="shared" ref="D8:I8" si="12">D120</f>
        <v>38491</v>
      </c>
      <c r="E8" s="476">
        <f t="shared" si="12"/>
        <v>38984</v>
      </c>
      <c r="F8" s="476">
        <f t="shared" si="12"/>
        <v>39050</v>
      </c>
      <c r="G8" s="476">
        <f t="shared" si="12"/>
        <v>39384</v>
      </c>
      <c r="H8" s="476">
        <f t="shared" si="12"/>
        <v>39867</v>
      </c>
      <c r="I8" s="476">
        <f t="shared" si="12"/>
        <v>38260</v>
      </c>
      <c r="J8" s="476">
        <f t="shared" ref="J8:K8" si="13">J120</f>
        <v>37903</v>
      </c>
      <c r="K8" s="476">
        <f t="shared" si="13"/>
        <v>38870</v>
      </c>
      <c r="L8" s="476">
        <f t="shared" ref="L8" si="14">L120</f>
        <v>39091</v>
      </c>
      <c r="N8" s="479"/>
    </row>
    <row r="9" spans="1:14">
      <c r="A9" s="112" t="s">
        <v>6855</v>
      </c>
      <c r="C9" s="112"/>
      <c r="D9" s="476">
        <f t="shared" ref="D9:I9" si="15">D140</f>
        <v>71197</v>
      </c>
      <c r="E9" s="476">
        <f t="shared" si="15"/>
        <v>70915</v>
      </c>
      <c r="F9" s="476">
        <f t="shared" si="15"/>
        <v>71494</v>
      </c>
      <c r="G9" s="476">
        <f t="shared" si="15"/>
        <v>72261</v>
      </c>
      <c r="H9" s="476">
        <f t="shared" si="15"/>
        <v>72499</v>
      </c>
      <c r="I9" s="476">
        <f t="shared" si="15"/>
        <v>70083</v>
      </c>
      <c r="J9" s="476">
        <f t="shared" ref="J9:K9" si="16">J140</f>
        <v>69860</v>
      </c>
      <c r="K9" s="476">
        <f t="shared" si="16"/>
        <v>71406</v>
      </c>
      <c r="L9" s="476">
        <f t="shared" ref="L9" si="17">L140</f>
        <v>71315</v>
      </c>
      <c r="N9" s="479"/>
    </row>
    <row r="10" spans="1:14">
      <c r="A10" s="112" t="s">
        <v>6856</v>
      </c>
      <c r="C10" s="112"/>
      <c r="D10" s="476">
        <f t="shared" ref="D10:I10" si="18">D175</f>
        <v>52528</v>
      </c>
      <c r="E10" s="476">
        <f t="shared" si="18"/>
        <v>51504</v>
      </c>
      <c r="F10" s="476">
        <f t="shared" si="18"/>
        <v>52221</v>
      </c>
      <c r="G10" s="476">
        <f t="shared" si="18"/>
        <v>52945</v>
      </c>
      <c r="H10" s="476">
        <f t="shared" si="18"/>
        <v>52511</v>
      </c>
      <c r="I10" s="476">
        <f t="shared" si="18"/>
        <v>51427</v>
      </c>
      <c r="J10" s="476">
        <f t="shared" ref="J10:K10" si="19">J175</f>
        <v>49331</v>
      </c>
      <c r="K10" s="476">
        <f t="shared" si="19"/>
        <v>52779</v>
      </c>
      <c r="L10" s="476">
        <f t="shared" ref="L10" si="20">L175</f>
        <v>53230</v>
      </c>
      <c r="N10" s="479"/>
    </row>
    <row r="11" spans="1:14">
      <c r="A11" s="112" t="s">
        <v>6857</v>
      </c>
      <c r="C11" s="112"/>
      <c r="D11" s="476">
        <f t="shared" ref="D11:I11" si="21">D203</f>
        <v>36739</v>
      </c>
      <c r="E11" s="476">
        <f t="shared" si="21"/>
        <v>36785</v>
      </c>
      <c r="F11" s="476">
        <f t="shared" si="21"/>
        <v>36403</v>
      </c>
      <c r="G11" s="476">
        <f t="shared" si="21"/>
        <v>36456</v>
      </c>
      <c r="H11" s="476">
        <f t="shared" si="21"/>
        <v>36006</v>
      </c>
      <c r="I11" s="476">
        <f t="shared" si="21"/>
        <v>35413</v>
      </c>
      <c r="J11" s="476">
        <f t="shared" ref="J11:K11" si="22">J203</f>
        <v>34691</v>
      </c>
      <c r="K11" s="476">
        <f t="shared" si="22"/>
        <v>36436</v>
      </c>
      <c r="L11" s="476">
        <f t="shared" ref="L11" si="23">L203</f>
        <v>35835</v>
      </c>
      <c r="N11" s="479"/>
    </row>
    <row r="12" spans="1:14">
      <c r="A12" s="112" t="s">
        <v>6858</v>
      </c>
      <c r="C12" s="112"/>
      <c r="D12" s="476">
        <f t="shared" ref="D12:I12" si="24">D233</f>
        <v>79929</v>
      </c>
      <c r="E12" s="476">
        <f t="shared" si="24"/>
        <v>79855</v>
      </c>
      <c r="F12" s="476">
        <f t="shared" si="24"/>
        <v>80478</v>
      </c>
      <c r="G12" s="476">
        <f t="shared" si="24"/>
        <v>80683</v>
      </c>
      <c r="H12" s="476">
        <f t="shared" si="24"/>
        <v>80743</v>
      </c>
      <c r="I12" s="476">
        <f t="shared" si="24"/>
        <v>80763</v>
      </c>
      <c r="J12" s="476">
        <f t="shared" ref="J12:K12" si="25">J233</f>
        <v>77712</v>
      </c>
      <c r="K12" s="476">
        <f t="shared" si="25"/>
        <v>80649</v>
      </c>
      <c r="L12" s="476">
        <f t="shared" ref="L12" si="26">L233</f>
        <v>81406</v>
      </c>
      <c r="N12" s="479"/>
    </row>
    <row r="13" spans="1:14">
      <c r="A13" s="112" t="s">
        <v>6859</v>
      </c>
      <c r="C13" s="112"/>
      <c r="D13" s="476">
        <f t="shared" ref="D13:I13" si="27">D271</f>
        <v>51094</v>
      </c>
      <c r="E13" s="476">
        <f t="shared" si="27"/>
        <v>51401</v>
      </c>
      <c r="F13" s="476">
        <f t="shared" si="27"/>
        <v>51289</v>
      </c>
      <c r="G13" s="476">
        <f t="shared" si="27"/>
        <v>51035</v>
      </c>
      <c r="H13" s="476">
        <f t="shared" si="27"/>
        <v>49652</v>
      </c>
      <c r="I13" s="476">
        <f t="shared" si="27"/>
        <v>49445</v>
      </c>
      <c r="J13" s="476">
        <f t="shared" ref="J13:K13" si="28">J271</f>
        <v>47525</v>
      </c>
      <c r="K13" s="476">
        <f t="shared" si="28"/>
        <v>49487</v>
      </c>
      <c r="L13" s="476">
        <f t="shared" ref="L13" si="29">L271</f>
        <v>49863</v>
      </c>
      <c r="N13" s="479"/>
    </row>
    <row r="15" spans="1:14">
      <c r="A15" s="112" t="s">
        <v>5055</v>
      </c>
      <c r="D15" s="476">
        <f t="shared" ref="D15:I15" si="30">D3/4</f>
        <v>82494.5</v>
      </c>
      <c r="E15" s="476">
        <f t="shared" si="30"/>
        <v>82361</v>
      </c>
      <c r="F15" s="476">
        <f t="shared" si="30"/>
        <v>82733.75</v>
      </c>
      <c r="G15" s="476">
        <f t="shared" si="30"/>
        <v>83191</v>
      </c>
      <c r="H15" s="476">
        <f t="shared" si="30"/>
        <v>82819.5</v>
      </c>
      <c r="I15" s="476">
        <f t="shared" si="30"/>
        <v>81347.75</v>
      </c>
      <c r="J15" s="476">
        <f t="shared" ref="J15:K15" si="31">J3/4</f>
        <v>79255.5</v>
      </c>
      <c r="K15" s="476">
        <f t="shared" si="31"/>
        <v>82406.75</v>
      </c>
      <c r="L15" s="476">
        <f t="shared" ref="L15" si="32">L3/4</f>
        <v>82685</v>
      </c>
    </row>
    <row r="16" spans="1:14">
      <c r="A16" s="112" t="s">
        <v>3380</v>
      </c>
      <c r="D16" s="476">
        <f t="shared" ref="D16:I17" si="33">D4/2</f>
        <v>64925.5</v>
      </c>
      <c r="E16" s="476">
        <f t="shared" si="33"/>
        <v>66405.5</v>
      </c>
      <c r="F16" s="476">
        <f t="shared" si="33"/>
        <v>66700</v>
      </c>
      <c r="G16" s="476">
        <f t="shared" si="33"/>
        <v>67169</v>
      </c>
      <c r="H16" s="476">
        <f t="shared" si="33"/>
        <v>65689</v>
      </c>
      <c r="I16" s="476">
        <f t="shared" si="33"/>
        <v>63935</v>
      </c>
      <c r="J16" s="476">
        <f t="shared" ref="J16:K16" si="34">J4/2</f>
        <v>65202.5</v>
      </c>
      <c r="K16" s="476">
        <f t="shared" si="34"/>
        <v>66540</v>
      </c>
      <c r="L16" s="476">
        <f t="shared" ref="L16" si="35">L4/2</f>
        <v>66653</v>
      </c>
    </row>
    <row r="17" spans="1:14">
      <c r="A17" s="112" t="s">
        <v>3381</v>
      </c>
      <c r="D17" s="476">
        <f t="shared" si="33"/>
        <v>56409.5</v>
      </c>
      <c r="E17" s="476">
        <f t="shared" si="33"/>
        <v>56597</v>
      </c>
      <c r="F17" s="476">
        <f t="shared" si="33"/>
        <v>56827</v>
      </c>
      <c r="G17" s="476">
        <f t="shared" si="33"/>
        <v>56723.5</v>
      </c>
      <c r="H17" s="476">
        <f t="shared" si="33"/>
        <v>56894</v>
      </c>
      <c r="I17" s="476">
        <f t="shared" si="33"/>
        <v>55656</v>
      </c>
      <c r="J17" s="476">
        <f t="shared" ref="J17:K17" si="36">J5/2</f>
        <v>54166.5</v>
      </c>
      <c r="K17" s="476">
        <f t="shared" si="36"/>
        <v>55798</v>
      </c>
      <c r="L17" s="476">
        <f t="shared" ref="L17" si="37">L5/2</f>
        <v>56152.5</v>
      </c>
    </row>
    <row r="18" spans="1:14">
      <c r="A18" s="112" t="s">
        <v>7689</v>
      </c>
      <c r="D18" s="476">
        <f t="shared" ref="D18:I18" si="38">D6/8</f>
        <v>71581</v>
      </c>
      <c r="E18" s="476">
        <f t="shared" si="38"/>
        <v>71931.125</v>
      </c>
      <c r="F18" s="476">
        <f t="shared" si="38"/>
        <v>72248.625</v>
      </c>
      <c r="G18" s="476">
        <f t="shared" si="38"/>
        <v>72568.625</v>
      </c>
      <c r="H18" s="476">
        <f t="shared" si="38"/>
        <v>72055.5</v>
      </c>
      <c r="I18" s="476">
        <f t="shared" si="38"/>
        <v>70571.625</v>
      </c>
      <c r="J18" s="476">
        <f t="shared" ref="J18:K18" si="39">J6/8</f>
        <v>69470</v>
      </c>
      <c r="K18" s="476">
        <f t="shared" si="39"/>
        <v>71787.875</v>
      </c>
      <c r="L18" s="476">
        <f t="shared" ref="L18" si="40">L6/8</f>
        <v>72043.875</v>
      </c>
    </row>
    <row r="19" spans="1:14">
      <c r="D19" s="478"/>
      <c r="E19" s="478"/>
      <c r="F19" s="478"/>
      <c r="G19" s="478"/>
      <c r="H19" s="478"/>
      <c r="I19" s="478"/>
      <c r="J19" s="478"/>
      <c r="K19" s="478"/>
      <c r="L19" s="478"/>
    </row>
    <row r="20" spans="1:14">
      <c r="A20" s="112" t="s">
        <v>3382</v>
      </c>
      <c r="D20" s="476">
        <f t="shared" ref="D20:I20" si="41">D79</f>
        <v>71886</v>
      </c>
      <c r="E20" s="476">
        <f t="shared" si="41"/>
        <v>72961</v>
      </c>
      <c r="F20" s="476">
        <f t="shared" si="41"/>
        <v>73106</v>
      </c>
      <c r="G20" s="476">
        <f t="shared" si="41"/>
        <v>74212</v>
      </c>
      <c r="H20" s="476">
        <f t="shared" si="41"/>
        <v>72386</v>
      </c>
      <c r="I20" s="476">
        <f t="shared" si="41"/>
        <v>71411</v>
      </c>
      <c r="J20" s="476">
        <f t="shared" ref="J20:K20" si="42">J79</f>
        <v>71748</v>
      </c>
      <c r="K20" s="476">
        <f t="shared" si="42"/>
        <v>73835</v>
      </c>
      <c r="L20" s="476">
        <f t="shared" ref="L20" si="43">L79</f>
        <v>73805</v>
      </c>
      <c r="N20" s="112" t="s">
        <v>3383</v>
      </c>
    </row>
    <row r="21" spans="1:14">
      <c r="D21" s="478"/>
      <c r="E21" s="478"/>
      <c r="F21" s="478"/>
      <c r="G21" s="478"/>
      <c r="H21" s="478"/>
      <c r="I21" s="478"/>
      <c r="J21" s="478"/>
      <c r="K21" s="478"/>
      <c r="L21" s="478"/>
    </row>
    <row r="22" spans="1:14">
      <c r="A22" s="112" t="s">
        <v>3384</v>
      </c>
      <c r="D22" s="476">
        <f t="shared" ref="D22:I22" si="44">D80</f>
        <v>57965</v>
      </c>
      <c r="E22" s="476">
        <f t="shared" si="44"/>
        <v>59850</v>
      </c>
      <c r="F22" s="476">
        <f t="shared" si="44"/>
        <v>60294</v>
      </c>
      <c r="G22" s="476">
        <f t="shared" si="44"/>
        <v>60126</v>
      </c>
      <c r="H22" s="476">
        <f t="shared" si="44"/>
        <v>58992</v>
      </c>
      <c r="I22" s="476">
        <f t="shared" si="44"/>
        <v>56459</v>
      </c>
      <c r="J22" s="476">
        <f t="shared" ref="J22:K22" si="45">J80</f>
        <v>58657</v>
      </c>
      <c r="K22" s="476">
        <f t="shared" si="45"/>
        <v>59245</v>
      </c>
      <c r="L22" s="476">
        <f t="shared" ref="L22" si="46">L80</f>
        <v>59501</v>
      </c>
      <c r="N22" s="112" t="s">
        <v>3383</v>
      </c>
    </row>
    <row r="23" spans="1:14" ht="15.75" thickBot="1">
      <c r="A23" s="112"/>
      <c r="D23" s="477">
        <f t="shared" ref="D23:I23" si="47">D111</f>
        <v>12948</v>
      </c>
      <c r="E23" s="477">
        <f t="shared" si="47"/>
        <v>12864</v>
      </c>
      <c r="F23" s="477">
        <f t="shared" si="47"/>
        <v>12887</v>
      </c>
      <c r="G23" s="477">
        <f t="shared" si="47"/>
        <v>13033</v>
      </c>
      <c r="H23" s="477">
        <f t="shared" si="47"/>
        <v>13100</v>
      </c>
      <c r="I23" s="477">
        <f t="shared" si="47"/>
        <v>12682</v>
      </c>
      <c r="J23" s="477">
        <f t="shared" ref="J23:K23" si="48">J111</f>
        <v>12342</v>
      </c>
      <c r="K23" s="477">
        <f t="shared" si="48"/>
        <v>12734</v>
      </c>
      <c r="L23" s="477">
        <f t="shared" ref="L23" si="49">L111</f>
        <v>12419</v>
      </c>
      <c r="N23" s="112" t="s">
        <v>3385</v>
      </c>
    </row>
    <row r="24" spans="1:14" ht="15.75" thickBot="1">
      <c r="A24" s="112"/>
      <c r="D24" s="477">
        <f t="shared" ref="D24:I24" si="50">D22+D23</f>
        <v>70913</v>
      </c>
      <c r="E24" s="477">
        <f t="shared" si="50"/>
        <v>72714</v>
      </c>
      <c r="F24" s="477">
        <f t="shared" si="50"/>
        <v>73181</v>
      </c>
      <c r="G24" s="477">
        <f t="shared" si="50"/>
        <v>73159</v>
      </c>
      <c r="H24" s="477">
        <f t="shared" si="50"/>
        <v>72092</v>
      </c>
      <c r="I24" s="477">
        <f t="shared" si="50"/>
        <v>69141</v>
      </c>
      <c r="J24" s="477">
        <f t="shared" ref="J24:K24" si="51">J22+J23</f>
        <v>70999</v>
      </c>
      <c r="K24" s="477">
        <f t="shared" si="51"/>
        <v>71979</v>
      </c>
      <c r="L24" s="477">
        <f t="shared" ref="L24" si="52">L22+L23</f>
        <v>71920</v>
      </c>
      <c r="N24" s="112"/>
    </row>
    <row r="25" spans="1:14">
      <c r="D25" s="478"/>
      <c r="E25" s="478"/>
      <c r="F25" s="478"/>
      <c r="G25" s="478"/>
      <c r="H25" s="478"/>
      <c r="I25" s="478"/>
      <c r="J25" s="478"/>
      <c r="K25" s="478"/>
      <c r="L25" s="478"/>
    </row>
    <row r="26" spans="1:14">
      <c r="A26" s="112" t="s">
        <v>6902</v>
      </c>
      <c r="D26" s="476">
        <f t="shared" ref="D26:I26" si="53">D133</f>
        <v>38491</v>
      </c>
      <c r="E26" s="476">
        <f t="shared" si="53"/>
        <v>38984</v>
      </c>
      <c r="F26" s="476">
        <f t="shared" si="53"/>
        <v>39050</v>
      </c>
      <c r="G26" s="476">
        <f t="shared" si="53"/>
        <v>39384</v>
      </c>
      <c r="H26" s="476">
        <f t="shared" si="53"/>
        <v>39867</v>
      </c>
      <c r="I26" s="476">
        <f t="shared" si="53"/>
        <v>38260</v>
      </c>
      <c r="J26" s="476">
        <f t="shared" ref="J26:K26" si="54">J133</f>
        <v>37903</v>
      </c>
      <c r="K26" s="476">
        <f t="shared" si="54"/>
        <v>38870</v>
      </c>
      <c r="L26" s="476">
        <f t="shared" ref="L26" si="55">L133</f>
        <v>39091</v>
      </c>
      <c r="N26" s="112" t="s">
        <v>6903</v>
      </c>
    </row>
    <row r="27" spans="1:14" ht="15.75" thickBot="1">
      <c r="D27" s="477">
        <f t="shared" ref="D27:I27" si="56">D166</f>
        <v>30192</v>
      </c>
      <c r="E27" s="477">
        <f t="shared" si="56"/>
        <v>30024</v>
      </c>
      <c r="F27" s="477">
        <f t="shared" si="56"/>
        <v>30326</v>
      </c>
      <c r="G27" s="477">
        <f t="shared" si="56"/>
        <v>30732</v>
      </c>
      <c r="H27" s="477">
        <f t="shared" si="56"/>
        <v>30865</v>
      </c>
      <c r="I27" s="477">
        <f t="shared" si="56"/>
        <v>29842</v>
      </c>
      <c r="J27" s="477">
        <f t="shared" ref="J27:K27" si="57">J166</f>
        <v>29697</v>
      </c>
      <c r="K27" s="477">
        <f t="shared" si="57"/>
        <v>30494</v>
      </c>
      <c r="L27" s="477">
        <f t="shared" ref="L27" si="58">L166</f>
        <v>30486</v>
      </c>
      <c r="N27" s="112" t="s">
        <v>6904</v>
      </c>
    </row>
    <row r="28" spans="1:14" ht="15.75" thickBot="1">
      <c r="D28" s="477">
        <f t="shared" ref="D28:I28" si="59">D26+D27</f>
        <v>68683</v>
      </c>
      <c r="E28" s="477">
        <f t="shared" si="59"/>
        <v>69008</v>
      </c>
      <c r="F28" s="477">
        <f t="shared" si="59"/>
        <v>69376</v>
      </c>
      <c r="G28" s="477">
        <f t="shared" si="59"/>
        <v>70116</v>
      </c>
      <c r="H28" s="477">
        <f t="shared" si="59"/>
        <v>70732</v>
      </c>
      <c r="I28" s="477">
        <f t="shared" si="59"/>
        <v>68102</v>
      </c>
      <c r="J28" s="477">
        <f t="shared" ref="J28:K28" si="60">J26+J27</f>
        <v>67600</v>
      </c>
      <c r="K28" s="477">
        <f t="shared" si="60"/>
        <v>69364</v>
      </c>
      <c r="L28" s="477">
        <f t="shared" ref="L28" si="61">L26+L27</f>
        <v>69577</v>
      </c>
    </row>
    <row r="29" spans="1:14">
      <c r="D29" s="478"/>
      <c r="E29" s="478"/>
      <c r="F29" s="478"/>
      <c r="G29" s="478"/>
      <c r="H29" s="478"/>
      <c r="I29" s="478"/>
      <c r="J29" s="478"/>
      <c r="K29" s="478"/>
      <c r="L29" s="478"/>
    </row>
    <row r="30" spans="1:14">
      <c r="A30" s="112" t="s">
        <v>6905</v>
      </c>
      <c r="D30" s="476">
        <f t="shared" ref="D30:I30" si="62">D167</f>
        <v>19502</v>
      </c>
      <c r="E30" s="476">
        <f t="shared" si="62"/>
        <v>19385</v>
      </c>
      <c r="F30" s="476">
        <f t="shared" si="62"/>
        <v>19454</v>
      </c>
      <c r="G30" s="476">
        <f t="shared" si="62"/>
        <v>19611</v>
      </c>
      <c r="H30" s="476">
        <f t="shared" si="62"/>
        <v>19668</v>
      </c>
      <c r="I30" s="476">
        <f t="shared" si="62"/>
        <v>19077</v>
      </c>
      <c r="J30" s="476">
        <f t="shared" ref="J30:K30" si="63">J167</f>
        <v>19054</v>
      </c>
      <c r="K30" s="476">
        <f t="shared" si="63"/>
        <v>19396</v>
      </c>
      <c r="L30" s="476">
        <f t="shared" ref="L30" si="64">L167</f>
        <v>19372</v>
      </c>
      <c r="N30" s="112" t="s">
        <v>6904</v>
      </c>
    </row>
    <row r="31" spans="1:14">
      <c r="D31" s="476">
        <f t="shared" ref="D31:I31" si="65">D112</f>
        <v>27557</v>
      </c>
      <c r="E31" s="476">
        <f t="shared" si="65"/>
        <v>27557</v>
      </c>
      <c r="F31" s="476">
        <f t="shared" si="65"/>
        <v>27637</v>
      </c>
      <c r="G31" s="476">
        <f t="shared" si="65"/>
        <v>27481</v>
      </c>
      <c r="H31" s="476">
        <f t="shared" si="65"/>
        <v>27483</v>
      </c>
      <c r="I31" s="476">
        <f t="shared" si="65"/>
        <v>27161</v>
      </c>
      <c r="J31" s="476">
        <f t="shared" ref="J31:K31" si="66">J112</f>
        <v>26355</v>
      </c>
      <c r="K31" s="476">
        <f t="shared" si="66"/>
        <v>26977</v>
      </c>
      <c r="L31" s="476">
        <f t="shared" ref="L31" si="67">L112</f>
        <v>27221</v>
      </c>
      <c r="N31" s="112" t="s">
        <v>3385</v>
      </c>
    </row>
    <row r="32" spans="1:14" ht="15.75" thickBot="1">
      <c r="D32" s="477">
        <f t="shared" ref="D32:I32" si="68">D224</f>
        <v>17717</v>
      </c>
      <c r="E32" s="477">
        <f t="shared" si="68"/>
        <v>17763</v>
      </c>
      <c r="F32" s="477">
        <f t="shared" si="68"/>
        <v>17677</v>
      </c>
      <c r="G32" s="477">
        <f t="shared" si="68"/>
        <v>17663</v>
      </c>
      <c r="H32" s="477">
        <f t="shared" si="68"/>
        <v>17665</v>
      </c>
      <c r="I32" s="477">
        <f t="shared" si="68"/>
        <v>17511</v>
      </c>
      <c r="J32" s="477">
        <f t="shared" ref="J32:K32" si="69">J224</f>
        <v>17094</v>
      </c>
      <c r="K32" s="477">
        <f t="shared" si="69"/>
        <v>17943</v>
      </c>
      <c r="L32" s="477">
        <f t="shared" ref="L32" si="70">L224</f>
        <v>17684</v>
      </c>
      <c r="N32" s="112" t="s">
        <v>6906</v>
      </c>
    </row>
    <row r="33" spans="1:14" ht="15.75" thickBot="1">
      <c r="D33" s="477">
        <f t="shared" ref="D33:I33" si="71">SUM(D30:D32)</f>
        <v>64776</v>
      </c>
      <c r="E33" s="477">
        <f t="shared" si="71"/>
        <v>64705</v>
      </c>
      <c r="F33" s="477">
        <f t="shared" si="71"/>
        <v>64768</v>
      </c>
      <c r="G33" s="477">
        <f t="shared" si="71"/>
        <v>64755</v>
      </c>
      <c r="H33" s="477">
        <f t="shared" si="71"/>
        <v>64816</v>
      </c>
      <c r="I33" s="477">
        <f t="shared" si="71"/>
        <v>63749</v>
      </c>
      <c r="J33" s="477">
        <f t="shared" ref="J33:K33" si="72">SUM(J30:J32)</f>
        <v>62503</v>
      </c>
      <c r="K33" s="477">
        <f t="shared" si="72"/>
        <v>64316</v>
      </c>
      <c r="L33" s="477">
        <f t="shared" ref="L33" si="73">SUM(L30:L32)</f>
        <v>64277</v>
      </c>
    </row>
    <row r="34" spans="1:14">
      <c r="D34" s="478"/>
      <c r="E34" s="478"/>
      <c r="F34" s="478"/>
      <c r="G34" s="478"/>
      <c r="H34" s="478"/>
      <c r="I34" s="478"/>
      <c r="J34" s="478"/>
      <c r="K34" s="478"/>
      <c r="L34" s="478"/>
    </row>
    <row r="35" spans="1:14">
      <c r="A35" s="112" t="s">
        <v>6907</v>
      </c>
      <c r="D35" s="476">
        <f t="shared" ref="D35:I35" si="74">D168</f>
        <v>21503</v>
      </c>
      <c r="E35" s="476">
        <f t="shared" si="74"/>
        <v>21506</v>
      </c>
      <c r="F35" s="476">
        <f t="shared" si="74"/>
        <v>21714</v>
      </c>
      <c r="G35" s="476">
        <f t="shared" si="74"/>
        <v>21918</v>
      </c>
      <c r="H35" s="476">
        <f t="shared" si="74"/>
        <v>21966</v>
      </c>
      <c r="I35" s="476">
        <f t="shared" si="74"/>
        <v>21164</v>
      </c>
      <c r="J35" s="476">
        <f t="shared" ref="J35:K35" si="75">J168</f>
        <v>21109</v>
      </c>
      <c r="K35" s="476">
        <f t="shared" si="75"/>
        <v>21516</v>
      </c>
      <c r="L35" s="476">
        <f t="shared" ref="L35" si="76">L168</f>
        <v>21457</v>
      </c>
      <c r="N35" s="112" t="s">
        <v>6904</v>
      </c>
    </row>
    <row r="36" spans="1:14" ht="15.75" thickBot="1">
      <c r="D36" s="477">
        <f t="shared" ref="D36:I36" si="77">D196</f>
        <v>52528</v>
      </c>
      <c r="E36" s="477">
        <f t="shared" si="77"/>
        <v>51504</v>
      </c>
      <c r="F36" s="477">
        <f t="shared" si="77"/>
        <v>52221</v>
      </c>
      <c r="G36" s="477">
        <f t="shared" si="77"/>
        <v>52945</v>
      </c>
      <c r="H36" s="477">
        <f t="shared" si="77"/>
        <v>52511</v>
      </c>
      <c r="I36" s="477">
        <f t="shared" si="77"/>
        <v>51427</v>
      </c>
      <c r="J36" s="477">
        <f t="shared" ref="J36:K36" si="78">J196</f>
        <v>49331</v>
      </c>
      <c r="K36" s="477">
        <f t="shared" si="78"/>
        <v>52779</v>
      </c>
      <c r="L36" s="477">
        <f t="shared" ref="L36" si="79">L196</f>
        <v>53230</v>
      </c>
      <c r="N36" s="112" t="s">
        <v>8631</v>
      </c>
    </row>
    <row r="37" spans="1:14" ht="15.75" thickBot="1">
      <c r="D37" s="477">
        <f t="shared" ref="D37:I37" si="80">D35+D36</f>
        <v>74031</v>
      </c>
      <c r="E37" s="477">
        <f t="shared" si="80"/>
        <v>73010</v>
      </c>
      <c r="F37" s="477">
        <f t="shared" si="80"/>
        <v>73935</v>
      </c>
      <c r="G37" s="477">
        <f t="shared" si="80"/>
        <v>74863</v>
      </c>
      <c r="H37" s="477">
        <f t="shared" si="80"/>
        <v>74477</v>
      </c>
      <c r="I37" s="477">
        <f t="shared" si="80"/>
        <v>72591</v>
      </c>
      <c r="J37" s="477">
        <f t="shared" ref="J37:K37" si="81">J35+J36</f>
        <v>70440</v>
      </c>
      <c r="K37" s="477">
        <f t="shared" si="81"/>
        <v>74295</v>
      </c>
      <c r="L37" s="477">
        <f t="shared" ref="L37" si="82">L35+L36</f>
        <v>74687</v>
      </c>
    </row>
    <row r="38" spans="1:14">
      <c r="D38" s="478"/>
      <c r="E38" s="478"/>
      <c r="F38" s="478"/>
      <c r="G38" s="478"/>
      <c r="H38" s="478"/>
      <c r="I38" s="478"/>
      <c r="J38" s="478"/>
      <c r="K38" s="478"/>
      <c r="L38" s="478"/>
    </row>
    <row r="39" spans="1:14">
      <c r="A39" s="112" t="s">
        <v>6908</v>
      </c>
      <c r="D39" s="476">
        <f t="shared" ref="D39:I39" si="83">D113</f>
        <v>72314</v>
      </c>
      <c r="E39" s="476">
        <f t="shared" si="83"/>
        <v>72773</v>
      </c>
      <c r="F39" s="476">
        <f t="shared" si="83"/>
        <v>73130</v>
      </c>
      <c r="G39" s="476">
        <f t="shared" si="83"/>
        <v>72933</v>
      </c>
      <c r="H39" s="476">
        <f t="shared" si="83"/>
        <v>73205</v>
      </c>
      <c r="I39" s="476">
        <f t="shared" si="83"/>
        <v>71469</v>
      </c>
      <c r="J39" s="476">
        <f t="shared" ref="J39:K39" si="84">J113</f>
        <v>69636</v>
      </c>
      <c r="K39" s="476">
        <f t="shared" si="84"/>
        <v>71885</v>
      </c>
      <c r="L39" s="476">
        <f t="shared" ref="L39" si="85">L113</f>
        <v>72665</v>
      </c>
      <c r="N39" s="112" t="s">
        <v>3385</v>
      </c>
    </row>
    <row r="40" spans="1:14">
      <c r="D40" s="478"/>
      <c r="E40" s="478"/>
      <c r="F40" s="478"/>
      <c r="G40" s="478"/>
      <c r="H40" s="478"/>
      <c r="I40" s="478"/>
      <c r="J40" s="478"/>
      <c r="K40" s="478"/>
      <c r="L40" s="478"/>
    </row>
    <row r="41" spans="1:14">
      <c r="A41" s="112" t="s">
        <v>5106</v>
      </c>
      <c r="D41" s="476">
        <f t="shared" ref="D41:I41" si="86">D225</f>
        <v>19022</v>
      </c>
      <c r="E41" s="476">
        <f t="shared" si="86"/>
        <v>19022</v>
      </c>
      <c r="F41" s="476">
        <f t="shared" si="86"/>
        <v>18726</v>
      </c>
      <c r="G41" s="476">
        <f t="shared" si="86"/>
        <v>18793</v>
      </c>
      <c r="H41" s="476">
        <f t="shared" si="86"/>
        <v>18341</v>
      </c>
      <c r="I41" s="476">
        <f t="shared" si="86"/>
        <v>17902</v>
      </c>
      <c r="J41" s="476">
        <f t="shared" ref="J41:K41" si="87">J225</f>
        <v>17597</v>
      </c>
      <c r="K41" s="476">
        <f t="shared" si="87"/>
        <v>18493</v>
      </c>
      <c r="L41" s="476">
        <f t="shared" ref="L41" si="88">L225</f>
        <v>18151</v>
      </c>
      <c r="N41" s="112" t="s">
        <v>6906</v>
      </c>
    </row>
    <row r="42" spans="1:14">
      <c r="D42" s="476">
        <f t="shared" ref="D42:I42" si="89">D263</f>
        <v>3052</v>
      </c>
      <c r="E42" s="476">
        <f t="shared" si="89"/>
        <v>3076</v>
      </c>
      <c r="F42" s="476">
        <f t="shared" si="89"/>
        <v>3086</v>
      </c>
      <c r="G42" s="476">
        <f t="shared" si="89"/>
        <v>3087</v>
      </c>
      <c r="H42" s="476">
        <f t="shared" si="89"/>
        <v>3165</v>
      </c>
      <c r="I42" s="476">
        <f t="shared" si="89"/>
        <v>3139</v>
      </c>
      <c r="J42" s="476">
        <f t="shared" ref="J42:K42" si="90">J263</f>
        <v>3089</v>
      </c>
      <c r="K42" s="476">
        <f t="shared" si="90"/>
        <v>3175</v>
      </c>
      <c r="L42" s="476">
        <f t="shared" ref="L42" si="91">L263</f>
        <v>3210</v>
      </c>
      <c r="N42" s="112" t="s">
        <v>5107</v>
      </c>
    </row>
    <row r="43" spans="1:14" ht="15.75" thickBot="1">
      <c r="D43" s="477">
        <f t="shared" ref="D43:I43" si="92">D288</f>
        <v>51094</v>
      </c>
      <c r="E43" s="477">
        <f t="shared" si="92"/>
        <v>51401</v>
      </c>
      <c r="F43" s="477">
        <f t="shared" si="92"/>
        <v>51289</v>
      </c>
      <c r="G43" s="477">
        <f t="shared" si="92"/>
        <v>51035</v>
      </c>
      <c r="H43" s="477">
        <f t="shared" si="92"/>
        <v>49652</v>
      </c>
      <c r="I43" s="477">
        <f t="shared" si="92"/>
        <v>49445</v>
      </c>
      <c r="J43" s="477">
        <f t="shared" ref="J43:K43" si="93">J288</f>
        <v>47525</v>
      </c>
      <c r="K43" s="477">
        <f t="shared" si="93"/>
        <v>49487</v>
      </c>
      <c r="L43" s="477">
        <f t="shared" ref="L43" si="94">L288</f>
        <v>49863</v>
      </c>
      <c r="N43" s="112" t="s">
        <v>8634</v>
      </c>
    </row>
    <row r="44" spans="1:14" ht="15.75" thickBot="1">
      <c r="D44" s="477">
        <f t="shared" ref="D44:I44" si="95">SUM(D41:D43)</f>
        <v>73168</v>
      </c>
      <c r="E44" s="477">
        <f t="shared" si="95"/>
        <v>73499</v>
      </c>
      <c r="F44" s="477">
        <f t="shared" si="95"/>
        <v>73101</v>
      </c>
      <c r="G44" s="477">
        <f t="shared" si="95"/>
        <v>72915</v>
      </c>
      <c r="H44" s="477">
        <f t="shared" si="95"/>
        <v>71158</v>
      </c>
      <c r="I44" s="477">
        <f t="shared" si="95"/>
        <v>70486</v>
      </c>
      <c r="J44" s="477">
        <f t="shared" ref="J44:K44" si="96">SUM(J41:J43)</f>
        <v>68211</v>
      </c>
      <c r="K44" s="477">
        <f t="shared" si="96"/>
        <v>71155</v>
      </c>
      <c r="L44" s="477">
        <f t="shared" ref="L44" si="97">SUM(L41:L43)</f>
        <v>71224</v>
      </c>
    </row>
    <row r="45" spans="1:14">
      <c r="D45" s="478"/>
      <c r="E45" s="478"/>
      <c r="F45" s="478"/>
      <c r="G45" s="478"/>
      <c r="H45" s="478"/>
      <c r="I45" s="478"/>
      <c r="J45" s="478"/>
      <c r="K45" s="478"/>
      <c r="L45" s="478"/>
    </row>
    <row r="46" spans="1:14">
      <c r="A46" s="112" t="s">
        <v>5108</v>
      </c>
      <c r="D46" s="476">
        <f t="shared" ref="D46:I46" si="98">D264</f>
        <v>76877</v>
      </c>
      <c r="E46" s="476">
        <f t="shared" si="98"/>
        <v>76779</v>
      </c>
      <c r="F46" s="476">
        <f t="shared" si="98"/>
        <v>77392</v>
      </c>
      <c r="G46" s="476">
        <f t="shared" si="98"/>
        <v>77596</v>
      </c>
      <c r="H46" s="476">
        <f t="shared" si="98"/>
        <v>77578</v>
      </c>
      <c r="I46" s="476">
        <f t="shared" si="98"/>
        <v>77624</v>
      </c>
      <c r="J46" s="476">
        <f t="shared" ref="J46:K46" si="99">J264</f>
        <v>74623</v>
      </c>
      <c r="K46" s="476">
        <f t="shared" si="99"/>
        <v>77474</v>
      </c>
      <c r="L46" s="476">
        <f t="shared" ref="L46" si="100">L264</f>
        <v>78196</v>
      </c>
      <c r="N46" s="112" t="s">
        <v>5107</v>
      </c>
    </row>
    <row r="47" spans="1:14">
      <c r="D47" s="478"/>
      <c r="E47" s="478"/>
      <c r="F47" s="478"/>
      <c r="G47" s="478"/>
      <c r="H47" s="478"/>
      <c r="I47" s="478"/>
      <c r="J47" s="478"/>
      <c r="K47" s="478"/>
      <c r="L47" s="478"/>
    </row>
    <row r="48" spans="1:14">
      <c r="A48" s="112" t="s">
        <v>8697</v>
      </c>
      <c r="D48" s="476">
        <f t="shared" ref="D48:I48" si="101">D20+D24+D28+D33+D37+D39+D44+D46</f>
        <v>572648</v>
      </c>
      <c r="E48" s="476">
        <f t="shared" si="101"/>
        <v>575449</v>
      </c>
      <c r="F48" s="476">
        <f t="shared" si="101"/>
        <v>577989</v>
      </c>
      <c r="G48" s="476">
        <f t="shared" si="101"/>
        <v>580549</v>
      </c>
      <c r="H48" s="476">
        <f t="shared" si="101"/>
        <v>576444</v>
      </c>
      <c r="I48" s="476">
        <f t="shared" si="101"/>
        <v>564573</v>
      </c>
      <c r="J48" s="476">
        <f t="shared" ref="J48:K48" si="102">J20+J24+J28+J33+J37+J39+J44+J46</f>
        <v>555760</v>
      </c>
      <c r="K48" s="476">
        <f t="shared" si="102"/>
        <v>574303</v>
      </c>
      <c r="L48" s="476">
        <f t="shared" ref="L48" si="103">L20+L24+L28+L33+L37+L39+L44+L46</f>
        <v>576351</v>
      </c>
    </row>
    <row r="49" spans="1:17">
      <c r="D49" s="478"/>
      <c r="E49" s="478"/>
      <c r="F49" s="478"/>
      <c r="G49" s="478"/>
      <c r="H49" s="478"/>
      <c r="I49" s="478"/>
      <c r="J49" s="478"/>
      <c r="K49" s="478"/>
      <c r="L49" s="478"/>
    </row>
    <row r="50" spans="1:17">
      <c r="A50" s="112" t="s">
        <v>8698</v>
      </c>
      <c r="D50" s="476">
        <f t="shared" ref="D50:I50" si="104">MAX(D20,D24,D28,D33,D37,D39,D44,D46)-MIN(D20,D24,D28,D33,D37,D39,D44,D46)</f>
        <v>12101</v>
      </c>
      <c r="E50" s="476">
        <f t="shared" si="104"/>
        <v>12074</v>
      </c>
      <c r="F50" s="476">
        <f t="shared" si="104"/>
        <v>12624</v>
      </c>
      <c r="G50" s="476">
        <f t="shared" si="104"/>
        <v>12841</v>
      </c>
      <c r="H50" s="476">
        <f t="shared" si="104"/>
        <v>12762</v>
      </c>
      <c r="I50" s="476">
        <f t="shared" si="104"/>
        <v>13875</v>
      </c>
      <c r="J50" s="476">
        <f t="shared" ref="J50:K50" si="105">MAX(J20,J24,J28,J33,J37,J39,J44,J46)-MIN(J20,J24,J28,J33,J37,J39,J44,J46)</f>
        <v>12120</v>
      </c>
      <c r="K50" s="476">
        <f t="shared" si="105"/>
        <v>13158</v>
      </c>
      <c r="L50" s="476">
        <f t="shared" ref="L50" si="106">MAX(L20,L24,L28,L33,L37,L39,L44,L46)-MIN(L20,L24,L28,L33,L37,L39,L44,L46)</f>
        <v>13919</v>
      </c>
    </row>
    <row r="51" spans="1:17">
      <c r="D51" s="478"/>
      <c r="E51" s="478"/>
      <c r="F51" s="478"/>
      <c r="G51" s="478"/>
      <c r="H51" s="478"/>
      <c r="I51" s="478"/>
      <c r="J51" s="478"/>
      <c r="K51" s="478"/>
      <c r="L51" s="478"/>
    </row>
    <row r="52" spans="1:17">
      <c r="A52" s="112" t="s">
        <v>8701</v>
      </c>
      <c r="D52" s="476">
        <f t="shared" ref="D52:I52" si="107">STDEVP(D20,D24,D28,D33,D37,D39,D44,D46)</f>
        <v>3397.6398425966222</v>
      </c>
      <c r="E52" s="476">
        <f t="shared" si="107"/>
        <v>3359.0907786743423</v>
      </c>
      <c r="F52" s="476">
        <f t="shared" si="107"/>
        <v>3475.227903947452</v>
      </c>
      <c r="G52" s="476">
        <f t="shared" si="107"/>
        <v>3551.5618021336754</v>
      </c>
      <c r="H52" s="476">
        <f t="shared" si="107"/>
        <v>3405.1633587832462</v>
      </c>
      <c r="I52" s="476">
        <f t="shared" si="107"/>
        <v>3708.5202553545532</v>
      </c>
      <c r="J52" s="476">
        <f t="shared" ref="J52:K52" si="108">STDEVP(J20,J24,J28,J33,J37,J39,J44,J46)</f>
        <v>3329.2277633108852</v>
      </c>
      <c r="K52" s="476">
        <f t="shared" si="108"/>
        <v>3622.1366773459831</v>
      </c>
      <c r="L52" s="476">
        <f t="shared" ref="L52" si="109">STDEVP(L20,L24,L28,L33,L37,L39,L44,L46)</f>
        <v>3798.346167659683</v>
      </c>
    </row>
    <row r="54" spans="1:17">
      <c r="A54" s="112" t="s">
        <v>3442</v>
      </c>
    </row>
    <row r="57" spans="1:17">
      <c r="E57" s="42" t="s">
        <v>2303</v>
      </c>
      <c r="F57" s="42"/>
      <c r="G57" s="42"/>
      <c r="H57" s="42"/>
      <c r="I57" s="42"/>
      <c r="J57" s="42"/>
      <c r="K57" s="42"/>
      <c r="L57" s="42"/>
      <c r="M57" s="43"/>
      <c r="N57" s="25" t="s">
        <v>13319</v>
      </c>
    </row>
    <row r="58" spans="1:17">
      <c r="D58" s="42">
        <v>2010</v>
      </c>
      <c r="E58" s="42">
        <v>2011</v>
      </c>
      <c r="F58" s="42">
        <v>2012</v>
      </c>
      <c r="G58" s="42">
        <v>2013</v>
      </c>
      <c r="H58" s="42">
        <v>2014</v>
      </c>
      <c r="I58" s="42">
        <v>2015</v>
      </c>
      <c r="J58" s="42">
        <v>2016</v>
      </c>
      <c r="K58" s="42">
        <v>2017</v>
      </c>
      <c r="L58" s="42">
        <v>2018</v>
      </c>
      <c r="M58" s="34"/>
      <c r="N58" s="44" t="s">
        <v>2304</v>
      </c>
    </row>
    <row r="59" spans="1:17">
      <c r="A59" s="112" t="s">
        <v>6852</v>
      </c>
      <c r="C59" s="112"/>
      <c r="D59" s="476">
        <f t="shared" ref="D59:I59" si="110">SUM(D60:D77)</f>
        <v>129851</v>
      </c>
      <c r="E59" s="476">
        <f t="shared" si="110"/>
        <v>132811</v>
      </c>
      <c r="F59" s="476">
        <f t="shared" si="110"/>
        <v>133400</v>
      </c>
      <c r="G59" s="476">
        <f t="shared" si="110"/>
        <v>134338</v>
      </c>
      <c r="H59" s="476">
        <f t="shared" si="110"/>
        <v>131378</v>
      </c>
      <c r="I59" s="476">
        <f t="shared" si="110"/>
        <v>127870</v>
      </c>
      <c r="J59" s="476">
        <f t="shared" ref="J59:K59" si="111">SUM(J60:J77)</f>
        <v>130405</v>
      </c>
      <c r="K59" s="476">
        <f t="shared" si="111"/>
        <v>133080</v>
      </c>
      <c r="L59" s="476">
        <f t="shared" ref="L59" si="112">SUM(L60:L77)</f>
        <v>133306</v>
      </c>
    </row>
    <row r="60" spans="1:17">
      <c r="A60" s="112" t="s">
        <v>6957</v>
      </c>
      <c r="B60" s="112" t="s">
        <v>3443</v>
      </c>
      <c r="C60" s="4" t="s">
        <v>9711</v>
      </c>
      <c r="D60" s="476">
        <v>7454</v>
      </c>
      <c r="E60" s="476">
        <v>7465</v>
      </c>
      <c r="F60" s="476">
        <v>7496</v>
      </c>
      <c r="G60" s="48">
        <v>7576</v>
      </c>
      <c r="H60" s="48">
        <v>7448</v>
      </c>
      <c r="I60" s="48">
        <v>7405</v>
      </c>
      <c r="J60" s="48">
        <v>7396</v>
      </c>
      <c r="K60" s="48">
        <v>7727</v>
      </c>
      <c r="L60" s="48">
        <v>7748</v>
      </c>
      <c r="N60" s="112" t="s">
        <v>3382</v>
      </c>
      <c r="O60" s="4"/>
      <c r="Q60" s="4"/>
    </row>
    <row r="61" spans="1:17">
      <c r="A61" s="112" t="s">
        <v>6959</v>
      </c>
      <c r="B61" s="112" t="s">
        <v>3444</v>
      </c>
      <c r="C61" s="4" t="s">
        <v>9712</v>
      </c>
      <c r="D61" s="476">
        <v>6078</v>
      </c>
      <c r="E61" s="476">
        <v>6257</v>
      </c>
      <c r="F61" s="476">
        <v>6230</v>
      </c>
      <c r="G61" s="48">
        <v>6314</v>
      </c>
      <c r="H61" s="48">
        <v>5799</v>
      </c>
      <c r="I61" s="48">
        <v>5684</v>
      </c>
      <c r="J61" s="48">
        <v>5612</v>
      </c>
      <c r="K61" s="48">
        <v>5833</v>
      </c>
      <c r="L61" s="48">
        <v>5862</v>
      </c>
      <c r="N61" s="112" t="s">
        <v>3382</v>
      </c>
      <c r="O61" s="4"/>
      <c r="Q61" s="4"/>
    </row>
    <row r="62" spans="1:17">
      <c r="A62" s="112" t="s">
        <v>6961</v>
      </c>
      <c r="B62" s="112" t="s">
        <v>7725</v>
      </c>
      <c r="C62" s="4" t="s">
        <v>9713</v>
      </c>
      <c r="D62" s="476">
        <v>6029</v>
      </c>
      <c r="E62" s="476">
        <v>7518</v>
      </c>
      <c r="F62" s="476">
        <v>7710</v>
      </c>
      <c r="G62" s="48">
        <v>7177</v>
      </c>
      <c r="H62" s="48">
        <v>7237</v>
      </c>
      <c r="I62" s="48">
        <v>5579</v>
      </c>
      <c r="J62" s="48">
        <v>6240</v>
      </c>
      <c r="K62" s="48">
        <v>6204</v>
      </c>
      <c r="L62" s="48">
        <v>6261</v>
      </c>
      <c r="N62" s="112" t="s">
        <v>3384</v>
      </c>
      <c r="O62" s="4"/>
      <c r="Q62" s="4"/>
    </row>
    <row r="63" spans="1:17">
      <c r="A63" s="112" t="s">
        <v>6963</v>
      </c>
      <c r="B63" s="112" t="s">
        <v>3421</v>
      </c>
      <c r="C63" s="4" t="s">
        <v>9714</v>
      </c>
      <c r="D63" s="476">
        <v>7801</v>
      </c>
      <c r="E63" s="476">
        <v>8087</v>
      </c>
      <c r="F63" s="476">
        <v>8149</v>
      </c>
      <c r="G63" s="48">
        <v>8672</v>
      </c>
      <c r="H63" s="48">
        <v>8268</v>
      </c>
      <c r="I63" s="48">
        <v>7710</v>
      </c>
      <c r="J63" s="48">
        <v>7804</v>
      </c>
      <c r="K63" s="48">
        <v>8046</v>
      </c>
      <c r="L63" s="48">
        <v>8044</v>
      </c>
      <c r="N63" s="112" t="s">
        <v>3382</v>
      </c>
      <c r="O63" s="4"/>
      <c r="Q63" s="4"/>
    </row>
    <row r="64" spans="1:17">
      <c r="A64" s="112" t="s">
        <v>6965</v>
      </c>
      <c r="B64" s="112" t="s">
        <v>3422</v>
      </c>
      <c r="C64" s="4" t="s">
        <v>9715</v>
      </c>
      <c r="D64" s="476">
        <v>7787</v>
      </c>
      <c r="E64" s="476">
        <v>7869</v>
      </c>
      <c r="F64" s="476">
        <v>7929</v>
      </c>
      <c r="G64" s="48">
        <v>7972</v>
      </c>
      <c r="H64" s="48">
        <v>7966</v>
      </c>
      <c r="I64" s="48">
        <v>7962</v>
      </c>
      <c r="J64" s="48">
        <v>7973</v>
      </c>
      <c r="K64" s="48">
        <v>8252</v>
      </c>
      <c r="L64" s="48">
        <v>8236</v>
      </c>
      <c r="N64" s="112" t="s">
        <v>3382</v>
      </c>
      <c r="O64" s="4"/>
      <c r="Q64" s="4"/>
    </row>
    <row r="65" spans="1:17">
      <c r="A65" s="112" t="s">
        <v>6997</v>
      </c>
      <c r="B65" s="112" t="s">
        <v>5143</v>
      </c>
      <c r="C65" s="4" t="s">
        <v>9716</v>
      </c>
      <c r="D65" s="476">
        <v>7642</v>
      </c>
      <c r="E65" s="476">
        <v>7663</v>
      </c>
      <c r="F65" s="476">
        <v>7707</v>
      </c>
      <c r="G65" s="48">
        <v>7744</v>
      </c>
      <c r="H65" s="48">
        <v>7670</v>
      </c>
      <c r="I65" s="48">
        <v>7619</v>
      </c>
      <c r="J65" s="48">
        <v>7662</v>
      </c>
      <c r="K65" s="48">
        <v>7738</v>
      </c>
      <c r="L65" s="48">
        <v>7743</v>
      </c>
      <c r="N65" s="112" t="s">
        <v>3384</v>
      </c>
      <c r="O65" s="4"/>
      <c r="Q65" s="4"/>
    </row>
    <row r="66" spans="1:17">
      <c r="A66" s="112" t="s">
        <v>6999</v>
      </c>
      <c r="B66" s="112" t="s">
        <v>5144</v>
      </c>
      <c r="C66" s="4" t="s">
        <v>9717</v>
      </c>
      <c r="D66" s="476">
        <v>7484</v>
      </c>
      <c r="E66" s="476">
        <v>7413</v>
      </c>
      <c r="F66" s="476">
        <v>7447</v>
      </c>
      <c r="G66" s="48">
        <v>7533</v>
      </c>
      <c r="H66" s="48">
        <v>7447</v>
      </c>
      <c r="I66" s="48">
        <v>7414</v>
      </c>
      <c r="J66" s="48">
        <v>7674</v>
      </c>
      <c r="K66" s="48">
        <v>7725</v>
      </c>
      <c r="L66" s="48">
        <v>7714</v>
      </c>
      <c r="N66" s="112" t="s">
        <v>3384</v>
      </c>
      <c r="O66" s="4"/>
      <c r="Q66" s="4"/>
    </row>
    <row r="67" spans="1:17">
      <c r="A67" s="112" t="s">
        <v>7001</v>
      </c>
      <c r="B67" s="112" t="s">
        <v>5145</v>
      </c>
      <c r="C67" s="4" t="s">
        <v>9718</v>
      </c>
      <c r="D67" s="476">
        <v>7440</v>
      </c>
      <c r="E67" s="476">
        <v>7424</v>
      </c>
      <c r="F67" s="476">
        <v>7491</v>
      </c>
      <c r="G67" s="48">
        <v>7544</v>
      </c>
      <c r="H67" s="48">
        <v>7444</v>
      </c>
      <c r="I67" s="48">
        <v>7425</v>
      </c>
      <c r="J67" s="48">
        <v>7429</v>
      </c>
      <c r="K67" s="48">
        <v>7531</v>
      </c>
      <c r="L67" s="48">
        <v>7536</v>
      </c>
      <c r="N67" s="112" t="s">
        <v>3382</v>
      </c>
      <c r="O67" s="4"/>
      <c r="Q67" s="4"/>
    </row>
    <row r="68" spans="1:17">
      <c r="A68" s="112" t="s">
        <v>7003</v>
      </c>
      <c r="B68" s="112" t="s">
        <v>5146</v>
      </c>
      <c r="C68" s="4" t="s">
        <v>9719</v>
      </c>
      <c r="D68" s="476">
        <v>7154</v>
      </c>
      <c r="E68" s="476">
        <v>7438</v>
      </c>
      <c r="F68" s="476">
        <v>7477</v>
      </c>
      <c r="G68" s="48">
        <v>7459</v>
      </c>
      <c r="H68" s="48">
        <v>7309</v>
      </c>
      <c r="I68" s="48">
        <v>7282</v>
      </c>
      <c r="J68" s="48">
        <v>7325</v>
      </c>
      <c r="K68" s="48">
        <v>7440</v>
      </c>
      <c r="L68" s="48">
        <v>7499</v>
      </c>
      <c r="N68" s="112" t="s">
        <v>3382</v>
      </c>
      <c r="O68" s="4"/>
      <c r="Q68" s="4"/>
    </row>
    <row r="69" spans="1:17">
      <c r="A69" s="112" t="s">
        <v>7005</v>
      </c>
      <c r="B69" s="112" t="s">
        <v>7569</v>
      </c>
      <c r="C69" s="4" t="s">
        <v>9720</v>
      </c>
      <c r="D69" s="476">
        <v>7519</v>
      </c>
      <c r="E69" s="476">
        <v>7702</v>
      </c>
      <c r="F69" s="476">
        <v>7537</v>
      </c>
      <c r="G69" s="48">
        <v>7705</v>
      </c>
      <c r="H69" s="48">
        <v>7321</v>
      </c>
      <c r="I69" s="48">
        <v>7301</v>
      </c>
      <c r="J69" s="48">
        <v>7522</v>
      </c>
      <c r="K69" s="48">
        <v>7790</v>
      </c>
      <c r="L69" s="48">
        <v>7707</v>
      </c>
      <c r="N69" s="112" t="s">
        <v>3382</v>
      </c>
      <c r="O69" s="4"/>
      <c r="Q69" s="4"/>
    </row>
    <row r="70" spans="1:17">
      <c r="A70" s="112" t="s">
        <v>7007</v>
      </c>
      <c r="B70" s="112" t="s">
        <v>5147</v>
      </c>
      <c r="C70" s="4" t="s">
        <v>9721</v>
      </c>
      <c r="D70" s="476">
        <v>7522</v>
      </c>
      <c r="E70" s="476">
        <v>7606</v>
      </c>
      <c r="F70" s="476">
        <v>7681</v>
      </c>
      <c r="G70" s="48">
        <v>7760</v>
      </c>
      <c r="H70" s="48">
        <v>7635</v>
      </c>
      <c r="I70" s="48">
        <v>7575</v>
      </c>
      <c r="J70" s="48">
        <v>7656</v>
      </c>
      <c r="K70" s="48">
        <v>7843</v>
      </c>
      <c r="L70" s="48">
        <v>7846</v>
      </c>
      <c r="N70" s="112" t="s">
        <v>3384</v>
      </c>
      <c r="O70" s="4"/>
      <c r="Q70" s="4"/>
    </row>
    <row r="71" spans="1:17">
      <c r="A71" s="112" t="s">
        <v>7009</v>
      </c>
      <c r="B71" s="112" t="s">
        <v>5148</v>
      </c>
      <c r="C71" s="4" t="s">
        <v>9722</v>
      </c>
      <c r="D71" s="476">
        <v>7018</v>
      </c>
      <c r="E71" s="476">
        <v>7085</v>
      </c>
      <c r="F71" s="476">
        <v>7125</v>
      </c>
      <c r="G71" s="48">
        <v>7206</v>
      </c>
      <c r="H71" s="48">
        <v>7168</v>
      </c>
      <c r="I71" s="48">
        <v>7181</v>
      </c>
      <c r="J71" s="48">
        <v>7191</v>
      </c>
      <c r="K71" s="48">
        <v>7287</v>
      </c>
      <c r="L71" s="48">
        <v>7247</v>
      </c>
      <c r="N71" s="112" t="s">
        <v>3382</v>
      </c>
      <c r="O71" s="4"/>
      <c r="Q71" s="4"/>
    </row>
    <row r="72" spans="1:17">
      <c r="A72" s="112" t="s">
        <v>7011</v>
      </c>
      <c r="B72" s="112" t="s">
        <v>5149</v>
      </c>
      <c r="C72" s="4" t="s">
        <v>9723</v>
      </c>
      <c r="D72" s="476">
        <v>6925</v>
      </c>
      <c r="E72" s="476">
        <v>7011</v>
      </c>
      <c r="F72" s="476">
        <v>7160</v>
      </c>
      <c r="G72" s="48">
        <v>7172</v>
      </c>
      <c r="H72" s="48">
        <v>6818</v>
      </c>
      <c r="I72" s="48">
        <v>6633</v>
      </c>
      <c r="J72" s="48">
        <v>6762</v>
      </c>
      <c r="K72" s="48">
        <v>6985</v>
      </c>
      <c r="L72" s="48">
        <v>6965</v>
      </c>
      <c r="N72" s="112" t="s">
        <v>3384</v>
      </c>
      <c r="O72" s="4"/>
      <c r="Q72" s="4"/>
    </row>
    <row r="73" spans="1:17">
      <c r="A73" s="112" t="s">
        <v>7013</v>
      </c>
      <c r="B73" s="112" t="s">
        <v>8771</v>
      </c>
      <c r="C73" s="4" t="s">
        <v>9724</v>
      </c>
      <c r="D73" s="476">
        <v>6693</v>
      </c>
      <c r="E73" s="476">
        <v>6670</v>
      </c>
      <c r="F73" s="476">
        <v>6703</v>
      </c>
      <c r="G73" s="48">
        <v>6754</v>
      </c>
      <c r="H73" s="48">
        <v>6725</v>
      </c>
      <c r="I73" s="48">
        <v>6699</v>
      </c>
      <c r="J73" s="48">
        <v>6672</v>
      </c>
      <c r="K73" s="48">
        <v>6781</v>
      </c>
      <c r="L73" s="48">
        <v>6808</v>
      </c>
      <c r="N73" s="112" t="s">
        <v>3382</v>
      </c>
      <c r="O73" s="4"/>
      <c r="Q73" s="4"/>
    </row>
    <row r="74" spans="1:17">
      <c r="A74" s="112" t="s">
        <v>7015</v>
      </c>
      <c r="B74" s="112" t="s">
        <v>8772</v>
      </c>
      <c r="C74" s="4" t="s">
        <v>9725</v>
      </c>
      <c r="D74" s="476">
        <v>7324</v>
      </c>
      <c r="E74" s="476">
        <v>7309</v>
      </c>
      <c r="F74" s="476">
        <v>7329</v>
      </c>
      <c r="G74" s="48">
        <v>7326</v>
      </c>
      <c r="H74" s="48">
        <v>7142</v>
      </c>
      <c r="I74" s="48">
        <v>7011</v>
      </c>
      <c r="J74" s="48">
        <v>7370</v>
      </c>
      <c r="K74" s="48">
        <v>7510</v>
      </c>
      <c r="L74" s="48">
        <v>7635</v>
      </c>
      <c r="N74" s="112" t="s">
        <v>3384</v>
      </c>
      <c r="O74" s="4"/>
      <c r="Q74" s="4"/>
    </row>
    <row r="75" spans="1:17">
      <c r="A75" s="112" t="s">
        <v>7017</v>
      </c>
      <c r="B75" s="112" t="s">
        <v>5167</v>
      </c>
      <c r="C75" s="4" t="s">
        <v>9726</v>
      </c>
      <c r="D75" s="476">
        <v>6942</v>
      </c>
      <c r="E75" s="476">
        <v>6964</v>
      </c>
      <c r="F75" s="476">
        <v>6969</v>
      </c>
      <c r="G75" s="48">
        <v>7010</v>
      </c>
      <c r="H75" s="48">
        <v>6938</v>
      </c>
      <c r="I75" s="48">
        <v>6762</v>
      </c>
      <c r="J75" s="48">
        <v>6824</v>
      </c>
      <c r="K75" s="48">
        <v>7148</v>
      </c>
      <c r="L75" s="48">
        <v>7118</v>
      </c>
      <c r="N75" s="112" t="s">
        <v>3382</v>
      </c>
      <c r="O75" s="4"/>
      <c r="Q75" s="4"/>
    </row>
    <row r="76" spans="1:17">
      <c r="A76" s="112" t="s">
        <v>7019</v>
      </c>
      <c r="B76" s="112" t="s">
        <v>5168</v>
      </c>
      <c r="C76" s="4" t="s">
        <v>9727</v>
      </c>
      <c r="D76" s="476">
        <v>7792</v>
      </c>
      <c r="E76" s="476">
        <v>7966</v>
      </c>
      <c r="F76" s="476">
        <v>7962</v>
      </c>
      <c r="G76" s="48">
        <v>7988</v>
      </c>
      <c r="H76" s="48">
        <v>7812</v>
      </c>
      <c r="I76" s="48">
        <v>7761</v>
      </c>
      <c r="J76" s="48">
        <v>7865</v>
      </c>
      <c r="K76" s="48">
        <v>8043</v>
      </c>
      <c r="L76" s="48">
        <v>7880</v>
      </c>
      <c r="N76" s="112" t="s">
        <v>3384</v>
      </c>
      <c r="O76" s="4"/>
      <c r="Q76" s="4"/>
    </row>
    <row r="77" spans="1:17">
      <c r="A77" s="112" t="s">
        <v>7021</v>
      </c>
      <c r="B77" s="112" t="s">
        <v>5169</v>
      </c>
      <c r="C77" s="4" t="s">
        <v>9728</v>
      </c>
      <c r="D77" s="480">
        <v>7247</v>
      </c>
      <c r="E77" s="480">
        <v>7364</v>
      </c>
      <c r="F77" s="480">
        <v>7298</v>
      </c>
      <c r="G77" s="48">
        <v>7426</v>
      </c>
      <c r="H77" s="48">
        <v>7231</v>
      </c>
      <c r="I77" s="48">
        <v>6867</v>
      </c>
      <c r="J77" s="48">
        <v>7428</v>
      </c>
      <c r="K77" s="48">
        <v>7197</v>
      </c>
      <c r="L77" s="48">
        <v>7457</v>
      </c>
      <c r="N77" s="112" t="s">
        <v>3384</v>
      </c>
      <c r="O77" s="4"/>
      <c r="Q77" s="4"/>
    </row>
    <row r="78" spans="1:17">
      <c r="D78" s="478"/>
      <c r="E78" s="478"/>
      <c r="F78" s="478"/>
      <c r="G78" s="478"/>
      <c r="H78" s="478"/>
      <c r="I78" s="478"/>
      <c r="J78" s="478"/>
      <c r="K78" s="478"/>
      <c r="L78" s="478"/>
    </row>
    <row r="79" spans="1:17">
      <c r="A79" s="112" t="s">
        <v>3382</v>
      </c>
      <c r="D79" s="476">
        <f t="shared" ref="D79:I79" si="113">D60+D61+D63+D64+SUM(D67:D69)+D71+D73+D75</f>
        <v>71886</v>
      </c>
      <c r="E79" s="476">
        <f t="shared" si="113"/>
        <v>72961</v>
      </c>
      <c r="F79" s="476">
        <f t="shared" si="113"/>
        <v>73106</v>
      </c>
      <c r="G79" s="476">
        <f t="shared" si="113"/>
        <v>74212</v>
      </c>
      <c r="H79" s="476">
        <f t="shared" si="113"/>
        <v>72386</v>
      </c>
      <c r="I79" s="476">
        <f t="shared" si="113"/>
        <v>71411</v>
      </c>
      <c r="J79" s="476">
        <f>J60+J61+J63+J64+SUM(J67:J69)+J71+J73+J75</f>
        <v>71748</v>
      </c>
      <c r="K79" s="476">
        <f>K60+K61+K63+K64+SUM(K67:K69)+K71+K73+K75</f>
        <v>73835</v>
      </c>
      <c r="L79" s="476">
        <f>L60+L61+L63+L64+SUM(L67:L69)+L71+L73+L75</f>
        <v>73805</v>
      </c>
    </row>
    <row r="80" spans="1:17">
      <c r="A80" s="112" t="s">
        <v>5170</v>
      </c>
      <c r="D80" s="476">
        <f t="shared" ref="D80:I80" si="114">D62+D65+D66+D70+D72+D74+D76+D77</f>
        <v>57965</v>
      </c>
      <c r="E80" s="476">
        <f t="shared" si="114"/>
        <v>59850</v>
      </c>
      <c r="F80" s="476">
        <f t="shared" si="114"/>
        <v>60294</v>
      </c>
      <c r="G80" s="476">
        <f t="shared" si="114"/>
        <v>60126</v>
      </c>
      <c r="H80" s="476">
        <f t="shared" si="114"/>
        <v>58992</v>
      </c>
      <c r="I80" s="476">
        <f t="shared" si="114"/>
        <v>56459</v>
      </c>
      <c r="J80" s="476">
        <f>J62+J65+J66+J70+J72+J74+J76+J77</f>
        <v>58657</v>
      </c>
      <c r="K80" s="476">
        <f>K62+K65+K66+K70+K72+K74+K76+K77</f>
        <v>59245</v>
      </c>
      <c r="L80" s="476">
        <f>L62+L65+L66+L70+L72+L74+L76+L77</f>
        <v>59501</v>
      </c>
    </row>
    <row r="82" spans="1:17">
      <c r="A82" s="112" t="s">
        <v>5171</v>
      </c>
    </row>
    <row r="83" spans="1:17">
      <c r="A83" s="112"/>
    </row>
    <row r="84" spans="1:17">
      <c r="A84" s="112"/>
    </row>
    <row r="85" spans="1:17">
      <c r="E85" s="42" t="s">
        <v>2303</v>
      </c>
      <c r="F85" s="42"/>
      <c r="G85" s="42"/>
      <c r="H85" s="42"/>
      <c r="I85" s="42"/>
      <c r="J85" s="42"/>
      <c r="K85" s="42"/>
      <c r="L85" s="42"/>
      <c r="M85" s="43"/>
      <c r="N85" s="25" t="s">
        <v>13319</v>
      </c>
    </row>
    <row r="86" spans="1:17">
      <c r="D86" s="42">
        <v>2010</v>
      </c>
      <c r="E86" s="42">
        <v>2011</v>
      </c>
      <c r="F86" s="42">
        <v>2012</v>
      </c>
      <c r="G86" s="42">
        <v>2013</v>
      </c>
      <c r="H86" s="42">
        <v>2014</v>
      </c>
      <c r="I86" s="42">
        <v>2015</v>
      </c>
      <c r="J86" s="42">
        <v>2016</v>
      </c>
      <c r="K86" s="42">
        <v>2017</v>
      </c>
      <c r="L86" s="42">
        <v>2018</v>
      </c>
      <c r="M86" s="34"/>
      <c r="N86" s="44" t="s">
        <v>2304</v>
      </c>
    </row>
    <row r="87" spans="1:17">
      <c r="A87" s="112" t="s">
        <v>6853</v>
      </c>
      <c r="D87" s="476">
        <f>D88+D89+D91+D92+D94+D95+SUM(D97:D109)</f>
        <v>112819</v>
      </c>
      <c r="E87" s="476">
        <f t="shared" ref="E87:J87" si="115">E88+E89+E91+E92+E94+E95+SUM(E97:E109)</f>
        <v>113194</v>
      </c>
      <c r="F87" s="476">
        <f t="shared" si="115"/>
        <v>113654</v>
      </c>
      <c r="G87" s="476">
        <f t="shared" si="115"/>
        <v>113447</v>
      </c>
      <c r="H87" s="476">
        <f t="shared" si="115"/>
        <v>113788</v>
      </c>
      <c r="I87" s="476">
        <f t="shared" si="115"/>
        <v>111312</v>
      </c>
      <c r="J87" s="476">
        <f t="shared" si="115"/>
        <v>108333</v>
      </c>
      <c r="K87" s="476">
        <f t="shared" ref="K87:L87" si="116">K88+K89+K91+K92+K94+K95+SUM(K97:K109)</f>
        <v>111596</v>
      </c>
      <c r="L87" s="476">
        <f t="shared" si="116"/>
        <v>112305</v>
      </c>
    </row>
    <row r="88" spans="1:17">
      <c r="A88" s="112" t="s">
        <v>6957</v>
      </c>
      <c r="B88" s="112" t="s">
        <v>5172</v>
      </c>
      <c r="C88" s="4" t="s">
        <v>14714</v>
      </c>
      <c r="D88" s="476">
        <v>12948</v>
      </c>
      <c r="E88" s="476">
        <v>12864</v>
      </c>
      <c r="F88" s="476">
        <v>12887</v>
      </c>
      <c r="G88" s="30">
        <v>13033</v>
      </c>
      <c r="H88" s="30">
        <v>13100</v>
      </c>
      <c r="I88" s="30">
        <v>12682</v>
      </c>
      <c r="J88" s="30">
        <v>7448</v>
      </c>
      <c r="K88" s="30">
        <v>7713</v>
      </c>
      <c r="L88" s="30">
        <v>7672</v>
      </c>
      <c r="N88" s="112" t="s">
        <v>3384</v>
      </c>
      <c r="O88" s="4"/>
      <c r="Q88" s="4"/>
    </row>
    <row r="89" spans="1:17" ht="15.75" thickBot="1">
      <c r="A89" s="112"/>
      <c r="B89" s="112"/>
      <c r="C89" s="4" t="s">
        <v>14714</v>
      </c>
      <c r="D89" s="477">
        <v>0</v>
      </c>
      <c r="E89" s="477">
        <v>0</v>
      </c>
      <c r="F89" s="477">
        <v>0</v>
      </c>
      <c r="G89" s="899">
        <v>0</v>
      </c>
      <c r="H89" s="899">
        <v>0</v>
      </c>
      <c r="I89" s="899">
        <v>0</v>
      </c>
      <c r="J89" s="30">
        <v>332</v>
      </c>
      <c r="K89" s="30">
        <v>332</v>
      </c>
      <c r="L89" s="30">
        <v>360</v>
      </c>
      <c r="N89" s="112" t="s">
        <v>6908</v>
      </c>
      <c r="O89" s="4"/>
      <c r="Q89" s="4"/>
    </row>
    <row r="90" spans="1:17" ht="15.75" thickBot="1">
      <c r="A90" s="112"/>
      <c r="B90" s="112"/>
      <c r="C90" s="4" t="s">
        <v>14714</v>
      </c>
      <c r="D90" s="911">
        <f>D88+D89</f>
        <v>12948</v>
      </c>
      <c r="E90" s="911">
        <f t="shared" ref="E90:L90" si="117">E88+E89</f>
        <v>12864</v>
      </c>
      <c r="F90" s="911">
        <f t="shared" si="117"/>
        <v>12887</v>
      </c>
      <c r="G90" s="911">
        <f t="shared" si="117"/>
        <v>13033</v>
      </c>
      <c r="H90" s="911">
        <f t="shared" si="117"/>
        <v>13100</v>
      </c>
      <c r="I90" s="911">
        <f t="shared" si="117"/>
        <v>12682</v>
      </c>
      <c r="J90" s="911">
        <f t="shared" si="117"/>
        <v>7780</v>
      </c>
      <c r="K90" s="911">
        <f t="shared" si="117"/>
        <v>8045</v>
      </c>
      <c r="L90" s="911">
        <f t="shared" si="117"/>
        <v>8032</v>
      </c>
      <c r="N90" s="112"/>
      <c r="O90" s="4"/>
      <c r="Q90" s="4"/>
    </row>
    <row r="91" spans="1:17">
      <c r="A91" s="112" t="s">
        <v>6959</v>
      </c>
      <c r="B91" s="112" t="s">
        <v>5173</v>
      </c>
      <c r="C91" s="4" t="s">
        <v>14715</v>
      </c>
      <c r="D91" s="476">
        <v>0</v>
      </c>
      <c r="E91" s="476">
        <v>0</v>
      </c>
      <c r="F91" s="476">
        <v>0</v>
      </c>
      <c r="G91" s="30">
        <v>0</v>
      </c>
      <c r="H91" s="30">
        <v>0</v>
      </c>
      <c r="I91" s="30">
        <v>0</v>
      </c>
      <c r="J91" s="30">
        <v>4419</v>
      </c>
      <c r="K91" s="30">
        <v>4546</v>
      </c>
      <c r="L91" s="30">
        <v>4281</v>
      </c>
      <c r="N91" s="112" t="s">
        <v>3384</v>
      </c>
      <c r="O91" s="4"/>
      <c r="Q91" s="4"/>
    </row>
    <row r="92" spans="1:17" ht="15.75" thickBot="1">
      <c r="A92" s="112"/>
      <c r="B92" s="112"/>
      <c r="C92" s="4" t="s">
        <v>14715</v>
      </c>
      <c r="D92" s="477">
        <v>0</v>
      </c>
      <c r="E92" s="477">
        <v>0</v>
      </c>
      <c r="F92" s="477">
        <v>0</v>
      </c>
      <c r="G92" s="899">
        <v>0</v>
      </c>
      <c r="H92" s="899">
        <v>0</v>
      </c>
      <c r="I92" s="899">
        <v>0</v>
      </c>
      <c r="J92" s="30">
        <v>977</v>
      </c>
      <c r="K92" s="30">
        <v>1003</v>
      </c>
      <c r="L92" s="30">
        <v>1001</v>
      </c>
      <c r="N92" s="112" t="s">
        <v>6908</v>
      </c>
      <c r="O92" s="4"/>
      <c r="Q92" s="4"/>
    </row>
    <row r="93" spans="1:17" ht="15.75" thickBot="1">
      <c r="A93" s="112"/>
      <c r="B93" s="112"/>
      <c r="C93" s="4" t="s">
        <v>14715</v>
      </c>
      <c r="D93" s="911">
        <f>D91+D92</f>
        <v>0</v>
      </c>
      <c r="E93" s="911">
        <f t="shared" ref="E93" si="118">E91+E92</f>
        <v>0</v>
      </c>
      <c r="F93" s="911">
        <f t="shared" ref="F93" si="119">F91+F92</f>
        <v>0</v>
      </c>
      <c r="G93" s="911">
        <f t="shared" ref="G93" si="120">G91+G92</f>
        <v>0</v>
      </c>
      <c r="H93" s="911">
        <f t="shared" ref="H93" si="121">H91+H92</f>
        <v>0</v>
      </c>
      <c r="I93" s="911">
        <f t="shared" ref="I93" si="122">I91+I92</f>
        <v>0</v>
      </c>
      <c r="J93" s="911">
        <f t="shared" ref="J93:L93" si="123">J91+J92</f>
        <v>5396</v>
      </c>
      <c r="K93" s="911">
        <f t="shared" si="123"/>
        <v>5549</v>
      </c>
      <c r="L93" s="911">
        <f t="shared" si="123"/>
        <v>5282</v>
      </c>
      <c r="N93" s="112"/>
      <c r="O93" s="4"/>
      <c r="Q93" s="4"/>
    </row>
    <row r="94" spans="1:17">
      <c r="A94" s="112" t="s">
        <v>6961</v>
      </c>
      <c r="B94" s="112" t="s">
        <v>3483</v>
      </c>
      <c r="C94" s="4" t="s">
        <v>14716</v>
      </c>
      <c r="D94" s="476">
        <v>0</v>
      </c>
      <c r="E94" s="476">
        <v>0</v>
      </c>
      <c r="F94" s="476">
        <v>0</v>
      </c>
      <c r="G94" s="30">
        <v>0</v>
      </c>
      <c r="H94" s="30">
        <v>0</v>
      </c>
      <c r="I94" s="30">
        <v>0</v>
      </c>
      <c r="J94" s="30">
        <v>475</v>
      </c>
      <c r="K94" s="30">
        <v>475</v>
      </c>
      <c r="L94" s="30">
        <v>466</v>
      </c>
      <c r="N94" s="112" t="s">
        <v>3384</v>
      </c>
      <c r="O94" s="4"/>
      <c r="Q94" s="4"/>
    </row>
    <row r="95" spans="1:17" ht="15.75" thickBot="1">
      <c r="A95" s="112"/>
      <c r="B95" s="112"/>
      <c r="C95" s="4" t="s">
        <v>14715</v>
      </c>
      <c r="D95" s="477">
        <v>0</v>
      </c>
      <c r="E95" s="477">
        <v>0</v>
      </c>
      <c r="F95" s="477">
        <v>0</v>
      </c>
      <c r="G95" s="899">
        <v>0</v>
      </c>
      <c r="H95" s="899">
        <v>0</v>
      </c>
      <c r="I95" s="899">
        <v>0</v>
      </c>
      <c r="J95" s="30">
        <v>4704</v>
      </c>
      <c r="K95" s="30">
        <v>4839</v>
      </c>
      <c r="L95" s="30">
        <v>4914</v>
      </c>
      <c r="N95" s="112" t="s">
        <v>6908</v>
      </c>
      <c r="O95" s="4"/>
      <c r="Q95" s="4"/>
    </row>
    <row r="96" spans="1:17" ht="15.75" thickBot="1">
      <c r="A96" s="112"/>
      <c r="B96" s="112"/>
      <c r="C96" s="4" t="s">
        <v>14716</v>
      </c>
      <c r="D96" s="911">
        <f>D94+D95</f>
        <v>0</v>
      </c>
      <c r="E96" s="911">
        <f t="shared" ref="E96" si="124">E94+E95</f>
        <v>0</v>
      </c>
      <c r="F96" s="911">
        <f t="shared" ref="F96" si="125">F94+F95</f>
        <v>0</v>
      </c>
      <c r="G96" s="911">
        <f t="shared" ref="G96" si="126">G94+G95</f>
        <v>0</v>
      </c>
      <c r="H96" s="911">
        <f t="shared" ref="H96" si="127">H94+H95</f>
        <v>0</v>
      </c>
      <c r="I96" s="911">
        <f t="shared" ref="I96" si="128">I94+I95</f>
        <v>0</v>
      </c>
      <c r="J96" s="911">
        <f t="shared" ref="J96:L96" si="129">J94+J95</f>
        <v>5179</v>
      </c>
      <c r="K96" s="911">
        <f t="shared" si="129"/>
        <v>5314</v>
      </c>
      <c r="L96" s="911">
        <f t="shared" si="129"/>
        <v>5380</v>
      </c>
      <c r="N96" s="112"/>
      <c r="O96" s="4"/>
      <c r="Q96" s="4"/>
    </row>
    <row r="97" spans="1:17">
      <c r="A97" s="112" t="s">
        <v>6963</v>
      </c>
      <c r="B97" s="112" t="s">
        <v>3484</v>
      </c>
      <c r="C97" s="4" t="s">
        <v>14717</v>
      </c>
      <c r="D97" s="476">
        <v>27557</v>
      </c>
      <c r="E97" s="476">
        <v>27557</v>
      </c>
      <c r="F97" s="476">
        <v>27637</v>
      </c>
      <c r="G97" s="30">
        <v>27481</v>
      </c>
      <c r="H97" s="30">
        <v>27483</v>
      </c>
      <c r="I97" s="30">
        <v>27161</v>
      </c>
      <c r="J97" s="30">
        <v>8335</v>
      </c>
      <c r="K97" s="30">
        <v>8562</v>
      </c>
      <c r="L97" s="30">
        <v>8563</v>
      </c>
      <c r="N97" s="112" t="s">
        <v>6905</v>
      </c>
      <c r="O97" s="4"/>
      <c r="Q97" s="4"/>
    </row>
    <row r="98" spans="1:17">
      <c r="A98" s="112" t="s">
        <v>6965</v>
      </c>
      <c r="B98" s="112" t="s">
        <v>3485</v>
      </c>
      <c r="C98" s="4" t="s">
        <v>14718</v>
      </c>
      <c r="D98" s="476">
        <v>72314</v>
      </c>
      <c r="E98" s="476">
        <v>72773</v>
      </c>
      <c r="F98" s="476">
        <v>73130</v>
      </c>
      <c r="G98" s="30">
        <v>72933</v>
      </c>
      <c r="H98" s="30">
        <v>73205</v>
      </c>
      <c r="I98" s="30">
        <v>71469</v>
      </c>
      <c r="J98" s="30">
        <v>7862</v>
      </c>
      <c r="K98" s="30">
        <v>8043</v>
      </c>
      <c r="L98" s="30">
        <v>8069</v>
      </c>
      <c r="N98" s="112" t="s">
        <v>6908</v>
      </c>
      <c r="O98" s="4"/>
      <c r="Q98" s="4"/>
    </row>
    <row r="99" spans="1:17">
      <c r="A99" s="112" t="s">
        <v>6997</v>
      </c>
      <c r="B99" s="112" t="s">
        <v>3486</v>
      </c>
      <c r="C99" s="4" t="s">
        <v>14719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5106</v>
      </c>
      <c r="K99" s="30">
        <v>5307</v>
      </c>
      <c r="L99" s="30">
        <v>5542</v>
      </c>
      <c r="N99" s="112" t="s">
        <v>6905</v>
      </c>
      <c r="O99" s="4"/>
      <c r="Q99" s="4"/>
    </row>
    <row r="100" spans="1:17">
      <c r="A100" s="112" t="s">
        <v>6999</v>
      </c>
      <c r="B100" s="112" t="s">
        <v>3487</v>
      </c>
      <c r="C100" s="4" t="s">
        <v>14720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4949</v>
      </c>
      <c r="K100" s="30">
        <v>5029</v>
      </c>
      <c r="L100" s="30">
        <v>5026</v>
      </c>
      <c r="N100" s="112" t="s">
        <v>6905</v>
      </c>
      <c r="O100" s="4"/>
      <c r="Q100" s="4"/>
    </row>
    <row r="101" spans="1:17">
      <c r="A101" s="112" t="s">
        <v>7001</v>
      </c>
      <c r="B101" s="112" t="s">
        <v>3488</v>
      </c>
      <c r="C101" s="4" t="s">
        <v>14721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7051</v>
      </c>
      <c r="K101" s="30">
        <v>7168</v>
      </c>
      <c r="L101" s="30">
        <v>7315</v>
      </c>
      <c r="N101" s="112" t="s">
        <v>6908</v>
      </c>
      <c r="O101" s="4"/>
      <c r="Q101" s="4"/>
    </row>
    <row r="102" spans="1:17">
      <c r="A102" s="112" t="s">
        <v>7003</v>
      </c>
      <c r="B102" s="112" t="s">
        <v>3489</v>
      </c>
      <c r="C102" s="4" t="s">
        <v>14722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4598</v>
      </c>
      <c r="K102" s="30">
        <v>4740</v>
      </c>
      <c r="L102" s="30">
        <v>4928</v>
      </c>
      <c r="N102" s="112" t="s">
        <v>6908</v>
      </c>
      <c r="O102" s="4"/>
      <c r="Q102" s="4"/>
    </row>
    <row r="103" spans="1:17">
      <c r="A103" s="112" t="s">
        <v>7005</v>
      </c>
      <c r="B103" s="112" t="s">
        <v>3490</v>
      </c>
      <c r="C103" s="4" t="s">
        <v>14723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4894</v>
      </c>
      <c r="K103" s="30">
        <v>5071</v>
      </c>
      <c r="L103" s="30">
        <v>5116</v>
      </c>
      <c r="N103" s="112" t="s">
        <v>6908</v>
      </c>
      <c r="O103" s="4"/>
      <c r="Q103" s="4"/>
    </row>
    <row r="104" spans="1:17">
      <c r="A104" s="112" t="s">
        <v>7007</v>
      </c>
      <c r="B104" s="112" t="s">
        <v>14730</v>
      </c>
      <c r="C104" s="4" t="s">
        <v>14724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7965</v>
      </c>
      <c r="K104" s="30">
        <v>8079</v>
      </c>
      <c r="L104" s="30">
        <v>8090</v>
      </c>
      <c r="N104" s="112" t="s">
        <v>6905</v>
      </c>
      <c r="O104" s="4"/>
      <c r="Q104" s="4"/>
    </row>
    <row r="105" spans="1:17">
      <c r="A105" s="112" t="s">
        <v>7009</v>
      </c>
      <c r="B105" s="112" t="s">
        <v>8435</v>
      </c>
      <c r="C105" s="4" t="s">
        <v>14725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7926</v>
      </c>
      <c r="K105" s="30">
        <v>8185</v>
      </c>
      <c r="L105" s="30">
        <v>8241</v>
      </c>
      <c r="N105" s="112" t="s">
        <v>6908</v>
      </c>
      <c r="O105" s="4"/>
      <c r="Q105" s="4"/>
    </row>
    <row r="106" spans="1:17">
      <c r="A106" s="112" t="s">
        <v>7011</v>
      </c>
      <c r="B106" s="112" t="s">
        <v>3491</v>
      </c>
      <c r="C106" s="4" t="s">
        <v>14726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1">
        <v>7853</v>
      </c>
      <c r="K106" s="31">
        <v>8079</v>
      </c>
      <c r="L106" s="31">
        <v>8131</v>
      </c>
      <c r="N106" s="112" t="s">
        <v>6908</v>
      </c>
      <c r="O106" s="4"/>
      <c r="Q106" s="4"/>
    </row>
    <row r="107" spans="1:17">
      <c r="A107" s="481">
        <v>14</v>
      </c>
      <c r="B107" s="112" t="s">
        <v>3492</v>
      </c>
      <c r="C107" s="4" t="s">
        <v>14727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1">
        <v>8218</v>
      </c>
      <c r="K107" s="31">
        <v>8547</v>
      </c>
      <c r="L107" s="31">
        <v>8702</v>
      </c>
      <c r="N107" s="112" t="s">
        <v>6908</v>
      </c>
      <c r="O107" s="4"/>
      <c r="Q107" s="4"/>
    </row>
    <row r="108" spans="1:17">
      <c r="A108" s="481">
        <v>15</v>
      </c>
      <c r="B108" s="112" t="s">
        <v>3493</v>
      </c>
      <c r="C108" s="4" t="s">
        <v>14728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1">
        <v>7804</v>
      </c>
      <c r="K108" s="31">
        <v>8037</v>
      </c>
      <c r="L108" s="31">
        <v>8121</v>
      </c>
      <c r="N108" s="112" t="s">
        <v>6908</v>
      </c>
      <c r="O108" s="4"/>
      <c r="Q108" s="4"/>
    </row>
    <row r="109" spans="1:17">
      <c r="A109" s="481">
        <v>16</v>
      </c>
      <c r="B109" s="112" t="s">
        <v>3494</v>
      </c>
      <c r="C109" s="4" t="s">
        <v>14729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1">
        <v>7417</v>
      </c>
      <c r="K109" s="31">
        <v>7841</v>
      </c>
      <c r="L109" s="31">
        <v>7767</v>
      </c>
      <c r="N109" s="112" t="s">
        <v>6908</v>
      </c>
      <c r="O109" s="4"/>
      <c r="Q109" s="4"/>
    </row>
    <row r="110" spans="1:17">
      <c r="D110" s="478"/>
      <c r="E110" s="478"/>
      <c r="F110" s="478"/>
      <c r="G110" s="478"/>
      <c r="H110" s="478"/>
      <c r="I110" s="478"/>
      <c r="J110" s="478"/>
      <c r="K110" s="478"/>
      <c r="L110" s="478"/>
    </row>
    <row r="111" spans="1:17">
      <c r="A111" s="112" t="s">
        <v>5170</v>
      </c>
      <c r="D111" s="478">
        <f>D88+D91+D94</f>
        <v>12948</v>
      </c>
      <c r="E111" s="478">
        <f t="shared" ref="E111:J111" si="130">E88+E91+E94</f>
        <v>12864</v>
      </c>
      <c r="F111" s="478">
        <f t="shared" si="130"/>
        <v>12887</v>
      </c>
      <c r="G111" s="478">
        <f t="shared" si="130"/>
        <v>13033</v>
      </c>
      <c r="H111" s="478">
        <f t="shared" si="130"/>
        <v>13100</v>
      </c>
      <c r="I111" s="478">
        <f t="shared" si="130"/>
        <v>12682</v>
      </c>
      <c r="J111" s="478">
        <f t="shared" si="130"/>
        <v>12342</v>
      </c>
      <c r="K111" s="478">
        <f t="shared" ref="K111:L111" si="131">K88+K91+K94</f>
        <v>12734</v>
      </c>
      <c r="L111" s="478">
        <f t="shared" si="131"/>
        <v>12419</v>
      </c>
    </row>
    <row r="112" spans="1:17">
      <c r="A112" s="112" t="s">
        <v>3495</v>
      </c>
      <c r="D112" s="476">
        <f>D97+D99+D100+D104</f>
        <v>27557</v>
      </c>
      <c r="E112" s="476">
        <f t="shared" ref="E112:J112" si="132">E97+E99+E100+E104</f>
        <v>27557</v>
      </c>
      <c r="F112" s="476">
        <f t="shared" si="132"/>
        <v>27637</v>
      </c>
      <c r="G112" s="476">
        <f t="shared" si="132"/>
        <v>27481</v>
      </c>
      <c r="H112" s="476">
        <f t="shared" si="132"/>
        <v>27483</v>
      </c>
      <c r="I112" s="476">
        <f t="shared" si="132"/>
        <v>27161</v>
      </c>
      <c r="J112" s="476">
        <f t="shared" si="132"/>
        <v>26355</v>
      </c>
      <c r="K112" s="476">
        <f t="shared" ref="K112:L112" si="133">K97+K99+K100+K104</f>
        <v>26977</v>
      </c>
      <c r="L112" s="476">
        <f t="shared" si="133"/>
        <v>27221</v>
      </c>
    </row>
    <row r="113" spans="1:17">
      <c r="A113" s="112" t="s">
        <v>6908</v>
      </c>
      <c r="D113" s="476">
        <f>D89+D92+D95+D98+SUM(D101:D103)+SUM(D105:D109)</f>
        <v>72314</v>
      </c>
      <c r="E113" s="476">
        <f t="shared" ref="E113:J113" si="134">E89+E92+E95+E98+SUM(E101:E103)+SUM(E105:E109)</f>
        <v>72773</v>
      </c>
      <c r="F113" s="476">
        <f t="shared" si="134"/>
        <v>73130</v>
      </c>
      <c r="G113" s="476">
        <f t="shared" si="134"/>
        <v>72933</v>
      </c>
      <c r="H113" s="476">
        <f t="shared" si="134"/>
        <v>73205</v>
      </c>
      <c r="I113" s="476">
        <f t="shared" si="134"/>
        <v>71469</v>
      </c>
      <c r="J113" s="476">
        <f t="shared" si="134"/>
        <v>69636</v>
      </c>
      <c r="K113" s="476">
        <f t="shared" ref="K113:L113" si="135">K89+K92+K95+K98+SUM(K101:K103)+SUM(K105:K109)</f>
        <v>71885</v>
      </c>
      <c r="L113" s="476">
        <f t="shared" si="135"/>
        <v>72665</v>
      </c>
    </row>
    <row r="115" spans="1:17">
      <c r="A115" s="112" t="s">
        <v>14731</v>
      </c>
    </row>
    <row r="116" spans="1:17">
      <c r="A116" s="112"/>
    </row>
    <row r="117" spans="1:17">
      <c r="A117" s="112"/>
    </row>
    <row r="118" spans="1:17">
      <c r="E118" s="42" t="s">
        <v>2303</v>
      </c>
      <c r="F118" s="42"/>
      <c r="G118" s="42"/>
      <c r="H118" s="42"/>
      <c r="I118" s="42"/>
      <c r="J118" s="42"/>
      <c r="K118" s="42"/>
      <c r="L118" s="42"/>
      <c r="M118" s="43"/>
      <c r="N118" s="25" t="s">
        <v>13319</v>
      </c>
    </row>
    <row r="119" spans="1:17">
      <c r="D119" s="42">
        <v>2010</v>
      </c>
      <c r="E119" s="42">
        <v>2011</v>
      </c>
      <c r="F119" s="42">
        <v>2012</v>
      </c>
      <c r="G119" s="42">
        <v>2013</v>
      </c>
      <c r="H119" s="42">
        <v>2014</v>
      </c>
      <c r="I119" s="42">
        <v>2015</v>
      </c>
      <c r="J119" s="42">
        <v>2016</v>
      </c>
      <c r="K119" s="42">
        <v>2017</v>
      </c>
      <c r="L119" s="42">
        <v>2018</v>
      </c>
      <c r="M119" s="34"/>
      <c r="N119" s="44" t="s">
        <v>2304</v>
      </c>
    </row>
    <row r="120" spans="1:17">
      <c r="A120" s="112" t="s">
        <v>1754</v>
      </c>
      <c r="D120" s="476">
        <f t="shared" ref="D120:I120" si="136">SUM(D121:D131)</f>
        <v>38491</v>
      </c>
      <c r="E120" s="476">
        <f t="shared" si="136"/>
        <v>38984</v>
      </c>
      <c r="F120" s="476">
        <f t="shared" si="136"/>
        <v>39050</v>
      </c>
      <c r="G120" s="476">
        <f t="shared" si="136"/>
        <v>39384</v>
      </c>
      <c r="H120" s="476">
        <f t="shared" si="136"/>
        <v>39867</v>
      </c>
      <c r="I120" s="476">
        <f t="shared" si="136"/>
        <v>38260</v>
      </c>
      <c r="J120" s="476">
        <f t="shared" ref="J120:K120" si="137">SUM(J121:J131)</f>
        <v>37903</v>
      </c>
      <c r="K120" s="476">
        <f t="shared" si="137"/>
        <v>38870</v>
      </c>
      <c r="L120" s="476">
        <f t="shared" ref="L120" si="138">SUM(L121:L131)</f>
        <v>39091</v>
      </c>
    </row>
    <row r="121" spans="1:17">
      <c r="A121" s="112" t="s">
        <v>6957</v>
      </c>
      <c r="B121" s="112" t="s">
        <v>1755</v>
      </c>
      <c r="C121" s="4" t="s">
        <v>12196</v>
      </c>
      <c r="D121" s="476">
        <v>3355</v>
      </c>
      <c r="E121" s="476">
        <v>3391</v>
      </c>
      <c r="F121" s="476">
        <v>3394</v>
      </c>
      <c r="G121" s="30">
        <v>3415</v>
      </c>
      <c r="H121" s="30">
        <v>3434</v>
      </c>
      <c r="I121" s="30">
        <v>3307</v>
      </c>
      <c r="J121" s="30">
        <v>3334</v>
      </c>
      <c r="K121" s="30">
        <v>3404</v>
      </c>
      <c r="L121" s="30">
        <v>3392</v>
      </c>
      <c r="N121" s="112" t="s">
        <v>6902</v>
      </c>
      <c r="O121" s="4"/>
      <c r="Q121" s="4"/>
    </row>
    <row r="122" spans="1:17">
      <c r="A122" s="112" t="s">
        <v>6959</v>
      </c>
      <c r="B122" s="112" t="s">
        <v>8563</v>
      </c>
      <c r="C122" s="4" t="s">
        <v>12197</v>
      </c>
      <c r="D122" s="476">
        <v>3575</v>
      </c>
      <c r="E122" s="476">
        <v>3596</v>
      </c>
      <c r="F122" s="476">
        <v>3590</v>
      </c>
      <c r="G122" s="30">
        <v>3626</v>
      </c>
      <c r="H122" s="30">
        <v>3632</v>
      </c>
      <c r="I122" s="30">
        <v>3453</v>
      </c>
      <c r="J122" s="30">
        <v>3405</v>
      </c>
      <c r="K122" s="30">
        <v>3440</v>
      </c>
      <c r="L122" s="30">
        <v>3488</v>
      </c>
      <c r="N122" s="112" t="s">
        <v>6902</v>
      </c>
      <c r="O122" s="4"/>
      <c r="Q122" s="4"/>
    </row>
    <row r="123" spans="1:17">
      <c r="A123" s="112" t="s">
        <v>6961</v>
      </c>
      <c r="B123" s="112" t="s">
        <v>1756</v>
      </c>
      <c r="C123" s="4" t="s">
        <v>12198</v>
      </c>
      <c r="D123" s="476">
        <v>3146</v>
      </c>
      <c r="E123" s="476">
        <v>3195</v>
      </c>
      <c r="F123" s="476">
        <v>3194</v>
      </c>
      <c r="G123" s="30">
        <v>3240</v>
      </c>
      <c r="H123" s="30">
        <v>3253</v>
      </c>
      <c r="I123" s="30">
        <v>3090</v>
      </c>
      <c r="J123" s="30">
        <v>3065</v>
      </c>
      <c r="K123" s="30">
        <v>3118</v>
      </c>
      <c r="L123" s="30">
        <v>3116</v>
      </c>
      <c r="N123" s="112" t="s">
        <v>6902</v>
      </c>
      <c r="O123" s="4"/>
      <c r="Q123" s="4"/>
    </row>
    <row r="124" spans="1:17">
      <c r="A124" s="112" t="s">
        <v>6963</v>
      </c>
      <c r="B124" s="112" t="s">
        <v>1757</v>
      </c>
      <c r="C124" s="4" t="s">
        <v>12199</v>
      </c>
      <c r="D124" s="476">
        <v>3256</v>
      </c>
      <c r="E124" s="476">
        <v>3307</v>
      </c>
      <c r="F124" s="476">
        <v>3299</v>
      </c>
      <c r="G124" s="30">
        <v>3342</v>
      </c>
      <c r="H124" s="30">
        <v>3441</v>
      </c>
      <c r="I124" s="30">
        <v>3320</v>
      </c>
      <c r="J124" s="30">
        <v>3256</v>
      </c>
      <c r="K124" s="30">
        <v>3367</v>
      </c>
      <c r="L124" s="30">
        <v>3377</v>
      </c>
      <c r="N124" s="112" t="s">
        <v>6902</v>
      </c>
      <c r="O124" s="4"/>
      <c r="Q124" s="4"/>
    </row>
    <row r="125" spans="1:17">
      <c r="A125" s="112" t="s">
        <v>6965</v>
      </c>
      <c r="B125" s="112" t="s">
        <v>1758</v>
      </c>
      <c r="C125" s="4" t="s">
        <v>12200</v>
      </c>
      <c r="D125" s="476">
        <v>4429</v>
      </c>
      <c r="E125" s="476">
        <v>4431</v>
      </c>
      <c r="F125" s="476">
        <v>4424</v>
      </c>
      <c r="G125" s="30">
        <v>4436</v>
      </c>
      <c r="H125" s="30">
        <v>4469</v>
      </c>
      <c r="I125" s="30">
        <v>4266</v>
      </c>
      <c r="J125" s="30">
        <v>4161</v>
      </c>
      <c r="K125" s="30">
        <v>4252</v>
      </c>
      <c r="L125" s="30">
        <v>4248</v>
      </c>
      <c r="N125" s="112" t="s">
        <v>6902</v>
      </c>
      <c r="O125" s="4"/>
      <c r="Q125" s="4"/>
    </row>
    <row r="126" spans="1:17">
      <c r="A126" s="112" t="s">
        <v>6997</v>
      </c>
      <c r="B126" s="112" t="s">
        <v>1759</v>
      </c>
      <c r="C126" s="4" t="s">
        <v>12201</v>
      </c>
      <c r="D126" s="476">
        <v>2993</v>
      </c>
      <c r="E126" s="476">
        <v>3031</v>
      </c>
      <c r="F126" s="476">
        <v>3021</v>
      </c>
      <c r="G126" s="30">
        <v>3041</v>
      </c>
      <c r="H126" s="30">
        <v>3056</v>
      </c>
      <c r="I126" s="30">
        <v>2977</v>
      </c>
      <c r="J126" s="30">
        <v>2928</v>
      </c>
      <c r="K126" s="30">
        <v>2994</v>
      </c>
      <c r="L126" s="30">
        <v>3043</v>
      </c>
      <c r="N126" s="112" t="s">
        <v>6902</v>
      </c>
      <c r="O126" s="4"/>
      <c r="Q126" s="4"/>
    </row>
    <row r="127" spans="1:17">
      <c r="A127" s="112" t="s">
        <v>6999</v>
      </c>
      <c r="B127" s="112" t="s">
        <v>1760</v>
      </c>
      <c r="C127" s="4" t="s">
        <v>12202</v>
      </c>
      <c r="D127" s="476">
        <v>3168</v>
      </c>
      <c r="E127" s="476">
        <v>3231</v>
      </c>
      <c r="F127" s="476">
        <v>3262</v>
      </c>
      <c r="G127" s="30">
        <v>3290</v>
      </c>
      <c r="H127" s="31">
        <v>3420</v>
      </c>
      <c r="I127" s="30">
        <v>3288</v>
      </c>
      <c r="J127" s="30">
        <v>3208</v>
      </c>
      <c r="K127" s="30">
        <v>3266</v>
      </c>
      <c r="L127" s="30">
        <v>3288</v>
      </c>
      <c r="N127" s="112" t="s">
        <v>6902</v>
      </c>
      <c r="O127" s="4"/>
      <c r="Q127" s="4"/>
    </row>
    <row r="128" spans="1:17">
      <c r="A128" s="112" t="s">
        <v>7001</v>
      </c>
      <c r="B128" s="112" t="s">
        <v>5179</v>
      </c>
      <c r="C128" s="4" t="s">
        <v>12203</v>
      </c>
      <c r="D128" s="476">
        <v>3376</v>
      </c>
      <c r="E128" s="476">
        <v>3473</v>
      </c>
      <c r="F128" s="476">
        <v>3438</v>
      </c>
      <c r="G128" s="30">
        <v>3472</v>
      </c>
      <c r="H128" s="31">
        <v>3477</v>
      </c>
      <c r="I128" s="30">
        <v>3286</v>
      </c>
      <c r="J128" s="30">
        <v>3294</v>
      </c>
      <c r="K128" s="30">
        <v>3381</v>
      </c>
      <c r="L128" s="30">
        <v>3408</v>
      </c>
      <c r="N128" s="112" t="s">
        <v>6902</v>
      </c>
      <c r="O128" s="4"/>
      <c r="Q128" s="4"/>
    </row>
    <row r="129" spans="1:17">
      <c r="A129" s="112" t="s">
        <v>7003</v>
      </c>
      <c r="B129" s="112" t="s">
        <v>5180</v>
      </c>
      <c r="C129" s="4" t="s">
        <v>12204</v>
      </c>
      <c r="D129" s="476">
        <v>3109</v>
      </c>
      <c r="E129" s="476">
        <v>3139</v>
      </c>
      <c r="F129" s="476">
        <v>3151</v>
      </c>
      <c r="G129" s="30">
        <v>3163</v>
      </c>
      <c r="H129" s="31">
        <v>3283</v>
      </c>
      <c r="I129" s="30">
        <v>3211</v>
      </c>
      <c r="J129" s="31">
        <v>3217</v>
      </c>
      <c r="K129" s="30">
        <v>3355</v>
      </c>
      <c r="L129" s="30">
        <v>3325</v>
      </c>
      <c r="N129" s="112" t="s">
        <v>6902</v>
      </c>
      <c r="O129" s="4"/>
      <c r="Q129" s="4"/>
    </row>
    <row r="130" spans="1:17">
      <c r="A130" s="112" t="s">
        <v>7005</v>
      </c>
      <c r="B130" s="112" t="s">
        <v>1366</v>
      </c>
      <c r="C130" s="4" t="s">
        <v>12205</v>
      </c>
      <c r="D130" s="476">
        <v>3349</v>
      </c>
      <c r="E130" s="476">
        <v>3405</v>
      </c>
      <c r="F130" s="476">
        <v>3489</v>
      </c>
      <c r="G130" s="30">
        <v>3541</v>
      </c>
      <c r="H130" s="31">
        <v>3549</v>
      </c>
      <c r="I130" s="30">
        <v>3358</v>
      </c>
      <c r="J130" s="31">
        <v>3329</v>
      </c>
      <c r="K130" s="30">
        <v>3460</v>
      </c>
      <c r="L130" s="30">
        <v>3494</v>
      </c>
      <c r="N130" s="112" t="s">
        <v>6902</v>
      </c>
      <c r="O130" s="4"/>
      <c r="Q130" s="4"/>
    </row>
    <row r="131" spans="1:17">
      <c r="A131" s="482">
        <v>11</v>
      </c>
      <c r="B131" s="112" t="s">
        <v>5181</v>
      </c>
      <c r="C131" s="4" t="s">
        <v>12206</v>
      </c>
      <c r="D131" s="478">
        <v>4735</v>
      </c>
      <c r="E131" s="478">
        <v>4785</v>
      </c>
      <c r="F131" s="478">
        <v>4788</v>
      </c>
      <c r="G131" s="30">
        <v>4818</v>
      </c>
      <c r="H131" s="31">
        <v>4853</v>
      </c>
      <c r="I131" s="30">
        <v>4704</v>
      </c>
      <c r="J131" s="31">
        <v>4706</v>
      </c>
      <c r="K131" s="30">
        <v>4833</v>
      </c>
      <c r="L131" s="30">
        <v>4912</v>
      </c>
      <c r="N131" s="112" t="s">
        <v>6902</v>
      </c>
      <c r="O131" s="4"/>
      <c r="Q131" s="4"/>
    </row>
    <row r="132" spans="1:17">
      <c r="D132" s="478"/>
      <c r="E132" s="478"/>
      <c r="F132" s="478"/>
      <c r="G132" s="478"/>
      <c r="H132" s="478"/>
      <c r="I132" s="478"/>
      <c r="J132" s="478"/>
      <c r="K132" s="478"/>
      <c r="L132" s="478"/>
    </row>
    <row r="133" spans="1:17">
      <c r="A133" s="112" t="s">
        <v>3496</v>
      </c>
      <c r="D133" s="476">
        <f t="shared" ref="D133:I133" si="139">SUM(D121:D131)</f>
        <v>38491</v>
      </c>
      <c r="E133" s="476">
        <f t="shared" si="139"/>
        <v>38984</v>
      </c>
      <c r="F133" s="476">
        <f t="shared" si="139"/>
        <v>39050</v>
      </c>
      <c r="G133" s="476">
        <f t="shared" si="139"/>
        <v>39384</v>
      </c>
      <c r="H133" s="476">
        <f t="shared" si="139"/>
        <v>39867</v>
      </c>
      <c r="I133" s="476">
        <f t="shared" si="139"/>
        <v>38260</v>
      </c>
      <c r="J133" s="476">
        <f t="shared" ref="J133:K133" si="140">SUM(J121:J131)</f>
        <v>37903</v>
      </c>
      <c r="K133" s="476">
        <f t="shared" si="140"/>
        <v>38870</v>
      </c>
      <c r="L133" s="476">
        <f t="shared" ref="L133" si="141">SUM(L121:L131)</f>
        <v>39091</v>
      </c>
    </row>
    <row r="134" spans="1:17">
      <c r="A134" s="112"/>
      <c r="D134" s="476"/>
      <c r="E134" s="476"/>
      <c r="F134" s="476"/>
      <c r="G134" s="476"/>
      <c r="H134" s="476"/>
      <c r="I134" s="476"/>
      <c r="J134" s="476"/>
      <c r="K134" s="476"/>
      <c r="L134" s="476"/>
    </row>
    <row r="135" spans="1:17">
      <c r="A135" s="112" t="s">
        <v>3497</v>
      </c>
      <c r="D135" s="476"/>
      <c r="E135" s="476"/>
      <c r="F135" s="476"/>
      <c r="G135" s="476"/>
      <c r="H135" s="476"/>
      <c r="I135" s="476"/>
      <c r="J135" s="476"/>
      <c r="K135" s="476"/>
      <c r="L135" s="476"/>
    </row>
    <row r="136" spans="1:17">
      <c r="A136" s="112"/>
      <c r="B136" s="112"/>
      <c r="D136" s="483"/>
      <c r="E136" s="483"/>
      <c r="F136" s="483"/>
      <c r="G136" s="483"/>
      <c r="H136" s="483"/>
      <c r="I136" s="483"/>
      <c r="J136" s="483"/>
      <c r="K136" s="483"/>
      <c r="L136" s="483"/>
    </row>
    <row r="137" spans="1:17">
      <c r="A137" s="112"/>
      <c r="B137" s="112"/>
      <c r="D137" s="483"/>
      <c r="E137" s="483"/>
      <c r="F137" s="483"/>
      <c r="G137" s="483"/>
      <c r="H137" s="483"/>
      <c r="I137" s="483"/>
      <c r="J137" s="483"/>
      <c r="K137" s="483"/>
      <c r="L137" s="483"/>
    </row>
    <row r="138" spans="1:17">
      <c r="E138" s="42" t="s">
        <v>2303</v>
      </c>
      <c r="F138" s="42"/>
      <c r="G138" s="42"/>
      <c r="H138" s="42"/>
      <c r="I138" s="42"/>
      <c r="J138" s="42"/>
      <c r="K138" s="42"/>
      <c r="L138" s="42"/>
      <c r="M138" s="43"/>
      <c r="N138" s="25" t="s">
        <v>13319</v>
      </c>
    </row>
    <row r="139" spans="1:17">
      <c r="D139" s="42">
        <v>2010</v>
      </c>
      <c r="E139" s="42">
        <v>2011</v>
      </c>
      <c r="F139" s="42">
        <v>2012</v>
      </c>
      <c r="G139" s="42">
        <v>2013</v>
      </c>
      <c r="H139" s="42">
        <v>2014</v>
      </c>
      <c r="I139" s="42">
        <v>2015</v>
      </c>
      <c r="J139" s="42">
        <v>2016</v>
      </c>
      <c r="K139" s="42">
        <v>2017</v>
      </c>
      <c r="L139" s="42">
        <v>2018</v>
      </c>
      <c r="M139" s="34"/>
      <c r="N139" s="44" t="s">
        <v>2304</v>
      </c>
    </row>
    <row r="140" spans="1:17">
      <c r="A140" s="112" t="s">
        <v>3498</v>
      </c>
      <c r="D140" s="476">
        <f t="shared" ref="D140:I140" si="142">SUM(D141:D144)+SUM(D146:D154)+D156+D157+SUM(D159:D162)+D164</f>
        <v>71197</v>
      </c>
      <c r="E140" s="476">
        <f t="shared" si="142"/>
        <v>70915</v>
      </c>
      <c r="F140" s="476">
        <f t="shared" si="142"/>
        <v>71494</v>
      </c>
      <c r="G140" s="476">
        <f t="shared" si="142"/>
        <v>72261</v>
      </c>
      <c r="H140" s="476">
        <f t="shared" si="142"/>
        <v>72499</v>
      </c>
      <c r="I140" s="476">
        <f t="shared" si="142"/>
        <v>70083</v>
      </c>
      <c r="J140" s="476">
        <f>SUM(J141:J144)+SUM(J146:J154)+J156+J157+SUM(J159:J162)+J164</f>
        <v>69860</v>
      </c>
      <c r="K140" s="476">
        <f>SUM(K141:K144)+SUM(K146:K154)+K156+K157+SUM(K159:K162)+K164</f>
        <v>71406</v>
      </c>
      <c r="L140" s="476">
        <f>SUM(L141:L144)+SUM(L146:L154)+L156+L157+SUM(L159:L162)+L164</f>
        <v>71315</v>
      </c>
    </row>
    <row r="141" spans="1:17">
      <c r="A141" s="112" t="s">
        <v>6957</v>
      </c>
      <c r="B141" s="112" t="s">
        <v>1748</v>
      </c>
      <c r="C141" s="4" t="s">
        <v>14732</v>
      </c>
      <c r="D141" s="476">
        <v>21503</v>
      </c>
      <c r="E141" s="476">
        <v>21506</v>
      </c>
      <c r="F141" s="476">
        <v>21714</v>
      </c>
      <c r="G141" s="31">
        <v>21918</v>
      </c>
      <c r="H141" s="31">
        <v>21966</v>
      </c>
      <c r="I141" s="31">
        <v>21164</v>
      </c>
      <c r="J141" s="31">
        <v>2444</v>
      </c>
      <c r="K141" s="30">
        <v>2471</v>
      </c>
      <c r="L141" s="30">
        <v>2498</v>
      </c>
      <c r="N141" s="112" t="s">
        <v>6907</v>
      </c>
      <c r="O141" s="4"/>
      <c r="Q141" s="4"/>
    </row>
    <row r="142" spans="1:17">
      <c r="A142" s="112" t="s">
        <v>6959</v>
      </c>
      <c r="B142" s="112" t="s">
        <v>1749</v>
      </c>
      <c r="C142" s="4" t="s">
        <v>14738</v>
      </c>
      <c r="D142" s="476">
        <v>30192</v>
      </c>
      <c r="E142" s="476">
        <v>30024</v>
      </c>
      <c r="F142" s="476">
        <v>30326</v>
      </c>
      <c r="G142" s="30">
        <v>30732</v>
      </c>
      <c r="H142" s="30">
        <v>30865</v>
      </c>
      <c r="I142" s="30">
        <v>29842</v>
      </c>
      <c r="J142" s="30">
        <v>2403</v>
      </c>
      <c r="K142" s="30">
        <v>2461</v>
      </c>
      <c r="L142" s="30">
        <v>2434</v>
      </c>
      <c r="N142" s="112" t="s">
        <v>6902</v>
      </c>
      <c r="O142" s="4"/>
      <c r="Q142" s="4"/>
    </row>
    <row r="143" spans="1:17">
      <c r="A143" s="112" t="s">
        <v>6961</v>
      </c>
      <c r="B143" s="112" t="s">
        <v>1750</v>
      </c>
      <c r="C143" s="4" t="s">
        <v>14739</v>
      </c>
      <c r="D143" s="476">
        <v>0</v>
      </c>
      <c r="E143" s="476">
        <v>0</v>
      </c>
      <c r="F143" s="476">
        <v>0</v>
      </c>
      <c r="G143" s="30">
        <v>0</v>
      </c>
      <c r="H143" s="31">
        <v>0</v>
      </c>
      <c r="I143" s="30">
        <v>0</v>
      </c>
      <c r="J143" s="30">
        <v>981</v>
      </c>
      <c r="K143" s="30">
        <v>1002</v>
      </c>
      <c r="L143" s="30">
        <v>1011</v>
      </c>
      <c r="N143" s="112" t="s">
        <v>6902</v>
      </c>
      <c r="O143" s="4"/>
      <c r="Q143" s="4"/>
    </row>
    <row r="144" spans="1:17" ht="15.75" thickBot="1">
      <c r="A144" s="112"/>
      <c r="B144" s="112"/>
      <c r="C144" s="4" t="s">
        <v>14739</v>
      </c>
      <c r="D144" s="477">
        <v>0</v>
      </c>
      <c r="E144" s="477">
        <v>0</v>
      </c>
      <c r="F144" s="477">
        <v>0</v>
      </c>
      <c r="G144" s="899">
        <v>0</v>
      </c>
      <c r="H144" s="905">
        <v>0</v>
      </c>
      <c r="I144" s="899">
        <v>0</v>
      </c>
      <c r="J144" s="31">
        <v>3917</v>
      </c>
      <c r="K144" s="30">
        <v>3947</v>
      </c>
      <c r="L144" s="30">
        <v>3941</v>
      </c>
      <c r="N144" s="112" t="s">
        <v>6905</v>
      </c>
      <c r="O144" s="4"/>
      <c r="Q144" s="4"/>
    </row>
    <row r="145" spans="1:17" ht="15.75" thickBot="1">
      <c r="A145" s="112"/>
      <c r="B145" s="112"/>
      <c r="C145" s="4" t="s">
        <v>14739</v>
      </c>
      <c r="D145" s="911">
        <f>D143+D144</f>
        <v>0</v>
      </c>
      <c r="E145" s="911">
        <f t="shared" ref="E145:L145" si="143">E143+E144</f>
        <v>0</v>
      </c>
      <c r="F145" s="911">
        <f t="shared" si="143"/>
        <v>0</v>
      </c>
      <c r="G145" s="911">
        <f t="shared" si="143"/>
        <v>0</v>
      </c>
      <c r="H145" s="911">
        <f t="shared" si="143"/>
        <v>0</v>
      </c>
      <c r="I145" s="911">
        <f t="shared" si="143"/>
        <v>0</v>
      </c>
      <c r="J145" s="911">
        <f t="shared" si="143"/>
        <v>4898</v>
      </c>
      <c r="K145" s="911">
        <f t="shared" si="143"/>
        <v>4949</v>
      </c>
      <c r="L145" s="911">
        <f t="shared" si="143"/>
        <v>4952</v>
      </c>
      <c r="N145" s="112"/>
      <c r="O145" s="4"/>
      <c r="Q145" s="4"/>
    </row>
    <row r="146" spans="1:17">
      <c r="A146" s="112" t="s">
        <v>6963</v>
      </c>
      <c r="B146" s="112" t="s">
        <v>1751</v>
      </c>
      <c r="C146" s="4" t="s">
        <v>14740</v>
      </c>
      <c r="D146" s="476">
        <v>19502</v>
      </c>
      <c r="E146" s="476">
        <v>19385</v>
      </c>
      <c r="F146" s="476">
        <v>19454</v>
      </c>
      <c r="G146" s="30">
        <v>19611</v>
      </c>
      <c r="H146" s="31">
        <v>19668</v>
      </c>
      <c r="I146" s="30">
        <v>19077</v>
      </c>
      <c r="J146" s="31">
        <v>2042</v>
      </c>
      <c r="K146" s="30">
        <v>2111</v>
      </c>
      <c r="L146" s="30">
        <v>2074</v>
      </c>
      <c r="N146" s="112" t="s">
        <v>6905</v>
      </c>
      <c r="O146" s="4"/>
      <c r="Q146" s="4"/>
    </row>
    <row r="147" spans="1:17">
      <c r="A147" s="112" t="s">
        <v>6965</v>
      </c>
      <c r="B147" s="112" t="s">
        <v>14733</v>
      </c>
      <c r="C147" s="4" t="s">
        <v>14741</v>
      </c>
      <c r="D147" s="476">
        <v>0</v>
      </c>
      <c r="E147" s="476">
        <v>0</v>
      </c>
      <c r="F147" s="476">
        <v>0</v>
      </c>
      <c r="G147" s="30">
        <v>0</v>
      </c>
      <c r="H147" s="31">
        <v>0</v>
      </c>
      <c r="I147" s="30">
        <v>0</v>
      </c>
      <c r="J147" s="31">
        <v>7908</v>
      </c>
      <c r="K147" s="30">
        <v>8003</v>
      </c>
      <c r="L147" s="30">
        <v>7968</v>
      </c>
      <c r="N147" s="112" t="s">
        <v>6905</v>
      </c>
      <c r="O147" s="4"/>
      <c r="Q147" s="4"/>
    </row>
    <row r="148" spans="1:17">
      <c r="A148" s="112" t="s">
        <v>6997</v>
      </c>
      <c r="B148" s="112" t="s">
        <v>1752</v>
      </c>
      <c r="C148" s="4" t="s">
        <v>14742</v>
      </c>
      <c r="D148" s="476">
        <v>0</v>
      </c>
      <c r="E148" s="476">
        <v>0</v>
      </c>
      <c r="F148" s="476">
        <v>0</v>
      </c>
      <c r="G148" s="30">
        <v>0</v>
      </c>
      <c r="H148" s="31">
        <v>0</v>
      </c>
      <c r="I148" s="30">
        <v>0</v>
      </c>
      <c r="J148" s="31">
        <v>2512</v>
      </c>
      <c r="K148" s="30">
        <v>2587</v>
      </c>
      <c r="L148" s="30">
        <v>2594</v>
      </c>
      <c r="N148" s="112" t="s">
        <v>6907</v>
      </c>
      <c r="O148" s="4"/>
      <c r="Q148" s="4"/>
    </row>
    <row r="149" spans="1:17">
      <c r="A149" s="112" t="s">
        <v>6999</v>
      </c>
      <c r="B149" s="112" t="s">
        <v>5175</v>
      </c>
      <c r="C149" s="4" t="s">
        <v>14743</v>
      </c>
      <c r="D149" s="476">
        <v>0</v>
      </c>
      <c r="E149" s="476">
        <v>0</v>
      </c>
      <c r="F149" s="476">
        <v>0</v>
      </c>
      <c r="G149" s="30">
        <v>0</v>
      </c>
      <c r="H149" s="31">
        <v>0</v>
      </c>
      <c r="I149" s="30">
        <v>0</v>
      </c>
      <c r="J149" s="30">
        <v>6769</v>
      </c>
      <c r="K149" s="30">
        <v>6967</v>
      </c>
      <c r="L149" s="30">
        <v>7001</v>
      </c>
      <c r="N149" s="112" t="s">
        <v>6902</v>
      </c>
      <c r="O149" s="4"/>
      <c r="Q149" s="4"/>
    </row>
    <row r="150" spans="1:17">
      <c r="A150" s="112" t="s">
        <v>7001</v>
      </c>
      <c r="B150" s="112" t="s">
        <v>14734</v>
      </c>
      <c r="C150" s="4" t="s">
        <v>14744</v>
      </c>
      <c r="D150" s="476">
        <v>0</v>
      </c>
      <c r="E150" s="476">
        <v>0</v>
      </c>
      <c r="F150" s="476">
        <v>0</v>
      </c>
      <c r="G150" s="31">
        <v>0</v>
      </c>
      <c r="H150" s="31">
        <v>0</v>
      </c>
      <c r="I150" s="31">
        <v>0</v>
      </c>
      <c r="J150" s="30">
        <v>2660</v>
      </c>
      <c r="K150" s="30">
        <v>2783</v>
      </c>
      <c r="L150" s="30">
        <v>2789</v>
      </c>
      <c r="N150" s="112" t="s">
        <v>6902</v>
      </c>
      <c r="O150" s="4"/>
      <c r="Q150" s="4"/>
    </row>
    <row r="151" spans="1:17">
      <c r="A151" s="112" t="s">
        <v>7003</v>
      </c>
      <c r="B151" s="112" t="s">
        <v>5176</v>
      </c>
      <c r="C151" s="4" t="s">
        <v>14745</v>
      </c>
      <c r="D151" s="476">
        <v>0</v>
      </c>
      <c r="E151" s="476">
        <v>0</v>
      </c>
      <c r="F151" s="476">
        <v>0</v>
      </c>
      <c r="G151" s="30">
        <v>0</v>
      </c>
      <c r="H151" s="30">
        <v>0</v>
      </c>
      <c r="I151" s="30">
        <v>0</v>
      </c>
      <c r="J151" s="31">
        <v>2278</v>
      </c>
      <c r="K151" s="30">
        <v>2306</v>
      </c>
      <c r="L151" s="30">
        <v>2296</v>
      </c>
      <c r="N151" s="112" t="s">
        <v>6907</v>
      </c>
      <c r="O151" s="4"/>
      <c r="Q151" s="4"/>
    </row>
    <row r="152" spans="1:17">
      <c r="A152" s="112" t="s">
        <v>7005</v>
      </c>
      <c r="B152" s="112" t="s">
        <v>5177</v>
      </c>
      <c r="C152" s="4" t="s">
        <v>14746</v>
      </c>
      <c r="D152" s="476">
        <v>0</v>
      </c>
      <c r="E152" s="476">
        <v>0</v>
      </c>
      <c r="F152" s="476">
        <v>0</v>
      </c>
      <c r="G152" s="30">
        <v>0</v>
      </c>
      <c r="H152" s="30">
        <v>0</v>
      </c>
      <c r="I152" s="30">
        <v>0</v>
      </c>
      <c r="J152" s="30">
        <v>4562</v>
      </c>
      <c r="K152" s="30">
        <v>4707</v>
      </c>
      <c r="L152" s="30">
        <v>4735</v>
      </c>
      <c r="N152" s="112" t="s">
        <v>6902</v>
      </c>
      <c r="O152" s="4"/>
      <c r="Q152" s="4"/>
    </row>
    <row r="153" spans="1:17">
      <c r="A153" s="112" t="s">
        <v>7007</v>
      </c>
      <c r="B153" s="112" t="s">
        <v>3669</v>
      </c>
      <c r="C153" s="4" t="s">
        <v>14747</v>
      </c>
      <c r="D153" s="476">
        <v>0</v>
      </c>
      <c r="E153" s="476">
        <v>0</v>
      </c>
      <c r="F153" s="476">
        <v>0</v>
      </c>
      <c r="G153" s="30">
        <v>0</v>
      </c>
      <c r="H153" s="31">
        <v>0</v>
      </c>
      <c r="I153" s="30">
        <v>0</v>
      </c>
      <c r="J153" s="30">
        <v>6061</v>
      </c>
      <c r="K153" s="30">
        <v>6150</v>
      </c>
      <c r="L153" s="30">
        <v>6136</v>
      </c>
      <c r="N153" s="112" t="s">
        <v>6902</v>
      </c>
      <c r="O153" s="4"/>
      <c r="Q153" s="4"/>
    </row>
    <row r="154" spans="1:17" ht="15.75" thickBot="1">
      <c r="A154" s="112"/>
      <c r="B154" s="112"/>
      <c r="C154" s="4" t="s">
        <v>14747</v>
      </c>
      <c r="D154" s="477">
        <v>0</v>
      </c>
      <c r="E154" s="477">
        <v>0</v>
      </c>
      <c r="F154" s="477">
        <v>0</v>
      </c>
      <c r="G154" s="899">
        <v>0</v>
      </c>
      <c r="H154" s="905">
        <v>0</v>
      </c>
      <c r="I154" s="899">
        <v>0</v>
      </c>
      <c r="J154" s="31">
        <v>1113</v>
      </c>
      <c r="K154" s="31">
        <v>1150</v>
      </c>
      <c r="L154" s="31">
        <v>1133</v>
      </c>
      <c r="N154" s="112" t="s">
        <v>6907</v>
      </c>
      <c r="O154" s="4"/>
      <c r="Q154" s="4"/>
    </row>
    <row r="155" spans="1:17" ht="15.75" thickBot="1">
      <c r="A155" s="112"/>
      <c r="B155" s="112"/>
      <c r="C155" s="4" t="s">
        <v>14747</v>
      </c>
      <c r="D155" s="911">
        <f>D153+D154</f>
        <v>0</v>
      </c>
      <c r="E155" s="911">
        <f t="shared" ref="E155" si="144">E153+E154</f>
        <v>0</v>
      </c>
      <c r="F155" s="911">
        <f t="shared" ref="F155" si="145">F153+F154</f>
        <v>0</v>
      </c>
      <c r="G155" s="911">
        <f t="shared" ref="G155" si="146">G153+G154</f>
        <v>0</v>
      </c>
      <c r="H155" s="911">
        <f t="shared" ref="H155" si="147">H153+H154</f>
        <v>0</v>
      </c>
      <c r="I155" s="911">
        <f t="shared" ref="I155" si="148">I153+I154</f>
        <v>0</v>
      </c>
      <c r="J155" s="911">
        <f t="shared" ref="J155:L155" si="149">J153+J154</f>
        <v>7174</v>
      </c>
      <c r="K155" s="911">
        <f t="shared" si="149"/>
        <v>7300</v>
      </c>
      <c r="L155" s="911">
        <f t="shared" si="149"/>
        <v>7269</v>
      </c>
      <c r="N155" s="112"/>
      <c r="O155" s="4"/>
      <c r="Q155" s="4"/>
    </row>
    <row r="156" spans="1:17">
      <c r="A156" s="112" t="s">
        <v>7009</v>
      </c>
      <c r="B156" s="112" t="s">
        <v>5178</v>
      </c>
      <c r="C156" s="4" t="s">
        <v>14748</v>
      </c>
      <c r="D156" s="476">
        <v>0</v>
      </c>
      <c r="E156" s="476">
        <v>0</v>
      </c>
      <c r="F156" s="476">
        <v>0</v>
      </c>
      <c r="G156" s="30">
        <v>0</v>
      </c>
      <c r="H156" s="31">
        <v>0</v>
      </c>
      <c r="I156" s="30">
        <v>0</v>
      </c>
      <c r="J156" s="31">
        <v>189</v>
      </c>
      <c r="K156" s="31">
        <v>196</v>
      </c>
      <c r="L156" s="31">
        <v>205</v>
      </c>
      <c r="N156" s="112" t="s">
        <v>6905</v>
      </c>
      <c r="O156" s="4"/>
      <c r="Q156" s="4"/>
    </row>
    <row r="157" spans="1:17" ht="15.75" thickBot="1">
      <c r="A157" s="112"/>
      <c r="B157" s="112"/>
      <c r="C157" s="4" t="s">
        <v>14748</v>
      </c>
      <c r="D157" s="477">
        <v>0</v>
      </c>
      <c r="E157" s="477">
        <v>0</v>
      </c>
      <c r="F157" s="477">
        <v>0</v>
      </c>
      <c r="G157" s="899">
        <v>0</v>
      </c>
      <c r="H157" s="905">
        <v>0</v>
      </c>
      <c r="I157" s="899">
        <v>0</v>
      </c>
      <c r="J157" s="31">
        <v>1988</v>
      </c>
      <c r="K157" s="31">
        <v>2037</v>
      </c>
      <c r="L157" s="31">
        <v>2028</v>
      </c>
      <c r="N157" s="112" t="s">
        <v>6907</v>
      </c>
      <c r="O157" s="4"/>
      <c r="Q157" s="4"/>
    </row>
    <row r="158" spans="1:17" ht="15.75" thickBot="1">
      <c r="A158" s="112"/>
      <c r="B158" s="112"/>
      <c r="C158" s="4" t="s">
        <v>14748</v>
      </c>
      <c r="D158" s="911">
        <f>D156+D157</f>
        <v>0</v>
      </c>
      <c r="E158" s="911">
        <f t="shared" ref="E158" si="150">E156+E157</f>
        <v>0</v>
      </c>
      <c r="F158" s="911">
        <f t="shared" ref="F158" si="151">F156+F157</f>
        <v>0</v>
      </c>
      <c r="G158" s="911">
        <f t="shared" ref="G158" si="152">G156+G157</f>
        <v>0</v>
      </c>
      <c r="H158" s="911">
        <f t="shared" ref="H158" si="153">H156+H157</f>
        <v>0</v>
      </c>
      <c r="I158" s="911">
        <f t="shared" ref="I158" si="154">I156+I157</f>
        <v>0</v>
      </c>
      <c r="J158" s="911">
        <f t="shared" ref="J158:L158" si="155">J156+J157</f>
        <v>2177</v>
      </c>
      <c r="K158" s="911">
        <f t="shared" si="155"/>
        <v>2233</v>
      </c>
      <c r="L158" s="911">
        <f t="shared" si="155"/>
        <v>2233</v>
      </c>
      <c r="N158" s="112"/>
      <c r="O158" s="4"/>
      <c r="Q158" s="4"/>
    </row>
    <row r="159" spans="1:17">
      <c r="A159" s="112" t="s">
        <v>7011</v>
      </c>
      <c r="B159" s="112" t="s">
        <v>14735</v>
      </c>
      <c r="C159" s="4" t="s">
        <v>14749</v>
      </c>
      <c r="D159" s="476">
        <v>0</v>
      </c>
      <c r="E159" s="476">
        <v>0</v>
      </c>
      <c r="F159" s="476">
        <v>0</v>
      </c>
      <c r="G159" s="30">
        <v>0</v>
      </c>
      <c r="H159" s="30">
        <v>0</v>
      </c>
      <c r="I159" s="30">
        <v>0</v>
      </c>
      <c r="J159" s="31">
        <v>4646</v>
      </c>
      <c r="K159" s="31">
        <v>4706</v>
      </c>
      <c r="L159" s="31">
        <v>4708</v>
      </c>
      <c r="N159" s="112" t="s">
        <v>6907</v>
      </c>
      <c r="O159" s="4"/>
      <c r="Q159" s="4"/>
    </row>
    <row r="160" spans="1:17">
      <c r="A160" s="112" t="s">
        <v>7013</v>
      </c>
      <c r="B160" s="112" t="s">
        <v>14736</v>
      </c>
      <c r="C160" s="4" t="s">
        <v>14750</v>
      </c>
      <c r="D160" s="476">
        <v>0</v>
      </c>
      <c r="E160" s="476">
        <v>0</v>
      </c>
      <c r="F160" s="476">
        <v>0</v>
      </c>
      <c r="G160" s="30">
        <v>0</v>
      </c>
      <c r="H160" s="30">
        <v>0</v>
      </c>
      <c r="I160" s="30">
        <v>0</v>
      </c>
      <c r="J160" s="31">
        <v>5079</v>
      </c>
      <c r="K160" s="31">
        <v>5190</v>
      </c>
      <c r="L160" s="31">
        <v>5128</v>
      </c>
      <c r="N160" s="112" t="s">
        <v>6907</v>
      </c>
      <c r="O160" s="4"/>
      <c r="Q160" s="4"/>
    </row>
    <row r="161" spans="1:17">
      <c r="A161" s="112" t="s">
        <v>7015</v>
      </c>
      <c r="B161" s="112" t="s">
        <v>14737</v>
      </c>
      <c r="C161" s="4" t="s">
        <v>14751</v>
      </c>
      <c r="D161" s="476">
        <v>0</v>
      </c>
      <c r="E161" s="476">
        <v>0</v>
      </c>
      <c r="F161" s="476">
        <v>0</v>
      </c>
      <c r="G161" s="30">
        <v>0</v>
      </c>
      <c r="H161" s="30">
        <v>0</v>
      </c>
      <c r="I161" s="30">
        <v>0</v>
      </c>
      <c r="J161" s="30">
        <v>6261</v>
      </c>
      <c r="K161" s="30">
        <v>6424</v>
      </c>
      <c r="L161" s="30">
        <v>6380</v>
      </c>
      <c r="N161" s="112" t="s">
        <v>6902</v>
      </c>
      <c r="O161" s="4"/>
      <c r="Q161" s="4"/>
    </row>
    <row r="162" spans="1:17" ht="15.75" thickBot="1">
      <c r="A162" s="112"/>
      <c r="B162" s="112"/>
      <c r="C162" s="4" t="s">
        <v>14751</v>
      </c>
      <c r="D162" s="477">
        <v>0</v>
      </c>
      <c r="E162" s="477">
        <v>0</v>
      </c>
      <c r="F162" s="477">
        <v>0</v>
      </c>
      <c r="G162" s="899">
        <v>0</v>
      </c>
      <c r="H162" s="905">
        <v>0</v>
      </c>
      <c r="I162" s="899">
        <v>0</v>
      </c>
      <c r="J162" s="31">
        <v>1049</v>
      </c>
      <c r="K162" s="31">
        <v>1069</v>
      </c>
      <c r="L162" s="31">
        <v>1072</v>
      </c>
      <c r="N162" s="112" t="s">
        <v>6907</v>
      </c>
      <c r="O162" s="4"/>
      <c r="Q162" s="4"/>
    </row>
    <row r="163" spans="1:17" ht="15.75" thickBot="1">
      <c r="A163" s="112"/>
      <c r="B163" s="112"/>
      <c r="C163" s="4" t="s">
        <v>14751</v>
      </c>
      <c r="D163" s="911">
        <f>D161+D162</f>
        <v>0</v>
      </c>
      <c r="E163" s="911">
        <f t="shared" ref="E163" si="156">E161+E162</f>
        <v>0</v>
      </c>
      <c r="F163" s="911">
        <f t="shared" ref="F163" si="157">F161+F162</f>
        <v>0</v>
      </c>
      <c r="G163" s="911">
        <f t="shared" ref="G163" si="158">G161+G162</f>
        <v>0</v>
      </c>
      <c r="H163" s="911">
        <f t="shared" ref="H163" si="159">H161+H162</f>
        <v>0</v>
      </c>
      <c r="I163" s="911">
        <f t="shared" ref="I163" si="160">I161+I162</f>
        <v>0</v>
      </c>
      <c r="J163" s="911">
        <f t="shared" ref="J163:L163" si="161">J161+J162</f>
        <v>7310</v>
      </c>
      <c r="K163" s="911">
        <f t="shared" si="161"/>
        <v>7493</v>
      </c>
      <c r="L163" s="911">
        <f t="shared" si="161"/>
        <v>7452</v>
      </c>
      <c r="N163" s="112"/>
      <c r="O163" s="4"/>
      <c r="Q163" s="4"/>
    </row>
    <row r="164" spans="1:17">
      <c r="A164" s="112" t="s">
        <v>7017</v>
      </c>
      <c r="B164" s="112" t="s">
        <v>8703</v>
      </c>
      <c r="C164" s="4" t="s">
        <v>14752</v>
      </c>
      <c r="D164" s="476">
        <v>0</v>
      </c>
      <c r="E164" s="476">
        <v>0</v>
      </c>
      <c r="F164" s="476">
        <v>0</v>
      </c>
      <c r="G164" s="30">
        <v>0</v>
      </c>
      <c r="H164" s="30">
        <v>0</v>
      </c>
      <c r="I164" s="30">
        <v>0</v>
      </c>
      <c r="J164" s="31">
        <v>4998</v>
      </c>
      <c r="K164" s="31">
        <v>5139</v>
      </c>
      <c r="L164" s="31">
        <v>5184</v>
      </c>
      <c r="N164" s="112" t="s">
        <v>6905</v>
      </c>
      <c r="O164" s="4"/>
      <c r="Q164" s="4"/>
    </row>
    <row r="165" spans="1:17">
      <c r="D165" s="478"/>
      <c r="E165" s="478"/>
      <c r="F165" s="478"/>
      <c r="G165" s="478"/>
      <c r="H165" s="478"/>
      <c r="I165" s="478"/>
      <c r="J165" s="478"/>
      <c r="K165" s="478"/>
      <c r="L165" s="478"/>
    </row>
    <row r="166" spans="1:17">
      <c r="A166" s="112" t="s">
        <v>3496</v>
      </c>
      <c r="D166" s="476">
        <f t="shared" ref="D166:I166" si="162">D142+D143+D149+D150+D152+D153+D161</f>
        <v>30192</v>
      </c>
      <c r="E166" s="476">
        <f t="shared" si="162"/>
        <v>30024</v>
      </c>
      <c r="F166" s="476">
        <f t="shared" si="162"/>
        <v>30326</v>
      </c>
      <c r="G166" s="476">
        <f t="shared" si="162"/>
        <v>30732</v>
      </c>
      <c r="H166" s="476">
        <f t="shared" si="162"/>
        <v>30865</v>
      </c>
      <c r="I166" s="476">
        <f t="shared" si="162"/>
        <v>29842</v>
      </c>
      <c r="J166" s="476">
        <f>J142+J143+J149+J150+J152+J153+J161</f>
        <v>29697</v>
      </c>
      <c r="K166" s="476">
        <f>K142+K143+K149+K150+K152+K153+K161</f>
        <v>30494</v>
      </c>
      <c r="L166" s="476">
        <f>L142+L143+L149+L150+L152+L153+L161</f>
        <v>30486</v>
      </c>
    </row>
    <row r="167" spans="1:17">
      <c r="A167" s="112" t="s">
        <v>3495</v>
      </c>
      <c r="D167" s="476">
        <f t="shared" ref="D167:I167" si="163">D144+D146+D147+D156+D164</f>
        <v>19502</v>
      </c>
      <c r="E167" s="476">
        <f t="shared" si="163"/>
        <v>19385</v>
      </c>
      <c r="F167" s="476">
        <f t="shared" si="163"/>
        <v>19454</v>
      </c>
      <c r="G167" s="476">
        <f t="shared" si="163"/>
        <v>19611</v>
      </c>
      <c r="H167" s="476">
        <f t="shared" si="163"/>
        <v>19668</v>
      </c>
      <c r="I167" s="476">
        <f t="shared" si="163"/>
        <v>19077</v>
      </c>
      <c r="J167" s="476">
        <f>J144+J146+J147+J156+J164</f>
        <v>19054</v>
      </c>
      <c r="K167" s="476">
        <f>K144+K146+K147+K156+K164</f>
        <v>19396</v>
      </c>
      <c r="L167" s="476">
        <f>L144+L146+L147+L156+L164</f>
        <v>19372</v>
      </c>
    </row>
    <row r="168" spans="1:17">
      <c r="A168" s="112" t="s">
        <v>8704</v>
      </c>
      <c r="D168" s="476">
        <f t="shared" ref="D168:I168" si="164">D141+D148+D151+D154+D157+D159+D160+D162</f>
        <v>21503</v>
      </c>
      <c r="E168" s="476">
        <f t="shared" si="164"/>
        <v>21506</v>
      </c>
      <c r="F168" s="476">
        <f t="shared" si="164"/>
        <v>21714</v>
      </c>
      <c r="G168" s="476">
        <f t="shared" si="164"/>
        <v>21918</v>
      </c>
      <c r="H168" s="476">
        <f t="shared" si="164"/>
        <v>21966</v>
      </c>
      <c r="I168" s="476">
        <f t="shared" si="164"/>
        <v>21164</v>
      </c>
      <c r="J168" s="476">
        <f>J141+J148+J151+J154+J157+J159+J160+J162</f>
        <v>21109</v>
      </c>
      <c r="K168" s="476">
        <f>K141+K148+K151+K154+K157+K159+K160+K162</f>
        <v>21516</v>
      </c>
      <c r="L168" s="476">
        <f>L141+L148+L151+L154+L157+L159+L160+L162</f>
        <v>21457</v>
      </c>
    </row>
    <row r="169" spans="1:17">
      <c r="A169" s="112"/>
      <c r="D169" s="476"/>
      <c r="E169" s="476"/>
      <c r="F169" s="476"/>
      <c r="G169" s="476"/>
      <c r="H169" s="476"/>
      <c r="I169" s="476"/>
      <c r="J169" s="476"/>
      <c r="K169" s="476"/>
      <c r="L169" s="476"/>
    </row>
    <row r="170" spans="1:17">
      <c r="A170" s="112" t="s">
        <v>14753</v>
      </c>
      <c r="D170" s="476"/>
      <c r="E170" s="476"/>
      <c r="F170" s="476"/>
      <c r="G170" s="476"/>
      <c r="H170" s="476"/>
      <c r="I170" s="476"/>
      <c r="J170" s="476"/>
      <c r="K170" s="476"/>
      <c r="L170" s="476"/>
    </row>
    <row r="171" spans="1:17">
      <c r="A171" s="112"/>
      <c r="B171" s="112"/>
      <c r="D171" s="483"/>
      <c r="E171" s="483"/>
      <c r="F171" s="483"/>
      <c r="G171" s="483"/>
      <c r="H171" s="483"/>
      <c r="I171" s="483"/>
      <c r="J171" s="483"/>
      <c r="K171" s="483"/>
      <c r="L171" s="483"/>
    </row>
    <row r="172" spans="1:17">
      <c r="A172" s="112"/>
      <c r="B172" s="112"/>
      <c r="D172" s="483"/>
      <c r="E172" s="483"/>
      <c r="F172" s="483"/>
      <c r="G172" s="483"/>
      <c r="H172" s="483"/>
      <c r="I172" s="483"/>
      <c r="J172" s="483"/>
      <c r="K172" s="483"/>
      <c r="L172" s="483"/>
    </row>
    <row r="173" spans="1:17">
      <c r="E173" s="42" t="s">
        <v>2303</v>
      </c>
      <c r="F173" s="42"/>
      <c r="G173" s="42"/>
      <c r="H173" s="42"/>
      <c r="I173" s="42"/>
      <c r="J173" s="42"/>
      <c r="K173" s="42"/>
      <c r="L173" s="42"/>
      <c r="M173" s="43"/>
      <c r="N173" s="25" t="s">
        <v>13319</v>
      </c>
    </row>
    <row r="174" spans="1:17">
      <c r="D174" s="42">
        <v>2010</v>
      </c>
      <c r="E174" s="42">
        <v>2011</v>
      </c>
      <c r="F174" s="42">
        <v>2012</v>
      </c>
      <c r="G174" s="42">
        <v>2013</v>
      </c>
      <c r="H174" s="42">
        <v>2014</v>
      </c>
      <c r="I174" s="42">
        <v>2015</v>
      </c>
      <c r="J174" s="42">
        <v>2016</v>
      </c>
      <c r="K174" s="42">
        <v>2017</v>
      </c>
      <c r="L174" s="42">
        <v>2018</v>
      </c>
      <c r="M174" s="34"/>
      <c r="N174" s="44" t="s">
        <v>2304</v>
      </c>
    </row>
    <row r="175" spans="1:17">
      <c r="A175" s="112" t="s">
        <v>6977</v>
      </c>
      <c r="D175" s="476">
        <f t="shared" ref="D175:J175" si="165">SUM(D176:D194)</f>
        <v>52528</v>
      </c>
      <c r="E175" s="476">
        <f t="shared" si="165"/>
        <v>51504</v>
      </c>
      <c r="F175" s="476">
        <f t="shared" si="165"/>
        <v>52221</v>
      </c>
      <c r="G175" s="476">
        <f t="shared" si="165"/>
        <v>52945</v>
      </c>
      <c r="H175" s="476">
        <f t="shared" si="165"/>
        <v>52511</v>
      </c>
      <c r="I175" s="476">
        <f t="shared" si="165"/>
        <v>51427</v>
      </c>
      <c r="J175" s="476">
        <f t="shared" si="165"/>
        <v>49331</v>
      </c>
      <c r="K175" s="476">
        <f t="shared" ref="K175:L175" si="166">SUM(K176:K194)</f>
        <v>52779</v>
      </c>
      <c r="L175" s="476">
        <f t="shared" si="166"/>
        <v>53230</v>
      </c>
    </row>
    <row r="176" spans="1:17">
      <c r="A176" s="112" t="s">
        <v>6957</v>
      </c>
      <c r="B176" s="112" t="s">
        <v>8199</v>
      </c>
      <c r="C176" s="4" t="s">
        <v>14877</v>
      </c>
      <c r="D176" s="476">
        <v>52528</v>
      </c>
      <c r="E176" s="476">
        <v>51504</v>
      </c>
      <c r="F176" s="476">
        <v>52221</v>
      </c>
      <c r="G176" s="30">
        <v>52945</v>
      </c>
      <c r="H176" s="30">
        <v>52511</v>
      </c>
      <c r="I176" s="30">
        <v>51427</v>
      </c>
      <c r="J176" s="30">
        <v>2913</v>
      </c>
      <c r="K176" s="30">
        <v>3160</v>
      </c>
      <c r="L176" s="30">
        <v>3154</v>
      </c>
      <c r="N176" s="112" t="s">
        <v>6907</v>
      </c>
      <c r="O176" s="70"/>
      <c r="Q176" s="4"/>
    </row>
    <row r="177" spans="1:17">
      <c r="A177" s="112" t="s">
        <v>6959</v>
      </c>
      <c r="B177" s="112" t="s">
        <v>6973</v>
      </c>
      <c r="C177" s="4" t="s">
        <v>14887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2777</v>
      </c>
      <c r="K177" s="30">
        <v>2919</v>
      </c>
      <c r="L177" s="30">
        <v>2912</v>
      </c>
      <c r="N177" s="112" t="s">
        <v>6907</v>
      </c>
      <c r="O177" s="70"/>
      <c r="Q177" s="4"/>
    </row>
    <row r="178" spans="1:17">
      <c r="A178" s="112" t="s">
        <v>6961</v>
      </c>
      <c r="B178" s="112" t="s">
        <v>14878</v>
      </c>
      <c r="C178" s="4" t="s">
        <v>14888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2999</v>
      </c>
      <c r="K178" s="30">
        <v>3200</v>
      </c>
      <c r="L178" s="30">
        <v>3228</v>
      </c>
      <c r="N178" s="112" t="s">
        <v>6907</v>
      </c>
      <c r="O178" s="70"/>
      <c r="Q178" s="4"/>
    </row>
    <row r="179" spans="1:17">
      <c r="A179" s="112" t="s">
        <v>6963</v>
      </c>
      <c r="B179" s="112" t="s">
        <v>6974</v>
      </c>
      <c r="C179" s="4" t="s">
        <v>14889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1537</v>
      </c>
      <c r="K179" s="30">
        <v>1627</v>
      </c>
      <c r="L179" s="30">
        <v>1658</v>
      </c>
      <c r="N179" s="112" t="s">
        <v>6907</v>
      </c>
      <c r="O179" s="70"/>
      <c r="Q179" s="4"/>
    </row>
    <row r="180" spans="1:17">
      <c r="A180" s="112" t="s">
        <v>6965</v>
      </c>
      <c r="B180" s="112" t="s">
        <v>6975</v>
      </c>
      <c r="C180" s="4" t="s">
        <v>14890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1513</v>
      </c>
      <c r="K180" s="30">
        <v>1548</v>
      </c>
      <c r="L180" s="30">
        <v>1588</v>
      </c>
      <c r="N180" s="112" t="s">
        <v>6907</v>
      </c>
      <c r="O180" s="70"/>
      <c r="Q180" s="4"/>
    </row>
    <row r="181" spans="1:17">
      <c r="A181" s="112" t="s">
        <v>6997</v>
      </c>
      <c r="B181" s="112" t="s">
        <v>6976</v>
      </c>
      <c r="C181" s="4" t="s">
        <v>14891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1318</v>
      </c>
      <c r="K181" s="30">
        <v>1529</v>
      </c>
      <c r="L181" s="30">
        <v>1598</v>
      </c>
      <c r="N181" s="112" t="s">
        <v>6907</v>
      </c>
      <c r="O181" s="70"/>
      <c r="Q181" s="4"/>
    </row>
    <row r="182" spans="1:17">
      <c r="A182" s="112" t="s">
        <v>6999</v>
      </c>
      <c r="B182" s="112" t="s">
        <v>6969</v>
      </c>
      <c r="C182" s="4" t="s">
        <v>14892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1533</v>
      </c>
      <c r="K182" s="30">
        <v>1649</v>
      </c>
      <c r="L182" s="30">
        <v>1685</v>
      </c>
      <c r="N182" s="112" t="s">
        <v>6907</v>
      </c>
      <c r="O182" s="70"/>
      <c r="Q182" s="4"/>
    </row>
    <row r="183" spans="1:17">
      <c r="A183" s="112" t="s">
        <v>7001</v>
      </c>
      <c r="B183" s="112" t="s">
        <v>14879</v>
      </c>
      <c r="C183" s="4" t="s">
        <v>14893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3146</v>
      </c>
      <c r="K183" s="30">
        <v>3341</v>
      </c>
      <c r="L183" s="30">
        <v>3335</v>
      </c>
      <c r="N183" s="112" t="s">
        <v>6907</v>
      </c>
      <c r="O183" s="70"/>
      <c r="Q183" s="4"/>
    </row>
    <row r="184" spans="1:17">
      <c r="A184" s="112" t="s">
        <v>7003</v>
      </c>
      <c r="B184" s="112" t="s">
        <v>6970</v>
      </c>
      <c r="C184" s="4" t="s">
        <v>14894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4255</v>
      </c>
      <c r="K184" s="30">
        <v>4503</v>
      </c>
      <c r="L184" s="30">
        <v>4575</v>
      </c>
      <c r="N184" s="112" t="s">
        <v>6907</v>
      </c>
      <c r="O184" s="70"/>
      <c r="Q184" s="4"/>
    </row>
    <row r="185" spans="1:17">
      <c r="A185" s="112" t="s">
        <v>7005</v>
      </c>
      <c r="B185" s="112" t="s">
        <v>6971</v>
      </c>
      <c r="C185" s="4" t="s">
        <v>14895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4891</v>
      </c>
      <c r="K185" s="30">
        <v>5131</v>
      </c>
      <c r="L185" s="30">
        <v>5185</v>
      </c>
      <c r="N185" s="112" t="s">
        <v>6907</v>
      </c>
      <c r="O185" s="70"/>
      <c r="Q185" s="4"/>
    </row>
    <row r="186" spans="1:17">
      <c r="A186" s="112" t="s">
        <v>7007</v>
      </c>
      <c r="B186" s="112" t="s">
        <v>14880</v>
      </c>
      <c r="C186" s="4" t="s">
        <v>14896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1484</v>
      </c>
      <c r="K186" s="30">
        <v>1647</v>
      </c>
      <c r="L186" s="30">
        <v>1588</v>
      </c>
      <c r="N186" s="112" t="s">
        <v>6907</v>
      </c>
      <c r="O186" s="70"/>
      <c r="Q186" s="4"/>
    </row>
    <row r="187" spans="1:17">
      <c r="A187" s="112" t="s">
        <v>7009</v>
      </c>
      <c r="B187" s="112" t="s">
        <v>6972</v>
      </c>
      <c r="C187" s="4" t="s">
        <v>14897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1464</v>
      </c>
      <c r="K187" s="30">
        <v>1571</v>
      </c>
      <c r="L187" s="30">
        <v>1556</v>
      </c>
      <c r="N187" s="112" t="s">
        <v>6907</v>
      </c>
      <c r="O187" s="70"/>
      <c r="Q187" s="4"/>
    </row>
    <row r="188" spans="1:17">
      <c r="A188" s="112" t="s">
        <v>7011</v>
      </c>
      <c r="B188" s="112" t="s">
        <v>14881</v>
      </c>
      <c r="C188" s="4" t="s">
        <v>14898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3131</v>
      </c>
      <c r="K188" s="30">
        <v>3385</v>
      </c>
      <c r="L188" s="30">
        <v>3386</v>
      </c>
      <c r="N188" s="112" t="s">
        <v>6907</v>
      </c>
      <c r="O188" s="70"/>
      <c r="Q188" s="4"/>
    </row>
    <row r="189" spans="1:17">
      <c r="A189" s="112" t="s">
        <v>7013</v>
      </c>
      <c r="B189" s="112" t="s">
        <v>14882</v>
      </c>
      <c r="C189" s="4" t="s">
        <v>14899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2757</v>
      </c>
      <c r="K189" s="30">
        <v>2969</v>
      </c>
      <c r="L189" s="30">
        <v>2930</v>
      </c>
      <c r="N189" s="112" t="s">
        <v>6907</v>
      </c>
      <c r="O189" s="70"/>
      <c r="Q189" s="4"/>
    </row>
    <row r="190" spans="1:17">
      <c r="A190" s="112" t="s">
        <v>7015</v>
      </c>
      <c r="B190" s="112" t="s">
        <v>14883</v>
      </c>
      <c r="C190" s="4" t="s">
        <v>14900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2867</v>
      </c>
      <c r="K190" s="30">
        <v>3201</v>
      </c>
      <c r="L190" s="30">
        <v>3357</v>
      </c>
      <c r="N190" s="112" t="s">
        <v>6907</v>
      </c>
      <c r="O190" s="70"/>
      <c r="Q190" s="4"/>
    </row>
    <row r="191" spans="1:17">
      <c r="A191" s="112" t="s">
        <v>7017</v>
      </c>
      <c r="B191" s="112" t="s">
        <v>14884</v>
      </c>
      <c r="C191" s="4" t="s">
        <v>14901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2881</v>
      </c>
      <c r="K191" s="31">
        <v>3047</v>
      </c>
      <c r="L191" s="31">
        <v>3064</v>
      </c>
      <c r="N191" s="112" t="s">
        <v>6907</v>
      </c>
      <c r="O191" s="71"/>
      <c r="Q191" s="4"/>
    </row>
    <row r="192" spans="1:17">
      <c r="A192" s="112" t="s">
        <v>7019</v>
      </c>
      <c r="B192" s="112" t="s">
        <v>14885</v>
      </c>
      <c r="C192" s="4" t="s">
        <v>14902</v>
      </c>
      <c r="D192" s="31">
        <v>0</v>
      </c>
      <c r="E192" s="31">
        <v>0</v>
      </c>
      <c r="F192" s="31">
        <v>0</v>
      </c>
      <c r="G192" s="31">
        <v>0</v>
      </c>
      <c r="H192" s="31">
        <v>0</v>
      </c>
      <c r="I192" s="31">
        <v>0</v>
      </c>
      <c r="J192" s="31">
        <v>2987</v>
      </c>
      <c r="K192" s="31">
        <v>3156</v>
      </c>
      <c r="L192" s="31">
        <v>3178</v>
      </c>
      <c r="N192" s="112" t="s">
        <v>6907</v>
      </c>
      <c r="O192" s="71"/>
      <c r="Q192" s="4"/>
    </row>
    <row r="193" spans="1:17">
      <c r="A193" s="112" t="s">
        <v>7021</v>
      </c>
      <c r="B193" s="112" t="s">
        <v>3499</v>
      </c>
      <c r="C193" s="4" t="s">
        <v>14903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1528</v>
      </c>
      <c r="K193" s="31">
        <v>1619</v>
      </c>
      <c r="L193" s="31">
        <v>1634</v>
      </c>
      <c r="N193" s="112" t="s">
        <v>6907</v>
      </c>
      <c r="O193" s="71"/>
      <c r="Q193" s="4"/>
    </row>
    <row r="194" spans="1:17">
      <c r="A194" s="112" t="s">
        <v>7023</v>
      </c>
      <c r="B194" s="112" t="s">
        <v>14886</v>
      </c>
      <c r="C194" s="4" t="s">
        <v>14904</v>
      </c>
      <c r="D194" s="31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3350</v>
      </c>
      <c r="K194" s="31">
        <v>3577</v>
      </c>
      <c r="L194" s="31">
        <v>3619</v>
      </c>
      <c r="N194" s="112" t="s">
        <v>6907</v>
      </c>
      <c r="O194" s="71"/>
      <c r="Q194" s="4"/>
    </row>
    <row r="195" spans="1:17">
      <c r="D195" s="478"/>
      <c r="E195" s="478"/>
      <c r="F195" s="478"/>
      <c r="G195" s="478"/>
      <c r="H195" s="478"/>
      <c r="I195" s="478"/>
      <c r="J195" s="478"/>
      <c r="K195" s="478"/>
      <c r="L195" s="478"/>
    </row>
    <row r="196" spans="1:17">
      <c r="A196" s="112" t="s">
        <v>8704</v>
      </c>
      <c r="D196" s="476">
        <f t="shared" ref="D196:J196" si="167">SUM(D176:D194)</f>
        <v>52528</v>
      </c>
      <c r="E196" s="476">
        <f t="shared" si="167"/>
        <v>51504</v>
      </c>
      <c r="F196" s="476">
        <f t="shared" si="167"/>
        <v>52221</v>
      </c>
      <c r="G196" s="476">
        <f t="shared" si="167"/>
        <v>52945</v>
      </c>
      <c r="H196" s="476">
        <f t="shared" si="167"/>
        <v>52511</v>
      </c>
      <c r="I196" s="476">
        <f t="shared" si="167"/>
        <v>51427</v>
      </c>
      <c r="J196" s="476">
        <f t="shared" si="167"/>
        <v>49331</v>
      </c>
      <c r="K196" s="476">
        <f t="shared" ref="K196:L196" si="168">SUM(K176:K194)</f>
        <v>52779</v>
      </c>
      <c r="L196" s="476">
        <f t="shared" si="168"/>
        <v>53230</v>
      </c>
    </row>
    <row r="197" spans="1:17">
      <c r="A197" s="112"/>
      <c r="D197" s="476"/>
      <c r="E197" s="476"/>
      <c r="F197" s="476"/>
      <c r="G197" s="476"/>
      <c r="H197" s="476"/>
      <c r="I197" s="476"/>
      <c r="J197" s="476"/>
      <c r="K197" s="476"/>
      <c r="L197" s="476"/>
    </row>
    <row r="198" spans="1:17">
      <c r="A198" s="112" t="s">
        <v>14905</v>
      </c>
      <c r="D198" s="476"/>
      <c r="E198" s="476"/>
      <c r="F198" s="476"/>
      <c r="G198" s="476"/>
      <c r="H198" s="476"/>
      <c r="I198" s="476"/>
      <c r="J198" s="476"/>
      <c r="K198" s="476"/>
      <c r="L198" s="476"/>
    </row>
    <row r="199" spans="1:17">
      <c r="A199" s="112"/>
      <c r="B199" s="112"/>
      <c r="C199" s="112"/>
      <c r="D199" s="483"/>
      <c r="E199" s="483"/>
      <c r="F199" s="483"/>
      <c r="G199" s="483"/>
      <c r="H199" s="483"/>
      <c r="I199" s="483"/>
      <c r="J199" s="483"/>
      <c r="K199" s="483"/>
      <c r="L199" s="483"/>
    </row>
    <row r="200" spans="1:17">
      <c r="A200" s="112"/>
      <c r="B200" s="112"/>
      <c r="C200" s="112"/>
      <c r="D200" s="483"/>
      <c r="E200" s="483"/>
      <c r="F200" s="483"/>
      <c r="G200" s="483"/>
      <c r="H200" s="483"/>
      <c r="I200" s="483"/>
      <c r="J200" s="483"/>
      <c r="K200" s="483"/>
      <c r="L200" s="483"/>
    </row>
    <row r="201" spans="1:17">
      <c r="E201" s="42" t="s">
        <v>2303</v>
      </c>
      <c r="F201" s="42"/>
      <c r="G201" s="42"/>
      <c r="H201" s="42"/>
      <c r="I201" s="42"/>
      <c r="J201" s="42"/>
      <c r="K201" s="42"/>
      <c r="L201" s="42"/>
      <c r="M201" s="43"/>
      <c r="N201" s="25" t="s">
        <v>13319</v>
      </c>
    </row>
    <row r="202" spans="1:17">
      <c r="D202" s="42">
        <v>2010</v>
      </c>
      <c r="E202" s="42">
        <v>2011</v>
      </c>
      <c r="F202" s="42">
        <v>2012</v>
      </c>
      <c r="G202" s="42">
        <v>2013</v>
      </c>
      <c r="H202" s="42">
        <v>2014</v>
      </c>
      <c r="I202" s="42">
        <v>2015</v>
      </c>
      <c r="J202" s="42">
        <v>2016</v>
      </c>
      <c r="K202" s="42">
        <v>2017</v>
      </c>
      <c r="L202" s="42">
        <v>2018</v>
      </c>
      <c r="M202" s="34"/>
      <c r="N202" s="44" t="s">
        <v>2304</v>
      </c>
    </row>
    <row r="203" spans="1:17">
      <c r="A203" s="112" t="s">
        <v>1766</v>
      </c>
      <c r="C203" s="112"/>
      <c r="D203" s="476">
        <f t="shared" ref="D203:I203" si="169">SUM(D204:D207)+SUM(D209:D218)+D220+D221</f>
        <v>36739</v>
      </c>
      <c r="E203" s="476">
        <f t="shared" si="169"/>
        <v>36785</v>
      </c>
      <c r="F203" s="476">
        <f t="shared" si="169"/>
        <v>36403</v>
      </c>
      <c r="G203" s="476">
        <f t="shared" si="169"/>
        <v>36456</v>
      </c>
      <c r="H203" s="476">
        <f t="shared" si="169"/>
        <v>36006</v>
      </c>
      <c r="I203" s="476">
        <f t="shared" si="169"/>
        <v>35413</v>
      </c>
      <c r="J203" s="476">
        <f>SUM(J204:J207)+SUM(J209:J218)+J220+J221</f>
        <v>34691</v>
      </c>
      <c r="K203" s="476">
        <f>SUM(K204:K207)+SUM(K209:K218)+K220+K221</f>
        <v>36436</v>
      </c>
      <c r="L203" s="476">
        <f>SUM(L204:L207)+SUM(L209:L218)+L220+L221</f>
        <v>35835</v>
      </c>
    </row>
    <row r="204" spans="1:17">
      <c r="A204" s="482">
        <v>1</v>
      </c>
      <c r="B204" s="112" t="s">
        <v>1767</v>
      </c>
      <c r="C204" s="4" t="s">
        <v>14917</v>
      </c>
      <c r="D204" s="476">
        <v>17717</v>
      </c>
      <c r="E204" s="476">
        <v>17763</v>
      </c>
      <c r="F204" s="476">
        <v>17677</v>
      </c>
      <c r="G204" s="30">
        <v>17663</v>
      </c>
      <c r="H204" s="809">
        <v>17665</v>
      </c>
      <c r="I204" s="30">
        <v>17511</v>
      </c>
      <c r="J204" s="30">
        <v>1352</v>
      </c>
      <c r="K204" s="30">
        <v>1456</v>
      </c>
      <c r="L204" s="30">
        <v>1391</v>
      </c>
      <c r="N204" s="112" t="s">
        <v>6905</v>
      </c>
      <c r="O204" s="4"/>
      <c r="Q204" s="4"/>
    </row>
    <row r="205" spans="1:17">
      <c r="A205" s="482">
        <v>2</v>
      </c>
      <c r="B205" s="112" t="s">
        <v>7588</v>
      </c>
      <c r="C205" s="4" t="s">
        <v>14918</v>
      </c>
      <c r="D205" s="476">
        <v>19022</v>
      </c>
      <c r="E205" s="476">
        <v>19022</v>
      </c>
      <c r="F205" s="476">
        <v>18726</v>
      </c>
      <c r="G205" s="30">
        <v>18793</v>
      </c>
      <c r="H205" s="809">
        <v>18341</v>
      </c>
      <c r="I205" s="30">
        <v>17902</v>
      </c>
      <c r="J205" s="30">
        <v>1411</v>
      </c>
      <c r="K205" s="30">
        <v>1469</v>
      </c>
      <c r="L205" s="30">
        <v>1452</v>
      </c>
      <c r="N205" s="112" t="s">
        <v>5106</v>
      </c>
      <c r="O205" s="4"/>
      <c r="Q205" s="4"/>
    </row>
    <row r="206" spans="1:17">
      <c r="A206" s="482">
        <v>3</v>
      </c>
      <c r="B206" s="112" t="s">
        <v>1768</v>
      </c>
      <c r="C206" s="4" t="s">
        <v>14919</v>
      </c>
      <c r="D206" s="476">
        <v>0</v>
      </c>
      <c r="E206" s="476">
        <v>0</v>
      </c>
      <c r="F206" s="476">
        <v>0</v>
      </c>
      <c r="G206" s="30">
        <v>0</v>
      </c>
      <c r="H206" s="809">
        <v>0</v>
      </c>
      <c r="I206" s="30">
        <v>0</v>
      </c>
      <c r="J206" s="30">
        <v>0</v>
      </c>
      <c r="K206" s="30">
        <v>0</v>
      </c>
      <c r="L206" s="30">
        <v>0</v>
      </c>
      <c r="N206" s="112" t="s">
        <v>6905</v>
      </c>
      <c r="O206" s="4"/>
      <c r="Q206" s="4"/>
    </row>
    <row r="207" spans="1:17" ht="15.75" thickBot="1">
      <c r="A207" s="482"/>
      <c r="B207" s="112"/>
      <c r="C207" s="4" t="s">
        <v>14919</v>
      </c>
      <c r="D207" s="477">
        <v>0</v>
      </c>
      <c r="E207" s="477">
        <v>0</v>
      </c>
      <c r="F207" s="477">
        <v>0</v>
      </c>
      <c r="G207" s="899">
        <v>0</v>
      </c>
      <c r="H207" s="913">
        <v>0</v>
      </c>
      <c r="I207" s="899">
        <v>0</v>
      </c>
      <c r="J207" s="899">
        <v>1475</v>
      </c>
      <c r="K207" s="30">
        <v>1514</v>
      </c>
      <c r="L207" s="30">
        <v>1472</v>
      </c>
      <c r="N207" s="112" t="s">
        <v>5106</v>
      </c>
      <c r="O207" s="4"/>
      <c r="Q207" s="4"/>
    </row>
    <row r="208" spans="1:17" ht="15.75" thickBot="1">
      <c r="A208" s="482"/>
      <c r="B208" s="112"/>
      <c r="C208" s="4" t="s">
        <v>14919</v>
      </c>
      <c r="D208" s="911">
        <f>D206+D207</f>
        <v>0</v>
      </c>
      <c r="E208" s="911">
        <f t="shared" ref="E208" si="170">E206+E207</f>
        <v>0</v>
      </c>
      <c r="F208" s="911">
        <f t="shared" ref="F208" si="171">F206+F207</f>
        <v>0</v>
      </c>
      <c r="G208" s="911">
        <f t="shared" ref="G208" si="172">G206+G207</f>
        <v>0</v>
      </c>
      <c r="H208" s="911">
        <f t="shared" ref="H208" si="173">H206+H207</f>
        <v>0</v>
      </c>
      <c r="I208" s="911">
        <f t="shared" ref="I208" si="174">I206+I207</f>
        <v>0</v>
      </c>
      <c r="J208" s="911">
        <f t="shared" ref="J208:L208" si="175">J206+J207</f>
        <v>1475</v>
      </c>
      <c r="K208" s="911">
        <f t="shared" si="175"/>
        <v>1514</v>
      </c>
      <c r="L208" s="911">
        <f t="shared" si="175"/>
        <v>1472</v>
      </c>
      <c r="N208" s="112"/>
      <c r="O208" s="4"/>
      <c r="Q208" s="4"/>
    </row>
    <row r="209" spans="1:17">
      <c r="A209" s="482">
        <v>4</v>
      </c>
      <c r="B209" s="112" t="s">
        <v>1769</v>
      </c>
      <c r="C209" s="4" t="s">
        <v>14920</v>
      </c>
      <c r="D209" s="476">
        <v>0</v>
      </c>
      <c r="E209" s="476">
        <v>0</v>
      </c>
      <c r="F209" s="476">
        <v>0</v>
      </c>
      <c r="G209" s="30">
        <v>0</v>
      </c>
      <c r="H209" s="809">
        <v>0</v>
      </c>
      <c r="I209" s="30">
        <v>0</v>
      </c>
      <c r="J209" s="30">
        <v>1281</v>
      </c>
      <c r="K209" s="30">
        <v>1300</v>
      </c>
      <c r="L209" s="30">
        <v>1301</v>
      </c>
      <c r="N209" s="112" t="s">
        <v>5106</v>
      </c>
      <c r="O209" s="4"/>
      <c r="Q209" s="4"/>
    </row>
    <row r="210" spans="1:17">
      <c r="A210" s="482">
        <v>5</v>
      </c>
      <c r="B210" s="109" t="s">
        <v>14906</v>
      </c>
      <c r="C210" s="4" t="s">
        <v>14908</v>
      </c>
      <c r="D210" s="476">
        <v>0</v>
      </c>
      <c r="E210" s="476">
        <v>0</v>
      </c>
      <c r="F210" s="476">
        <v>0</v>
      </c>
      <c r="G210" s="30">
        <v>0</v>
      </c>
      <c r="H210" s="809">
        <v>0</v>
      </c>
      <c r="I210" s="30">
        <v>0</v>
      </c>
      <c r="J210" s="30">
        <v>1331</v>
      </c>
      <c r="K210" s="30">
        <v>1397</v>
      </c>
      <c r="L210" s="30">
        <v>1370</v>
      </c>
      <c r="N210" s="112" t="s">
        <v>5106</v>
      </c>
      <c r="O210" s="4"/>
      <c r="Q210" s="4"/>
    </row>
    <row r="211" spans="1:17">
      <c r="A211" s="482">
        <v>6</v>
      </c>
      <c r="B211" s="112" t="s">
        <v>1770</v>
      </c>
      <c r="C211" s="4" t="s">
        <v>14909</v>
      </c>
      <c r="D211" s="476">
        <v>0</v>
      </c>
      <c r="E211" s="476">
        <v>0</v>
      </c>
      <c r="F211" s="476">
        <v>0</v>
      </c>
      <c r="G211" s="30">
        <v>0</v>
      </c>
      <c r="H211" s="809">
        <v>0</v>
      </c>
      <c r="I211" s="30">
        <v>0</v>
      </c>
      <c r="J211" s="30">
        <v>2712</v>
      </c>
      <c r="K211" s="30">
        <v>2832</v>
      </c>
      <c r="L211" s="30">
        <v>2775</v>
      </c>
      <c r="N211" s="112" t="s">
        <v>6905</v>
      </c>
      <c r="O211" s="4"/>
      <c r="Q211" s="4"/>
    </row>
    <row r="212" spans="1:17">
      <c r="A212" s="482">
        <v>7</v>
      </c>
      <c r="B212" s="112" t="s">
        <v>1771</v>
      </c>
      <c r="C212" s="4" t="s">
        <v>14910</v>
      </c>
      <c r="D212" s="476">
        <v>0</v>
      </c>
      <c r="E212" s="476">
        <v>0</v>
      </c>
      <c r="F212" s="476">
        <v>0</v>
      </c>
      <c r="G212" s="30">
        <v>0</v>
      </c>
      <c r="H212" s="809">
        <v>0</v>
      </c>
      <c r="I212" s="30">
        <v>0</v>
      </c>
      <c r="J212" s="30">
        <v>3058</v>
      </c>
      <c r="K212" s="30">
        <v>3223</v>
      </c>
      <c r="L212" s="30">
        <v>3131</v>
      </c>
      <c r="N212" s="112" t="s">
        <v>6905</v>
      </c>
      <c r="O212" s="4"/>
      <c r="Q212" s="4"/>
    </row>
    <row r="213" spans="1:17">
      <c r="A213" s="482">
        <v>8</v>
      </c>
      <c r="B213" s="112" t="s">
        <v>1772</v>
      </c>
      <c r="C213" s="4" t="s">
        <v>14911</v>
      </c>
      <c r="D213" s="476">
        <v>0</v>
      </c>
      <c r="E213" s="476">
        <v>0</v>
      </c>
      <c r="F213" s="476">
        <v>0</v>
      </c>
      <c r="G213" s="30">
        <v>0</v>
      </c>
      <c r="H213" s="809">
        <v>0</v>
      </c>
      <c r="I213" s="30">
        <v>0</v>
      </c>
      <c r="J213" s="30">
        <v>3039</v>
      </c>
      <c r="K213" s="30">
        <v>3146</v>
      </c>
      <c r="L213" s="30">
        <v>3146</v>
      </c>
      <c r="N213" s="112" t="s">
        <v>6905</v>
      </c>
      <c r="O213" s="4"/>
      <c r="Q213" s="4"/>
    </row>
    <row r="214" spans="1:17">
      <c r="A214" s="482">
        <v>9</v>
      </c>
      <c r="B214" s="112" t="s">
        <v>14907</v>
      </c>
      <c r="C214" s="4" t="s">
        <v>14912</v>
      </c>
      <c r="D214" s="476">
        <v>0</v>
      </c>
      <c r="E214" s="476">
        <v>0</v>
      </c>
      <c r="F214" s="476">
        <v>0</v>
      </c>
      <c r="G214" s="30">
        <v>0</v>
      </c>
      <c r="H214" s="809">
        <v>0</v>
      </c>
      <c r="I214" s="30">
        <v>0</v>
      </c>
      <c r="J214" s="30">
        <v>2506</v>
      </c>
      <c r="K214" s="30">
        <v>2558</v>
      </c>
      <c r="L214" s="30">
        <v>2545</v>
      </c>
      <c r="N214" s="112" t="s">
        <v>6905</v>
      </c>
      <c r="O214" s="4"/>
      <c r="Q214" s="4"/>
    </row>
    <row r="215" spans="1:17">
      <c r="A215" s="482">
        <v>10</v>
      </c>
      <c r="B215" s="112" t="s">
        <v>1773</v>
      </c>
      <c r="C215" s="4" t="s">
        <v>14913</v>
      </c>
      <c r="D215" s="476">
        <v>0</v>
      </c>
      <c r="E215" s="476">
        <v>0</v>
      </c>
      <c r="F215" s="476">
        <v>0</v>
      </c>
      <c r="G215" s="30">
        <v>0</v>
      </c>
      <c r="H215" s="809">
        <v>0</v>
      </c>
      <c r="I215" s="30">
        <v>0</v>
      </c>
      <c r="J215" s="30">
        <v>3734</v>
      </c>
      <c r="K215" s="30">
        <v>3912</v>
      </c>
      <c r="L215" s="30">
        <v>3847</v>
      </c>
      <c r="N215" s="112" t="s">
        <v>5106</v>
      </c>
      <c r="O215" s="4"/>
      <c r="Q215" s="4"/>
    </row>
    <row r="216" spans="1:17">
      <c r="A216" s="482">
        <v>11</v>
      </c>
      <c r="B216" s="112" t="s">
        <v>1774</v>
      </c>
      <c r="C216" s="4" t="s">
        <v>14914</v>
      </c>
      <c r="D216" s="476">
        <v>0</v>
      </c>
      <c r="E216" s="476">
        <v>0</v>
      </c>
      <c r="F216" s="476">
        <v>0</v>
      </c>
      <c r="G216" s="30">
        <v>0</v>
      </c>
      <c r="H216" s="809">
        <v>0</v>
      </c>
      <c r="I216" s="30">
        <v>0</v>
      </c>
      <c r="J216" s="30">
        <v>3862</v>
      </c>
      <c r="K216" s="30">
        <v>4115</v>
      </c>
      <c r="L216" s="30">
        <v>4053</v>
      </c>
      <c r="N216" s="112" t="s">
        <v>5106</v>
      </c>
      <c r="O216" s="4"/>
      <c r="Q216" s="4"/>
    </row>
    <row r="217" spans="1:17">
      <c r="A217" s="482">
        <v>12</v>
      </c>
      <c r="B217" s="112" t="s">
        <v>1775</v>
      </c>
      <c r="C217" s="4" t="s">
        <v>14921</v>
      </c>
      <c r="D217" s="476">
        <v>0</v>
      </c>
      <c r="E217" s="476">
        <v>0</v>
      </c>
      <c r="F217" s="476">
        <v>0</v>
      </c>
      <c r="G217" s="30">
        <v>0</v>
      </c>
      <c r="H217" s="809">
        <v>0</v>
      </c>
      <c r="I217" s="30">
        <v>0</v>
      </c>
      <c r="J217" s="30">
        <v>4427</v>
      </c>
      <c r="K217" s="30">
        <v>4728</v>
      </c>
      <c r="L217" s="30">
        <v>4696</v>
      </c>
      <c r="N217" s="112" t="s">
        <v>6905</v>
      </c>
      <c r="O217" s="4"/>
      <c r="Q217" s="4"/>
    </row>
    <row r="218" spans="1:17" ht="15.75" thickBot="1">
      <c r="A218" s="482"/>
      <c r="B218" s="112"/>
      <c r="C218" s="4" t="s">
        <v>14921</v>
      </c>
      <c r="D218" s="477">
        <v>0</v>
      </c>
      <c r="E218" s="477">
        <v>0</v>
      </c>
      <c r="F218" s="477">
        <v>0</v>
      </c>
      <c r="G218" s="899">
        <v>0</v>
      </c>
      <c r="H218" s="913">
        <v>0</v>
      </c>
      <c r="I218" s="899">
        <v>0</v>
      </c>
      <c r="J218" s="899">
        <v>0</v>
      </c>
      <c r="K218" s="30">
        <v>0</v>
      </c>
      <c r="L218" s="30">
        <v>0</v>
      </c>
      <c r="N218" s="112" t="s">
        <v>5106</v>
      </c>
      <c r="O218" s="4"/>
      <c r="Q218" s="4"/>
    </row>
    <row r="219" spans="1:17" ht="15.75" thickBot="1">
      <c r="A219" s="482"/>
      <c r="B219" s="112"/>
      <c r="C219" s="4" t="s">
        <v>14921</v>
      </c>
      <c r="D219" s="911">
        <f>D217+D218</f>
        <v>0</v>
      </c>
      <c r="E219" s="911">
        <f t="shared" ref="E219" si="176">E217+E218</f>
        <v>0</v>
      </c>
      <c r="F219" s="911">
        <f t="shared" ref="F219" si="177">F217+F218</f>
        <v>0</v>
      </c>
      <c r="G219" s="911">
        <f t="shared" ref="G219" si="178">G217+G218</f>
        <v>0</v>
      </c>
      <c r="H219" s="911">
        <f t="shared" ref="H219" si="179">H217+H218</f>
        <v>0</v>
      </c>
      <c r="I219" s="911">
        <f t="shared" ref="I219" si="180">I217+I218</f>
        <v>0</v>
      </c>
      <c r="J219" s="911">
        <f t="shared" ref="J219:L219" si="181">J217+J218</f>
        <v>4427</v>
      </c>
      <c r="K219" s="911">
        <f t="shared" si="181"/>
        <v>4728</v>
      </c>
      <c r="L219" s="911">
        <f t="shared" si="181"/>
        <v>4696</v>
      </c>
      <c r="N219" s="112"/>
      <c r="O219" s="4"/>
      <c r="Q219" s="4"/>
    </row>
    <row r="220" spans="1:17">
      <c r="A220" s="482">
        <v>13</v>
      </c>
      <c r="B220" s="112" t="s">
        <v>1776</v>
      </c>
      <c r="C220" s="4" t="s">
        <v>15856</v>
      </c>
      <c r="D220" s="476">
        <v>0</v>
      </c>
      <c r="E220" s="476">
        <v>0</v>
      </c>
      <c r="F220" s="476">
        <v>0</v>
      </c>
      <c r="G220" s="30">
        <v>0</v>
      </c>
      <c r="H220" s="809">
        <v>0</v>
      </c>
      <c r="I220" s="30">
        <v>0</v>
      </c>
      <c r="J220" s="30">
        <v>0</v>
      </c>
      <c r="K220" s="30">
        <v>0</v>
      </c>
      <c r="L220" s="30">
        <v>0</v>
      </c>
      <c r="N220" s="112" t="s">
        <v>6905</v>
      </c>
      <c r="O220" s="4"/>
      <c r="Q220" s="4"/>
    </row>
    <row r="221" spans="1:17" ht="15.75" thickBot="1">
      <c r="A221" s="482"/>
      <c r="B221" s="112"/>
      <c r="C221" s="4" t="s">
        <v>15856</v>
      </c>
      <c r="D221" s="477">
        <v>0</v>
      </c>
      <c r="E221" s="477">
        <v>0</v>
      </c>
      <c r="F221" s="477">
        <v>0</v>
      </c>
      <c r="G221" s="899">
        <v>0</v>
      </c>
      <c r="H221" s="913">
        <v>0</v>
      </c>
      <c r="I221" s="899">
        <v>0</v>
      </c>
      <c r="J221" s="30">
        <v>4503</v>
      </c>
      <c r="K221" s="30">
        <v>4786</v>
      </c>
      <c r="L221" s="30">
        <v>4656</v>
      </c>
      <c r="N221" s="112" t="s">
        <v>5106</v>
      </c>
      <c r="O221" s="4"/>
      <c r="Q221" s="4"/>
    </row>
    <row r="222" spans="1:17" ht="15.75" thickBot="1">
      <c r="A222" s="482"/>
      <c r="B222" s="112"/>
      <c r="C222" s="4" t="s">
        <v>15856</v>
      </c>
      <c r="D222" s="911">
        <f>D220+D221</f>
        <v>0</v>
      </c>
      <c r="E222" s="911">
        <f t="shared" ref="E222:J222" si="182">E220+E221</f>
        <v>0</v>
      </c>
      <c r="F222" s="911">
        <f t="shared" si="182"/>
        <v>0</v>
      </c>
      <c r="G222" s="911">
        <f t="shared" si="182"/>
        <v>0</v>
      </c>
      <c r="H222" s="911">
        <f t="shared" si="182"/>
        <v>0</v>
      </c>
      <c r="I222" s="911">
        <f t="shared" si="182"/>
        <v>0</v>
      </c>
      <c r="J222" s="911">
        <f t="shared" si="182"/>
        <v>4503</v>
      </c>
      <c r="K222" s="911">
        <f t="shared" ref="K222:L222" si="183">K220+K221</f>
        <v>4786</v>
      </c>
      <c r="L222" s="911">
        <f t="shared" si="183"/>
        <v>4656</v>
      </c>
      <c r="N222" s="112"/>
      <c r="O222" s="4"/>
      <c r="Q222" s="4"/>
    </row>
    <row r="223" spans="1:17">
      <c r="D223" s="478"/>
      <c r="E223" s="478"/>
      <c r="F223" s="478"/>
      <c r="G223" s="478"/>
      <c r="H223" s="478"/>
      <c r="I223" s="478"/>
      <c r="J223" s="478"/>
      <c r="K223" s="478"/>
      <c r="L223" s="478"/>
    </row>
    <row r="224" spans="1:17">
      <c r="A224" s="112" t="s">
        <v>3495</v>
      </c>
      <c r="D224" s="476">
        <f>D204+D206+SUM(D211:D214)+D217+D220</f>
        <v>17717</v>
      </c>
      <c r="E224" s="476">
        <f t="shared" ref="E224:J224" si="184">E204+E206+SUM(E211:E214)+E217+E220</f>
        <v>17763</v>
      </c>
      <c r="F224" s="476">
        <f t="shared" si="184"/>
        <v>17677</v>
      </c>
      <c r="G224" s="476">
        <f t="shared" si="184"/>
        <v>17663</v>
      </c>
      <c r="H224" s="476">
        <f t="shared" si="184"/>
        <v>17665</v>
      </c>
      <c r="I224" s="476">
        <f t="shared" si="184"/>
        <v>17511</v>
      </c>
      <c r="J224" s="476">
        <f t="shared" si="184"/>
        <v>17094</v>
      </c>
      <c r="K224" s="476">
        <f t="shared" ref="K224:L224" si="185">K204+K206+SUM(K211:K214)+K217+K220</f>
        <v>17943</v>
      </c>
      <c r="L224" s="476">
        <f t="shared" si="185"/>
        <v>17684</v>
      </c>
    </row>
    <row r="225" spans="1:17">
      <c r="A225" s="112" t="s">
        <v>1777</v>
      </c>
      <c r="D225" s="476">
        <f t="shared" ref="D225:I225" si="186">D205+D207+D209+D210+D215+D216+D218+D221</f>
        <v>19022</v>
      </c>
      <c r="E225" s="476">
        <f t="shared" si="186"/>
        <v>19022</v>
      </c>
      <c r="F225" s="476">
        <f t="shared" si="186"/>
        <v>18726</v>
      </c>
      <c r="G225" s="476">
        <f t="shared" si="186"/>
        <v>18793</v>
      </c>
      <c r="H225" s="476">
        <f t="shared" si="186"/>
        <v>18341</v>
      </c>
      <c r="I225" s="476">
        <f t="shared" si="186"/>
        <v>17902</v>
      </c>
      <c r="J225" s="476">
        <f>J205+J207+J209+J210+J215+J216+J218+J221</f>
        <v>17597</v>
      </c>
      <c r="K225" s="476">
        <f>K205+K207+K209+K210+K215+K216+K218+K221</f>
        <v>18493</v>
      </c>
      <c r="L225" s="476">
        <f>L205+L207+L209+L210+L215+L216+L218+L221</f>
        <v>18151</v>
      </c>
    </row>
    <row r="226" spans="1:17">
      <c r="A226" s="112"/>
      <c r="B226" s="112"/>
      <c r="C226" s="112"/>
      <c r="D226" s="483"/>
      <c r="E226" s="483"/>
      <c r="F226" s="483"/>
      <c r="G226" s="483"/>
      <c r="H226" s="483"/>
      <c r="I226" s="483"/>
      <c r="J226" s="483"/>
      <c r="K226" s="483"/>
      <c r="L226" s="483"/>
    </row>
    <row r="227" spans="1:17">
      <c r="A227" s="112" t="s">
        <v>14915</v>
      </c>
      <c r="B227" s="112"/>
      <c r="C227" s="112"/>
      <c r="D227" s="483"/>
      <c r="E227" s="483"/>
      <c r="F227" s="483"/>
      <c r="G227" s="483"/>
      <c r="H227" s="483"/>
      <c r="I227" s="483"/>
      <c r="J227" s="483"/>
      <c r="K227" s="483"/>
      <c r="L227" s="483"/>
    </row>
    <row r="228" spans="1:17">
      <c r="A228" s="112" t="s">
        <v>14916</v>
      </c>
      <c r="B228" s="112"/>
      <c r="C228" s="112"/>
      <c r="D228" s="483"/>
      <c r="E228" s="483"/>
      <c r="F228" s="483"/>
      <c r="G228" s="483"/>
      <c r="H228" s="483"/>
      <c r="I228" s="483"/>
      <c r="J228" s="483"/>
      <c r="K228" s="483"/>
      <c r="L228" s="483"/>
    </row>
    <row r="229" spans="1:17">
      <c r="A229" s="112"/>
      <c r="B229" s="112"/>
      <c r="C229" s="112"/>
      <c r="D229" s="483"/>
      <c r="E229" s="483"/>
      <c r="F229" s="483"/>
      <c r="G229" s="483"/>
      <c r="H229" s="483"/>
      <c r="I229" s="483"/>
      <c r="J229" s="483"/>
      <c r="K229" s="483"/>
      <c r="L229" s="483"/>
    </row>
    <row r="230" spans="1:17">
      <c r="A230" s="112"/>
      <c r="B230" s="112"/>
      <c r="C230" s="112"/>
      <c r="D230" s="483"/>
      <c r="E230" s="483"/>
      <c r="F230" s="483"/>
      <c r="G230" s="483"/>
      <c r="H230" s="483"/>
      <c r="I230" s="483"/>
      <c r="J230" s="483"/>
      <c r="K230" s="483"/>
      <c r="L230" s="483"/>
    </row>
    <row r="231" spans="1:17">
      <c r="E231" s="42" t="s">
        <v>2303</v>
      </c>
      <c r="F231" s="42"/>
      <c r="G231" s="42"/>
      <c r="H231" s="42"/>
      <c r="I231" s="42"/>
      <c r="J231" s="42"/>
      <c r="K231" s="42"/>
      <c r="L231" s="42"/>
      <c r="M231" s="43"/>
      <c r="N231" s="25" t="s">
        <v>13319</v>
      </c>
    </row>
    <row r="232" spans="1:17">
      <c r="D232" s="42">
        <v>2010</v>
      </c>
      <c r="E232" s="42">
        <v>2011</v>
      </c>
      <c r="F232" s="42">
        <v>2012</v>
      </c>
      <c r="G232" s="42">
        <v>2013</v>
      </c>
      <c r="H232" s="42">
        <v>2014</v>
      </c>
      <c r="I232" s="42">
        <v>2015</v>
      </c>
      <c r="J232" s="42">
        <v>2016</v>
      </c>
      <c r="K232" s="42">
        <v>2017</v>
      </c>
      <c r="L232" s="42">
        <v>2018</v>
      </c>
      <c r="M232" s="34"/>
      <c r="N232" s="44" t="s">
        <v>2304</v>
      </c>
    </row>
    <row r="233" spans="1:17">
      <c r="A233" s="112" t="s">
        <v>3528</v>
      </c>
      <c r="C233" s="112"/>
      <c r="D233" s="476">
        <f>SUM(D234:D238)+SUM(D240:D255)+SUM(D257:D261)</f>
        <v>79929</v>
      </c>
      <c r="E233" s="476">
        <f t="shared" ref="E233:J233" si="187">SUM(E234:E238)+SUM(E240:E255)+SUM(E257:E261)</f>
        <v>79855</v>
      </c>
      <c r="F233" s="476">
        <f t="shared" si="187"/>
        <v>80478</v>
      </c>
      <c r="G233" s="476">
        <f t="shared" si="187"/>
        <v>80683</v>
      </c>
      <c r="H233" s="476">
        <f t="shared" si="187"/>
        <v>80743</v>
      </c>
      <c r="I233" s="476">
        <f t="shared" si="187"/>
        <v>80763</v>
      </c>
      <c r="J233" s="476">
        <f t="shared" si="187"/>
        <v>77712</v>
      </c>
      <c r="K233" s="476">
        <f t="shared" ref="K233:L233" si="188">SUM(K234:K238)+SUM(K240:K255)+SUM(K257:K261)</f>
        <v>80649</v>
      </c>
      <c r="L233" s="476">
        <f t="shared" si="188"/>
        <v>81406</v>
      </c>
    </row>
    <row r="234" spans="1:17">
      <c r="A234" s="112" t="s">
        <v>6957</v>
      </c>
      <c r="B234" s="112" t="s">
        <v>3529</v>
      </c>
      <c r="C234" s="4" t="s">
        <v>15734</v>
      </c>
      <c r="D234" s="476">
        <v>76877</v>
      </c>
      <c r="E234" s="476">
        <v>76779</v>
      </c>
      <c r="F234" s="476">
        <v>77392</v>
      </c>
      <c r="G234" s="30">
        <v>77596</v>
      </c>
      <c r="H234" s="30">
        <v>77578</v>
      </c>
      <c r="I234" s="30">
        <v>77624</v>
      </c>
      <c r="J234" s="30">
        <v>4101</v>
      </c>
      <c r="K234" s="30">
        <v>4268</v>
      </c>
      <c r="L234" s="30">
        <v>4311</v>
      </c>
      <c r="N234" s="112" t="s">
        <v>5108</v>
      </c>
      <c r="O234" s="934"/>
      <c r="Q234" s="4"/>
    </row>
    <row r="235" spans="1:17">
      <c r="A235" s="112" t="s">
        <v>6959</v>
      </c>
      <c r="B235" s="112" t="s">
        <v>3516</v>
      </c>
      <c r="C235" s="4" t="s">
        <v>15737</v>
      </c>
      <c r="D235" s="476">
        <v>0</v>
      </c>
      <c r="E235" s="476">
        <v>0</v>
      </c>
      <c r="F235" s="476">
        <v>0</v>
      </c>
      <c r="G235" s="30">
        <v>0</v>
      </c>
      <c r="H235" s="30">
        <v>0</v>
      </c>
      <c r="I235" s="30">
        <v>0</v>
      </c>
      <c r="J235" s="30">
        <v>5784</v>
      </c>
      <c r="K235" s="30">
        <v>6003</v>
      </c>
      <c r="L235" s="30">
        <v>6107</v>
      </c>
      <c r="N235" s="112" t="s">
        <v>5108</v>
      </c>
      <c r="O235" s="934"/>
      <c r="Q235" s="4"/>
    </row>
    <row r="236" spans="1:17">
      <c r="A236" s="112" t="s">
        <v>6961</v>
      </c>
      <c r="B236" s="112" t="s">
        <v>15735</v>
      </c>
      <c r="C236" s="4" t="s">
        <v>15738</v>
      </c>
      <c r="D236" s="476">
        <v>0</v>
      </c>
      <c r="E236" s="476">
        <v>0</v>
      </c>
      <c r="F236" s="476">
        <v>0</v>
      </c>
      <c r="G236" s="30">
        <v>0</v>
      </c>
      <c r="H236" s="30">
        <v>0</v>
      </c>
      <c r="I236" s="30">
        <v>0</v>
      </c>
      <c r="J236" s="30">
        <v>5133</v>
      </c>
      <c r="K236" s="30">
        <v>5255</v>
      </c>
      <c r="L236" s="30">
        <v>5205</v>
      </c>
      <c r="N236" s="112" t="s">
        <v>5108</v>
      </c>
      <c r="O236" s="934"/>
      <c r="Q236" s="4"/>
    </row>
    <row r="237" spans="1:17">
      <c r="A237" s="112" t="s">
        <v>6963</v>
      </c>
      <c r="B237" s="112" t="s">
        <v>15736</v>
      </c>
      <c r="C237" s="4" t="s">
        <v>15739</v>
      </c>
      <c r="D237" s="476">
        <v>3052</v>
      </c>
      <c r="E237" s="476">
        <v>3076</v>
      </c>
      <c r="F237" s="476">
        <v>3086</v>
      </c>
      <c r="G237" s="30">
        <v>3087</v>
      </c>
      <c r="H237" s="30">
        <v>3165</v>
      </c>
      <c r="I237" s="30">
        <v>3139</v>
      </c>
      <c r="J237" s="30">
        <v>2902</v>
      </c>
      <c r="K237" s="30">
        <v>2985</v>
      </c>
      <c r="L237" s="30">
        <v>3021</v>
      </c>
      <c r="N237" s="112" t="s">
        <v>5106</v>
      </c>
      <c r="O237" s="934"/>
      <c r="Q237" s="4"/>
    </row>
    <row r="238" spans="1:17" ht="15.75" thickBot="1">
      <c r="A238" s="112"/>
      <c r="B238" s="112"/>
      <c r="C238" s="4" t="s">
        <v>15739</v>
      </c>
      <c r="D238" s="477">
        <v>0</v>
      </c>
      <c r="E238" s="477">
        <v>0</v>
      </c>
      <c r="F238" s="477">
        <v>0</v>
      </c>
      <c r="G238" s="899">
        <v>0</v>
      </c>
      <c r="H238" s="899">
        <v>0</v>
      </c>
      <c r="I238" s="899">
        <v>0</v>
      </c>
      <c r="J238" s="30">
        <v>1299</v>
      </c>
      <c r="K238" s="30">
        <v>1326</v>
      </c>
      <c r="L238" s="30">
        <v>1349</v>
      </c>
      <c r="N238" s="112" t="s">
        <v>5108</v>
      </c>
      <c r="O238" s="934"/>
      <c r="Q238" s="4"/>
    </row>
    <row r="239" spans="1:17" ht="15.75" thickBot="1">
      <c r="A239" s="112"/>
      <c r="B239" s="112"/>
      <c r="C239" s="4" t="s">
        <v>15739</v>
      </c>
      <c r="D239" s="911">
        <f>D237+D238</f>
        <v>3052</v>
      </c>
      <c r="E239" s="911">
        <f t="shared" ref="E239:L239" si="189">E237+E238</f>
        <v>3076</v>
      </c>
      <c r="F239" s="911">
        <f t="shared" si="189"/>
        <v>3086</v>
      </c>
      <c r="G239" s="911">
        <f t="shared" si="189"/>
        <v>3087</v>
      </c>
      <c r="H239" s="911">
        <f t="shared" si="189"/>
        <v>3165</v>
      </c>
      <c r="I239" s="911">
        <f t="shared" si="189"/>
        <v>3139</v>
      </c>
      <c r="J239" s="911">
        <f t="shared" si="189"/>
        <v>4201</v>
      </c>
      <c r="K239" s="911">
        <f t="shared" si="189"/>
        <v>4311</v>
      </c>
      <c r="L239" s="911">
        <f t="shared" si="189"/>
        <v>4370</v>
      </c>
      <c r="N239" s="112"/>
      <c r="O239" s="934"/>
      <c r="Q239" s="4"/>
    </row>
    <row r="240" spans="1:17">
      <c r="A240" s="112" t="s">
        <v>6965</v>
      </c>
      <c r="B240" s="112" t="s">
        <v>3517</v>
      </c>
      <c r="C240" s="4" t="s">
        <v>15740</v>
      </c>
      <c r="D240" s="476">
        <v>0</v>
      </c>
      <c r="E240" s="476">
        <v>0</v>
      </c>
      <c r="F240" s="476">
        <v>0</v>
      </c>
      <c r="G240" s="476">
        <v>0</v>
      </c>
      <c r="H240" s="476">
        <v>0</v>
      </c>
      <c r="I240" s="476">
        <v>0</v>
      </c>
      <c r="J240" s="30">
        <v>2093</v>
      </c>
      <c r="K240" s="30">
        <v>2195</v>
      </c>
      <c r="L240" s="30">
        <v>2191</v>
      </c>
      <c r="N240" s="112" t="s">
        <v>5108</v>
      </c>
      <c r="O240" s="934"/>
      <c r="Q240" s="4"/>
    </row>
    <row r="241" spans="1:17">
      <c r="A241" s="112" t="s">
        <v>6997</v>
      </c>
      <c r="B241" s="112" t="s">
        <v>3518</v>
      </c>
      <c r="C241" s="4" t="s">
        <v>15745</v>
      </c>
      <c r="D241" s="476">
        <v>0</v>
      </c>
      <c r="E241" s="476">
        <v>0</v>
      </c>
      <c r="F241" s="476">
        <v>0</v>
      </c>
      <c r="G241" s="476">
        <v>0</v>
      </c>
      <c r="H241" s="476">
        <v>0</v>
      </c>
      <c r="I241" s="476">
        <v>0</v>
      </c>
      <c r="J241" s="30">
        <v>2084</v>
      </c>
      <c r="K241" s="30">
        <v>2133</v>
      </c>
      <c r="L241" s="30">
        <v>2125</v>
      </c>
      <c r="N241" s="112" t="s">
        <v>5108</v>
      </c>
      <c r="O241" s="934"/>
      <c r="Q241" s="4"/>
    </row>
    <row r="242" spans="1:17">
      <c r="A242" s="112" t="s">
        <v>6999</v>
      </c>
      <c r="B242" s="112" t="s">
        <v>15741</v>
      </c>
      <c r="C242" s="4" t="s">
        <v>15746</v>
      </c>
      <c r="D242" s="476">
        <v>0</v>
      </c>
      <c r="E242" s="476">
        <v>0</v>
      </c>
      <c r="F242" s="476">
        <v>0</v>
      </c>
      <c r="G242" s="476">
        <v>0</v>
      </c>
      <c r="H242" s="476">
        <v>0</v>
      </c>
      <c r="I242" s="476">
        <v>0</v>
      </c>
      <c r="J242" s="30">
        <v>4043</v>
      </c>
      <c r="K242" s="30">
        <v>4172</v>
      </c>
      <c r="L242" s="30">
        <v>4140</v>
      </c>
      <c r="N242" s="112" t="s">
        <v>5108</v>
      </c>
      <c r="O242" s="934"/>
      <c r="Q242" s="4"/>
    </row>
    <row r="243" spans="1:17">
      <c r="A243" s="112" t="s">
        <v>7001</v>
      </c>
      <c r="B243" s="112" t="s">
        <v>15742</v>
      </c>
      <c r="C243" s="4" t="s">
        <v>15747</v>
      </c>
      <c r="D243" s="476">
        <v>0</v>
      </c>
      <c r="E243" s="476">
        <v>0</v>
      </c>
      <c r="F243" s="476">
        <v>0</v>
      </c>
      <c r="G243" s="476">
        <v>0</v>
      </c>
      <c r="H243" s="476">
        <v>0</v>
      </c>
      <c r="I243" s="476">
        <v>0</v>
      </c>
      <c r="J243" s="30">
        <v>5466</v>
      </c>
      <c r="K243" s="30">
        <v>5645</v>
      </c>
      <c r="L243" s="30">
        <v>5798</v>
      </c>
      <c r="N243" s="112" t="s">
        <v>5108</v>
      </c>
      <c r="O243" s="934"/>
      <c r="Q243" s="4"/>
    </row>
    <row r="244" spans="1:17">
      <c r="A244" s="112" t="s">
        <v>7003</v>
      </c>
      <c r="B244" s="112" t="s">
        <v>15743</v>
      </c>
      <c r="C244" s="4" t="s">
        <v>15748</v>
      </c>
      <c r="D244" s="476">
        <v>0</v>
      </c>
      <c r="E244" s="476">
        <v>0</v>
      </c>
      <c r="F244" s="476">
        <v>0</v>
      </c>
      <c r="G244" s="476">
        <v>0</v>
      </c>
      <c r="H244" s="476">
        <v>0</v>
      </c>
      <c r="I244" s="476">
        <v>0</v>
      </c>
      <c r="J244" s="30">
        <v>1933</v>
      </c>
      <c r="K244" s="30">
        <v>1956</v>
      </c>
      <c r="L244" s="30">
        <v>1986</v>
      </c>
      <c r="N244" s="112" t="s">
        <v>5108</v>
      </c>
      <c r="O244" s="934"/>
      <c r="Q244" s="4"/>
    </row>
    <row r="245" spans="1:17">
      <c r="A245" s="112" t="s">
        <v>7005</v>
      </c>
      <c r="B245" s="112" t="s">
        <v>19</v>
      </c>
      <c r="C245" s="4" t="s">
        <v>15749</v>
      </c>
      <c r="D245" s="476">
        <v>0</v>
      </c>
      <c r="E245" s="476">
        <v>0</v>
      </c>
      <c r="F245" s="476">
        <v>0</v>
      </c>
      <c r="G245" s="476">
        <v>0</v>
      </c>
      <c r="H245" s="476">
        <v>0</v>
      </c>
      <c r="I245" s="476">
        <v>0</v>
      </c>
      <c r="J245" s="30">
        <v>3614</v>
      </c>
      <c r="K245" s="30">
        <v>3835</v>
      </c>
      <c r="L245" s="30">
        <v>3863</v>
      </c>
      <c r="N245" s="112" t="s">
        <v>5108</v>
      </c>
      <c r="O245" s="934"/>
      <c r="Q245" s="4"/>
    </row>
    <row r="246" spans="1:17">
      <c r="A246" s="112" t="s">
        <v>7007</v>
      </c>
      <c r="B246" s="112" t="s">
        <v>20</v>
      </c>
      <c r="C246" s="4" t="s">
        <v>15750</v>
      </c>
      <c r="D246" s="476">
        <v>0</v>
      </c>
      <c r="E246" s="476">
        <v>0</v>
      </c>
      <c r="F246" s="476">
        <v>0</v>
      </c>
      <c r="G246" s="476">
        <v>0</v>
      </c>
      <c r="H246" s="476">
        <v>0</v>
      </c>
      <c r="I246" s="476">
        <v>0</v>
      </c>
      <c r="J246" s="30">
        <v>4206</v>
      </c>
      <c r="K246" s="30">
        <v>4528</v>
      </c>
      <c r="L246" s="30">
        <v>4764</v>
      </c>
      <c r="N246" s="112" t="s">
        <v>5108</v>
      </c>
      <c r="O246" s="934"/>
      <c r="Q246" s="4"/>
    </row>
    <row r="247" spans="1:17">
      <c r="A247" s="112" t="s">
        <v>7009</v>
      </c>
      <c r="B247" s="112" t="s">
        <v>21</v>
      </c>
      <c r="C247" s="4" t="s">
        <v>15751</v>
      </c>
      <c r="D247" s="476">
        <v>0</v>
      </c>
      <c r="E247" s="476">
        <v>0</v>
      </c>
      <c r="F247" s="476">
        <v>0</v>
      </c>
      <c r="G247" s="476">
        <v>0</v>
      </c>
      <c r="H247" s="476">
        <v>0</v>
      </c>
      <c r="I247" s="476">
        <v>0</v>
      </c>
      <c r="J247" s="30">
        <v>3430</v>
      </c>
      <c r="K247" s="30">
        <v>3548</v>
      </c>
      <c r="L247" s="30">
        <v>3649</v>
      </c>
      <c r="N247" s="112" t="s">
        <v>5108</v>
      </c>
      <c r="O247" s="934"/>
      <c r="Q247" s="4"/>
    </row>
    <row r="248" spans="1:17">
      <c r="A248" s="112" t="s">
        <v>7011</v>
      </c>
      <c r="B248" s="112" t="s">
        <v>22</v>
      </c>
      <c r="C248" s="4" t="s">
        <v>15752</v>
      </c>
      <c r="D248" s="476">
        <v>0</v>
      </c>
      <c r="E248" s="476">
        <v>0</v>
      </c>
      <c r="F248" s="476">
        <v>0</v>
      </c>
      <c r="G248" s="476">
        <v>0</v>
      </c>
      <c r="H248" s="476">
        <v>0</v>
      </c>
      <c r="I248" s="476">
        <v>0</v>
      </c>
      <c r="J248" s="30">
        <v>3539</v>
      </c>
      <c r="K248" s="30">
        <v>3725</v>
      </c>
      <c r="L248" s="30">
        <v>3719</v>
      </c>
      <c r="N248" s="112" t="s">
        <v>5108</v>
      </c>
      <c r="O248" s="934"/>
      <c r="Q248" s="4"/>
    </row>
    <row r="249" spans="1:17">
      <c r="A249" s="112" t="s">
        <v>7013</v>
      </c>
      <c r="B249" s="112" t="s">
        <v>23</v>
      </c>
      <c r="C249" s="4" t="s">
        <v>15753</v>
      </c>
      <c r="D249" s="476">
        <v>0</v>
      </c>
      <c r="E249" s="476">
        <v>0</v>
      </c>
      <c r="F249" s="476">
        <v>0</v>
      </c>
      <c r="G249" s="476">
        <v>0</v>
      </c>
      <c r="H249" s="476">
        <v>0</v>
      </c>
      <c r="I249" s="476">
        <v>0</v>
      </c>
      <c r="J249" s="31">
        <v>1865</v>
      </c>
      <c r="K249" s="31">
        <v>1928</v>
      </c>
      <c r="L249" s="31">
        <v>1902</v>
      </c>
      <c r="N249" s="112" t="s">
        <v>5108</v>
      </c>
      <c r="O249" s="941"/>
      <c r="Q249" s="4"/>
    </row>
    <row r="250" spans="1:17">
      <c r="A250" s="112" t="s">
        <v>7015</v>
      </c>
      <c r="B250" s="112" t="s">
        <v>15744</v>
      </c>
      <c r="C250" s="4" t="s">
        <v>15754</v>
      </c>
      <c r="D250" s="476">
        <v>0</v>
      </c>
      <c r="E250" s="476">
        <v>0</v>
      </c>
      <c r="F250" s="476">
        <v>0</v>
      </c>
      <c r="G250" s="476">
        <v>0</v>
      </c>
      <c r="H250" s="476">
        <v>0</v>
      </c>
      <c r="I250" s="476">
        <v>0</v>
      </c>
      <c r="J250" s="31">
        <v>3920</v>
      </c>
      <c r="K250" s="31">
        <v>4079</v>
      </c>
      <c r="L250" s="31">
        <v>4104</v>
      </c>
      <c r="N250" s="112" t="s">
        <v>5108</v>
      </c>
      <c r="O250" s="941"/>
      <c r="Q250" s="4"/>
    </row>
    <row r="251" spans="1:17">
      <c r="A251" s="112" t="s">
        <v>7017</v>
      </c>
      <c r="B251" s="112" t="s">
        <v>24</v>
      </c>
      <c r="C251" s="4" t="s">
        <v>15755</v>
      </c>
      <c r="D251" s="476">
        <v>0</v>
      </c>
      <c r="E251" s="476">
        <v>0</v>
      </c>
      <c r="F251" s="476">
        <v>0</v>
      </c>
      <c r="G251" s="476">
        <v>0</v>
      </c>
      <c r="H251" s="476">
        <v>0</v>
      </c>
      <c r="I251" s="476">
        <v>0</v>
      </c>
      <c r="J251" s="31">
        <v>2024</v>
      </c>
      <c r="K251" s="31">
        <v>2072</v>
      </c>
      <c r="L251" s="31">
        <v>2063</v>
      </c>
      <c r="N251" s="112" t="s">
        <v>5108</v>
      </c>
      <c r="O251" s="941"/>
      <c r="Q251" s="4"/>
    </row>
    <row r="252" spans="1:17">
      <c r="A252" s="112" t="s">
        <v>7019</v>
      </c>
      <c r="B252" s="112" t="s">
        <v>25</v>
      </c>
      <c r="C252" s="4" t="s">
        <v>15756</v>
      </c>
      <c r="D252" s="476">
        <v>0</v>
      </c>
      <c r="E252" s="476">
        <v>0</v>
      </c>
      <c r="F252" s="476">
        <v>0</v>
      </c>
      <c r="G252" s="476">
        <v>0</v>
      </c>
      <c r="H252" s="476">
        <v>0</v>
      </c>
      <c r="I252" s="476">
        <v>0</v>
      </c>
      <c r="J252" s="31">
        <v>2029</v>
      </c>
      <c r="K252" s="31">
        <v>2090</v>
      </c>
      <c r="L252" s="31">
        <v>2108</v>
      </c>
      <c r="N252" s="112" t="s">
        <v>5108</v>
      </c>
      <c r="O252" s="941"/>
      <c r="Q252" s="4"/>
    </row>
    <row r="253" spans="1:17">
      <c r="A253" s="112" t="s">
        <v>7021</v>
      </c>
      <c r="B253" s="112" t="s">
        <v>2139</v>
      </c>
      <c r="C253" s="4" t="s">
        <v>15757</v>
      </c>
      <c r="D253" s="476">
        <v>0</v>
      </c>
      <c r="E253" s="476">
        <v>0</v>
      </c>
      <c r="F253" s="476">
        <v>0</v>
      </c>
      <c r="G253" s="476">
        <v>0</v>
      </c>
      <c r="H253" s="476">
        <v>0</v>
      </c>
      <c r="I253" s="476">
        <v>0</v>
      </c>
      <c r="J253" s="31">
        <v>2060</v>
      </c>
      <c r="K253" s="31">
        <v>2097</v>
      </c>
      <c r="L253" s="31">
        <v>2135</v>
      </c>
      <c r="N253" s="112" t="s">
        <v>5108</v>
      </c>
      <c r="O253" s="934"/>
      <c r="Q253" s="4"/>
    </row>
    <row r="254" spans="1:17">
      <c r="A254" s="112" t="s">
        <v>7023</v>
      </c>
      <c r="B254" s="112" t="s">
        <v>2140</v>
      </c>
      <c r="C254" s="4" t="s">
        <v>15758</v>
      </c>
      <c r="D254" s="476">
        <v>0</v>
      </c>
      <c r="E254" s="476">
        <v>0</v>
      </c>
      <c r="F254" s="476">
        <v>0</v>
      </c>
      <c r="G254" s="476">
        <v>0</v>
      </c>
      <c r="H254" s="476">
        <v>0</v>
      </c>
      <c r="I254" s="476">
        <v>0</v>
      </c>
      <c r="J254" s="30">
        <v>187</v>
      </c>
      <c r="K254" s="30">
        <v>190</v>
      </c>
      <c r="L254" s="30">
        <v>189</v>
      </c>
      <c r="N254" s="112" t="s">
        <v>5106</v>
      </c>
      <c r="O254" s="941"/>
      <c r="Q254" s="4"/>
    </row>
    <row r="255" spans="1:17" ht="15.75" thickBot="1">
      <c r="A255" s="112"/>
      <c r="B255" s="112"/>
      <c r="C255" s="4" t="s">
        <v>15758</v>
      </c>
      <c r="D255" s="477">
        <v>0</v>
      </c>
      <c r="E255" s="477">
        <v>0</v>
      </c>
      <c r="F255" s="477">
        <v>0</v>
      </c>
      <c r="G255" s="899">
        <v>0</v>
      </c>
      <c r="H255" s="899">
        <v>0</v>
      </c>
      <c r="I255" s="899">
        <v>0</v>
      </c>
      <c r="J255" s="31">
        <v>1767</v>
      </c>
      <c r="K255" s="31">
        <v>1819</v>
      </c>
      <c r="L255" s="31">
        <v>1829</v>
      </c>
      <c r="N255" s="112" t="s">
        <v>5108</v>
      </c>
      <c r="O255" s="941"/>
      <c r="Q255" s="4"/>
    </row>
    <row r="256" spans="1:17" ht="15.75" thickBot="1">
      <c r="A256" s="112"/>
      <c r="B256" s="112"/>
      <c r="C256" s="4" t="s">
        <v>15758</v>
      </c>
      <c r="D256" s="911">
        <f>D254+D255</f>
        <v>0</v>
      </c>
      <c r="E256" s="911">
        <f t="shared" ref="E256" si="190">E254+E255</f>
        <v>0</v>
      </c>
      <c r="F256" s="911">
        <f t="shared" ref="F256" si="191">F254+F255</f>
        <v>0</v>
      </c>
      <c r="G256" s="911">
        <f t="shared" ref="G256" si="192">G254+G255</f>
        <v>0</v>
      </c>
      <c r="H256" s="911">
        <f t="shared" ref="H256" si="193">H254+H255</f>
        <v>0</v>
      </c>
      <c r="I256" s="911">
        <f t="shared" ref="I256" si="194">I254+I255</f>
        <v>0</v>
      </c>
      <c r="J256" s="911">
        <f t="shared" ref="J256:L256" si="195">J254+J255</f>
        <v>1954</v>
      </c>
      <c r="K256" s="911">
        <f t="shared" si="195"/>
        <v>2009</v>
      </c>
      <c r="L256" s="911">
        <f t="shared" si="195"/>
        <v>2018</v>
      </c>
      <c r="N256" s="112"/>
      <c r="O256" s="941"/>
      <c r="Q256" s="4"/>
    </row>
    <row r="257" spans="1:17">
      <c r="A257" s="112" t="s">
        <v>7025</v>
      </c>
      <c r="B257" s="112" t="s">
        <v>2141</v>
      </c>
      <c r="C257" s="4" t="s">
        <v>15761</v>
      </c>
      <c r="D257" s="476">
        <v>0</v>
      </c>
      <c r="E257" s="476">
        <v>0</v>
      </c>
      <c r="F257" s="476">
        <v>0</v>
      </c>
      <c r="G257" s="31">
        <v>0</v>
      </c>
      <c r="H257" s="31">
        <v>0</v>
      </c>
      <c r="I257" s="31">
        <v>0</v>
      </c>
      <c r="J257" s="31">
        <v>1911</v>
      </c>
      <c r="K257" s="31">
        <v>1928</v>
      </c>
      <c r="L257" s="31">
        <v>1946</v>
      </c>
      <c r="N257" s="112" t="s">
        <v>5108</v>
      </c>
      <c r="O257" s="941"/>
      <c r="Q257" s="4"/>
    </row>
    <row r="258" spans="1:17">
      <c r="A258" s="112" t="s">
        <v>7570</v>
      </c>
      <c r="B258" s="112" t="s">
        <v>2142</v>
      </c>
      <c r="C258" s="4" t="s">
        <v>15762</v>
      </c>
      <c r="D258" s="476">
        <v>0</v>
      </c>
      <c r="E258" s="476">
        <v>0</v>
      </c>
      <c r="F258" s="476">
        <v>0</v>
      </c>
      <c r="G258" s="31">
        <v>0</v>
      </c>
      <c r="H258" s="31">
        <v>0</v>
      </c>
      <c r="I258" s="31">
        <v>0</v>
      </c>
      <c r="J258" s="31">
        <v>3693</v>
      </c>
      <c r="K258" s="31">
        <v>3832</v>
      </c>
      <c r="L258" s="31">
        <v>3837</v>
      </c>
      <c r="N258" s="112" t="s">
        <v>5108</v>
      </c>
      <c r="O258" s="941"/>
      <c r="Q258" s="4"/>
    </row>
    <row r="259" spans="1:17">
      <c r="A259" s="112" t="s">
        <v>7572</v>
      </c>
      <c r="B259" s="112" t="s">
        <v>2143</v>
      </c>
      <c r="C259" s="4" t="s">
        <v>15763</v>
      </c>
      <c r="D259" s="476">
        <v>0</v>
      </c>
      <c r="E259" s="476">
        <v>0</v>
      </c>
      <c r="F259" s="476">
        <v>0</v>
      </c>
      <c r="G259" s="31">
        <v>0</v>
      </c>
      <c r="H259" s="31">
        <v>0</v>
      </c>
      <c r="I259" s="31">
        <v>0</v>
      </c>
      <c r="J259" s="31">
        <v>3067</v>
      </c>
      <c r="K259" s="31">
        <v>3254</v>
      </c>
      <c r="L259" s="31">
        <v>3305</v>
      </c>
      <c r="N259" s="112" t="s">
        <v>5108</v>
      </c>
      <c r="O259" s="941"/>
      <c r="Q259" s="4"/>
    </row>
    <row r="260" spans="1:17">
      <c r="A260" s="112" t="s">
        <v>7573</v>
      </c>
      <c r="B260" s="112" t="s">
        <v>2144</v>
      </c>
      <c r="C260" s="4" t="s">
        <v>15764</v>
      </c>
      <c r="D260" s="476">
        <v>0</v>
      </c>
      <c r="E260" s="476">
        <v>0</v>
      </c>
      <c r="F260" s="476">
        <v>0</v>
      </c>
      <c r="G260" s="31">
        <v>0</v>
      </c>
      <c r="H260" s="31">
        <v>0</v>
      </c>
      <c r="I260" s="31">
        <v>0</v>
      </c>
      <c r="J260" s="31">
        <v>1874</v>
      </c>
      <c r="K260" s="31">
        <v>1968</v>
      </c>
      <c r="L260" s="31">
        <v>1926</v>
      </c>
      <c r="N260" s="112" t="s">
        <v>5108</v>
      </c>
      <c r="O260" s="71"/>
      <c r="Q260" s="4"/>
    </row>
    <row r="261" spans="1:17">
      <c r="A261" s="112" t="s">
        <v>5798</v>
      </c>
      <c r="B261" s="112" t="s">
        <v>15759</v>
      </c>
      <c r="C261" s="4" t="s">
        <v>15765</v>
      </c>
      <c r="D261" s="476">
        <v>0</v>
      </c>
      <c r="E261" s="476">
        <v>0</v>
      </c>
      <c r="F261" s="476">
        <v>0</v>
      </c>
      <c r="G261" s="31">
        <v>0</v>
      </c>
      <c r="H261" s="31">
        <v>0</v>
      </c>
      <c r="I261" s="31">
        <v>0</v>
      </c>
      <c r="J261" s="31">
        <v>3688</v>
      </c>
      <c r="K261" s="31">
        <v>3818</v>
      </c>
      <c r="L261" s="31">
        <v>3834</v>
      </c>
      <c r="N261" s="112" t="s">
        <v>5108</v>
      </c>
      <c r="O261" s="71"/>
      <c r="Q261" s="4"/>
    </row>
    <row r="262" spans="1:17">
      <c r="D262" s="478"/>
      <c r="E262" s="478"/>
      <c r="F262" s="478"/>
      <c r="G262" s="478"/>
      <c r="H262" s="478"/>
      <c r="I262" s="478"/>
      <c r="J262" s="478"/>
      <c r="K262" s="478"/>
      <c r="L262" s="478"/>
    </row>
    <row r="263" spans="1:17">
      <c r="A263" s="112" t="s">
        <v>1777</v>
      </c>
      <c r="D263" s="476">
        <f>D237+D254</f>
        <v>3052</v>
      </c>
      <c r="E263" s="476">
        <f t="shared" ref="E263:J263" si="196">E237+E254</f>
        <v>3076</v>
      </c>
      <c r="F263" s="476">
        <f t="shared" si="196"/>
        <v>3086</v>
      </c>
      <c r="G263" s="476">
        <f t="shared" si="196"/>
        <v>3087</v>
      </c>
      <c r="H263" s="476">
        <f t="shared" si="196"/>
        <v>3165</v>
      </c>
      <c r="I263" s="476">
        <f t="shared" si="196"/>
        <v>3139</v>
      </c>
      <c r="J263" s="476">
        <f t="shared" si="196"/>
        <v>3089</v>
      </c>
      <c r="K263" s="476">
        <f t="shared" ref="K263:L263" si="197">K237+K254</f>
        <v>3175</v>
      </c>
      <c r="L263" s="476">
        <f t="shared" si="197"/>
        <v>3210</v>
      </c>
    </row>
    <row r="264" spans="1:17">
      <c r="A264" s="112" t="s">
        <v>5108</v>
      </c>
      <c r="D264" s="476">
        <f>SUM(D234:D236)+D238+SUM(D240:D253)+D255+SUM(D257:D261)</f>
        <v>76877</v>
      </c>
      <c r="E264" s="476">
        <f t="shared" ref="E264:J264" si="198">SUM(E234:E236)+E238+SUM(E240:E253)+E255+SUM(E257:E261)</f>
        <v>76779</v>
      </c>
      <c r="F264" s="476">
        <f t="shared" si="198"/>
        <v>77392</v>
      </c>
      <c r="G264" s="476">
        <f t="shared" si="198"/>
        <v>77596</v>
      </c>
      <c r="H264" s="476">
        <f t="shared" si="198"/>
        <v>77578</v>
      </c>
      <c r="I264" s="476">
        <f t="shared" si="198"/>
        <v>77624</v>
      </c>
      <c r="J264" s="476">
        <f t="shared" si="198"/>
        <v>74623</v>
      </c>
      <c r="K264" s="476">
        <f t="shared" ref="K264:L264" si="199">SUM(K234:K236)+K238+SUM(K240:K253)+K255+SUM(K257:K261)</f>
        <v>77474</v>
      </c>
      <c r="L264" s="476">
        <f t="shared" si="199"/>
        <v>78196</v>
      </c>
    </row>
    <row r="265" spans="1:17">
      <c r="A265" s="112"/>
      <c r="D265" s="476"/>
      <c r="E265" s="476"/>
      <c r="F265" s="476"/>
      <c r="G265" s="476"/>
      <c r="H265" s="476"/>
      <c r="I265" s="476"/>
      <c r="J265" s="476"/>
      <c r="K265" s="476"/>
      <c r="L265" s="476"/>
    </row>
    <row r="266" spans="1:17">
      <c r="A266" s="112" t="s">
        <v>15760</v>
      </c>
      <c r="D266" s="476"/>
      <c r="E266" s="476"/>
      <c r="F266" s="476"/>
      <c r="G266" s="476"/>
      <c r="H266" s="476"/>
      <c r="I266" s="476"/>
      <c r="J266" s="476"/>
      <c r="K266" s="476"/>
      <c r="L266" s="476"/>
    </row>
    <row r="267" spans="1:17">
      <c r="A267" s="112"/>
      <c r="B267" s="112"/>
      <c r="D267" s="483"/>
      <c r="E267" s="483"/>
      <c r="F267" s="483"/>
      <c r="G267" s="483"/>
      <c r="H267" s="483"/>
      <c r="I267" s="483"/>
      <c r="J267" s="483"/>
      <c r="K267" s="483"/>
      <c r="L267" s="483"/>
    </row>
    <row r="268" spans="1:17">
      <c r="A268" s="112"/>
      <c r="B268" s="112"/>
      <c r="D268" s="483"/>
      <c r="E268" s="483"/>
      <c r="F268" s="483"/>
      <c r="G268" s="483"/>
      <c r="H268" s="483"/>
      <c r="I268" s="483"/>
      <c r="J268" s="483"/>
      <c r="K268" s="483"/>
      <c r="L268" s="483"/>
    </row>
    <row r="269" spans="1:17">
      <c r="E269" s="42" t="s">
        <v>2303</v>
      </c>
      <c r="F269" s="42"/>
      <c r="G269" s="42"/>
      <c r="H269" s="42"/>
      <c r="I269" s="42"/>
      <c r="J269" s="42"/>
      <c r="K269" s="42"/>
      <c r="L269" s="42"/>
      <c r="M269" s="43"/>
      <c r="N269" s="25" t="s">
        <v>13319</v>
      </c>
    </row>
    <row r="270" spans="1:17">
      <c r="D270" s="42">
        <v>2010</v>
      </c>
      <c r="E270" s="42">
        <v>2011</v>
      </c>
      <c r="F270" s="42">
        <v>2012</v>
      </c>
      <c r="G270" s="42">
        <v>2013</v>
      </c>
      <c r="H270" s="42">
        <v>2014</v>
      </c>
      <c r="I270" s="42">
        <v>2015</v>
      </c>
      <c r="J270" s="42">
        <v>2016</v>
      </c>
      <c r="K270" s="42">
        <v>2017</v>
      </c>
      <c r="L270" s="42">
        <v>2018</v>
      </c>
      <c r="M270" s="34"/>
      <c r="N270" s="44" t="s">
        <v>2304</v>
      </c>
    </row>
    <row r="271" spans="1:17">
      <c r="A271" s="112" t="s">
        <v>2234</v>
      </c>
      <c r="D271" s="476">
        <f t="shared" ref="D271:I271" si="200">SUM(D272:D286)</f>
        <v>51094</v>
      </c>
      <c r="E271" s="476">
        <f t="shared" si="200"/>
        <v>51401</v>
      </c>
      <c r="F271" s="476">
        <f t="shared" si="200"/>
        <v>51289</v>
      </c>
      <c r="G271" s="476">
        <f t="shared" si="200"/>
        <v>51035</v>
      </c>
      <c r="H271" s="476">
        <f t="shared" si="200"/>
        <v>49652</v>
      </c>
      <c r="I271" s="476">
        <f t="shared" si="200"/>
        <v>49445</v>
      </c>
      <c r="J271" s="476">
        <f t="shared" ref="J271:K271" si="201">SUM(J272:J286)</f>
        <v>47525</v>
      </c>
      <c r="K271" s="476">
        <f t="shared" si="201"/>
        <v>49487</v>
      </c>
      <c r="L271" s="476">
        <f t="shared" ref="L271" si="202">SUM(L272:L286)</f>
        <v>49863</v>
      </c>
    </row>
    <row r="272" spans="1:17">
      <c r="A272" s="112" t="s">
        <v>6957</v>
      </c>
      <c r="B272" s="112" t="s">
        <v>1385</v>
      </c>
      <c r="C272" s="4" t="s">
        <v>12207</v>
      </c>
      <c r="D272" s="476">
        <v>2672</v>
      </c>
      <c r="E272" s="476">
        <v>2710</v>
      </c>
      <c r="F272" s="476">
        <v>2711</v>
      </c>
      <c r="G272" s="30">
        <v>2713</v>
      </c>
      <c r="H272" s="30">
        <v>2627</v>
      </c>
      <c r="I272" s="30">
        <v>2607</v>
      </c>
      <c r="J272" s="30">
        <v>2442</v>
      </c>
      <c r="K272" s="30">
        <v>2688</v>
      </c>
      <c r="L272" s="30">
        <v>2743</v>
      </c>
      <c r="N272" s="112" t="s">
        <v>5106</v>
      </c>
      <c r="O272" s="934"/>
      <c r="P272" s="942"/>
      <c r="Q272" s="940"/>
    </row>
    <row r="273" spans="1:17">
      <c r="A273" s="112" t="s">
        <v>6959</v>
      </c>
      <c r="B273" s="112" t="s">
        <v>2235</v>
      </c>
      <c r="C273" s="4" t="s">
        <v>12208</v>
      </c>
      <c r="D273" s="476">
        <v>4660</v>
      </c>
      <c r="E273" s="476">
        <v>4786</v>
      </c>
      <c r="F273" s="476">
        <v>4757</v>
      </c>
      <c r="G273" s="30">
        <v>4772</v>
      </c>
      <c r="H273" s="30">
        <v>4386</v>
      </c>
      <c r="I273" s="30">
        <v>4347</v>
      </c>
      <c r="J273" s="30">
        <v>3979</v>
      </c>
      <c r="K273" s="30">
        <v>4266</v>
      </c>
      <c r="L273" s="30">
        <v>4361</v>
      </c>
      <c r="N273" s="112" t="s">
        <v>5106</v>
      </c>
      <c r="O273" s="934"/>
      <c r="P273" s="942"/>
      <c r="Q273" s="940"/>
    </row>
    <row r="274" spans="1:17">
      <c r="A274" s="112" t="s">
        <v>6961</v>
      </c>
      <c r="B274" s="112" t="s">
        <v>5081</v>
      </c>
      <c r="C274" s="4" t="s">
        <v>12209</v>
      </c>
      <c r="D274" s="476">
        <v>4321</v>
      </c>
      <c r="E274" s="476">
        <v>4343</v>
      </c>
      <c r="F274" s="476">
        <v>4316</v>
      </c>
      <c r="G274" s="30">
        <v>4297</v>
      </c>
      <c r="H274" s="30">
        <v>4254</v>
      </c>
      <c r="I274" s="30">
        <v>4240</v>
      </c>
      <c r="J274" s="30">
        <v>4213</v>
      </c>
      <c r="K274" s="30">
        <v>4359</v>
      </c>
      <c r="L274" s="30">
        <v>4375</v>
      </c>
      <c r="N274" s="112" t="s">
        <v>5106</v>
      </c>
      <c r="O274" s="934"/>
      <c r="P274" s="942"/>
      <c r="Q274" s="940"/>
    </row>
    <row r="275" spans="1:17">
      <c r="A275" s="112" t="s">
        <v>6963</v>
      </c>
      <c r="B275" s="112" t="s">
        <v>2236</v>
      </c>
      <c r="C275" s="4" t="s">
        <v>12210</v>
      </c>
      <c r="D275" s="476">
        <v>3065</v>
      </c>
      <c r="E275" s="476">
        <v>3069</v>
      </c>
      <c r="F275" s="476">
        <v>3033</v>
      </c>
      <c r="G275" s="30">
        <v>3037</v>
      </c>
      <c r="H275" s="30">
        <v>2872</v>
      </c>
      <c r="I275" s="30">
        <v>2839</v>
      </c>
      <c r="J275" s="30">
        <v>2787</v>
      </c>
      <c r="K275" s="30">
        <v>2945</v>
      </c>
      <c r="L275" s="30">
        <v>2986</v>
      </c>
      <c r="N275" s="112" t="s">
        <v>5106</v>
      </c>
      <c r="O275" s="934"/>
      <c r="P275" s="942"/>
      <c r="Q275" s="940"/>
    </row>
    <row r="276" spans="1:17">
      <c r="A276" s="112" t="s">
        <v>6965</v>
      </c>
      <c r="B276" s="112" t="s">
        <v>2237</v>
      </c>
      <c r="C276" s="4" t="s">
        <v>12211</v>
      </c>
      <c r="D276" s="476">
        <v>2575</v>
      </c>
      <c r="E276" s="476">
        <v>2555</v>
      </c>
      <c r="F276" s="476">
        <v>2526</v>
      </c>
      <c r="G276" s="30">
        <v>2524</v>
      </c>
      <c r="H276" s="30">
        <v>2482</v>
      </c>
      <c r="I276" s="30">
        <v>2482</v>
      </c>
      <c r="J276" s="30">
        <v>2477</v>
      </c>
      <c r="K276" s="30">
        <v>2584</v>
      </c>
      <c r="L276" s="30">
        <v>2623</v>
      </c>
      <c r="N276" s="112" t="s">
        <v>5106</v>
      </c>
      <c r="O276" s="934"/>
      <c r="P276" s="942"/>
      <c r="Q276" s="940"/>
    </row>
    <row r="277" spans="1:17">
      <c r="A277" s="112" t="s">
        <v>6997</v>
      </c>
      <c r="B277" s="112" t="s">
        <v>2238</v>
      </c>
      <c r="C277" s="4" t="s">
        <v>12212</v>
      </c>
      <c r="D277" s="476">
        <v>4089</v>
      </c>
      <c r="E277" s="476">
        <v>4064</v>
      </c>
      <c r="F277" s="476">
        <v>4077</v>
      </c>
      <c r="G277" s="30">
        <v>4056</v>
      </c>
      <c r="H277" s="30">
        <v>3860</v>
      </c>
      <c r="I277" s="30">
        <v>3839</v>
      </c>
      <c r="J277" s="30">
        <v>3689</v>
      </c>
      <c r="K277" s="30">
        <v>3821</v>
      </c>
      <c r="L277" s="30">
        <v>3844</v>
      </c>
      <c r="N277" s="112" t="s">
        <v>5106</v>
      </c>
      <c r="O277" s="934"/>
      <c r="P277" s="942"/>
      <c r="Q277" s="940"/>
    </row>
    <row r="278" spans="1:17">
      <c r="A278" s="112" t="s">
        <v>6999</v>
      </c>
      <c r="B278" s="112" t="s">
        <v>7022</v>
      </c>
      <c r="C278" s="4" t="s">
        <v>12213</v>
      </c>
      <c r="D278" s="476">
        <v>2662</v>
      </c>
      <c r="E278" s="476">
        <v>2690</v>
      </c>
      <c r="F278" s="476">
        <v>2697</v>
      </c>
      <c r="G278" s="30">
        <v>2589</v>
      </c>
      <c r="H278" s="30">
        <v>2718</v>
      </c>
      <c r="I278" s="30">
        <v>2709</v>
      </c>
      <c r="J278" s="30">
        <v>2573</v>
      </c>
      <c r="K278" s="30">
        <v>2702</v>
      </c>
      <c r="L278" s="30">
        <v>2708</v>
      </c>
      <c r="N278" s="112" t="s">
        <v>5106</v>
      </c>
      <c r="O278" s="934"/>
      <c r="P278" s="942"/>
      <c r="Q278" s="940"/>
    </row>
    <row r="279" spans="1:17">
      <c r="A279" s="112" t="s">
        <v>7001</v>
      </c>
      <c r="B279" s="112" t="s">
        <v>2239</v>
      </c>
      <c r="C279" s="4" t="s">
        <v>12214</v>
      </c>
      <c r="D279" s="476">
        <v>2914</v>
      </c>
      <c r="E279" s="476">
        <v>2911</v>
      </c>
      <c r="F279" s="476">
        <v>2939</v>
      </c>
      <c r="G279" s="30">
        <v>2933</v>
      </c>
      <c r="H279" s="30">
        <v>2863</v>
      </c>
      <c r="I279" s="30">
        <v>2859</v>
      </c>
      <c r="J279" s="30">
        <v>2780</v>
      </c>
      <c r="K279" s="30">
        <v>2852</v>
      </c>
      <c r="L279" s="30">
        <v>2868</v>
      </c>
      <c r="N279" s="112" t="s">
        <v>5106</v>
      </c>
      <c r="O279" s="934"/>
      <c r="P279" s="942"/>
      <c r="Q279" s="940"/>
    </row>
    <row r="280" spans="1:17">
      <c r="A280" s="112" t="s">
        <v>7003</v>
      </c>
      <c r="B280" s="112" t="s">
        <v>40</v>
      </c>
      <c r="C280" s="4" t="s">
        <v>12215</v>
      </c>
      <c r="D280" s="476">
        <v>2804</v>
      </c>
      <c r="E280" s="476">
        <v>2835</v>
      </c>
      <c r="F280" s="476">
        <v>2840</v>
      </c>
      <c r="G280" s="30">
        <v>2834</v>
      </c>
      <c r="H280" s="30">
        <v>2706</v>
      </c>
      <c r="I280" s="30">
        <v>2706</v>
      </c>
      <c r="J280" s="30">
        <v>2610</v>
      </c>
      <c r="K280" s="30">
        <v>2737</v>
      </c>
      <c r="L280" s="30">
        <v>2759</v>
      </c>
      <c r="N280" s="112" t="s">
        <v>5106</v>
      </c>
      <c r="O280" s="934"/>
      <c r="P280" s="942"/>
      <c r="Q280" s="940"/>
    </row>
    <row r="281" spans="1:17">
      <c r="A281" s="112" t="s">
        <v>7005</v>
      </c>
      <c r="B281" s="112" t="s">
        <v>41</v>
      </c>
      <c r="C281" s="4" t="s">
        <v>12216</v>
      </c>
      <c r="D281" s="476">
        <v>4235</v>
      </c>
      <c r="E281" s="476">
        <v>4299</v>
      </c>
      <c r="F281" s="476">
        <v>4283</v>
      </c>
      <c r="G281" s="30">
        <v>4231</v>
      </c>
      <c r="H281" s="30">
        <v>4148</v>
      </c>
      <c r="I281" s="30">
        <v>4120</v>
      </c>
      <c r="J281" s="30">
        <v>4003</v>
      </c>
      <c r="K281" s="30">
        <v>4057</v>
      </c>
      <c r="L281" s="30">
        <v>4012</v>
      </c>
      <c r="N281" s="112" t="s">
        <v>5106</v>
      </c>
      <c r="O281" s="934"/>
      <c r="P281" s="942"/>
      <c r="Q281" s="940"/>
    </row>
    <row r="282" spans="1:17">
      <c r="A282" s="112" t="s">
        <v>7007</v>
      </c>
      <c r="B282" s="112" t="s">
        <v>42</v>
      </c>
      <c r="C282" s="4" t="s">
        <v>12217</v>
      </c>
      <c r="D282" s="476">
        <v>2939</v>
      </c>
      <c r="E282" s="476">
        <v>2967</v>
      </c>
      <c r="F282" s="476">
        <v>2964</v>
      </c>
      <c r="G282" s="30">
        <v>2945</v>
      </c>
      <c r="H282" s="30">
        <v>2894</v>
      </c>
      <c r="I282" s="30">
        <v>2904</v>
      </c>
      <c r="J282" s="30">
        <v>2752</v>
      </c>
      <c r="K282" s="30">
        <v>2875</v>
      </c>
      <c r="L282" s="30">
        <v>2846</v>
      </c>
      <c r="N282" s="112" t="s">
        <v>5106</v>
      </c>
      <c r="O282" s="934"/>
      <c r="P282" s="942"/>
      <c r="Q282" s="940"/>
    </row>
    <row r="283" spans="1:17">
      <c r="A283" s="112" t="s">
        <v>7009</v>
      </c>
      <c r="B283" s="112" t="s">
        <v>43</v>
      </c>
      <c r="C283" s="4" t="s">
        <v>12218</v>
      </c>
      <c r="D283" s="476">
        <v>2854</v>
      </c>
      <c r="E283" s="476">
        <v>2867</v>
      </c>
      <c r="F283" s="476">
        <v>2918</v>
      </c>
      <c r="G283" s="30">
        <v>2908</v>
      </c>
      <c r="H283" s="30">
        <v>2897</v>
      </c>
      <c r="I283" s="30">
        <v>2864</v>
      </c>
      <c r="J283" s="30">
        <v>2760</v>
      </c>
      <c r="K283" s="30">
        <v>2824</v>
      </c>
      <c r="L283" s="30">
        <v>2795</v>
      </c>
      <c r="N283" s="112" t="s">
        <v>5106</v>
      </c>
      <c r="O283" s="934"/>
      <c r="P283" s="942"/>
      <c r="Q283" s="940"/>
    </row>
    <row r="284" spans="1:17">
      <c r="A284" s="112" t="s">
        <v>7011</v>
      </c>
      <c r="B284" s="112" t="s">
        <v>44</v>
      </c>
      <c r="C284" s="4" t="s">
        <v>12219</v>
      </c>
      <c r="D284" s="476">
        <v>2879</v>
      </c>
      <c r="E284" s="476">
        <v>2863</v>
      </c>
      <c r="F284" s="476">
        <v>2854</v>
      </c>
      <c r="G284" s="30">
        <v>2834</v>
      </c>
      <c r="H284" s="30">
        <v>2681</v>
      </c>
      <c r="I284" s="30">
        <v>2697</v>
      </c>
      <c r="J284" s="30">
        <v>2493</v>
      </c>
      <c r="K284" s="30">
        <v>2623</v>
      </c>
      <c r="L284" s="30">
        <v>2667</v>
      </c>
      <c r="N284" s="112" t="s">
        <v>5106</v>
      </c>
      <c r="O284" s="934"/>
      <c r="P284" s="942"/>
      <c r="Q284" s="940"/>
    </row>
    <row r="285" spans="1:17">
      <c r="A285" s="482">
        <v>14</v>
      </c>
      <c r="B285" s="112" t="s">
        <v>45</v>
      </c>
      <c r="C285" s="4" t="s">
        <v>12220</v>
      </c>
      <c r="D285" s="476">
        <v>4060</v>
      </c>
      <c r="E285" s="476">
        <v>4051</v>
      </c>
      <c r="F285" s="476">
        <v>4013</v>
      </c>
      <c r="G285" s="30">
        <v>3985</v>
      </c>
      <c r="H285" s="30">
        <v>3937</v>
      </c>
      <c r="I285" s="30">
        <v>3936</v>
      </c>
      <c r="J285" s="30">
        <v>3848</v>
      </c>
      <c r="K285" s="30">
        <v>3885</v>
      </c>
      <c r="L285" s="30">
        <v>3990</v>
      </c>
      <c r="N285" s="112" t="s">
        <v>5106</v>
      </c>
      <c r="O285" s="934"/>
      <c r="P285" s="942"/>
      <c r="Q285" s="940"/>
    </row>
    <row r="286" spans="1:17">
      <c r="A286" s="482">
        <v>15</v>
      </c>
      <c r="B286" s="112" t="s">
        <v>46</v>
      </c>
      <c r="C286" s="4" t="s">
        <v>12221</v>
      </c>
      <c r="D286" s="478">
        <v>4365</v>
      </c>
      <c r="E286" s="478">
        <v>4391</v>
      </c>
      <c r="F286" s="478">
        <v>4361</v>
      </c>
      <c r="G286" s="30">
        <v>4377</v>
      </c>
      <c r="H286" s="30">
        <v>4327</v>
      </c>
      <c r="I286" s="30">
        <v>4296</v>
      </c>
      <c r="J286" s="30">
        <v>4119</v>
      </c>
      <c r="K286" s="30">
        <v>4269</v>
      </c>
      <c r="L286" s="30">
        <v>4286</v>
      </c>
      <c r="N286" s="112" t="s">
        <v>5106</v>
      </c>
      <c r="O286" s="934"/>
      <c r="P286" s="942"/>
      <c r="Q286" s="940"/>
    </row>
    <row r="287" spans="1:17">
      <c r="D287" s="478"/>
      <c r="E287" s="478"/>
      <c r="F287" s="478"/>
      <c r="G287" s="478"/>
      <c r="H287" s="478"/>
      <c r="I287" s="478"/>
      <c r="J287" s="478"/>
      <c r="K287" s="478"/>
      <c r="L287" s="478"/>
    </row>
    <row r="288" spans="1:17">
      <c r="A288" s="112" t="s">
        <v>1777</v>
      </c>
      <c r="D288" s="476">
        <f t="shared" ref="D288:L288" si="203">SUM(D272:D286)</f>
        <v>51094</v>
      </c>
      <c r="E288" s="476">
        <f t="shared" si="203"/>
        <v>51401</v>
      </c>
      <c r="F288" s="476">
        <f t="shared" si="203"/>
        <v>51289</v>
      </c>
      <c r="G288" s="476">
        <f t="shared" si="203"/>
        <v>51035</v>
      </c>
      <c r="H288" s="476">
        <f t="shared" si="203"/>
        <v>49652</v>
      </c>
      <c r="I288" s="476">
        <f t="shared" si="203"/>
        <v>49445</v>
      </c>
      <c r="J288" s="476">
        <f t="shared" si="203"/>
        <v>47525</v>
      </c>
      <c r="K288" s="476">
        <f t="shared" si="203"/>
        <v>49487</v>
      </c>
      <c r="L288" s="476">
        <f t="shared" si="203"/>
        <v>49863</v>
      </c>
    </row>
    <row r="290" spans="1:1">
      <c r="A290" s="109" t="s">
        <v>47</v>
      </c>
    </row>
  </sheetData>
  <sortState ref="O234:Q259">
    <sortCondition ref="O234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ignoredErrors>
    <ignoredError sqref="D120:K120 D133:E133 D175:E175 D196:E196 D288:K288 D271:E271 D59:E59 D79:E80 F79:F86 F114:F119 F133:F139 F169:F175 F196:F202 F229:F232 F265:F271 E52 G271:K271 G175:K175 G196:K196 G133:K133 G59:K59 D3:D52 E3:E50 F3:F59 G3:I52 G79:I80 D90:K90 D87:K87 D93:K93 D96:K96 D112:I113 D145:K145 D155:K155 D158:K158 D163:K163 F226:F227 D222:I222 D208:K208 D219:J219 D224:I224 J79:J80 J112:J113 J166 J167:J168 D166:I168 D140:K140 J222:J224 D203:K203 D225:J225 D239:K239 D256:K256 D233:K233 D263:I264 J263:J264 J3:J52 K79:K80 K112:K113 K166:K168 K219:K225 K263:K264 K3:K52 L3:L288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158"/>
  <sheetViews>
    <sheetView showGridLines="0" zoomScaleNormal="100" workbookViewId="0"/>
  </sheetViews>
  <sheetFormatPr defaultColWidth="12.5703125" defaultRowHeight="15"/>
  <cols>
    <col min="1" max="1" width="4.85546875" style="76" customWidth="1"/>
    <col min="2" max="2" width="40.85546875" style="76" customWidth="1"/>
    <col min="3" max="3" width="11.5703125" style="76" customWidth="1"/>
    <col min="4" max="12" width="10" style="76" customWidth="1"/>
    <col min="13" max="13" width="2.28515625" style="76" customWidth="1"/>
    <col min="14" max="14" width="25.7109375" style="76" customWidth="1"/>
    <col min="15" max="16384" width="12.5703125" style="76"/>
  </cols>
  <sheetData>
    <row r="1" spans="1:14">
      <c r="A1" s="75" t="s">
        <v>8847</v>
      </c>
      <c r="D1" s="77">
        <v>2010</v>
      </c>
      <c r="E1" s="77">
        <v>2011</v>
      </c>
      <c r="F1" s="77">
        <v>2012</v>
      </c>
      <c r="G1" s="77">
        <v>2013</v>
      </c>
      <c r="H1" s="77">
        <v>2014</v>
      </c>
      <c r="I1" s="77">
        <v>2015</v>
      </c>
      <c r="J1" s="77">
        <v>2016</v>
      </c>
      <c r="K1" s="77">
        <v>2017</v>
      </c>
      <c r="L1" s="77">
        <v>2018</v>
      </c>
    </row>
    <row r="3" spans="1:14">
      <c r="A3" s="75" t="s">
        <v>1388</v>
      </c>
      <c r="C3" s="75"/>
      <c r="D3" s="78">
        <f t="shared" ref="D3:I3" si="0">D39</f>
        <v>79460</v>
      </c>
      <c r="E3" s="78">
        <f t="shared" si="0"/>
        <v>78463</v>
      </c>
      <c r="F3" s="78">
        <f t="shared" si="0"/>
        <v>79127</v>
      </c>
      <c r="G3" s="78">
        <f t="shared" si="0"/>
        <v>79236</v>
      </c>
      <c r="H3" s="78">
        <f t="shared" si="0"/>
        <v>78571</v>
      </c>
      <c r="I3" s="78">
        <f t="shared" si="0"/>
        <v>76844</v>
      </c>
      <c r="J3" s="78">
        <f t="shared" ref="J3:K3" si="1">J39</f>
        <v>74929</v>
      </c>
      <c r="K3" s="78">
        <f t="shared" si="1"/>
        <v>76577</v>
      </c>
      <c r="L3" s="78">
        <f t="shared" ref="L3" si="2">L39</f>
        <v>77458</v>
      </c>
    </row>
    <row r="4" spans="1:14" ht="15.75" thickBot="1">
      <c r="A4" s="75" t="s">
        <v>1389</v>
      </c>
      <c r="C4" s="75"/>
      <c r="D4" s="79">
        <f t="shared" ref="D4:I4" si="3">D73</f>
        <v>391444</v>
      </c>
      <c r="E4" s="79">
        <f t="shared" si="3"/>
        <v>404896</v>
      </c>
      <c r="F4" s="79">
        <f t="shared" si="3"/>
        <v>406894</v>
      </c>
      <c r="G4" s="79">
        <f t="shared" si="3"/>
        <v>407465</v>
      </c>
      <c r="H4" s="79">
        <f t="shared" si="3"/>
        <v>400686</v>
      </c>
      <c r="I4" s="79">
        <f t="shared" si="3"/>
        <v>374451</v>
      </c>
      <c r="J4" s="79">
        <f t="shared" ref="J4:K4" si="4">J73</f>
        <v>377715</v>
      </c>
      <c r="K4" s="79">
        <f t="shared" si="4"/>
        <v>386910</v>
      </c>
      <c r="L4" s="79">
        <f t="shared" ref="L4" si="5">L73</f>
        <v>392746</v>
      </c>
    </row>
    <row r="5" spans="1:14" ht="15.75" thickBot="1">
      <c r="D5" s="79">
        <f t="shared" ref="D5:I5" si="6">D3+D4</f>
        <v>470904</v>
      </c>
      <c r="E5" s="79">
        <f t="shared" si="6"/>
        <v>483359</v>
      </c>
      <c r="F5" s="79">
        <f t="shared" si="6"/>
        <v>486021</v>
      </c>
      <c r="G5" s="79">
        <f t="shared" si="6"/>
        <v>486701</v>
      </c>
      <c r="H5" s="79">
        <f t="shared" si="6"/>
        <v>479257</v>
      </c>
      <c r="I5" s="79">
        <f t="shared" si="6"/>
        <v>451295</v>
      </c>
      <c r="J5" s="79">
        <f t="shared" ref="J5:K5" si="7">J3+J4</f>
        <v>452644</v>
      </c>
      <c r="K5" s="79">
        <f t="shared" si="7"/>
        <v>463487</v>
      </c>
      <c r="L5" s="79">
        <f t="shared" ref="L5" si="8">L3+L4</f>
        <v>470204</v>
      </c>
    </row>
    <row r="6" spans="1:14">
      <c r="D6" s="80"/>
      <c r="E6" s="80"/>
      <c r="F6" s="80"/>
      <c r="G6" s="80"/>
      <c r="H6" s="80"/>
      <c r="I6" s="80"/>
      <c r="J6" s="80"/>
      <c r="K6" s="80"/>
      <c r="L6" s="80"/>
    </row>
    <row r="7" spans="1:14">
      <c r="A7" s="75" t="s">
        <v>2267</v>
      </c>
      <c r="D7" s="81">
        <f t="shared" ref="D7:I7" si="9">D3/1</f>
        <v>79460</v>
      </c>
      <c r="E7" s="81">
        <f t="shared" si="9"/>
        <v>78463</v>
      </c>
      <c r="F7" s="81">
        <f t="shared" si="9"/>
        <v>79127</v>
      </c>
      <c r="G7" s="81">
        <f t="shared" si="9"/>
        <v>79236</v>
      </c>
      <c r="H7" s="81">
        <f t="shared" si="9"/>
        <v>78571</v>
      </c>
      <c r="I7" s="81">
        <f t="shared" si="9"/>
        <v>76844</v>
      </c>
      <c r="J7" s="81">
        <f t="shared" ref="J7:K7" si="10">J3/1</f>
        <v>74929</v>
      </c>
      <c r="K7" s="81">
        <f t="shared" si="10"/>
        <v>76577</v>
      </c>
      <c r="L7" s="81">
        <f t="shared" ref="L7" si="11">L3/1</f>
        <v>77458</v>
      </c>
    </row>
    <row r="8" spans="1:14">
      <c r="A8" s="75" t="s">
        <v>13396</v>
      </c>
      <c r="D8" s="81">
        <f t="shared" ref="D8:I8" si="12">D4/5</f>
        <v>78288.800000000003</v>
      </c>
      <c r="E8" s="81">
        <f t="shared" si="12"/>
        <v>80979.199999999997</v>
      </c>
      <c r="F8" s="81">
        <f t="shared" si="12"/>
        <v>81378.8</v>
      </c>
      <c r="G8" s="81">
        <f t="shared" si="12"/>
        <v>81493</v>
      </c>
      <c r="H8" s="81">
        <f t="shared" si="12"/>
        <v>80137.2</v>
      </c>
      <c r="I8" s="81">
        <f t="shared" si="12"/>
        <v>74890.2</v>
      </c>
      <c r="J8" s="81">
        <f t="shared" ref="J8:K8" si="13">J4/5</f>
        <v>75543</v>
      </c>
      <c r="K8" s="81">
        <f t="shared" si="13"/>
        <v>77382</v>
      </c>
      <c r="L8" s="81">
        <f t="shared" ref="L8" si="14">L4/5</f>
        <v>78549.2</v>
      </c>
    </row>
    <row r="9" spans="1:14">
      <c r="A9" s="75" t="s">
        <v>7552</v>
      </c>
      <c r="D9" s="81">
        <f t="shared" ref="D9:I9" si="15">D5/6</f>
        <v>78484</v>
      </c>
      <c r="E9" s="81">
        <f t="shared" si="15"/>
        <v>80559.833333333328</v>
      </c>
      <c r="F9" s="81">
        <f t="shared" si="15"/>
        <v>81003.5</v>
      </c>
      <c r="G9" s="81">
        <f t="shared" si="15"/>
        <v>81116.833333333328</v>
      </c>
      <c r="H9" s="81">
        <f t="shared" si="15"/>
        <v>79876.166666666672</v>
      </c>
      <c r="I9" s="81">
        <f t="shared" si="15"/>
        <v>75215.833333333328</v>
      </c>
      <c r="J9" s="81">
        <f t="shared" ref="J9:K9" si="16">J5/6</f>
        <v>75440.666666666672</v>
      </c>
      <c r="K9" s="81">
        <f t="shared" si="16"/>
        <v>77247.833333333328</v>
      </c>
      <c r="L9" s="81">
        <f t="shared" ref="L9" si="17">L5/6</f>
        <v>78367.333333333328</v>
      </c>
    </row>
    <row r="10" spans="1:14">
      <c r="D10" s="80"/>
      <c r="E10" s="80"/>
      <c r="F10" s="80"/>
      <c r="G10" s="80"/>
      <c r="H10" s="80"/>
      <c r="I10" s="80"/>
      <c r="J10" s="80"/>
      <c r="K10" s="80"/>
      <c r="L10" s="80"/>
    </row>
    <row r="11" spans="1:14">
      <c r="A11" s="75" t="s">
        <v>2268</v>
      </c>
      <c r="D11" s="81">
        <f t="shared" ref="D11:I11" si="18">D151</f>
        <v>68170</v>
      </c>
      <c r="E11" s="81">
        <f t="shared" si="18"/>
        <v>68501</v>
      </c>
      <c r="F11" s="81">
        <f t="shared" si="18"/>
        <v>69096</v>
      </c>
      <c r="G11" s="81">
        <f t="shared" si="18"/>
        <v>69397</v>
      </c>
      <c r="H11" s="81">
        <f t="shared" si="18"/>
        <v>68525</v>
      </c>
      <c r="I11" s="81">
        <f t="shared" si="18"/>
        <v>64953</v>
      </c>
      <c r="J11" s="81">
        <f t="shared" ref="J11:K11" si="19">J151</f>
        <v>65234</v>
      </c>
      <c r="K11" s="81">
        <f t="shared" si="19"/>
        <v>66825</v>
      </c>
      <c r="L11" s="81">
        <f t="shared" ref="L11" si="20">L151</f>
        <v>67151</v>
      </c>
      <c r="N11" s="75" t="s">
        <v>2269</v>
      </c>
    </row>
    <row r="12" spans="1:14">
      <c r="D12" s="80"/>
      <c r="E12" s="80"/>
      <c r="F12" s="80"/>
      <c r="G12" s="80"/>
      <c r="H12" s="80"/>
      <c r="I12" s="80"/>
      <c r="J12" s="80"/>
      <c r="K12" s="80"/>
      <c r="L12" s="80"/>
    </row>
    <row r="13" spans="1:14">
      <c r="A13" s="75" t="s">
        <v>2270</v>
      </c>
      <c r="D13" s="81">
        <f t="shared" ref="D13:I13" si="21">D152</f>
        <v>67642</v>
      </c>
      <c r="E13" s="81">
        <f t="shared" si="21"/>
        <v>72659</v>
      </c>
      <c r="F13" s="81">
        <f t="shared" si="21"/>
        <v>73567</v>
      </c>
      <c r="G13" s="81">
        <f t="shared" si="21"/>
        <v>73679</v>
      </c>
      <c r="H13" s="81">
        <f t="shared" si="21"/>
        <v>73036</v>
      </c>
      <c r="I13" s="81">
        <f t="shared" si="21"/>
        <v>64614</v>
      </c>
      <c r="J13" s="81">
        <f t="shared" ref="J13:K13" si="22">J152</f>
        <v>66618</v>
      </c>
      <c r="K13" s="81">
        <f t="shared" si="22"/>
        <v>68508</v>
      </c>
      <c r="L13" s="81">
        <f t="shared" ref="L13" si="23">L152</f>
        <v>73538</v>
      </c>
      <c r="N13" s="75" t="s">
        <v>2269</v>
      </c>
    </row>
    <row r="14" spans="1:14">
      <c r="D14" s="80"/>
      <c r="E14" s="80"/>
      <c r="F14" s="80"/>
      <c r="G14" s="80"/>
      <c r="H14" s="80"/>
      <c r="I14" s="80"/>
      <c r="J14" s="80"/>
      <c r="K14" s="80"/>
      <c r="L14" s="80"/>
    </row>
    <row r="15" spans="1:14">
      <c r="A15" s="75" t="s">
        <v>2271</v>
      </c>
      <c r="D15" s="81">
        <f t="shared" ref="D15:I15" si="24">D65</f>
        <v>68508</v>
      </c>
      <c r="E15" s="81">
        <f t="shared" si="24"/>
        <v>67476</v>
      </c>
      <c r="F15" s="81">
        <f t="shared" si="24"/>
        <v>67928</v>
      </c>
      <c r="G15" s="81">
        <f t="shared" si="24"/>
        <v>67998</v>
      </c>
      <c r="H15" s="81">
        <f t="shared" si="24"/>
        <v>67273</v>
      </c>
      <c r="I15" s="81">
        <f t="shared" si="24"/>
        <v>65769</v>
      </c>
      <c r="J15" s="81">
        <f t="shared" ref="J15:K15" si="25">J65</f>
        <v>63995</v>
      </c>
      <c r="K15" s="81">
        <f t="shared" si="25"/>
        <v>65342</v>
      </c>
      <c r="L15" s="81">
        <f t="shared" ref="L15" si="26">L65</f>
        <v>66193</v>
      </c>
      <c r="N15" s="75" t="s">
        <v>2272</v>
      </c>
    </row>
    <row r="16" spans="1:14">
      <c r="D16" s="80"/>
      <c r="E16" s="80"/>
      <c r="F16" s="80"/>
      <c r="G16" s="80"/>
      <c r="H16" s="80"/>
      <c r="I16" s="80"/>
      <c r="J16" s="80"/>
      <c r="K16" s="80"/>
      <c r="L16" s="80"/>
    </row>
    <row r="17" spans="1:14">
      <c r="A17" s="75" t="s">
        <v>2273</v>
      </c>
      <c r="D17" s="81">
        <f t="shared" ref="D17:I17" si="27">D153</f>
        <v>63387</v>
      </c>
      <c r="E17" s="81">
        <f t="shared" si="27"/>
        <v>65618</v>
      </c>
      <c r="F17" s="81">
        <f t="shared" si="27"/>
        <v>66096</v>
      </c>
      <c r="G17" s="81">
        <f t="shared" si="27"/>
        <v>66164</v>
      </c>
      <c r="H17" s="81">
        <f t="shared" si="27"/>
        <v>64884</v>
      </c>
      <c r="I17" s="81">
        <f t="shared" si="27"/>
        <v>60820</v>
      </c>
      <c r="J17" s="81">
        <f t="shared" ref="J17:K17" si="28">J153</f>
        <v>60833</v>
      </c>
      <c r="K17" s="81">
        <f t="shared" si="28"/>
        <v>61870</v>
      </c>
      <c r="L17" s="81">
        <f t="shared" ref="L17" si="29">L153</f>
        <v>61851</v>
      </c>
      <c r="N17" s="75" t="s">
        <v>2269</v>
      </c>
    </row>
    <row r="18" spans="1:14">
      <c r="D18" s="80"/>
      <c r="E18" s="80"/>
      <c r="F18" s="80"/>
      <c r="G18" s="80"/>
      <c r="H18" s="80"/>
      <c r="I18" s="80"/>
      <c r="J18" s="80"/>
      <c r="K18" s="80"/>
      <c r="L18" s="80"/>
    </row>
    <row r="19" spans="1:14">
      <c r="A19" s="75" t="s">
        <v>2274</v>
      </c>
      <c r="D19" s="81">
        <f t="shared" ref="D19:I19" si="30">D154</f>
        <v>67284</v>
      </c>
      <c r="E19" s="81">
        <f t="shared" si="30"/>
        <v>68959</v>
      </c>
      <c r="F19" s="81">
        <f t="shared" si="30"/>
        <v>69697</v>
      </c>
      <c r="G19" s="81">
        <f t="shared" si="30"/>
        <v>69808</v>
      </c>
      <c r="H19" s="81">
        <f t="shared" si="30"/>
        <v>68294</v>
      </c>
      <c r="I19" s="81">
        <f t="shared" si="30"/>
        <v>64406</v>
      </c>
      <c r="J19" s="81">
        <f t="shared" ref="J19:K19" si="31">J154</f>
        <v>64810</v>
      </c>
      <c r="K19" s="81">
        <f t="shared" si="31"/>
        <v>66404</v>
      </c>
      <c r="L19" s="81">
        <f t="shared" ref="L19" si="32">L154</f>
        <v>66386</v>
      </c>
      <c r="N19" s="75" t="s">
        <v>2269</v>
      </c>
    </row>
    <row r="20" spans="1:14">
      <c r="D20" s="80"/>
      <c r="E20" s="80"/>
      <c r="F20" s="80"/>
      <c r="G20" s="80"/>
      <c r="H20" s="80"/>
      <c r="I20" s="80"/>
      <c r="J20" s="80"/>
      <c r="K20" s="80"/>
      <c r="L20" s="80"/>
    </row>
    <row r="21" spans="1:14">
      <c r="A21" s="75" t="s">
        <v>2275</v>
      </c>
      <c r="D21" s="81">
        <f t="shared" ref="D21:I21" si="33">D155</f>
        <v>70167</v>
      </c>
      <c r="E21" s="81">
        <f t="shared" si="33"/>
        <v>72760</v>
      </c>
      <c r="F21" s="81">
        <f t="shared" si="33"/>
        <v>72615</v>
      </c>
      <c r="G21" s="81">
        <f t="shared" si="33"/>
        <v>72742</v>
      </c>
      <c r="H21" s="81">
        <f t="shared" si="33"/>
        <v>71776</v>
      </c>
      <c r="I21" s="81">
        <f t="shared" si="33"/>
        <v>68615</v>
      </c>
      <c r="J21" s="81">
        <f t="shared" ref="J21:K21" si="34">J155</f>
        <v>69094</v>
      </c>
      <c r="K21" s="81">
        <f t="shared" si="34"/>
        <v>71244</v>
      </c>
      <c r="L21" s="81">
        <f t="shared" ref="L21" si="35">L155</f>
        <v>71567</v>
      </c>
      <c r="N21" s="75" t="s">
        <v>2269</v>
      </c>
    </row>
    <row r="22" spans="1:14">
      <c r="D22" s="80"/>
      <c r="E22" s="80"/>
      <c r="F22" s="80"/>
      <c r="G22" s="80"/>
      <c r="H22" s="80"/>
      <c r="I22" s="80"/>
      <c r="J22" s="80"/>
      <c r="K22" s="80"/>
      <c r="L22" s="80"/>
    </row>
    <row r="23" spans="1:14">
      <c r="A23" s="75" t="s">
        <v>2276</v>
      </c>
      <c r="D23" s="81">
        <f t="shared" ref="D23:I23" si="36">D66</f>
        <v>10952</v>
      </c>
      <c r="E23" s="81">
        <f t="shared" si="36"/>
        <v>10987</v>
      </c>
      <c r="F23" s="81">
        <f t="shared" si="36"/>
        <v>11199</v>
      </c>
      <c r="G23" s="81">
        <f t="shared" si="36"/>
        <v>11238</v>
      </c>
      <c r="H23" s="81">
        <f t="shared" si="36"/>
        <v>11298</v>
      </c>
      <c r="I23" s="81">
        <f t="shared" si="36"/>
        <v>11075</v>
      </c>
      <c r="J23" s="81">
        <f t="shared" ref="J23:K23" si="37">J66</f>
        <v>10934</v>
      </c>
      <c r="K23" s="81">
        <f t="shared" si="37"/>
        <v>11235</v>
      </c>
      <c r="L23" s="81">
        <f t="shared" ref="L23" si="38">L66</f>
        <v>11265</v>
      </c>
      <c r="N23" s="75" t="s">
        <v>2272</v>
      </c>
    </row>
    <row r="24" spans="1:14" ht="15.75" thickBot="1">
      <c r="D24" s="79">
        <f t="shared" ref="D24:I24" si="39">D156</f>
        <v>54794</v>
      </c>
      <c r="E24" s="79">
        <f t="shared" si="39"/>
        <v>56399</v>
      </c>
      <c r="F24" s="79">
        <f t="shared" si="39"/>
        <v>55823</v>
      </c>
      <c r="G24" s="79">
        <f t="shared" si="39"/>
        <v>55675</v>
      </c>
      <c r="H24" s="79">
        <f t="shared" si="39"/>
        <v>54171</v>
      </c>
      <c r="I24" s="79">
        <f t="shared" si="39"/>
        <v>51043</v>
      </c>
      <c r="J24" s="79">
        <f t="shared" ref="J24:K24" si="40">J156</f>
        <v>51126</v>
      </c>
      <c r="K24" s="79">
        <f t="shared" si="40"/>
        <v>52059</v>
      </c>
      <c r="L24" s="79">
        <f t="shared" ref="L24" si="41">L156</f>
        <v>52253</v>
      </c>
      <c r="N24" s="75" t="s">
        <v>2269</v>
      </c>
    </row>
    <row r="25" spans="1:14" ht="15.75" thickBot="1">
      <c r="D25" s="79">
        <f t="shared" ref="D25:I25" si="42">SUM(D23:D24)</f>
        <v>65746</v>
      </c>
      <c r="E25" s="79">
        <f t="shared" si="42"/>
        <v>67386</v>
      </c>
      <c r="F25" s="79">
        <f t="shared" si="42"/>
        <v>67022</v>
      </c>
      <c r="G25" s="79">
        <f t="shared" si="42"/>
        <v>66913</v>
      </c>
      <c r="H25" s="79">
        <f t="shared" si="42"/>
        <v>65469</v>
      </c>
      <c r="I25" s="79">
        <f t="shared" si="42"/>
        <v>62118</v>
      </c>
      <c r="J25" s="79">
        <f t="shared" ref="J25:K25" si="43">SUM(J23:J24)</f>
        <v>62060</v>
      </c>
      <c r="K25" s="79">
        <f t="shared" si="43"/>
        <v>63294</v>
      </c>
      <c r="L25" s="79">
        <f t="shared" ref="L25" si="44">SUM(L23:L24)</f>
        <v>63518</v>
      </c>
    </row>
    <row r="26" spans="1:14">
      <c r="D26" s="80"/>
      <c r="E26" s="80"/>
      <c r="F26" s="80"/>
      <c r="G26" s="80"/>
      <c r="H26" s="80"/>
      <c r="I26" s="80"/>
      <c r="J26" s="80"/>
      <c r="K26" s="80"/>
      <c r="L26" s="80"/>
    </row>
    <row r="27" spans="1:14">
      <c r="A27" s="75" t="s">
        <v>8697</v>
      </c>
      <c r="D27" s="81">
        <f t="shared" ref="D27:I27" si="45">D11+D13+D15+D17+D19+D21+D25</f>
        <v>470904</v>
      </c>
      <c r="E27" s="81">
        <f t="shared" si="45"/>
        <v>483359</v>
      </c>
      <c r="F27" s="81">
        <f t="shared" si="45"/>
        <v>486021</v>
      </c>
      <c r="G27" s="81">
        <f t="shared" si="45"/>
        <v>486701</v>
      </c>
      <c r="H27" s="81">
        <f t="shared" si="45"/>
        <v>479257</v>
      </c>
      <c r="I27" s="81">
        <f t="shared" si="45"/>
        <v>451295</v>
      </c>
      <c r="J27" s="81">
        <f t="shared" ref="J27:K27" si="46">J11+J13+J15+J17+J19+J21+J25</f>
        <v>452644</v>
      </c>
      <c r="K27" s="81">
        <f t="shared" si="46"/>
        <v>463487</v>
      </c>
      <c r="L27" s="81">
        <f t="shared" ref="L27" si="47">L11+L13+L15+L17+L19+L21+L25</f>
        <v>470204</v>
      </c>
    </row>
    <row r="28" spans="1:14">
      <c r="D28" s="80"/>
      <c r="E28" s="80"/>
      <c r="F28" s="80"/>
      <c r="G28" s="80"/>
      <c r="H28" s="80"/>
      <c r="I28" s="80"/>
      <c r="J28" s="80"/>
      <c r="K28" s="80"/>
      <c r="L28" s="80"/>
    </row>
    <row r="29" spans="1:14">
      <c r="A29" s="75" t="s">
        <v>8698</v>
      </c>
      <c r="D29" s="81">
        <f t="shared" ref="D29:I29" si="48">MAXA(D11,D13,D15,D17,D19,D21,D25)-MINA(D11,D13,D15,D17,D19,D21,D25)</f>
        <v>6780</v>
      </c>
      <c r="E29" s="81">
        <f t="shared" si="48"/>
        <v>7142</v>
      </c>
      <c r="F29" s="81">
        <f t="shared" si="48"/>
        <v>7471</v>
      </c>
      <c r="G29" s="81">
        <f t="shared" si="48"/>
        <v>7515</v>
      </c>
      <c r="H29" s="81">
        <f t="shared" si="48"/>
        <v>8152</v>
      </c>
      <c r="I29" s="81">
        <f t="shared" si="48"/>
        <v>7795</v>
      </c>
      <c r="J29" s="81">
        <f t="shared" ref="J29:K29" si="49">MAXA(J11,J13,J15,J17,J19,J21,J25)-MINA(J11,J13,J15,J17,J19,J21,J25)</f>
        <v>8261</v>
      </c>
      <c r="K29" s="81">
        <f t="shared" si="49"/>
        <v>9374</v>
      </c>
      <c r="L29" s="81">
        <f t="shared" ref="L29" si="50">MAXA(L11,L13,L15,L17,L19,L21,L25)-MINA(L11,L13,L15,L17,L19,L21,L25)</f>
        <v>11687</v>
      </c>
    </row>
    <row r="30" spans="1:14">
      <c r="D30" s="80"/>
      <c r="E30" s="80"/>
      <c r="F30" s="80"/>
      <c r="G30" s="80"/>
      <c r="H30" s="80"/>
      <c r="I30" s="80"/>
      <c r="J30" s="80"/>
      <c r="K30" s="80"/>
      <c r="L30" s="80"/>
    </row>
    <row r="31" spans="1:14">
      <c r="A31" s="75" t="s">
        <v>8701</v>
      </c>
      <c r="D31" s="81">
        <f t="shared" ref="D31:I31" si="51">STDEVPA(D11,D13,D15,D17,D19,D21,D25)</f>
        <v>2009.7643785137743</v>
      </c>
      <c r="E31" s="81">
        <f t="shared" si="51"/>
        <v>2510.6529437741156</v>
      </c>
      <c r="F31" s="81">
        <f t="shared" si="51"/>
        <v>2580.4718758476747</v>
      </c>
      <c r="G31" s="81">
        <f t="shared" si="51"/>
        <v>2622.7514295534165</v>
      </c>
      <c r="H31" s="81">
        <f t="shared" si="51"/>
        <v>2805.8623178871012</v>
      </c>
      <c r="I31" s="81">
        <f t="shared" si="51"/>
        <v>2329.3453227576761</v>
      </c>
      <c r="J31" s="81">
        <f t="shared" ref="J31:K31" si="52">STDEVPA(J11,J13,J15,J17,J19,J21,J25)</f>
        <v>2554.9438829254077</v>
      </c>
      <c r="K31" s="81">
        <f t="shared" si="52"/>
        <v>2906.393437978852</v>
      </c>
      <c r="L31" s="81">
        <f t="shared" ref="L31" si="53">STDEVPA(L11,L13,L15,L17,L19,L21,L25)</f>
        <v>3837.473424756748</v>
      </c>
    </row>
    <row r="33" spans="1:18">
      <c r="A33" s="75" t="s">
        <v>5699</v>
      </c>
    </row>
    <row r="34" spans="1:18">
      <c r="A34" s="75" t="s">
        <v>5700</v>
      </c>
    </row>
    <row r="35" spans="1:18">
      <c r="A35" s="75"/>
    </row>
    <row r="37" spans="1:18">
      <c r="E37" s="55" t="s">
        <v>2303</v>
      </c>
      <c r="F37" s="55"/>
      <c r="G37" s="55"/>
      <c r="H37" s="55"/>
      <c r="I37" s="55"/>
      <c r="J37" s="55"/>
      <c r="K37" s="55"/>
      <c r="L37" s="55"/>
      <c r="M37" s="65"/>
      <c r="N37" s="66" t="s">
        <v>13319</v>
      </c>
    </row>
    <row r="38" spans="1:18">
      <c r="D38" s="76">
        <v>2010</v>
      </c>
      <c r="E38" s="76">
        <v>2011</v>
      </c>
      <c r="F38" s="76">
        <v>2012</v>
      </c>
      <c r="G38" s="76">
        <v>2013</v>
      </c>
      <c r="H38" s="76">
        <v>2014</v>
      </c>
      <c r="I38" s="76">
        <v>2015</v>
      </c>
      <c r="J38" s="76">
        <v>2016</v>
      </c>
      <c r="K38" s="76">
        <v>2017</v>
      </c>
      <c r="L38" s="76">
        <v>2018</v>
      </c>
      <c r="M38" s="65"/>
      <c r="N38" s="67" t="s">
        <v>2304</v>
      </c>
    </row>
    <row r="39" spans="1:18">
      <c r="A39" s="75" t="s">
        <v>1388</v>
      </c>
      <c r="C39" s="75"/>
      <c r="D39" s="81">
        <f t="shared" ref="D39:I39" si="54">SUM(D40:D42)+SUM(D44:D56)+SUM(D58:D63)</f>
        <v>79460</v>
      </c>
      <c r="E39" s="81">
        <f t="shared" si="54"/>
        <v>78463</v>
      </c>
      <c r="F39" s="81">
        <f t="shared" si="54"/>
        <v>79127</v>
      </c>
      <c r="G39" s="81">
        <f t="shared" si="54"/>
        <v>79236</v>
      </c>
      <c r="H39" s="81">
        <f t="shared" si="54"/>
        <v>78571</v>
      </c>
      <c r="I39" s="81">
        <f t="shared" si="54"/>
        <v>76844</v>
      </c>
      <c r="J39" s="81">
        <f>SUM(J40:J42)+SUM(J44:J56)+SUM(J58:J63)</f>
        <v>74929</v>
      </c>
      <c r="K39" s="81">
        <f>SUM(K40:K42)+SUM(K44:K56)+SUM(K58:K63)</f>
        <v>76577</v>
      </c>
      <c r="L39" s="81">
        <f>SUM(L40:L42)+SUM(L44:L56)+SUM(L58:L63)</f>
        <v>77458</v>
      </c>
    </row>
    <row r="40" spans="1:18">
      <c r="A40" s="82">
        <v>1</v>
      </c>
      <c r="B40" s="75" t="s">
        <v>14978</v>
      </c>
      <c r="C40" s="4" t="s">
        <v>14979</v>
      </c>
      <c r="D40" s="81">
        <v>68508</v>
      </c>
      <c r="E40" s="81">
        <v>67476</v>
      </c>
      <c r="F40" s="81">
        <v>67928</v>
      </c>
      <c r="G40" s="81">
        <v>67998</v>
      </c>
      <c r="H40" s="30">
        <v>67273</v>
      </c>
      <c r="I40" s="30">
        <v>65769</v>
      </c>
      <c r="J40" s="30">
        <v>4550</v>
      </c>
      <c r="K40" s="30">
        <v>4618</v>
      </c>
      <c r="L40" s="30">
        <v>4674</v>
      </c>
      <c r="N40" s="75" t="s">
        <v>2271</v>
      </c>
      <c r="P40" s="4"/>
      <c r="R40" s="4"/>
    </row>
    <row r="41" spans="1:18">
      <c r="A41" s="82">
        <v>2</v>
      </c>
      <c r="B41" s="75" t="s">
        <v>14999</v>
      </c>
      <c r="C41" s="4" t="s">
        <v>14980</v>
      </c>
      <c r="D41" s="81">
        <v>0</v>
      </c>
      <c r="E41" s="81">
        <v>0</v>
      </c>
      <c r="F41" s="81">
        <v>0</v>
      </c>
      <c r="G41" s="81">
        <v>0</v>
      </c>
      <c r="H41" s="30">
        <v>0</v>
      </c>
      <c r="I41" s="30">
        <v>0</v>
      </c>
      <c r="J41" s="30">
        <v>4536</v>
      </c>
      <c r="K41" s="30">
        <v>4650</v>
      </c>
      <c r="L41" s="30">
        <v>4697</v>
      </c>
      <c r="N41" s="75" t="s">
        <v>2271</v>
      </c>
      <c r="P41" s="4"/>
      <c r="R41" s="4"/>
    </row>
    <row r="42" spans="1:18" ht="15.75" thickBot="1">
      <c r="A42" s="82"/>
      <c r="B42" s="75"/>
      <c r="C42" s="4" t="s">
        <v>14980</v>
      </c>
      <c r="D42" s="79">
        <v>0</v>
      </c>
      <c r="E42" s="79">
        <v>0</v>
      </c>
      <c r="F42" s="79">
        <v>0</v>
      </c>
      <c r="G42" s="79">
        <v>0</v>
      </c>
      <c r="H42" s="899">
        <v>0</v>
      </c>
      <c r="I42" s="899">
        <v>0</v>
      </c>
      <c r="J42" s="31">
        <v>17</v>
      </c>
      <c r="K42" s="31">
        <v>15</v>
      </c>
      <c r="L42" s="31">
        <v>16</v>
      </c>
      <c r="N42" s="75" t="s">
        <v>2276</v>
      </c>
      <c r="P42" s="4"/>
      <c r="R42" s="4"/>
    </row>
    <row r="43" spans="1:18" ht="15.75" thickBot="1">
      <c r="A43" s="82"/>
      <c r="B43" s="75"/>
      <c r="C43" s="4" t="s">
        <v>14980</v>
      </c>
      <c r="D43" s="83">
        <f>D41+D42</f>
        <v>0</v>
      </c>
      <c r="E43" s="83">
        <f t="shared" ref="E43:L43" si="55">E41+E42</f>
        <v>0</v>
      </c>
      <c r="F43" s="83">
        <f t="shared" si="55"/>
        <v>0</v>
      </c>
      <c r="G43" s="83">
        <f t="shared" si="55"/>
        <v>0</v>
      </c>
      <c r="H43" s="83">
        <f t="shared" si="55"/>
        <v>0</v>
      </c>
      <c r="I43" s="83">
        <f t="shared" si="55"/>
        <v>0</v>
      </c>
      <c r="J43" s="83">
        <f t="shared" si="55"/>
        <v>4553</v>
      </c>
      <c r="K43" s="83">
        <f t="shared" si="55"/>
        <v>4665</v>
      </c>
      <c r="L43" s="83">
        <f t="shared" si="55"/>
        <v>4713</v>
      </c>
      <c r="N43" s="75"/>
      <c r="P43" s="4"/>
      <c r="R43" s="4"/>
    </row>
    <row r="44" spans="1:18">
      <c r="A44" s="82">
        <v>3</v>
      </c>
      <c r="B44" s="75" t="s">
        <v>15000</v>
      </c>
      <c r="C44" s="4" t="s">
        <v>14981</v>
      </c>
      <c r="D44" s="81">
        <v>0</v>
      </c>
      <c r="E44" s="81">
        <v>0</v>
      </c>
      <c r="F44" s="81">
        <v>0</v>
      </c>
      <c r="G44" s="81">
        <v>0</v>
      </c>
      <c r="H44" s="30">
        <v>0</v>
      </c>
      <c r="I44" s="30">
        <v>0</v>
      </c>
      <c r="J44" s="30">
        <v>4534</v>
      </c>
      <c r="K44" s="30">
        <v>4633</v>
      </c>
      <c r="L44" s="30">
        <v>4700</v>
      </c>
      <c r="N44" s="75" t="s">
        <v>2271</v>
      </c>
      <c r="P44" s="4"/>
      <c r="R44" s="4"/>
    </row>
    <row r="45" spans="1:18">
      <c r="A45" s="82">
        <v>4</v>
      </c>
      <c r="B45" s="75" t="s">
        <v>2177</v>
      </c>
      <c r="C45" s="4" t="s">
        <v>14982</v>
      </c>
      <c r="D45" s="81">
        <v>0</v>
      </c>
      <c r="E45" s="81">
        <v>0</v>
      </c>
      <c r="F45" s="81">
        <v>0</v>
      </c>
      <c r="G45" s="81">
        <v>0</v>
      </c>
      <c r="H45" s="30">
        <v>0</v>
      </c>
      <c r="I45" s="30">
        <v>0</v>
      </c>
      <c r="J45" s="30">
        <v>3288</v>
      </c>
      <c r="K45" s="30">
        <v>3315</v>
      </c>
      <c r="L45" s="30">
        <v>3416</v>
      </c>
      <c r="N45" s="75" t="s">
        <v>2271</v>
      </c>
      <c r="P45" s="4"/>
      <c r="R45" s="4"/>
    </row>
    <row r="46" spans="1:18">
      <c r="A46" s="82">
        <v>5</v>
      </c>
      <c r="B46" s="75" t="s">
        <v>8643</v>
      </c>
      <c r="C46" s="4" t="s">
        <v>14983</v>
      </c>
      <c r="D46" s="81">
        <v>0</v>
      </c>
      <c r="E46" s="81">
        <v>0</v>
      </c>
      <c r="F46" s="81">
        <v>0</v>
      </c>
      <c r="G46" s="81">
        <v>0</v>
      </c>
      <c r="H46" s="30">
        <v>0</v>
      </c>
      <c r="I46" s="30">
        <v>0</v>
      </c>
      <c r="J46" s="30">
        <v>4571</v>
      </c>
      <c r="K46" s="30">
        <v>4736</v>
      </c>
      <c r="L46" s="30">
        <v>4732</v>
      </c>
      <c r="N46" s="75" t="s">
        <v>2271</v>
      </c>
      <c r="P46" s="4"/>
      <c r="R46" s="4"/>
    </row>
    <row r="47" spans="1:18">
      <c r="A47" s="82">
        <v>6</v>
      </c>
      <c r="B47" s="75" t="s">
        <v>5701</v>
      </c>
      <c r="C47" s="4" t="s">
        <v>14984</v>
      </c>
      <c r="D47" s="81">
        <v>0</v>
      </c>
      <c r="E47" s="81">
        <v>0</v>
      </c>
      <c r="F47" s="81">
        <v>0</v>
      </c>
      <c r="G47" s="81">
        <v>0</v>
      </c>
      <c r="H47" s="30">
        <v>0</v>
      </c>
      <c r="I47" s="30">
        <v>0</v>
      </c>
      <c r="J47" s="30">
        <v>4809</v>
      </c>
      <c r="K47" s="30">
        <v>4866</v>
      </c>
      <c r="L47" s="30">
        <v>4882</v>
      </c>
      <c r="N47" s="75" t="s">
        <v>2271</v>
      </c>
      <c r="P47" s="4"/>
      <c r="R47" s="4"/>
    </row>
    <row r="48" spans="1:18">
      <c r="A48" s="82">
        <v>7</v>
      </c>
      <c r="B48" s="75" t="s">
        <v>15731</v>
      </c>
      <c r="C48" s="4" t="s">
        <v>14985</v>
      </c>
      <c r="D48" s="81">
        <v>0</v>
      </c>
      <c r="E48" s="81">
        <v>0</v>
      </c>
      <c r="F48" s="81">
        <v>0</v>
      </c>
      <c r="G48" s="81">
        <v>0</v>
      </c>
      <c r="H48" s="30">
        <v>0</v>
      </c>
      <c r="I48" s="30">
        <v>0</v>
      </c>
      <c r="J48" s="30">
        <v>4733</v>
      </c>
      <c r="K48" s="30">
        <v>4822</v>
      </c>
      <c r="L48" s="30">
        <v>4875</v>
      </c>
      <c r="N48" s="75" t="s">
        <v>2271</v>
      </c>
      <c r="P48" s="4"/>
      <c r="R48" s="4"/>
    </row>
    <row r="49" spans="1:18">
      <c r="A49" s="82">
        <v>8</v>
      </c>
      <c r="B49" s="75" t="s">
        <v>15001</v>
      </c>
      <c r="C49" s="4" t="s">
        <v>14986</v>
      </c>
      <c r="D49" s="81">
        <v>10952</v>
      </c>
      <c r="E49" s="81">
        <v>10987</v>
      </c>
      <c r="F49" s="81">
        <v>11199</v>
      </c>
      <c r="G49" s="81">
        <v>11238</v>
      </c>
      <c r="H49" s="30">
        <v>11298</v>
      </c>
      <c r="I49" s="30">
        <v>11075</v>
      </c>
      <c r="J49" s="31">
        <v>3276</v>
      </c>
      <c r="K49" s="31">
        <v>3393</v>
      </c>
      <c r="L49" s="31">
        <v>3391</v>
      </c>
      <c r="N49" s="75" t="s">
        <v>2276</v>
      </c>
      <c r="P49" s="4"/>
      <c r="R49" s="4"/>
    </row>
    <row r="50" spans="1:18">
      <c r="A50" s="82">
        <v>9</v>
      </c>
      <c r="B50" s="75" t="s">
        <v>5295</v>
      </c>
      <c r="C50" s="4" t="s">
        <v>14987</v>
      </c>
      <c r="D50" s="81">
        <v>0</v>
      </c>
      <c r="E50" s="81">
        <v>0</v>
      </c>
      <c r="F50" s="81">
        <v>0</v>
      </c>
      <c r="G50" s="81">
        <v>0</v>
      </c>
      <c r="H50" s="30">
        <v>0</v>
      </c>
      <c r="I50" s="30">
        <v>0</v>
      </c>
      <c r="J50" s="30">
        <v>3168</v>
      </c>
      <c r="K50" s="30">
        <v>3187</v>
      </c>
      <c r="L50" s="30">
        <v>3151</v>
      </c>
      <c r="N50" s="75" t="s">
        <v>2271</v>
      </c>
      <c r="P50" s="4"/>
      <c r="R50" s="4"/>
    </row>
    <row r="51" spans="1:18">
      <c r="A51" s="82">
        <v>10</v>
      </c>
      <c r="B51" s="75" t="s">
        <v>5296</v>
      </c>
      <c r="C51" s="4" t="s">
        <v>14988</v>
      </c>
      <c r="D51" s="81">
        <v>0</v>
      </c>
      <c r="E51" s="81">
        <v>0</v>
      </c>
      <c r="F51" s="81">
        <v>0</v>
      </c>
      <c r="G51" s="81">
        <v>0</v>
      </c>
      <c r="H51" s="30">
        <v>0</v>
      </c>
      <c r="I51" s="30">
        <v>0</v>
      </c>
      <c r="J51" s="31">
        <v>2867</v>
      </c>
      <c r="K51" s="31">
        <v>2904</v>
      </c>
      <c r="L51" s="31">
        <v>2915</v>
      </c>
      <c r="N51" s="75" t="s">
        <v>2276</v>
      </c>
      <c r="P51" s="4"/>
      <c r="R51" s="4"/>
    </row>
    <row r="52" spans="1:18">
      <c r="A52" s="82">
        <v>11</v>
      </c>
      <c r="B52" s="75" t="s">
        <v>5297</v>
      </c>
      <c r="C52" s="4" t="s">
        <v>14989</v>
      </c>
      <c r="D52" s="81">
        <v>0</v>
      </c>
      <c r="E52" s="81">
        <v>0</v>
      </c>
      <c r="F52" s="81">
        <v>0</v>
      </c>
      <c r="G52" s="81">
        <v>0</v>
      </c>
      <c r="H52" s="30">
        <v>0</v>
      </c>
      <c r="I52" s="30">
        <v>0</v>
      </c>
      <c r="J52" s="30">
        <v>3102</v>
      </c>
      <c r="K52" s="30">
        <v>3181</v>
      </c>
      <c r="L52" s="30">
        <v>3188</v>
      </c>
      <c r="N52" s="75" t="s">
        <v>2271</v>
      </c>
      <c r="P52" s="4"/>
      <c r="R52" s="4"/>
    </row>
    <row r="53" spans="1:18">
      <c r="A53" s="82">
        <v>12</v>
      </c>
      <c r="B53" s="75" t="s">
        <v>3558</v>
      </c>
      <c r="C53" s="4" t="s">
        <v>14990</v>
      </c>
      <c r="D53" s="81">
        <v>0</v>
      </c>
      <c r="E53" s="81">
        <v>0</v>
      </c>
      <c r="F53" s="81">
        <v>0</v>
      </c>
      <c r="G53" s="81">
        <v>0</v>
      </c>
      <c r="H53" s="30">
        <v>0</v>
      </c>
      <c r="I53" s="30">
        <v>0</v>
      </c>
      <c r="J53" s="30">
        <v>4231</v>
      </c>
      <c r="K53" s="30">
        <v>4335</v>
      </c>
      <c r="L53" s="30">
        <v>4366</v>
      </c>
      <c r="N53" s="75" t="s">
        <v>2271</v>
      </c>
      <c r="P53" s="4"/>
      <c r="R53" s="4"/>
    </row>
    <row r="54" spans="1:18">
      <c r="A54" s="82">
        <v>13</v>
      </c>
      <c r="B54" s="75" t="s">
        <v>5298</v>
      </c>
      <c r="C54" s="4" t="s">
        <v>14991</v>
      </c>
      <c r="D54" s="81">
        <v>0</v>
      </c>
      <c r="E54" s="81">
        <v>0</v>
      </c>
      <c r="F54" s="81">
        <v>0</v>
      </c>
      <c r="G54" s="81">
        <v>0</v>
      </c>
      <c r="H54" s="30">
        <v>0</v>
      </c>
      <c r="I54" s="30">
        <v>0</v>
      </c>
      <c r="J54" s="30">
        <v>2453</v>
      </c>
      <c r="K54" s="30">
        <v>2479</v>
      </c>
      <c r="L54" s="30">
        <v>2501</v>
      </c>
      <c r="N54" s="75" t="s">
        <v>2271</v>
      </c>
      <c r="P54" s="4"/>
      <c r="R54" s="4"/>
    </row>
    <row r="55" spans="1:18">
      <c r="A55" s="82">
        <v>14</v>
      </c>
      <c r="B55" s="75" t="s">
        <v>3559</v>
      </c>
      <c r="C55" s="4" t="s">
        <v>14992</v>
      </c>
      <c r="D55" s="81">
        <v>0</v>
      </c>
      <c r="E55" s="81">
        <v>0</v>
      </c>
      <c r="F55" s="81">
        <v>0</v>
      </c>
      <c r="G55" s="81">
        <v>0</v>
      </c>
      <c r="H55" s="30">
        <v>0</v>
      </c>
      <c r="I55" s="30">
        <v>0</v>
      </c>
      <c r="J55" s="30">
        <v>4312</v>
      </c>
      <c r="K55" s="30">
        <v>4507</v>
      </c>
      <c r="L55" s="30">
        <v>4538</v>
      </c>
      <c r="N55" s="75" t="s">
        <v>2271</v>
      </c>
      <c r="P55" s="4"/>
      <c r="R55" s="4"/>
    </row>
    <row r="56" spans="1:18" ht="15.75" thickBot="1">
      <c r="A56" s="82"/>
      <c r="B56" s="75"/>
      <c r="C56" s="4" t="s">
        <v>14992</v>
      </c>
      <c r="D56" s="79">
        <v>0</v>
      </c>
      <c r="E56" s="79">
        <v>0</v>
      </c>
      <c r="F56" s="79">
        <v>0</v>
      </c>
      <c r="G56" s="79">
        <v>0</v>
      </c>
      <c r="H56" s="899">
        <v>0</v>
      </c>
      <c r="I56" s="899">
        <v>0</v>
      </c>
      <c r="J56" s="31">
        <v>176</v>
      </c>
      <c r="K56" s="31">
        <v>173</v>
      </c>
      <c r="L56" s="31">
        <v>179</v>
      </c>
      <c r="N56" s="75" t="s">
        <v>2276</v>
      </c>
      <c r="P56" s="4"/>
      <c r="R56" s="4"/>
    </row>
    <row r="57" spans="1:18" ht="15.75" thickBot="1">
      <c r="A57" s="82"/>
      <c r="B57" s="75"/>
      <c r="C57" s="4" t="s">
        <v>14992</v>
      </c>
      <c r="D57" s="83">
        <f>D55+D56</f>
        <v>0</v>
      </c>
      <c r="E57" s="83">
        <f t="shared" ref="E57" si="56">E55+E56</f>
        <v>0</v>
      </c>
      <c r="F57" s="83">
        <f t="shared" ref="F57" si="57">F55+F56</f>
        <v>0</v>
      </c>
      <c r="G57" s="83">
        <f t="shared" ref="G57" si="58">G55+G56</f>
        <v>0</v>
      </c>
      <c r="H57" s="83">
        <f t="shared" ref="H57" si="59">H55+H56</f>
        <v>0</v>
      </c>
      <c r="I57" s="83">
        <f t="shared" ref="I57" si="60">I55+I56</f>
        <v>0</v>
      </c>
      <c r="J57" s="83">
        <f t="shared" ref="J57:L57" si="61">J55+J56</f>
        <v>4488</v>
      </c>
      <c r="K57" s="83">
        <f t="shared" si="61"/>
        <v>4680</v>
      </c>
      <c r="L57" s="83">
        <f t="shared" si="61"/>
        <v>4717</v>
      </c>
      <c r="N57" s="75"/>
      <c r="P57" s="4"/>
      <c r="R57" s="4"/>
    </row>
    <row r="58" spans="1:18">
      <c r="A58" s="82">
        <v>15</v>
      </c>
      <c r="B58" s="75" t="s">
        <v>3560</v>
      </c>
      <c r="C58" s="4" t="s">
        <v>14993</v>
      </c>
      <c r="D58" s="81">
        <v>0</v>
      </c>
      <c r="E58" s="81">
        <v>0</v>
      </c>
      <c r="F58" s="81">
        <v>0</v>
      </c>
      <c r="G58" s="81">
        <v>0</v>
      </c>
      <c r="H58" s="30">
        <v>0</v>
      </c>
      <c r="I58" s="30">
        <v>0</v>
      </c>
      <c r="J58" s="30">
        <v>3282</v>
      </c>
      <c r="K58" s="30">
        <v>3360</v>
      </c>
      <c r="L58" s="30">
        <v>3467</v>
      </c>
      <c r="N58" s="75" t="s">
        <v>2271</v>
      </c>
      <c r="P58" s="4"/>
      <c r="R58" s="4"/>
    </row>
    <row r="59" spans="1:18">
      <c r="A59" s="82">
        <v>16</v>
      </c>
      <c r="B59" s="75" t="s">
        <v>3561</v>
      </c>
      <c r="C59" s="4" t="s">
        <v>14994</v>
      </c>
      <c r="D59" s="81">
        <v>0</v>
      </c>
      <c r="E59" s="81">
        <v>0</v>
      </c>
      <c r="F59" s="81">
        <v>0</v>
      </c>
      <c r="G59" s="81">
        <v>0</v>
      </c>
      <c r="H59" s="30">
        <v>0</v>
      </c>
      <c r="I59" s="30">
        <v>0</v>
      </c>
      <c r="J59" s="30">
        <v>4233</v>
      </c>
      <c r="K59" s="30">
        <v>4254</v>
      </c>
      <c r="L59" s="30">
        <v>4319</v>
      </c>
      <c r="N59" s="75" t="s">
        <v>2271</v>
      </c>
      <c r="P59" s="4"/>
      <c r="R59" s="4"/>
    </row>
    <row r="60" spans="1:18">
      <c r="A60" s="82">
        <v>17</v>
      </c>
      <c r="B60" s="75" t="s">
        <v>15002</v>
      </c>
      <c r="C60" s="4" t="s">
        <v>14995</v>
      </c>
      <c r="D60" s="81">
        <v>0</v>
      </c>
      <c r="E60" s="81">
        <v>0</v>
      </c>
      <c r="F60" s="81">
        <v>0</v>
      </c>
      <c r="G60" s="81">
        <v>0</v>
      </c>
      <c r="H60" s="30">
        <v>0</v>
      </c>
      <c r="I60" s="30">
        <v>0</v>
      </c>
      <c r="J60" s="30">
        <v>2548</v>
      </c>
      <c r="K60" s="30">
        <v>2692</v>
      </c>
      <c r="L60" s="30">
        <v>2821</v>
      </c>
      <c r="N60" s="75" t="s">
        <v>2271</v>
      </c>
      <c r="P60" s="4"/>
      <c r="R60" s="4"/>
    </row>
    <row r="61" spans="1:18">
      <c r="A61" s="82">
        <v>18</v>
      </c>
      <c r="B61" s="75" t="s">
        <v>15003</v>
      </c>
      <c r="C61" s="4" t="s">
        <v>14996</v>
      </c>
      <c r="D61" s="81">
        <v>0</v>
      </c>
      <c r="E61" s="81">
        <v>0</v>
      </c>
      <c r="F61" s="81">
        <v>0</v>
      </c>
      <c r="G61" s="81">
        <v>0</v>
      </c>
      <c r="H61" s="30">
        <v>0</v>
      </c>
      <c r="I61" s="30">
        <v>0</v>
      </c>
      <c r="J61" s="31">
        <v>4598</v>
      </c>
      <c r="K61" s="31">
        <v>4750</v>
      </c>
      <c r="L61" s="31">
        <v>4764</v>
      </c>
      <c r="N61" s="75" t="s">
        <v>2276</v>
      </c>
      <c r="P61" s="4"/>
      <c r="R61" s="4"/>
    </row>
    <row r="62" spans="1:18">
      <c r="A62" s="82">
        <v>19</v>
      </c>
      <c r="B62" s="75" t="s">
        <v>15004</v>
      </c>
      <c r="C62" s="4" t="s">
        <v>14997</v>
      </c>
      <c r="D62" s="81">
        <v>0</v>
      </c>
      <c r="E62" s="81">
        <v>0</v>
      </c>
      <c r="F62" s="81">
        <v>0</v>
      </c>
      <c r="G62" s="81">
        <v>0</v>
      </c>
      <c r="H62" s="30">
        <v>0</v>
      </c>
      <c r="I62" s="30">
        <v>0</v>
      </c>
      <c r="J62" s="31">
        <v>2474</v>
      </c>
      <c r="K62" s="31">
        <v>2526</v>
      </c>
      <c r="L62" s="31">
        <v>2667</v>
      </c>
      <c r="N62" s="75" t="s">
        <v>2271</v>
      </c>
      <c r="P62" s="4"/>
      <c r="R62" s="4"/>
    </row>
    <row r="63" spans="1:18">
      <c r="A63" s="82">
        <v>20</v>
      </c>
      <c r="B63" s="75" t="s">
        <v>15005</v>
      </c>
      <c r="C63" s="4" t="s">
        <v>14998</v>
      </c>
      <c r="D63" s="81">
        <v>0</v>
      </c>
      <c r="E63" s="81">
        <v>0</v>
      </c>
      <c r="F63" s="81">
        <v>0</v>
      </c>
      <c r="G63" s="81">
        <v>0</v>
      </c>
      <c r="H63" s="30">
        <v>0</v>
      </c>
      <c r="I63" s="30">
        <v>0</v>
      </c>
      <c r="J63" s="31">
        <v>3171</v>
      </c>
      <c r="K63" s="31">
        <v>3181</v>
      </c>
      <c r="L63" s="31">
        <v>3199</v>
      </c>
      <c r="N63" s="75" t="s">
        <v>2271</v>
      </c>
      <c r="P63" s="4"/>
      <c r="R63" s="4"/>
    </row>
    <row r="64" spans="1:18">
      <c r="D64" s="80"/>
      <c r="E64" s="80"/>
      <c r="F64" s="80"/>
      <c r="G64" s="80"/>
      <c r="H64" s="80"/>
      <c r="I64" s="80"/>
      <c r="J64" s="80"/>
      <c r="K64" s="80"/>
      <c r="L64" s="80"/>
    </row>
    <row r="65" spans="1:18">
      <c r="A65" s="75" t="s">
        <v>2271</v>
      </c>
      <c r="D65" s="81">
        <f>D40+D41+SUM(D44:D47)+D50+SUM(D52:D55)+SUM(D58:D60)+D62+D63</f>
        <v>68508</v>
      </c>
      <c r="E65" s="81">
        <f t="shared" ref="E65:I65" si="62">E40+E41+SUM(E44:E47)+E50+SUM(E52:E55)+SUM(E58:E60)+E62+E63</f>
        <v>67476</v>
      </c>
      <c r="F65" s="81">
        <f t="shared" si="62"/>
        <v>67928</v>
      </c>
      <c r="G65" s="81">
        <f t="shared" si="62"/>
        <v>67998</v>
      </c>
      <c r="H65" s="81">
        <f t="shared" si="62"/>
        <v>67273</v>
      </c>
      <c r="I65" s="81">
        <f t="shared" si="62"/>
        <v>65769</v>
      </c>
      <c r="J65" s="81">
        <f>J40+J41+SUM(J44:J48)+J50+SUM(J52:J55)+SUM(J58:J60)+J62+J63</f>
        <v>63995</v>
      </c>
      <c r="K65" s="81">
        <f>K40+K41+SUM(K44:K48)+K50+SUM(K52:K55)+SUM(K58:K60)+K62+K63</f>
        <v>65342</v>
      </c>
      <c r="L65" s="81">
        <f>L40+L41+SUM(L44:L48)+L50+SUM(L52:L55)+SUM(L58:L60)+L62+L63</f>
        <v>66193</v>
      </c>
    </row>
    <row r="66" spans="1:18">
      <c r="A66" s="75" t="s">
        <v>3562</v>
      </c>
      <c r="D66" s="81">
        <f>D42+D49+D51+D56+D61</f>
        <v>10952</v>
      </c>
      <c r="E66" s="81">
        <f t="shared" ref="E66:I66" si="63">E42+E49+E51+E56+E61</f>
        <v>10987</v>
      </c>
      <c r="F66" s="81">
        <f t="shared" si="63"/>
        <v>11199</v>
      </c>
      <c r="G66" s="81">
        <f t="shared" si="63"/>
        <v>11238</v>
      </c>
      <c r="H66" s="81">
        <f t="shared" si="63"/>
        <v>11298</v>
      </c>
      <c r="I66" s="81">
        <f t="shared" si="63"/>
        <v>11075</v>
      </c>
      <c r="J66" s="81">
        <f>J42+J49+J51+J56+J61</f>
        <v>10934</v>
      </c>
      <c r="K66" s="81">
        <f>K42+K49+K51+K56+K61</f>
        <v>11235</v>
      </c>
      <c r="L66" s="81">
        <f>L42+L49+L51+L56+L61</f>
        <v>11265</v>
      </c>
    </row>
    <row r="68" spans="1:18">
      <c r="A68" s="75" t="s">
        <v>14977</v>
      </c>
    </row>
    <row r="69" spans="1:18">
      <c r="A69" s="75"/>
    </row>
    <row r="70" spans="1:18">
      <c r="A70" s="20"/>
      <c r="B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</row>
    <row r="71" spans="1:18">
      <c r="E71" s="55" t="s">
        <v>2303</v>
      </c>
      <c r="F71" s="55"/>
      <c r="G71" s="55"/>
      <c r="H71" s="55"/>
      <c r="I71" s="55"/>
      <c r="J71" s="55"/>
      <c r="K71" s="55"/>
      <c r="L71" s="55"/>
      <c r="M71" s="65"/>
      <c r="N71" s="66" t="s">
        <v>13319</v>
      </c>
    </row>
    <row r="72" spans="1:18">
      <c r="D72" s="76">
        <v>2010</v>
      </c>
      <c r="E72" s="76">
        <v>2011</v>
      </c>
      <c r="F72" s="76">
        <v>2012</v>
      </c>
      <c r="G72" s="76">
        <v>2013</v>
      </c>
      <c r="H72" s="76">
        <v>2014</v>
      </c>
      <c r="I72" s="76">
        <v>2015</v>
      </c>
      <c r="J72" s="76">
        <v>2016</v>
      </c>
      <c r="K72" s="76">
        <v>2017</v>
      </c>
      <c r="L72" s="76">
        <v>2018</v>
      </c>
      <c r="M72" s="65"/>
      <c r="N72" s="67" t="s">
        <v>2304</v>
      </c>
    </row>
    <row r="73" spans="1:18">
      <c r="A73" s="75" t="s">
        <v>3563</v>
      </c>
      <c r="D73" s="81">
        <f t="shared" ref="D73:F73" si="64">SUM(D74:D85)+SUM(D87:D102)+SUM(D104:D110)+SUM(D112:D114)+SUM(D116:D140)+SUM(D142:D146)+D148+D149</f>
        <v>391444</v>
      </c>
      <c r="E73" s="81">
        <f t="shared" si="64"/>
        <v>404896</v>
      </c>
      <c r="F73" s="81">
        <f t="shared" si="64"/>
        <v>406894</v>
      </c>
      <c r="G73" s="81">
        <f t="shared" ref="G73:L73" si="65">SUM(G74:G85)+SUM(G87:G102)+SUM(G104:G110)+SUM(G112:G114)+SUM(G116:G140)+SUM(G142:G146)+G148+G149</f>
        <v>407465</v>
      </c>
      <c r="H73" s="81">
        <f t="shared" si="65"/>
        <v>400686</v>
      </c>
      <c r="I73" s="81">
        <f t="shared" si="65"/>
        <v>374451</v>
      </c>
      <c r="J73" s="81">
        <f t="shared" si="65"/>
        <v>377715</v>
      </c>
      <c r="K73" s="81">
        <f t="shared" si="65"/>
        <v>386910</v>
      </c>
      <c r="L73" s="81">
        <f t="shared" si="65"/>
        <v>392746</v>
      </c>
    </row>
    <row r="74" spans="1:18">
      <c r="A74" s="82">
        <v>1</v>
      </c>
      <c r="B74" s="75" t="s">
        <v>3564</v>
      </c>
      <c r="C74" s="72" t="s">
        <v>13241</v>
      </c>
      <c r="D74" s="81">
        <v>67284</v>
      </c>
      <c r="E74" s="81">
        <v>68959</v>
      </c>
      <c r="F74" s="81">
        <v>69697</v>
      </c>
      <c r="G74" s="31">
        <v>6153</v>
      </c>
      <c r="H74" s="31">
        <v>6106</v>
      </c>
      <c r="I74" s="31">
        <v>5779</v>
      </c>
      <c r="J74" s="31">
        <v>5670</v>
      </c>
      <c r="K74" s="31">
        <v>5825</v>
      </c>
      <c r="L74" s="31">
        <v>5807</v>
      </c>
      <c r="N74" s="75" t="s">
        <v>2274</v>
      </c>
      <c r="O74" s="4"/>
      <c r="P74" s="72"/>
      <c r="Q74" s="72"/>
      <c r="R74" s="72"/>
    </row>
    <row r="75" spans="1:18">
      <c r="A75" s="82">
        <v>2</v>
      </c>
      <c r="B75" s="75" t="s">
        <v>3582</v>
      </c>
      <c r="C75" s="72" t="s">
        <v>13243</v>
      </c>
      <c r="D75" s="81">
        <v>54794</v>
      </c>
      <c r="E75" s="81">
        <v>56399</v>
      </c>
      <c r="F75" s="81">
        <v>55823</v>
      </c>
      <c r="G75" s="31">
        <v>6627</v>
      </c>
      <c r="H75" s="31">
        <v>6581</v>
      </c>
      <c r="I75" s="31">
        <v>6304</v>
      </c>
      <c r="J75" s="31">
        <v>6240</v>
      </c>
      <c r="K75" s="31">
        <v>6338</v>
      </c>
      <c r="L75" s="31">
        <v>6371</v>
      </c>
      <c r="N75" s="75" t="s">
        <v>2276</v>
      </c>
      <c r="O75" s="4"/>
      <c r="P75" s="72"/>
      <c r="Q75" s="72"/>
      <c r="R75" s="72"/>
    </row>
    <row r="76" spans="1:18">
      <c r="A76" s="82">
        <v>3</v>
      </c>
      <c r="B76" s="75" t="s">
        <v>13221</v>
      </c>
      <c r="C76" s="72" t="s">
        <v>13244</v>
      </c>
      <c r="D76" s="81">
        <v>0</v>
      </c>
      <c r="E76" s="81">
        <v>0</v>
      </c>
      <c r="F76" s="81">
        <v>0</v>
      </c>
      <c r="G76" s="31">
        <v>8379</v>
      </c>
      <c r="H76" s="31">
        <v>8189</v>
      </c>
      <c r="I76" s="31">
        <v>7691</v>
      </c>
      <c r="J76" s="31">
        <v>7790</v>
      </c>
      <c r="K76" s="31">
        <v>8015</v>
      </c>
      <c r="L76" s="31">
        <v>8174</v>
      </c>
      <c r="N76" s="75" t="s">
        <v>2276</v>
      </c>
      <c r="O76" s="4"/>
      <c r="P76" s="72"/>
      <c r="Q76" s="72"/>
      <c r="R76" s="72"/>
    </row>
    <row r="77" spans="1:18">
      <c r="A77" s="82">
        <v>4</v>
      </c>
      <c r="B77" s="75" t="s">
        <v>5283</v>
      </c>
      <c r="C77" s="72" t="s">
        <v>13245</v>
      </c>
      <c r="D77" s="81">
        <v>0</v>
      </c>
      <c r="E77" s="81">
        <v>0</v>
      </c>
      <c r="F77" s="81">
        <v>0</v>
      </c>
      <c r="G77" s="31">
        <v>6071</v>
      </c>
      <c r="H77" s="31">
        <v>5807</v>
      </c>
      <c r="I77" s="31">
        <v>5443</v>
      </c>
      <c r="J77" s="31">
        <v>5403</v>
      </c>
      <c r="K77" s="31">
        <v>5457</v>
      </c>
      <c r="L77" s="31">
        <v>5412</v>
      </c>
      <c r="N77" s="75" t="s">
        <v>2276</v>
      </c>
      <c r="O77" s="4"/>
      <c r="P77" s="72"/>
      <c r="Q77" s="72"/>
      <c r="R77" s="72"/>
    </row>
    <row r="78" spans="1:18">
      <c r="A78" s="82">
        <v>5</v>
      </c>
      <c r="B78" s="75" t="s">
        <v>5284</v>
      </c>
      <c r="C78" s="72" t="s">
        <v>13246</v>
      </c>
      <c r="D78" s="81">
        <v>68170</v>
      </c>
      <c r="E78" s="81">
        <v>68501</v>
      </c>
      <c r="F78" s="81">
        <v>69096</v>
      </c>
      <c r="G78" s="30">
        <v>6952</v>
      </c>
      <c r="H78" s="30">
        <v>6752</v>
      </c>
      <c r="I78" s="30">
        <v>6322</v>
      </c>
      <c r="J78" s="30">
        <v>6492</v>
      </c>
      <c r="K78" s="30">
        <v>6667</v>
      </c>
      <c r="L78" s="30">
        <v>6822</v>
      </c>
      <c r="N78" s="75" t="s">
        <v>2268</v>
      </c>
      <c r="O78" s="4"/>
      <c r="P78" s="72"/>
      <c r="Q78" s="72"/>
      <c r="R78" s="72"/>
    </row>
    <row r="79" spans="1:18">
      <c r="A79" s="82">
        <v>6</v>
      </c>
      <c r="B79" s="75" t="s">
        <v>5285</v>
      </c>
      <c r="C79" s="72" t="s">
        <v>13247</v>
      </c>
      <c r="D79" s="81">
        <v>0</v>
      </c>
      <c r="E79" s="81">
        <v>0</v>
      </c>
      <c r="F79" s="81">
        <v>0</v>
      </c>
      <c r="G79" s="30">
        <v>6656</v>
      </c>
      <c r="H79" s="30">
        <v>6624</v>
      </c>
      <c r="I79" s="30">
        <v>6194</v>
      </c>
      <c r="J79" s="30">
        <v>6319</v>
      </c>
      <c r="K79" s="30">
        <v>6476</v>
      </c>
      <c r="L79" s="30">
        <v>6512</v>
      </c>
      <c r="N79" s="75" t="s">
        <v>2268</v>
      </c>
      <c r="O79" s="4"/>
      <c r="P79" s="72"/>
      <c r="Q79" s="72"/>
      <c r="R79" s="72"/>
    </row>
    <row r="80" spans="1:18">
      <c r="A80" s="82">
        <v>7</v>
      </c>
      <c r="B80" s="75" t="s">
        <v>5938</v>
      </c>
      <c r="C80" s="72" t="s">
        <v>13248</v>
      </c>
      <c r="D80" s="81">
        <v>67642</v>
      </c>
      <c r="E80" s="81">
        <v>72659</v>
      </c>
      <c r="F80" s="81">
        <v>73567</v>
      </c>
      <c r="G80" s="30">
        <v>10091</v>
      </c>
      <c r="H80" s="30">
        <v>10491</v>
      </c>
      <c r="I80" s="30">
        <v>9979</v>
      </c>
      <c r="J80" s="30">
        <v>10115</v>
      </c>
      <c r="K80" s="30">
        <v>10157</v>
      </c>
      <c r="L80" s="30">
        <v>10004</v>
      </c>
      <c r="N80" s="75" t="s">
        <v>2270</v>
      </c>
      <c r="P80" s="72"/>
      <c r="Q80" s="72"/>
      <c r="R80" s="72"/>
    </row>
    <row r="81" spans="1:18">
      <c r="A81" s="82">
        <v>8</v>
      </c>
      <c r="B81" s="75" t="s">
        <v>5286</v>
      </c>
      <c r="C81" s="72" t="s">
        <v>13249</v>
      </c>
      <c r="D81" s="81">
        <v>70167</v>
      </c>
      <c r="E81" s="81">
        <v>72760</v>
      </c>
      <c r="F81" s="81">
        <v>72615</v>
      </c>
      <c r="G81" s="31">
        <v>6382</v>
      </c>
      <c r="H81" s="31">
        <v>6320</v>
      </c>
      <c r="I81" s="31">
        <v>6183</v>
      </c>
      <c r="J81" s="31">
        <v>6180</v>
      </c>
      <c r="K81" s="31">
        <v>6400</v>
      </c>
      <c r="L81" s="31">
        <v>6416</v>
      </c>
      <c r="N81" s="75" t="s">
        <v>2275</v>
      </c>
      <c r="O81" s="4"/>
      <c r="P81" s="72"/>
      <c r="Q81" s="72"/>
      <c r="R81" s="72"/>
    </row>
    <row r="82" spans="1:18">
      <c r="A82" s="82">
        <v>9</v>
      </c>
      <c r="B82" s="75" t="s">
        <v>5287</v>
      </c>
      <c r="C82" s="72" t="s">
        <v>13250</v>
      </c>
      <c r="D82" s="81">
        <v>0</v>
      </c>
      <c r="E82" s="81">
        <v>0</v>
      </c>
      <c r="F82" s="81">
        <v>0</v>
      </c>
      <c r="G82" s="30">
        <v>6298</v>
      </c>
      <c r="H82" s="30">
        <v>6249</v>
      </c>
      <c r="I82" s="30">
        <v>6044</v>
      </c>
      <c r="J82" s="30">
        <v>5947</v>
      </c>
      <c r="K82" s="30">
        <v>6015</v>
      </c>
      <c r="L82" s="30">
        <v>6057</v>
      </c>
      <c r="N82" s="75" t="s">
        <v>2268</v>
      </c>
      <c r="O82" s="4"/>
      <c r="P82" s="72"/>
      <c r="Q82" s="72"/>
      <c r="R82" s="72"/>
    </row>
    <row r="83" spans="1:18">
      <c r="A83" s="82">
        <v>10</v>
      </c>
      <c r="B83" s="75" t="s">
        <v>13222</v>
      </c>
      <c r="C83" s="72" t="s">
        <v>13251</v>
      </c>
      <c r="D83" s="81">
        <v>0</v>
      </c>
      <c r="E83" s="81">
        <v>0</v>
      </c>
      <c r="F83" s="81">
        <v>0</v>
      </c>
      <c r="G83" s="31">
        <v>3146</v>
      </c>
      <c r="H83" s="31">
        <v>3076</v>
      </c>
      <c r="I83" s="31">
        <v>2939</v>
      </c>
      <c r="J83" s="31">
        <v>2937</v>
      </c>
      <c r="K83" s="31">
        <v>2880</v>
      </c>
      <c r="L83" s="31">
        <v>2872</v>
      </c>
      <c r="N83" s="75" t="s">
        <v>2276</v>
      </c>
      <c r="O83" s="4"/>
      <c r="P83" s="72"/>
      <c r="Q83" s="72"/>
      <c r="R83" s="72"/>
    </row>
    <row r="84" spans="1:18">
      <c r="A84" s="82">
        <v>11</v>
      </c>
      <c r="B84" s="75" t="s">
        <v>5288</v>
      </c>
      <c r="C84" s="72" t="s">
        <v>13252</v>
      </c>
      <c r="D84" s="78">
        <v>0</v>
      </c>
      <c r="E84" s="78">
        <v>0</v>
      </c>
      <c r="F84" s="78">
        <v>0</v>
      </c>
      <c r="G84" s="31">
        <v>5856</v>
      </c>
      <c r="H84" s="31">
        <v>5693</v>
      </c>
      <c r="I84" s="31">
        <v>5288</v>
      </c>
      <c r="J84" s="31">
        <v>5378</v>
      </c>
      <c r="K84" s="31">
        <v>5420</v>
      </c>
      <c r="L84" s="31">
        <v>5431</v>
      </c>
      <c r="N84" s="75" t="s">
        <v>2273</v>
      </c>
      <c r="O84" s="4"/>
      <c r="P84" s="72"/>
      <c r="Q84" s="72"/>
      <c r="R84" s="72"/>
    </row>
    <row r="85" spans="1:18" ht="15.75" thickBot="1">
      <c r="C85" s="72" t="s">
        <v>13252</v>
      </c>
      <c r="D85" s="78">
        <v>0</v>
      </c>
      <c r="E85" s="78">
        <v>0</v>
      </c>
      <c r="F85" s="78">
        <v>0</v>
      </c>
      <c r="G85" s="31">
        <v>895</v>
      </c>
      <c r="H85" s="31">
        <v>822</v>
      </c>
      <c r="I85" s="31">
        <v>708</v>
      </c>
      <c r="J85" s="31">
        <v>723</v>
      </c>
      <c r="K85" s="31">
        <v>762</v>
      </c>
      <c r="L85" s="31">
        <v>769</v>
      </c>
      <c r="N85" s="76" t="s">
        <v>2276</v>
      </c>
      <c r="O85" s="4"/>
      <c r="P85" s="72"/>
      <c r="Q85" s="72"/>
      <c r="R85" s="72"/>
    </row>
    <row r="86" spans="1:18" ht="15.75" thickBot="1">
      <c r="A86" s="82"/>
      <c r="B86" s="75"/>
      <c r="C86" s="72" t="s">
        <v>13252</v>
      </c>
      <c r="D86" s="83">
        <f t="shared" ref="D86:F86" si="66">D84+D85</f>
        <v>0</v>
      </c>
      <c r="E86" s="83">
        <f t="shared" si="66"/>
        <v>0</v>
      </c>
      <c r="F86" s="83">
        <f t="shared" si="66"/>
        <v>0</v>
      </c>
      <c r="G86" s="83">
        <f t="shared" ref="G86:L86" si="67">G84+G85</f>
        <v>6751</v>
      </c>
      <c r="H86" s="83">
        <f t="shared" si="67"/>
        <v>6515</v>
      </c>
      <c r="I86" s="83">
        <f t="shared" si="67"/>
        <v>5996</v>
      </c>
      <c r="J86" s="83">
        <f t="shared" si="67"/>
        <v>6101</v>
      </c>
      <c r="K86" s="83">
        <f t="shared" si="67"/>
        <v>6182</v>
      </c>
      <c r="L86" s="83">
        <f t="shared" si="67"/>
        <v>6200</v>
      </c>
      <c r="N86" s="75"/>
      <c r="O86" s="4"/>
      <c r="P86" s="72"/>
      <c r="Q86" s="72"/>
      <c r="R86" s="72"/>
    </row>
    <row r="87" spans="1:18">
      <c r="A87" s="82">
        <v>12</v>
      </c>
      <c r="B87" s="75" t="s">
        <v>7095</v>
      </c>
      <c r="C87" s="72" t="s">
        <v>13253</v>
      </c>
      <c r="D87" s="78">
        <v>0</v>
      </c>
      <c r="E87" s="78">
        <v>0</v>
      </c>
      <c r="F87" s="78">
        <v>0</v>
      </c>
      <c r="G87" s="30">
        <v>7452</v>
      </c>
      <c r="H87" s="30">
        <v>7388</v>
      </c>
      <c r="I87" s="30">
        <v>7169</v>
      </c>
      <c r="J87" s="30">
        <v>7146</v>
      </c>
      <c r="K87" s="30">
        <v>7339</v>
      </c>
      <c r="L87" s="30">
        <v>7371</v>
      </c>
      <c r="N87" s="75" t="s">
        <v>2270</v>
      </c>
      <c r="O87" s="4"/>
      <c r="P87" s="72"/>
      <c r="Q87" s="72"/>
      <c r="R87" s="72"/>
    </row>
    <row r="88" spans="1:18">
      <c r="A88" s="82">
        <v>13</v>
      </c>
      <c r="B88" s="75" t="s">
        <v>7096</v>
      </c>
      <c r="C88" s="72" t="s">
        <v>13254</v>
      </c>
      <c r="D88" s="78">
        <v>0</v>
      </c>
      <c r="E88" s="78">
        <v>0</v>
      </c>
      <c r="F88" s="78">
        <v>0</v>
      </c>
      <c r="G88" s="31">
        <v>6370</v>
      </c>
      <c r="H88" s="31">
        <v>6240</v>
      </c>
      <c r="I88" s="31">
        <v>5841</v>
      </c>
      <c r="J88" s="31">
        <v>5962</v>
      </c>
      <c r="K88" s="31">
        <v>6219</v>
      </c>
      <c r="L88" s="31">
        <v>6261</v>
      </c>
      <c r="N88" s="75" t="s">
        <v>2275</v>
      </c>
      <c r="O88" s="4"/>
      <c r="P88" s="72"/>
      <c r="Q88" s="72"/>
      <c r="R88" s="72"/>
    </row>
    <row r="89" spans="1:18">
      <c r="A89" s="82">
        <v>14</v>
      </c>
      <c r="B89" s="75" t="s">
        <v>13223</v>
      </c>
      <c r="C89" s="72" t="s">
        <v>13255</v>
      </c>
      <c r="D89" s="78">
        <v>0</v>
      </c>
      <c r="E89" s="78">
        <v>0</v>
      </c>
      <c r="F89" s="78">
        <v>0</v>
      </c>
      <c r="G89" s="31">
        <v>3161</v>
      </c>
      <c r="H89" s="31">
        <v>3059</v>
      </c>
      <c r="I89" s="31">
        <v>2888</v>
      </c>
      <c r="J89" s="31">
        <v>2919</v>
      </c>
      <c r="K89" s="31">
        <v>3037</v>
      </c>
      <c r="L89" s="31">
        <v>3030</v>
      </c>
      <c r="N89" s="75" t="s">
        <v>2274</v>
      </c>
      <c r="O89" s="4"/>
      <c r="P89" s="72"/>
      <c r="Q89" s="72"/>
      <c r="R89" s="72"/>
    </row>
    <row r="90" spans="1:18">
      <c r="A90" s="82">
        <v>15</v>
      </c>
      <c r="B90" s="75" t="s">
        <v>13224</v>
      </c>
      <c r="C90" s="72" t="s">
        <v>13256</v>
      </c>
      <c r="D90" s="78">
        <v>0</v>
      </c>
      <c r="E90" s="78">
        <v>0</v>
      </c>
      <c r="F90" s="78">
        <v>0</v>
      </c>
      <c r="G90" s="31">
        <v>3233</v>
      </c>
      <c r="H90" s="31">
        <v>3088</v>
      </c>
      <c r="I90" s="31">
        <v>2978</v>
      </c>
      <c r="J90" s="31">
        <v>2999</v>
      </c>
      <c r="K90" s="31">
        <v>3072</v>
      </c>
      <c r="L90" s="31">
        <v>3047</v>
      </c>
      <c r="N90" s="75" t="s">
        <v>2274</v>
      </c>
      <c r="O90" s="4"/>
      <c r="R90" s="72"/>
    </row>
    <row r="91" spans="1:18">
      <c r="A91" s="82">
        <v>16</v>
      </c>
      <c r="B91" s="75" t="s">
        <v>7097</v>
      </c>
      <c r="C91" s="72" t="s">
        <v>13257</v>
      </c>
      <c r="D91" s="78">
        <v>0</v>
      </c>
      <c r="E91" s="78">
        <v>0</v>
      </c>
      <c r="F91" s="78">
        <v>0</v>
      </c>
      <c r="G91" s="31">
        <v>6241</v>
      </c>
      <c r="H91" s="31">
        <v>6129</v>
      </c>
      <c r="I91" s="31">
        <v>5907</v>
      </c>
      <c r="J91" s="31">
        <v>5937</v>
      </c>
      <c r="K91" s="31">
        <v>5999</v>
      </c>
      <c r="L91" s="31">
        <v>5930</v>
      </c>
      <c r="N91" s="75" t="s">
        <v>2274</v>
      </c>
      <c r="O91" s="4"/>
      <c r="R91" s="72"/>
    </row>
    <row r="92" spans="1:18">
      <c r="A92" s="82">
        <v>17</v>
      </c>
      <c r="B92" s="75" t="s">
        <v>7098</v>
      </c>
      <c r="C92" s="72" t="s">
        <v>13258</v>
      </c>
      <c r="D92" s="78">
        <v>0</v>
      </c>
      <c r="E92" s="78">
        <v>0</v>
      </c>
      <c r="F92" s="78">
        <v>0</v>
      </c>
      <c r="G92" s="31">
        <v>6145</v>
      </c>
      <c r="H92" s="31">
        <v>6020</v>
      </c>
      <c r="I92" s="31">
        <v>5697</v>
      </c>
      <c r="J92" s="31">
        <v>5825</v>
      </c>
      <c r="K92" s="31">
        <v>5965</v>
      </c>
      <c r="L92" s="31">
        <v>5880</v>
      </c>
      <c r="N92" s="75" t="s">
        <v>2274</v>
      </c>
      <c r="O92" s="4"/>
      <c r="R92" s="72"/>
    </row>
    <row r="93" spans="1:18">
      <c r="A93" s="82">
        <v>18</v>
      </c>
      <c r="B93" s="75" t="s">
        <v>7099</v>
      </c>
      <c r="C93" s="72" t="s">
        <v>13259</v>
      </c>
      <c r="D93" s="78">
        <v>0</v>
      </c>
      <c r="E93" s="78">
        <v>0</v>
      </c>
      <c r="F93" s="78">
        <v>0</v>
      </c>
      <c r="G93" s="31">
        <v>3152</v>
      </c>
      <c r="H93" s="31">
        <v>3038</v>
      </c>
      <c r="I93" s="31">
        <v>2838</v>
      </c>
      <c r="J93" s="31">
        <v>2970</v>
      </c>
      <c r="K93" s="31">
        <v>3174</v>
      </c>
      <c r="L93" s="31">
        <v>3225</v>
      </c>
      <c r="N93" s="75" t="s">
        <v>2276</v>
      </c>
      <c r="O93" s="4"/>
      <c r="P93" s="72"/>
      <c r="Q93" s="72"/>
      <c r="R93" s="72"/>
    </row>
    <row r="94" spans="1:18">
      <c r="A94" s="82">
        <v>19</v>
      </c>
      <c r="B94" s="75" t="s">
        <v>7100</v>
      </c>
      <c r="C94" s="72" t="s">
        <v>13260</v>
      </c>
      <c r="D94" s="78">
        <v>0</v>
      </c>
      <c r="E94" s="78">
        <v>0</v>
      </c>
      <c r="F94" s="78">
        <v>0</v>
      </c>
      <c r="G94" s="31">
        <v>6197</v>
      </c>
      <c r="H94" s="31">
        <v>6009</v>
      </c>
      <c r="I94" s="31">
        <v>5731</v>
      </c>
      <c r="J94" s="31">
        <v>5761</v>
      </c>
      <c r="K94" s="31">
        <v>5857</v>
      </c>
      <c r="L94" s="31">
        <v>5920</v>
      </c>
      <c r="N94" s="75" t="s">
        <v>2275</v>
      </c>
      <c r="O94" s="4"/>
      <c r="P94" s="72"/>
      <c r="Q94" s="72"/>
      <c r="R94" s="72"/>
    </row>
    <row r="95" spans="1:18">
      <c r="A95" s="82">
        <v>20</v>
      </c>
      <c r="B95" s="75" t="s">
        <v>13225</v>
      </c>
      <c r="C95" s="72" t="s">
        <v>13261</v>
      </c>
      <c r="D95" s="78">
        <v>0</v>
      </c>
      <c r="E95" s="78">
        <v>0</v>
      </c>
      <c r="F95" s="78">
        <v>0</v>
      </c>
      <c r="G95" s="31">
        <v>2801</v>
      </c>
      <c r="H95" s="31">
        <v>2873</v>
      </c>
      <c r="I95" s="31">
        <v>2868</v>
      </c>
      <c r="J95" s="31">
        <v>2886</v>
      </c>
      <c r="K95" s="31">
        <v>3059</v>
      </c>
      <c r="L95" s="31">
        <v>3183</v>
      </c>
      <c r="N95" s="75" t="s">
        <v>2275</v>
      </c>
      <c r="O95" s="4"/>
      <c r="P95" s="72"/>
      <c r="Q95" s="72"/>
      <c r="R95" s="72"/>
    </row>
    <row r="96" spans="1:18">
      <c r="A96" s="82">
        <v>21</v>
      </c>
      <c r="B96" s="75" t="s">
        <v>7101</v>
      </c>
      <c r="C96" s="72" t="s">
        <v>13262</v>
      </c>
      <c r="D96" s="78">
        <v>0</v>
      </c>
      <c r="E96" s="78">
        <v>0</v>
      </c>
      <c r="F96" s="78">
        <v>0</v>
      </c>
      <c r="G96" s="30">
        <v>3263</v>
      </c>
      <c r="H96" s="30">
        <v>3128</v>
      </c>
      <c r="I96" s="30">
        <v>2872</v>
      </c>
      <c r="J96" s="30">
        <v>3010</v>
      </c>
      <c r="K96" s="30">
        <v>3137</v>
      </c>
      <c r="L96" s="30">
        <v>3164</v>
      </c>
      <c r="N96" s="75" t="s">
        <v>2268</v>
      </c>
      <c r="O96" s="4"/>
      <c r="P96" s="72"/>
      <c r="Q96" s="72"/>
      <c r="R96" s="72"/>
    </row>
    <row r="97" spans="1:18">
      <c r="A97" s="82">
        <v>22</v>
      </c>
      <c r="B97" s="75" t="s">
        <v>7102</v>
      </c>
      <c r="C97" s="72" t="s">
        <v>13263</v>
      </c>
      <c r="D97" s="78">
        <v>0</v>
      </c>
      <c r="E97" s="78">
        <v>0</v>
      </c>
      <c r="F97" s="78">
        <v>0</v>
      </c>
      <c r="G97" s="30">
        <v>9484</v>
      </c>
      <c r="H97" s="30">
        <v>9455</v>
      </c>
      <c r="I97" s="30">
        <v>9111</v>
      </c>
      <c r="J97" s="30">
        <v>9280</v>
      </c>
      <c r="K97" s="30">
        <v>9523</v>
      </c>
      <c r="L97" s="30">
        <v>9622</v>
      </c>
      <c r="N97" s="75" t="s">
        <v>2270</v>
      </c>
      <c r="O97" s="4"/>
      <c r="R97" s="72"/>
    </row>
    <row r="98" spans="1:18">
      <c r="A98" s="82">
        <v>23</v>
      </c>
      <c r="B98" s="75" t="s">
        <v>7103</v>
      </c>
      <c r="C98" s="72" t="s">
        <v>13264</v>
      </c>
      <c r="D98" s="78">
        <v>0</v>
      </c>
      <c r="E98" s="78">
        <v>0</v>
      </c>
      <c r="F98" s="78">
        <v>0</v>
      </c>
      <c r="G98" s="31">
        <v>6045</v>
      </c>
      <c r="H98" s="31">
        <v>5731</v>
      </c>
      <c r="I98" s="31">
        <v>4999</v>
      </c>
      <c r="J98" s="31">
        <v>5177</v>
      </c>
      <c r="K98" s="31">
        <v>5453</v>
      </c>
      <c r="L98" s="31">
        <v>5536</v>
      </c>
      <c r="N98" s="75" t="s">
        <v>2274</v>
      </c>
      <c r="O98" s="4"/>
      <c r="P98" s="72"/>
      <c r="Q98" s="72"/>
      <c r="R98" s="72"/>
    </row>
    <row r="99" spans="1:18">
      <c r="A99" s="82">
        <v>24</v>
      </c>
      <c r="B99" s="75" t="s">
        <v>13226</v>
      </c>
      <c r="C99" s="72" t="s">
        <v>13265</v>
      </c>
      <c r="D99" s="78">
        <v>0</v>
      </c>
      <c r="E99" s="78">
        <v>0</v>
      </c>
      <c r="F99" s="78">
        <v>0</v>
      </c>
      <c r="G99" s="31">
        <v>9522</v>
      </c>
      <c r="H99" s="31">
        <v>9440</v>
      </c>
      <c r="I99" s="31">
        <v>8981</v>
      </c>
      <c r="J99" s="31">
        <v>8995</v>
      </c>
      <c r="K99" s="31">
        <v>9178</v>
      </c>
      <c r="L99" s="31">
        <v>9181</v>
      </c>
      <c r="N99" s="75" t="s">
        <v>2275</v>
      </c>
      <c r="O99" s="4"/>
      <c r="P99" s="72"/>
      <c r="Q99" s="72"/>
      <c r="R99" s="72"/>
    </row>
    <row r="100" spans="1:18">
      <c r="A100" s="82">
        <v>25</v>
      </c>
      <c r="B100" s="75" t="s">
        <v>7104</v>
      </c>
      <c r="C100" s="72" t="s">
        <v>13266</v>
      </c>
      <c r="D100" s="78">
        <v>63387</v>
      </c>
      <c r="E100" s="78">
        <v>65618</v>
      </c>
      <c r="F100" s="78">
        <v>66096</v>
      </c>
      <c r="G100" s="31">
        <v>6388</v>
      </c>
      <c r="H100" s="31">
        <v>6332</v>
      </c>
      <c r="I100" s="31">
        <v>5731</v>
      </c>
      <c r="J100" s="31">
        <v>5868</v>
      </c>
      <c r="K100" s="31">
        <v>6134</v>
      </c>
      <c r="L100" s="31">
        <v>6130</v>
      </c>
      <c r="N100" s="75" t="s">
        <v>2273</v>
      </c>
      <c r="O100" s="4"/>
      <c r="P100" s="72"/>
      <c r="Q100" s="72"/>
    </row>
    <row r="101" spans="1:18">
      <c r="A101" s="82">
        <v>26</v>
      </c>
      <c r="B101" s="75" t="s">
        <v>13227</v>
      </c>
      <c r="C101" s="72" t="s">
        <v>13267</v>
      </c>
      <c r="D101" s="78">
        <v>0</v>
      </c>
      <c r="E101" s="78">
        <v>0</v>
      </c>
      <c r="F101" s="78">
        <v>0</v>
      </c>
      <c r="G101" s="30">
        <v>8817</v>
      </c>
      <c r="H101" s="30">
        <v>8652</v>
      </c>
      <c r="I101" s="30">
        <v>8347</v>
      </c>
      <c r="J101" s="30">
        <v>8294</v>
      </c>
      <c r="K101" s="30">
        <v>8478</v>
      </c>
      <c r="L101" s="30">
        <v>8433</v>
      </c>
      <c r="N101" s="75" t="s">
        <v>2270</v>
      </c>
      <c r="O101" s="4"/>
      <c r="P101" s="72"/>
      <c r="Q101" s="72"/>
    </row>
    <row r="102" spans="1:18" ht="15.75" thickBot="1">
      <c r="A102" s="82"/>
      <c r="B102" s="75"/>
      <c r="C102" s="72" t="s">
        <v>13267</v>
      </c>
      <c r="D102" s="78">
        <v>0</v>
      </c>
      <c r="E102" s="78">
        <v>0</v>
      </c>
      <c r="F102" s="78">
        <v>0</v>
      </c>
      <c r="G102" s="31">
        <v>808</v>
      </c>
      <c r="H102" s="31">
        <v>792</v>
      </c>
      <c r="I102" s="31">
        <v>757</v>
      </c>
      <c r="J102" s="31">
        <v>724</v>
      </c>
      <c r="K102" s="31">
        <v>745</v>
      </c>
      <c r="L102" s="31">
        <v>768</v>
      </c>
      <c r="N102" s="75" t="s">
        <v>2275</v>
      </c>
      <c r="O102" s="4"/>
      <c r="P102" s="72"/>
      <c r="Q102" s="72"/>
    </row>
    <row r="103" spans="1:18" ht="15.75" thickBot="1">
      <c r="C103" s="72" t="s">
        <v>13267</v>
      </c>
      <c r="D103" s="83">
        <f t="shared" ref="D103:F103" si="68">D101+D102</f>
        <v>0</v>
      </c>
      <c r="E103" s="83">
        <f t="shared" si="68"/>
        <v>0</v>
      </c>
      <c r="F103" s="83">
        <f t="shared" si="68"/>
        <v>0</v>
      </c>
      <c r="G103" s="83">
        <f t="shared" ref="G103:L103" si="69">G101+G102</f>
        <v>9625</v>
      </c>
      <c r="H103" s="83">
        <f t="shared" si="69"/>
        <v>9444</v>
      </c>
      <c r="I103" s="83">
        <f t="shared" si="69"/>
        <v>9104</v>
      </c>
      <c r="J103" s="83">
        <f t="shared" si="69"/>
        <v>9018</v>
      </c>
      <c r="K103" s="83">
        <f t="shared" si="69"/>
        <v>9223</v>
      </c>
      <c r="L103" s="83">
        <f t="shared" si="69"/>
        <v>9201</v>
      </c>
      <c r="O103" s="4"/>
      <c r="P103" s="72"/>
      <c r="Q103" s="72"/>
    </row>
    <row r="104" spans="1:18">
      <c r="A104" s="82">
        <v>27</v>
      </c>
      <c r="B104" s="75" t="s">
        <v>13228</v>
      </c>
      <c r="C104" s="72" t="s">
        <v>13268</v>
      </c>
      <c r="D104" s="78">
        <v>0</v>
      </c>
      <c r="E104" s="78">
        <v>0</v>
      </c>
      <c r="F104" s="78">
        <v>0</v>
      </c>
      <c r="G104" s="31">
        <v>6310</v>
      </c>
      <c r="H104" s="31">
        <v>6327</v>
      </c>
      <c r="I104" s="31">
        <v>6079</v>
      </c>
      <c r="J104" s="31">
        <v>6026</v>
      </c>
      <c r="K104" s="31">
        <v>6289</v>
      </c>
      <c r="L104" s="31">
        <v>6250</v>
      </c>
      <c r="N104" s="75" t="s">
        <v>2275</v>
      </c>
      <c r="O104" s="4"/>
      <c r="P104" s="72"/>
      <c r="Q104" s="72"/>
      <c r="R104" s="72"/>
    </row>
    <row r="105" spans="1:18">
      <c r="A105" s="82">
        <v>28</v>
      </c>
      <c r="B105" s="75" t="s">
        <v>7105</v>
      </c>
      <c r="C105" s="72" t="s">
        <v>13269</v>
      </c>
      <c r="D105" s="78">
        <v>0</v>
      </c>
      <c r="E105" s="78">
        <v>0</v>
      </c>
      <c r="F105" s="78">
        <v>0</v>
      </c>
      <c r="G105" s="31">
        <v>6014</v>
      </c>
      <c r="H105" s="31">
        <v>5729</v>
      </c>
      <c r="I105" s="31">
        <v>5370</v>
      </c>
      <c r="J105" s="31">
        <v>5280</v>
      </c>
      <c r="K105" s="31">
        <v>5485</v>
      </c>
      <c r="L105" s="31">
        <v>5499</v>
      </c>
      <c r="N105" s="75" t="s">
        <v>2273</v>
      </c>
      <c r="O105" s="4"/>
      <c r="R105" s="72"/>
    </row>
    <row r="106" spans="1:18">
      <c r="A106" s="82">
        <v>29</v>
      </c>
      <c r="B106" s="75" t="s">
        <v>5299</v>
      </c>
      <c r="C106" s="72" t="s">
        <v>13270</v>
      </c>
      <c r="D106" s="78">
        <v>0</v>
      </c>
      <c r="E106" s="78">
        <v>0</v>
      </c>
      <c r="F106" s="78">
        <v>0</v>
      </c>
      <c r="G106" s="31">
        <v>2429</v>
      </c>
      <c r="H106" s="31">
        <v>2725</v>
      </c>
      <c r="I106" s="31">
        <v>1566</v>
      </c>
      <c r="J106" s="31">
        <v>1619</v>
      </c>
      <c r="K106" s="31">
        <v>1671</v>
      </c>
      <c r="L106" s="31">
        <v>3110</v>
      </c>
      <c r="N106" s="75" t="s">
        <v>2270</v>
      </c>
      <c r="O106" s="4"/>
      <c r="P106" s="72"/>
      <c r="Q106" s="72"/>
      <c r="R106" s="72"/>
    </row>
    <row r="107" spans="1:18">
      <c r="A107" s="82">
        <v>30</v>
      </c>
      <c r="B107" s="75" t="s">
        <v>8639</v>
      </c>
      <c r="C107" s="72" t="s">
        <v>13271</v>
      </c>
      <c r="D107" s="78">
        <v>0</v>
      </c>
      <c r="E107" s="78">
        <v>0</v>
      </c>
      <c r="F107" s="78">
        <v>0</v>
      </c>
      <c r="G107" s="31">
        <v>6012</v>
      </c>
      <c r="H107" s="31">
        <v>5958</v>
      </c>
      <c r="I107" s="31">
        <v>5629</v>
      </c>
      <c r="J107" s="31">
        <v>5559</v>
      </c>
      <c r="K107" s="31">
        <v>5580</v>
      </c>
      <c r="L107" s="31">
        <v>5642</v>
      </c>
      <c r="N107" s="75" t="s">
        <v>2273</v>
      </c>
      <c r="O107" s="4"/>
      <c r="P107" s="72"/>
      <c r="Q107" s="72"/>
      <c r="R107" s="72"/>
    </row>
    <row r="108" spans="1:18">
      <c r="A108" s="82">
        <v>31</v>
      </c>
      <c r="B108" s="75" t="s">
        <v>13229</v>
      </c>
      <c r="C108" s="72" t="s">
        <v>13272</v>
      </c>
      <c r="D108" s="78">
        <v>0</v>
      </c>
      <c r="E108" s="78">
        <v>0</v>
      </c>
      <c r="F108" s="78">
        <v>0</v>
      </c>
      <c r="G108" s="31">
        <v>7359</v>
      </c>
      <c r="H108" s="31">
        <v>6571</v>
      </c>
      <c r="I108" s="31">
        <v>3872</v>
      </c>
      <c r="J108" s="31">
        <v>4081</v>
      </c>
      <c r="K108" s="31">
        <v>4970</v>
      </c>
      <c r="L108" s="31">
        <v>7257</v>
      </c>
      <c r="N108" s="75" t="s">
        <v>2270</v>
      </c>
      <c r="P108" s="72"/>
      <c r="Q108" s="72"/>
      <c r="R108" s="72"/>
    </row>
    <row r="109" spans="1:18">
      <c r="A109" s="82">
        <v>32</v>
      </c>
      <c r="B109" s="75" t="s">
        <v>13230</v>
      </c>
      <c r="C109" s="72" t="s">
        <v>13273</v>
      </c>
      <c r="D109" s="78">
        <v>0</v>
      </c>
      <c r="E109" s="78">
        <v>0</v>
      </c>
      <c r="F109" s="78">
        <v>0</v>
      </c>
      <c r="G109" s="31">
        <v>2102</v>
      </c>
      <c r="H109" s="31">
        <v>2091</v>
      </c>
      <c r="I109" s="31">
        <v>2066</v>
      </c>
      <c r="J109" s="31">
        <v>2054</v>
      </c>
      <c r="K109" s="31">
        <v>2078</v>
      </c>
      <c r="L109" s="31">
        <v>2039</v>
      </c>
      <c r="N109" s="75" t="s">
        <v>2270</v>
      </c>
      <c r="O109" s="4"/>
      <c r="P109" s="72"/>
      <c r="Q109" s="72"/>
      <c r="R109" s="72"/>
    </row>
    <row r="110" spans="1:18" ht="15.75" thickBot="1">
      <c r="A110" s="82"/>
      <c r="B110" s="75"/>
      <c r="C110" s="72" t="s">
        <v>13273</v>
      </c>
      <c r="D110" s="78">
        <v>0</v>
      </c>
      <c r="E110" s="78">
        <v>0</v>
      </c>
      <c r="F110" s="78">
        <v>0</v>
      </c>
      <c r="G110" s="31">
        <v>4371</v>
      </c>
      <c r="H110" s="31">
        <v>4343</v>
      </c>
      <c r="I110" s="31">
        <v>4060</v>
      </c>
      <c r="J110" s="31">
        <v>4138</v>
      </c>
      <c r="K110" s="31">
        <v>4215</v>
      </c>
      <c r="L110" s="31">
        <v>4223</v>
      </c>
      <c r="N110" s="75" t="s">
        <v>2275</v>
      </c>
      <c r="O110" s="4"/>
      <c r="P110" s="72"/>
      <c r="Q110" s="72"/>
      <c r="R110" s="72"/>
    </row>
    <row r="111" spans="1:18" ht="15.75" thickBot="1">
      <c r="A111" s="82"/>
      <c r="B111" s="75"/>
      <c r="C111" s="72" t="s">
        <v>13273</v>
      </c>
      <c r="D111" s="83">
        <f t="shared" ref="D111:F111" si="70">D109+D110</f>
        <v>0</v>
      </c>
      <c r="E111" s="83">
        <f t="shared" si="70"/>
        <v>0</v>
      </c>
      <c r="F111" s="83">
        <f t="shared" si="70"/>
        <v>0</v>
      </c>
      <c r="G111" s="83">
        <f t="shared" ref="G111:L111" si="71">G109+G110</f>
        <v>6473</v>
      </c>
      <c r="H111" s="83">
        <f t="shared" si="71"/>
        <v>6434</v>
      </c>
      <c r="I111" s="83">
        <f t="shared" si="71"/>
        <v>6126</v>
      </c>
      <c r="J111" s="83">
        <f t="shared" si="71"/>
        <v>6192</v>
      </c>
      <c r="K111" s="83">
        <f t="shared" si="71"/>
        <v>6293</v>
      </c>
      <c r="L111" s="83">
        <f t="shared" si="71"/>
        <v>6262</v>
      </c>
      <c r="N111" s="75"/>
      <c r="O111" s="4"/>
      <c r="R111" s="72"/>
    </row>
    <row r="112" spans="1:18">
      <c r="A112" s="82">
        <v>33</v>
      </c>
      <c r="B112" s="75" t="s">
        <v>5300</v>
      </c>
      <c r="C112" s="72" t="s">
        <v>13274</v>
      </c>
      <c r="D112" s="78">
        <v>0</v>
      </c>
      <c r="E112" s="78">
        <v>0</v>
      </c>
      <c r="F112" s="78">
        <v>0</v>
      </c>
      <c r="G112" s="30">
        <v>6724</v>
      </c>
      <c r="H112" s="30">
        <v>6594</v>
      </c>
      <c r="I112" s="30">
        <v>6163</v>
      </c>
      <c r="J112" s="30">
        <v>6231</v>
      </c>
      <c r="K112" s="30">
        <v>6366</v>
      </c>
      <c r="L112" s="30">
        <v>6381</v>
      </c>
      <c r="N112" s="75" t="s">
        <v>2268</v>
      </c>
      <c r="P112" s="72"/>
      <c r="Q112" s="72"/>
    </row>
    <row r="113" spans="1:18">
      <c r="A113" s="82">
        <v>34</v>
      </c>
      <c r="B113" s="75" t="s">
        <v>5301</v>
      </c>
      <c r="C113" s="72" t="s">
        <v>13275</v>
      </c>
      <c r="D113" s="78">
        <v>0</v>
      </c>
      <c r="E113" s="78">
        <v>0</v>
      </c>
      <c r="F113" s="78">
        <v>0</v>
      </c>
      <c r="G113" s="30">
        <v>976</v>
      </c>
      <c r="H113" s="30">
        <v>958</v>
      </c>
      <c r="I113" s="30">
        <v>923</v>
      </c>
      <c r="J113" s="30">
        <v>921</v>
      </c>
      <c r="K113" s="30">
        <v>943</v>
      </c>
      <c r="L113" s="30">
        <v>941</v>
      </c>
      <c r="N113" s="75" t="s">
        <v>2268</v>
      </c>
      <c r="O113" s="4"/>
    </row>
    <row r="114" spans="1:18" ht="15.75" thickBot="1">
      <c r="A114" s="82"/>
      <c r="B114" s="75"/>
      <c r="C114" s="72" t="s">
        <v>13275</v>
      </c>
      <c r="D114" s="78">
        <v>0</v>
      </c>
      <c r="E114" s="78">
        <v>0</v>
      </c>
      <c r="F114" s="78">
        <v>0</v>
      </c>
      <c r="G114" s="31">
        <v>8049</v>
      </c>
      <c r="H114" s="31">
        <v>7786</v>
      </c>
      <c r="I114" s="31">
        <v>7347</v>
      </c>
      <c r="J114" s="31">
        <v>7230</v>
      </c>
      <c r="K114" s="31">
        <v>7227</v>
      </c>
      <c r="L114" s="31">
        <v>7233</v>
      </c>
      <c r="N114" s="75" t="s">
        <v>2276</v>
      </c>
      <c r="P114" s="72"/>
      <c r="Q114" s="72"/>
    </row>
    <row r="115" spans="1:18" ht="15.75" thickBot="1">
      <c r="A115" s="82"/>
      <c r="B115" s="75"/>
      <c r="C115" s="72" t="s">
        <v>13275</v>
      </c>
      <c r="D115" s="83">
        <f t="shared" ref="D115:F115" si="72">D113+D114</f>
        <v>0</v>
      </c>
      <c r="E115" s="83">
        <f t="shared" si="72"/>
        <v>0</v>
      </c>
      <c r="F115" s="83">
        <f t="shared" si="72"/>
        <v>0</v>
      </c>
      <c r="G115" s="83">
        <f t="shared" ref="G115:L115" si="73">G113+G114</f>
        <v>9025</v>
      </c>
      <c r="H115" s="83">
        <f t="shared" si="73"/>
        <v>8744</v>
      </c>
      <c r="I115" s="83">
        <f t="shared" si="73"/>
        <v>8270</v>
      </c>
      <c r="J115" s="83">
        <f t="shared" si="73"/>
        <v>8151</v>
      </c>
      <c r="K115" s="83">
        <f t="shared" si="73"/>
        <v>8170</v>
      </c>
      <c r="L115" s="83">
        <f t="shared" si="73"/>
        <v>8174</v>
      </c>
      <c r="N115" s="75"/>
      <c r="O115" s="4"/>
      <c r="P115" s="72"/>
      <c r="Q115" s="72"/>
    </row>
    <row r="116" spans="1:18">
      <c r="A116" s="82">
        <v>35</v>
      </c>
      <c r="B116" s="75" t="s">
        <v>13644</v>
      </c>
      <c r="C116" s="72" t="s">
        <v>13276</v>
      </c>
      <c r="D116" s="78">
        <v>0</v>
      </c>
      <c r="E116" s="78">
        <v>0</v>
      </c>
      <c r="F116" s="78">
        <v>0</v>
      </c>
      <c r="G116" s="31">
        <v>10530</v>
      </c>
      <c r="H116" s="31">
        <v>10481</v>
      </c>
      <c r="I116" s="31">
        <v>10130</v>
      </c>
      <c r="J116" s="31">
        <v>10175</v>
      </c>
      <c r="K116" s="31">
        <v>10306</v>
      </c>
      <c r="L116" s="31">
        <v>10308</v>
      </c>
      <c r="N116" s="75" t="s">
        <v>2270</v>
      </c>
      <c r="O116" s="4"/>
      <c r="R116" s="72"/>
    </row>
    <row r="117" spans="1:18">
      <c r="A117" s="82">
        <v>36</v>
      </c>
      <c r="B117" s="75" t="s">
        <v>5302</v>
      </c>
      <c r="C117" s="72" t="s">
        <v>13277</v>
      </c>
      <c r="D117" s="78">
        <v>0</v>
      </c>
      <c r="E117" s="78">
        <v>0</v>
      </c>
      <c r="F117" s="78">
        <v>0</v>
      </c>
      <c r="G117" s="31">
        <v>6434</v>
      </c>
      <c r="H117" s="31">
        <v>6292</v>
      </c>
      <c r="I117" s="31">
        <v>5825</v>
      </c>
      <c r="J117" s="31">
        <v>5809</v>
      </c>
      <c r="K117" s="31">
        <v>5763</v>
      </c>
      <c r="L117" s="31">
        <v>5631</v>
      </c>
      <c r="N117" s="75" t="s">
        <v>2273</v>
      </c>
      <c r="O117" s="4"/>
      <c r="R117" s="72"/>
    </row>
    <row r="118" spans="1:18">
      <c r="A118" s="82">
        <v>37</v>
      </c>
      <c r="B118" s="75" t="s">
        <v>5303</v>
      </c>
      <c r="C118" s="72" t="s">
        <v>13278</v>
      </c>
      <c r="D118" s="78">
        <v>0</v>
      </c>
      <c r="E118" s="78">
        <v>0</v>
      </c>
      <c r="F118" s="78">
        <v>0</v>
      </c>
      <c r="G118" s="31">
        <v>6108</v>
      </c>
      <c r="H118" s="31">
        <v>6014</v>
      </c>
      <c r="I118" s="31">
        <v>5780</v>
      </c>
      <c r="J118" s="31">
        <v>5871</v>
      </c>
      <c r="K118" s="31">
        <v>5976</v>
      </c>
      <c r="L118" s="31">
        <v>6008</v>
      </c>
      <c r="N118" s="75" t="s">
        <v>2275</v>
      </c>
      <c r="P118" s="72"/>
      <c r="Q118" s="72"/>
      <c r="R118" s="72"/>
    </row>
    <row r="119" spans="1:18">
      <c r="A119" s="82">
        <v>38</v>
      </c>
      <c r="B119" s="75" t="s">
        <v>5304</v>
      </c>
      <c r="C119" s="72" t="s">
        <v>13279</v>
      </c>
      <c r="D119" s="78">
        <v>0</v>
      </c>
      <c r="E119" s="78">
        <v>0</v>
      </c>
      <c r="F119" s="78">
        <v>0</v>
      </c>
      <c r="G119" s="31">
        <v>7040</v>
      </c>
      <c r="H119" s="31">
        <v>6790</v>
      </c>
      <c r="I119" s="31">
        <v>6354</v>
      </c>
      <c r="J119" s="31">
        <v>6440</v>
      </c>
      <c r="K119" s="31">
        <v>6716</v>
      </c>
      <c r="L119" s="31">
        <v>6760</v>
      </c>
      <c r="N119" s="75" t="s">
        <v>2275</v>
      </c>
      <c r="O119" s="4"/>
      <c r="P119" s="72"/>
      <c r="Q119" s="72"/>
      <c r="R119" s="72"/>
    </row>
    <row r="120" spans="1:18">
      <c r="A120" s="82">
        <v>39</v>
      </c>
      <c r="B120" s="75" t="s">
        <v>5305</v>
      </c>
      <c r="C120" s="72" t="s">
        <v>13280</v>
      </c>
      <c r="D120" s="78">
        <v>0</v>
      </c>
      <c r="E120" s="78">
        <v>0</v>
      </c>
      <c r="F120" s="78">
        <v>0</v>
      </c>
      <c r="G120" s="31">
        <v>5961</v>
      </c>
      <c r="H120" s="31">
        <v>5877</v>
      </c>
      <c r="I120" s="31">
        <v>5438</v>
      </c>
      <c r="J120" s="31">
        <v>5527</v>
      </c>
      <c r="K120" s="31">
        <v>5701</v>
      </c>
      <c r="L120" s="31">
        <v>5712</v>
      </c>
      <c r="N120" s="75" t="s">
        <v>2274</v>
      </c>
      <c r="O120" s="4"/>
      <c r="R120" s="72"/>
    </row>
    <row r="121" spans="1:18">
      <c r="A121" s="82">
        <v>40</v>
      </c>
      <c r="B121" s="75" t="s">
        <v>5306</v>
      </c>
      <c r="C121" s="72" t="s">
        <v>13281</v>
      </c>
      <c r="D121" s="78">
        <v>0</v>
      </c>
      <c r="E121" s="78">
        <v>0</v>
      </c>
      <c r="F121" s="78">
        <v>0</v>
      </c>
      <c r="G121" s="31">
        <v>6288</v>
      </c>
      <c r="H121" s="31">
        <v>6238</v>
      </c>
      <c r="I121" s="31">
        <v>5876</v>
      </c>
      <c r="J121" s="31">
        <v>5820</v>
      </c>
      <c r="K121" s="31">
        <v>5883</v>
      </c>
      <c r="L121" s="31">
        <v>5830</v>
      </c>
      <c r="N121" s="75" t="s">
        <v>2273</v>
      </c>
      <c r="O121" s="4"/>
      <c r="P121" s="72"/>
      <c r="Q121" s="72"/>
      <c r="R121" s="72"/>
    </row>
    <row r="122" spans="1:18">
      <c r="A122" s="82">
        <v>41</v>
      </c>
      <c r="B122" s="75" t="s">
        <v>5307</v>
      </c>
      <c r="C122" s="72" t="s">
        <v>13282</v>
      </c>
      <c r="D122" s="78">
        <v>0</v>
      </c>
      <c r="E122" s="78">
        <v>0</v>
      </c>
      <c r="F122" s="78">
        <v>0</v>
      </c>
      <c r="G122" s="31">
        <v>7693</v>
      </c>
      <c r="H122" s="31">
        <v>7563</v>
      </c>
      <c r="I122" s="31">
        <v>5082</v>
      </c>
      <c r="J122" s="31">
        <v>6502</v>
      </c>
      <c r="K122" s="31">
        <v>6495</v>
      </c>
      <c r="L122" s="31">
        <v>7891</v>
      </c>
      <c r="N122" s="75" t="s">
        <v>2270</v>
      </c>
      <c r="O122" s="4"/>
      <c r="P122" s="72"/>
      <c r="Q122" s="72"/>
      <c r="R122" s="72"/>
    </row>
    <row r="123" spans="1:18">
      <c r="A123" s="82">
        <v>42</v>
      </c>
      <c r="B123" s="76" t="s">
        <v>13231</v>
      </c>
      <c r="C123" s="72" t="s">
        <v>13283</v>
      </c>
      <c r="D123" s="78">
        <v>0</v>
      </c>
      <c r="E123" s="78">
        <v>0</v>
      </c>
      <c r="F123" s="78">
        <v>0</v>
      </c>
      <c r="G123" s="31">
        <v>2946</v>
      </c>
      <c r="H123" s="31">
        <v>2933</v>
      </c>
      <c r="I123" s="31">
        <v>2855</v>
      </c>
      <c r="J123" s="31">
        <v>2828</v>
      </c>
      <c r="K123" s="31">
        <v>2827</v>
      </c>
      <c r="L123" s="31">
        <v>2821</v>
      </c>
      <c r="N123" s="75" t="s">
        <v>2274</v>
      </c>
      <c r="O123" s="4"/>
      <c r="P123" s="72"/>
      <c r="Q123" s="72"/>
      <c r="R123" s="72"/>
    </row>
    <row r="124" spans="1:18">
      <c r="A124" s="82">
        <v>43</v>
      </c>
      <c r="B124" s="75" t="s">
        <v>13232</v>
      </c>
      <c r="C124" s="72" t="s">
        <v>13284</v>
      </c>
      <c r="D124" s="78">
        <v>0</v>
      </c>
      <c r="E124" s="78">
        <v>0</v>
      </c>
      <c r="F124" s="78">
        <v>0</v>
      </c>
      <c r="G124" s="31">
        <v>3731</v>
      </c>
      <c r="H124" s="31">
        <v>3661</v>
      </c>
      <c r="I124" s="31">
        <v>3552</v>
      </c>
      <c r="J124" s="31">
        <v>3539</v>
      </c>
      <c r="K124" s="31">
        <v>3526</v>
      </c>
      <c r="L124" s="31">
        <v>3491</v>
      </c>
      <c r="N124" s="75" t="s">
        <v>2273</v>
      </c>
      <c r="O124" s="4"/>
      <c r="P124" s="72"/>
      <c r="Q124" s="72"/>
      <c r="R124" s="72"/>
    </row>
    <row r="125" spans="1:18">
      <c r="A125" s="82">
        <v>44</v>
      </c>
      <c r="B125" s="75" t="s">
        <v>5308</v>
      </c>
      <c r="C125" s="72" t="s">
        <v>13285</v>
      </c>
      <c r="D125" s="78">
        <v>0</v>
      </c>
      <c r="E125" s="78">
        <v>0</v>
      </c>
      <c r="F125" s="78">
        <v>0</v>
      </c>
      <c r="G125" s="31">
        <v>10395</v>
      </c>
      <c r="H125" s="31">
        <v>10277</v>
      </c>
      <c r="I125" s="31">
        <v>10039</v>
      </c>
      <c r="J125" s="31">
        <v>9889</v>
      </c>
      <c r="K125" s="31">
        <v>10074</v>
      </c>
      <c r="L125" s="31">
        <v>10084</v>
      </c>
      <c r="N125" s="75" t="s">
        <v>2274</v>
      </c>
      <c r="O125" s="4"/>
      <c r="P125" s="72"/>
      <c r="Q125" s="72"/>
      <c r="R125" s="72"/>
    </row>
    <row r="126" spans="1:18">
      <c r="A126" s="82">
        <v>45</v>
      </c>
      <c r="B126" s="75" t="s">
        <v>5309</v>
      </c>
      <c r="C126" s="72" t="s">
        <v>13286</v>
      </c>
      <c r="D126" s="78">
        <v>0</v>
      </c>
      <c r="E126" s="78">
        <v>0</v>
      </c>
      <c r="F126" s="78">
        <v>0</v>
      </c>
      <c r="G126" s="31">
        <v>6008</v>
      </c>
      <c r="H126" s="31">
        <v>5751</v>
      </c>
      <c r="I126" s="31">
        <v>5485</v>
      </c>
      <c r="J126" s="31">
        <v>5484</v>
      </c>
      <c r="K126" s="31">
        <v>5483</v>
      </c>
      <c r="L126" s="31">
        <v>5499</v>
      </c>
      <c r="N126" s="75" t="s">
        <v>2273</v>
      </c>
      <c r="O126" s="4"/>
      <c r="R126" s="72"/>
    </row>
    <row r="127" spans="1:18">
      <c r="A127" s="82">
        <v>46</v>
      </c>
      <c r="B127" s="75" t="s">
        <v>5310</v>
      </c>
      <c r="C127" s="72" t="s">
        <v>13287</v>
      </c>
      <c r="D127" s="78">
        <v>0</v>
      </c>
      <c r="E127" s="78">
        <v>0</v>
      </c>
      <c r="F127" s="78">
        <v>0</v>
      </c>
      <c r="G127" s="31">
        <v>6552</v>
      </c>
      <c r="H127" s="31">
        <v>6495</v>
      </c>
      <c r="I127" s="31">
        <v>6303</v>
      </c>
      <c r="J127" s="31">
        <v>6119</v>
      </c>
      <c r="K127" s="31">
        <v>6243</v>
      </c>
      <c r="L127" s="31">
        <v>6275</v>
      </c>
      <c r="N127" s="75" t="s">
        <v>2273</v>
      </c>
      <c r="O127" s="4"/>
      <c r="P127" s="72"/>
      <c r="Q127" s="72"/>
      <c r="R127" s="72"/>
    </row>
    <row r="128" spans="1:18">
      <c r="A128" s="82">
        <v>47</v>
      </c>
      <c r="B128" s="75" t="s">
        <v>5311</v>
      </c>
      <c r="C128" s="72" t="s">
        <v>13288</v>
      </c>
      <c r="D128" s="78">
        <v>0</v>
      </c>
      <c r="E128" s="78">
        <v>0</v>
      </c>
      <c r="F128" s="78">
        <v>0</v>
      </c>
      <c r="G128" s="31">
        <v>5816</v>
      </c>
      <c r="H128" s="31">
        <v>5598</v>
      </c>
      <c r="I128" s="31">
        <v>5141</v>
      </c>
      <c r="J128" s="31">
        <v>5357</v>
      </c>
      <c r="K128" s="31">
        <v>5519</v>
      </c>
      <c r="L128" s="31">
        <v>5646</v>
      </c>
      <c r="N128" s="75" t="s">
        <v>2274</v>
      </c>
      <c r="O128" s="4"/>
      <c r="P128" s="72"/>
      <c r="Q128" s="72"/>
      <c r="R128" s="72"/>
    </row>
    <row r="129" spans="1:18">
      <c r="A129" s="82">
        <v>48</v>
      </c>
      <c r="B129" s="75" t="s">
        <v>5312</v>
      </c>
      <c r="C129" s="72" t="s">
        <v>13289</v>
      </c>
      <c r="D129" s="78">
        <v>0</v>
      </c>
      <c r="E129" s="78">
        <v>0</v>
      </c>
      <c r="F129" s="78">
        <v>0</v>
      </c>
      <c r="G129" s="31">
        <v>5539</v>
      </c>
      <c r="H129" s="31">
        <v>5486</v>
      </c>
      <c r="I129" s="31">
        <v>5192</v>
      </c>
      <c r="J129" s="31">
        <v>5270</v>
      </c>
      <c r="K129" s="31">
        <v>5399</v>
      </c>
      <c r="L129" s="31">
        <v>5370</v>
      </c>
      <c r="N129" s="75" t="s">
        <v>2273</v>
      </c>
      <c r="O129" s="4"/>
      <c r="P129" s="72"/>
      <c r="Q129" s="72"/>
      <c r="R129" s="72"/>
    </row>
    <row r="130" spans="1:18">
      <c r="A130" s="82">
        <v>49</v>
      </c>
      <c r="B130" s="75" t="s">
        <v>8640</v>
      </c>
      <c r="C130" s="72" t="s">
        <v>13290</v>
      </c>
      <c r="D130" s="78">
        <v>0</v>
      </c>
      <c r="E130" s="78">
        <v>0</v>
      </c>
      <c r="F130" s="78">
        <v>0</v>
      </c>
      <c r="G130" s="31">
        <v>6544</v>
      </c>
      <c r="H130" s="31">
        <v>6495</v>
      </c>
      <c r="I130" s="31">
        <v>6315</v>
      </c>
      <c r="J130" s="31">
        <v>6274</v>
      </c>
      <c r="K130" s="31">
        <v>6230</v>
      </c>
      <c r="L130" s="31">
        <v>6235</v>
      </c>
      <c r="N130" s="75" t="s">
        <v>2276</v>
      </c>
      <c r="O130" s="4"/>
      <c r="P130" s="72"/>
      <c r="Q130" s="72"/>
      <c r="R130" s="72"/>
    </row>
    <row r="131" spans="1:18">
      <c r="A131" s="82">
        <v>50</v>
      </c>
      <c r="B131" s="75" t="s">
        <v>5313</v>
      </c>
      <c r="C131" s="72" t="s">
        <v>13291</v>
      </c>
      <c r="D131" s="78">
        <v>0</v>
      </c>
      <c r="E131" s="78">
        <v>0</v>
      </c>
      <c r="F131" s="78">
        <v>0</v>
      </c>
      <c r="G131" s="31">
        <v>6866</v>
      </c>
      <c r="H131" s="31">
        <v>6763</v>
      </c>
      <c r="I131" s="31">
        <v>6506</v>
      </c>
      <c r="J131" s="31">
        <v>6531</v>
      </c>
      <c r="K131" s="31">
        <v>6639</v>
      </c>
      <c r="L131" s="31">
        <v>6656</v>
      </c>
      <c r="N131" s="75" t="s">
        <v>2270</v>
      </c>
      <c r="O131" s="4"/>
      <c r="P131" s="72"/>
      <c r="Q131" s="72"/>
      <c r="R131" s="72"/>
    </row>
    <row r="132" spans="1:18">
      <c r="A132" s="82">
        <v>51</v>
      </c>
      <c r="B132" s="75" t="s">
        <v>13233</v>
      </c>
      <c r="C132" s="72" t="s">
        <v>13292</v>
      </c>
      <c r="D132" s="78">
        <v>0</v>
      </c>
      <c r="E132" s="78">
        <v>0</v>
      </c>
      <c r="F132" s="78">
        <v>0</v>
      </c>
      <c r="G132" s="30">
        <v>10349</v>
      </c>
      <c r="H132" s="30">
        <v>10071</v>
      </c>
      <c r="I132" s="30">
        <v>9557</v>
      </c>
      <c r="J132" s="30">
        <v>9384</v>
      </c>
      <c r="K132" s="30">
        <v>9503</v>
      </c>
      <c r="L132" s="30">
        <v>9480</v>
      </c>
      <c r="N132" s="75" t="s">
        <v>2268</v>
      </c>
      <c r="O132" s="4"/>
      <c r="P132" s="72"/>
      <c r="Q132" s="72"/>
      <c r="R132" s="72"/>
    </row>
    <row r="133" spans="1:18">
      <c r="A133" s="82">
        <v>52</v>
      </c>
      <c r="B133" s="75" t="s">
        <v>13234</v>
      </c>
      <c r="C133" s="72" t="s">
        <v>13293</v>
      </c>
      <c r="D133" s="78">
        <v>0</v>
      </c>
      <c r="E133" s="78">
        <v>0</v>
      </c>
      <c r="F133" s="78">
        <v>0</v>
      </c>
      <c r="G133" s="31">
        <v>6990</v>
      </c>
      <c r="H133" s="31">
        <v>6903</v>
      </c>
      <c r="I133" s="31">
        <v>6279</v>
      </c>
      <c r="J133" s="31">
        <v>6413</v>
      </c>
      <c r="K133" s="31">
        <v>6648</v>
      </c>
      <c r="L133" s="31">
        <v>6734</v>
      </c>
      <c r="N133" s="75" t="s">
        <v>2273</v>
      </c>
      <c r="O133" s="4"/>
      <c r="P133" s="72"/>
      <c r="Q133" s="72"/>
      <c r="R133" s="72"/>
    </row>
    <row r="134" spans="1:18">
      <c r="A134" s="82">
        <v>53</v>
      </c>
      <c r="B134" s="75" t="s">
        <v>13235</v>
      </c>
      <c r="C134" s="72" t="s">
        <v>13294</v>
      </c>
      <c r="D134" s="78">
        <v>0</v>
      </c>
      <c r="E134" s="78">
        <v>0</v>
      </c>
      <c r="F134" s="78">
        <v>0</v>
      </c>
      <c r="G134" s="30">
        <v>8731</v>
      </c>
      <c r="H134" s="30">
        <v>8735</v>
      </c>
      <c r="I134" s="30">
        <v>8374</v>
      </c>
      <c r="J134" s="30">
        <v>8444</v>
      </c>
      <c r="K134" s="30">
        <v>8676</v>
      </c>
      <c r="L134" s="30">
        <v>8687</v>
      </c>
      <c r="N134" s="75" t="s">
        <v>2268</v>
      </c>
      <c r="O134" s="4"/>
      <c r="P134" s="72"/>
      <c r="Q134" s="72"/>
      <c r="R134" s="72"/>
    </row>
    <row r="135" spans="1:18">
      <c r="A135" s="82">
        <v>54</v>
      </c>
      <c r="B135" s="75" t="s">
        <v>5385</v>
      </c>
      <c r="C135" s="72" t="s">
        <v>13295</v>
      </c>
      <c r="D135" s="78">
        <v>0</v>
      </c>
      <c r="E135" s="78">
        <v>0</v>
      </c>
      <c r="F135" s="78">
        <v>0</v>
      </c>
      <c r="G135" s="31">
        <v>6803</v>
      </c>
      <c r="H135" s="31">
        <v>6645</v>
      </c>
      <c r="I135" s="31">
        <v>6139</v>
      </c>
      <c r="J135" s="31">
        <v>6187</v>
      </c>
      <c r="K135" s="31">
        <v>6343</v>
      </c>
      <c r="L135" s="31">
        <v>6303</v>
      </c>
      <c r="N135" s="75" t="s">
        <v>2274</v>
      </c>
      <c r="O135" s="4"/>
      <c r="P135" s="72"/>
      <c r="Q135" s="72"/>
      <c r="R135" s="72"/>
    </row>
    <row r="136" spans="1:18">
      <c r="A136" s="82">
        <v>55</v>
      </c>
      <c r="B136" s="75" t="s">
        <v>1892</v>
      </c>
      <c r="C136" s="72" t="s">
        <v>13296</v>
      </c>
      <c r="D136" s="78">
        <v>0</v>
      </c>
      <c r="E136" s="78">
        <v>0</v>
      </c>
      <c r="F136" s="78">
        <v>0</v>
      </c>
      <c r="G136" s="31">
        <v>6909</v>
      </c>
      <c r="H136" s="31">
        <v>6831</v>
      </c>
      <c r="I136" s="31">
        <v>6546</v>
      </c>
      <c r="J136" s="31">
        <v>6495</v>
      </c>
      <c r="K136" s="31">
        <v>6589</v>
      </c>
      <c r="L136" s="31">
        <v>6590</v>
      </c>
      <c r="N136" s="75" t="s">
        <v>2274</v>
      </c>
      <c r="O136" s="4"/>
      <c r="P136" s="72"/>
      <c r="Q136" s="72"/>
      <c r="R136" s="72"/>
    </row>
    <row r="137" spans="1:18">
      <c r="A137" s="82">
        <v>56</v>
      </c>
      <c r="B137" s="75" t="s">
        <v>13236</v>
      </c>
      <c r="C137" s="72" t="s">
        <v>13297</v>
      </c>
      <c r="D137" s="78">
        <v>0</v>
      </c>
      <c r="E137" s="78">
        <v>0</v>
      </c>
      <c r="F137" s="78">
        <v>0</v>
      </c>
      <c r="G137" s="31">
        <v>3566</v>
      </c>
      <c r="H137" s="31">
        <v>3547</v>
      </c>
      <c r="I137" s="31">
        <v>3178</v>
      </c>
      <c r="J137" s="31">
        <v>3233</v>
      </c>
      <c r="K137" s="31">
        <v>3405</v>
      </c>
      <c r="L137" s="31">
        <v>3431</v>
      </c>
      <c r="N137" s="75" t="s">
        <v>2275</v>
      </c>
      <c r="O137" s="4"/>
      <c r="P137" s="72"/>
      <c r="Q137" s="72"/>
      <c r="R137" s="72"/>
    </row>
    <row r="138" spans="1:18">
      <c r="A138" s="82">
        <v>57</v>
      </c>
      <c r="B138" s="75" t="s">
        <v>13237</v>
      </c>
      <c r="C138" s="72" t="s">
        <v>13298</v>
      </c>
      <c r="D138" s="78">
        <v>0</v>
      </c>
      <c r="E138" s="78">
        <v>0</v>
      </c>
      <c r="F138" s="78">
        <v>0</v>
      </c>
      <c r="G138" s="31">
        <v>514</v>
      </c>
      <c r="H138" s="31">
        <v>504</v>
      </c>
      <c r="I138" s="31">
        <v>447</v>
      </c>
      <c r="J138" s="31">
        <v>471</v>
      </c>
      <c r="K138" s="31">
        <v>494</v>
      </c>
      <c r="L138" s="31">
        <v>495</v>
      </c>
      <c r="N138" s="75" t="s">
        <v>2270</v>
      </c>
      <c r="O138" s="4"/>
      <c r="P138" s="72"/>
      <c r="Q138" s="72"/>
      <c r="R138" s="72"/>
    </row>
    <row r="139" spans="1:18">
      <c r="A139" s="82"/>
      <c r="B139" s="75"/>
      <c r="C139" s="72" t="s">
        <v>13298</v>
      </c>
      <c r="D139" s="78">
        <v>0</v>
      </c>
      <c r="E139" s="78">
        <v>0</v>
      </c>
      <c r="F139" s="78">
        <v>0</v>
      </c>
      <c r="G139" s="31">
        <v>352</v>
      </c>
      <c r="H139" s="31">
        <v>346</v>
      </c>
      <c r="I139" s="31">
        <v>290</v>
      </c>
      <c r="J139" s="31">
        <v>294</v>
      </c>
      <c r="K139" s="31">
        <v>306</v>
      </c>
      <c r="L139" s="31">
        <v>319</v>
      </c>
      <c r="N139" s="75" t="s">
        <v>2273</v>
      </c>
      <c r="O139" s="4"/>
      <c r="P139" s="72"/>
      <c r="Q139" s="72"/>
    </row>
    <row r="140" spans="1:18" ht="15.75" thickBot="1">
      <c r="A140" s="82"/>
      <c r="B140" s="75"/>
      <c r="C140" s="72" t="s">
        <v>13298</v>
      </c>
      <c r="D140" s="78">
        <v>0</v>
      </c>
      <c r="E140" s="78">
        <v>0</v>
      </c>
      <c r="F140" s="78">
        <v>0</v>
      </c>
      <c r="G140" s="31">
        <v>9543</v>
      </c>
      <c r="H140" s="31">
        <v>9228</v>
      </c>
      <c r="I140" s="31">
        <v>8603</v>
      </c>
      <c r="J140" s="31">
        <v>8646</v>
      </c>
      <c r="K140" s="31">
        <v>8971</v>
      </c>
      <c r="L140" s="31">
        <v>8910</v>
      </c>
      <c r="N140" s="75" t="s">
        <v>2276</v>
      </c>
      <c r="O140" s="4"/>
      <c r="P140" s="72"/>
      <c r="Q140" s="72"/>
    </row>
    <row r="141" spans="1:18" ht="15.75" thickBot="1">
      <c r="A141" s="82"/>
      <c r="B141" s="75"/>
      <c r="C141" s="72" t="s">
        <v>13298</v>
      </c>
      <c r="D141" s="83">
        <f t="shared" ref="D141:F141" si="74">SUM(D138:D140)</f>
        <v>0</v>
      </c>
      <c r="E141" s="83">
        <f t="shared" si="74"/>
        <v>0</v>
      </c>
      <c r="F141" s="83">
        <f t="shared" si="74"/>
        <v>0</v>
      </c>
      <c r="G141" s="83">
        <f t="shared" ref="G141:L141" si="75">SUM(G138:G140)</f>
        <v>10409</v>
      </c>
      <c r="H141" s="83">
        <f t="shared" si="75"/>
        <v>10078</v>
      </c>
      <c r="I141" s="83">
        <f t="shared" si="75"/>
        <v>9340</v>
      </c>
      <c r="J141" s="83">
        <f t="shared" si="75"/>
        <v>9411</v>
      </c>
      <c r="K141" s="83">
        <f t="shared" si="75"/>
        <v>9771</v>
      </c>
      <c r="L141" s="83">
        <f t="shared" si="75"/>
        <v>9724</v>
      </c>
      <c r="N141" s="75"/>
      <c r="O141" s="4"/>
      <c r="P141" s="72"/>
      <c r="Q141" s="72"/>
    </row>
    <row r="142" spans="1:18">
      <c r="A142" s="82">
        <v>58</v>
      </c>
      <c r="B142" s="75" t="s">
        <v>1034</v>
      </c>
      <c r="C142" s="72" t="s">
        <v>13299</v>
      </c>
      <c r="D142" s="78">
        <v>0</v>
      </c>
      <c r="E142" s="78">
        <v>0</v>
      </c>
      <c r="F142" s="78">
        <v>0</v>
      </c>
      <c r="G142" s="30">
        <v>6337</v>
      </c>
      <c r="H142" s="30">
        <v>6343</v>
      </c>
      <c r="I142" s="30">
        <v>5927</v>
      </c>
      <c r="J142" s="30">
        <v>6079</v>
      </c>
      <c r="K142" s="30">
        <v>6359</v>
      </c>
      <c r="L142" s="30">
        <v>6526</v>
      </c>
      <c r="N142" s="75" t="s">
        <v>2268</v>
      </c>
      <c r="O142" s="4"/>
      <c r="P142" s="72"/>
      <c r="Q142" s="72"/>
      <c r="R142" s="72"/>
    </row>
    <row r="143" spans="1:18">
      <c r="A143" s="82">
        <v>59</v>
      </c>
      <c r="B143" s="75" t="s">
        <v>4001</v>
      </c>
      <c r="C143" s="72" t="s">
        <v>13300</v>
      </c>
      <c r="D143" s="78">
        <v>0</v>
      </c>
      <c r="E143" s="78">
        <v>0</v>
      </c>
      <c r="F143" s="78">
        <v>0</v>
      </c>
      <c r="G143" s="31">
        <v>6635</v>
      </c>
      <c r="H143" s="31">
        <v>6513</v>
      </c>
      <c r="I143" s="31">
        <v>6390</v>
      </c>
      <c r="J143" s="31">
        <v>6406</v>
      </c>
      <c r="K143" s="31">
        <v>6622</v>
      </c>
      <c r="L143" s="31">
        <v>6640</v>
      </c>
      <c r="N143" s="75" t="s">
        <v>2275</v>
      </c>
      <c r="P143" s="72"/>
      <c r="Q143" s="72"/>
      <c r="R143" s="72"/>
    </row>
    <row r="144" spans="1:18">
      <c r="A144" s="82">
        <v>60</v>
      </c>
      <c r="B144" s="75" t="s">
        <v>4002</v>
      </c>
      <c r="C144" s="72" t="s">
        <v>13301</v>
      </c>
      <c r="D144" s="78">
        <v>0</v>
      </c>
      <c r="E144" s="78">
        <v>0</v>
      </c>
      <c r="F144" s="78">
        <v>0</v>
      </c>
      <c r="G144" s="30">
        <v>6619</v>
      </c>
      <c r="H144" s="30">
        <v>6619</v>
      </c>
      <c r="I144" s="30">
        <v>6371</v>
      </c>
      <c r="J144" s="30">
        <v>6375</v>
      </c>
      <c r="K144" s="30">
        <v>6446</v>
      </c>
      <c r="L144" s="30">
        <v>6496</v>
      </c>
      <c r="N144" s="75" t="s">
        <v>2268</v>
      </c>
      <c r="O144" s="4"/>
      <c r="P144" s="72"/>
      <c r="Q144" s="72"/>
      <c r="R144" s="72"/>
    </row>
    <row r="145" spans="1:18">
      <c r="A145" s="82">
        <v>61</v>
      </c>
      <c r="B145" s="75" t="s">
        <v>13238</v>
      </c>
      <c r="C145" s="72" t="s">
        <v>13302</v>
      </c>
      <c r="D145" s="78">
        <v>0</v>
      </c>
      <c r="E145" s="78">
        <v>0</v>
      </c>
      <c r="F145" s="78">
        <v>0</v>
      </c>
      <c r="G145" s="31">
        <v>342</v>
      </c>
      <c r="H145" s="31">
        <v>352</v>
      </c>
      <c r="I145" s="31">
        <v>339</v>
      </c>
      <c r="J145" s="31">
        <v>350</v>
      </c>
      <c r="K145" s="31">
        <v>358</v>
      </c>
      <c r="L145" s="31">
        <v>352</v>
      </c>
      <c r="N145" s="75" t="s">
        <v>2270</v>
      </c>
      <c r="O145" s="4"/>
      <c r="P145" s="72"/>
      <c r="Q145" s="72"/>
      <c r="R145" s="72"/>
    </row>
    <row r="146" spans="1:18" ht="15.75" thickBot="1">
      <c r="A146" s="82"/>
      <c r="B146" s="75"/>
      <c r="C146" s="72" t="s">
        <v>13302</v>
      </c>
      <c r="D146" s="78">
        <v>0</v>
      </c>
      <c r="E146" s="78">
        <v>0</v>
      </c>
      <c r="F146" s="78">
        <v>0</v>
      </c>
      <c r="G146" s="31">
        <v>6632</v>
      </c>
      <c r="H146" s="31">
        <v>6568</v>
      </c>
      <c r="I146" s="31">
        <v>6413</v>
      </c>
      <c r="J146" s="31">
        <v>6472</v>
      </c>
      <c r="K146" s="31">
        <v>6563</v>
      </c>
      <c r="L146" s="31">
        <v>6526</v>
      </c>
      <c r="N146" s="75" t="s">
        <v>2275</v>
      </c>
      <c r="O146" s="4"/>
      <c r="P146" s="72"/>
      <c r="Q146" s="72"/>
      <c r="R146" s="72"/>
    </row>
    <row r="147" spans="1:18" ht="15.75" thickBot="1">
      <c r="A147" s="82"/>
      <c r="B147" s="75"/>
      <c r="C147" s="72" t="s">
        <v>13302</v>
      </c>
      <c r="D147" s="83">
        <f t="shared" ref="D147:F147" si="76">D145+D146</f>
        <v>0</v>
      </c>
      <c r="E147" s="83">
        <f t="shared" si="76"/>
        <v>0</v>
      </c>
      <c r="F147" s="83">
        <f t="shared" si="76"/>
        <v>0</v>
      </c>
      <c r="G147" s="83">
        <f t="shared" ref="G147:L147" si="77">G145+G146</f>
        <v>6974</v>
      </c>
      <c r="H147" s="83">
        <f t="shared" si="77"/>
        <v>6920</v>
      </c>
      <c r="I147" s="83">
        <f t="shared" si="77"/>
        <v>6752</v>
      </c>
      <c r="J147" s="83">
        <f t="shared" si="77"/>
        <v>6822</v>
      </c>
      <c r="K147" s="83">
        <f t="shared" si="77"/>
        <v>6921</v>
      </c>
      <c r="L147" s="83">
        <f t="shared" si="77"/>
        <v>6878</v>
      </c>
      <c r="N147" s="75"/>
      <c r="O147" s="4"/>
      <c r="P147" s="72"/>
      <c r="Q147" s="72"/>
      <c r="R147" s="72"/>
    </row>
    <row r="148" spans="1:18">
      <c r="A148" s="82">
        <v>62</v>
      </c>
      <c r="B148" s="75" t="s">
        <v>4003</v>
      </c>
      <c r="C148" s="72" t="s">
        <v>13303</v>
      </c>
      <c r="D148" s="78">
        <v>0</v>
      </c>
      <c r="E148" s="78">
        <v>0</v>
      </c>
      <c r="F148" s="78">
        <v>0</v>
      </c>
      <c r="G148" s="31">
        <v>3269</v>
      </c>
      <c r="H148" s="31">
        <v>3149</v>
      </c>
      <c r="I148" s="31">
        <v>2855</v>
      </c>
      <c r="J148" s="31">
        <v>2913</v>
      </c>
      <c r="K148" s="31">
        <v>3005</v>
      </c>
      <c r="L148" s="31">
        <v>3052</v>
      </c>
      <c r="N148" s="75" t="s">
        <v>2276</v>
      </c>
      <c r="O148" s="4"/>
      <c r="Q148" s="4"/>
    </row>
    <row r="149" spans="1:18">
      <c r="A149" s="82">
        <v>63</v>
      </c>
      <c r="B149" s="75" t="s">
        <v>4004</v>
      </c>
      <c r="C149" s="72" t="s">
        <v>13304</v>
      </c>
      <c r="D149" s="78">
        <v>0</v>
      </c>
      <c r="E149" s="78">
        <v>0</v>
      </c>
      <c r="F149" s="78">
        <v>0</v>
      </c>
      <c r="G149" s="30">
        <v>6492</v>
      </c>
      <c r="H149" s="30">
        <v>6452</v>
      </c>
      <c r="I149" s="30">
        <v>6206</v>
      </c>
      <c r="J149" s="30">
        <v>6032</v>
      </c>
      <c r="K149" s="30">
        <v>6237</v>
      </c>
      <c r="L149" s="30">
        <v>6085</v>
      </c>
      <c r="N149" s="75" t="s">
        <v>2268</v>
      </c>
      <c r="O149" s="4"/>
      <c r="Q149" s="4"/>
    </row>
    <row r="150" spans="1:18">
      <c r="D150" s="80"/>
      <c r="E150" s="80"/>
      <c r="F150" s="80"/>
    </row>
    <row r="151" spans="1:18">
      <c r="A151" s="75" t="s">
        <v>2268</v>
      </c>
      <c r="D151" s="81">
        <f t="shared" ref="D151:F151" si="78">D78+D79+D82+D96+D112+D113+D132+D134+D142+D144+D149</f>
        <v>68170</v>
      </c>
      <c r="E151" s="81">
        <f t="shared" si="78"/>
        <v>68501</v>
      </c>
      <c r="F151" s="81">
        <f t="shared" si="78"/>
        <v>69096</v>
      </c>
      <c r="G151" s="81">
        <f t="shared" ref="G151:L151" si="79">G78+G79+G82+G96+G112+G113+G132+G134+G142+G144+G149</f>
        <v>69397</v>
      </c>
      <c r="H151" s="81">
        <f t="shared" si="79"/>
        <v>68525</v>
      </c>
      <c r="I151" s="81">
        <f t="shared" si="79"/>
        <v>64953</v>
      </c>
      <c r="J151" s="81">
        <f t="shared" si="79"/>
        <v>65234</v>
      </c>
      <c r="K151" s="81">
        <f t="shared" si="79"/>
        <v>66825</v>
      </c>
      <c r="L151" s="81">
        <f t="shared" si="79"/>
        <v>67151</v>
      </c>
    </row>
    <row r="152" spans="1:18">
      <c r="A152" s="75" t="s">
        <v>2270</v>
      </c>
      <c r="D152" s="81">
        <f t="shared" ref="D152:F152" si="80">D80+D87+D97+D101+D106+D108+D109+D116+D122+D131+D138+D145</f>
        <v>67642</v>
      </c>
      <c r="E152" s="81">
        <f t="shared" si="80"/>
        <v>72659</v>
      </c>
      <c r="F152" s="81">
        <f t="shared" si="80"/>
        <v>73567</v>
      </c>
      <c r="G152" s="81">
        <f t="shared" ref="G152:L152" si="81">G80+G87+G97+G101+G106+G108+G109+G116+G122+G131+G138+G145</f>
        <v>73679</v>
      </c>
      <c r="H152" s="81">
        <f t="shared" si="81"/>
        <v>73036</v>
      </c>
      <c r="I152" s="81">
        <f t="shared" si="81"/>
        <v>64614</v>
      </c>
      <c r="J152" s="81">
        <f t="shared" si="81"/>
        <v>66618</v>
      </c>
      <c r="K152" s="81">
        <f t="shared" si="81"/>
        <v>68508</v>
      </c>
      <c r="L152" s="81">
        <f t="shared" si="81"/>
        <v>73538</v>
      </c>
    </row>
    <row r="153" spans="1:18">
      <c r="A153" s="75" t="s">
        <v>2273</v>
      </c>
      <c r="D153" s="81">
        <f t="shared" ref="D153:F153" si="82">D84+D100+D105+D107+D117+D121+D124+D126+D127+D129+D133+D139</f>
        <v>63387</v>
      </c>
      <c r="E153" s="81">
        <f t="shared" si="82"/>
        <v>65618</v>
      </c>
      <c r="F153" s="81">
        <f t="shared" si="82"/>
        <v>66096</v>
      </c>
      <c r="G153" s="81">
        <f t="shared" ref="G153:L153" si="83">G84+G100+G105+G107+G117+G121+G124+G126+G127+G129+G133+G139</f>
        <v>66164</v>
      </c>
      <c r="H153" s="81">
        <f t="shared" si="83"/>
        <v>64884</v>
      </c>
      <c r="I153" s="81">
        <f t="shared" si="83"/>
        <v>60820</v>
      </c>
      <c r="J153" s="81">
        <f t="shared" si="83"/>
        <v>60833</v>
      </c>
      <c r="K153" s="81">
        <f t="shared" si="83"/>
        <v>61870</v>
      </c>
      <c r="L153" s="81">
        <f t="shared" si="83"/>
        <v>61851</v>
      </c>
    </row>
    <row r="154" spans="1:18">
      <c r="A154" s="75" t="s">
        <v>2274</v>
      </c>
      <c r="D154" s="81">
        <f t="shared" ref="D154:F154" si="84">D74+SUM(D89:D92)+D98+D120+D123+D125+D128+D135+D136</f>
        <v>67284</v>
      </c>
      <c r="E154" s="81">
        <f t="shared" si="84"/>
        <v>68959</v>
      </c>
      <c r="F154" s="81">
        <f t="shared" si="84"/>
        <v>69697</v>
      </c>
      <c r="G154" s="81">
        <f t="shared" ref="G154:L154" si="85">G74+SUM(G89:G92)+G98+G120+G123+G125+G128+G135+G136</f>
        <v>69808</v>
      </c>
      <c r="H154" s="81">
        <f t="shared" si="85"/>
        <v>68294</v>
      </c>
      <c r="I154" s="81">
        <f t="shared" si="85"/>
        <v>64406</v>
      </c>
      <c r="J154" s="81">
        <f t="shared" si="85"/>
        <v>64810</v>
      </c>
      <c r="K154" s="81">
        <f t="shared" si="85"/>
        <v>66404</v>
      </c>
      <c r="L154" s="81">
        <f t="shared" si="85"/>
        <v>66386</v>
      </c>
    </row>
    <row r="155" spans="1:18">
      <c r="A155" s="75" t="s">
        <v>2275</v>
      </c>
      <c r="D155" s="81">
        <f t="shared" ref="D155:F155" si="86">D81+D88+D94+D95+D99+D102+D104+D110+D118+D119+D137+D143+D146</f>
        <v>70167</v>
      </c>
      <c r="E155" s="81">
        <f t="shared" si="86"/>
        <v>72760</v>
      </c>
      <c r="F155" s="81">
        <f t="shared" si="86"/>
        <v>72615</v>
      </c>
      <c r="G155" s="81">
        <f t="shared" ref="G155:L155" si="87">G81+G88+G94+G95+G99+G102+G104+G110+G118+G119+G137+G143+G146</f>
        <v>72742</v>
      </c>
      <c r="H155" s="81">
        <f t="shared" si="87"/>
        <v>71776</v>
      </c>
      <c r="I155" s="81">
        <f t="shared" si="87"/>
        <v>68615</v>
      </c>
      <c r="J155" s="81">
        <f t="shared" si="87"/>
        <v>69094</v>
      </c>
      <c r="K155" s="81">
        <f t="shared" si="87"/>
        <v>71244</v>
      </c>
      <c r="L155" s="81">
        <f t="shared" si="87"/>
        <v>71567</v>
      </c>
    </row>
    <row r="156" spans="1:18">
      <c r="A156" s="75" t="s">
        <v>3562</v>
      </c>
      <c r="D156" s="81">
        <f t="shared" ref="D156:F156" si="88">SUM(D75:D77)+D83+D85+D93+D114+D130+D140+D148</f>
        <v>54794</v>
      </c>
      <c r="E156" s="81">
        <f t="shared" si="88"/>
        <v>56399</v>
      </c>
      <c r="F156" s="81">
        <f t="shared" si="88"/>
        <v>55823</v>
      </c>
      <c r="G156" s="81">
        <f t="shared" ref="G156:L156" si="89">SUM(G75:G77)+G83+G85+G93+G114+G130+G140+G148</f>
        <v>55675</v>
      </c>
      <c r="H156" s="81">
        <f t="shared" si="89"/>
        <v>54171</v>
      </c>
      <c r="I156" s="81">
        <f t="shared" si="89"/>
        <v>51043</v>
      </c>
      <c r="J156" s="81">
        <f t="shared" si="89"/>
        <v>51126</v>
      </c>
      <c r="K156" s="81">
        <f t="shared" si="89"/>
        <v>52059</v>
      </c>
      <c r="L156" s="81">
        <f t="shared" si="89"/>
        <v>52253</v>
      </c>
    </row>
    <row r="157" spans="1:18">
      <c r="G157" s="81"/>
      <c r="H157" s="81"/>
      <c r="I157" s="81"/>
      <c r="J157" s="81"/>
      <c r="K157" s="81"/>
      <c r="L157" s="81"/>
    </row>
    <row r="158" spans="1:18">
      <c r="A158" s="76" t="s">
        <v>13240</v>
      </c>
    </row>
  </sheetData>
  <sortState ref="O74:Q143">
    <sortCondition ref="O74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88" orientation="portrait" horizontalDpi="300" verticalDpi="300" r:id="rId1"/>
  <headerFooter alignWithMargins="0">
    <oddFooter>&amp;C&amp;"Times New Roman,Regular"&amp;8&amp;P of &amp;N</oddFooter>
  </headerFooter>
  <rowBreaks count="2" manualBreakCount="2">
    <brk id="35" max="16383" man="1"/>
    <brk id="69" max="16383" man="1"/>
  </rowBreaks>
  <ignoredErrors>
    <ignoredError sqref="D3:E6 F3:F6 G3:G6 D147:G147 D111:G111 D103:G103 D86:G86 D115:G115 G112 G113 G114 G116 G142 G143 G144 G145 G146 D151:G156 D73:K73 G25:G31 G22:G24 G20 G18 G16 G14 G12 G11 G13 G15 G17 G19 G21 D7:E7 F7 G7 D10:E31 F10:F31 G10 D8:G9 H86:H140 H151:H156 H3:H6 H142:H147 H7:H31 I86:K86 I103:K103 I111:I115 I147 I151:I156 I3:I31 D43:K43 D57:K57 D65:I66 D39:K39 J65:J66 J111:K111 J115:K115 J142:J147 J151:J156 J3:J31 K65:K66 K147 K151:K156 K3:K31 L3:L156" unlockedFormula="1"/>
    <ignoredError sqref="G141:K141 D141:F141" formulaRange="1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83"/>
  <sheetViews>
    <sheetView showGridLines="0" zoomScaleNormal="100" workbookViewId="0"/>
  </sheetViews>
  <sheetFormatPr defaultColWidth="12.5703125" defaultRowHeight="15"/>
  <cols>
    <col min="1" max="1" width="4.85546875" style="855" customWidth="1"/>
    <col min="2" max="2" width="36" style="855" customWidth="1"/>
    <col min="3" max="3" width="11.7109375" style="855" customWidth="1"/>
    <col min="4" max="12" width="10" style="855" customWidth="1"/>
    <col min="13" max="13" width="2.28515625" style="855" customWidth="1"/>
    <col min="14" max="14" width="36.85546875" style="855" customWidth="1"/>
    <col min="15" max="16384" width="12.5703125" style="855"/>
  </cols>
  <sheetData>
    <row r="1" spans="1:14">
      <c r="A1" s="854" t="s">
        <v>7342</v>
      </c>
      <c r="D1" s="856">
        <v>2010</v>
      </c>
      <c r="E1" s="856">
        <v>2011</v>
      </c>
      <c r="F1" s="856">
        <v>2012</v>
      </c>
      <c r="G1" s="856">
        <v>2013</v>
      </c>
      <c r="H1" s="856">
        <v>2014</v>
      </c>
      <c r="I1" s="856">
        <v>2015</v>
      </c>
      <c r="J1" s="856">
        <v>2016</v>
      </c>
      <c r="K1" s="856">
        <v>2017</v>
      </c>
      <c r="L1" s="856">
        <v>2018</v>
      </c>
    </row>
    <row r="3" spans="1:14">
      <c r="A3" s="854" t="s">
        <v>2293</v>
      </c>
      <c r="D3" s="857">
        <f t="shared" ref="D3:I3" si="0">SUM(D19:D41)</f>
        <v>206278</v>
      </c>
      <c r="E3" s="857">
        <f t="shared" si="0"/>
        <v>208701</v>
      </c>
      <c r="F3" s="857">
        <f t="shared" si="0"/>
        <v>209830</v>
      </c>
      <c r="G3" s="857">
        <f t="shared" si="0"/>
        <v>208413</v>
      </c>
      <c r="H3" s="857">
        <f t="shared" si="0"/>
        <v>210210</v>
      </c>
      <c r="I3" s="857">
        <f t="shared" si="0"/>
        <v>205177</v>
      </c>
      <c r="J3" s="857">
        <f t="shared" ref="J3:K3" si="1">SUM(J19:J41)</f>
        <v>208976</v>
      </c>
      <c r="K3" s="857">
        <f t="shared" si="1"/>
        <v>206836</v>
      </c>
      <c r="L3" s="857">
        <f t="shared" ref="L3" si="2">SUM(L19:L41)</f>
        <v>202130</v>
      </c>
    </row>
    <row r="5" spans="1:14">
      <c r="A5" s="854" t="s">
        <v>6952</v>
      </c>
      <c r="D5" s="857">
        <f t="shared" ref="D5:I5" si="3">D3/3</f>
        <v>68759.333333333328</v>
      </c>
      <c r="E5" s="857">
        <f t="shared" si="3"/>
        <v>69567</v>
      </c>
      <c r="F5" s="857">
        <f t="shared" si="3"/>
        <v>69943.333333333328</v>
      </c>
      <c r="G5" s="857">
        <f t="shared" si="3"/>
        <v>69471</v>
      </c>
      <c r="H5" s="857">
        <f t="shared" si="3"/>
        <v>70070</v>
      </c>
      <c r="I5" s="857">
        <f t="shared" si="3"/>
        <v>68392.333333333328</v>
      </c>
      <c r="J5" s="857">
        <f t="shared" ref="J5:K5" si="4">J3/3</f>
        <v>69658.666666666672</v>
      </c>
      <c r="K5" s="857">
        <f t="shared" si="4"/>
        <v>68945.333333333328</v>
      </c>
      <c r="L5" s="857">
        <f t="shared" ref="L5" si="5">L3/3</f>
        <v>67376.666666666672</v>
      </c>
    </row>
    <row r="6" spans="1:14">
      <c r="D6" s="858"/>
      <c r="E6" s="858"/>
      <c r="F6" s="858"/>
      <c r="G6" s="858"/>
      <c r="H6" s="858"/>
      <c r="I6" s="858"/>
      <c r="J6" s="858"/>
      <c r="K6" s="858"/>
      <c r="L6" s="858"/>
    </row>
    <row r="7" spans="1:14">
      <c r="A7" s="854" t="s">
        <v>2294</v>
      </c>
      <c r="D7" s="857">
        <f t="shared" ref="D7:I7" si="6">D19+SUM(D22:D24)+D28+D37+D40+D41</f>
        <v>69149</v>
      </c>
      <c r="E7" s="857">
        <f t="shared" si="6"/>
        <v>69828</v>
      </c>
      <c r="F7" s="857">
        <f t="shared" si="6"/>
        <v>70415</v>
      </c>
      <c r="G7" s="857">
        <f t="shared" si="6"/>
        <v>70103</v>
      </c>
      <c r="H7" s="857">
        <f t="shared" si="6"/>
        <v>71035</v>
      </c>
      <c r="I7" s="857">
        <f t="shared" si="6"/>
        <v>68374</v>
      </c>
      <c r="J7" s="857">
        <f t="shared" ref="J7:K7" si="7">J19+SUM(J22:J24)+J28+J37+J40+J41</f>
        <v>70798</v>
      </c>
      <c r="K7" s="857">
        <f t="shared" si="7"/>
        <v>70582</v>
      </c>
      <c r="L7" s="857">
        <f t="shared" ref="L7" si="8">L19+SUM(L22:L24)+L28+L37+L40+L41</f>
        <v>68779</v>
      </c>
      <c r="N7" s="854" t="s">
        <v>2295</v>
      </c>
    </row>
    <row r="8" spans="1:14">
      <c r="D8" s="858"/>
      <c r="E8" s="858"/>
      <c r="F8" s="858"/>
      <c r="G8" s="858"/>
      <c r="H8" s="858"/>
      <c r="I8" s="858"/>
      <c r="J8" s="858"/>
      <c r="K8" s="858"/>
      <c r="L8" s="858"/>
    </row>
    <row r="9" spans="1:14">
      <c r="A9" s="854" t="s">
        <v>2296</v>
      </c>
      <c r="D9" s="857">
        <f t="shared" ref="D9:I9" si="9">D20+D26+D27+D29+SUM(D32:D34)+D36</f>
        <v>72876</v>
      </c>
      <c r="E9" s="857">
        <f t="shared" si="9"/>
        <v>73105</v>
      </c>
      <c r="F9" s="857">
        <f t="shared" si="9"/>
        <v>73596</v>
      </c>
      <c r="G9" s="857">
        <f t="shared" si="9"/>
        <v>72748</v>
      </c>
      <c r="H9" s="857">
        <f t="shared" si="9"/>
        <v>73566</v>
      </c>
      <c r="I9" s="857">
        <f t="shared" si="9"/>
        <v>72537</v>
      </c>
      <c r="J9" s="857">
        <f t="shared" ref="J9:K9" si="10">J20+J26+J27+J29+SUM(J32:J34)+J36</f>
        <v>73703</v>
      </c>
      <c r="K9" s="857">
        <f t="shared" si="10"/>
        <v>72972</v>
      </c>
      <c r="L9" s="857">
        <f t="shared" ref="L9" si="11">L20+L26+L27+L29+SUM(L32:L34)+L36</f>
        <v>71599</v>
      </c>
      <c r="N9" s="854" t="s">
        <v>2295</v>
      </c>
    </row>
    <row r="10" spans="1:14">
      <c r="D10" s="858"/>
      <c r="E10" s="858"/>
      <c r="F10" s="858"/>
      <c r="G10" s="858"/>
      <c r="H10" s="858"/>
      <c r="I10" s="858"/>
      <c r="J10" s="858"/>
      <c r="K10" s="858"/>
      <c r="L10" s="858"/>
    </row>
    <row r="11" spans="1:14">
      <c r="A11" s="854" t="s">
        <v>2982</v>
      </c>
      <c r="D11" s="857">
        <f t="shared" ref="D11:I11" si="12">D21+D25+D30+D31+D35+D38+D39</f>
        <v>64253</v>
      </c>
      <c r="E11" s="857">
        <f t="shared" si="12"/>
        <v>65768</v>
      </c>
      <c r="F11" s="857">
        <f t="shared" si="12"/>
        <v>65819</v>
      </c>
      <c r="G11" s="857">
        <f t="shared" si="12"/>
        <v>65562</v>
      </c>
      <c r="H11" s="857">
        <f t="shared" si="12"/>
        <v>65609</v>
      </c>
      <c r="I11" s="857">
        <f t="shared" si="12"/>
        <v>64266</v>
      </c>
      <c r="J11" s="857">
        <f t="shared" ref="J11:K11" si="13">J21+J25+J30+J31+J35+J38+J39</f>
        <v>64475</v>
      </c>
      <c r="K11" s="857">
        <f t="shared" si="13"/>
        <v>63282</v>
      </c>
      <c r="L11" s="857">
        <f t="shared" ref="L11" si="14">L21+L25+L30+L31+L35+L38+L39</f>
        <v>61752</v>
      </c>
      <c r="N11" s="854" t="s">
        <v>2295</v>
      </c>
    </row>
    <row r="12" spans="1:14">
      <c r="D12" s="858"/>
      <c r="E12" s="858"/>
      <c r="F12" s="858"/>
      <c r="G12" s="858"/>
      <c r="H12" s="858"/>
      <c r="I12" s="858"/>
      <c r="J12" s="858"/>
      <c r="K12" s="858"/>
      <c r="L12" s="858"/>
    </row>
    <row r="13" spans="1:14">
      <c r="A13" s="854" t="s">
        <v>8697</v>
      </c>
      <c r="D13" s="857">
        <f t="shared" ref="D13:I13" si="15">D7+D9+D11</f>
        <v>206278</v>
      </c>
      <c r="E13" s="857">
        <f t="shared" si="15"/>
        <v>208701</v>
      </c>
      <c r="F13" s="857">
        <f t="shared" si="15"/>
        <v>209830</v>
      </c>
      <c r="G13" s="857">
        <f t="shared" si="15"/>
        <v>208413</v>
      </c>
      <c r="H13" s="857">
        <f t="shared" si="15"/>
        <v>210210</v>
      </c>
      <c r="I13" s="857">
        <f t="shared" si="15"/>
        <v>205177</v>
      </c>
      <c r="J13" s="857">
        <f t="shared" ref="J13:K13" si="16">J7+J9+J11</f>
        <v>208976</v>
      </c>
      <c r="K13" s="857">
        <f t="shared" si="16"/>
        <v>206836</v>
      </c>
      <c r="L13" s="857">
        <f t="shared" ref="L13" si="17">L7+L9+L11</f>
        <v>202130</v>
      </c>
    </row>
    <row r="14" spans="1:14">
      <c r="D14" s="858"/>
      <c r="E14" s="858"/>
      <c r="F14" s="858"/>
      <c r="G14" s="858"/>
      <c r="H14" s="858"/>
      <c r="I14" s="858"/>
      <c r="J14" s="858"/>
      <c r="K14" s="858"/>
      <c r="L14" s="858"/>
    </row>
    <row r="15" spans="1:14">
      <c r="A15" s="854" t="s">
        <v>8698</v>
      </c>
      <c r="D15" s="857">
        <f t="shared" ref="D15:I15" si="18">MAX(D7,D9,D11)-MIN(D7,D9,D11)</f>
        <v>8623</v>
      </c>
      <c r="E15" s="857">
        <f t="shared" si="18"/>
        <v>7337</v>
      </c>
      <c r="F15" s="857">
        <f t="shared" si="18"/>
        <v>7777</v>
      </c>
      <c r="G15" s="857">
        <f t="shared" si="18"/>
        <v>7186</v>
      </c>
      <c r="H15" s="857">
        <f t="shared" si="18"/>
        <v>7957</v>
      </c>
      <c r="I15" s="857">
        <f t="shared" si="18"/>
        <v>8271</v>
      </c>
      <c r="J15" s="857">
        <f t="shared" ref="J15:K15" si="19">MAX(J7,J9,J11)-MIN(J7,J9,J11)</f>
        <v>9228</v>
      </c>
      <c r="K15" s="857">
        <f t="shared" si="19"/>
        <v>9690</v>
      </c>
      <c r="L15" s="857">
        <f t="shared" ref="L15" si="20">MAX(L7,L9,L11)-MIN(L7,L9,L11)</f>
        <v>9847</v>
      </c>
    </row>
    <row r="16" spans="1:14">
      <c r="D16" s="858"/>
      <c r="E16" s="858"/>
      <c r="F16" s="858"/>
      <c r="G16" s="858"/>
      <c r="H16" s="858"/>
      <c r="I16" s="858"/>
      <c r="J16" s="858"/>
      <c r="K16" s="858"/>
      <c r="L16" s="858"/>
    </row>
    <row r="17" spans="1:18">
      <c r="A17" s="860" t="s">
        <v>8701</v>
      </c>
      <c r="D17" s="857">
        <f t="shared" ref="D17:I17" si="21">STDEVP(D7,D9,D11)</f>
        <v>3531.0916473835996</v>
      </c>
      <c r="E17" s="857">
        <f t="shared" si="21"/>
        <v>3000.9979451286977</v>
      </c>
      <c r="F17" s="857">
        <f t="shared" si="21"/>
        <v>3192.4164654519759</v>
      </c>
      <c r="G17" s="857">
        <f t="shared" si="21"/>
        <v>2967.514897463308</v>
      </c>
      <c r="H17" s="857">
        <f t="shared" si="21"/>
        <v>3319.3253330559005</v>
      </c>
      <c r="I17" s="857">
        <f t="shared" si="21"/>
        <v>3376.6464954975013</v>
      </c>
      <c r="J17" s="857">
        <f t="shared" ref="J17:K17" si="22">STDEVP(J7,J9,J11)</f>
        <v>3852.493247524546</v>
      </c>
      <c r="K17" s="857">
        <f t="shared" si="22"/>
        <v>4121.733723676105</v>
      </c>
      <c r="L17" s="857">
        <f t="shared" ref="L17" si="23">STDEVP(L7,L9,L11)</f>
        <v>4140.511750442879</v>
      </c>
    </row>
    <row r="18" spans="1:18">
      <c r="D18" s="858"/>
      <c r="E18" s="858"/>
      <c r="F18" s="858"/>
      <c r="G18" s="858"/>
      <c r="H18" s="858"/>
      <c r="I18" s="858"/>
      <c r="J18" s="858"/>
      <c r="K18" s="858"/>
      <c r="L18" s="858"/>
    </row>
    <row r="19" spans="1:18">
      <c r="A19" s="873">
        <v>1</v>
      </c>
      <c r="B19" s="854" t="s">
        <v>2983</v>
      </c>
      <c r="C19" s="4" t="s">
        <v>703</v>
      </c>
      <c r="D19" s="874">
        <v>8451</v>
      </c>
      <c r="E19" s="874">
        <v>8491</v>
      </c>
      <c r="F19" s="874">
        <v>8716</v>
      </c>
      <c r="G19" s="874">
        <v>8528</v>
      </c>
      <c r="H19" s="48">
        <v>8658</v>
      </c>
      <c r="I19" s="30">
        <v>8392</v>
      </c>
      <c r="J19" s="30">
        <v>8569</v>
      </c>
      <c r="K19" s="30">
        <v>8437</v>
      </c>
      <c r="L19" s="30">
        <v>8141</v>
      </c>
      <c r="N19" s="854" t="s">
        <v>2294</v>
      </c>
      <c r="P19" s="4"/>
      <c r="R19" s="4"/>
    </row>
    <row r="20" spans="1:18">
      <c r="A20" s="873">
        <v>2</v>
      </c>
      <c r="B20" s="854" t="s">
        <v>2984</v>
      </c>
      <c r="C20" s="4" t="s">
        <v>704</v>
      </c>
      <c r="D20" s="874">
        <v>9430</v>
      </c>
      <c r="E20" s="874">
        <v>9493</v>
      </c>
      <c r="F20" s="874">
        <v>9481</v>
      </c>
      <c r="G20" s="874">
        <v>9320</v>
      </c>
      <c r="H20" s="48">
        <v>9370</v>
      </c>
      <c r="I20" s="30">
        <v>9055</v>
      </c>
      <c r="J20" s="30">
        <v>9209</v>
      </c>
      <c r="K20" s="30">
        <v>9272</v>
      </c>
      <c r="L20" s="30">
        <v>9129</v>
      </c>
      <c r="N20" s="854" t="s">
        <v>2296</v>
      </c>
      <c r="P20" s="4"/>
      <c r="R20" s="4"/>
    </row>
    <row r="21" spans="1:18">
      <c r="A21" s="873">
        <v>3</v>
      </c>
      <c r="B21" s="854" t="s">
        <v>2985</v>
      </c>
      <c r="C21" s="4" t="s">
        <v>705</v>
      </c>
      <c r="D21" s="875">
        <v>8988</v>
      </c>
      <c r="E21" s="875">
        <v>9149</v>
      </c>
      <c r="F21" s="875">
        <v>9253</v>
      </c>
      <c r="G21" s="875">
        <v>9112</v>
      </c>
      <c r="H21" s="48">
        <v>9182</v>
      </c>
      <c r="I21" s="31">
        <v>9057</v>
      </c>
      <c r="J21" s="31">
        <v>9059</v>
      </c>
      <c r="K21" s="31">
        <v>8836</v>
      </c>
      <c r="L21" s="31">
        <v>8842</v>
      </c>
      <c r="N21" s="854" t="s">
        <v>2982</v>
      </c>
      <c r="P21" s="4"/>
      <c r="R21" s="4"/>
    </row>
    <row r="22" spans="1:18">
      <c r="A22" s="873">
        <v>4</v>
      </c>
      <c r="B22" s="854" t="s">
        <v>2986</v>
      </c>
      <c r="C22" s="4" t="s">
        <v>706</v>
      </c>
      <c r="D22" s="857">
        <v>8882</v>
      </c>
      <c r="E22" s="857">
        <v>8803</v>
      </c>
      <c r="F22" s="857">
        <v>8820</v>
      </c>
      <c r="G22" s="857">
        <v>8665</v>
      </c>
      <c r="H22" s="48">
        <v>8900</v>
      </c>
      <c r="I22" s="30">
        <v>8479</v>
      </c>
      <c r="J22" s="30">
        <v>8975</v>
      </c>
      <c r="K22" s="30">
        <v>8933</v>
      </c>
      <c r="L22" s="30">
        <v>8612</v>
      </c>
      <c r="N22" s="854" t="s">
        <v>2294</v>
      </c>
      <c r="P22" s="4"/>
      <c r="R22" s="4"/>
    </row>
    <row r="23" spans="1:18">
      <c r="A23" s="873">
        <v>5</v>
      </c>
      <c r="B23" s="854" t="s">
        <v>2987</v>
      </c>
      <c r="C23" s="4" t="s">
        <v>707</v>
      </c>
      <c r="D23" s="857">
        <v>8659</v>
      </c>
      <c r="E23" s="857">
        <v>8844</v>
      </c>
      <c r="F23" s="857">
        <v>8808</v>
      </c>
      <c r="G23" s="857">
        <v>8740</v>
      </c>
      <c r="H23" s="48">
        <v>8871</v>
      </c>
      <c r="I23" s="30">
        <v>8537</v>
      </c>
      <c r="J23" s="30">
        <v>8752</v>
      </c>
      <c r="K23" s="30">
        <v>8755</v>
      </c>
      <c r="L23" s="30">
        <v>8482</v>
      </c>
      <c r="N23" s="854" t="s">
        <v>2294</v>
      </c>
      <c r="P23" s="4"/>
      <c r="R23" s="4"/>
    </row>
    <row r="24" spans="1:18">
      <c r="A24" s="873">
        <v>6</v>
      </c>
      <c r="B24" s="854" t="s">
        <v>2988</v>
      </c>
      <c r="C24" s="4" t="s">
        <v>708</v>
      </c>
      <c r="D24" s="874">
        <v>9069</v>
      </c>
      <c r="E24" s="874">
        <v>9400</v>
      </c>
      <c r="F24" s="874">
        <v>9594</v>
      </c>
      <c r="G24" s="874">
        <v>9856</v>
      </c>
      <c r="H24" s="48">
        <v>10140</v>
      </c>
      <c r="I24" s="30">
        <v>9750</v>
      </c>
      <c r="J24" s="30">
        <v>9989</v>
      </c>
      <c r="K24" s="30">
        <v>10083</v>
      </c>
      <c r="L24" s="30">
        <v>10031</v>
      </c>
      <c r="N24" s="854" t="s">
        <v>2294</v>
      </c>
      <c r="P24" s="4"/>
      <c r="R24" s="4"/>
    </row>
    <row r="25" spans="1:18">
      <c r="A25" s="873">
        <v>7</v>
      </c>
      <c r="B25" s="854" t="s">
        <v>2989</v>
      </c>
      <c r="C25" s="4" t="s">
        <v>709</v>
      </c>
      <c r="D25" s="874">
        <v>8767</v>
      </c>
      <c r="E25" s="874">
        <v>8869</v>
      </c>
      <c r="F25" s="874">
        <v>8933</v>
      </c>
      <c r="G25" s="874">
        <v>9036</v>
      </c>
      <c r="H25" s="48">
        <v>9185</v>
      </c>
      <c r="I25" s="31">
        <v>9047</v>
      </c>
      <c r="J25" s="31">
        <v>9276</v>
      </c>
      <c r="K25" s="31">
        <v>9112</v>
      </c>
      <c r="L25" s="31">
        <v>8926</v>
      </c>
      <c r="N25" s="854" t="s">
        <v>2982</v>
      </c>
      <c r="P25" s="4"/>
      <c r="R25" s="4"/>
    </row>
    <row r="26" spans="1:18">
      <c r="A26" s="873">
        <v>8</v>
      </c>
      <c r="B26" s="854" t="s">
        <v>1328</v>
      </c>
      <c r="C26" s="4" t="s">
        <v>710</v>
      </c>
      <c r="D26" s="857">
        <v>10340</v>
      </c>
      <c r="E26" s="857">
        <v>10314</v>
      </c>
      <c r="F26" s="857">
        <v>10354</v>
      </c>
      <c r="G26" s="857">
        <v>10103</v>
      </c>
      <c r="H26" s="48">
        <v>10254</v>
      </c>
      <c r="I26" s="30">
        <v>10210</v>
      </c>
      <c r="J26" s="30">
        <v>10465</v>
      </c>
      <c r="K26" s="30">
        <v>10336</v>
      </c>
      <c r="L26" s="30">
        <v>10201</v>
      </c>
      <c r="N26" s="854" t="s">
        <v>2296</v>
      </c>
      <c r="P26" s="4"/>
      <c r="R26" s="4"/>
    </row>
    <row r="27" spans="1:18">
      <c r="A27" s="873">
        <v>9</v>
      </c>
      <c r="B27" s="854" t="s">
        <v>1329</v>
      </c>
      <c r="C27" s="4" t="s">
        <v>711</v>
      </c>
      <c r="D27" s="874">
        <v>8371</v>
      </c>
      <c r="E27" s="874">
        <v>8406</v>
      </c>
      <c r="F27" s="874">
        <v>8473</v>
      </c>
      <c r="G27" s="874">
        <v>8305</v>
      </c>
      <c r="H27" s="48">
        <v>8390</v>
      </c>
      <c r="I27" s="30">
        <v>8333</v>
      </c>
      <c r="J27" s="30">
        <v>8405</v>
      </c>
      <c r="K27" s="30">
        <v>8268</v>
      </c>
      <c r="L27" s="30">
        <v>8107</v>
      </c>
      <c r="N27" s="854" t="s">
        <v>2296</v>
      </c>
      <c r="P27" s="4"/>
      <c r="R27" s="4"/>
    </row>
    <row r="28" spans="1:18">
      <c r="A28" s="873">
        <v>10</v>
      </c>
      <c r="B28" s="854" t="s">
        <v>1330</v>
      </c>
      <c r="C28" s="4" t="s">
        <v>712</v>
      </c>
      <c r="D28" s="857">
        <v>8631</v>
      </c>
      <c r="E28" s="857">
        <v>8604</v>
      </c>
      <c r="F28" s="857">
        <v>8744</v>
      </c>
      <c r="G28" s="857">
        <v>8511</v>
      </c>
      <c r="H28" s="48">
        <v>8573</v>
      </c>
      <c r="I28" s="30">
        <v>8344</v>
      </c>
      <c r="J28" s="30">
        <v>8625</v>
      </c>
      <c r="K28" s="30">
        <v>8551</v>
      </c>
      <c r="L28" s="30">
        <v>8265</v>
      </c>
      <c r="N28" s="854" t="s">
        <v>2294</v>
      </c>
      <c r="P28" s="4"/>
      <c r="R28" s="4"/>
    </row>
    <row r="29" spans="1:18">
      <c r="A29" s="873">
        <v>11</v>
      </c>
      <c r="B29" s="854" t="s">
        <v>1331</v>
      </c>
      <c r="C29" s="4" t="s">
        <v>713</v>
      </c>
      <c r="D29" s="874">
        <v>8487</v>
      </c>
      <c r="E29" s="874">
        <v>8603</v>
      </c>
      <c r="F29" s="874">
        <v>8662</v>
      </c>
      <c r="G29" s="874">
        <v>8727</v>
      </c>
      <c r="H29" s="48">
        <v>8846</v>
      </c>
      <c r="I29" s="30">
        <v>8665</v>
      </c>
      <c r="J29" s="30">
        <v>8858</v>
      </c>
      <c r="K29" s="30">
        <v>8747</v>
      </c>
      <c r="L29" s="30">
        <v>8567</v>
      </c>
      <c r="N29" s="854" t="s">
        <v>2296</v>
      </c>
      <c r="P29" s="4"/>
      <c r="R29" s="4"/>
    </row>
    <row r="30" spans="1:18">
      <c r="A30" s="873">
        <v>12</v>
      </c>
      <c r="B30" s="854" t="s">
        <v>1332</v>
      </c>
      <c r="C30" s="4" t="s">
        <v>714</v>
      </c>
      <c r="D30" s="874">
        <v>9592</v>
      </c>
      <c r="E30" s="874">
        <v>9773</v>
      </c>
      <c r="F30" s="874">
        <v>9867</v>
      </c>
      <c r="G30" s="874">
        <v>9810</v>
      </c>
      <c r="H30" s="48">
        <v>9749</v>
      </c>
      <c r="I30" s="31">
        <v>9611</v>
      </c>
      <c r="J30" s="31">
        <v>9625</v>
      </c>
      <c r="K30" s="31">
        <v>9448</v>
      </c>
      <c r="L30" s="31">
        <v>9156</v>
      </c>
      <c r="N30" s="854" t="s">
        <v>2982</v>
      </c>
      <c r="P30" s="4"/>
      <c r="R30" s="4"/>
    </row>
    <row r="31" spans="1:18">
      <c r="A31" s="873">
        <v>13</v>
      </c>
      <c r="B31" s="854" t="s">
        <v>1136</v>
      </c>
      <c r="C31" s="4" t="s">
        <v>715</v>
      </c>
      <c r="D31" s="874">
        <v>8744</v>
      </c>
      <c r="E31" s="874">
        <v>8730</v>
      </c>
      <c r="F31" s="874">
        <v>8661</v>
      </c>
      <c r="G31" s="874">
        <v>8590</v>
      </c>
      <c r="H31" s="48">
        <v>8544</v>
      </c>
      <c r="I31" s="30">
        <v>8284</v>
      </c>
      <c r="J31" s="30">
        <v>8575</v>
      </c>
      <c r="K31" s="31">
        <v>8354</v>
      </c>
      <c r="L31" s="31">
        <v>8157</v>
      </c>
      <c r="N31" s="854" t="s">
        <v>2982</v>
      </c>
      <c r="P31" s="4"/>
      <c r="R31" s="4"/>
    </row>
    <row r="32" spans="1:18">
      <c r="A32" s="873">
        <v>14</v>
      </c>
      <c r="B32" s="854" t="s">
        <v>1333</v>
      </c>
      <c r="C32" s="4" t="s">
        <v>716</v>
      </c>
      <c r="D32" s="874">
        <v>8966</v>
      </c>
      <c r="E32" s="874">
        <v>8978</v>
      </c>
      <c r="F32" s="874">
        <v>9062</v>
      </c>
      <c r="G32" s="874">
        <v>8887</v>
      </c>
      <c r="H32" s="48">
        <v>8976</v>
      </c>
      <c r="I32" s="31">
        <v>8841</v>
      </c>
      <c r="J32" s="31">
        <v>8849</v>
      </c>
      <c r="K32" s="30">
        <v>8796</v>
      </c>
      <c r="L32" s="30">
        <v>8657</v>
      </c>
      <c r="N32" s="854" t="s">
        <v>2296</v>
      </c>
      <c r="P32" s="4"/>
      <c r="R32" s="4"/>
    </row>
    <row r="33" spans="1:18">
      <c r="A33" s="873">
        <v>15</v>
      </c>
      <c r="B33" s="854" t="s">
        <v>1334</v>
      </c>
      <c r="C33" s="4" t="s">
        <v>717</v>
      </c>
      <c r="D33" s="874">
        <v>9142</v>
      </c>
      <c r="E33" s="874">
        <v>9199</v>
      </c>
      <c r="F33" s="874">
        <v>9252</v>
      </c>
      <c r="G33" s="874">
        <v>9240</v>
      </c>
      <c r="H33" s="48">
        <v>9268</v>
      </c>
      <c r="I33" s="30">
        <v>9159</v>
      </c>
      <c r="J33" s="30">
        <v>9381</v>
      </c>
      <c r="K33" s="30">
        <v>9265</v>
      </c>
      <c r="L33" s="30">
        <v>9062</v>
      </c>
      <c r="N33" s="854" t="s">
        <v>2296</v>
      </c>
      <c r="P33" s="4"/>
      <c r="R33" s="4"/>
    </row>
    <row r="34" spans="1:18">
      <c r="A34" s="873">
        <v>16</v>
      </c>
      <c r="B34" s="854" t="s">
        <v>1335</v>
      </c>
      <c r="C34" s="4" t="s">
        <v>718</v>
      </c>
      <c r="D34" s="874">
        <v>9086</v>
      </c>
      <c r="E34" s="874">
        <v>9126</v>
      </c>
      <c r="F34" s="874">
        <v>9356</v>
      </c>
      <c r="G34" s="874">
        <v>9323</v>
      </c>
      <c r="H34" s="48">
        <v>9439</v>
      </c>
      <c r="I34" s="30">
        <v>9350</v>
      </c>
      <c r="J34" s="30">
        <v>9598</v>
      </c>
      <c r="K34" s="30">
        <v>9401</v>
      </c>
      <c r="L34" s="30">
        <v>9204</v>
      </c>
      <c r="N34" s="854" t="s">
        <v>2296</v>
      </c>
      <c r="P34" s="4"/>
      <c r="R34" s="4"/>
    </row>
    <row r="35" spans="1:18">
      <c r="A35" s="873">
        <v>17</v>
      </c>
      <c r="B35" s="854" t="s">
        <v>1336</v>
      </c>
      <c r="C35" s="4" t="s">
        <v>719</v>
      </c>
      <c r="D35" s="874">
        <v>8934</v>
      </c>
      <c r="E35" s="874">
        <v>9153</v>
      </c>
      <c r="F35" s="874">
        <v>9195</v>
      </c>
      <c r="G35" s="874">
        <v>9158</v>
      </c>
      <c r="H35" s="48">
        <v>9205</v>
      </c>
      <c r="I35" s="31">
        <v>9029</v>
      </c>
      <c r="J35" s="31">
        <v>8974</v>
      </c>
      <c r="K35" s="31">
        <v>9015</v>
      </c>
      <c r="L35" s="31">
        <v>8793</v>
      </c>
      <c r="N35" s="854" t="s">
        <v>2982</v>
      </c>
      <c r="P35" s="4"/>
      <c r="R35" s="4"/>
    </row>
    <row r="36" spans="1:18">
      <c r="A36" s="873">
        <v>18</v>
      </c>
      <c r="B36" s="854" t="s">
        <v>1337</v>
      </c>
      <c r="C36" s="4" t="s">
        <v>720</v>
      </c>
      <c r="D36" s="874">
        <v>9054</v>
      </c>
      <c r="E36" s="874">
        <v>8986</v>
      </c>
      <c r="F36" s="874">
        <v>8956</v>
      </c>
      <c r="G36" s="874">
        <v>8843</v>
      </c>
      <c r="H36" s="48">
        <v>9023</v>
      </c>
      <c r="I36" s="31">
        <v>8924</v>
      </c>
      <c r="J36" s="31">
        <v>8938</v>
      </c>
      <c r="K36" s="31">
        <v>8887</v>
      </c>
      <c r="L36" s="31">
        <v>8672</v>
      </c>
      <c r="N36" s="854" t="s">
        <v>2296</v>
      </c>
      <c r="P36" s="4"/>
      <c r="R36" s="4"/>
    </row>
    <row r="37" spans="1:18">
      <c r="A37" s="873">
        <v>19</v>
      </c>
      <c r="B37" s="854" t="s">
        <v>1338</v>
      </c>
      <c r="C37" s="4" t="s">
        <v>721</v>
      </c>
      <c r="D37" s="874">
        <v>8219</v>
      </c>
      <c r="E37" s="874">
        <v>8304</v>
      </c>
      <c r="F37" s="874">
        <v>8274</v>
      </c>
      <c r="G37" s="874">
        <v>8433</v>
      </c>
      <c r="H37" s="48">
        <v>8487</v>
      </c>
      <c r="I37" s="30">
        <v>8222</v>
      </c>
      <c r="J37" s="30">
        <v>8399</v>
      </c>
      <c r="K37" s="30">
        <v>8400</v>
      </c>
      <c r="L37" s="30">
        <v>8375</v>
      </c>
      <c r="N37" s="854" t="s">
        <v>2294</v>
      </c>
      <c r="P37" s="4"/>
      <c r="R37" s="4"/>
    </row>
    <row r="38" spans="1:18">
      <c r="A38" s="873">
        <v>20</v>
      </c>
      <c r="B38" s="854" t="s">
        <v>1339</v>
      </c>
      <c r="C38" s="4" t="s">
        <v>722</v>
      </c>
      <c r="D38" s="874">
        <v>9570</v>
      </c>
      <c r="E38" s="874">
        <v>10029</v>
      </c>
      <c r="F38" s="874">
        <v>9909</v>
      </c>
      <c r="G38" s="874">
        <v>9837</v>
      </c>
      <c r="H38" s="48">
        <v>9697</v>
      </c>
      <c r="I38" s="31">
        <v>9409</v>
      </c>
      <c r="J38" s="31">
        <v>9353</v>
      </c>
      <c r="K38" s="31">
        <v>9104</v>
      </c>
      <c r="L38" s="31">
        <v>8871</v>
      </c>
      <c r="N38" s="854" t="s">
        <v>2982</v>
      </c>
      <c r="P38" s="4"/>
      <c r="R38" s="4"/>
    </row>
    <row r="39" spans="1:18">
      <c r="A39" s="873">
        <v>21</v>
      </c>
      <c r="B39" s="854" t="s">
        <v>1340</v>
      </c>
      <c r="C39" s="4" t="s">
        <v>723</v>
      </c>
      <c r="D39" s="874">
        <v>9658</v>
      </c>
      <c r="E39" s="874">
        <v>10065</v>
      </c>
      <c r="F39" s="874">
        <v>10001</v>
      </c>
      <c r="G39" s="874">
        <v>10019</v>
      </c>
      <c r="H39" s="48">
        <v>10047</v>
      </c>
      <c r="I39" s="31">
        <v>9829</v>
      </c>
      <c r="J39" s="31">
        <v>9613</v>
      </c>
      <c r="K39" s="31">
        <v>9413</v>
      </c>
      <c r="L39" s="31">
        <v>9007</v>
      </c>
      <c r="N39" s="854" t="s">
        <v>2982</v>
      </c>
      <c r="P39" s="4"/>
      <c r="R39" s="4"/>
    </row>
    <row r="40" spans="1:18">
      <c r="A40" s="873">
        <v>22</v>
      </c>
      <c r="B40" s="854" t="s">
        <v>6528</v>
      </c>
      <c r="C40" s="4" t="s">
        <v>724</v>
      </c>
      <c r="D40" s="874">
        <v>8727</v>
      </c>
      <c r="E40" s="874">
        <v>8800</v>
      </c>
      <c r="F40" s="874">
        <v>8775</v>
      </c>
      <c r="G40" s="874">
        <v>8708</v>
      </c>
      <c r="H40" s="48">
        <v>8811</v>
      </c>
      <c r="I40" s="30">
        <v>8383</v>
      </c>
      <c r="J40" s="30">
        <v>8987</v>
      </c>
      <c r="K40" s="30">
        <v>9010</v>
      </c>
      <c r="L40" s="30">
        <v>8754</v>
      </c>
      <c r="N40" s="854" t="s">
        <v>2294</v>
      </c>
      <c r="P40" s="4"/>
      <c r="R40" s="4"/>
    </row>
    <row r="41" spans="1:18">
      <c r="A41" s="873">
        <v>23</v>
      </c>
      <c r="B41" s="854" t="s">
        <v>2670</v>
      </c>
      <c r="C41" s="4" t="s">
        <v>725</v>
      </c>
      <c r="D41" s="874">
        <v>8511</v>
      </c>
      <c r="E41" s="874">
        <v>8582</v>
      </c>
      <c r="F41" s="874">
        <v>8684</v>
      </c>
      <c r="G41" s="874">
        <v>8662</v>
      </c>
      <c r="H41" s="48">
        <v>8595</v>
      </c>
      <c r="I41" s="30">
        <v>8267</v>
      </c>
      <c r="J41" s="30">
        <v>8502</v>
      </c>
      <c r="K41" s="30">
        <v>8413</v>
      </c>
      <c r="L41" s="30">
        <v>8119</v>
      </c>
      <c r="N41" s="854" t="s">
        <v>2294</v>
      </c>
      <c r="P41" s="4"/>
      <c r="R41" s="4"/>
    </row>
    <row r="42" spans="1:18">
      <c r="A42" s="873"/>
      <c r="B42" s="854"/>
      <c r="C42" s="854"/>
      <c r="D42" s="857"/>
      <c r="E42" s="857"/>
      <c r="F42" s="857"/>
      <c r="G42" s="857"/>
      <c r="H42" s="857"/>
      <c r="I42" s="857"/>
      <c r="J42" s="857"/>
      <c r="K42" s="857"/>
      <c r="L42" s="857"/>
      <c r="N42" s="854"/>
    </row>
    <row r="43" spans="1:18">
      <c r="A43" s="855" t="s">
        <v>1245</v>
      </c>
    </row>
    <row r="44" spans="1:18" ht="16.5" customHeight="1"/>
    <row r="45" spans="1:18">
      <c r="A45" s="862"/>
    </row>
    <row r="48" spans="1:18">
      <c r="A48" s="854"/>
      <c r="D48" s="856"/>
      <c r="E48" s="856"/>
      <c r="F48" s="856"/>
      <c r="G48" s="856"/>
      <c r="H48" s="856"/>
      <c r="I48" s="856"/>
      <c r="J48" s="856"/>
      <c r="K48" s="856"/>
      <c r="L48" s="856"/>
    </row>
    <row r="50" spans="1:14">
      <c r="A50" s="854"/>
      <c r="B50" s="854"/>
      <c r="C50" s="854"/>
      <c r="D50" s="856"/>
      <c r="E50" s="856"/>
      <c r="F50" s="856"/>
      <c r="G50" s="856"/>
      <c r="H50" s="856"/>
      <c r="I50" s="856"/>
      <c r="J50" s="856"/>
      <c r="K50" s="856"/>
      <c r="L50" s="856"/>
      <c r="N50" s="854"/>
    </row>
    <row r="51" spans="1:14">
      <c r="A51" s="854"/>
      <c r="B51" s="854"/>
      <c r="C51" s="854"/>
      <c r="D51" s="856"/>
      <c r="E51" s="856"/>
      <c r="F51" s="856"/>
      <c r="G51" s="856"/>
      <c r="H51" s="856"/>
      <c r="I51" s="856"/>
      <c r="J51" s="856"/>
      <c r="K51" s="856"/>
      <c r="L51" s="856"/>
      <c r="N51" s="854"/>
    </row>
    <row r="52" spans="1:14">
      <c r="A52" s="854"/>
      <c r="B52" s="854"/>
      <c r="C52" s="854"/>
      <c r="D52" s="856"/>
      <c r="E52" s="856"/>
      <c r="F52" s="856"/>
      <c r="G52" s="856"/>
      <c r="H52" s="856"/>
      <c r="I52" s="856"/>
      <c r="J52" s="856"/>
      <c r="K52" s="856"/>
      <c r="L52" s="856"/>
      <c r="N52" s="854"/>
    </row>
    <row r="53" spans="1:14">
      <c r="A53" s="854"/>
      <c r="B53" s="854"/>
      <c r="C53" s="854"/>
      <c r="D53" s="856"/>
      <c r="E53" s="856"/>
      <c r="F53" s="856"/>
      <c r="G53" s="856"/>
      <c r="H53" s="856"/>
      <c r="I53" s="856"/>
      <c r="J53" s="856"/>
      <c r="K53" s="856"/>
      <c r="L53" s="856"/>
      <c r="N53" s="854"/>
    </row>
    <row r="54" spans="1:14">
      <c r="A54" s="854"/>
      <c r="B54" s="854"/>
      <c r="C54" s="854"/>
      <c r="D54" s="856"/>
      <c r="E54" s="856"/>
      <c r="F54" s="856"/>
      <c r="G54" s="856"/>
      <c r="H54" s="856"/>
      <c r="I54" s="856"/>
      <c r="J54" s="856"/>
      <c r="K54" s="856"/>
      <c r="L54" s="856"/>
      <c r="N54" s="854"/>
    </row>
    <row r="55" spans="1:14">
      <c r="A55" s="854"/>
      <c r="B55" s="854"/>
      <c r="C55" s="854"/>
      <c r="D55" s="856"/>
      <c r="E55" s="856"/>
      <c r="F55" s="856"/>
      <c r="G55" s="856"/>
      <c r="H55" s="856"/>
      <c r="I55" s="856"/>
      <c r="J55" s="856"/>
      <c r="K55" s="856"/>
      <c r="L55" s="856"/>
      <c r="N55" s="854"/>
    </row>
    <row r="56" spans="1:14">
      <c r="A56" s="854"/>
      <c r="B56" s="854"/>
      <c r="C56" s="854"/>
      <c r="D56" s="856"/>
      <c r="E56" s="856"/>
      <c r="F56" s="856"/>
      <c r="G56" s="856"/>
      <c r="H56" s="856"/>
      <c r="I56" s="856"/>
      <c r="J56" s="856"/>
      <c r="K56" s="856"/>
      <c r="L56" s="856"/>
      <c r="N56" s="854"/>
    </row>
    <row r="57" spans="1:14">
      <c r="A57" s="854"/>
      <c r="B57" s="854"/>
      <c r="C57" s="854"/>
      <c r="D57" s="856"/>
      <c r="E57" s="856"/>
      <c r="F57" s="856"/>
      <c r="G57" s="856"/>
      <c r="H57" s="856"/>
      <c r="I57" s="856"/>
      <c r="J57" s="856"/>
      <c r="K57" s="856"/>
      <c r="L57" s="856"/>
      <c r="N57" s="854"/>
    </row>
    <row r="58" spans="1:14">
      <c r="A58" s="854"/>
      <c r="B58" s="854"/>
      <c r="C58" s="854"/>
      <c r="D58" s="856"/>
      <c r="E58" s="856"/>
      <c r="F58" s="856"/>
      <c r="G58" s="856"/>
      <c r="H58" s="856"/>
      <c r="I58" s="856"/>
      <c r="J58" s="856"/>
      <c r="K58" s="856"/>
      <c r="L58" s="856"/>
      <c r="N58" s="854"/>
    </row>
    <row r="59" spans="1:14">
      <c r="A59" s="854"/>
      <c r="B59" s="854"/>
      <c r="C59" s="854"/>
      <c r="D59" s="856"/>
      <c r="E59" s="856"/>
      <c r="F59" s="856"/>
      <c r="G59" s="856"/>
      <c r="H59" s="856"/>
      <c r="I59" s="856"/>
      <c r="J59" s="856"/>
      <c r="K59" s="856"/>
      <c r="L59" s="856"/>
      <c r="N59" s="854"/>
    </row>
    <row r="60" spans="1:14">
      <c r="A60" s="854"/>
      <c r="B60" s="854"/>
      <c r="C60" s="854"/>
      <c r="D60" s="856"/>
      <c r="E60" s="856"/>
      <c r="F60" s="856"/>
      <c r="G60" s="856"/>
      <c r="H60" s="856"/>
      <c r="I60" s="856"/>
      <c r="J60" s="856"/>
      <c r="K60" s="856"/>
      <c r="L60" s="856"/>
      <c r="N60" s="854"/>
    </row>
    <row r="61" spans="1:14">
      <c r="A61" s="854"/>
      <c r="B61" s="854"/>
      <c r="C61" s="854"/>
      <c r="D61" s="856"/>
      <c r="E61" s="856"/>
      <c r="F61" s="856"/>
      <c r="G61" s="856"/>
      <c r="H61" s="856"/>
      <c r="I61" s="856"/>
      <c r="J61" s="856"/>
      <c r="K61" s="856"/>
      <c r="L61" s="856"/>
      <c r="N61" s="854"/>
    </row>
    <row r="62" spans="1:14">
      <c r="A62" s="854"/>
      <c r="B62" s="854"/>
      <c r="C62" s="854"/>
      <c r="D62" s="856"/>
      <c r="E62" s="856"/>
      <c r="F62" s="856"/>
      <c r="G62" s="856"/>
      <c r="H62" s="856"/>
      <c r="I62" s="856"/>
      <c r="J62" s="856"/>
      <c r="K62" s="856"/>
      <c r="L62" s="856"/>
      <c r="N62" s="854"/>
    </row>
    <row r="63" spans="1:14">
      <c r="A63" s="854"/>
      <c r="B63" s="854"/>
      <c r="C63" s="854"/>
      <c r="D63" s="856"/>
      <c r="E63" s="856"/>
      <c r="F63" s="856"/>
      <c r="G63" s="856"/>
      <c r="H63" s="856"/>
      <c r="I63" s="856"/>
      <c r="J63" s="856"/>
      <c r="K63" s="856"/>
      <c r="L63" s="856"/>
      <c r="N63" s="854"/>
    </row>
    <row r="64" spans="1:14">
      <c r="A64" s="854"/>
      <c r="B64" s="854"/>
      <c r="C64" s="854"/>
      <c r="D64" s="856"/>
      <c r="E64" s="856"/>
      <c r="F64" s="856"/>
      <c r="G64" s="856"/>
      <c r="H64" s="856"/>
      <c r="I64" s="856"/>
      <c r="J64" s="856"/>
      <c r="K64" s="856"/>
      <c r="L64" s="856"/>
      <c r="N64" s="854"/>
    </row>
    <row r="65" spans="1:14">
      <c r="A65" s="854"/>
      <c r="B65" s="854"/>
      <c r="C65" s="854"/>
      <c r="D65" s="856"/>
      <c r="E65" s="856"/>
      <c r="F65" s="856"/>
      <c r="G65" s="856"/>
      <c r="H65" s="856"/>
      <c r="I65" s="856"/>
      <c r="J65" s="856"/>
      <c r="K65" s="856"/>
      <c r="L65" s="856"/>
      <c r="N65" s="854"/>
    </row>
    <row r="66" spans="1:14">
      <c r="A66" s="854"/>
      <c r="B66" s="854"/>
      <c r="C66" s="854"/>
      <c r="D66" s="856"/>
      <c r="E66" s="856"/>
      <c r="F66" s="856"/>
      <c r="G66" s="856"/>
      <c r="H66" s="856"/>
      <c r="I66" s="856"/>
      <c r="J66" s="856"/>
      <c r="K66" s="856"/>
      <c r="L66" s="856"/>
      <c r="N66" s="854"/>
    </row>
    <row r="67" spans="1:14">
      <c r="A67" s="854"/>
      <c r="B67" s="854"/>
      <c r="C67" s="854"/>
      <c r="D67" s="856"/>
      <c r="E67" s="856"/>
      <c r="F67" s="856"/>
      <c r="G67" s="856"/>
      <c r="H67" s="856"/>
      <c r="I67" s="856"/>
      <c r="J67" s="856"/>
      <c r="K67" s="856"/>
      <c r="L67" s="856"/>
      <c r="N67" s="854"/>
    </row>
    <row r="68" spans="1:14">
      <c r="A68" s="854"/>
      <c r="B68" s="854"/>
      <c r="C68" s="854"/>
      <c r="D68" s="856"/>
      <c r="E68" s="856"/>
      <c r="F68" s="856"/>
      <c r="G68" s="856"/>
      <c r="H68" s="856"/>
      <c r="I68" s="856"/>
      <c r="J68" s="856"/>
      <c r="K68" s="856"/>
      <c r="L68" s="856"/>
      <c r="N68" s="854"/>
    </row>
    <row r="69" spans="1:14">
      <c r="A69" s="854"/>
      <c r="B69" s="854"/>
      <c r="C69" s="854"/>
      <c r="D69" s="856"/>
      <c r="E69" s="856"/>
      <c r="F69" s="856"/>
      <c r="G69" s="856"/>
      <c r="H69" s="856"/>
      <c r="I69" s="856"/>
      <c r="J69" s="856"/>
      <c r="K69" s="856"/>
      <c r="L69" s="856"/>
      <c r="N69" s="854"/>
    </row>
    <row r="70" spans="1:14">
      <c r="A70" s="854"/>
      <c r="B70" s="854"/>
      <c r="C70" s="854"/>
      <c r="D70" s="856"/>
      <c r="E70" s="856"/>
      <c r="F70" s="856"/>
      <c r="G70" s="856"/>
      <c r="H70" s="856"/>
      <c r="I70" s="856"/>
      <c r="J70" s="856"/>
      <c r="K70" s="856"/>
      <c r="L70" s="856"/>
      <c r="N70" s="854"/>
    </row>
    <row r="71" spans="1:14">
      <c r="D71" s="856"/>
      <c r="E71" s="856"/>
      <c r="F71" s="856"/>
      <c r="G71" s="856"/>
      <c r="H71" s="856"/>
      <c r="I71" s="856"/>
      <c r="J71" s="856"/>
      <c r="K71" s="856"/>
      <c r="L71" s="856"/>
      <c r="N71" s="854"/>
    </row>
    <row r="72" spans="1:14">
      <c r="D72" s="876"/>
      <c r="E72" s="876"/>
      <c r="F72" s="876"/>
      <c r="G72" s="876"/>
      <c r="H72" s="876"/>
      <c r="I72" s="876"/>
      <c r="J72" s="876"/>
      <c r="K72" s="876"/>
      <c r="L72" s="876"/>
    </row>
    <row r="73" spans="1:14">
      <c r="D73" s="856"/>
      <c r="E73" s="856"/>
      <c r="F73" s="856"/>
      <c r="G73" s="856"/>
      <c r="H73" s="856"/>
      <c r="I73" s="856"/>
      <c r="J73" s="856"/>
      <c r="K73" s="856"/>
      <c r="L73" s="856"/>
    </row>
    <row r="74" spans="1:14">
      <c r="D74" s="876"/>
      <c r="E74" s="876"/>
      <c r="F74" s="876"/>
      <c r="G74" s="876"/>
      <c r="H74" s="876"/>
      <c r="I74" s="876"/>
      <c r="J74" s="876"/>
      <c r="K74" s="876"/>
      <c r="L74" s="876"/>
    </row>
    <row r="75" spans="1:14">
      <c r="A75" s="854"/>
      <c r="B75" s="854"/>
      <c r="C75" s="854"/>
      <c r="D75" s="856"/>
      <c r="E75" s="856"/>
      <c r="F75" s="856"/>
      <c r="G75" s="856"/>
      <c r="H75" s="856"/>
      <c r="I75" s="856"/>
      <c r="J75" s="856"/>
      <c r="K75" s="856"/>
      <c r="L75" s="856"/>
      <c r="N75" s="854"/>
    </row>
    <row r="76" spans="1:14">
      <c r="A76" s="854"/>
      <c r="B76" s="854"/>
      <c r="C76" s="854"/>
      <c r="D76" s="856"/>
      <c r="E76" s="856"/>
      <c r="F76" s="856"/>
      <c r="G76" s="856"/>
      <c r="H76" s="856"/>
      <c r="I76" s="856"/>
      <c r="J76" s="856"/>
      <c r="K76" s="856"/>
      <c r="L76" s="856"/>
      <c r="N76" s="854"/>
    </row>
    <row r="79" spans="1:14">
      <c r="A79" s="854"/>
      <c r="D79" s="856"/>
      <c r="E79" s="856"/>
      <c r="F79" s="856"/>
      <c r="G79" s="856"/>
      <c r="H79" s="856"/>
      <c r="I79" s="856"/>
      <c r="J79" s="856"/>
      <c r="K79" s="856"/>
      <c r="L79" s="856"/>
    </row>
    <row r="80" spans="1:14">
      <c r="A80" s="854"/>
      <c r="D80" s="856"/>
      <c r="E80" s="856"/>
      <c r="F80" s="856"/>
      <c r="G80" s="856"/>
      <c r="H80" s="856"/>
      <c r="I80" s="856"/>
      <c r="J80" s="856"/>
      <c r="K80" s="856"/>
      <c r="L80" s="856"/>
    </row>
    <row r="81" spans="1:12">
      <c r="A81" s="854"/>
      <c r="D81" s="856"/>
      <c r="E81" s="856"/>
      <c r="F81" s="856"/>
      <c r="G81" s="856"/>
      <c r="H81" s="856"/>
      <c r="I81" s="856"/>
      <c r="J81" s="856"/>
      <c r="K81" s="856"/>
      <c r="L81" s="856"/>
    </row>
    <row r="83" spans="1:12">
      <c r="A83" s="854"/>
    </row>
  </sheetData>
  <sortState ref="O19:Q41">
    <sortCondition ref="O1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9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7 E5:E17 F5:F17 G5:G17 H3:H4 H5:H17 I3:I17 J3:J17 K3:K17 L3:L17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43"/>
  <sheetViews>
    <sheetView showGridLines="0" zoomScaleNormal="100" workbookViewId="0"/>
  </sheetViews>
  <sheetFormatPr defaultColWidth="12.5703125" defaultRowHeight="15"/>
  <cols>
    <col min="1" max="1" width="4.85546875" style="517" customWidth="1"/>
    <col min="2" max="2" width="52.5703125" style="517" customWidth="1"/>
    <col min="3" max="3" width="11.5703125" style="517" customWidth="1"/>
    <col min="4" max="12" width="10" style="517" customWidth="1"/>
    <col min="13" max="13" width="2.28515625" style="517" customWidth="1"/>
    <col min="14" max="14" width="30.7109375" style="517" customWidth="1"/>
    <col min="15" max="16384" width="12.5703125" style="517"/>
  </cols>
  <sheetData>
    <row r="1" spans="1:14">
      <c r="A1" s="516" t="s">
        <v>8847</v>
      </c>
      <c r="D1" s="518">
        <v>2010</v>
      </c>
      <c r="E1" s="518">
        <v>2011</v>
      </c>
      <c r="F1" s="518">
        <v>2012</v>
      </c>
      <c r="G1" s="518">
        <v>2013</v>
      </c>
      <c r="H1" s="518">
        <v>2014</v>
      </c>
      <c r="I1" s="518">
        <v>2015</v>
      </c>
      <c r="J1" s="518">
        <v>2016</v>
      </c>
      <c r="K1" s="518">
        <v>2017</v>
      </c>
      <c r="L1" s="518">
        <v>2018</v>
      </c>
    </row>
    <row r="3" spans="1:14">
      <c r="A3" s="516" t="s">
        <v>1981</v>
      </c>
      <c r="C3" s="516"/>
      <c r="D3" s="519">
        <f t="shared" ref="D3:I3" si="0">SUM(D7:D11)</f>
        <v>393232</v>
      </c>
      <c r="E3" s="519">
        <f t="shared" si="0"/>
        <v>394183</v>
      </c>
      <c r="F3" s="519">
        <f t="shared" si="0"/>
        <v>396118</v>
      </c>
      <c r="G3" s="519">
        <f t="shared" si="0"/>
        <v>400711</v>
      </c>
      <c r="H3" s="519">
        <f t="shared" si="0"/>
        <v>390897</v>
      </c>
      <c r="I3" s="519">
        <f t="shared" si="0"/>
        <v>388685</v>
      </c>
      <c r="J3" s="519">
        <f t="shared" ref="J3:K3" si="1">SUM(J7:J11)</f>
        <v>383226</v>
      </c>
      <c r="K3" s="519">
        <f t="shared" si="1"/>
        <v>395859</v>
      </c>
      <c r="L3" s="519">
        <f t="shared" ref="L3" si="2">SUM(L7:L11)</f>
        <v>400248</v>
      </c>
    </row>
    <row r="4" spans="1:14" ht="15.75" thickBot="1">
      <c r="A4" s="516" t="s">
        <v>1982</v>
      </c>
      <c r="C4" s="516"/>
      <c r="D4" s="520">
        <f t="shared" ref="D4:I4" si="3">D54</f>
        <v>191969</v>
      </c>
      <c r="E4" s="520">
        <f t="shared" si="3"/>
        <v>195038</v>
      </c>
      <c r="F4" s="520">
        <f t="shared" si="3"/>
        <v>195786</v>
      </c>
      <c r="G4" s="520">
        <f t="shared" si="3"/>
        <v>200206</v>
      </c>
      <c r="H4" s="520">
        <f t="shared" si="3"/>
        <v>196195</v>
      </c>
      <c r="I4" s="520">
        <f t="shared" si="3"/>
        <v>182570</v>
      </c>
      <c r="J4" s="520">
        <f t="shared" ref="J4:K4" si="4">J54</f>
        <v>183038</v>
      </c>
      <c r="K4" s="520">
        <f t="shared" si="4"/>
        <v>186362</v>
      </c>
      <c r="L4" s="520">
        <f t="shared" ref="L4" si="5">L54</f>
        <v>190074</v>
      </c>
    </row>
    <row r="5" spans="1:14" ht="15.75" thickBot="1">
      <c r="D5" s="520">
        <f t="shared" ref="D5:I5" si="6">D3+D4</f>
        <v>585201</v>
      </c>
      <c r="E5" s="520">
        <f t="shared" si="6"/>
        <v>589221</v>
      </c>
      <c r="F5" s="520">
        <f t="shared" si="6"/>
        <v>591904</v>
      </c>
      <c r="G5" s="520">
        <f t="shared" si="6"/>
        <v>600917</v>
      </c>
      <c r="H5" s="520">
        <f t="shared" si="6"/>
        <v>587092</v>
      </c>
      <c r="I5" s="520">
        <f t="shared" si="6"/>
        <v>571255</v>
      </c>
      <c r="J5" s="520">
        <f t="shared" ref="J5:K5" si="7">J3+J4</f>
        <v>566264</v>
      </c>
      <c r="K5" s="520">
        <f t="shared" si="7"/>
        <v>582221</v>
      </c>
      <c r="L5" s="520">
        <f t="shared" ref="L5" si="8">L3+L4</f>
        <v>590322</v>
      </c>
    </row>
    <row r="6" spans="1:14">
      <c r="D6" s="521"/>
      <c r="E6" s="521"/>
      <c r="F6" s="521"/>
      <c r="G6" s="521"/>
      <c r="H6" s="521"/>
      <c r="I6" s="521"/>
      <c r="J6" s="521"/>
      <c r="K6" s="521"/>
      <c r="L6" s="521"/>
    </row>
    <row r="7" spans="1:14">
      <c r="A7" s="516" t="s">
        <v>1983</v>
      </c>
      <c r="C7" s="516"/>
      <c r="D7" s="519">
        <f t="shared" ref="D7:I7" si="9">D86</f>
        <v>71118</v>
      </c>
      <c r="E7" s="519">
        <f t="shared" si="9"/>
        <v>70810</v>
      </c>
      <c r="F7" s="519">
        <f t="shared" si="9"/>
        <v>71059</v>
      </c>
      <c r="G7" s="519">
        <f t="shared" si="9"/>
        <v>71915</v>
      </c>
      <c r="H7" s="519">
        <f t="shared" si="9"/>
        <v>70183</v>
      </c>
      <c r="I7" s="519">
        <f t="shared" si="9"/>
        <v>70003</v>
      </c>
      <c r="J7" s="519">
        <f t="shared" ref="J7:K7" si="10">J86</f>
        <v>68506</v>
      </c>
      <c r="K7" s="519">
        <f t="shared" si="10"/>
        <v>70141</v>
      </c>
      <c r="L7" s="519">
        <f t="shared" ref="L7" si="11">L86</f>
        <v>70114</v>
      </c>
      <c r="N7" s="522"/>
    </row>
    <row r="8" spans="1:14">
      <c r="A8" s="516" t="s">
        <v>1984</v>
      </c>
      <c r="C8" s="516"/>
      <c r="D8" s="519">
        <f t="shared" ref="D8:I8" si="12">D104</f>
        <v>62606</v>
      </c>
      <c r="E8" s="519">
        <f t="shared" si="12"/>
        <v>61916</v>
      </c>
      <c r="F8" s="519">
        <f t="shared" si="12"/>
        <v>62977</v>
      </c>
      <c r="G8" s="519">
        <f t="shared" si="12"/>
        <v>63672</v>
      </c>
      <c r="H8" s="519">
        <f t="shared" si="12"/>
        <v>59871</v>
      </c>
      <c r="I8" s="519">
        <f t="shared" si="12"/>
        <v>58372</v>
      </c>
      <c r="J8" s="519">
        <f t="shared" ref="J8:K8" si="13">J104</f>
        <v>57390</v>
      </c>
      <c r="K8" s="519">
        <f t="shared" si="13"/>
        <v>60293</v>
      </c>
      <c r="L8" s="519">
        <f t="shared" ref="L8" si="14">L104</f>
        <v>61756</v>
      </c>
      <c r="N8" s="522"/>
    </row>
    <row r="9" spans="1:14">
      <c r="A9" s="516" t="s">
        <v>1985</v>
      </c>
      <c r="C9" s="516"/>
      <c r="D9" s="519">
        <f t="shared" ref="D9:I9" si="15">D129</f>
        <v>74039</v>
      </c>
      <c r="E9" s="519">
        <f t="shared" si="15"/>
        <v>74491</v>
      </c>
      <c r="F9" s="519">
        <f t="shared" si="15"/>
        <v>73777</v>
      </c>
      <c r="G9" s="519">
        <f t="shared" si="15"/>
        <v>74836</v>
      </c>
      <c r="H9" s="519">
        <f t="shared" si="15"/>
        <v>74614</v>
      </c>
      <c r="I9" s="519">
        <f t="shared" si="15"/>
        <v>72629</v>
      </c>
      <c r="J9" s="519">
        <f t="shared" ref="J9:K9" si="16">J129</f>
        <v>70806</v>
      </c>
      <c r="K9" s="519">
        <f t="shared" si="16"/>
        <v>72595</v>
      </c>
      <c r="L9" s="519">
        <f t="shared" ref="L9" si="17">L129</f>
        <v>74010</v>
      </c>
      <c r="N9" s="522"/>
    </row>
    <row r="10" spans="1:14">
      <c r="A10" s="516" t="s">
        <v>1986</v>
      </c>
      <c r="C10" s="516"/>
      <c r="D10" s="519">
        <f t="shared" ref="D10:I10" si="18">D160</f>
        <v>71008</v>
      </c>
      <c r="E10" s="519">
        <f t="shared" si="18"/>
        <v>71289</v>
      </c>
      <c r="F10" s="519">
        <f t="shared" si="18"/>
        <v>71636</v>
      </c>
      <c r="G10" s="519">
        <f t="shared" si="18"/>
        <v>72208</v>
      </c>
      <c r="H10" s="519">
        <f t="shared" si="18"/>
        <v>69469</v>
      </c>
      <c r="I10" s="519">
        <f t="shared" si="18"/>
        <v>70279</v>
      </c>
      <c r="J10" s="519">
        <f t="shared" ref="J10:K10" si="19">J160</f>
        <v>69941</v>
      </c>
      <c r="K10" s="519">
        <f t="shared" si="19"/>
        <v>72114</v>
      </c>
      <c r="L10" s="519">
        <f t="shared" ref="L10" si="20">L160</f>
        <v>72743</v>
      </c>
      <c r="N10" s="522"/>
    </row>
    <row r="11" spans="1:14">
      <c r="A11" s="516" t="s">
        <v>1987</v>
      </c>
      <c r="C11" s="516"/>
      <c r="D11" s="519">
        <f t="shared" ref="D11:I11" si="21">D190</f>
        <v>114461</v>
      </c>
      <c r="E11" s="519">
        <f t="shared" si="21"/>
        <v>115677</v>
      </c>
      <c r="F11" s="519">
        <f t="shared" si="21"/>
        <v>116669</v>
      </c>
      <c r="G11" s="519">
        <f t="shared" si="21"/>
        <v>118080</v>
      </c>
      <c r="H11" s="519">
        <f t="shared" si="21"/>
        <v>116760</v>
      </c>
      <c r="I11" s="519">
        <f t="shared" si="21"/>
        <v>117402</v>
      </c>
      <c r="J11" s="519">
        <f t="shared" ref="J11:K11" si="22">J190</f>
        <v>116583</v>
      </c>
      <c r="K11" s="519">
        <f t="shared" si="22"/>
        <v>120716</v>
      </c>
      <c r="L11" s="519">
        <f t="shared" ref="L11" si="23">L190</f>
        <v>121625</v>
      </c>
      <c r="N11" s="522"/>
    </row>
    <row r="13" spans="1:14">
      <c r="A13" s="516" t="s">
        <v>1093</v>
      </c>
      <c r="D13" s="519">
        <f t="shared" ref="D13:I13" si="24">D3/5</f>
        <v>78646.399999999994</v>
      </c>
      <c r="E13" s="519">
        <f t="shared" si="24"/>
        <v>78836.600000000006</v>
      </c>
      <c r="F13" s="519">
        <f t="shared" si="24"/>
        <v>79223.600000000006</v>
      </c>
      <c r="G13" s="519">
        <f t="shared" si="24"/>
        <v>80142.2</v>
      </c>
      <c r="H13" s="519">
        <f t="shared" si="24"/>
        <v>78179.399999999994</v>
      </c>
      <c r="I13" s="519">
        <f t="shared" si="24"/>
        <v>77737</v>
      </c>
      <c r="J13" s="519">
        <f t="shared" ref="J13:K13" si="25">J3/5</f>
        <v>76645.2</v>
      </c>
      <c r="K13" s="519">
        <f t="shared" si="25"/>
        <v>79171.8</v>
      </c>
      <c r="L13" s="519">
        <f t="shared" ref="L13" si="26">L3/5</f>
        <v>80049.600000000006</v>
      </c>
    </row>
    <row r="14" spans="1:14">
      <c r="A14" s="516" t="s">
        <v>5365</v>
      </c>
      <c r="D14" s="519">
        <f t="shared" ref="D14:I14" si="27">D4/3</f>
        <v>63989.666666666664</v>
      </c>
      <c r="E14" s="519">
        <f t="shared" si="27"/>
        <v>65012.666666666664</v>
      </c>
      <c r="F14" s="519">
        <f t="shared" si="27"/>
        <v>65262</v>
      </c>
      <c r="G14" s="519">
        <f t="shared" si="27"/>
        <v>66735.333333333328</v>
      </c>
      <c r="H14" s="519">
        <f t="shared" si="27"/>
        <v>65398.333333333336</v>
      </c>
      <c r="I14" s="519">
        <f t="shared" si="27"/>
        <v>60856.666666666664</v>
      </c>
      <c r="J14" s="519">
        <f t="shared" ref="J14:K14" si="28">J4/3</f>
        <v>61012.666666666664</v>
      </c>
      <c r="K14" s="519">
        <f t="shared" si="28"/>
        <v>62120.666666666664</v>
      </c>
      <c r="L14" s="519">
        <f t="shared" ref="L14" si="29">L4/3</f>
        <v>63358</v>
      </c>
    </row>
    <row r="15" spans="1:14">
      <c r="A15" s="516" t="s">
        <v>7689</v>
      </c>
      <c r="D15" s="519">
        <f t="shared" ref="D15:I15" si="30">D5/8</f>
        <v>73150.125</v>
      </c>
      <c r="E15" s="519">
        <f t="shared" si="30"/>
        <v>73652.625</v>
      </c>
      <c r="F15" s="519">
        <f t="shared" si="30"/>
        <v>73988</v>
      </c>
      <c r="G15" s="519">
        <f t="shared" si="30"/>
        <v>75114.625</v>
      </c>
      <c r="H15" s="519">
        <f t="shared" si="30"/>
        <v>73386.5</v>
      </c>
      <c r="I15" s="519">
        <f t="shared" si="30"/>
        <v>71406.875</v>
      </c>
      <c r="J15" s="519">
        <f t="shared" ref="J15:K15" si="31">J5/8</f>
        <v>70783</v>
      </c>
      <c r="K15" s="519">
        <f t="shared" si="31"/>
        <v>72777.625</v>
      </c>
      <c r="L15" s="519">
        <f t="shared" ref="L15" si="32">L5/8</f>
        <v>73790.25</v>
      </c>
    </row>
    <row r="16" spans="1:14">
      <c r="D16" s="521"/>
      <c r="E16" s="521"/>
      <c r="F16" s="521"/>
      <c r="G16" s="521"/>
      <c r="H16" s="521"/>
      <c r="I16" s="521"/>
      <c r="J16" s="521"/>
      <c r="K16" s="521"/>
      <c r="L16" s="521"/>
    </row>
    <row r="17" spans="1:14">
      <c r="A17" s="516" t="s">
        <v>5366</v>
      </c>
      <c r="D17" s="519">
        <f t="shared" ref="D17:I17" si="33">D182</f>
        <v>56592</v>
      </c>
      <c r="E17" s="519">
        <f t="shared" si="33"/>
        <v>56783</v>
      </c>
      <c r="F17" s="519">
        <f t="shared" si="33"/>
        <v>57071</v>
      </c>
      <c r="G17" s="519">
        <f t="shared" si="33"/>
        <v>57554</v>
      </c>
      <c r="H17" s="519">
        <f t="shared" si="33"/>
        <v>55214</v>
      </c>
      <c r="I17" s="519">
        <f t="shared" si="33"/>
        <v>55891</v>
      </c>
      <c r="J17" s="519">
        <f t="shared" ref="J17:K17" si="34">J182</f>
        <v>55659</v>
      </c>
      <c r="K17" s="519">
        <f t="shared" si="34"/>
        <v>57483</v>
      </c>
      <c r="L17" s="519">
        <f t="shared" ref="L17" si="35">L182</f>
        <v>57950</v>
      </c>
      <c r="N17" s="516" t="s">
        <v>5367</v>
      </c>
    </row>
    <row r="18" spans="1:14" ht="15.75" thickBot="1">
      <c r="D18" s="520">
        <f t="shared" ref="D18:I18" si="36">D237</f>
        <v>21577</v>
      </c>
      <c r="E18" s="520">
        <f t="shared" si="36"/>
        <v>21819</v>
      </c>
      <c r="F18" s="520">
        <f t="shared" si="36"/>
        <v>21831</v>
      </c>
      <c r="G18" s="520">
        <f t="shared" si="36"/>
        <v>22059</v>
      </c>
      <c r="H18" s="520">
        <f t="shared" si="36"/>
        <v>21438</v>
      </c>
      <c r="I18" s="520">
        <f t="shared" si="36"/>
        <v>21641</v>
      </c>
      <c r="J18" s="520">
        <f t="shared" ref="J18:K18" si="37">J237</f>
        <v>21562</v>
      </c>
      <c r="K18" s="520">
        <f t="shared" si="37"/>
        <v>22413</v>
      </c>
      <c r="L18" s="520">
        <f t="shared" ref="L18" si="38">L237</f>
        <v>22524</v>
      </c>
      <c r="N18" s="516" t="s">
        <v>5368</v>
      </c>
    </row>
    <row r="19" spans="1:14" ht="15.75" thickBot="1">
      <c r="D19" s="520">
        <f t="shared" ref="D19:I19" si="39">D17+D18</f>
        <v>78169</v>
      </c>
      <c r="E19" s="520">
        <f t="shared" si="39"/>
        <v>78602</v>
      </c>
      <c r="F19" s="520">
        <f t="shared" si="39"/>
        <v>78902</v>
      </c>
      <c r="G19" s="520">
        <f t="shared" si="39"/>
        <v>79613</v>
      </c>
      <c r="H19" s="520">
        <f t="shared" si="39"/>
        <v>76652</v>
      </c>
      <c r="I19" s="520">
        <f t="shared" si="39"/>
        <v>77532</v>
      </c>
      <c r="J19" s="520">
        <f t="shared" ref="J19:K19" si="40">J17+J18</f>
        <v>77221</v>
      </c>
      <c r="K19" s="520">
        <f t="shared" si="40"/>
        <v>79896</v>
      </c>
      <c r="L19" s="520">
        <f t="shared" ref="L19" si="41">L17+L18</f>
        <v>80474</v>
      </c>
    </row>
    <row r="20" spans="1:14">
      <c r="D20" s="521"/>
      <c r="E20" s="521"/>
      <c r="F20" s="521"/>
      <c r="G20" s="521"/>
      <c r="H20" s="521"/>
      <c r="I20" s="521"/>
      <c r="J20" s="521"/>
      <c r="K20" s="521"/>
      <c r="L20" s="521"/>
    </row>
    <row r="21" spans="1:14">
      <c r="A21" s="516" t="s">
        <v>5369</v>
      </c>
      <c r="D21" s="519">
        <f t="shared" ref="D21:I21" si="42">D77</f>
        <v>49137</v>
      </c>
      <c r="E21" s="519">
        <f t="shared" si="42"/>
        <v>50427</v>
      </c>
      <c r="F21" s="519">
        <f t="shared" si="42"/>
        <v>50702</v>
      </c>
      <c r="G21" s="519">
        <f t="shared" si="42"/>
        <v>51743</v>
      </c>
      <c r="H21" s="519">
        <f t="shared" si="42"/>
        <v>50305</v>
      </c>
      <c r="I21" s="519">
        <f t="shared" si="42"/>
        <v>47000</v>
      </c>
      <c r="J21" s="519">
        <f t="shared" ref="J21:K21" si="43">J77</f>
        <v>46793</v>
      </c>
      <c r="K21" s="519">
        <f t="shared" si="43"/>
        <v>47479</v>
      </c>
      <c r="L21" s="519">
        <f t="shared" ref="L21" si="44">L77</f>
        <v>48229</v>
      </c>
      <c r="N21" s="516" t="s">
        <v>5370</v>
      </c>
    </row>
    <row r="22" spans="1:14" ht="15.75" thickBot="1">
      <c r="D22" s="520">
        <f t="shared" ref="D22:I22" si="45">D152</f>
        <v>15920</v>
      </c>
      <c r="E22" s="520">
        <f t="shared" si="45"/>
        <v>16130</v>
      </c>
      <c r="F22" s="520">
        <f t="shared" si="45"/>
        <v>15922</v>
      </c>
      <c r="G22" s="520">
        <f t="shared" si="45"/>
        <v>16341</v>
      </c>
      <c r="H22" s="520">
        <f t="shared" si="45"/>
        <v>16403</v>
      </c>
      <c r="I22" s="520">
        <f t="shared" si="45"/>
        <v>15708</v>
      </c>
      <c r="J22" s="520">
        <f t="shared" ref="J22:K22" si="46">J152</f>
        <v>15412</v>
      </c>
      <c r="K22" s="520">
        <f t="shared" si="46"/>
        <v>15892</v>
      </c>
      <c r="L22" s="520">
        <f t="shared" ref="L22" si="47">L152</f>
        <v>16267</v>
      </c>
      <c r="N22" s="516" t="s">
        <v>5371</v>
      </c>
    </row>
    <row r="23" spans="1:14" ht="15.75" thickBot="1">
      <c r="D23" s="520">
        <f t="shared" ref="D23:I23" si="48">D21+D22</f>
        <v>65057</v>
      </c>
      <c r="E23" s="520">
        <f t="shared" si="48"/>
        <v>66557</v>
      </c>
      <c r="F23" s="520">
        <f t="shared" si="48"/>
        <v>66624</v>
      </c>
      <c r="G23" s="520">
        <f t="shared" si="48"/>
        <v>68084</v>
      </c>
      <c r="H23" s="520">
        <f t="shared" si="48"/>
        <v>66708</v>
      </c>
      <c r="I23" s="520">
        <f t="shared" si="48"/>
        <v>62708</v>
      </c>
      <c r="J23" s="520">
        <f t="shared" ref="J23:K23" si="49">J21+J22</f>
        <v>62205</v>
      </c>
      <c r="K23" s="520">
        <f t="shared" si="49"/>
        <v>63371</v>
      </c>
      <c r="L23" s="520">
        <f t="shared" ref="L23" si="50">L21+L22</f>
        <v>64496</v>
      </c>
    </row>
    <row r="24" spans="1:14">
      <c r="D24" s="521"/>
      <c r="E24" s="521"/>
      <c r="F24" s="521"/>
      <c r="G24" s="521"/>
      <c r="H24" s="521"/>
      <c r="I24" s="521"/>
      <c r="J24" s="521"/>
      <c r="K24" s="521"/>
      <c r="L24" s="521"/>
    </row>
    <row r="25" spans="1:14">
      <c r="A25" s="516" t="s">
        <v>5372</v>
      </c>
      <c r="D25" s="519">
        <f t="shared" ref="D25:I25" si="51">D78</f>
        <v>72234</v>
      </c>
      <c r="E25" s="519">
        <f t="shared" si="51"/>
        <v>73430</v>
      </c>
      <c r="F25" s="519">
        <f t="shared" si="51"/>
        <v>73803</v>
      </c>
      <c r="G25" s="519">
        <f t="shared" si="51"/>
        <v>75540</v>
      </c>
      <c r="H25" s="519">
        <f t="shared" si="51"/>
        <v>73889</v>
      </c>
      <c r="I25" s="519">
        <f t="shared" si="51"/>
        <v>66386</v>
      </c>
      <c r="J25" s="519">
        <f t="shared" ref="J25:K25" si="52">J78</f>
        <v>67700</v>
      </c>
      <c r="K25" s="519">
        <f t="shared" si="52"/>
        <v>68326</v>
      </c>
      <c r="L25" s="519">
        <f t="shared" ref="L25" si="53">L78</f>
        <v>70700</v>
      </c>
      <c r="N25" s="516" t="s">
        <v>5370</v>
      </c>
    </row>
    <row r="26" spans="1:14">
      <c r="D26" s="521"/>
      <c r="E26" s="521"/>
      <c r="F26" s="521"/>
      <c r="G26" s="521"/>
      <c r="H26" s="521"/>
      <c r="I26" s="521"/>
      <c r="J26" s="521"/>
      <c r="K26" s="521"/>
      <c r="L26" s="521"/>
    </row>
    <row r="27" spans="1:14">
      <c r="A27" s="516" t="s">
        <v>5373</v>
      </c>
      <c r="D27" s="519">
        <f t="shared" ref="D27:I27" si="54">D97</f>
        <v>71118</v>
      </c>
      <c r="E27" s="519">
        <f t="shared" si="54"/>
        <v>70810</v>
      </c>
      <c r="F27" s="519">
        <f t="shared" si="54"/>
        <v>71059</v>
      </c>
      <c r="G27" s="519">
        <f t="shared" si="54"/>
        <v>71915</v>
      </c>
      <c r="H27" s="519">
        <f t="shared" si="54"/>
        <v>70183</v>
      </c>
      <c r="I27" s="519">
        <f t="shared" si="54"/>
        <v>70003</v>
      </c>
      <c r="J27" s="519">
        <f t="shared" ref="J27:K27" si="55">J97</f>
        <v>68506</v>
      </c>
      <c r="K27" s="519">
        <f t="shared" si="55"/>
        <v>70141</v>
      </c>
      <c r="L27" s="519">
        <f t="shared" ref="L27" si="56">L97</f>
        <v>70114</v>
      </c>
      <c r="N27" s="516" t="s">
        <v>8643</v>
      </c>
    </row>
    <row r="28" spans="1:14" ht="15.75" thickBot="1">
      <c r="A28" s="516"/>
      <c r="D28" s="520">
        <f t="shared" ref="D28:I28" si="57">D238</f>
        <v>6154</v>
      </c>
      <c r="E28" s="520">
        <f t="shared" si="57"/>
        <v>6168</v>
      </c>
      <c r="F28" s="520">
        <f t="shared" si="57"/>
        <v>6148</v>
      </c>
      <c r="G28" s="520">
        <f t="shared" si="57"/>
        <v>6217</v>
      </c>
      <c r="H28" s="520">
        <f t="shared" si="57"/>
        <v>6169</v>
      </c>
      <c r="I28" s="520">
        <f t="shared" si="57"/>
        <v>6187</v>
      </c>
      <c r="J28" s="520">
        <f t="shared" ref="J28:K28" si="58">J238</f>
        <v>6164</v>
      </c>
      <c r="K28" s="520">
        <f t="shared" si="58"/>
        <v>6285</v>
      </c>
      <c r="L28" s="520">
        <f t="shared" ref="L28" si="59">L238</f>
        <v>6329</v>
      </c>
      <c r="N28" s="516" t="s">
        <v>5368</v>
      </c>
    </row>
    <row r="29" spans="1:14" ht="15.75" thickBot="1">
      <c r="A29" s="516"/>
      <c r="D29" s="523">
        <f t="shared" ref="D29:I29" si="60">D27+D28</f>
        <v>77272</v>
      </c>
      <c r="E29" s="523">
        <f t="shared" si="60"/>
        <v>76978</v>
      </c>
      <c r="F29" s="523">
        <f t="shared" si="60"/>
        <v>77207</v>
      </c>
      <c r="G29" s="523">
        <f t="shared" si="60"/>
        <v>78132</v>
      </c>
      <c r="H29" s="523">
        <f t="shared" si="60"/>
        <v>76352</v>
      </c>
      <c r="I29" s="523">
        <f t="shared" si="60"/>
        <v>76190</v>
      </c>
      <c r="J29" s="523">
        <f t="shared" ref="J29:K29" si="61">J27+J28</f>
        <v>74670</v>
      </c>
      <c r="K29" s="523">
        <f t="shared" si="61"/>
        <v>76426</v>
      </c>
      <c r="L29" s="523">
        <f t="shared" ref="L29" si="62">L27+L28</f>
        <v>76443</v>
      </c>
      <c r="N29" s="516"/>
    </row>
    <row r="30" spans="1:14">
      <c r="D30" s="521"/>
      <c r="E30" s="521"/>
      <c r="F30" s="521"/>
      <c r="G30" s="521"/>
      <c r="H30" s="521"/>
      <c r="I30" s="521"/>
      <c r="J30" s="521"/>
      <c r="K30" s="521"/>
      <c r="L30" s="521"/>
    </row>
    <row r="31" spans="1:14">
      <c r="A31" s="516" t="s">
        <v>5374</v>
      </c>
      <c r="D31" s="519">
        <f t="shared" ref="D31:I31" si="63">D122</f>
        <v>62606</v>
      </c>
      <c r="E31" s="519">
        <f t="shared" si="63"/>
        <v>61916</v>
      </c>
      <c r="F31" s="519">
        <f t="shared" si="63"/>
        <v>62977</v>
      </c>
      <c r="G31" s="519">
        <f t="shared" si="63"/>
        <v>63672</v>
      </c>
      <c r="H31" s="519">
        <f t="shared" si="63"/>
        <v>59871</v>
      </c>
      <c r="I31" s="519">
        <f t="shared" si="63"/>
        <v>58372</v>
      </c>
      <c r="J31" s="519">
        <f t="shared" ref="J31:K31" si="64">J122</f>
        <v>57390</v>
      </c>
      <c r="K31" s="519">
        <f t="shared" si="64"/>
        <v>60293</v>
      </c>
      <c r="L31" s="519">
        <f t="shared" ref="L31" si="65">L122</f>
        <v>61756</v>
      </c>
      <c r="N31" s="516" t="s">
        <v>8644</v>
      </c>
    </row>
    <row r="32" spans="1:14" ht="15.75" thickBot="1">
      <c r="D32" s="520">
        <f t="shared" ref="D32:I32" si="66">D183</f>
        <v>14416</v>
      </c>
      <c r="E32" s="520">
        <f t="shared" si="66"/>
        <v>14506</v>
      </c>
      <c r="F32" s="520">
        <f t="shared" si="66"/>
        <v>14565</v>
      </c>
      <c r="G32" s="520">
        <f t="shared" si="66"/>
        <v>14654</v>
      </c>
      <c r="H32" s="520">
        <f t="shared" si="66"/>
        <v>14255</v>
      </c>
      <c r="I32" s="520">
        <f t="shared" si="66"/>
        <v>14388</v>
      </c>
      <c r="J32" s="520">
        <f t="shared" ref="J32:K32" si="67">J183</f>
        <v>14282</v>
      </c>
      <c r="K32" s="520">
        <f t="shared" si="67"/>
        <v>14631</v>
      </c>
      <c r="L32" s="520">
        <f t="shared" ref="L32" si="68">L183</f>
        <v>14793</v>
      </c>
      <c r="N32" s="516" t="s">
        <v>5367</v>
      </c>
    </row>
    <row r="33" spans="1:14" ht="15.75" thickBot="1">
      <c r="D33" s="520">
        <f t="shared" ref="D33:I33" si="69">D31+D32</f>
        <v>77022</v>
      </c>
      <c r="E33" s="520">
        <f t="shared" si="69"/>
        <v>76422</v>
      </c>
      <c r="F33" s="520">
        <f t="shared" si="69"/>
        <v>77542</v>
      </c>
      <c r="G33" s="520">
        <f t="shared" si="69"/>
        <v>78326</v>
      </c>
      <c r="H33" s="520">
        <f t="shared" si="69"/>
        <v>74126</v>
      </c>
      <c r="I33" s="520">
        <f t="shared" si="69"/>
        <v>72760</v>
      </c>
      <c r="J33" s="520">
        <f t="shared" ref="J33:K33" si="70">J31+J32</f>
        <v>71672</v>
      </c>
      <c r="K33" s="520">
        <f t="shared" si="70"/>
        <v>74924</v>
      </c>
      <c r="L33" s="520">
        <f t="shared" ref="L33" si="71">L31+L32</f>
        <v>76549</v>
      </c>
    </row>
    <row r="34" spans="1:14">
      <c r="D34" s="521"/>
      <c r="E34" s="521"/>
      <c r="F34" s="521"/>
      <c r="G34" s="521"/>
      <c r="H34" s="521"/>
      <c r="I34" s="521"/>
      <c r="J34" s="521"/>
      <c r="K34" s="521"/>
      <c r="L34" s="521"/>
    </row>
    <row r="35" spans="1:14">
      <c r="A35" s="516" t="s">
        <v>5375</v>
      </c>
      <c r="D35" s="519">
        <f t="shared" ref="D35:I35" si="72">D79</f>
        <v>70598</v>
      </c>
      <c r="E35" s="519">
        <f t="shared" si="72"/>
        <v>71181</v>
      </c>
      <c r="F35" s="519">
        <f t="shared" si="72"/>
        <v>71281</v>
      </c>
      <c r="G35" s="519">
        <f t="shared" si="72"/>
        <v>72923</v>
      </c>
      <c r="H35" s="519">
        <f t="shared" si="72"/>
        <v>72001</v>
      </c>
      <c r="I35" s="519">
        <f t="shared" si="72"/>
        <v>69184</v>
      </c>
      <c r="J35" s="519">
        <f t="shared" ref="J35:K35" si="73">J79</f>
        <v>68545</v>
      </c>
      <c r="K35" s="519">
        <f t="shared" si="73"/>
        <v>70557</v>
      </c>
      <c r="L35" s="519">
        <f t="shared" ref="L35" si="74">L79</f>
        <v>71145</v>
      </c>
      <c r="N35" s="516" t="s">
        <v>5370</v>
      </c>
    </row>
    <row r="36" spans="1:14">
      <c r="D36" s="521"/>
      <c r="E36" s="521"/>
      <c r="F36" s="521"/>
      <c r="G36" s="521"/>
      <c r="H36" s="521"/>
      <c r="I36" s="521"/>
      <c r="J36" s="521"/>
      <c r="K36" s="521"/>
      <c r="L36" s="521"/>
    </row>
    <row r="37" spans="1:14">
      <c r="A37" s="516" t="s">
        <v>5376</v>
      </c>
      <c r="D37" s="519">
        <f t="shared" ref="D37:I37" si="75">D153</f>
        <v>58119</v>
      </c>
      <c r="E37" s="519">
        <f t="shared" si="75"/>
        <v>58361</v>
      </c>
      <c r="F37" s="519">
        <f t="shared" si="75"/>
        <v>57855</v>
      </c>
      <c r="G37" s="519">
        <f t="shared" si="75"/>
        <v>58495</v>
      </c>
      <c r="H37" s="519">
        <f t="shared" si="75"/>
        <v>58211</v>
      </c>
      <c r="I37" s="519">
        <f t="shared" si="75"/>
        <v>56921</v>
      </c>
      <c r="J37" s="519">
        <f t="shared" ref="J37:K37" si="76">J153</f>
        <v>55394</v>
      </c>
      <c r="K37" s="519">
        <f t="shared" si="76"/>
        <v>56703</v>
      </c>
      <c r="L37" s="519">
        <f t="shared" ref="L37" si="77">L153</f>
        <v>57743</v>
      </c>
      <c r="N37" s="516" t="s">
        <v>5371</v>
      </c>
    </row>
    <row r="38" spans="1:14" ht="15.75" thickBot="1">
      <c r="D38" s="520">
        <f t="shared" ref="D38:I38" si="78">D239</f>
        <v>10006</v>
      </c>
      <c r="E38" s="520">
        <f t="shared" si="78"/>
        <v>10154</v>
      </c>
      <c r="F38" s="520">
        <f t="shared" si="78"/>
        <v>10116</v>
      </c>
      <c r="G38" s="520">
        <f t="shared" si="78"/>
        <v>10245</v>
      </c>
      <c r="H38" s="520">
        <f t="shared" si="78"/>
        <v>10190</v>
      </c>
      <c r="I38" s="520">
        <f t="shared" si="78"/>
        <v>10311</v>
      </c>
      <c r="J38" s="520">
        <f t="shared" ref="J38:K38" si="79">J239</f>
        <v>10313</v>
      </c>
      <c r="K38" s="520">
        <f t="shared" si="79"/>
        <v>10780</v>
      </c>
      <c r="L38" s="520">
        <f t="shared" ref="L38" si="80">L239</f>
        <v>10951</v>
      </c>
      <c r="N38" s="516" t="s">
        <v>5368</v>
      </c>
    </row>
    <row r="39" spans="1:14" ht="15.75" thickBot="1">
      <c r="D39" s="520">
        <f t="shared" ref="D39:I39" si="81">SUM(D37:D38)</f>
        <v>68125</v>
      </c>
      <c r="E39" s="520">
        <f t="shared" si="81"/>
        <v>68515</v>
      </c>
      <c r="F39" s="520">
        <f t="shared" si="81"/>
        <v>67971</v>
      </c>
      <c r="G39" s="520">
        <f t="shared" si="81"/>
        <v>68740</v>
      </c>
      <c r="H39" s="520">
        <f t="shared" si="81"/>
        <v>68401</v>
      </c>
      <c r="I39" s="520">
        <f t="shared" si="81"/>
        <v>67232</v>
      </c>
      <c r="J39" s="520">
        <f t="shared" ref="J39:K39" si="82">SUM(J37:J38)</f>
        <v>65707</v>
      </c>
      <c r="K39" s="520">
        <f t="shared" si="82"/>
        <v>67483</v>
      </c>
      <c r="L39" s="520">
        <f t="shared" ref="L39" si="83">SUM(L37:L38)</f>
        <v>68694</v>
      </c>
    </row>
    <row r="40" spans="1:14">
      <c r="D40" s="521"/>
      <c r="E40" s="521"/>
      <c r="F40" s="521"/>
      <c r="G40" s="521"/>
      <c r="H40" s="521"/>
      <c r="I40" s="521"/>
      <c r="J40" s="521"/>
      <c r="K40" s="521"/>
      <c r="L40" s="521"/>
    </row>
    <row r="41" spans="1:14">
      <c r="A41" s="516" t="s">
        <v>5377</v>
      </c>
      <c r="D41" s="519">
        <f t="shared" ref="D41:I41" si="84">D240</f>
        <v>76724</v>
      </c>
      <c r="E41" s="519">
        <f t="shared" si="84"/>
        <v>77536</v>
      </c>
      <c r="F41" s="519">
        <f t="shared" si="84"/>
        <v>78574</v>
      </c>
      <c r="G41" s="519">
        <f t="shared" si="84"/>
        <v>79559</v>
      </c>
      <c r="H41" s="519">
        <f t="shared" si="84"/>
        <v>78963</v>
      </c>
      <c r="I41" s="519">
        <f t="shared" si="84"/>
        <v>79263</v>
      </c>
      <c r="J41" s="519">
        <f t="shared" ref="J41:K41" si="85">J240</f>
        <v>78544</v>
      </c>
      <c r="K41" s="519">
        <f t="shared" si="85"/>
        <v>81238</v>
      </c>
      <c r="L41" s="519">
        <f t="shared" ref="L41" si="86">L240</f>
        <v>81821</v>
      </c>
      <c r="N41" s="516" t="s">
        <v>5368</v>
      </c>
    </row>
    <row r="42" spans="1:14">
      <c r="D42" s="521"/>
      <c r="E42" s="521"/>
      <c r="F42" s="521"/>
      <c r="G42" s="521"/>
      <c r="H42" s="521"/>
      <c r="I42" s="521"/>
      <c r="J42" s="521"/>
      <c r="K42" s="521"/>
      <c r="L42" s="521"/>
    </row>
    <row r="43" spans="1:14">
      <c r="A43" s="516" t="s">
        <v>8697</v>
      </c>
      <c r="D43" s="519">
        <f t="shared" ref="D43:I43" si="87">D19+D23+D25+D29+D33+D35+D39+D41</f>
        <v>585201</v>
      </c>
      <c r="E43" s="519">
        <f t="shared" si="87"/>
        <v>589221</v>
      </c>
      <c r="F43" s="519">
        <f t="shared" si="87"/>
        <v>591904</v>
      </c>
      <c r="G43" s="519">
        <f t="shared" si="87"/>
        <v>600917</v>
      </c>
      <c r="H43" s="519">
        <f t="shared" si="87"/>
        <v>587092</v>
      </c>
      <c r="I43" s="519">
        <f t="shared" si="87"/>
        <v>571255</v>
      </c>
      <c r="J43" s="519">
        <f t="shared" ref="J43:K43" si="88">J19+J23+J25+J29+J33+J35+J39+J41</f>
        <v>566264</v>
      </c>
      <c r="K43" s="519">
        <f t="shared" si="88"/>
        <v>582221</v>
      </c>
      <c r="L43" s="519">
        <f t="shared" ref="L43" si="89">L19+L23+L25+L29+L33+L35+L39+L41</f>
        <v>590322</v>
      </c>
    </row>
    <row r="44" spans="1:14">
      <c r="D44" s="521"/>
      <c r="E44" s="521"/>
      <c r="F44" s="521"/>
      <c r="G44" s="521"/>
      <c r="H44" s="521"/>
      <c r="I44" s="521"/>
      <c r="J44" s="521"/>
      <c r="K44" s="521"/>
      <c r="L44" s="521"/>
    </row>
    <row r="45" spans="1:14">
      <c r="A45" s="516" t="s">
        <v>8698</v>
      </c>
      <c r="D45" s="519">
        <f t="shared" ref="D45:I45" si="90">MAX(D19,D23,D25,D29,D33,D35,D39,D41)-MIN(D19,D23,D25,D29,D33,D35,D39,D41)</f>
        <v>13112</v>
      </c>
      <c r="E45" s="519">
        <f t="shared" si="90"/>
        <v>12045</v>
      </c>
      <c r="F45" s="519">
        <f t="shared" si="90"/>
        <v>12278</v>
      </c>
      <c r="G45" s="519">
        <f t="shared" si="90"/>
        <v>11529</v>
      </c>
      <c r="H45" s="519">
        <f t="shared" si="90"/>
        <v>12255</v>
      </c>
      <c r="I45" s="519">
        <f t="shared" si="90"/>
        <v>16555</v>
      </c>
      <c r="J45" s="519">
        <f t="shared" ref="J45:K45" si="91">MAX(J19,J23,J25,J29,J33,J35,J39,J41)-MIN(J19,J23,J25,J29,J33,J35,J39,J41)</f>
        <v>16339</v>
      </c>
      <c r="K45" s="519">
        <f t="shared" si="91"/>
        <v>17867</v>
      </c>
      <c r="L45" s="519">
        <f t="shared" ref="L45" si="92">MAX(L19,L23,L25,L29,L33,L35,L39,L41)-MIN(L19,L23,L25,L29,L33,L35,L39,L41)</f>
        <v>17325</v>
      </c>
    </row>
    <row r="46" spans="1:14">
      <c r="D46" s="521"/>
      <c r="E46" s="521"/>
      <c r="F46" s="521"/>
      <c r="G46" s="521"/>
      <c r="H46" s="521"/>
      <c r="I46" s="521"/>
      <c r="J46" s="521"/>
      <c r="K46" s="521"/>
      <c r="L46" s="521"/>
    </row>
    <row r="47" spans="1:14">
      <c r="A47" s="516" t="s">
        <v>8701</v>
      </c>
      <c r="D47" s="519">
        <f t="shared" ref="D47:I47" si="93">STDEVP(D19,D23,D25,D29,D33,D35,D39,D41)</f>
        <v>4583.2049222541864</v>
      </c>
      <c r="E47" s="519">
        <f t="shared" si="93"/>
        <v>4201.2802791976401</v>
      </c>
      <c r="F47" s="519">
        <f t="shared" si="93"/>
        <v>4554.7575127552072</v>
      </c>
      <c r="G47" s="519">
        <f t="shared" si="93"/>
        <v>4393.9592606640081</v>
      </c>
      <c r="H47" s="519">
        <f t="shared" si="93"/>
        <v>3916.8160219749921</v>
      </c>
      <c r="I47" s="519">
        <f t="shared" si="93"/>
        <v>5558.7257406149301</v>
      </c>
      <c r="J47" s="519">
        <f t="shared" ref="J47:K47" si="94">STDEVP(J19,J23,J25,J29,J33,J35,J39,J41)</f>
        <v>5378.6783692650743</v>
      </c>
      <c r="K47" s="519">
        <f t="shared" si="94"/>
        <v>5931.1946717651244</v>
      </c>
      <c r="L47" s="519">
        <f t="shared" ref="L47" si="95">STDEVP(L19,L23,L25,L29,L33,L35,L39,L41)</f>
        <v>5620.4435267601439</v>
      </c>
    </row>
    <row r="49" spans="1:17">
      <c r="A49" s="516" t="s">
        <v>3670</v>
      </c>
    </row>
    <row r="50" spans="1:17">
      <c r="A50" s="516"/>
    </row>
    <row r="52" spans="1:17">
      <c r="E52" s="42" t="s">
        <v>2303</v>
      </c>
      <c r="F52" s="42"/>
      <c r="G52" s="42"/>
      <c r="H52" s="42"/>
      <c r="I52" s="42"/>
      <c r="J52" s="42"/>
      <c r="K52" s="42"/>
      <c r="L52" s="42"/>
      <c r="M52" s="65"/>
      <c r="N52" s="66" t="s">
        <v>13319</v>
      </c>
    </row>
    <row r="53" spans="1:17">
      <c r="D53" s="55">
        <v>2010</v>
      </c>
      <c r="E53" s="55">
        <v>2011</v>
      </c>
      <c r="F53" s="55">
        <v>2012</v>
      </c>
      <c r="G53" s="55">
        <v>2013</v>
      </c>
      <c r="H53" s="55">
        <v>2014</v>
      </c>
      <c r="I53" s="55">
        <v>2015</v>
      </c>
      <c r="J53" s="55">
        <v>2016</v>
      </c>
      <c r="K53" s="55">
        <v>2017</v>
      </c>
      <c r="L53" s="55">
        <v>2018</v>
      </c>
      <c r="N53" s="67" t="s">
        <v>2304</v>
      </c>
    </row>
    <row r="54" spans="1:17">
      <c r="A54" s="516" t="s">
        <v>1982</v>
      </c>
      <c r="C54" s="516"/>
      <c r="D54" s="519">
        <f t="shared" ref="D54:H54" si="96">SUM(D55:D75)</f>
        <v>191969</v>
      </c>
      <c r="E54" s="519">
        <f t="shared" si="96"/>
        <v>195038</v>
      </c>
      <c r="F54" s="519">
        <f t="shared" si="96"/>
        <v>195786</v>
      </c>
      <c r="G54" s="519">
        <f t="shared" si="96"/>
        <v>200206</v>
      </c>
      <c r="H54" s="519">
        <f t="shared" si="96"/>
        <v>196195</v>
      </c>
      <c r="I54" s="519">
        <f>SUM(I55:I75)</f>
        <v>182570</v>
      </c>
      <c r="J54" s="519">
        <f>SUM(J55:J75)</f>
        <v>183038</v>
      </c>
      <c r="K54" s="519">
        <f>SUM(K55:K75)</f>
        <v>186362</v>
      </c>
      <c r="L54" s="519">
        <f>SUM(L55:L75)</f>
        <v>190074</v>
      </c>
    </row>
    <row r="55" spans="1:17">
      <c r="A55" s="524">
        <v>1</v>
      </c>
      <c r="B55" s="516" t="s">
        <v>3671</v>
      </c>
      <c r="C55" s="4" t="s">
        <v>9975</v>
      </c>
      <c r="D55" s="525">
        <v>6730</v>
      </c>
      <c r="E55" s="525">
        <v>6749</v>
      </c>
      <c r="F55" s="525">
        <v>6916</v>
      </c>
      <c r="G55" s="30">
        <v>7313</v>
      </c>
      <c r="H55" s="30">
        <v>7105</v>
      </c>
      <c r="I55" s="30">
        <v>6425</v>
      </c>
      <c r="J55" s="30">
        <v>6518</v>
      </c>
      <c r="K55" s="30">
        <v>6691</v>
      </c>
      <c r="L55" s="30">
        <v>6766</v>
      </c>
      <c r="N55" s="516" t="s">
        <v>5375</v>
      </c>
      <c r="Q55" s="4"/>
    </row>
    <row r="56" spans="1:17">
      <c r="A56" s="524">
        <v>2</v>
      </c>
      <c r="B56" s="516" t="s">
        <v>3672</v>
      </c>
      <c r="C56" s="4" t="s">
        <v>9976</v>
      </c>
      <c r="D56" s="519">
        <v>6288</v>
      </c>
      <c r="E56" s="519">
        <v>6418</v>
      </c>
      <c r="F56" s="519">
        <v>6481</v>
      </c>
      <c r="G56" s="30">
        <v>6916</v>
      </c>
      <c r="H56" s="30">
        <v>6743</v>
      </c>
      <c r="I56" s="30">
        <v>6173</v>
      </c>
      <c r="J56" s="30">
        <v>6120</v>
      </c>
      <c r="K56" s="30">
        <v>6383</v>
      </c>
      <c r="L56" s="30">
        <v>6564</v>
      </c>
      <c r="N56" s="516" t="s">
        <v>5375</v>
      </c>
      <c r="Q56" s="4"/>
    </row>
    <row r="57" spans="1:17">
      <c r="A57" s="524">
        <v>3</v>
      </c>
      <c r="B57" s="516" t="s">
        <v>3673</v>
      </c>
      <c r="C57" s="4" t="s">
        <v>9977</v>
      </c>
      <c r="D57" s="519">
        <v>9614</v>
      </c>
      <c r="E57" s="519">
        <v>9844</v>
      </c>
      <c r="F57" s="519">
        <v>9877</v>
      </c>
      <c r="G57" s="30">
        <v>10142</v>
      </c>
      <c r="H57" s="30">
        <v>9906</v>
      </c>
      <c r="I57" s="30">
        <v>9404</v>
      </c>
      <c r="J57" s="30">
        <v>9318</v>
      </c>
      <c r="K57" s="30">
        <v>9692</v>
      </c>
      <c r="L57" s="30">
        <v>9625</v>
      </c>
      <c r="N57" s="516" t="s">
        <v>5369</v>
      </c>
      <c r="O57" s="4"/>
      <c r="Q57" s="4"/>
    </row>
    <row r="58" spans="1:17">
      <c r="A58" s="524">
        <v>4</v>
      </c>
      <c r="B58" s="516" t="s">
        <v>3674</v>
      </c>
      <c r="C58" s="4" t="s">
        <v>9978</v>
      </c>
      <c r="D58" s="525">
        <v>10843</v>
      </c>
      <c r="E58" s="525">
        <v>10997</v>
      </c>
      <c r="F58" s="525">
        <v>10985</v>
      </c>
      <c r="G58" s="30">
        <v>11135</v>
      </c>
      <c r="H58" s="30">
        <v>10925</v>
      </c>
      <c r="I58" s="30">
        <v>10392</v>
      </c>
      <c r="J58" s="30">
        <v>10429</v>
      </c>
      <c r="K58" s="30">
        <v>10890</v>
      </c>
      <c r="L58" s="30">
        <v>10895</v>
      </c>
      <c r="N58" s="516" t="s">
        <v>5375</v>
      </c>
      <c r="Q58" s="4"/>
    </row>
    <row r="59" spans="1:17">
      <c r="A59" s="524">
        <v>5</v>
      </c>
      <c r="B59" s="516" t="s">
        <v>3675</v>
      </c>
      <c r="C59" s="4" t="s">
        <v>9979</v>
      </c>
      <c r="D59" s="519">
        <v>10693</v>
      </c>
      <c r="E59" s="519">
        <v>10719</v>
      </c>
      <c r="F59" s="519">
        <v>10706</v>
      </c>
      <c r="G59" s="31">
        <v>10839</v>
      </c>
      <c r="H59" s="31">
        <v>10748</v>
      </c>
      <c r="I59" s="31">
        <v>10505</v>
      </c>
      <c r="J59" s="31">
        <v>10478</v>
      </c>
      <c r="K59" s="31">
        <v>10648</v>
      </c>
      <c r="L59" s="31">
        <v>10675</v>
      </c>
      <c r="N59" s="516" t="s">
        <v>5375</v>
      </c>
      <c r="Q59" s="4"/>
    </row>
    <row r="60" spans="1:17">
      <c r="A60" s="524">
        <v>6</v>
      </c>
      <c r="B60" s="516" t="s">
        <v>3676</v>
      </c>
      <c r="C60" s="4" t="s">
        <v>9980</v>
      </c>
      <c r="D60" s="525">
        <v>10952</v>
      </c>
      <c r="E60" s="525">
        <v>11090</v>
      </c>
      <c r="F60" s="525">
        <v>11189</v>
      </c>
      <c r="G60" s="30">
        <v>11413</v>
      </c>
      <c r="H60" s="30">
        <v>10914</v>
      </c>
      <c r="I60" s="30">
        <v>9595</v>
      </c>
      <c r="J60" s="30">
        <v>9966</v>
      </c>
      <c r="K60" s="30">
        <v>10143</v>
      </c>
      <c r="L60" s="30">
        <v>10662</v>
      </c>
      <c r="N60" s="516" t="s">
        <v>5372</v>
      </c>
      <c r="O60" s="4"/>
      <c r="Q60" s="4"/>
    </row>
    <row r="61" spans="1:17">
      <c r="A61" s="524">
        <v>7</v>
      </c>
      <c r="B61" s="516" t="s">
        <v>3677</v>
      </c>
      <c r="C61" s="4" t="s">
        <v>9981</v>
      </c>
      <c r="D61" s="519">
        <v>11174</v>
      </c>
      <c r="E61" s="519">
        <v>11223</v>
      </c>
      <c r="F61" s="519">
        <v>11742</v>
      </c>
      <c r="G61" s="30">
        <v>11907</v>
      </c>
      <c r="H61" s="30">
        <v>11983</v>
      </c>
      <c r="I61" s="30">
        <v>8728</v>
      </c>
      <c r="J61" s="30">
        <v>9171</v>
      </c>
      <c r="K61" s="30">
        <v>8657</v>
      </c>
      <c r="L61" s="30">
        <v>9800</v>
      </c>
      <c r="N61" s="516" t="s">
        <v>5372</v>
      </c>
      <c r="O61" s="4"/>
      <c r="Q61" s="4"/>
    </row>
    <row r="62" spans="1:17">
      <c r="A62" s="524">
        <v>8</v>
      </c>
      <c r="B62" s="516" t="s">
        <v>3678</v>
      </c>
      <c r="C62" s="4" t="s">
        <v>9982</v>
      </c>
      <c r="D62" s="519">
        <v>11412</v>
      </c>
      <c r="E62" s="519">
        <v>11788</v>
      </c>
      <c r="F62" s="519">
        <v>12214</v>
      </c>
      <c r="G62" s="30">
        <v>12336</v>
      </c>
      <c r="H62" s="30">
        <v>11607</v>
      </c>
      <c r="I62" s="30">
        <v>10039</v>
      </c>
      <c r="J62" s="30">
        <v>9998</v>
      </c>
      <c r="K62" s="30">
        <v>9806</v>
      </c>
      <c r="L62" s="30">
        <v>10328</v>
      </c>
      <c r="N62" s="516" t="s">
        <v>5369</v>
      </c>
      <c r="O62" s="4"/>
      <c r="Q62" s="4"/>
    </row>
    <row r="63" spans="1:17">
      <c r="A63" s="524">
        <v>9</v>
      </c>
      <c r="B63" s="516" t="s">
        <v>3679</v>
      </c>
      <c r="C63" s="4" t="s">
        <v>9983</v>
      </c>
      <c r="D63" s="519">
        <v>7575</v>
      </c>
      <c r="E63" s="519">
        <v>7647</v>
      </c>
      <c r="F63" s="519">
        <v>7701</v>
      </c>
      <c r="G63" s="31">
        <v>7716</v>
      </c>
      <c r="H63" s="31">
        <v>7656</v>
      </c>
      <c r="I63" s="31">
        <v>7645</v>
      </c>
      <c r="J63" s="31">
        <v>7324</v>
      </c>
      <c r="K63" s="31">
        <v>7425</v>
      </c>
      <c r="L63" s="31">
        <v>7440</v>
      </c>
      <c r="N63" s="516" t="s">
        <v>5375</v>
      </c>
      <c r="Q63" s="4"/>
    </row>
    <row r="64" spans="1:17">
      <c r="A64" s="524">
        <v>10</v>
      </c>
      <c r="B64" s="516" t="s">
        <v>3680</v>
      </c>
      <c r="C64" s="4" t="s">
        <v>9984</v>
      </c>
      <c r="D64" s="519">
        <v>10699</v>
      </c>
      <c r="E64" s="519">
        <v>10773</v>
      </c>
      <c r="F64" s="519">
        <v>10824</v>
      </c>
      <c r="G64" s="30">
        <v>10979</v>
      </c>
      <c r="H64" s="30">
        <v>10890</v>
      </c>
      <c r="I64" s="30">
        <v>10817</v>
      </c>
      <c r="J64" s="30">
        <v>10580</v>
      </c>
      <c r="K64" s="30">
        <v>10856</v>
      </c>
      <c r="L64" s="30">
        <v>10884</v>
      </c>
      <c r="N64" s="516" t="s">
        <v>5372</v>
      </c>
      <c r="Q64" s="4"/>
    </row>
    <row r="65" spans="1:17">
      <c r="A65" s="524">
        <v>11</v>
      </c>
      <c r="B65" s="516" t="s">
        <v>3681</v>
      </c>
      <c r="C65" s="4" t="s">
        <v>9985</v>
      </c>
      <c r="D65" s="519">
        <v>10099</v>
      </c>
      <c r="E65" s="519">
        <v>10307</v>
      </c>
      <c r="F65" s="519">
        <v>10432</v>
      </c>
      <c r="G65" s="30">
        <v>10743</v>
      </c>
      <c r="H65" s="30">
        <v>10471</v>
      </c>
      <c r="I65" s="30">
        <v>10070</v>
      </c>
      <c r="J65" s="30">
        <v>10101</v>
      </c>
      <c r="K65" s="30">
        <v>10307</v>
      </c>
      <c r="L65" s="30">
        <v>10513</v>
      </c>
      <c r="N65" s="516" t="s">
        <v>5372</v>
      </c>
      <c r="Q65" s="4"/>
    </row>
    <row r="66" spans="1:17">
      <c r="A66" s="524">
        <v>12</v>
      </c>
      <c r="B66" s="516" t="s">
        <v>7569</v>
      </c>
      <c r="C66" s="4" t="s">
        <v>9986</v>
      </c>
      <c r="D66" s="519">
        <v>10585</v>
      </c>
      <c r="E66" s="519">
        <v>10993</v>
      </c>
      <c r="F66" s="519">
        <v>10857</v>
      </c>
      <c r="G66" s="30">
        <v>11114</v>
      </c>
      <c r="H66" s="30">
        <v>10726</v>
      </c>
      <c r="I66" s="30">
        <v>9959</v>
      </c>
      <c r="J66" s="30">
        <v>10037</v>
      </c>
      <c r="K66" s="30">
        <v>10165</v>
      </c>
      <c r="L66" s="30">
        <v>10312</v>
      </c>
      <c r="N66" s="516" t="s">
        <v>5369</v>
      </c>
      <c r="O66" s="4"/>
      <c r="Q66" s="4"/>
    </row>
    <row r="67" spans="1:17">
      <c r="A67" s="524">
        <v>13</v>
      </c>
      <c r="B67" s="516" t="s">
        <v>3682</v>
      </c>
      <c r="C67" s="4" t="s">
        <v>9987</v>
      </c>
      <c r="D67" s="519">
        <v>6802</v>
      </c>
      <c r="E67" s="519">
        <v>7031</v>
      </c>
      <c r="F67" s="519">
        <v>6773</v>
      </c>
      <c r="G67" s="30">
        <v>7029</v>
      </c>
      <c r="H67" s="30">
        <v>6692</v>
      </c>
      <c r="I67" s="30">
        <v>6056</v>
      </c>
      <c r="J67" s="30">
        <v>6171</v>
      </c>
      <c r="K67" s="30">
        <v>6486</v>
      </c>
      <c r="L67" s="30">
        <v>6649</v>
      </c>
      <c r="N67" s="516" t="s">
        <v>5372</v>
      </c>
      <c r="Q67" s="4"/>
    </row>
    <row r="68" spans="1:17">
      <c r="A68" s="524">
        <v>14</v>
      </c>
      <c r="B68" s="516" t="s">
        <v>3683</v>
      </c>
      <c r="C68" s="4" t="s">
        <v>9988</v>
      </c>
      <c r="D68" s="519">
        <v>10163</v>
      </c>
      <c r="E68" s="519">
        <v>10448</v>
      </c>
      <c r="F68" s="519">
        <v>10403</v>
      </c>
      <c r="G68" s="30">
        <v>10726</v>
      </c>
      <c r="H68" s="30">
        <v>10577</v>
      </c>
      <c r="I68" s="30">
        <v>10293</v>
      </c>
      <c r="J68" s="30">
        <v>10224</v>
      </c>
      <c r="K68" s="30">
        <v>10463</v>
      </c>
      <c r="L68" s="30">
        <v>10569</v>
      </c>
      <c r="N68" s="516" t="s">
        <v>5369</v>
      </c>
      <c r="O68" s="4"/>
      <c r="Q68" s="4"/>
    </row>
    <row r="69" spans="1:17">
      <c r="A69" s="524">
        <v>15</v>
      </c>
      <c r="B69" s="516" t="s">
        <v>1988</v>
      </c>
      <c r="C69" s="4" t="s">
        <v>9989</v>
      </c>
      <c r="D69" s="519">
        <v>11940</v>
      </c>
      <c r="E69" s="519">
        <v>12424</v>
      </c>
      <c r="F69" s="519">
        <v>12297</v>
      </c>
      <c r="G69" s="30">
        <v>12767</v>
      </c>
      <c r="H69" s="30">
        <v>12361</v>
      </c>
      <c r="I69" s="30">
        <v>10880</v>
      </c>
      <c r="J69" s="30">
        <v>11357</v>
      </c>
      <c r="K69" s="30">
        <v>11187</v>
      </c>
      <c r="L69" s="30">
        <v>11564</v>
      </c>
      <c r="N69" s="516" t="s">
        <v>5372</v>
      </c>
      <c r="Q69" s="4"/>
    </row>
    <row r="70" spans="1:17">
      <c r="A70" s="524">
        <v>16</v>
      </c>
      <c r="B70" s="516" t="s">
        <v>1989</v>
      </c>
      <c r="C70" s="4" t="s">
        <v>9990</v>
      </c>
      <c r="D70" s="519">
        <v>6867</v>
      </c>
      <c r="E70" s="519">
        <v>6928</v>
      </c>
      <c r="F70" s="519">
        <v>6898</v>
      </c>
      <c r="G70" s="31">
        <v>7055</v>
      </c>
      <c r="H70" s="31">
        <v>7054</v>
      </c>
      <c r="I70" s="31">
        <v>6820</v>
      </c>
      <c r="J70" s="31">
        <v>6716</v>
      </c>
      <c r="K70" s="31">
        <v>6900</v>
      </c>
      <c r="L70" s="31">
        <v>7078</v>
      </c>
      <c r="N70" s="516" t="s">
        <v>5375</v>
      </c>
      <c r="Q70" s="4"/>
    </row>
    <row r="71" spans="1:17">
      <c r="A71" s="524">
        <v>17</v>
      </c>
      <c r="B71" s="516" t="s">
        <v>1204</v>
      </c>
      <c r="C71" s="4" t="s">
        <v>9991</v>
      </c>
      <c r="D71" s="519">
        <v>7787</v>
      </c>
      <c r="E71" s="519">
        <v>7870</v>
      </c>
      <c r="F71" s="519">
        <v>7834</v>
      </c>
      <c r="G71" s="31">
        <v>7952</v>
      </c>
      <c r="H71" s="31">
        <v>7916</v>
      </c>
      <c r="I71" s="31">
        <v>7814</v>
      </c>
      <c r="J71" s="31">
        <v>7686</v>
      </c>
      <c r="K71" s="31">
        <v>7950</v>
      </c>
      <c r="L71" s="31">
        <v>7950</v>
      </c>
      <c r="N71" s="516" t="s">
        <v>5375</v>
      </c>
      <c r="Q71" s="4"/>
    </row>
    <row r="72" spans="1:17">
      <c r="A72" s="524">
        <v>18</v>
      </c>
      <c r="B72" s="516" t="s">
        <v>1169</v>
      </c>
      <c r="C72" s="4" t="s">
        <v>9992</v>
      </c>
      <c r="D72" s="519">
        <v>7096</v>
      </c>
      <c r="E72" s="519">
        <v>7124</v>
      </c>
      <c r="F72" s="519">
        <v>7067</v>
      </c>
      <c r="G72" s="31">
        <v>7209</v>
      </c>
      <c r="H72" s="31">
        <v>7007</v>
      </c>
      <c r="I72" s="31">
        <v>6717</v>
      </c>
      <c r="J72" s="31">
        <v>6609</v>
      </c>
      <c r="K72" s="31">
        <v>6853</v>
      </c>
      <c r="L72" s="31">
        <v>6943</v>
      </c>
      <c r="N72" s="516" t="s">
        <v>5375</v>
      </c>
      <c r="Q72" s="4"/>
    </row>
    <row r="73" spans="1:17">
      <c r="A73" s="524">
        <v>19</v>
      </c>
      <c r="B73" s="516" t="s">
        <v>1991</v>
      </c>
      <c r="C73" s="4" t="s">
        <v>9993</v>
      </c>
      <c r="D73" s="519">
        <v>6719</v>
      </c>
      <c r="E73" s="519">
        <v>6729</v>
      </c>
      <c r="F73" s="519">
        <v>6693</v>
      </c>
      <c r="G73" s="31">
        <v>6788</v>
      </c>
      <c r="H73" s="31">
        <v>6847</v>
      </c>
      <c r="I73" s="31">
        <v>6693</v>
      </c>
      <c r="J73" s="31">
        <v>6665</v>
      </c>
      <c r="K73" s="31">
        <v>6817</v>
      </c>
      <c r="L73" s="31">
        <v>6834</v>
      </c>
      <c r="N73" s="516" t="s">
        <v>5375</v>
      </c>
      <c r="Q73" s="4"/>
    </row>
    <row r="74" spans="1:17">
      <c r="A74" s="524">
        <v>20</v>
      </c>
      <c r="B74" s="516" t="s">
        <v>1992</v>
      </c>
      <c r="C74" s="4" t="s">
        <v>9994</v>
      </c>
      <c r="D74" s="519">
        <v>10568</v>
      </c>
      <c r="E74" s="519">
        <v>10582</v>
      </c>
      <c r="F74" s="519">
        <v>10546</v>
      </c>
      <c r="G74" s="30">
        <v>10702</v>
      </c>
      <c r="H74" s="30">
        <v>10578</v>
      </c>
      <c r="I74" s="30">
        <v>10240</v>
      </c>
      <c r="J74" s="30">
        <v>10354</v>
      </c>
      <c r="K74" s="30">
        <v>10690</v>
      </c>
      <c r="L74" s="30">
        <v>10628</v>
      </c>
      <c r="N74" s="516" t="s">
        <v>5372</v>
      </c>
      <c r="Q74" s="4"/>
    </row>
    <row r="75" spans="1:17">
      <c r="A75" s="524">
        <v>21</v>
      </c>
      <c r="B75" s="516" t="s">
        <v>1993</v>
      </c>
      <c r="C75" s="4" t="s">
        <v>9995</v>
      </c>
      <c r="D75" s="519">
        <v>7363</v>
      </c>
      <c r="E75" s="519">
        <v>7354</v>
      </c>
      <c r="F75" s="519">
        <v>7351</v>
      </c>
      <c r="G75" s="30">
        <v>7425</v>
      </c>
      <c r="H75" s="30">
        <v>7489</v>
      </c>
      <c r="I75" s="30">
        <v>7305</v>
      </c>
      <c r="J75" s="30">
        <v>7216</v>
      </c>
      <c r="K75" s="30">
        <v>7353</v>
      </c>
      <c r="L75" s="30">
        <v>7395</v>
      </c>
      <c r="N75" s="516" t="s">
        <v>5369</v>
      </c>
      <c r="O75" s="4"/>
      <c r="Q75" s="4"/>
    </row>
    <row r="76" spans="1:17">
      <c r="D76" s="521"/>
      <c r="E76" s="521"/>
      <c r="F76" s="521"/>
      <c r="G76" s="521"/>
      <c r="H76" s="521"/>
      <c r="I76" s="31"/>
      <c r="J76" s="31"/>
      <c r="K76" s="31"/>
      <c r="L76" s="31"/>
    </row>
    <row r="77" spans="1:17">
      <c r="A77" s="516" t="s">
        <v>1994</v>
      </c>
      <c r="D77" s="519">
        <f t="shared" ref="D77:H77" si="97">D57+D62+D66+D68+D75</f>
        <v>49137</v>
      </c>
      <c r="E77" s="519">
        <f t="shared" si="97"/>
        <v>50427</v>
      </c>
      <c r="F77" s="519">
        <f t="shared" si="97"/>
        <v>50702</v>
      </c>
      <c r="G77" s="519">
        <f t="shared" si="97"/>
        <v>51743</v>
      </c>
      <c r="H77" s="519">
        <f t="shared" si="97"/>
        <v>50305</v>
      </c>
      <c r="I77" s="519">
        <f>I57+I68+I62+I66+I75</f>
        <v>47000</v>
      </c>
      <c r="J77" s="519">
        <f>J57+J68+J62+J66+J75</f>
        <v>46793</v>
      </c>
      <c r="K77" s="519">
        <f>K57+K68+K62+K66+K75</f>
        <v>47479</v>
      </c>
      <c r="L77" s="519">
        <f>L57+L68+L62+L66+L75</f>
        <v>48229</v>
      </c>
    </row>
    <row r="78" spans="1:17">
      <c r="A78" s="516" t="s">
        <v>5372</v>
      </c>
      <c r="D78" s="519">
        <f t="shared" ref="D78:H78" si="98">D60+D61+D64+D65+D67+D69+D74</f>
        <v>72234</v>
      </c>
      <c r="E78" s="519">
        <f t="shared" si="98"/>
        <v>73430</v>
      </c>
      <c r="F78" s="519">
        <f t="shared" si="98"/>
        <v>73803</v>
      </c>
      <c r="G78" s="519">
        <f t="shared" si="98"/>
        <v>75540</v>
      </c>
      <c r="H78" s="519">
        <f t="shared" si="98"/>
        <v>73889</v>
      </c>
      <c r="I78" s="519">
        <f>I60+I61+I64+I65+I67+I69+I74</f>
        <v>66386</v>
      </c>
      <c r="J78" s="519">
        <f>J60+J61+J64+J65+J67+J69+J74</f>
        <v>67700</v>
      </c>
      <c r="K78" s="519">
        <f>K60+K61+K64+K65+K67+K69+K74</f>
        <v>68326</v>
      </c>
      <c r="L78" s="519">
        <f>L60+L61+L64+L65+L67+L69+L74</f>
        <v>70700</v>
      </c>
    </row>
    <row r="79" spans="1:17">
      <c r="A79" s="516" t="s">
        <v>5375</v>
      </c>
      <c r="D79" s="519">
        <f t="shared" ref="D79:H79" si="99">D55+D56+D58+D59+D63+SUM(D70:D73)</f>
        <v>70598</v>
      </c>
      <c r="E79" s="519">
        <f t="shared" si="99"/>
        <v>71181</v>
      </c>
      <c r="F79" s="519">
        <f t="shared" si="99"/>
        <v>71281</v>
      </c>
      <c r="G79" s="519">
        <f t="shared" si="99"/>
        <v>72923</v>
      </c>
      <c r="H79" s="519">
        <f t="shared" si="99"/>
        <v>72001</v>
      </c>
      <c r="I79" s="519">
        <f>I55+I56+I58+I59+I63+SUM(I70:I73)</f>
        <v>69184</v>
      </c>
      <c r="J79" s="519">
        <f>J55+J56+J58+J59+J63+SUM(J70:J73)</f>
        <v>68545</v>
      </c>
      <c r="K79" s="519">
        <f>K55+K56+K58+K59+K63+SUM(K70:K73)</f>
        <v>70557</v>
      </c>
      <c r="L79" s="519">
        <f>L55+L56+L58+L59+L63+SUM(L70:L73)</f>
        <v>71145</v>
      </c>
    </row>
    <row r="81" spans="1:17">
      <c r="A81" s="516" t="s">
        <v>1995</v>
      </c>
    </row>
    <row r="82" spans="1:17">
      <c r="A82" s="516"/>
    </row>
    <row r="83" spans="1:17">
      <c r="A83" s="516"/>
    </row>
    <row r="84" spans="1:17">
      <c r="E84" s="42" t="s">
        <v>2303</v>
      </c>
      <c r="F84" s="42"/>
      <c r="G84" s="42"/>
      <c r="H84" s="42"/>
      <c r="I84" s="42"/>
      <c r="J84" s="42"/>
      <c r="K84" s="42"/>
      <c r="L84" s="42"/>
      <c r="M84" s="65"/>
      <c r="N84" s="66" t="s">
        <v>13319</v>
      </c>
    </row>
    <row r="85" spans="1:17">
      <c r="D85" s="55">
        <v>2010</v>
      </c>
      <c r="E85" s="55">
        <v>2011</v>
      </c>
      <c r="F85" s="55">
        <v>2012</v>
      </c>
      <c r="G85" s="55">
        <v>2013</v>
      </c>
      <c r="H85" s="55">
        <v>2014</v>
      </c>
      <c r="I85" s="55">
        <v>2015</v>
      </c>
      <c r="J85" s="55">
        <v>2016</v>
      </c>
      <c r="K85" s="55">
        <v>2017</v>
      </c>
      <c r="L85" s="55">
        <v>2018</v>
      </c>
      <c r="N85" s="67" t="s">
        <v>2304</v>
      </c>
    </row>
    <row r="86" spans="1:17">
      <c r="A86" s="516" t="s">
        <v>1996</v>
      </c>
      <c r="D86" s="519">
        <f t="shared" ref="D86:I86" si="100">SUM(D87:D95)</f>
        <v>71118</v>
      </c>
      <c r="E86" s="519">
        <f t="shared" si="100"/>
        <v>70810</v>
      </c>
      <c r="F86" s="519">
        <f t="shared" si="100"/>
        <v>71059</v>
      </c>
      <c r="G86" s="519">
        <f t="shared" si="100"/>
        <v>71915</v>
      </c>
      <c r="H86" s="519">
        <f t="shared" si="100"/>
        <v>70183</v>
      </c>
      <c r="I86" s="519">
        <f t="shared" si="100"/>
        <v>70003</v>
      </c>
      <c r="J86" s="519">
        <f>SUM(J87:J95)</f>
        <v>68506</v>
      </c>
      <c r="K86" s="519">
        <f>SUM(K87:K95)</f>
        <v>70141</v>
      </c>
      <c r="L86" s="519">
        <f>SUM(L87:L95)</f>
        <v>70114</v>
      </c>
    </row>
    <row r="87" spans="1:17">
      <c r="A87" s="524">
        <v>1</v>
      </c>
      <c r="B87" s="516" t="s">
        <v>1997</v>
      </c>
      <c r="C87" s="4" t="s">
        <v>10725</v>
      </c>
      <c r="D87" s="519">
        <v>7554</v>
      </c>
      <c r="E87" s="519">
        <v>7709</v>
      </c>
      <c r="F87" s="519">
        <v>7566</v>
      </c>
      <c r="G87" s="48">
        <v>7616</v>
      </c>
      <c r="H87" s="48">
        <v>7519</v>
      </c>
      <c r="I87" s="48">
        <v>7611</v>
      </c>
      <c r="J87" s="48">
        <v>7495</v>
      </c>
      <c r="K87" s="48">
        <v>7656</v>
      </c>
      <c r="L87" s="48">
        <v>7895</v>
      </c>
      <c r="N87" s="516" t="s">
        <v>5373</v>
      </c>
      <c r="O87" s="4"/>
      <c r="Q87" s="4"/>
    </row>
    <row r="88" spans="1:17">
      <c r="A88" s="524">
        <v>2</v>
      </c>
      <c r="B88" s="516" t="s">
        <v>1998</v>
      </c>
      <c r="C88" s="4" t="s">
        <v>10726</v>
      </c>
      <c r="D88" s="519">
        <v>7154</v>
      </c>
      <c r="E88" s="519">
        <v>7021</v>
      </c>
      <c r="F88" s="519">
        <v>7039</v>
      </c>
      <c r="G88" s="48">
        <v>7373</v>
      </c>
      <c r="H88" s="48">
        <v>7086</v>
      </c>
      <c r="I88" s="48">
        <v>6924</v>
      </c>
      <c r="J88" s="48">
        <v>6883</v>
      </c>
      <c r="K88" s="48">
        <v>7113</v>
      </c>
      <c r="L88" s="48">
        <v>7154</v>
      </c>
      <c r="N88" s="516" t="s">
        <v>5373</v>
      </c>
      <c r="O88" s="4"/>
      <c r="Q88" s="4"/>
    </row>
    <row r="89" spans="1:17">
      <c r="A89" s="524">
        <v>3</v>
      </c>
      <c r="B89" s="516" t="s">
        <v>3705</v>
      </c>
      <c r="C89" s="4" t="s">
        <v>10727</v>
      </c>
      <c r="D89" s="519">
        <v>7790</v>
      </c>
      <c r="E89" s="519">
        <v>7781</v>
      </c>
      <c r="F89" s="519">
        <v>7716</v>
      </c>
      <c r="G89" s="48">
        <v>7822</v>
      </c>
      <c r="H89" s="48">
        <v>7678</v>
      </c>
      <c r="I89" s="48">
        <v>7689</v>
      </c>
      <c r="J89" s="48">
        <v>7496</v>
      </c>
      <c r="K89" s="48">
        <v>7603</v>
      </c>
      <c r="L89" s="48">
        <v>7526</v>
      </c>
      <c r="N89" s="516" t="s">
        <v>5373</v>
      </c>
      <c r="O89" s="4"/>
      <c r="Q89" s="4"/>
    </row>
    <row r="90" spans="1:17">
      <c r="A90" s="524">
        <v>4</v>
      </c>
      <c r="B90" s="516" t="s">
        <v>3706</v>
      </c>
      <c r="C90" s="4" t="s">
        <v>10728</v>
      </c>
      <c r="D90" s="519">
        <v>7863</v>
      </c>
      <c r="E90" s="519">
        <v>7608</v>
      </c>
      <c r="F90" s="519">
        <v>7706</v>
      </c>
      <c r="G90" s="48">
        <v>7746</v>
      </c>
      <c r="H90" s="48">
        <v>7746</v>
      </c>
      <c r="I90" s="48">
        <v>7704</v>
      </c>
      <c r="J90" s="48">
        <v>7531</v>
      </c>
      <c r="K90" s="48">
        <v>7751</v>
      </c>
      <c r="L90" s="48">
        <v>7735</v>
      </c>
      <c r="N90" s="516" t="s">
        <v>5373</v>
      </c>
      <c r="O90" s="4"/>
      <c r="Q90" s="4"/>
    </row>
    <row r="91" spans="1:17">
      <c r="A91" s="524">
        <v>5</v>
      </c>
      <c r="B91" s="516" t="s">
        <v>3707</v>
      </c>
      <c r="C91" s="4" t="s">
        <v>10729</v>
      </c>
      <c r="D91" s="519">
        <v>8261</v>
      </c>
      <c r="E91" s="519">
        <v>8283</v>
      </c>
      <c r="F91" s="519">
        <v>8277</v>
      </c>
      <c r="G91" s="48">
        <v>8341</v>
      </c>
      <c r="H91" s="48">
        <v>8265</v>
      </c>
      <c r="I91" s="48">
        <v>8176</v>
      </c>
      <c r="J91" s="48">
        <v>7927</v>
      </c>
      <c r="K91" s="48">
        <v>8083</v>
      </c>
      <c r="L91" s="48">
        <v>7933</v>
      </c>
      <c r="N91" s="516" t="s">
        <v>5373</v>
      </c>
      <c r="O91" s="4"/>
      <c r="Q91" s="4"/>
    </row>
    <row r="92" spans="1:17">
      <c r="A92" s="524">
        <v>6</v>
      </c>
      <c r="B92" s="516" t="s">
        <v>3708</v>
      </c>
      <c r="C92" s="4" t="s">
        <v>10730</v>
      </c>
      <c r="D92" s="519">
        <v>7660</v>
      </c>
      <c r="E92" s="519">
        <v>7676</v>
      </c>
      <c r="F92" s="519">
        <v>7741</v>
      </c>
      <c r="G92" s="48">
        <v>7716</v>
      </c>
      <c r="H92" s="48">
        <v>7503</v>
      </c>
      <c r="I92" s="48">
        <v>7545</v>
      </c>
      <c r="J92" s="48">
        <v>7447</v>
      </c>
      <c r="K92" s="48">
        <v>7503</v>
      </c>
      <c r="L92" s="48">
        <v>7484</v>
      </c>
      <c r="N92" s="516" t="s">
        <v>5373</v>
      </c>
      <c r="O92" s="4"/>
      <c r="Q92" s="4"/>
    </row>
    <row r="93" spans="1:17">
      <c r="A93" s="524">
        <v>7</v>
      </c>
      <c r="B93" s="516" t="s">
        <v>3709</v>
      </c>
      <c r="C93" s="4" t="s">
        <v>10731</v>
      </c>
      <c r="D93" s="519">
        <v>8367</v>
      </c>
      <c r="E93" s="519">
        <v>8208</v>
      </c>
      <c r="F93" s="519">
        <v>8337</v>
      </c>
      <c r="G93" s="48">
        <v>8362</v>
      </c>
      <c r="H93" s="48">
        <v>7853</v>
      </c>
      <c r="I93" s="48">
        <v>7897</v>
      </c>
      <c r="J93" s="48">
        <v>7786</v>
      </c>
      <c r="K93" s="48">
        <v>7970</v>
      </c>
      <c r="L93" s="48">
        <v>7968</v>
      </c>
      <c r="N93" s="516" t="s">
        <v>5373</v>
      </c>
      <c r="O93" s="4"/>
      <c r="Q93" s="4"/>
    </row>
    <row r="94" spans="1:17">
      <c r="A94" s="524">
        <v>8</v>
      </c>
      <c r="B94" s="516" t="s">
        <v>3710</v>
      </c>
      <c r="C94" s="4" t="s">
        <v>10732</v>
      </c>
      <c r="D94" s="519">
        <v>8765</v>
      </c>
      <c r="E94" s="519">
        <v>8668</v>
      </c>
      <c r="F94" s="519">
        <v>8951</v>
      </c>
      <c r="G94" s="48">
        <v>9065</v>
      </c>
      <c r="H94" s="48">
        <v>8833</v>
      </c>
      <c r="I94" s="48">
        <v>8831</v>
      </c>
      <c r="J94" s="48">
        <v>8600</v>
      </c>
      <c r="K94" s="48">
        <v>8974</v>
      </c>
      <c r="L94" s="48">
        <v>8787</v>
      </c>
      <c r="N94" s="516" t="s">
        <v>5373</v>
      </c>
      <c r="O94" s="4"/>
      <c r="Q94" s="4"/>
    </row>
    <row r="95" spans="1:17">
      <c r="A95" s="524">
        <v>9</v>
      </c>
      <c r="B95" s="516" t="s">
        <v>3711</v>
      </c>
      <c r="C95" s="4" t="s">
        <v>10733</v>
      </c>
      <c r="D95" s="519">
        <v>7704</v>
      </c>
      <c r="E95" s="519">
        <v>7856</v>
      </c>
      <c r="F95" s="519">
        <v>7726</v>
      </c>
      <c r="G95" s="48">
        <v>7874</v>
      </c>
      <c r="H95" s="48">
        <v>7700</v>
      </c>
      <c r="I95" s="48">
        <v>7626</v>
      </c>
      <c r="J95" s="48">
        <v>7341</v>
      </c>
      <c r="K95" s="48">
        <v>7488</v>
      </c>
      <c r="L95" s="48">
        <v>7632</v>
      </c>
      <c r="N95" s="516" t="s">
        <v>5373</v>
      </c>
      <c r="O95" s="4"/>
      <c r="Q95" s="4"/>
    </row>
    <row r="96" spans="1:17">
      <c r="D96" s="521"/>
      <c r="E96" s="521"/>
      <c r="F96" s="521"/>
      <c r="G96" s="521"/>
      <c r="H96" s="521"/>
      <c r="I96" s="521"/>
      <c r="J96" s="521"/>
      <c r="K96" s="521"/>
      <c r="L96" s="521"/>
    </row>
    <row r="97" spans="1:17">
      <c r="A97" s="516" t="s">
        <v>3712</v>
      </c>
      <c r="D97" s="519">
        <f t="shared" ref="D97:I97" si="101">SUM(D87:D95)</f>
        <v>71118</v>
      </c>
      <c r="E97" s="519">
        <f t="shared" si="101"/>
        <v>70810</v>
      </c>
      <c r="F97" s="519">
        <f t="shared" si="101"/>
        <v>71059</v>
      </c>
      <c r="G97" s="519">
        <f t="shared" si="101"/>
        <v>71915</v>
      </c>
      <c r="H97" s="519">
        <f t="shared" si="101"/>
        <v>70183</v>
      </c>
      <c r="I97" s="519">
        <f t="shared" si="101"/>
        <v>70003</v>
      </c>
      <c r="J97" s="519">
        <f>SUM(J87:J95)</f>
        <v>68506</v>
      </c>
      <c r="K97" s="519">
        <f>SUM(K87:K95)</f>
        <v>70141</v>
      </c>
      <c r="L97" s="519">
        <f>SUM(L87:L95)</f>
        <v>70114</v>
      </c>
    </row>
    <row r="98" spans="1:17">
      <c r="D98" s="521"/>
      <c r="E98" s="521"/>
      <c r="F98" s="521"/>
      <c r="G98" s="521"/>
      <c r="H98" s="521"/>
      <c r="I98" s="521"/>
      <c r="J98" s="521"/>
      <c r="K98" s="521"/>
      <c r="L98" s="521"/>
    </row>
    <row r="99" spans="1:17">
      <c r="A99" s="517" t="s">
        <v>5418</v>
      </c>
    </row>
    <row r="100" spans="1:17">
      <c r="A100" s="516"/>
      <c r="B100" s="516"/>
      <c r="D100" s="526"/>
      <c r="E100" s="526"/>
      <c r="F100" s="526"/>
      <c r="G100" s="526"/>
      <c r="H100" s="526"/>
      <c r="I100" s="526"/>
      <c r="J100" s="526"/>
      <c r="K100" s="526"/>
      <c r="L100" s="526"/>
    </row>
    <row r="101" spans="1:17">
      <c r="A101" s="516"/>
      <c r="B101" s="516"/>
      <c r="D101" s="526"/>
      <c r="E101" s="526"/>
      <c r="F101" s="526"/>
      <c r="G101" s="526"/>
      <c r="H101" s="526"/>
      <c r="I101" s="526"/>
      <c r="J101" s="526"/>
      <c r="K101" s="526"/>
      <c r="L101" s="526"/>
    </row>
    <row r="102" spans="1:17">
      <c r="E102" s="42" t="s">
        <v>2303</v>
      </c>
      <c r="F102" s="42"/>
      <c r="G102" s="42"/>
      <c r="H102" s="42"/>
      <c r="I102" s="42"/>
      <c r="J102" s="42"/>
      <c r="K102" s="42"/>
      <c r="L102" s="42"/>
      <c r="M102" s="65"/>
      <c r="N102" s="66" t="s">
        <v>13319</v>
      </c>
    </row>
    <row r="103" spans="1:17">
      <c r="D103" s="55">
        <v>2010</v>
      </c>
      <c r="E103" s="55">
        <v>2011</v>
      </c>
      <c r="F103" s="55">
        <v>2012</v>
      </c>
      <c r="G103" s="55">
        <v>2013</v>
      </c>
      <c r="H103" s="55">
        <v>2014</v>
      </c>
      <c r="I103" s="55">
        <v>2015</v>
      </c>
      <c r="J103" s="55">
        <v>2016</v>
      </c>
      <c r="K103" s="55">
        <v>2017</v>
      </c>
      <c r="L103" s="55">
        <v>2018</v>
      </c>
      <c r="N103" s="67" t="s">
        <v>2304</v>
      </c>
    </row>
    <row r="104" spans="1:17">
      <c r="A104" s="516" t="s">
        <v>5419</v>
      </c>
      <c r="D104" s="519">
        <f t="shared" ref="D104:I104" si="102">SUM(D105:D120)</f>
        <v>62606</v>
      </c>
      <c r="E104" s="519">
        <f t="shared" si="102"/>
        <v>61916</v>
      </c>
      <c r="F104" s="519">
        <f t="shared" si="102"/>
        <v>62977</v>
      </c>
      <c r="G104" s="519">
        <f t="shared" si="102"/>
        <v>63672</v>
      </c>
      <c r="H104" s="519">
        <f t="shared" si="102"/>
        <v>59871</v>
      </c>
      <c r="I104" s="519">
        <f t="shared" si="102"/>
        <v>58372</v>
      </c>
      <c r="J104" s="519">
        <f t="shared" ref="J104:K104" si="103">SUM(J105:J120)</f>
        <v>57390</v>
      </c>
      <c r="K104" s="519">
        <f t="shared" si="103"/>
        <v>60293</v>
      </c>
      <c r="L104" s="519">
        <f t="shared" ref="L104" si="104">SUM(L105:L120)</f>
        <v>61756</v>
      </c>
    </row>
    <row r="105" spans="1:17">
      <c r="A105" s="524">
        <v>1</v>
      </c>
      <c r="B105" s="516" t="s">
        <v>5420</v>
      </c>
      <c r="C105" s="4" t="s">
        <v>16371</v>
      </c>
      <c r="D105" s="519">
        <v>62606</v>
      </c>
      <c r="E105" s="519">
        <v>61916</v>
      </c>
      <c r="F105" s="519">
        <v>62977</v>
      </c>
      <c r="G105" s="48">
        <v>63672</v>
      </c>
      <c r="H105" s="48">
        <v>59871</v>
      </c>
      <c r="I105" s="48">
        <v>58372</v>
      </c>
      <c r="J105" s="48">
        <v>57390</v>
      </c>
      <c r="K105" s="48">
        <v>60293</v>
      </c>
      <c r="L105" s="48">
        <v>3915</v>
      </c>
      <c r="N105" s="516" t="s">
        <v>5374</v>
      </c>
      <c r="O105" s="4"/>
      <c r="Q105" s="4"/>
    </row>
    <row r="106" spans="1:17">
      <c r="A106" s="524">
        <v>2</v>
      </c>
      <c r="B106" s="516" t="s">
        <v>2036</v>
      </c>
      <c r="C106" s="4" t="s">
        <v>16373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3650</v>
      </c>
      <c r="N106" s="516" t="s">
        <v>5374</v>
      </c>
      <c r="O106" s="4"/>
      <c r="Q106" s="4"/>
    </row>
    <row r="107" spans="1:17">
      <c r="A107" s="524">
        <v>3</v>
      </c>
      <c r="B107" s="516" t="s">
        <v>2037</v>
      </c>
      <c r="C107" s="4" t="s">
        <v>16374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3741</v>
      </c>
      <c r="N107" s="516" t="s">
        <v>5374</v>
      </c>
      <c r="O107" s="4"/>
      <c r="Q107" s="4"/>
    </row>
    <row r="108" spans="1:17">
      <c r="A108" s="524">
        <v>4</v>
      </c>
      <c r="B108" s="516" t="s">
        <v>7588</v>
      </c>
      <c r="C108" s="4" t="s">
        <v>16375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4201</v>
      </c>
      <c r="N108" s="516" t="s">
        <v>5374</v>
      </c>
      <c r="O108" s="4"/>
      <c r="Q108" s="4"/>
    </row>
    <row r="109" spans="1:17">
      <c r="A109" s="524">
        <v>5</v>
      </c>
      <c r="B109" s="516" t="s">
        <v>2006</v>
      </c>
      <c r="C109" s="4" t="s">
        <v>16376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4136</v>
      </c>
      <c r="N109" s="516" t="s">
        <v>5374</v>
      </c>
      <c r="O109" s="4"/>
      <c r="Q109" s="4"/>
    </row>
    <row r="110" spans="1:17">
      <c r="A110" s="524">
        <v>6</v>
      </c>
      <c r="B110" s="516" t="s">
        <v>2007</v>
      </c>
      <c r="C110" s="4" t="s">
        <v>16377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3702</v>
      </c>
      <c r="N110" s="516" t="s">
        <v>5374</v>
      </c>
      <c r="O110" s="4"/>
      <c r="Q110" s="4"/>
    </row>
    <row r="111" spans="1:17">
      <c r="A111" s="524">
        <v>7</v>
      </c>
      <c r="B111" s="516" t="s">
        <v>2008</v>
      </c>
      <c r="C111" s="4" t="s">
        <v>16378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4156</v>
      </c>
      <c r="N111" s="516" t="s">
        <v>5374</v>
      </c>
      <c r="O111" s="4"/>
      <c r="Q111" s="4"/>
    </row>
    <row r="112" spans="1:17">
      <c r="A112" s="524">
        <v>8</v>
      </c>
      <c r="B112" s="516" t="s">
        <v>2009</v>
      </c>
      <c r="C112" s="4" t="s">
        <v>16379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3777</v>
      </c>
      <c r="N112" s="516" t="s">
        <v>5374</v>
      </c>
      <c r="O112" s="4"/>
      <c r="Q112" s="4"/>
    </row>
    <row r="113" spans="1:17">
      <c r="A113" s="524">
        <v>9</v>
      </c>
      <c r="B113" s="516" t="s">
        <v>2010</v>
      </c>
      <c r="C113" s="4" t="s">
        <v>16380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3707</v>
      </c>
      <c r="N113" s="516" t="s">
        <v>5374</v>
      </c>
      <c r="O113" s="4"/>
      <c r="Q113" s="4"/>
    </row>
    <row r="114" spans="1:17">
      <c r="A114" s="524">
        <v>10</v>
      </c>
      <c r="B114" s="516" t="s">
        <v>2011</v>
      </c>
      <c r="C114" s="4" t="s">
        <v>16381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3912</v>
      </c>
      <c r="N114" s="516" t="s">
        <v>5374</v>
      </c>
      <c r="O114" s="4"/>
      <c r="Q114" s="4"/>
    </row>
    <row r="115" spans="1:17">
      <c r="A115" s="524">
        <v>11</v>
      </c>
      <c r="B115" s="516" t="s">
        <v>2012</v>
      </c>
      <c r="C115" s="4" t="s">
        <v>16382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3769</v>
      </c>
      <c r="N115" s="516" t="s">
        <v>5374</v>
      </c>
      <c r="O115" s="4"/>
      <c r="Q115" s="4"/>
    </row>
    <row r="116" spans="1:17">
      <c r="A116" s="524">
        <v>12</v>
      </c>
      <c r="B116" s="516" t="s">
        <v>2013</v>
      </c>
      <c r="C116" s="4" t="s">
        <v>16384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4004</v>
      </c>
      <c r="N116" s="516" t="s">
        <v>5374</v>
      </c>
      <c r="O116" s="4"/>
      <c r="Q116" s="4"/>
    </row>
    <row r="117" spans="1:17">
      <c r="A117" s="524">
        <v>13</v>
      </c>
      <c r="B117" s="516" t="s">
        <v>6641</v>
      </c>
      <c r="C117" s="4" t="s">
        <v>16383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3819</v>
      </c>
      <c r="N117" s="516" t="s">
        <v>5374</v>
      </c>
      <c r="O117" s="4"/>
      <c r="Q117" s="4"/>
    </row>
    <row r="118" spans="1:17">
      <c r="A118" s="524">
        <v>14</v>
      </c>
      <c r="B118" s="516" t="s">
        <v>2014</v>
      </c>
      <c r="C118" s="4" t="s">
        <v>16385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3491</v>
      </c>
      <c r="N118" s="516" t="s">
        <v>5374</v>
      </c>
      <c r="O118" s="4"/>
      <c r="Q118" s="4"/>
    </row>
    <row r="119" spans="1:17">
      <c r="A119" s="524">
        <v>15</v>
      </c>
      <c r="B119" s="516" t="s">
        <v>2015</v>
      </c>
      <c r="C119" s="4" t="s">
        <v>16386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3572</v>
      </c>
      <c r="N119" s="516" t="s">
        <v>5374</v>
      </c>
      <c r="O119" s="4"/>
      <c r="Q119" s="4"/>
    </row>
    <row r="120" spans="1:17">
      <c r="A120" s="524">
        <v>16</v>
      </c>
      <c r="B120" s="516" t="s">
        <v>2016</v>
      </c>
      <c r="C120" s="4" t="s">
        <v>16387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4204</v>
      </c>
      <c r="N120" s="516" t="s">
        <v>5374</v>
      </c>
      <c r="O120" s="4"/>
      <c r="Q120" s="4"/>
    </row>
    <row r="121" spans="1:17">
      <c r="A121" s="524"/>
      <c r="B121" s="516"/>
      <c r="D121" s="519"/>
      <c r="E121" s="519"/>
      <c r="F121" s="519"/>
      <c r="G121" s="519"/>
      <c r="H121" s="519"/>
      <c r="I121" s="519"/>
      <c r="J121" s="519"/>
      <c r="K121" s="519"/>
      <c r="L121" s="519"/>
      <c r="N121" s="516"/>
    </row>
    <row r="122" spans="1:17">
      <c r="A122" s="516" t="s">
        <v>2017</v>
      </c>
      <c r="D122" s="519">
        <f t="shared" ref="D122:I122" si="105">SUM(D105:D120)</f>
        <v>62606</v>
      </c>
      <c r="E122" s="519">
        <f t="shared" si="105"/>
        <v>61916</v>
      </c>
      <c r="F122" s="519">
        <f t="shared" si="105"/>
        <v>62977</v>
      </c>
      <c r="G122" s="519">
        <f t="shared" si="105"/>
        <v>63672</v>
      </c>
      <c r="H122" s="519">
        <f t="shared" si="105"/>
        <v>59871</v>
      </c>
      <c r="I122" s="519">
        <f t="shared" si="105"/>
        <v>58372</v>
      </c>
      <c r="J122" s="519">
        <f t="shared" ref="J122:K122" si="106">SUM(J105:J120)</f>
        <v>57390</v>
      </c>
      <c r="K122" s="519">
        <f t="shared" si="106"/>
        <v>60293</v>
      </c>
      <c r="L122" s="519">
        <f t="shared" ref="L122" si="107">SUM(L105:L120)</f>
        <v>61756</v>
      </c>
      <c r="N122" s="516"/>
    </row>
    <row r="123" spans="1:17">
      <c r="D123" s="521"/>
      <c r="E123" s="521"/>
      <c r="F123" s="521"/>
      <c r="G123" s="521"/>
      <c r="H123" s="521"/>
      <c r="I123" s="521"/>
      <c r="J123" s="521"/>
      <c r="K123" s="521"/>
      <c r="L123" s="521"/>
    </row>
    <row r="124" spans="1:17">
      <c r="A124" s="517" t="s">
        <v>16372</v>
      </c>
    </row>
    <row r="125" spans="1:17">
      <c r="A125" s="516"/>
      <c r="B125" s="516"/>
      <c r="D125" s="526"/>
      <c r="E125" s="526"/>
      <c r="F125" s="526"/>
      <c r="G125" s="526"/>
      <c r="H125" s="526"/>
      <c r="I125" s="526"/>
      <c r="J125" s="526"/>
      <c r="K125" s="526"/>
      <c r="L125" s="526"/>
    </row>
    <row r="126" spans="1:17">
      <c r="A126" s="516"/>
      <c r="B126" s="516"/>
      <c r="D126" s="526"/>
      <c r="E126" s="526"/>
      <c r="F126" s="526"/>
      <c r="G126" s="526"/>
      <c r="H126" s="526"/>
      <c r="I126" s="526"/>
      <c r="J126" s="526"/>
      <c r="K126" s="526"/>
      <c r="L126" s="526"/>
    </row>
    <row r="127" spans="1:17">
      <c r="E127" s="42" t="s">
        <v>2303</v>
      </c>
      <c r="F127" s="42"/>
      <c r="G127" s="42"/>
      <c r="H127" s="42"/>
      <c r="I127" s="42"/>
      <c r="J127" s="42"/>
      <c r="K127" s="42"/>
      <c r="L127" s="42"/>
      <c r="M127" s="65"/>
      <c r="N127" s="66" t="s">
        <v>13319</v>
      </c>
    </row>
    <row r="128" spans="1:17">
      <c r="D128" s="55">
        <v>2010</v>
      </c>
      <c r="E128" s="55">
        <v>2011</v>
      </c>
      <c r="F128" s="55">
        <v>2012</v>
      </c>
      <c r="G128" s="55">
        <v>2013</v>
      </c>
      <c r="H128" s="55">
        <v>2014</v>
      </c>
      <c r="I128" s="55">
        <v>2015</v>
      </c>
      <c r="J128" s="55">
        <v>2016</v>
      </c>
      <c r="K128" s="55">
        <v>2017</v>
      </c>
      <c r="L128" s="55">
        <v>2018</v>
      </c>
      <c r="N128" s="67" t="s">
        <v>2304</v>
      </c>
    </row>
    <row r="129" spans="1:17">
      <c r="A129" s="516" t="s">
        <v>2018</v>
      </c>
      <c r="D129" s="519">
        <f t="shared" ref="D129:I129" si="108">SUM(D130:D150)</f>
        <v>74039</v>
      </c>
      <c r="E129" s="519">
        <f t="shared" si="108"/>
        <v>74491</v>
      </c>
      <c r="F129" s="519">
        <f t="shared" si="108"/>
        <v>73777</v>
      </c>
      <c r="G129" s="519">
        <f t="shared" si="108"/>
        <v>74836</v>
      </c>
      <c r="H129" s="519">
        <f t="shared" si="108"/>
        <v>74614</v>
      </c>
      <c r="I129" s="519">
        <f t="shared" si="108"/>
        <v>72629</v>
      </c>
      <c r="J129" s="519">
        <f t="shared" ref="J129:K129" si="109">SUM(J130:J150)</f>
        <v>70806</v>
      </c>
      <c r="K129" s="519">
        <f t="shared" si="109"/>
        <v>72595</v>
      </c>
      <c r="L129" s="519">
        <f t="shared" ref="L129" si="110">SUM(L130:L150)</f>
        <v>74010</v>
      </c>
    </row>
    <row r="130" spans="1:17">
      <c r="A130" s="524">
        <v>1</v>
      </c>
      <c r="B130" s="516" t="s">
        <v>2019</v>
      </c>
      <c r="C130" s="4" t="s">
        <v>10734</v>
      </c>
      <c r="D130" s="519">
        <v>1568</v>
      </c>
      <c r="E130" s="519">
        <v>1609</v>
      </c>
      <c r="F130" s="519">
        <v>1613</v>
      </c>
      <c r="G130" s="519">
        <v>1623</v>
      </c>
      <c r="H130" s="48">
        <v>1576</v>
      </c>
      <c r="I130" s="48">
        <v>1553</v>
      </c>
      <c r="J130" s="48">
        <v>1510</v>
      </c>
      <c r="K130" s="48">
        <v>1536</v>
      </c>
      <c r="L130" s="48">
        <v>1602</v>
      </c>
      <c r="N130" s="516" t="s">
        <v>5376</v>
      </c>
      <c r="O130" s="4"/>
      <c r="Q130" s="4"/>
    </row>
    <row r="131" spans="1:17">
      <c r="A131" s="524">
        <v>2</v>
      </c>
      <c r="B131" s="516" t="s">
        <v>2046</v>
      </c>
      <c r="C131" s="4" t="s">
        <v>10735</v>
      </c>
      <c r="D131" s="519">
        <v>3769</v>
      </c>
      <c r="E131" s="519">
        <v>3805</v>
      </c>
      <c r="F131" s="519">
        <v>3778</v>
      </c>
      <c r="G131" s="519">
        <v>3882</v>
      </c>
      <c r="H131" s="48">
        <v>3939</v>
      </c>
      <c r="I131" s="48">
        <v>3904</v>
      </c>
      <c r="J131" s="48">
        <v>3802</v>
      </c>
      <c r="K131" s="48">
        <v>3976</v>
      </c>
      <c r="L131" s="48">
        <v>4122</v>
      </c>
      <c r="N131" s="516" t="s">
        <v>5376</v>
      </c>
      <c r="O131" s="4"/>
      <c r="Q131" s="4"/>
    </row>
    <row r="132" spans="1:17">
      <c r="A132" s="524">
        <v>3</v>
      </c>
      <c r="B132" s="516" t="s">
        <v>2047</v>
      </c>
      <c r="C132" s="4" t="s">
        <v>10736</v>
      </c>
      <c r="D132" s="519">
        <v>1956</v>
      </c>
      <c r="E132" s="519">
        <v>1968</v>
      </c>
      <c r="F132" s="519">
        <v>2009</v>
      </c>
      <c r="G132" s="519">
        <v>2012</v>
      </c>
      <c r="H132" s="48">
        <v>2044</v>
      </c>
      <c r="I132" s="48">
        <v>2008</v>
      </c>
      <c r="J132" s="48">
        <v>1891</v>
      </c>
      <c r="K132" s="48">
        <v>1936</v>
      </c>
      <c r="L132" s="48">
        <v>1992</v>
      </c>
      <c r="N132" s="516" t="s">
        <v>5376</v>
      </c>
      <c r="O132" s="4"/>
      <c r="Q132" s="4"/>
    </row>
    <row r="133" spans="1:17">
      <c r="A133" s="524">
        <v>4</v>
      </c>
      <c r="B133" s="516" t="s">
        <v>3161</v>
      </c>
      <c r="C133" s="4" t="s">
        <v>10737</v>
      </c>
      <c r="D133" s="519">
        <v>5630</v>
      </c>
      <c r="E133" s="519">
        <v>5584</v>
      </c>
      <c r="F133" s="519">
        <v>5437</v>
      </c>
      <c r="G133" s="519">
        <v>5584</v>
      </c>
      <c r="H133" s="48">
        <v>5550</v>
      </c>
      <c r="I133" s="48">
        <v>5413</v>
      </c>
      <c r="J133" s="48">
        <v>5275</v>
      </c>
      <c r="K133" s="48">
        <v>5427</v>
      </c>
      <c r="L133" s="48">
        <v>5494</v>
      </c>
      <c r="N133" s="516" t="s">
        <v>5369</v>
      </c>
      <c r="O133" s="4"/>
      <c r="Q133" s="4"/>
    </row>
    <row r="134" spans="1:17">
      <c r="A134" s="524">
        <v>5</v>
      </c>
      <c r="B134" s="516" t="s">
        <v>3162</v>
      </c>
      <c r="C134" s="4" t="s">
        <v>10738</v>
      </c>
      <c r="D134" s="519">
        <v>1619</v>
      </c>
      <c r="E134" s="519">
        <v>1602</v>
      </c>
      <c r="F134" s="519">
        <v>1625</v>
      </c>
      <c r="G134" s="519">
        <v>1631</v>
      </c>
      <c r="H134" s="48">
        <v>1613</v>
      </c>
      <c r="I134" s="48">
        <v>1590</v>
      </c>
      <c r="J134" s="48">
        <v>1542</v>
      </c>
      <c r="K134" s="48">
        <v>1590</v>
      </c>
      <c r="L134" s="48">
        <v>1612</v>
      </c>
      <c r="N134" s="516" t="s">
        <v>5376</v>
      </c>
      <c r="O134" s="4"/>
      <c r="Q134" s="4"/>
    </row>
    <row r="135" spans="1:17">
      <c r="A135" s="524">
        <v>6</v>
      </c>
      <c r="B135" s="516" t="s">
        <v>3163</v>
      </c>
      <c r="C135" s="4" t="s">
        <v>10739</v>
      </c>
      <c r="D135" s="519">
        <v>3585</v>
      </c>
      <c r="E135" s="519">
        <v>3600</v>
      </c>
      <c r="F135" s="519">
        <v>3601</v>
      </c>
      <c r="G135" s="519">
        <v>3681</v>
      </c>
      <c r="H135" s="48">
        <v>3567</v>
      </c>
      <c r="I135" s="48">
        <v>3368</v>
      </c>
      <c r="J135" s="48">
        <v>3356</v>
      </c>
      <c r="K135" s="48">
        <v>3454</v>
      </c>
      <c r="L135" s="48">
        <v>3645</v>
      </c>
      <c r="N135" s="516" t="s">
        <v>5376</v>
      </c>
    </row>
    <row r="136" spans="1:17">
      <c r="A136" s="524">
        <v>7</v>
      </c>
      <c r="B136" s="516" t="s">
        <v>3164</v>
      </c>
      <c r="C136" s="4" t="s">
        <v>10740</v>
      </c>
      <c r="D136" s="519">
        <v>3538</v>
      </c>
      <c r="E136" s="519">
        <v>3544</v>
      </c>
      <c r="F136" s="519">
        <v>3349</v>
      </c>
      <c r="G136" s="519">
        <v>3480</v>
      </c>
      <c r="H136" s="48">
        <v>3432</v>
      </c>
      <c r="I136" s="48">
        <v>3332</v>
      </c>
      <c r="J136" s="48">
        <v>3283</v>
      </c>
      <c r="K136" s="48">
        <v>3350</v>
      </c>
      <c r="L136" s="48">
        <v>2969</v>
      </c>
      <c r="N136" s="516" t="s">
        <v>5376</v>
      </c>
      <c r="O136" s="4"/>
      <c r="Q136" s="4"/>
    </row>
    <row r="137" spans="1:17">
      <c r="A137" s="524">
        <v>8</v>
      </c>
      <c r="B137" s="516" t="s">
        <v>3165</v>
      </c>
      <c r="C137" s="4" t="s">
        <v>10741</v>
      </c>
      <c r="D137" s="519">
        <v>5303</v>
      </c>
      <c r="E137" s="519">
        <v>5347</v>
      </c>
      <c r="F137" s="519">
        <v>5213</v>
      </c>
      <c r="G137" s="519">
        <v>5248</v>
      </c>
      <c r="H137" s="48">
        <v>5244</v>
      </c>
      <c r="I137" s="48">
        <v>5113</v>
      </c>
      <c r="J137" s="48">
        <v>5067</v>
      </c>
      <c r="K137" s="48">
        <v>5196</v>
      </c>
      <c r="L137" s="48">
        <v>5799</v>
      </c>
      <c r="N137" s="516" t="s">
        <v>5376</v>
      </c>
      <c r="O137" s="4"/>
      <c r="Q137" s="4"/>
    </row>
    <row r="138" spans="1:17">
      <c r="A138" s="524">
        <v>9</v>
      </c>
      <c r="B138" s="516" t="s">
        <v>3166</v>
      </c>
      <c r="C138" s="4" t="s">
        <v>10742</v>
      </c>
      <c r="D138" s="519">
        <v>6124</v>
      </c>
      <c r="E138" s="519">
        <v>6090</v>
      </c>
      <c r="F138" s="519">
        <v>6061</v>
      </c>
      <c r="G138" s="519">
        <v>6036</v>
      </c>
      <c r="H138" s="48">
        <v>5978</v>
      </c>
      <c r="I138" s="48">
        <v>5705</v>
      </c>
      <c r="J138" s="48">
        <v>5532</v>
      </c>
      <c r="K138" s="48">
        <v>5721</v>
      </c>
      <c r="L138" s="48">
        <v>5796</v>
      </c>
      <c r="N138" s="516" t="s">
        <v>5376</v>
      </c>
      <c r="O138" s="4"/>
      <c r="Q138" s="4"/>
    </row>
    <row r="139" spans="1:17">
      <c r="A139" s="524">
        <v>10</v>
      </c>
      <c r="B139" s="516" t="s">
        <v>3167</v>
      </c>
      <c r="C139" s="4" t="s">
        <v>10743</v>
      </c>
      <c r="D139" s="519">
        <v>2834</v>
      </c>
      <c r="E139" s="519">
        <v>2858</v>
      </c>
      <c r="F139" s="519">
        <v>2878</v>
      </c>
      <c r="G139" s="519">
        <v>2857</v>
      </c>
      <c r="H139" s="48">
        <v>2821</v>
      </c>
      <c r="I139" s="48">
        <v>2683</v>
      </c>
      <c r="J139" s="48">
        <v>2554</v>
      </c>
      <c r="K139" s="48">
        <v>2614</v>
      </c>
      <c r="L139" s="48">
        <v>2597</v>
      </c>
      <c r="N139" s="516" t="s">
        <v>5376</v>
      </c>
      <c r="O139" s="4"/>
      <c r="Q139" s="4"/>
    </row>
    <row r="140" spans="1:17">
      <c r="A140" s="524">
        <v>11</v>
      </c>
      <c r="B140" s="516" t="s">
        <v>3168</v>
      </c>
      <c r="C140" s="4" t="s">
        <v>10744</v>
      </c>
      <c r="D140" s="519">
        <v>1964</v>
      </c>
      <c r="E140" s="519">
        <v>1964</v>
      </c>
      <c r="F140" s="519">
        <v>1953</v>
      </c>
      <c r="G140" s="519">
        <v>2019</v>
      </c>
      <c r="H140" s="48">
        <v>2011</v>
      </c>
      <c r="I140" s="48">
        <v>1960</v>
      </c>
      <c r="J140" s="48">
        <v>1922</v>
      </c>
      <c r="K140" s="48">
        <v>1953</v>
      </c>
      <c r="L140" s="48">
        <v>1971</v>
      </c>
      <c r="N140" s="516" t="s">
        <v>5376</v>
      </c>
      <c r="O140" s="4"/>
      <c r="Q140" s="4"/>
    </row>
    <row r="141" spans="1:17">
      <c r="A141" s="524">
        <v>12</v>
      </c>
      <c r="B141" s="516" t="s">
        <v>3169</v>
      </c>
      <c r="C141" s="4" t="s">
        <v>10745</v>
      </c>
      <c r="D141" s="519">
        <v>5038</v>
      </c>
      <c r="E141" s="519">
        <v>5102</v>
      </c>
      <c r="F141" s="519">
        <v>5079</v>
      </c>
      <c r="G141" s="519">
        <v>5093</v>
      </c>
      <c r="H141" s="48">
        <v>5086</v>
      </c>
      <c r="I141" s="48">
        <v>5036</v>
      </c>
      <c r="J141" s="48">
        <v>4829</v>
      </c>
      <c r="K141" s="48">
        <v>4860</v>
      </c>
      <c r="L141" s="48">
        <v>4883</v>
      </c>
      <c r="N141" s="516" t="s">
        <v>5376</v>
      </c>
      <c r="O141" s="4"/>
      <c r="Q141" s="4"/>
    </row>
    <row r="142" spans="1:17">
      <c r="A142" s="524">
        <v>13</v>
      </c>
      <c r="B142" s="516" t="s">
        <v>3170</v>
      </c>
      <c r="C142" s="4" t="s">
        <v>10746</v>
      </c>
      <c r="D142" s="519">
        <v>3552</v>
      </c>
      <c r="E142" s="519">
        <v>3738</v>
      </c>
      <c r="F142" s="519">
        <v>3754</v>
      </c>
      <c r="G142" s="519">
        <v>3941</v>
      </c>
      <c r="H142" s="48">
        <v>4079</v>
      </c>
      <c r="I142" s="48">
        <v>3846</v>
      </c>
      <c r="J142" s="48">
        <v>3825</v>
      </c>
      <c r="K142" s="48">
        <v>4061</v>
      </c>
      <c r="L142" s="48">
        <v>4213</v>
      </c>
      <c r="N142" s="516" t="s">
        <v>5369</v>
      </c>
      <c r="O142" s="4"/>
      <c r="Q142" s="4"/>
    </row>
    <row r="143" spans="1:17">
      <c r="A143" s="524">
        <v>14</v>
      </c>
      <c r="B143" s="516" t="s">
        <v>3171</v>
      </c>
      <c r="C143" s="4" t="s">
        <v>10747</v>
      </c>
      <c r="D143" s="519">
        <v>3389</v>
      </c>
      <c r="E143" s="519">
        <v>3372</v>
      </c>
      <c r="F143" s="519">
        <v>3282</v>
      </c>
      <c r="G143" s="519">
        <v>3340</v>
      </c>
      <c r="H143" s="48">
        <v>3356</v>
      </c>
      <c r="I143" s="48">
        <v>3172</v>
      </c>
      <c r="J143" s="48">
        <v>3148</v>
      </c>
      <c r="K143" s="48">
        <v>3238</v>
      </c>
      <c r="L143" s="48">
        <v>3257</v>
      </c>
      <c r="N143" s="516" t="s">
        <v>5369</v>
      </c>
      <c r="O143" s="4"/>
      <c r="Q143" s="4"/>
    </row>
    <row r="144" spans="1:17">
      <c r="A144" s="524">
        <v>15</v>
      </c>
      <c r="B144" s="516" t="s">
        <v>1390</v>
      </c>
      <c r="C144" s="4" t="s">
        <v>10748</v>
      </c>
      <c r="D144" s="519">
        <v>3349</v>
      </c>
      <c r="E144" s="519">
        <v>3436</v>
      </c>
      <c r="F144" s="519">
        <v>3449</v>
      </c>
      <c r="G144" s="519">
        <v>3476</v>
      </c>
      <c r="H144" s="48">
        <v>3418</v>
      </c>
      <c r="I144" s="48">
        <v>3277</v>
      </c>
      <c r="J144" s="48">
        <v>3164</v>
      </c>
      <c r="K144" s="48">
        <v>3166</v>
      </c>
      <c r="L144" s="48">
        <v>3303</v>
      </c>
      <c r="N144" s="516" t="s">
        <v>5369</v>
      </c>
    </row>
    <row r="145" spans="1:17">
      <c r="A145" s="524">
        <v>16</v>
      </c>
      <c r="B145" s="516" t="s">
        <v>4059</v>
      </c>
      <c r="C145" s="4" t="s">
        <v>10749</v>
      </c>
      <c r="D145" s="519">
        <v>1753</v>
      </c>
      <c r="E145" s="519">
        <v>1743</v>
      </c>
      <c r="F145" s="519">
        <v>1731</v>
      </c>
      <c r="G145" s="519">
        <v>1758</v>
      </c>
      <c r="H145" s="48">
        <v>1753</v>
      </c>
      <c r="I145" s="48">
        <v>1717</v>
      </c>
      <c r="J145" s="48">
        <v>1678</v>
      </c>
      <c r="K145" s="48">
        <v>1708</v>
      </c>
      <c r="L145" s="48">
        <v>1735</v>
      </c>
      <c r="N145" s="516" t="s">
        <v>5376</v>
      </c>
    </row>
    <row r="146" spans="1:17">
      <c r="A146" s="524">
        <v>17</v>
      </c>
      <c r="B146" s="516" t="s">
        <v>4060</v>
      </c>
      <c r="C146" s="4" t="s">
        <v>10750</v>
      </c>
      <c r="D146" s="519">
        <v>3802</v>
      </c>
      <c r="E146" s="519">
        <v>3810</v>
      </c>
      <c r="F146" s="519">
        <v>3681</v>
      </c>
      <c r="G146" s="519">
        <v>3794</v>
      </c>
      <c r="H146" s="48">
        <v>3752</v>
      </c>
      <c r="I146" s="48">
        <v>3663</v>
      </c>
      <c r="J146" s="48">
        <v>3500</v>
      </c>
      <c r="K146" s="48">
        <v>3628</v>
      </c>
      <c r="L146" s="48">
        <v>3673</v>
      </c>
      <c r="N146" s="516" t="s">
        <v>5376</v>
      </c>
    </row>
    <row r="147" spans="1:17">
      <c r="A147" s="524">
        <v>18</v>
      </c>
      <c r="B147" s="516" t="s">
        <v>4061</v>
      </c>
      <c r="C147" s="4" t="s">
        <v>10751</v>
      </c>
      <c r="D147" s="519">
        <v>3923</v>
      </c>
      <c r="E147" s="519">
        <v>3896</v>
      </c>
      <c r="F147" s="519">
        <v>3878</v>
      </c>
      <c r="G147" s="519">
        <v>3936</v>
      </c>
      <c r="H147" s="48">
        <v>3927</v>
      </c>
      <c r="I147" s="48">
        <v>3880</v>
      </c>
      <c r="J147" s="48">
        <v>3792</v>
      </c>
      <c r="K147" s="48">
        <v>3837</v>
      </c>
      <c r="L147" s="48">
        <v>3863</v>
      </c>
      <c r="N147" s="516" t="s">
        <v>5376</v>
      </c>
      <c r="O147" s="4"/>
      <c r="Q147" s="4"/>
    </row>
    <row r="148" spans="1:17">
      <c r="A148" s="524">
        <v>19</v>
      </c>
      <c r="B148" s="516" t="s">
        <v>4062</v>
      </c>
      <c r="C148" s="4" t="s">
        <v>10752</v>
      </c>
      <c r="D148" s="519">
        <v>3953</v>
      </c>
      <c r="E148" s="519">
        <v>4018</v>
      </c>
      <c r="F148" s="519">
        <v>4040</v>
      </c>
      <c r="G148" s="519">
        <v>4049</v>
      </c>
      <c r="H148" s="48">
        <v>4052</v>
      </c>
      <c r="I148" s="48">
        <v>4021</v>
      </c>
      <c r="J148" s="48">
        <v>3913</v>
      </c>
      <c r="K148" s="48">
        <v>3982</v>
      </c>
      <c r="L148" s="48">
        <v>4040</v>
      </c>
      <c r="N148" s="516" t="s">
        <v>5376</v>
      </c>
      <c r="O148" s="4"/>
      <c r="Q148" s="4"/>
    </row>
    <row r="149" spans="1:17">
      <c r="A149" s="524">
        <v>20</v>
      </c>
      <c r="B149" s="516" t="s">
        <v>2363</v>
      </c>
      <c r="C149" s="4" t="s">
        <v>10753</v>
      </c>
      <c r="D149" s="519">
        <v>3484</v>
      </c>
      <c r="E149" s="519">
        <v>3521</v>
      </c>
      <c r="F149" s="519">
        <v>3474</v>
      </c>
      <c r="G149" s="519">
        <v>3489</v>
      </c>
      <c r="H149" s="48">
        <v>3552</v>
      </c>
      <c r="I149" s="48">
        <v>3524</v>
      </c>
      <c r="J149" s="48">
        <v>3480</v>
      </c>
      <c r="K149" s="48">
        <v>3529</v>
      </c>
      <c r="L149" s="48">
        <v>3559</v>
      </c>
      <c r="N149" s="516" t="s">
        <v>5376</v>
      </c>
      <c r="O149" s="4"/>
      <c r="Q149" s="4"/>
    </row>
    <row r="150" spans="1:17">
      <c r="A150" s="524">
        <v>21</v>
      </c>
      <c r="B150" s="516" t="s">
        <v>2346</v>
      </c>
      <c r="C150" s="4" t="s">
        <v>10754</v>
      </c>
      <c r="D150" s="519">
        <v>3906</v>
      </c>
      <c r="E150" s="519">
        <v>3884</v>
      </c>
      <c r="F150" s="519">
        <v>3892</v>
      </c>
      <c r="G150" s="519">
        <v>3907</v>
      </c>
      <c r="H150" s="48">
        <v>3864</v>
      </c>
      <c r="I150" s="48">
        <v>3864</v>
      </c>
      <c r="J150" s="48">
        <v>3743</v>
      </c>
      <c r="K150" s="48">
        <v>3833</v>
      </c>
      <c r="L150" s="48">
        <v>3885</v>
      </c>
      <c r="N150" s="516" t="s">
        <v>5376</v>
      </c>
      <c r="O150" s="4"/>
      <c r="Q150" s="4"/>
    </row>
    <row r="151" spans="1:17">
      <c r="D151" s="521"/>
      <c r="E151" s="521"/>
      <c r="F151" s="521"/>
      <c r="G151" s="521"/>
      <c r="H151" s="521"/>
      <c r="I151" s="521"/>
      <c r="J151" s="521"/>
      <c r="K151" s="521"/>
      <c r="L151" s="521"/>
      <c r="O151" s="4"/>
      <c r="Q151" s="4"/>
    </row>
    <row r="152" spans="1:17">
      <c r="A152" s="516" t="s">
        <v>1994</v>
      </c>
      <c r="D152" s="519">
        <f t="shared" ref="D152:I152" si="111">D133+SUM(D142:D144)</f>
        <v>15920</v>
      </c>
      <c r="E152" s="519">
        <f t="shared" si="111"/>
        <v>16130</v>
      </c>
      <c r="F152" s="519">
        <f t="shared" si="111"/>
        <v>15922</v>
      </c>
      <c r="G152" s="519">
        <f t="shared" si="111"/>
        <v>16341</v>
      </c>
      <c r="H152" s="519">
        <f t="shared" si="111"/>
        <v>16403</v>
      </c>
      <c r="I152" s="519">
        <f t="shared" si="111"/>
        <v>15708</v>
      </c>
      <c r="J152" s="519">
        <f t="shared" ref="J152:K152" si="112">J133+SUM(J142:J144)</f>
        <v>15412</v>
      </c>
      <c r="K152" s="519">
        <f t="shared" si="112"/>
        <v>15892</v>
      </c>
      <c r="L152" s="519">
        <f t="shared" ref="L152" si="113">L133+SUM(L142:L144)</f>
        <v>16267</v>
      </c>
      <c r="O152" s="4"/>
      <c r="Q152" s="4"/>
    </row>
    <row r="153" spans="1:17">
      <c r="A153" s="516" t="s">
        <v>2347</v>
      </c>
      <c r="D153" s="519">
        <f t="shared" ref="D153:I153" si="114">SUM(D130:D132)+SUM(D134:D141)+SUM(D145:D150)</f>
        <v>58119</v>
      </c>
      <c r="E153" s="519">
        <f t="shared" si="114"/>
        <v>58361</v>
      </c>
      <c r="F153" s="519">
        <f t="shared" si="114"/>
        <v>57855</v>
      </c>
      <c r="G153" s="519">
        <f t="shared" si="114"/>
        <v>58495</v>
      </c>
      <c r="H153" s="519">
        <f t="shared" si="114"/>
        <v>58211</v>
      </c>
      <c r="I153" s="519">
        <f t="shared" si="114"/>
        <v>56921</v>
      </c>
      <c r="J153" s="519">
        <f t="shared" ref="J153:K153" si="115">SUM(J130:J132)+SUM(J134:J141)+SUM(J145:J150)</f>
        <v>55394</v>
      </c>
      <c r="K153" s="519">
        <f t="shared" si="115"/>
        <v>56703</v>
      </c>
      <c r="L153" s="519">
        <f t="shared" ref="L153" si="116">SUM(L130:L132)+SUM(L134:L141)+SUM(L145:L150)</f>
        <v>57743</v>
      </c>
      <c r="O153" s="4"/>
      <c r="Q153" s="4"/>
    </row>
    <row r="154" spans="1:17">
      <c r="A154" s="516"/>
      <c r="B154" s="516"/>
      <c r="D154" s="519"/>
      <c r="E154" s="519"/>
      <c r="F154" s="519"/>
      <c r="G154" s="519"/>
      <c r="H154" s="519"/>
      <c r="I154" s="519"/>
      <c r="J154" s="519"/>
      <c r="K154" s="519"/>
      <c r="L154" s="519"/>
      <c r="O154" s="4"/>
      <c r="Q154" s="4"/>
    </row>
    <row r="155" spans="1:17" ht="15" customHeight="1">
      <c r="A155" s="517" t="s">
        <v>2348</v>
      </c>
    </row>
    <row r="156" spans="1:17" ht="15" customHeight="1">
      <c r="A156" s="516"/>
      <c r="B156" s="516"/>
      <c r="D156" s="526"/>
      <c r="E156" s="526"/>
      <c r="F156" s="526"/>
      <c r="G156" s="526"/>
      <c r="H156" s="526"/>
      <c r="I156" s="526"/>
      <c r="J156" s="526"/>
      <c r="K156" s="526"/>
      <c r="L156" s="526"/>
    </row>
    <row r="157" spans="1:17" ht="15" customHeight="1">
      <c r="A157" s="516"/>
      <c r="B157" s="516"/>
      <c r="D157" s="526"/>
      <c r="E157" s="526"/>
      <c r="F157" s="526"/>
      <c r="G157" s="526"/>
      <c r="H157" s="526"/>
      <c r="I157" s="526"/>
      <c r="J157" s="526"/>
      <c r="K157" s="526"/>
      <c r="L157" s="526"/>
    </row>
    <row r="158" spans="1:17">
      <c r="E158" s="42" t="s">
        <v>2303</v>
      </c>
      <c r="F158" s="42"/>
      <c r="G158" s="42"/>
      <c r="H158" s="42"/>
      <c r="I158" s="42"/>
      <c r="J158" s="42"/>
      <c r="K158" s="42"/>
      <c r="L158" s="42"/>
      <c r="M158" s="65"/>
      <c r="N158" s="66" t="s">
        <v>13319</v>
      </c>
    </row>
    <row r="159" spans="1:17">
      <c r="D159" s="55">
        <v>2010</v>
      </c>
      <c r="E159" s="55">
        <v>2011</v>
      </c>
      <c r="F159" s="55">
        <v>2012</v>
      </c>
      <c r="G159" s="55">
        <v>2013</v>
      </c>
      <c r="H159" s="55">
        <v>2014</v>
      </c>
      <c r="I159" s="55">
        <v>2015</v>
      </c>
      <c r="J159" s="55">
        <v>2016</v>
      </c>
      <c r="K159" s="55">
        <v>2017</v>
      </c>
      <c r="L159" s="55">
        <v>2018</v>
      </c>
      <c r="N159" s="67" t="s">
        <v>2304</v>
      </c>
    </row>
    <row r="160" spans="1:17">
      <c r="A160" s="516" t="s">
        <v>2349</v>
      </c>
      <c r="D160" s="519">
        <f t="shared" ref="D160:I160" si="117">SUM(D161:D180)</f>
        <v>71008</v>
      </c>
      <c r="E160" s="519">
        <f t="shared" si="117"/>
        <v>71289</v>
      </c>
      <c r="F160" s="519">
        <f t="shared" si="117"/>
        <v>71636</v>
      </c>
      <c r="G160" s="519">
        <f t="shared" si="117"/>
        <v>72208</v>
      </c>
      <c r="H160" s="519">
        <f t="shared" si="117"/>
        <v>69469</v>
      </c>
      <c r="I160" s="519">
        <f t="shared" si="117"/>
        <v>70279</v>
      </c>
      <c r="J160" s="519">
        <f t="shared" ref="J160:K160" si="118">SUM(J161:J180)</f>
        <v>69941</v>
      </c>
      <c r="K160" s="519">
        <f t="shared" si="118"/>
        <v>72114</v>
      </c>
      <c r="L160" s="519">
        <f t="shared" ref="L160" si="119">SUM(L161:L180)</f>
        <v>72743</v>
      </c>
    </row>
    <row r="161" spans="1:17">
      <c r="A161" s="524">
        <v>1</v>
      </c>
      <c r="B161" s="516" t="s">
        <v>2350</v>
      </c>
      <c r="C161" s="4" t="s">
        <v>10755</v>
      </c>
      <c r="D161" s="519">
        <v>3999</v>
      </c>
      <c r="E161" s="519">
        <v>4012</v>
      </c>
      <c r="F161" s="519">
        <v>4044</v>
      </c>
      <c r="G161" s="519">
        <v>4013</v>
      </c>
      <c r="H161" s="48">
        <v>3888</v>
      </c>
      <c r="I161" s="48">
        <v>3949</v>
      </c>
      <c r="J161" s="48">
        <v>3912</v>
      </c>
      <c r="K161" s="48">
        <v>4110</v>
      </c>
      <c r="L161" s="48">
        <v>4120</v>
      </c>
      <c r="N161" s="516" t="s">
        <v>5366</v>
      </c>
      <c r="O161" s="4"/>
      <c r="Q161" s="4"/>
    </row>
    <row r="162" spans="1:17">
      <c r="A162" s="524">
        <v>2</v>
      </c>
      <c r="B162" s="516" t="s">
        <v>2351</v>
      </c>
      <c r="C162" s="4" t="s">
        <v>10756</v>
      </c>
      <c r="D162" s="519">
        <v>3926</v>
      </c>
      <c r="E162" s="519">
        <v>3978</v>
      </c>
      <c r="F162" s="519">
        <v>3975</v>
      </c>
      <c r="G162" s="519">
        <v>4003</v>
      </c>
      <c r="H162" s="48">
        <v>3905</v>
      </c>
      <c r="I162" s="48">
        <v>3935</v>
      </c>
      <c r="J162" s="48">
        <v>3948</v>
      </c>
      <c r="K162" s="48">
        <v>4062</v>
      </c>
      <c r="L162" s="48">
        <v>4106</v>
      </c>
      <c r="N162" s="516" t="s">
        <v>5374</v>
      </c>
    </row>
    <row r="163" spans="1:17">
      <c r="A163" s="524">
        <v>3</v>
      </c>
      <c r="B163" s="516" t="s">
        <v>7725</v>
      </c>
      <c r="C163" s="4" t="s">
        <v>10757</v>
      </c>
      <c r="D163" s="519">
        <v>4011</v>
      </c>
      <c r="E163" s="519">
        <v>4056</v>
      </c>
      <c r="F163" s="519">
        <v>4155</v>
      </c>
      <c r="G163" s="519">
        <v>4264</v>
      </c>
      <c r="H163" s="48">
        <v>3478</v>
      </c>
      <c r="I163" s="48">
        <v>3684</v>
      </c>
      <c r="J163" s="48">
        <v>3872</v>
      </c>
      <c r="K163" s="48">
        <v>4079</v>
      </c>
      <c r="L163" s="48">
        <v>4167</v>
      </c>
      <c r="N163" s="516" t="s">
        <v>5366</v>
      </c>
      <c r="O163" s="4"/>
      <c r="Q163" s="4"/>
    </row>
    <row r="164" spans="1:17">
      <c r="A164" s="524">
        <v>4</v>
      </c>
      <c r="B164" s="516" t="s">
        <v>2352</v>
      </c>
      <c r="C164" s="4" t="s">
        <v>10758</v>
      </c>
      <c r="D164" s="519">
        <v>3776</v>
      </c>
      <c r="E164" s="519">
        <v>3813</v>
      </c>
      <c r="F164" s="519">
        <v>3800</v>
      </c>
      <c r="G164" s="519">
        <v>3818</v>
      </c>
      <c r="H164" s="48">
        <v>3712</v>
      </c>
      <c r="I164" s="48">
        <v>3715</v>
      </c>
      <c r="J164" s="48">
        <v>3679</v>
      </c>
      <c r="K164" s="48">
        <v>3725</v>
      </c>
      <c r="L164" s="48">
        <v>3745</v>
      </c>
      <c r="N164" s="516" t="s">
        <v>5366</v>
      </c>
      <c r="O164" s="4"/>
      <c r="Q164" s="4"/>
    </row>
    <row r="165" spans="1:17">
      <c r="A165" s="524">
        <v>5</v>
      </c>
      <c r="B165" s="516" t="s">
        <v>2353</v>
      </c>
      <c r="C165" s="4" t="s">
        <v>10759</v>
      </c>
      <c r="D165" s="519">
        <v>2013</v>
      </c>
      <c r="E165" s="519">
        <v>2058</v>
      </c>
      <c r="F165" s="519">
        <v>2075</v>
      </c>
      <c r="G165" s="519">
        <v>2076</v>
      </c>
      <c r="H165" s="48">
        <v>2055</v>
      </c>
      <c r="I165" s="48">
        <v>2064</v>
      </c>
      <c r="J165" s="48">
        <v>2024</v>
      </c>
      <c r="K165" s="48">
        <v>2081</v>
      </c>
      <c r="L165" s="48">
        <v>2087</v>
      </c>
      <c r="N165" s="516" t="s">
        <v>5366</v>
      </c>
      <c r="O165" s="4"/>
      <c r="Q165" s="4"/>
    </row>
    <row r="166" spans="1:17">
      <c r="A166" s="524">
        <v>6</v>
      </c>
      <c r="B166" s="516" t="s">
        <v>2354</v>
      </c>
      <c r="C166" s="4" t="s">
        <v>10760</v>
      </c>
      <c r="D166" s="519">
        <v>4020</v>
      </c>
      <c r="E166" s="519">
        <v>4054</v>
      </c>
      <c r="F166" s="519">
        <v>4034</v>
      </c>
      <c r="G166" s="519">
        <v>4101</v>
      </c>
      <c r="H166" s="48">
        <v>4017</v>
      </c>
      <c r="I166" s="48">
        <v>4008</v>
      </c>
      <c r="J166" s="48">
        <v>3920</v>
      </c>
      <c r="K166" s="48">
        <v>4094</v>
      </c>
      <c r="L166" s="48">
        <v>4129</v>
      </c>
      <c r="N166" s="516" t="s">
        <v>5366</v>
      </c>
      <c r="O166" s="4"/>
      <c r="Q166" s="4"/>
    </row>
    <row r="167" spans="1:17">
      <c r="A167" s="524">
        <v>7</v>
      </c>
      <c r="B167" s="516" t="s">
        <v>2355</v>
      </c>
      <c r="C167" s="4" t="s">
        <v>10761</v>
      </c>
      <c r="D167" s="519">
        <v>3820</v>
      </c>
      <c r="E167" s="519">
        <v>3808</v>
      </c>
      <c r="F167" s="519">
        <v>3865</v>
      </c>
      <c r="G167" s="519">
        <v>3865</v>
      </c>
      <c r="H167" s="48">
        <v>3721</v>
      </c>
      <c r="I167" s="48">
        <v>3777</v>
      </c>
      <c r="J167" s="48">
        <v>3705</v>
      </c>
      <c r="K167" s="48">
        <v>3751</v>
      </c>
      <c r="L167" s="48">
        <v>3728</v>
      </c>
      <c r="N167" s="516" t="s">
        <v>5374</v>
      </c>
    </row>
    <row r="168" spans="1:17">
      <c r="A168" s="524">
        <v>8</v>
      </c>
      <c r="B168" s="516" t="s">
        <v>1520</v>
      </c>
      <c r="C168" s="4" t="s">
        <v>10762</v>
      </c>
      <c r="D168" s="519">
        <v>2024</v>
      </c>
      <c r="E168" s="519">
        <v>2042</v>
      </c>
      <c r="F168" s="519">
        <v>2060</v>
      </c>
      <c r="G168" s="519">
        <v>2068</v>
      </c>
      <c r="H168" s="48">
        <v>2048</v>
      </c>
      <c r="I168" s="48">
        <v>2076</v>
      </c>
      <c r="J168" s="48">
        <v>2036</v>
      </c>
      <c r="K168" s="48">
        <v>2146</v>
      </c>
      <c r="L168" s="48">
        <v>2135</v>
      </c>
      <c r="N168" s="516" t="s">
        <v>5366</v>
      </c>
      <c r="O168" s="4"/>
      <c r="Q168" s="4"/>
    </row>
    <row r="169" spans="1:17">
      <c r="A169" s="524">
        <v>9</v>
      </c>
      <c r="B169" s="516" t="s">
        <v>1521</v>
      </c>
      <c r="C169" s="4" t="s">
        <v>10763</v>
      </c>
      <c r="D169" s="519">
        <v>3962</v>
      </c>
      <c r="E169" s="519">
        <v>3953</v>
      </c>
      <c r="F169" s="519">
        <v>3944</v>
      </c>
      <c r="G169" s="519">
        <v>3997</v>
      </c>
      <c r="H169" s="48">
        <v>3836</v>
      </c>
      <c r="I169" s="48">
        <v>3855</v>
      </c>
      <c r="J169" s="48">
        <v>3884</v>
      </c>
      <c r="K169" s="48">
        <v>3992</v>
      </c>
      <c r="L169" s="48">
        <v>4001</v>
      </c>
      <c r="N169" s="516" t="s">
        <v>5366</v>
      </c>
      <c r="O169" s="4"/>
      <c r="Q169" s="4"/>
    </row>
    <row r="170" spans="1:17">
      <c r="A170" s="524">
        <v>10</v>
      </c>
      <c r="B170" s="516" t="s">
        <v>1522</v>
      </c>
      <c r="C170" s="4" t="s">
        <v>10764</v>
      </c>
      <c r="D170" s="519">
        <v>3334</v>
      </c>
      <c r="E170" s="519">
        <v>3388</v>
      </c>
      <c r="F170" s="519">
        <v>3372</v>
      </c>
      <c r="G170" s="519">
        <v>3354</v>
      </c>
      <c r="H170" s="48">
        <v>3311</v>
      </c>
      <c r="I170" s="48">
        <v>3328</v>
      </c>
      <c r="J170" s="48">
        <v>3312</v>
      </c>
      <c r="K170" s="48">
        <v>3351</v>
      </c>
      <c r="L170" s="48">
        <v>3408</v>
      </c>
      <c r="N170" s="516" t="s">
        <v>5374</v>
      </c>
    </row>
    <row r="171" spans="1:17">
      <c r="A171" s="524">
        <v>11</v>
      </c>
      <c r="B171" s="516" t="s">
        <v>3707</v>
      </c>
      <c r="C171" s="4" t="s">
        <v>10765</v>
      </c>
      <c r="D171" s="519">
        <v>3059</v>
      </c>
      <c r="E171" s="519">
        <v>3014</v>
      </c>
      <c r="F171" s="519">
        <v>3034</v>
      </c>
      <c r="G171" s="519">
        <v>3065</v>
      </c>
      <c r="H171" s="48">
        <v>2956</v>
      </c>
      <c r="I171" s="48">
        <v>3005</v>
      </c>
      <c r="J171" s="48">
        <v>2984</v>
      </c>
      <c r="K171" s="48">
        <v>3077</v>
      </c>
      <c r="L171" s="48">
        <v>3135</v>
      </c>
      <c r="N171" s="516" t="s">
        <v>5366</v>
      </c>
      <c r="O171" s="4"/>
      <c r="Q171" s="4"/>
    </row>
    <row r="172" spans="1:17">
      <c r="A172" s="524">
        <v>12</v>
      </c>
      <c r="B172" s="516" t="s">
        <v>1523</v>
      </c>
      <c r="C172" s="4" t="s">
        <v>10766</v>
      </c>
      <c r="D172" s="519">
        <v>3767</v>
      </c>
      <c r="E172" s="519">
        <v>3762</v>
      </c>
      <c r="F172" s="519">
        <v>3770</v>
      </c>
      <c r="G172" s="519">
        <v>3791</v>
      </c>
      <c r="H172" s="48">
        <v>3646</v>
      </c>
      <c r="I172" s="48">
        <v>3687</v>
      </c>
      <c r="J172" s="48">
        <v>3752</v>
      </c>
      <c r="K172" s="48">
        <v>3835</v>
      </c>
      <c r="L172" s="48">
        <v>3897</v>
      </c>
      <c r="N172" s="516" t="s">
        <v>5366</v>
      </c>
      <c r="O172" s="4"/>
      <c r="Q172" s="4"/>
    </row>
    <row r="173" spans="1:17">
      <c r="A173" s="524">
        <v>13</v>
      </c>
      <c r="B173" s="516" t="s">
        <v>1524</v>
      </c>
      <c r="C173" s="4" t="s">
        <v>10767</v>
      </c>
      <c r="D173" s="519">
        <v>3336</v>
      </c>
      <c r="E173" s="519">
        <v>3332</v>
      </c>
      <c r="F173" s="519">
        <v>3353</v>
      </c>
      <c r="G173" s="519">
        <v>3432</v>
      </c>
      <c r="H173" s="48">
        <v>3318</v>
      </c>
      <c r="I173" s="48">
        <v>3348</v>
      </c>
      <c r="J173" s="48">
        <v>3317</v>
      </c>
      <c r="K173" s="48">
        <v>3467</v>
      </c>
      <c r="L173" s="48">
        <v>3551</v>
      </c>
      <c r="N173" s="516" t="s">
        <v>5374</v>
      </c>
    </row>
    <row r="174" spans="1:17">
      <c r="A174" s="524">
        <v>14</v>
      </c>
      <c r="B174" s="516" t="s">
        <v>1525</v>
      </c>
      <c r="C174" s="4" t="s">
        <v>10768</v>
      </c>
      <c r="D174" s="519">
        <v>3695</v>
      </c>
      <c r="E174" s="519">
        <v>3655</v>
      </c>
      <c r="F174" s="519">
        <v>3685</v>
      </c>
      <c r="G174" s="519">
        <v>3727</v>
      </c>
      <c r="H174" s="48">
        <v>3687</v>
      </c>
      <c r="I174" s="48">
        <v>3700</v>
      </c>
      <c r="J174" s="48">
        <v>3653</v>
      </c>
      <c r="K174" s="48">
        <v>3758</v>
      </c>
      <c r="L174" s="48">
        <v>3749</v>
      </c>
      <c r="N174" s="516" t="s">
        <v>5366</v>
      </c>
      <c r="O174" s="4"/>
      <c r="Q174" s="4"/>
    </row>
    <row r="175" spans="1:17">
      <c r="A175" s="524">
        <v>15</v>
      </c>
      <c r="B175" s="516" t="s">
        <v>1526</v>
      </c>
      <c r="C175" s="4" t="s">
        <v>10769</v>
      </c>
      <c r="D175" s="519">
        <v>3824</v>
      </c>
      <c r="E175" s="519">
        <v>3847</v>
      </c>
      <c r="F175" s="519">
        <v>3859</v>
      </c>
      <c r="G175" s="519">
        <v>3850</v>
      </c>
      <c r="H175" s="48">
        <v>3764</v>
      </c>
      <c r="I175" s="48">
        <v>3789</v>
      </c>
      <c r="J175" s="48">
        <v>3779</v>
      </c>
      <c r="K175" s="48">
        <v>3848</v>
      </c>
      <c r="L175" s="48">
        <v>3853</v>
      </c>
      <c r="N175" s="516" t="s">
        <v>5366</v>
      </c>
      <c r="O175" s="4"/>
      <c r="Q175" s="4"/>
    </row>
    <row r="176" spans="1:17">
      <c r="A176" s="524">
        <v>16</v>
      </c>
      <c r="B176" s="516" t="s">
        <v>1508</v>
      </c>
      <c r="C176" s="4" t="s">
        <v>10770</v>
      </c>
      <c r="D176" s="519">
        <v>3777</v>
      </c>
      <c r="E176" s="519">
        <v>3809</v>
      </c>
      <c r="F176" s="519">
        <v>3845</v>
      </c>
      <c r="G176" s="519">
        <v>3888</v>
      </c>
      <c r="H176" s="48">
        <v>3703</v>
      </c>
      <c r="I176" s="48">
        <v>3777</v>
      </c>
      <c r="J176" s="48">
        <v>3707</v>
      </c>
      <c r="K176" s="48">
        <v>3803</v>
      </c>
      <c r="L176" s="48">
        <v>3850</v>
      </c>
      <c r="N176" s="516" t="s">
        <v>5366</v>
      </c>
      <c r="O176" s="4"/>
      <c r="Q176" s="4"/>
    </row>
    <row r="177" spans="1:17">
      <c r="A177" s="524">
        <v>17</v>
      </c>
      <c r="B177" s="516" t="s">
        <v>1509</v>
      </c>
      <c r="C177" s="4" t="s">
        <v>10771</v>
      </c>
      <c r="D177" s="519">
        <v>3724</v>
      </c>
      <c r="E177" s="519">
        <v>3770</v>
      </c>
      <c r="F177" s="519">
        <v>3818</v>
      </c>
      <c r="G177" s="519">
        <v>3804</v>
      </c>
      <c r="H177" s="48">
        <v>3705</v>
      </c>
      <c r="I177" s="48">
        <v>3725</v>
      </c>
      <c r="J177" s="48">
        <v>3693</v>
      </c>
      <c r="K177" s="48">
        <v>3750</v>
      </c>
      <c r="L177" s="48">
        <v>3774</v>
      </c>
      <c r="N177" s="516" t="s">
        <v>5366</v>
      </c>
      <c r="O177" s="4"/>
      <c r="Q177" s="4"/>
    </row>
    <row r="178" spans="1:17">
      <c r="A178" s="524">
        <v>18</v>
      </c>
      <c r="B178" s="516" t="s">
        <v>1510</v>
      </c>
      <c r="C178" s="4" t="s">
        <v>10772</v>
      </c>
      <c r="D178" s="519">
        <v>3494</v>
      </c>
      <c r="E178" s="519">
        <v>3549</v>
      </c>
      <c r="F178" s="519">
        <v>3548</v>
      </c>
      <c r="G178" s="519">
        <v>3530</v>
      </c>
      <c r="H178" s="48">
        <v>3401</v>
      </c>
      <c r="I178" s="48">
        <v>3470</v>
      </c>
      <c r="J178" s="48">
        <v>3417</v>
      </c>
      <c r="K178" s="48">
        <v>3491</v>
      </c>
      <c r="L178" s="48">
        <v>3544</v>
      </c>
      <c r="N178" s="516" t="s">
        <v>5366</v>
      </c>
      <c r="O178" s="4"/>
      <c r="Q178" s="4"/>
    </row>
    <row r="179" spans="1:17">
      <c r="A179" s="524">
        <v>19</v>
      </c>
      <c r="B179" s="516" t="s">
        <v>1511</v>
      </c>
      <c r="C179" s="4" t="s">
        <v>10773</v>
      </c>
      <c r="D179" s="519">
        <v>4007</v>
      </c>
      <c r="E179" s="519">
        <v>3919</v>
      </c>
      <c r="F179" s="519">
        <v>3907</v>
      </c>
      <c r="G179" s="519">
        <v>4043</v>
      </c>
      <c r="H179" s="48">
        <v>3932</v>
      </c>
      <c r="I179" s="48">
        <v>3959</v>
      </c>
      <c r="J179" s="48">
        <v>3937</v>
      </c>
      <c r="K179" s="48">
        <v>4133</v>
      </c>
      <c r="L179" s="48">
        <v>4187</v>
      </c>
      <c r="N179" s="516" t="s">
        <v>5366</v>
      </c>
      <c r="O179" s="4"/>
      <c r="Q179" s="4"/>
    </row>
    <row r="180" spans="1:17">
      <c r="A180" s="524">
        <v>20</v>
      </c>
      <c r="B180" s="516" t="s">
        <v>1512</v>
      </c>
      <c r="C180" s="4" t="s">
        <v>10774</v>
      </c>
      <c r="D180" s="519">
        <v>3440</v>
      </c>
      <c r="E180" s="519">
        <v>3470</v>
      </c>
      <c r="F180" s="519">
        <v>3493</v>
      </c>
      <c r="G180" s="519">
        <v>3519</v>
      </c>
      <c r="H180" s="48">
        <v>3386</v>
      </c>
      <c r="I180" s="48">
        <v>3428</v>
      </c>
      <c r="J180" s="48">
        <v>3410</v>
      </c>
      <c r="K180" s="48">
        <v>3561</v>
      </c>
      <c r="L180" s="48">
        <v>3577</v>
      </c>
      <c r="N180" s="516" t="s">
        <v>5366</v>
      </c>
      <c r="O180" s="4"/>
      <c r="Q180" s="4"/>
    </row>
    <row r="181" spans="1:17">
      <c r="D181" s="521"/>
      <c r="E181" s="521"/>
      <c r="F181" s="521"/>
      <c r="G181" s="521"/>
      <c r="H181" s="521"/>
      <c r="I181" s="521"/>
      <c r="J181" s="521"/>
      <c r="K181" s="521"/>
      <c r="L181" s="521"/>
      <c r="O181" s="4"/>
      <c r="Q181" s="4"/>
    </row>
    <row r="182" spans="1:17">
      <c r="A182" s="516" t="s">
        <v>1513</v>
      </c>
      <c r="D182" s="519">
        <f t="shared" ref="D182:I182" si="120">D161+SUM(D163:D166)+D168+D169+D171+D172+SUM(D174:D180)</f>
        <v>56592</v>
      </c>
      <c r="E182" s="519">
        <f t="shared" si="120"/>
        <v>56783</v>
      </c>
      <c r="F182" s="519">
        <f t="shared" si="120"/>
        <v>57071</v>
      </c>
      <c r="G182" s="519">
        <f t="shared" si="120"/>
        <v>57554</v>
      </c>
      <c r="H182" s="519">
        <f t="shared" si="120"/>
        <v>55214</v>
      </c>
      <c r="I182" s="519">
        <f t="shared" si="120"/>
        <v>55891</v>
      </c>
      <c r="J182" s="519">
        <f t="shared" ref="J182:K182" si="121">J161+SUM(J163:J166)+J168+J169+J171+J172+SUM(J174:J180)</f>
        <v>55659</v>
      </c>
      <c r="K182" s="519">
        <f t="shared" si="121"/>
        <v>57483</v>
      </c>
      <c r="L182" s="519">
        <f t="shared" ref="L182" si="122">L161+SUM(L163:L166)+L168+L169+L171+L172+SUM(L174:L180)</f>
        <v>57950</v>
      </c>
      <c r="O182" s="4"/>
      <c r="Q182" s="4"/>
    </row>
    <row r="183" spans="1:17">
      <c r="A183" s="516" t="s">
        <v>2017</v>
      </c>
      <c r="D183" s="519">
        <f t="shared" ref="D183:I183" si="123">D162+D167+D170+D173</f>
        <v>14416</v>
      </c>
      <c r="E183" s="519">
        <f t="shared" si="123"/>
        <v>14506</v>
      </c>
      <c r="F183" s="519">
        <f t="shared" si="123"/>
        <v>14565</v>
      </c>
      <c r="G183" s="519">
        <f t="shared" si="123"/>
        <v>14654</v>
      </c>
      <c r="H183" s="519">
        <f t="shared" si="123"/>
        <v>14255</v>
      </c>
      <c r="I183" s="519">
        <f t="shared" si="123"/>
        <v>14388</v>
      </c>
      <c r="J183" s="519">
        <f t="shared" ref="J183:K183" si="124">J162+J167+J170+J173</f>
        <v>14282</v>
      </c>
      <c r="K183" s="519">
        <f t="shared" si="124"/>
        <v>14631</v>
      </c>
      <c r="L183" s="519">
        <f t="shared" ref="L183" si="125">L162+L167+L170+L173</f>
        <v>14793</v>
      </c>
      <c r="O183" s="4"/>
      <c r="Q183" s="4"/>
    </row>
    <row r="184" spans="1:17">
      <c r="A184" s="516"/>
      <c r="D184" s="519"/>
      <c r="E184" s="519"/>
      <c r="F184" s="519"/>
      <c r="G184" s="519"/>
      <c r="H184" s="519"/>
      <c r="I184" s="519"/>
      <c r="J184" s="519"/>
      <c r="K184" s="519"/>
      <c r="L184" s="519"/>
      <c r="O184" s="4"/>
      <c r="Q184" s="4"/>
    </row>
    <row r="185" spans="1:17">
      <c r="A185" s="516" t="s">
        <v>1514</v>
      </c>
      <c r="D185" s="519"/>
      <c r="E185" s="519"/>
      <c r="F185" s="519"/>
      <c r="G185" s="519"/>
      <c r="H185" s="519"/>
      <c r="I185" s="519"/>
      <c r="J185" s="519"/>
      <c r="K185" s="519"/>
      <c r="L185" s="519"/>
    </row>
    <row r="186" spans="1:17">
      <c r="A186" s="516"/>
      <c r="B186" s="516"/>
      <c r="D186" s="526"/>
      <c r="E186" s="526"/>
      <c r="F186" s="526"/>
      <c r="G186" s="526"/>
      <c r="H186" s="526"/>
      <c r="I186" s="526"/>
      <c r="J186" s="526"/>
      <c r="K186" s="526"/>
      <c r="L186" s="526"/>
    </row>
    <row r="187" spans="1:17">
      <c r="A187" s="516"/>
      <c r="B187" s="516"/>
      <c r="D187" s="526"/>
      <c r="E187" s="526"/>
      <c r="F187" s="526"/>
      <c r="G187" s="526"/>
      <c r="H187" s="526"/>
      <c r="I187" s="526"/>
      <c r="J187" s="526"/>
      <c r="K187" s="526"/>
      <c r="L187" s="526"/>
    </row>
    <row r="188" spans="1:17">
      <c r="E188" s="42" t="s">
        <v>2303</v>
      </c>
      <c r="F188" s="42"/>
      <c r="G188" s="42"/>
      <c r="H188" s="42"/>
      <c r="I188" s="42"/>
      <c r="J188" s="42"/>
      <c r="K188" s="42"/>
      <c r="L188" s="42"/>
      <c r="M188" s="65"/>
      <c r="N188" s="66" t="s">
        <v>13319</v>
      </c>
    </row>
    <row r="189" spans="1:17">
      <c r="D189" s="55">
        <v>2010</v>
      </c>
      <c r="E189" s="55">
        <v>2011</v>
      </c>
      <c r="F189" s="55">
        <v>2012</v>
      </c>
      <c r="G189" s="55">
        <v>2013</v>
      </c>
      <c r="H189" s="55">
        <v>2014</v>
      </c>
      <c r="I189" s="55">
        <v>2015</v>
      </c>
      <c r="J189" s="55">
        <v>2016</v>
      </c>
      <c r="K189" s="55">
        <v>2017</v>
      </c>
      <c r="L189" s="55">
        <v>2018</v>
      </c>
      <c r="N189" s="67" t="s">
        <v>2304</v>
      </c>
    </row>
    <row r="190" spans="1:17">
      <c r="A190" s="516" t="s">
        <v>1515</v>
      </c>
      <c r="D190" s="519">
        <f t="shared" ref="D190:I190" si="126">D191+D192+SUM(D194:D219)+SUM(D221:D223)+SUM(D225:D234)</f>
        <v>114461</v>
      </c>
      <c r="E190" s="519">
        <f t="shared" si="126"/>
        <v>115677</v>
      </c>
      <c r="F190" s="519">
        <f t="shared" si="126"/>
        <v>116669</v>
      </c>
      <c r="G190" s="519">
        <f t="shared" si="126"/>
        <v>118080</v>
      </c>
      <c r="H190" s="519">
        <f t="shared" si="126"/>
        <v>116760</v>
      </c>
      <c r="I190" s="519">
        <f t="shared" si="126"/>
        <v>117402</v>
      </c>
      <c r="J190" s="519">
        <f t="shared" ref="J190:K190" si="127">J191+J192+SUM(J194:J219)+SUM(J221:J223)+SUM(J225:J234)</f>
        <v>116583</v>
      </c>
      <c r="K190" s="519">
        <f t="shared" si="127"/>
        <v>120716</v>
      </c>
      <c r="L190" s="519">
        <f t="shared" ref="L190" si="128">L191+L192+SUM(L194:L219)+SUM(L221:L223)+SUM(L225:L234)</f>
        <v>121625</v>
      </c>
    </row>
    <row r="191" spans="1:17">
      <c r="A191" s="524">
        <v>1</v>
      </c>
      <c r="B191" s="516" t="s">
        <v>1516</v>
      </c>
      <c r="C191" s="4" t="s">
        <v>10775</v>
      </c>
      <c r="D191" s="519">
        <v>1971</v>
      </c>
      <c r="E191" s="519">
        <v>2024</v>
      </c>
      <c r="F191" s="519">
        <v>1996</v>
      </c>
      <c r="G191" s="519">
        <v>2009</v>
      </c>
      <c r="H191" s="30">
        <v>1992</v>
      </c>
      <c r="I191" s="30">
        <v>1979</v>
      </c>
      <c r="J191" s="30">
        <v>1942</v>
      </c>
      <c r="K191" s="30">
        <v>1997</v>
      </c>
      <c r="L191" s="30">
        <v>2040</v>
      </c>
      <c r="N191" s="516" t="s">
        <v>5376</v>
      </c>
      <c r="O191" s="941"/>
      <c r="Q191" s="4"/>
    </row>
    <row r="192" spans="1:17" ht="15.75" thickBot="1">
      <c r="A192" s="524"/>
      <c r="B192" s="516"/>
      <c r="C192" s="4" t="s">
        <v>10775</v>
      </c>
      <c r="D192" s="525">
        <v>0</v>
      </c>
      <c r="E192" s="525">
        <v>0</v>
      </c>
      <c r="F192" s="525">
        <v>0</v>
      </c>
      <c r="G192" s="525">
        <v>0</v>
      </c>
      <c r="H192" s="525">
        <v>0</v>
      </c>
      <c r="I192" s="525">
        <v>0</v>
      </c>
      <c r="J192" s="525">
        <v>0</v>
      </c>
      <c r="K192" s="525">
        <v>0</v>
      </c>
      <c r="L192" s="525">
        <v>0</v>
      </c>
      <c r="N192" s="516" t="s">
        <v>5377</v>
      </c>
      <c r="O192" s="934"/>
      <c r="Q192" s="4"/>
    </row>
    <row r="193" spans="1:17" ht="15.75" thickBot="1">
      <c r="A193" s="524"/>
      <c r="B193" s="516"/>
      <c r="C193" s="4" t="s">
        <v>10775</v>
      </c>
      <c r="D193" s="523">
        <f t="shared" ref="D193:L193" si="129">D191+D192</f>
        <v>1971</v>
      </c>
      <c r="E193" s="523">
        <f t="shared" si="129"/>
        <v>2024</v>
      </c>
      <c r="F193" s="523">
        <f t="shared" si="129"/>
        <v>1996</v>
      </c>
      <c r="G193" s="523">
        <f t="shared" si="129"/>
        <v>2009</v>
      </c>
      <c r="H193" s="523">
        <f t="shared" si="129"/>
        <v>1992</v>
      </c>
      <c r="I193" s="523">
        <f t="shared" si="129"/>
        <v>1979</v>
      </c>
      <c r="J193" s="523">
        <f t="shared" si="129"/>
        <v>1942</v>
      </c>
      <c r="K193" s="523">
        <f t="shared" si="129"/>
        <v>1997</v>
      </c>
      <c r="L193" s="523">
        <f t="shared" si="129"/>
        <v>2040</v>
      </c>
      <c r="N193" s="516"/>
      <c r="O193" s="941"/>
      <c r="Q193" s="4"/>
    </row>
    <row r="194" spans="1:17">
      <c r="A194" s="524">
        <v>2</v>
      </c>
      <c r="B194" s="516" t="s">
        <v>1498</v>
      </c>
      <c r="C194" s="4" t="s">
        <v>10776</v>
      </c>
      <c r="D194" s="519">
        <v>4247</v>
      </c>
      <c r="E194" s="519">
        <v>4277</v>
      </c>
      <c r="F194" s="519">
        <v>4373</v>
      </c>
      <c r="G194" s="30">
        <v>4501</v>
      </c>
      <c r="H194" s="30">
        <v>4630</v>
      </c>
      <c r="I194" s="30">
        <v>4694</v>
      </c>
      <c r="J194" s="30">
        <v>4723</v>
      </c>
      <c r="K194" s="30">
        <v>4830</v>
      </c>
      <c r="L194" s="30">
        <v>4813</v>
      </c>
      <c r="M194" s="569"/>
      <c r="N194" s="516" t="s">
        <v>5377</v>
      </c>
      <c r="O194" s="934"/>
      <c r="Q194" s="4"/>
    </row>
    <row r="195" spans="1:17">
      <c r="A195" s="524">
        <v>3</v>
      </c>
      <c r="B195" s="516" t="s">
        <v>1499</v>
      </c>
      <c r="C195" s="4" t="s">
        <v>10777</v>
      </c>
      <c r="D195" s="525">
        <v>2388</v>
      </c>
      <c r="E195" s="525">
        <v>2462</v>
      </c>
      <c r="F195" s="525">
        <v>2470</v>
      </c>
      <c r="G195" s="30">
        <v>2479</v>
      </c>
      <c r="H195" s="30">
        <v>2418</v>
      </c>
      <c r="I195" s="30">
        <v>2426</v>
      </c>
      <c r="J195" s="30">
        <v>2421</v>
      </c>
      <c r="K195" s="30">
        <v>2496</v>
      </c>
      <c r="L195" s="30">
        <v>2545</v>
      </c>
      <c r="M195" s="569"/>
      <c r="N195" s="516" t="s">
        <v>5377</v>
      </c>
      <c r="O195" s="941"/>
      <c r="Q195" s="4"/>
    </row>
    <row r="196" spans="1:17">
      <c r="A196" s="524">
        <v>4</v>
      </c>
      <c r="B196" s="516" t="s">
        <v>1500</v>
      </c>
      <c r="C196" s="4" t="s">
        <v>10778</v>
      </c>
      <c r="D196" s="519">
        <v>1988</v>
      </c>
      <c r="E196" s="519">
        <v>2000</v>
      </c>
      <c r="F196" s="519">
        <v>1960</v>
      </c>
      <c r="G196" s="527">
        <v>1980</v>
      </c>
      <c r="H196" s="30">
        <v>1925</v>
      </c>
      <c r="I196" s="30">
        <v>1937</v>
      </c>
      <c r="J196" s="30">
        <v>1975</v>
      </c>
      <c r="K196" s="30">
        <v>2028</v>
      </c>
      <c r="L196" s="30">
        <v>2012</v>
      </c>
      <c r="M196" s="569"/>
      <c r="N196" s="516" t="s">
        <v>5366</v>
      </c>
      <c r="O196" s="941"/>
      <c r="Q196" s="4"/>
    </row>
    <row r="197" spans="1:17">
      <c r="A197" s="524">
        <v>5</v>
      </c>
      <c r="B197" s="516" t="s">
        <v>1501</v>
      </c>
      <c r="C197" s="4" t="s">
        <v>10779</v>
      </c>
      <c r="D197" s="519">
        <v>3877</v>
      </c>
      <c r="E197" s="519">
        <v>3968</v>
      </c>
      <c r="F197" s="519">
        <v>4009</v>
      </c>
      <c r="G197" s="30">
        <v>4027</v>
      </c>
      <c r="H197" s="30">
        <v>3914</v>
      </c>
      <c r="I197" s="30">
        <v>3911</v>
      </c>
      <c r="J197" s="30">
        <v>3830</v>
      </c>
      <c r="K197" s="30">
        <v>3984</v>
      </c>
      <c r="L197" s="30">
        <v>3985</v>
      </c>
      <c r="M197" s="569"/>
      <c r="N197" s="516" t="s">
        <v>5377</v>
      </c>
      <c r="O197" s="941"/>
      <c r="Q197" s="4"/>
    </row>
    <row r="198" spans="1:17">
      <c r="A198" s="524">
        <v>6</v>
      </c>
      <c r="B198" s="516" t="s">
        <v>3209</v>
      </c>
      <c r="C198" s="4" t="s">
        <v>10780</v>
      </c>
      <c r="D198" s="519">
        <v>1963</v>
      </c>
      <c r="E198" s="519">
        <v>1977</v>
      </c>
      <c r="F198" s="519">
        <v>1963</v>
      </c>
      <c r="G198" s="31">
        <v>1967</v>
      </c>
      <c r="H198" s="31">
        <v>1865</v>
      </c>
      <c r="I198" s="31">
        <v>1923</v>
      </c>
      <c r="J198" s="31">
        <v>1883</v>
      </c>
      <c r="K198" s="31">
        <v>1958</v>
      </c>
      <c r="L198" s="31">
        <v>1976</v>
      </c>
      <c r="M198" s="569"/>
      <c r="N198" s="516" t="s">
        <v>5377</v>
      </c>
      <c r="O198" s="941"/>
      <c r="Q198" s="4"/>
    </row>
    <row r="199" spans="1:17">
      <c r="A199" s="524">
        <v>7</v>
      </c>
      <c r="B199" s="516" t="s">
        <v>3210</v>
      </c>
      <c r="C199" s="4" t="s">
        <v>10781</v>
      </c>
      <c r="D199" s="519">
        <v>4197</v>
      </c>
      <c r="E199" s="519">
        <v>4283</v>
      </c>
      <c r="F199" s="519">
        <v>4429</v>
      </c>
      <c r="G199" s="31">
        <v>4460</v>
      </c>
      <c r="H199" s="31">
        <v>4316</v>
      </c>
      <c r="I199" s="31">
        <v>4372</v>
      </c>
      <c r="J199" s="31">
        <v>4430</v>
      </c>
      <c r="K199" s="31">
        <v>4573</v>
      </c>
      <c r="L199" s="31">
        <v>4574</v>
      </c>
      <c r="M199" s="569"/>
      <c r="N199" s="516" t="s">
        <v>5377</v>
      </c>
      <c r="O199" s="941"/>
      <c r="Q199" s="4"/>
    </row>
    <row r="200" spans="1:17">
      <c r="A200" s="524">
        <v>8</v>
      </c>
      <c r="B200" s="516" t="s">
        <v>5018</v>
      </c>
      <c r="C200" s="4" t="s">
        <v>10782</v>
      </c>
      <c r="D200" s="519">
        <v>1993</v>
      </c>
      <c r="E200" s="519">
        <v>2006</v>
      </c>
      <c r="F200" s="519">
        <v>1997</v>
      </c>
      <c r="G200" s="31">
        <v>2011</v>
      </c>
      <c r="H200" s="31">
        <v>2065</v>
      </c>
      <c r="I200" s="31">
        <v>2063</v>
      </c>
      <c r="J200" s="31">
        <v>2021</v>
      </c>
      <c r="K200" s="31">
        <v>2057</v>
      </c>
      <c r="L200" s="31">
        <v>2044</v>
      </c>
      <c r="M200" s="569"/>
      <c r="N200" s="516" t="s">
        <v>5377</v>
      </c>
      <c r="O200" s="941"/>
      <c r="Q200" s="4"/>
    </row>
    <row r="201" spans="1:17">
      <c r="A201" s="524">
        <v>9</v>
      </c>
      <c r="B201" s="516" t="s">
        <v>5019</v>
      </c>
      <c r="C201" s="4" t="s">
        <v>10783</v>
      </c>
      <c r="D201" s="519">
        <v>3842</v>
      </c>
      <c r="E201" s="519">
        <v>3874</v>
      </c>
      <c r="F201" s="519">
        <v>3860</v>
      </c>
      <c r="G201" s="31">
        <v>3918</v>
      </c>
      <c r="H201" s="31">
        <v>3946</v>
      </c>
      <c r="I201" s="31">
        <v>3952</v>
      </c>
      <c r="J201" s="31">
        <v>3842</v>
      </c>
      <c r="K201" s="31">
        <v>3981</v>
      </c>
      <c r="L201" s="31">
        <v>4000</v>
      </c>
      <c r="M201" s="569"/>
      <c r="N201" s="516" t="s">
        <v>5377</v>
      </c>
      <c r="O201" s="941"/>
      <c r="Q201" s="4"/>
    </row>
    <row r="202" spans="1:17">
      <c r="A202" s="524">
        <v>10</v>
      </c>
      <c r="B202" s="516" t="s">
        <v>5020</v>
      </c>
      <c r="C202" s="4" t="s">
        <v>10784</v>
      </c>
      <c r="D202" s="519">
        <v>4099</v>
      </c>
      <c r="E202" s="519">
        <v>4162</v>
      </c>
      <c r="F202" s="519">
        <v>4141</v>
      </c>
      <c r="G202" s="31">
        <v>4134</v>
      </c>
      <c r="H202" s="31">
        <v>4126</v>
      </c>
      <c r="I202" s="31">
        <v>4032</v>
      </c>
      <c r="J202" s="31">
        <v>3946</v>
      </c>
      <c r="K202" s="31">
        <v>4205</v>
      </c>
      <c r="L202" s="31">
        <v>4234</v>
      </c>
      <c r="M202" s="569"/>
      <c r="N202" s="516" t="s">
        <v>5377</v>
      </c>
      <c r="O202" s="934"/>
      <c r="Q202" s="4"/>
    </row>
    <row r="203" spans="1:17">
      <c r="A203" s="524">
        <v>11</v>
      </c>
      <c r="B203" s="516" t="s">
        <v>5021</v>
      </c>
      <c r="C203" s="4" t="s">
        <v>10785</v>
      </c>
      <c r="D203" s="525">
        <v>1893</v>
      </c>
      <c r="E203" s="525">
        <v>1920</v>
      </c>
      <c r="F203" s="525">
        <v>1935</v>
      </c>
      <c r="G203" s="528">
        <v>1907</v>
      </c>
      <c r="H203" s="30">
        <v>1893</v>
      </c>
      <c r="I203" s="30">
        <v>1892</v>
      </c>
      <c r="J203" s="30">
        <v>1876</v>
      </c>
      <c r="K203" s="30">
        <v>1935</v>
      </c>
      <c r="L203" s="30">
        <v>1939</v>
      </c>
      <c r="M203" s="569"/>
      <c r="N203" s="516" t="s">
        <v>5376</v>
      </c>
      <c r="O203" s="934"/>
      <c r="Q203" s="4"/>
    </row>
    <row r="204" spans="1:17">
      <c r="A204" s="524">
        <v>12</v>
      </c>
      <c r="B204" s="516" t="s">
        <v>5022</v>
      </c>
      <c r="C204" s="4" t="s">
        <v>10786</v>
      </c>
      <c r="D204" s="519">
        <v>3799</v>
      </c>
      <c r="E204" s="519">
        <v>3838</v>
      </c>
      <c r="F204" s="519">
        <v>3812</v>
      </c>
      <c r="G204" s="31">
        <v>3856</v>
      </c>
      <c r="H204" s="31">
        <v>3763</v>
      </c>
      <c r="I204" s="31">
        <v>3793</v>
      </c>
      <c r="J204" s="31">
        <v>3722</v>
      </c>
      <c r="K204" s="31">
        <v>3866</v>
      </c>
      <c r="L204" s="31">
        <v>3932</v>
      </c>
      <c r="M204" s="569"/>
      <c r="N204" s="516" t="s">
        <v>5377</v>
      </c>
      <c r="O204" s="941"/>
      <c r="Q204" s="4"/>
    </row>
    <row r="205" spans="1:17">
      <c r="A205" s="524">
        <v>13</v>
      </c>
      <c r="B205" s="516" t="s">
        <v>5023</v>
      </c>
      <c r="C205" s="4" t="s">
        <v>10787</v>
      </c>
      <c r="D205" s="519">
        <v>2168</v>
      </c>
      <c r="E205" s="519">
        <v>2200</v>
      </c>
      <c r="F205" s="519">
        <v>2226</v>
      </c>
      <c r="G205" s="31">
        <v>2223</v>
      </c>
      <c r="H205" s="31">
        <v>2155</v>
      </c>
      <c r="I205" s="31">
        <v>2197</v>
      </c>
      <c r="J205" s="31">
        <v>2147</v>
      </c>
      <c r="K205" s="31">
        <v>2206</v>
      </c>
      <c r="L205" s="31">
        <v>2250</v>
      </c>
      <c r="M205" s="569"/>
      <c r="N205" s="516" t="s">
        <v>5377</v>
      </c>
      <c r="O205" s="934"/>
      <c r="Q205" s="4"/>
    </row>
    <row r="206" spans="1:17">
      <c r="A206" s="524">
        <v>14</v>
      </c>
      <c r="B206" s="516" t="s">
        <v>5024</v>
      </c>
      <c r="C206" s="4" t="s">
        <v>10788</v>
      </c>
      <c r="D206" s="519">
        <v>4024</v>
      </c>
      <c r="E206" s="519">
        <v>4072</v>
      </c>
      <c r="F206" s="519">
        <v>4057</v>
      </c>
      <c r="G206" s="31">
        <v>4054</v>
      </c>
      <c r="H206" s="31">
        <v>3992</v>
      </c>
      <c r="I206" s="31">
        <v>4003</v>
      </c>
      <c r="J206" s="31">
        <v>3933</v>
      </c>
      <c r="K206" s="31">
        <v>4051</v>
      </c>
      <c r="L206" s="31">
        <v>4035</v>
      </c>
      <c r="M206" s="569"/>
      <c r="N206" s="516" t="s">
        <v>5377</v>
      </c>
      <c r="O206" s="941"/>
      <c r="Q206" s="4"/>
    </row>
    <row r="207" spans="1:17">
      <c r="A207" s="524">
        <v>15</v>
      </c>
      <c r="B207" s="516" t="s">
        <v>5025</v>
      </c>
      <c r="C207" s="4" t="s">
        <v>10789</v>
      </c>
      <c r="D207" s="519">
        <v>4389</v>
      </c>
      <c r="E207" s="519">
        <v>4349</v>
      </c>
      <c r="F207" s="519">
        <v>4525</v>
      </c>
      <c r="G207" s="31">
        <v>4591</v>
      </c>
      <c r="H207" s="31">
        <v>4652</v>
      </c>
      <c r="I207" s="31">
        <v>4674</v>
      </c>
      <c r="J207" s="31">
        <v>4729</v>
      </c>
      <c r="K207" s="31">
        <v>4925</v>
      </c>
      <c r="L207" s="31">
        <v>4987</v>
      </c>
      <c r="M207" s="569"/>
      <c r="N207" s="516" t="s">
        <v>5377</v>
      </c>
      <c r="O207" s="941"/>
      <c r="Q207" s="4"/>
    </row>
    <row r="208" spans="1:17">
      <c r="A208" s="524">
        <v>16</v>
      </c>
      <c r="B208" s="516" t="s">
        <v>5026</v>
      </c>
      <c r="C208" s="4" t="s">
        <v>10790</v>
      </c>
      <c r="D208" s="519">
        <v>2005</v>
      </c>
      <c r="E208" s="519">
        <v>1969</v>
      </c>
      <c r="F208" s="519">
        <v>1974</v>
      </c>
      <c r="G208" s="31">
        <v>1956</v>
      </c>
      <c r="H208" s="31">
        <v>1904</v>
      </c>
      <c r="I208" s="31">
        <v>1931</v>
      </c>
      <c r="J208" s="31">
        <v>1894</v>
      </c>
      <c r="K208" s="31">
        <v>2025</v>
      </c>
      <c r="L208" s="31">
        <v>2032</v>
      </c>
      <c r="M208" s="569"/>
      <c r="N208" s="516" t="s">
        <v>5377</v>
      </c>
      <c r="O208" s="934"/>
      <c r="Q208" s="4"/>
    </row>
    <row r="209" spans="1:17">
      <c r="A209" s="524">
        <v>17</v>
      </c>
      <c r="B209" s="516" t="s">
        <v>5027</v>
      </c>
      <c r="C209" s="4" t="s">
        <v>10791</v>
      </c>
      <c r="D209" s="519">
        <v>6222</v>
      </c>
      <c r="E209" s="519">
        <v>6318</v>
      </c>
      <c r="F209" s="519">
        <v>6427</v>
      </c>
      <c r="G209" s="31">
        <v>6487</v>
      </c>
      <c r="H209" s="31">
        <v>6231</v>
      </c>
      <c r="I209" s="31">
        <v>6234</v>
      </c>
      <c r="J209" s="31">
        <v>6168</v>
      </c>
      <c r="K209" s="31">
        <v>6471</v>
      </c>
      <c r="L209" s="31">
        <v>6528</v>
      </c>
      <c r="M209" s="569"/>
      <c r="N209" s="516" t="s">
        <v>5377</v>
      </c>
      <c r="O209" s="943"/>
    </row>
    <row r="210" spans="1:17">
      <c r="A210" s="524">
        <v>18</v>
      </c>
      <c r="B210" s="516" t="s">
        <v>5028</v>
      </c>
      <c r="C210" s="4" t="s">
        <v>10792</v>
      </c>
      <c r="D210" s="519">
        <v>2143</v>
      </c>
      <c r="E210" s="519">
        <v>2125</v>
      </c>
      <c r="F210" s="519">
        <v>2125</v>
      </c>
      <c r="G210" s="31">
        <v>2142</v>
      </c>
      <c r="H210" s="31">
        <v>2093</v>
      </c>
      <c r="I210" s="31">
        <v>2069</v>
      </c>
      <c r="J210" s="31">
        <v>2039</v>
      </c>
      <c r="K210" s="31">
        <v>2098</v>
      </c>
      <c r="L210" s="31">
        <v>2097</v>
      </c>
      <c r="M210" s="569"/>
      <c r="N210" s="516" t="s">
        <v>5377</v>
      </c>
      <c r="O210" s="943"/>
    </row>
    <row r="211" spans="1:17">
      <c r="A211" s="524">
        <v>19</v>
      </c>
      <c r="B211" s="516" t="s">
        <v>5029</v>
      </c>
      <c r="C211" s="4" t="s">
        <v>10793</v>
      </c>
      <c r="D211" s="519">
        <v>1963</v>
      </c>
      <c r="E211" s="519">
        <v>2032</v>
      </c>
      <c r="F211" s="519">
        <v>1999</v>
      </c>
      <c r="G211" s="527">
        <v>2007</v>
      </c>
      <c r="H211" s="30">
        <v>1963</v>
      </c>
      <c r="I211" s="30">
        <v>1960</v>
      </c>
      <c r="J211" s="30">
        <v>1933</v>
      </c>
      <c r="K211" s="30">
        <v>1976</v>
      </c>
      <c r="L211" s="30">
        <v>2000</v>
      </c>
      <c r="M211" s="569"/>
      <c r="N211" s="516" t="s">
        <v>5366</v>
      </c>
      <c r="O211" s="934"/>
      <c r="Q211" s="4"/>
    </row>
    <row r="212" spans="1:17">
      <c r="A212" s="524">
        <v>20</v>
      </c>
      <c r="B212" s="516" t="s">
        <v>5030</v>
      </c>
      <c r="C212" s="4" t="s">
        <v>10794</v>
      </c>
      <c r="D212" s="519">
        <v>6077</v>
      </c>
      <c r="E212" s="519">
        <v>6123</v>
      </c>
      <c r="F212" s="519">
        <v>6169</v>
      </c>
      <c r="G212" s="527">
        <v>6245</v>
      </c>
      <c r="H212" s="30">
        <v>5928</v>
      </c>
      <c r="I212" s="30">
        <v>6068</v>
      </c>
      <c r="J212" s="30">
        <v>6091</v>
      </c>
      <c r="K212" s="30">
        <v>6337</v>
      </c>
      <c r="L212" s="30">
        <v>6327</v>
      </c>
      <c r="M212" s="569"/>
      <c r="N212" s="516" t="s">
        <v>5366</v>
      </c>
      <c r="O212" s="934"/>
      <c r="Q212" s="4"/>
    </row>
    <row r="213" spans="1:17" ht="16.5" customHeight="1">
      <c r="A213" s="524">
        <v>21</v>
      </c>
      <c r="B213" s="516" t="s">
        <v>6777</v>
      </c>
      <c r="C213" s="4" t="s">
        <v>10795</v>
      </c>
      <c r="D213" s="525">
        <v>4382</v>
      </c>
      <c r="E213" s="525">
        <v>4478</v>
      </c>
      <c r="F213" s="525">
        <v>4767</v>
      </c>
      <c r="G213" s="31">
        <v>5004</v>
      </c>
      <c r="H213" s="31">
        <v>5322</v>
      </c>
      <c r="I213" s="31">
        <v>5435</v>
      </c>
      <c r="J213" s="31">
        <v>5555</v>
      </c>
      <c r="K213" s="31">
        <v>5815</v>
      </c>
      <c r="L213" s="31">
        <v>5992</v>
      </c>
      <c r="M213" s="569"/>
      <c r="N213" s="516" t="s">
        <v>5377</v>
      </c>
      <c r="O213" s="943"/>
    </row>
    <row r="214" spans="1:17">
      <c r="A214" s="524">
        <v>22</v>
      </c>
      <c r="B214" s="516" t="s">
        <v>6778</v>
      </c>
      <c r="C214" s="4" t="s">
        <v>10796</v>
      </c>
      <c r="D214" s="519">
        <v>2222</v>
      </c>
      <c r="E214" s="519">
        <v>2240</v>
      </c>
      <c r="F214" s="519">
        <v>2234</v>
      </c>
      <c r="G214" s="527">
        <v>2254</v>
      </c>
      <c r="H214" s="30">
        <v>2229</v>
      </c>
      <c r="I214" s="30">
        <v>2225</v>
      </c>
      <c r="J214" s="30">
        <v>2209</v>
      </c>
      <c r="K214" s="30">
        <v>2264</v>
      </c>
      <c r="L214" s="30">
        <v>2220</v>
      </c>
      <c r="M214" s="569"/>
      <c r="N214" s="516" t="s">
        <v>5366</v>
      </c>
      <c r="O214" s="943"/>
    </row>
    <row r="215" spans="1:17">
      <c r="A215" s="524">
        <v>23</v>
      </c>
      <c r="B215" s="516" t="s">
        <v>6779</v>
      </c>
      <c r="C215" s="4" t="s">
        <v>10797</v>
      </c>
      <c r="D215" s="519">
        <v>2121</v>
      </c>
      <c r="E215" s="519">
        <v>2123</v>
      </c>
      <c r="F215" s="519">
        <v>2126</v>
      </c>
      <c r="G215" s="31">
        <v>2113</v>
      </c>
      <c r="H215" s="31">
        <v>2048</v>
      </c>
      <c r="I215" s="31">
        <v>2069</v>
      </c>
      <c r="J215" s="31">
        <v>2064</v>
      </c>
      <c r="K215" s="31">
        <v>2128</v>
      </c>
      <c r="L215" s="31">
        <v>2175</v>
      </c>
      <c r="M215" s="569"/>
      <c r="N215" s="516" t="s">
        <v>5377</v>
      </c>
      <c r="O215" s="934"/>
      <c r="Q215" s="4"/>
    </row>
    <row r="216" spans="1:17">
      <c r="A216" s="524">
        <v>24</v>
      </c>
      <c r="B216" s="516" t="s">
        <v>6780</v>
      </c>
      <c r="C216" s="4" t="s">
        <v>10798</v>
      </c>
      <c r="D216" s="519">
        <v>2098</v>
      </c>
      <c r="E216" s="519">
        <v>2090</v>
      </c>
      <c r="F216" s="519">
        <v>2108</v>
      </c>
      <c r="G216" s="31">
        <v>2148</v>
      </c>
      <c r="H216" s="31">
        <v>2145</v>
      </c>
      <c r="I216" s="31">
        <v>2162</v>
      </c>
      <c r="J216" s="31">
        <v>2122</v>
      </c>
      <c r="K216" s="31">
        <v>2201</v>
      </c>
      <c r="L216" s="31">
        <v>2226</v>
      </c>
      <c r="M216" s="569"/>
      <c r="N216" s="516" t="s">
        <v>5377</v>
      </c>
      <c r="O216" s="934"/>
      <c r="Q216" s="4"/>
    </row>
    <row r="217" spans="1:17">
      <c r="A217" s="524">
        <v>25</v>
      </c>
      <c r="B217" s="516" t="s">
        <v>6781</v>
      </c>
      <c r="C217" s="4" t="s">
        <v>10799</v>
      </c>
      <c r="D217" s="519">
        <v>1959</v>
      </c>
      <c r="E217" s="519">
        <v>1966</v>
      </c>
      <c r="F217" s="519">
        <v>1954</v>
      </c>
      <c r="G217" s="527">
        <v>1964</v>
      </c>
      <c r="H217" s="30">
        <v>1945</v>
      </c>
      <c r="I217" s="30">
        <v>1949</v>
      </c>
      <c r="J217" s="30">
        <v>1914</v>
      </c>
      <c r="K217" s="30">
        <v>1980</v>
      </c>
      <c r="L217" s="30">
        <v>1948</v>
      </c>
      <c r="M217" s="569"/>
      <c r="N217" s="516" t="s">
        <v>5366</v>
      </c>
      <c r="O217" s="934"/>
      <c r="Q217" s="4"/>
    </row>
    <row r="218" spans="1:17">
      <c r="A218" s="524">
        <v>26</v>
      </c>
      <c r="B218" s="516" t="s">
        <v>6782</v>
      </c>
      <c r="C218" s="4" t="s">
        <v>10800</v>
      </c>
      <c r="D218" s="519">
        <v>7365</v>
      </c>
      <c r="E218" s="519">
        <v>7455</v>
      </c>
      <c r="F218" s="519">
        <v>7511</v>
      </c>
      <c r="G218" s="527">
        <v>7605</v>
      </c>
      <c r="H218" s="30">
        <v>7444</v>
      </c>
      <c r="I218" s="30">
        <v>7498</v>
      </c>
      <c r="J218" s="30">
        <v>7437</v>
      </c>
      <c r="K218" s="30">
        <v>7825</v>
      </c>
      <c r="L218" s="30">
        <v>8014</v>
      </c>
      <c r="M218" s="569"/>
      <c r="N218" s="516" t="s">
        <v>5366</v>
      </c>
      <c r="O218" s="941"/>
      <c r="Q218" s="4"/>
    </row>
    <row r="219" spans="1:17" ht="15.75" thickBot="1">
      <c r="A219" s="524"/>
      <c r="B219" s="516"/>
      <c r="C219" s="4" t="s">
        <v>10800</v>
      </c>
      <c r="D219" s="525">
        <v>0</v>
      </c>
      <c r="E219" s="525">
        <v>0</v>
      </c>
      <c r="F219" s="525">
        <v>0</v>
      </c>
      <c r="G219" s="528">
        <v>0</v>
      </c>
      <c r="H219" s="528">
        <v>0</v>
      </c>
      <c r="I219" s="528">
        <v>0</v>
      </c>
      <c r="J219" s="30">
        <v>0</v>
      </c>
      <c r="K219" s="30">
        <v>0</v>
      </c>
      <c r="L219" s="30">
        <v>0</v>
      </c>
      <c r="N219" s="516" t="s">
        <v>5373</v>
      </c>
      <c r="O219" s="941"/>
      <c r="Q219" s="4"/>
    </row>
    <row r="220" spans="1:17" ht="15.75" thickBot="1">
      <c r="A220" s="524"/>
      <c r="B220" s="516"/>
      <c r="C220" s="4" t="s">
        <v>10800</v>
      </c>
      <c r="D220" s="523">
        <f t="shared" ref="D220:L220" si="130">D218+D219</f>
        <v>7365</v>
      </c>
      <c r="E220" s="523">
        <f t="shared" si="130"/>
        <v>7455</v>
      </c>
      <c r="F220" s="523">
        <f t="shared" si="130"/>
        <v>7511</v>
      </c>
      <c r="G220" s="529">
        <f t="shared" si="130"/>
        <v>7605</v>
      </c>
      <c r="H220" s="529">
        <f t="shared" si="130"/>
        <v>7444</v>
      </c>
      <c r="I220" s="529">
        <f t="shared" si="130"/>
        <v>7498</v>
      </c>
      <c r="J220" s="529">
        <f t="shared" si="130"/>
        <v>7437</v>
      </c>
      <c r="K220" s="529">
        <f t="shared" si="130"/>
        <v>7825</v>
      </c>
      <c r="L220" s="529">
        <f t="shared" si="130"/>
        <v>8014</v>
      </c>
      <c r="N220" s="516"/>
      <c r="O220" s="934"/>
    </row>
    <row r="221" spans="1:17">
      <c r="A221" s="524">
        <v>27</v>
      </c>
      <c r="B221" s="516" t="s">
        <v>6783</v>
      </c>
      <c r="C221" s="4" t="s">
        <v>10801</v>
      </c>
      <c r="D221" s="519">
        <v>3</v>
      </c>
      <c r="E221" s="519">
        <v>3</v>
      </c>
      <c r="F221" s="519">
        <v>4</v>
      </c>
      <c r="G221" s="527">
        <v>4</v>
      </c>
      <c r="H221" s="527">
        <v>4</v>
      </c>
      <c r="I221" s="527">
        <v>4</v>
      </c>
      <c r="J221" s="527">
        <v>3</v>
      </c>
      <c r="K221" s="527">
        <v>3</v>
      </c>
      <c r="L221" s="527">
        <v>3</v>
      </c>
      <c r="N221" s="516" t="s">
        <v>5366</v>
      </c>
      <c r="O221" s="934"/>
    </row>
    <row r="222" spans="1:17">
      <c r="A222" s="524"/>
      <c r="B222" s="516"/>
      <c r="C222" s="4" t="s">
        <v>10801</v>
      </c>
      <c r="D222" s="519">
        <v>0</v>
      </c>
      <c r="E222" s="519">
        <v>0</v>
      </c>
      <c r="F222" s="519">
        <v>0</v>
      </c>
      <c r="G222" s="527">
        <v>0</v>
      </c>
      <c r="H222" s="527">
        <v>0</v>
      </c>
      <c r="I222" s="527">
        <v>0</v>
      </c>
      <c r="J222" s="527">
        <v>0</v>
      </c>
      <c r="K222" s="527">
        <v>0</v>
      </c>
      <c r="L222" s="527">
        <v>0</v>
      </c>
      <c r="N222" s="516" t="s">
        <v>5373</v>
      </c>
      <c r="O222" s="943"/>
    </row>
    <row r="223" spans="1:17" ht="15.75" thickBot="1">
      <c r="A223" s="524"/>
      <c r="B223" s="516"/>
      <c r="C223" s="4" t="s">
        <v>10801</v>
      </c>
      <c r="D223" s="530">
        <v>4114</v>
      </c>
      <c r="E223" s="530">
        <v>4165</v>
      </c>
      <c r="F223" s="530">
        <v>4119</v>
      </c>
      <c r="G223" s="531">
        <v>4271</v>
      </c>
      <c r="H223" s="30">
        <v>4272</v>
      </c>
      <c r="I223" s="30">
        <v>4394</v>
      </c>
      <c r="J223" s="30">
        <v>4507</v>
      </c>
      <c r="K223" s="30">
        <v>4800</v>
      </c>
      <c r="L223" s="30">
        <v>4903</v>
      </c>
      <c r="N223" s="516" t="s">
        <v>5376</v>
      </c>
      <c r="O223" s="943"/>
      <c r="Q223" s="4"/>
    </row>
    <row r="224" spans="1:17" ht="15.75" thickBot="1">
      <c r="A224" s="524"/>
      <c r="B224" s="516"/>
      <c r="C224" s="4" t="s">
        <v>10801</v>
      </c>
      <c r="D224" s="523">
        <f t="shared" ref="D224:L224" si="131">SUM(D221:D223)</f>
        <v>4117</v>
      </c>
      <c r="E224" s="523">
        <f t="shared" si="131"/>
        <v>4168</v>
      </c>
      <c r="F224" s="523">
        <f t="shared" si="131"/>
        <v>4123</v>
      </c>
      <c r="G224" s="529">
        <f t="shared" si="131"/>
        <v>4275</v>
      </c>
      <c r="H224" s="529">
        <f t="shared" si="131"/>
        <v>4276</v>
      </c>
      <c r="I224" s="529">
        <f t="shared" si="131"/>
        <v>4398</v>
      </c>
      <c r="J224" s="529">
        <f t="shared" si="131"/>
        <v>4510</v>
      </c>
      <c r="K224" s="529">
        <f t="shared" si="131"/>
        <v>4803</v>
      </c>
      <c r="L224" s="529">
        <f t="shared" si="131"/>
        <v>4906</v>
      </c>
      <c r="N224" s="516"/>
      <c r="O224" s="934"/>
      <c r="Q224" s="4"/>
    </row>
    <row r="225" spans="1:17">
      <c r="A225" s="524">
        <v>28</v>
      </c>
      <c r="B225" s="516" t="s">
        <v>6784</v>
      </c>
      <c r="C225" s="4" t="s">
        <v>10802</v>
      </c>
      <c r="D225" s="519">
        <v>2028</v>
      </c>
      <c r="E225" s="519">
        <v>2045</v>
      </c>
      <c r="F225" s="519">
        <v>2066</v>
      </c>
      <c r="G225" s="527">
        <v>2058</v>
      </c>
      <c r="H225" s="30">
        <v>2033</v>
      </c>
      <c r="I225" s="30">
        <v>2046</v>
      </c>
      <c r="J225" s="30">
        <v>1988</v>
      </c>
      <c r="K225" s="30">
        <v>2048</v>
      </c>
      <c r="L225" s="30">
        <v>2069</v>
      </c>
      <c r="N225" s="516" t="s">
        <v>5376</v>
      </c>
      <c r="O225" s="941"/>
      <c r="Q225" s="4"/>
    </row>
    <row r="226" spans="1:17">
      <c r="A226" s="524">
        <v>29</v>
      </c>
      <c r="B226" s="516" t="s">
        <v>4282</v>
      </c>
      <c r="C226" s="4" t="s">
        <v>10803</v>
      </c>
      <c r="D226" s="519">
        <v>1963</v>
      </c>
      <c r="E226" s="519">
        <v>1980</v>
      </c>
      <c r="F226" s="519">
        <v>1956</v>
      </c>
      <c r="G226" s="31">
        <v>1993</v>
      </c>
      <c r="H226" s="31">
        <v>1926</v>
      </c>
      <c r="I226" s="31">
        <v>1936</v>
      </c>
      <c r="J226" s="31">
        <v>1924</v>
      </c>
      <c r="K226" s="31">
        <v>1953</v>
      </c>
      <c r="L226" s="31">
        <v>1941</v>
      </c>
      <c r="N226" s="516" t="s">
        <v>5377</v>
      </c>
      <c r="O226" s="941"/>
      <c r="Q226" s="4"/>
    </row>
    <row r="227" spans="1:17">
      <c r="A227" s="524">
        <v>30</v>
      </c>
      <c r="B227" s="516" t="s">
        <v>4283</v>
      </c>
      <c r="C227" s="4" t="s">
        <v>10804</v>
      </c>
      <c r="D227" s="519">
        <v>2360</v>
      </c>
      <c r="E227" s="519">
        <v>2401</v>
      </c>
      <c r="F227" s="519">
        <v>2389</v>
      </c>
      <c r="G227" s="31">
        <v>2410</v>
      </c>
      <c r="H227" s="31">
        <v>2347</v>
      </c>
      <c r="I227" s="31">
        <v>2341</v>
      </c>
      <c r="J227" s="31">
        <v>2272</v>
      </c>
      <c r="K227" s="31">
        <v>2268</v>
      </c>
      <c r="L227" s="31">
        <v>2279</v>
      </c>
      <c r="N227" s="516" t="s">
        <v>5377</v>
      </c>
      <c r="O227" s="71"/>
      <c r="Q227" s="4"/>
    </row>
    <row r="228" spans="1:17">
      <c r="A228" s="524">
        <v>31</v>
      </c>
      <c r="B228" s="516" t="s">
        <v>4284</v>
      </c>
      <c r="C228" s="4" t="s">
        <v>10805</v>
      </c>
      <c r="D228" s="519">
        <v>2031</v>
      </c>
      <c r="E228" s="519">
        <v>2073</v>
      </c>
      <c r="F228" s="519">
        <v>2071</v>
      </c>
      <c r="G228" s="31">
        <v>2083</v>
      </c>
      <c r="H228" s="31">
        <v>2079</v>
      </c>
      <c r="I228" s="31">
        <v>2073</v>
      </c>
      <c r="J228" s="31">
        <v>2006</v>
      </c>
      <c r="K228" s="31">
        <v>2069</v>
      </c>
      <c r="L228" s="31">
        <v>2111</v>
      </c>
      <c r="N228" s="516" t="s">
        <v>5377</v>
      </c>
      <c r="O228" s="71"/>
      <c r="Q228" s="4"/>
    </row>
    <row r="229" spans="1:17">
      <c r="A229" s="524">
        <v>32</v>
      </c>
      <c r="B229" s="516" t="s">
        <v>4285</v>
      </c>
      <c r="C229" s="4" t="s">
        <v>10806</v>
      </c>
      <c r="D229" s="521">
        <v>4188</v>
      </c>
      <c r="E229" s="521">
        <v>4169</v>
      </c>
      <c r="F229" s="521">
        <v>4248</v>
      </c>
      <c r="G229" s="31">
        <v>4282</v>
      </c>
      <c r="H229" s="31">
        <v>4293</v>
      </c>
      <c r="I229" s="31">
        <v>4253</v>
      </c>
      <c r="J229" s="31">
        <v>4212</v>
      </c>
      <c r="K229" s="31">
        <v>4225</v>
      </c>
      <c r="L229" s="31">
        <v>4273</v>
      </c>
      <c r="N229" s="516" t="s">
        <v>5377</v>
      </c>
      <c r="O229" s="71"/>
      <c r="Q229" s="4"/>
    </row>
    <row r="230" spans="1:17">
      <c r="A230" s="524">
        <v>33</v>
      </c>
      <c r="B230" s="516" t="s">
        <v>4286</v>
      </c>
      <c r="C230" s="4" t="s">
        <v>10807</v>
      </c>
      <c r="D230" s="521">
        <v>2326</v>
      </c>
      <c r="E230" s="521">
        <v>2375</v>
      </c>
      <c r="F230" s="521">
        <v>2518</v>
      </c>
      <c r="G230" s="31">
        <v>2662</v>
      </c>
      <c r="H230" s="31">
        <v>2772</v>
      </c>
      <c r="I230" s="31">
        <v>2796</v>
      </c>
      <c r="J230" s="31">
        <v>2743</v>
      </c>
      <c r="K230" s="31">
        <v>2807</v>
      </c>
      <c r="L230" s="31">
        <v>2794</v>
      </c>
      <c r="N230" s="516" t="s">
        <v>5377</v>
      </c>
      <c r="O230" s="71"/>
      <c r="Q230" s="4"/>
    </row>
    <row r="231" spans="1:17">
      <c r="A231" s="524">
        <v>34</v>
      </c>
      <c r="B231" s="516" t="s">
        <v>4287</v>
      </c>
      <c r="C231" s="4" t="s">
        <v>10808</v>
      </c>
      <c r="D231" s="521">
        <v>3899</v>
      </c>
      <c r="E231" s="521">
        <v>3967</v>
      </c>
      <c r="F231" s="521">
        <v>4003</v>
      </c>
      <c r="G231" s="521">
        <v>4058</v>
      </c>
      <c r="H231" s="31">
        <v>3961</v>
      </c>
      <c r="I231" s="31">
        <v>3924</v>
      </c>
      <c r="J231" s="31">
        <v>3918</v>
      </c>
      <c r="K231" s="31">
        <v>4046</v>
      </c>
      <c r="L231" s="31">
        <v>3998</v>
      </c>
      <c r="N231" s="516" t="s">
        <v>5377</v>
      </c>
      <c r="O231" s="71"/>
      <c r="Q231" s="4"/>
    </row>
    <row r="232" spans="1:17">
      <c r="A232" s="532">
        <v>35</v>
      </c>
      <c r="B232" s="516" t="s">
        <v>4288</v>
      </c>
      <c r="C232" s="4" t="s">
        <v>10809</v>
      </c>
      <c r="D232" s="519">
        <v>0</v>
      </c>
      <c r="E232" s="519">
        <v>0</v>
      </c>
      <c r="F232" s="519">
        <v>0</v>
      </c>
      <c r="G232" s="519">
        <v>0</v>
      </c>
      <c r="H232" s="519">
        <v>0</v>
      </c>
      <c r="I232" s="519">
        <v>0</v>
      </c>
      <c r="J232" s="519">
        <v>0</v>
      </c>
      <c r="K232" s="519">
        <v>0</v>
      </c>
      <c r="L232" s="519">
        <v>0</v>
      </c>
      <c r="N232" s="516" t="s">
        <v>5366</v>
      </c>
      <c r="O232" s="70"/>
      <c r="Q232" s="4"/>
    </row>
    <row r="233" spans="1:17">
      <c r="A233" s="532"/>
      <c r="B233" s="516"/>
      <c r="C233" s="4" t="s">
        <v>10809</v>
      </c>
      <c r="D233" s="525">
        <v>6154</v>
      </c>
      <c r="E233" s="525">
        <v>6168</v>
      </c>
      <c r="F233" s="525">
        <v>6148</v>
      </c>
      <c r="G233" s="525">
        <v>6217</v>
      </c>
      <c r="H233" s="30">
        <v>6169</v>
      </c>
      <c r="I233" s="30">
        <v>6187</v>
      </c>
      <c r="J233" s="30">
        <v>6164</v>
      </c>
      <c r="K233" s="30">
        <v>6285</v>
      </c>
      <c r="L233" s="519">
        <v>6329</v>
      </c>
      <c r="N233" s="516" t="s">
        <v>5373</v>
      </c>
    </row>
    <row r="234" spans="1:17" ht="15.75" thickBot="1">
      <c r="A234" s="532"/>
      <c r="B234" s="516"/>
      <c r="C234" s="4" t="s">
        <v>10809</v>
      </c>
      <c r="D234" s="525">
        <v>0</v>
      </c>
      <c r="E234" s="525">
        <v>0</v>
      </c>
      <c r="F234" s="525">
        <v>0</v>
      </c>
      <c r="G234" s="525">
        <v>0</v>
      </c>
      <c r="H234" s="525">
        <v>0</v>
      </c>
      <c r="I234" s="525">
        <v>0</v>
      </c>
      <c r="J234" s="525">
        <v>0</v>
      </c>
      <c r="K234" s="525">
        <v>0</v>
      </c>
      <c r="L234" s="525">
        <v>0</v>
      </c>
      <c r="N234" s="516" t="s">
        <v>5376</v>
      </c>
    </row>
    <row r="235" spans="1:17" ht="15.75" thickBot="1">
      <c r="A235" s="532"/>
      <c r="B235" s="516"/>
      <c r="C235" s="4" t="s">
        <v>10809</v>
      </c>
      <c r="D235" s="523">
        <f t="shared" ref="D235:I235" si="132">SUM(D232:D234)</f>
        <v>6154</v>
      </c>
      <c r="E235" s="523">
        <f t="shared" si="132"/>
        <v>6168</v>
      </c>
      <c r="F235" s="523">
        <f t="shared" si="132"/>
        <v>6148</v>
      </c>
      <c r="G235" s="523">
        <f t="shared" si="132"/>
        <v>6217</v>
      </c>
      <c r="H235" s="523">
        <f t="shared" si="132"/>
        <v>6169</v>
      </c>
      <c r="I235" s="523">
        <f t="shared" si="132"/>
        <v>6187</v>
      </c>
      <c r="J235" s="523">
        <f t="shared" ref="J235:K235" si="133">SUM(J232:J234)</f>
        <v>6164</v>
      </c>
      <c r="K235" s="523">
        <f t="shared" si="133"/>
        <v>6285</v>
      </c>
      <c r="L235" s="523">
        <f t="shared" ref="L235" si="134">SUM(L232:L234)</f>
        <v>6329</v>
      </c>
      <c r="N235" s="516"/>
    </row>
    <row r="236" spans="1:17">
      <c r="D236" s="521"/>
      <c r="E236" s="521"/>
      <c r="F236" s="521"/>
      <c r="G236" s="521"/>
      <c r="H236" s="521"/>
      <c r="I236" s="521"/>
      <c r="J236" s="521"/>
      <c r="K236" s="521"/>
      <c r="L236" s="521"/>
    </row>
    <row r="237" spans="1:17">
      <c r="A237" s="516" t="s">
        <v>1513</v>
      </c>
      <c r="D237" s="519">
        <f t="shared" ref="D237:I237" si="135">D196+D211+D212+D214+D217+D218+D221+D232</f>
        <v>21577</v>
      </c>
      <c r="E237" s="519">
        <f t="shared" si="135"/>
        <v>21819</v>
      </c>
      <c r="F237" s="519">
        <f t="shared" si="135"/>
        <v>21831</v>
      </c>
      <c r="G237" s="519">
        <f t="shared" si="135"/>
        <v>22059</v>
      </c>
      <c r="H237" s="519">
        <f t="shared" si="135"/>
        <v>21438</v>
      </c>
      <c r="I237" s="519">
        <f t="shared" si="135"/>
        <v>21641</v>
      </c>
      <c r="J237" s="519">
        <f t="shared" ref="J237:K237" si="136">J196+J211+J212+J214+J217+J218+J221+J232</f>
        <v>21562</v>
      </c>
      <c r="K237" s="519">
        <f t="shared" si="136"/>
        <v>22413</v>
      </c>
      <c r="L237" s="519">
        <f t="shared" ref="L237" si="137">L196+L211+L212+L214+L217+L218+L221+L232</f>
        <v>22524</v>
      </c>
    </row>
    <row r="238" spans="1:17">
      <c r="A238" s="516" t="s">
        <v>3712</v>
      </c>
      <c r="D238" s="519">
        <f t="shared" ref="D238:I238" si="138">D219+D222+D233</f>
        <v>6154</v>
      </c>
      <c r="E238" s="519">
        <f t="shared" si="138"/>
        <v>6168</v>
      </c>
      <c r="F238" s="519">
        <f t="shared" si="138"/>
        <v>6148</v>
      </c>
      <c r="G238" s="519">
        <f t="shared" si="138"/>
        <v>6217</v>
      </c>
      <c r="H238" s="519">
        <f t="shared" si="138"/>
        <v>6169</v>
      </c>
      <c r="I238" s="519">
        <f t="shared" si="138"/>
        <v>6187</v>
      </c>
      <c r="J238" s="519">
        <f t="shared" ref="J238:K238" si="139">J219+J222+J233</f>
        <v>6164</v>
      </c>
      <c r="K238" s="519">
        <f t="shared" si="139"/>
        <v>6285</v>
      </c>
      <c r="L238" s="519">
        <f t="shared" ref="L238" si="140">L219+L222+L233</f>
        <v>6329</v>
      </c>
    </row>
    <row r="239" spans="1:17">
      <c r="A239" s="516" t="s">
        <v>2347</v>
      </c>
      <c r="D239" s="519">
        <f t="shared" ref="D239:I239" si="141">D191+D203+D223+D225+D234</f>
        <v>10006</v>
      </c>
      <c r="E239" s="519">
        <f t="shared" si="141"/>
        <v>10154</v>
      </c>
      <c r="F239" s="519">
        <f t="shared" si="141"/>
        <v>10116</v>
      </c>
      <c r="G239" s="519">
        <f t="shared" si="141"/>
        <v>10245</v>
      </c>
      <c r="H239" s="519">
        <f t="shared" si="141"/>
        <v>10190</v>
      </c>
      <c r="I239" s="519">
        <f t="shared" si="141"/>
        <v>10311</v>
      </c>
      <c r="J239" s="519">
        <f t="shared" ref="J239:K239" si="142">J191+J203+J223+J225+J234</f>
        <v>10313</v>
      </c>
      <c r="K239" s="519">
        <f t="shared" si="142"/>
        <v>10780</v>
      </c>
      <c r="L239" s="519">
        <f t="shared" ref="L239" si="143">L191+L203+L223+L225+L234</f>
        <v>10951</v>
      </c>
    </row>
    <row r="240" spans="1:17">
      <c r="A240" s="516" t="s">
        <v>5377</v>
      </c>
      <c r="D240" s="519">
        <f t="shared" ref="D240:I240" si="144">D192+D194+D195+SUM(D197:D202)+SUM(D204:D210)+D213+D215+D216+SUM(D226:D231)</f>
        <v>76724</v>
      </c>
      <c r="E240" s="519">
        <f t="shared" si="144"/>
        <v>77536</v>
      </c>
      <c r="F240" s="519">
        <f t="shared" si="144"/>
        <v>78574</v>
      </c>
      <c r="G240" s="519">
        <f t="shared" si="144"/>
        <v>79559</v>
      </c>
      <c r="H240" s="519">
        <f t="shared" si="144"/>
        <v>78963</v>
      </c>
      <c r="I240" s="519">
        <f t="shared" si="144"/>
        <v>79263</v>
      </c>
      <c r="J240" s="519">
        <f t="shared" ref="J240:K240" si="145">J192+J194+J195+SUM(J197:J202)+SUM(J204:J210)+J213+J215+J216+SUM(J226:J231)</f>
        <v>78544</v>
      </c>
      <c r="K240" s="519">
        <f t="shared" si="145"/>
        <v>81238</v>
      </c>
      <c r="L240" s="519">
        <f t="shared" ref="L240" si="146">L192+L194+L195+SUM(L197:L202)+SUM(L204:L210)+L213+L215+L216+SUM(L226:L231)</f>
        <v>81821</v>
      </c>
    </row>
    <row r="242" spans="1:1">
      <c r="A242" s="516" t="s">
        <v>2504</v>
      </c>
    </row>
    <row r="243" spans="1:1">
      <c r="A243" s="517" t="s">
        <v>2505</v>
      </c>
    </row>
  </sheetData>
  <sortState ref="O191:Q226">
    <sortCondition ref="O191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77:D79 D54:K54 D220:D224 D190 D193 D104:K104 D122:K122 D97:K97 D86:K86 D152:D153 D129:K129 D160:K160 D182:D183 D3:D12 E77:E79 E220:E224 E236:E240 E190:E193 E152:E153 E182:E183 E3:E12 F77:F79 F152:F153 F182:F183 F220:F234 F236:F240 F190:F193 F3:F12 G220 G224 G190:G193 G237:G240 G77:G79 G152:G153 G182:G183 G3:G12 D13:D47 E13:E47 F13:F47 G13:G47 H77:H79 H190:K190 H237:H240 H193:K193 H182:H183 H152:H153 H3:H12 H13:H47 I152:I153 I182:I183 I77:I79 I220:I224 I3:I47 J182:J183 J152:J153 J220:K220 J224:K224 J77:J79 J3:J47 K77:K79 K152:K153 K182:K183 K3:K47 L3:L240" unlockedFormula="1"/>
    <ignoredError sqref="D236" formulaRange="1"/>
    <ignoredError sqref="D237:D240 D235:G235 H220:H235 I235:I240 J235:J240 K235:K240" formulaRange="1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51"/>
  <sheetViews>
    <sheetView showGridLines="0" zoomScaleNormal="100" workbookViewId="0"/>
  </sheetViews>
  <sheetFormatPr defaultColWidth="12.5703125" defaultRowHeight="15"/>
  <cols>
    <col min="1" max="1" width="4.85546875" style="780" customWidth="1"/>
    <col min="2" max="2" width="36" style="780" customWidth="1"/>
    <col min="3" max="3" width="11.5703125" style="780" customWidth="1"/>
    <col min="4" max="12" width="10" style="780" customWidth="1"/>
    <col min="13" max="13" width="2.28515625" style="780" customWidth="1"/>
    <col min="14" max="14" width="25.7109375" style="780" customWidth="1"/>
    <col min="15" max="16384" width="12.5703125" style="780"/>
  </cols>
  <sheetData>
    <row r="1" spans="1:14">
      <c r="A1" s="779" t="s">
        <v>7342</v>
      </c>
      <c r="D1" s="781">
        <v>2010</v>
      </c>
      <c r="E1" s="781">
        <v>2011</v>
      </c>
      <c r="F1" s="781">
        <v>2012</v>
      </c>
      <c r="G1" s="781">
        <v>2013</v>
      </c>
      <c r="H1" s="781">
        <v>2014</v>
      </c>
      <c r="I1" s="781">
        <v>2015</v>
      </c>
      <c r="J1" s="781">
        <v>2016</v>
      </c>
      <c r="K1" s="781">
        <v>2017</v>
      </c>
      <c r="L1" s="781">
        <v>2018</v>
      </c>
    </row>
    <row r="3" spans="1:14">
      <c r="A3" s="779" t="s">
        <v>1246</v>
      </c>
      <c r="D3" s="782">
        <f t="shared" ref="D3:I3" si="0">SUM(D19:D39)</f>
        <v>193985</v>
      </c>
      <c r="E3" s="782">
        <f t="shared" si="0"/>
        <v>196049</v>
      </c>
      <c r="F3" s="782">
        <f t="shared" si="0"/>
        <v>198089</v>
      </c>
      <c r="G3" s="782">
        <f t="shared" si="0"/>
        <v>200557</v>
      </c>
      <c r="H3" s="782">
        <f t="shared" si="0"/>
        <v>194246</v>
      </c>
      <c r="I3" s="782">
        <f t="shared" si="0"/>
        <v>196586</v>
      </c>
      <c r="J3" s="782">
        <f t="shared" ref="J3:K3" si="1">SUM(J19:J39)</f>
        <v>192256</v>
      </c>
      <c r="K3" s="782">
        <f t="shared" si="1"/>
        <v>195234</v>
      </c>
      <c r="L3" s="782">
        <f t="shared" ref="L3" si="2">SUM(L19:L39)</f>
        <v>196606</v>
      </c>
    </row>
    <row r="5" spans="1:14">
      <c r="A5" s="779" t="s">
        <v>6952</v>
      </c>
      <c r="D5" s="782">
        <f t="shared" ref="D5:I5" si="3">D3/3</f>
        <v>64661.666666666664</v>
      </c>
      <c r="E5" s="782">
        <f t="shared" si="3"/>
        <v>65349.666666666664</v>
      </c>
      <c r="F5" s="782">
        <f t="shared" si="3"/>
        <v>66029.666666666672</v>
      </c>
      <c r="G5" s="782">
        <f t="shared" si="3"/>
        <v>66852.333333333328</v>
      </c>
      <c r="H5" s="782">
        <f t="shared" si="3"/>
        <v>64748.666666666664</v>
      </c>
      <c r="I5" s="782">
        <f t="shared" si="3"/>
        <v>65528.666666666664</v>
      </c>
      <c r="J5" s="782">
        <f t="shared" ref="J5:K5" si="4">J3/3</f>
        <v>64085.333333333336</v>
      </c>
      <c r="K5" s="782">
        <f t="shared" si="4"/>
        <v>65078</v>
      </c>
      <c r="L5" s="782">
        <f t="shared" ref="L5" si="5">L3/3</f>
        <v>65535.333333333336</v>
      </c>
    </row>
    <row r="6" spans="1:14">
      <c r="D6" s="783"/>
      <c r="E6" s="783"/>
      <c r="F6" s="783"/>
      <c r="G6" s="783"/>
      <c r="H6" s="783"/>
      <c r="I6" s="783"/>
      <c r="J6" s="783"/>
      <c r="K6" s="783"/>
      <c r="L6" s="783"/>
    </row>
    <row r="7" spans="1:14">
      <c r="A7" s="779" t="s">
        <v>1247</v>
      </c>
      <c r="D7" s="782">
        <f t="shared" ref="D7:I7" si="6">D20+D23+D27+D29+D30+D32+D38</f>
        <v>63457</v>
      </c>
      <c r="E7" s="782">
        <f t="shared" si="6"/>
        <v>64356</v>
      </c>
      <c r="F7" s="782">
        <f t="shared" si="6"/>
        <v>65283</v>
      </c>
      <c r="G7" s="782">
        <f t="shared" si="6"/>
        <v>66669</v>
      </c>
      <c r="H7" s="782">
        <f t="shared" si="6"/>
        <v>63800</v>
      </c>
      <c r="I7" s="782">
        <f t="shared" si="6"/>
        <v>65007</v>
      </c>
      <c r="J7" s="782">
        <f t="shared" ref="J7:K7" si="7">J20+J23+J27+J29+J30+J32+J38</f>
        <v>63360</v>
      </c>
      <c r="K7" s="782">
        <f t="shared" si="7"/>
        <v>64396</v>
      </c>
      <c r="L7" s="782">
        <f t="shared" ref="L7" si="8">L20+L23+L27+L29+L30+L32+L38</f>
        <v>64759</v>
      </c>
      <c r="N7" s="779" t="s">
        <v>1248</v>
      </c>
    </row>
    <row r="8" spans="1:14">
      <c r="D8" s="783"/>
      <c r="E8" s="783"/>
      <c r="F8" s="783"/>
      <c r="G8" s="783"/>
      <c r="H8" s="783"/>
      <c r="I8" s="783"/>
      <c r="J8" s="783"/>
      <c r="K8" s="783"/>
      <c r="L8" s="783"/>
    </row>
    <row r="9" spans="1:14">
      <c r="A9" s="779" t="s">
        <v>1249</v>
      </c>
      <c r="D9" s="782">
        <f t="shared" ref="D9:I9" si="9">D21+D24+D25+D28+D33+D36+D37</f>
        <v>66638</v>
      </c>
      <c r="E9" s="782">
        <f t="shared" si="9"/>
        <v>66761</v>
      </c>
      <c r="F9" s="782">
        <f t="shared" si="9"/>
        <v>67580</v>
      </c>
      <c r="G9" s="782">
        <f t="shared" si="9"/>
        <v>68463</v>
      </c>
      <c r="H9" s="782">
        <f t="shared" si="9"/>
        <v>66803</v>
      </c>
      <c r="I9" s="782">
        <f t="shared" si="9"/>
        <v>67528</v>
      </c>
      <c r="J9" s="782">
        <f t="shared" ref="J9:K9" si="10">J21+J24+J25+J28+J33+J36+J37</f>
        <v>65981</v>
      </c>
      <c r="K9" s="782">
        <f t="shared" si="10"/>
        <v>66828</v>
      </c>
      <c r="L9" s="782">
        <f t="shared" ref="L9" si="11">L21+L24+L25+L28+L33+L36+L37</f>
        <v>67417</v>
      </c>
      <c r="N9" s="779" t="s">
        <v>1248</v>
      </c>
    </row>
    <row r="10" spans="1:14">
      <c r="D10" s="783"/>
      <c r="E10" s="783"/>
      <c r="F10" s="783"/>
      <c r="G10" s="783"/>
      <c r="H10" s="783"/>
      <c r="I10" s="783"/>
      <c r="J10" s="783"/>
      <c r="K10" s="783"/>
      <c r="L10" s="783"/>
    </row>
    <row r="11" spans="1:14">
      <c r="A11" s="779" t="s">
        <v>1250</v>
      </c>
      <c r="D11" s="782">
        <f t="shared" ref="D11:I11" si="12">D19+D22+D26+D31+D34+D35+D39</f>
        <v>63890</v>
      </c>
      <c r="E11" s="782">
        <f t="shared" si="12"/>
        <v>64932</v>
      </c>
      <c r="F11" s="782">
        <f t="shared" si="12"/>
        <v>65226</v>
      </c>
      <c r="G11" s="782">
        <f t="shared" si="12"/>
        <v>65425</v>
      </c>
      <c r="H11" s="782">
        <f t="shared" si="12"/>
        <v>63643</v>
      </c>
      <c r="I11" s="782">
        <f t="shared" si="12"/>
        <v>64051</v>
      </c>
      <c r="J11" s="782">
        <f t="shared" ref="J11:K11" si="13">J19+J22+J26+J31+J34+J35+J39</f>
        <v>62915</v>
      </c>
      <c r="K11" s="782">
        <f t="shared" si="13"/>
        <v>64010</v>
      </c>
      <c r="L11" s="782">
        <f t="shared" ref="L11" si="14">L19+L22+L26+L31+L34+L35+L39</f>
        <v>64430</v>
      </c>
      <c r="N11" s="779" t="s">
        <v>1248</v>
      </c>
    </row>
    <row r="12" spans="1:14">
      <c r="D12" s="783"/>
      <c r="E12" s="783"/>
      <c r="F12" s="783"/>
      <c r="G12" s="783"/>
      <c r="H12" s="783"/>
      <c r="I12" s="783"/>
      <c r="J12" s="783"/>
      <c r="K12" s="783"/>
      <c r="L12" s="783"/>
    </row>
    <row r="13" spans="1:14">
      <c r="A13" s="779" t="s">
        <v>8697</v>
      </c>
      <c r="D13" s="782">
        <f t="shared" ref="D13:I13" si="15">D7+D9+D11</f>
        <v>193985</v>
      </c>
      <c r="E13" s="782">
        <f t="shared" si="15"/>
        <v>196049</v>
      </c>
      <c r="F13" s="782">
        <f t="shared" si="15"/>
        <v>198089</v>
      </c>
      <c r="G13" s="782">
        <f t="shared" si="15"/>
        <v>200557</v>
      </c>
      <c r="H13" s="782">
        <f t="shared" si="15"/>
        <v>194246</v>
      </c>
      <c r="I13" s="782">
        <f t="shared" si="15"/>
        <v>196586</v>
      </c>
      <c r="J13" s="782">
        <f t="shared" ref="J13:K13" si="16">J7+J9+J11</f>
        <v>192256</v>
      </c>
      <c r="K13" s="782">
        <f t="shared" si="16"/>
        <v>195234</v>
      </c>
      <c r="L13" s="782">
        <f t="shared" ref="L13" si="17">L7+L9+L11</f>
        <v>196606</v>
      </c>
    </row>
    <row r="14" spans="1:14">
      <c r="D14" s="783"/>
      <c r="E14" s="783"/>
      <c r="F14" s="783"/>
      <c r="G14" s="783"/>
      <c r="H14" s="783"/>
      <c r="I14" s="783"/>
      <c r="J14" s="783"/>
      <c r="K14" s="783"/>
      <c r="L14" s="783"/>
    </row>
    <row r="15" spans="1:14">
      <c r="A15" s="779" t="s">
        <v>8698</v>
      </c>
      <c r="D15" s="782">
        <f t="shared" ref="D15:I15" si="18">MAX(D7,D9,D11)-MIN(D7,D9,D11)</f>
        <v>3181</v>
      </c>
      <c r="E15" s="782">
        <f t="shared" si="18"/>
        <v>2405</v>
      </c>
      <c r="F15" s="782">
        <f t="shared" si="18"/>
        <v>2354</v>
      </c>
      <c r="G15" s="782">
        <f t="shared" si="18"/>
        <v>3038</v>
      </c>
      <c r="H15" s="782">
        <f t="shared" si="18"/>
        <v>3160</v>
      </c>
      <c r="I15" s="782">
        <f t="shared" si="18"/>
        <v>3477</v>
      </c>
      <c r="J15" s="782">
        <f t="shared" ref="J15:K15" si="19">MAX(J7,J9,J11)-MIN(J7,J9,J11)</f>
        <v>3066</v>
      </c>
      <c r="K15" s="782">
        <f t="shared" si="19"/>
        <v>2818</v>
      </c>
      <c r="L15" s="782">
        <f t="shared" ref="L15" si="20">MAX(L7,L9,L11)-MIN(L7,L9,L11)</f>
        <v>2987</v>
      </c>
    </row>
    <row r="16" spans="1:14">
      <c r="D16" s="783"/>
      <c r="E16" s="783"/>
      <c r="F16" s="783"/>
      <c r="G16" s="783"/>
      <c r="H16" s="783"/>
      <c r="I16" s="783"/>
      <c r="J16" s="783"/>
      <c r="K16" s="783"/>
      <c r="L16" s="783"/>
    </row>
    <row r="17" spans="1:19">
      <c r="A17" s="779" t="s">
        <v>8701</v>
      </c>
      <c r="D17" s="782">
        <f t="shared" ref="D17:I17" si="21">STDEVP(D7,D9,D11)</f>
        <v>1408.6145281406439</v>
      </c>
      <c r="E17" s="782">
        <f t="shared" si="21"/>
        <v>1025.2935622975933</v>
      </c>
      <c r="F17" s="782">
        <f t="shared" si="21"/>
        <v>1096.4981633464884</v>
      </c>
      <c r="G17" s="782">
        <f t="shared" si="21"/>
        <v>1247.0149246188764</v>
      </c>
      <c r="H17" s="782">
        <f t="shared" si="21"/>
        <v>1454.0463847102294</v>
      </c>
      <c r="I17" s="782">
        <f t="shared" si="21"/>
        <v>1466.6252266872937</v>
      </c>
      <c r="J17" s="782">
        <f t="shared" ref="J17:K17" si="22">STDEVP(J7,J9,J11)</f>
        <v>1352.6936912036745</v>
      </c>
      <c r="K17" s="782">
        <f t="shared" si="22"/>
        <v>1247.43042558159</v>
      </c>
      <c r="L17" s="782">
        <f t="shared" ref="L17" si="23">STDEVP(L7,L9,L11)</f>
        <v>1337.3013455795551</v>
      </c>
    </row>
    <row r="18" spans="1:19">
      <c r="D18" s="783"/>
      <c r="E18" s="783"/>
      <c r="F18" s="783"/>
      <c r="G18" s="783"/>
      <c r="H18" s="783"/>
      <c r="I18" s="783"/>
      <c r="J18" s="783"/>
      <c r="K18" s="783"/>
      <c r="L18" s="783"/>
    </row>
    <row r="19" spans="1:19">
      <c r="A19" s="784">
        <v>1</v>
      </c>
      <c r="B19" s="779" t="s">
        <v>1251</v>
      </c>
      <c r="C19" s="4" t="s">
        <v>726</v>
      </c>
      <c r="D19" s="785">
        <v>7708</v>
      </c>
      <c r="E19" s="785">
        <v>7912</v>
      </c>
      <c r="F19" s="785">
        <v>8019</v>
      </c>
      <c r="G19" s="785">
        <v>8150</v>
      </c>
      <c r="H19" s="30">
        <v>7830</v>
      </c>
      <c r="I19" s="30">
        <v>7921</v>
      </c>
      <c r="J19" s="30">
        <v>7796</v>
      </c>
      <c r="K19" s="30">
        <v>8035</v>
      </c>
      <c r="L19" s="30">
        <v>8115</v>
      </c>
      <c r="N19" s="779" t="s">
        <v>1250</v>
      </c>
      <c r="Q19" s="4"/>
      <c r="S19" s="4"/>
    </row>
    <row r="20" spans="1:19">
      <c r="A20" s="784">
        <v>2</v>
      </c>
      <c r="B20" s="779" t="s">
        <v>1252</v>
      </c>
      <c r="C20" s="4" t="s">
        <v>727</v>
      </c>
      <c r="D20" s="782">
        <v>10069</v>
      </c>
      <c r="E20" s="782">
        <v>10085</v>
      </c>
      <c r="F20" s="782">
        <v>10071</v>
      </c>
      <c r="G20" s="782">
        <v>10217</v>
      </c>
      <c r="H20" s="30">
        <v>10082</v>
      </c>
      <c r="I20" s="30">
        <v>10143</v>
      </c>
      <c r="J20" s="30">
        <v>9872</v>
      </c>
      <c r="K20" s="30">
        <v>10009</v>
      </c>
      <c r="L20" s="30">
        <v>10032</v>
      </c>
      <c r="N20" s="779" t="s">
        <v>1247</v>
      </c>
      <c r="Q20" s="4"/>
      <c r="S20" s="4"/>
    </row>
    <row r="21" spans="1:19">
      <c r="A21" s="784">
        <v>3</v>
      </c>
      <c r="B21" s="779" t="s">
        <v>1253</v>
      </c>
      <c r="C21" s="4" t="s">
        <v>728</v>
      </c>
      <c r="D21" s="786">
        <v>9350</v>
      </c>
      <c r="E21" s="786">
        <v>9355</v>
      </c>
      <c r="F21" s="786">
        <v>9472</v>
      </c>
      <c r="G21" s="786">
        <v>9585</v>
      </c>
      <c r="H21" s="30">
        <v>9277</v>
      </c>
      <c r="I21" s="30">
        <v>9329</v>
      </c>
      <c r="J21" s="30">
        <v>9210</v>
      </c>
      <c r="K21" s="30">
        <v>9384</v>
      </c>
      <c r="L21" s="30">
        <v>9500</v>
      </c>
      <c r="N21" s="779" t="s">
        <v>1249</v>
      </c>
      <c r="Q21" s="4"/>
      <c r="S21" s="4"/>
    </row>
    <row r="22" spans="1:19">
      <c r="A22" s="784">
        <v>4</v>
      </c>
      <c r="B22" s="779" t="s">
        <v>1254</v>
      </c>
      <c r="C22" s="4" t="s">
        <v>729</v>
      </c>
      <c r="D22" s="786">
        <v>9982</v>
      </c>
      <c r="E22" s="786">
        <v>10093</v>
      </c>
      <c r="F22" s="786">
        <v>10098</v>
      </c>
      <c r="G22" s="786">
        <v>9935</v>
      </c>
      <c r="H22" s="31">
        <v>9592</v>
      </c>
      <c r="I22" s="31">
        <v>9666</v>
      </c>
      <c r="J22" s="31">
        <v>9532</v>
      </c>
      <c r="K22" s="31">
        <v>9583</v>
      </c>
      <c r="L22" s="31">
        <v>9737</v>
      </c>
      <c r="N22" s="779" t="s">
        <v>1250</v>
      </c>
      <c r="Q22" s="4"/>
      <c r="S22" s="4"/>
    </row>
    <row r="23" spans="1:19">
      <c r="A23" s="784">
        <v>5</v>
      </c>
      <c r="B23" s="779" t="s">
        <v>4833</v>
      </c>
      <c r="C23" s="4" t="s">
        <v>730</v>
      </c>
      <c r="D23" s="786">
        <v>9270</v>
      </c>
      <c r="E23" s="786">
        <v>9461</v>
      </c>
      <c r="F23" s="786">
        <v>9692</v>
      </c>
      <c r="G23" s="786">
        <v>9956</v>
      </c>
      <c r="H23" s="30">
        <v>9490</v>
      </c>
      <c r="I23" s="30">
        <v>9664</v>
      </c>
      <c r="J23" s="30">
        <v>9491</v>
      </c>
      <c r="K23" s="30">
        <v>9703</v>
      </c>
      <c r="L23" s="30">
        <v>9748</v>
      </c>
      <c r="N23" s="779" t="s">
        <v>1247</v>
      </c>
      <c r="Q23" s="4"/>
      <c r="S23" s="4"/>
    </row>
    <row r="24" spans="1:19">
      <c r="A24" s="784">
        <v>6</v>
      </c>
      <c r="B24" s="779" t="s">
        <v>1967</v>
      </c>
      <c r="C24" s="4" t="s">
        <v>731</v>
      </c>
      <c r="D24" s="786">
        <v>9688</v>
      </c>
      <c r="E24" s="786">
        <v>9704</v>
      </c>
      <c r="F24" s="786">
        <v>9752</v>
      </c>
      <c r="G24" s="786">
        <v>9900</v>
      </c>
      <c r="H24" s="30">
        <v>9672</v>
      </c>
      <c r="I24" s="30">
        <v>9740</v>
      </c>
      <c r="J24" s="30">
        <v>9402</v>
      </c>
      <c r="K24" s="30">
        <v>9484</v>
      </c>
      <c r="L24" s="30">
        <v>9645</v>
      </c>
      <c r="N24" s="779" t="s">
        <v>1249</v>
      </c>
      <c r="Q24" s="4"/>
      <c r="S24" s="4"/>
    </row>
    <row r="25" spans="1:19">
      <c r="A25" s="784">
        <v>7</v>
      </c>
      <c r="B25" s="779" t="s">
        <v>1968</v>
      </c>
      <c r="C25" s="4" t="s">
        <v>732</v>
      </c>
      <c r="D25" s="786">
        <v>9575</v>
      </c>
      <c r="E25" s="786">
        <v>9689</v>
      </c>
      <c r="F25" s="786">
        <v>9846</v>
      </c>
      <c r="G25" s="786">
        <v>10060</v>
      </c>
      <c r="H25" s="30">
        <v>9621</v>
      </c>
      <c r="I25" s="30">
        <v>9851</v>
      </c>
      <c r="J25" s="30">
        <v>9711</v>
      </c>
      <c r="K25" s="30">
        <v>9904</v>
      </c>
      <c r="L25" s="30">
        <v>9946</v>
      </c>
      <c r="N25" s="779" t="s">
        <v>1249</v>
      </c>
      <c r="Q25" s="4"/>
      <c r="S25" s="4"/>
    </row>
    <row r="26" spans="1:19">
      <c r="A26" s="784">
        <v>8</v>
      </c>
      <c r="B26" s="779" t="s">
        <v>8563</v>
      </c>
      <c r="C26" s="4" t="s">
        <v>733</v>
      </c>
      <c r="D26" s="786">
        <v>9551</v>
      </c>
      <c r="E26" s="786">
        <v>9512</v>
      </c>
      <c r="F26" s="786">
        <v>9636</v>
      </c>
      <c r="G26" s="786">
        <v>9735</v>
      </c>
      <c r="H26" s="31">
        <v>9581</v>
      </c>
      <c r="I26" s="31">
        <v>9547</v>
      </c>
      <c r="J26" s="31">
        <v>9321</v>
      </c>
      <c r="K26" s="31">
        <v>9509</v>
      </c>
      <c r="L26" s="31">
        <v>9519</v>
      </c>
      <c r="N26" s="779" t="s">
        <v>1250</v>
      </c>
      <c r="Q26" s="4"/>
      <c r="S26" s="4"/>
    </row>
    <row r="27" spans="1:19">
      <c r="A27" s="784">
        <v>9</v>
      </c>
      <c r="B27" s="779" t="s">
        <v>1969</v>
      </c>
      <c r="C27" s="4" t="s">
        <v>734</v>
      </c>
      <c r="D27" s="786">
        <v>8622</v>
      </c>
      <c r="E27" s="786">
        <v>8916</v>
      </c>
      <c r="F27" s="786">
        <v>9117</v>
      </c>
      <c r="G27" s="786">
        <v>9345</v>
      </c>
      <c r="H27" s="30">
        <v>8969</v>
      </c>
      <c r="I27" s="30">
        <v>9144</v>
      </c>
      <c r="J27" s="30">
        <v>8872</v>
      </c>
      <c r="K27" s="30">
        <v>9017</v>
      </c>
      <c r="L27" s="30">
        <v>9054</v>
      </c>
      <c r="N27" s="779" t="s">
        <v>1247</v>
      </c>
      <c r="Q27" s="4"/>
      <c r="S27" s="4"/>
    </row>
    <row r="28" spans="1:19">
      <c r="A28" s="784">
        <v>10</v>
      </c>
      <c r="B28" s="779" t="s">
        <v>1970</v>
      </c>
      <c r="C28" s="4" t="s">
        <v>735</v>
      </c>
      <c r="D28" s="786">
        <v>9720</v>
      </c>
      <c r="E28" s="786">
        <v>9721</v>
      </c>
      <c r="F28" s="786">
        <v>9843</v>
      </c>
      <c r="G28" s="786">
        <v>9875</v>
      </c>
      <c r="H28" s="30">
        <v>9837</v>
      </c>
      <c r="I28" s="30">
        <v>9867</v>
      </c>
      <c r="J28" s="30">
        <v>9630</v>
      </c>
      <c r="K28" s="30">
        <v>9655</v>
      </c>
      <c r="L28" s="30">
        <v>9638</v>
      </c>
      <c r="N28" s="779" t="s">
        <v>1249</v>
      </c>
      <c r="Q28" s="4"/>
      <c r="S28" s="4"/>
    </row>
    <row r="29" spans="1:19">
      <c r="A29" s="784">
        <v>11</v>
      </c>
      <c r="B29" s="779" t="s">
        <v>4873</v>
      </c>
      <c r="C29" s="4" t="s">
        <v>736</v>
      </c>
      <c r="D29" s="786">
        <v>8771</v>
      </c>
      <c r="E29" s="786">
        <v>8746</v>
      </c>
      <c r="F29" s="786">
        <v>8895</v>
      </c>
      <c r="G29" s="786">
        <v>9028</v>
      </c>
      <c r="H29" s="30">
        <v>8538</v>
      </c>
      <c r="I29" s="30">
        <v>8676</v>
      </c>
      <c r="J29" s="30">
        <v>8502</v>
      </c>
      <c r="K29" s="30">
        <v>8539</v>
      </c>
      <c r="L29" s="30">
        <v>8512</v>
      </c>
      <c r="N29" s="779" t="s">
        <v>1247</v>
      </c>
      <c r="Q29" s="4"/>
      <c r="S29" s="4"/>
    </row>
    <row r="30" spans="1:19">
      <c r="A30" s="784">
        <v>12</v>
      </c>
      <c r="B30" s="779" t="s">
        <v>1971</v>
      </c>
      <c r="C30" s="4" t="s">
        <v>737</v>
      </c>
      <c r="D30" s="786">
        <v>9126</v>
      </c>
      <c r="E30" s="786">
        <v>9151</v>
      </c>
      <c r="F30" s="786">
        <v>9088</v>
      </c>
      <c r="G30" s="786">
        <v>9264</v>
      </c>
      <c r="H30" s="30">
        <v>8765</v>
      </c>
      <c r="I30" s="30">
        <v>9008</v>
      </c>
      <c r="J30" s="30">
        <v>8849</v>
      </c>
      <c r="K30" s="30">
        <v>8980</v>
      </c>
      <c r="L30" s="30">
        <v>9133</v>
      </c>
      <c r="N30" s="779" t="s">
        <v>1247</v>
      </c>
      <c r="Q30" s="4"/>
      <c r="S30" s="4"/>
    </row>
    <row r="31" spans="1:19">
      <c r="A31" s="784">
        <v>13</v>
      </c>
      <c r="B31" s="779" t="s">
        <v>1972</v>
      </c>
      <c r="C31" s="4" t="s">
        <v>738</v>
      </c>
      <c r="D31" s="786">
        <v>9059</v>
      </c>
      <c r="E31" s="786">
        <v>9344</v>
      </c>
      <c r="F31" s="786">
        <v>9372</v>
      </c>
      <c r="G31" s="786">
        <v>9458</v>
      </c>
      <c r="H31" s="31">
        <v>9261</v>
      </c>
      <c r="I31" s="31">
        <v>9293</v>
      </c>
      <c r="J31" s="31">
        <v>9154</v>
      </c>
      <c r="K31" s="31">
        <v>9306</v>
      </c>
      <c r="L31" s="31">
        <v>9415</v>
      </c>
      <c r="N31" s="779" t="s">
        <v>1250</v>
      </c>
      <c r="Q31" s="4"/>
      <c r="S31" s="4"/>
    </row>
    <row r="32" spans="1:19">
      <c r="A32" s="784">
        <v>14</v>
      </c>
      <c r="B32" s="779" t="s">
        <v>1973</v>
      </c>
      <c r="C32" s="4" t="s">
        <v>739</v>
      </c>
      <c r="D32" s="786">
        <v>8671</v>
      </c>
      <c r="E32" s="786">
        <v>8765</v>
      </c>
      <c r="F32" s="786">
        <v>9091</v>
      </c>
      <c r="G32" s="786">
        <v>9176</v>
      </c>
      <c r="H32" s="30">
        <v>8618</v>
      </c>
      <c r="I32" s="30">
        <v>8787</v>
      </c>
      <c r="J32" s="30">
        <v>8441</v>
      </c>
      <c r="K32" s="30">
        <v>8444</v>
      </c>
      <c r="L32" s="30">
        <v>8514</v>
      </c>
      <c r="N32" s="779" t="s">
        <v>1247</v>
      </c>
      <c r="Q32" s="4"/>
      <c r="S32" s="4"/>
    </row>
    <row r="33" spans="1:19">
      <c r="A33" s="784">
        <v>15</v>
      </c>
      <c r="B33" s="779" t="s">
        <v>1974</v>
      </c>
      <c r="C33" s="4" t="s">
        <v>740</v>
      </c>
      <c r="D33" s="786">
        <v>8852</v>
      </c>
      <c r="E33" s="786">
        <v>8838</v>
      </c>
      <c r="F33" s="786">
        <v>8958</v>
      </c>
      <c r="G33" s="786">
        <v>8992</v>
      </c>
      <c r="H33" s="30">
        <v>8928</v>
      </c>
      <c r="I33" s="30">
        <v>9122</v>
      </c>
      <c r="J33" s="30">
        <v>8782</v>
      </c>
      <c r="K33" s="30">
        <v>8879</v>
      </c>
      <c r="L33" s="30">
        <v>8976</v>
      </c>
      <c r="N33" s="779" t="s">
        <v>1249</v>
      </c>
      <c r="Q33" s="4"/>
      <c r="S33" s="4"/>
    </row>
    <row r="34" spans="1:19">
      <c r="A34" s="784">
        <v>16</v>
      </c>
      <c r="B34" s="779" t="s">
        <v>1975</v>
      </c>
      <c r="C34" s="4" t="s">
        <v>741</v>
      </c>
      <c r="D34" s="786">
        <v>9113</v>
      </c>
      <c r="E34" s="786">
        <v>9394</v>
      </c>
      <c r="F34" s="786">
        <v>9516</v>
      </c>
      <c r="G34" s="786">
        <v>9476</v>
      </c>
      <c r="H34" s="31">
        <v>9254</v>
      </c>
      <c r="I34" s="31">
        <v>9359</v>
      </c>
      <c r="J34" s="31">
        <v>9178</v>
      </c>
      <c r="K34" s="31">
        <v>9292</v>
      </c>
      <c r="L34" s="31">
        <v>9244</v>
      </c>
      <c r="N34" s="779" t="s">
        <v>1250</v>
      </c>
      <c r="Q34" s="4"/>
      <c r="S34" s="4"/>
    </row>
    <row r="35" spans="1:19">
      <c r="A35" s="784">
        <v>17</v>
      </c>
      <c r="B35" s="779" t="s">
        <v>1976</v>
      </c>
      <c r="C35" s="4" t="s">
        <v>742</v>
      </c>
      <c r="D35" s="786">
        <v>9282</v>
      </c>
      <c r="E35" s="786">
        <v>9253</v>
      </c>
      <c r="F35" s="786">
        <v>9090</v>
      </c>
      <c r="G35" s="786">
        <v>9128</v>
      </c>
      <c r="H35" s="31">
        <v>8937</v>
      </c>
      <c r="I35" s="31">
        <v>8953</v>
      </c>
      <c r="J35" s="31">
        <v>8805</v>
      </c>
      <c r="K35" s="31">
        <v>8930</v>
      </c>
      <c r="L35" s="31">
        <v>9114</v>
      </c>
      <c r="N35" s="779" t="s">
        <v>1250</v>
      </c>
      <c r="Q35" s="4"/>
      <c r="S35" s="4"/>
    </row>
    <row r="36" spans="1:19">
      <c r="A36" s="784">
        <v>18</v>
      </c>
      <c r="B36" s="779" t="s">
        <v>4381</v>
      </c>
      <c r="C36" s="4" t="s">
        <v>743</v>
      </c>
      <c r="D36" s="786">
        <v>10716</v>
      </c>
      <c r="E36" s="786">
        <v>10670</v>
      </c>
      <c r="F36" s="786">
        <v>10796</v>
      </c>
      <c r="G36" s="786">
        <v>10868</v>
      </c>
      <c r="H36" s="30">
        <v>10658</v>
      </c>
      <c r="I36" s="30">
        <v>10689</v>
      </c>
      <c r="J36" s="30">
        <v>10525</v>
      </c>
      <c r="K36" s="30">
        <v>10678</v>
      </c>
      <c r="L36" s="30">
        <v>10751</v>
      </c>
      <c r="N36" s="779" t="s">
        <v>1249</v>
      </c>
      <c r="Q36" s="4"/>
      <c r="S36" s="4"/>
    </row>
    <row r="37" spans="1:19">
      <c r="A37" s="784">
        <v>19</v>
      </c>
      <c r="B37" s="779" t="s">
        <v>1977</v>
      </c>
      <c r="C37" s="4" t="s">
        <v>744</v>
      </c>
      <c r="D37" s="786">
        <v>8737</v>
      </c>
      <c r="E37" s="786">
        <v>8784</v>
      </c>
      <c r="F37" s="786">
        <v>8913</v>
      </c>
      <c r="G37" s="786">
        <v>9183</v>
      </c>
      <c r="H37" s="30">
        <v>8810</v>
      </c>
      <c r="I37" s="30">
        <v>8930</v>
      </c>
      <c r="J37" s="30">
        <v>8721</v>
      </c>
      <c r="K37" s="30">
        <v>8844</v>
      </c>
      <c r="L37" s="30">
        <v>8961</v>
      </c>
      <c r="N37" s="779" t="s">
        <v>1249</v>
      </c>
      <c r="Q37" s="4"/>
      <c r="S37" s="4"/>
    </row>
    <row r="38" spans="1:19">
      <c r="A38" s="784">
        <v>20</v>
      </c>
      <c r="B38" s="779" t="s">
        <v>1978</v>
      </c>
      <c r="C38" s="4" t="s">
        <v>745</v>
      </c>
      <c r="D38" s="786">
        <v>8928</v>
      </c>
      <c r="E38" s="786">
        <v>9232</v>
      </c>
      <c r="F38" s="786">
        <v>9329</v>
      </c>
      <c r="G38" s="786">
        <v>9683</v>
      </c>
      <c r="H38" s="30">
        <v>9338</v>
      </c>
      <c r="I38" s="30">
        <v>9585</v>
      </c>
      <c r="J38" s="30">
        <v>9333</v>
      </c>
      <c r="K38" s="30">
        <v>9704</v>
      </c>
      <c r="L38" s="30">
        <v>9766</v>
      </c>
      <c r="N38" s="779" t="s">
        <v>1247</v>
      </c>
      <c r="Q38" s="4"/>
      <c r="S38" s="4"/>
    </row>
    <row r="39" spans="1:19">
      <c r="A39" s="784">
        <v>21</v>
      </c>
      <c r="B39" s="779" t="s">
        <v>1979</v>
      </c>
      <c r="C39" s="4" t="s">
        <v>746</v>
      </c>
      <c r="D39" s="786">
        <v>9195</v>
      </c>
      <c r="E39" s="786">
        <v>9424</v>
      </c>
      <c r="F39" s="786">
        <v>9495</v>
      </c>
      <c r="G39" s="786">
        <v>9543</v>
      </c>
      <c r="H39" s="31">
        <v>9188</v>
      </c>
      <c r="I39" s="31">
        <v>9312</v>
      </c>
      <c r="J39" s="31">
        <v>9129</v>
      </c>
      <c r="K39" s="31">
        <v>9355</v>
      </c>
      <c r="L39" s="31">
        <v>9286</v>
      </c>
      <c r="N39" s="779" t="s">
        <v>1250</v>
      </c>
      <c r="Q39" s="4"/>
      <c r="S39" s="4"/>
    </row>
    <row r="40" spans="1:19">
      <c r="A40" s="784"/>
      <c r="B40" s="779"/>
      <c r="C40" s="779"/>
      <c r="D40" s="782"/>
      <c r="E40" s="782"/>
      <c r="F40" s="782"/>
      <c r="G40" s="782"/>
      <c r="H40" s="782"/>
      <c r="I40" s="782"/>
      <c r="J40" s="782"/>
      <c r="K40" s="782"/>
      <c r="L40" s="782"/>
      <c r="N40" s="779"/>
    </row>
    <row r="41" spans="1:19">
      <c r="A41" s="784" t="s">
        <v>1980</v>
      </c>
      <c r="B41" s="779"/>
      <c r="C41" s="779"/>
      <c r="D41" s="782"/>
      <c r="E41" s="782"/>
      <c r="F41" s="782"/>
      <c r="G41" s="782"/>
      <c r="H41" s="782"/>
      <c r="I41" s="782"/>
      <c r="J41" s="782"/>
      <c r="K41" s="782"/>
      <c r="L41" s="782"/>
      <c r="N41" s="779"/>
    </row>
    <row r="42" spans="1:19">
      <c r="A42" s="784"/>
      <c r="B42" s="779"/>
      <c r="C42" s="779"/>
      <c r="D42" s="782"/>
      <c r="E42" s="782"/>
      <c r="F42" s="782"/>
      <c r="G42" s="782"/>
      <c r="H42" s="782"/>
      <c r="I42" s="782"/>
      <c r="J42" s="782"/>
      <c r="K42" s="782"/>
      <c r="L42" s="782"/>
      <c r="N42" s="779"/>
    </row>
    <row r="43" spans="1:19">
      <c r="A43" s="784"/>
      <c r="B43" s="779"/>
      <c r="C43" s="779"/>
      <c r="D43" s="782"/>
      <c r="E43" s="782"/>
      <c r="F43" s="782"/>
      <c r="G43" s="782"/>
      <c r="H43" s="782"/>
      <c r="I43" s="782"/>
      <c r="J43" s="782"/>
      <c r="K43" s="782"/>
      <c r="L43" s="782"/>
      <c r="N43" s="779"/>
    </row>
    <row r="44" spans="1:19">
      <c r="A44" s="784"/>
      <c r="B44" s="779"/>
      <c r="C44" s="779"/>
      <c r="D44" s="782"/>
      <c r="E44" s="782"/>
      <c r="F44" s="782"/>
      <c r="G44" s="782"/>
      <c r="H44" s="782"/>
      <c r="I44" s="782"/>
      <c r="J44" s="782"/>
      <c r="K44" s="782"/>
      <c r="L44" s="782"/>
      <c r="N44" s="779"/>
    </row>
    <row r="45" spans="1:19">
      <c r="A45" s="784"/>
      <c r="B45" s="779"/>
      <c r="C45" s="779"/>
      <c r="D45" s="782"/>
      <c r="E45" s="782"/>
      <c r="F45" s="782"/>
      <c r="G45" s="782"/>
      <c r="H45" s="782"/>
      <c r="I45" s="782"/>
      <c r="J45" s="782"/>
      <c r="K45" s="782"/>
      <c r="L45" s="782"/>
      <c r="N45" s="779"/>
    </row>
    <row r="46" spans="1:19">
      <c r="A46" s="784"/>
      <c r="B46" s="779"/>
      <c r="C46" s="779"/>
      <c r="D46" s="782"/>
      <c r="E46" s="782"/>
      <c r="F46" s="782"/>
      <c r="G46" s="782"/>
      <c r="H46" s="782"/>
      <c r="I46" s="782"/>
      <c r="J46" s="782"/>
      <c r="K46" s="782"/>
      <c r="L46" s="782"/>
      <c r="N46" s="779"/>
    </row>
    <row r="47" spans="1:19">
      <c r="A47" s="784"/>
      <c r="B47" s="779"/>
      <c r="C47" s="779"/>
      <c r="D47" s="782"/>
      <c r="E47" s="782"/>
      <c r="F47" s="782"/>
      <c r="G47" s="782"/>
      <c r="H47" s="782"/>
      <c r="I47" s="782"/>
      <c r="J47" s="782"/>
      <c r="K47" s="782"/>
      <c r="L47" s="782"/>
      <c r="N47" s="779"/>
    </row>
    <row r="48" spans="1:19">
      <c r="A48" s="784"/>
      <c r="B48" s="779"/>
      <c r="C48" s="779"/>
      <c r="D48" s="782"/>
      <c r="E48" s="782"/>
      <c r="F48" s="782"/>
      <c r="G48" s="782"/>
      <c r="H48" s="782"/>
      <c r="I48" s="782"/>
      <c r="J48" s="782"/>
      <c r="K48" s="782"/>
      <c r="L48" s="782"/>
      <c r="N48" s="779"/>
    </row>
    <row r="49" spans="1:14">
      <c r="A49" s="784"/>
      <c r="B49" s="779"/>
      <c r="C49" s="779"/>
      <c r="D49" s="782"/>
      <c r="E49" s="782"/>
      <c r="F49" s="782"/>
      <c r="G49" s="782"/>
      <c r="H49" s="782"/>
      <c r="I49" s="782"/>
      <c r="J49" s="782"/>
      <c r="K49" s="782"/>
      <c r="L49" s="782"/>
      <c r="N49" s="779"/>
    </row>
    <row r="50" spans="1:14">
      <c r="A50" s="784"/>
      <c r="B50" s="779"/>
      <c r="C50" s="779"/>
      <c r="D50" s="782"/>
      <c r="E50" s="782"/>
      <c r="F50" s="782"/>
      <c r="G50" s="782"/>
      <c r="H50" s="782"/>
      <c r="I50" s="782"/>
      <c r="J50" s="782"/>
      <c r="K50" s="782"/>
      <c r="L50" s="782"/>
      <c r="N50" s="779"/>
    </row>
    <row r="51" spans="1:14">
      <c r="A51" s="784"/>
      <c r="B51" s="779"/>
      <c r="C51" s="779"/>
      <c r="D51" s="782"/>
      <c r="E51" s="782"/>
      <c r="F51" s="782"/>
      <c r="G51" s="782"/>
      <c r="H51" s="782"/>
      <c r="I51" s="782"/>
      <c r="J51" s="782"/>
      <c r="K51" s="782"/>
      <c r="L51" s="782"/>
      <c r="N51" s="779"/>
    </row>
  </sheetData>
  <sortState ref="P19:R39">
    <sortCondition ref="P1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80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7 E5:E17 F5:F17 G5:G17 H3:H4 H5:H17 I3:I17 J3:J17 K3:K17 L3:L17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526"/>
  <sheetViews>
    <sheetView showGridLines="0" topLeftCell="A298" zoomScaleNormal="100" zoomScaleSheetLayoutView="75" workbookViewId="0">
      <selection activeCell="B320" sqref="B320"/>
    </sheetView>
  </sheetViews>
  <sheetFormatPr defaultColWidth="12.5703125" defaultRowHeight="15"/>
  <cols>
    <col min="1" max="1" width="4.85546875" style="292" customWidth="1"/>
    <col min="2" max="2" width="49.5703125" style="292" customWidth="1"/>
    <col min="3" max="3" width="11.5703125" style="292" customWidth="1"/>
    <col min="4" max="12" width="10" style="292" customWidth="1"/>
    <col min="13" max="13" width="2.28515625" style="292" customWidth="1"/>
    <col min="14" max="14" width="40.7109375" style="292" customWidth="1"/>
    <col min="15" max="15" width="12.5703125" style="292" customWidth="1"/>
    <col min="16" max="16384" width="12.5703125" style="292"/>
  </cols>
  <sheetData>
    <row r="1" spans="1:14">
      <c r="A1" s="291" t="s">
        <v>8847</v>
      </c>
      <c r="D1" s="293">
        <v>2010</v>
      </c>
      <c r="E1" s="293">
        <v>2011</v>
      </c>
      <c r="F1" s="293">
        <v>2012</v>
      </c>
      <c r="G1" s="293">
        <v>2013</v>
      </c>
      <c r="H1" s="293">
        <v>2014</v>
      </c>
      <c r="I1" s="293">
        <v>2015</v>
      </c>
      <c r="J1" s="293">
        <v>2016</v>
      </c>
      <c r="K1" s="293">
        <v>2017</v>
      </c>
      <c r="L1" s="293">
        <v>2018</v>
      </c>
    </row>
    <row r="3" spans="1:14">
      <c r="A3" s="291" t="s">
        <v>2506</v>
      </c>
      <c r="C3" s="291"/>
      <c r="D3" s="294">
        <f t="shared" ref="D3:I3" si="0">SUM(D8:D19)</f>
        <v>1041700</v>
      </c>
      <c r="E3" s="294">
        <f t="shared" si="0"/>
        <v>1044799</v>
      </c>
      <c r="F3" s="294">
        <f t="shared" si="0"/>
        <v>1053802</v>
      </c>
      <c r="G3" s="294">
        <f t="shared" si="0"/>
        <v>1066451</v>
      </c>
      <c r="H3" s="294">
        <f t="shared" si="0"/>
        <v>1063020</v>
      </c>
      <c r="I3" s="294">
        <f t="shared" si="0"/>
        <v>1051353</v>
      </c>
      <c r="J3" s="294">
        <f t="shared" ref="J3:K3" si="1">SUM(J8:J19)</f>
        <v>1044636</v>
      </c>
      <c r="K3" s="294">
        <f t="shared" si="1"/>
        <v>1075882</v>
      </c>
      <c r="L3" s="294">
        <f t="shared" ref="L3" si="2">SUM(L8:L19)</f>
        <v>1075033</v>
      </c>
    </row>
    <row r="4" spans="1:14">
      <c r="A4" s="291" t="s">
        <v>2507</v>
      </c>
      <c r="C4" s="291"/>
      <c r="D4" s="294">
        <f t="shared" ref="D4:I4" si="3">D93</f>
        <v>127017</v>
      </c>
      <c r="E4" s="294">
        <f t="shared" si="3"/>
        <v>126250</v>
      </c>
      <c r="F4" s="294">
        <f t="shared" si="3"/>
        <v>127389</v>
      </c>
      <c r="G4" s="294">
        <f t="shared" si="3"/>
        <v>128702</v>
      </c>
      <c r="H4" s="294">
        <f t="shared" si="3"/>
        <v>129615</v>
      </c>
      <c r="I4" s="294">
        <f t="shared" si="3"/>
        <v>124293</v>
      </c>
      <c r="J4" s="294">
        <f t="shared" ref="J4:K4" si="4">J93</f>
        <v>123050</v>
      </c>
      <c r="K4" s="294">
        <f t="shared" si="4"/>
        <v>126228</v>
      </c>
      <c r="L4" s="294">
        <f t="shared" ref="L4" si="5">L93</f>
        <v>126938</v>
      </c>
    </row>
    <row r="5" spans="1:14" ht="15.75" thickBot="1">
      <c r="A5" s="291" t="s">
        <v>2508</v>
      </c>
      <c r="C5" s="291"/>
      <c r="D5" s="295">
        <f t="shared" ref="D5:I5" si="6">D120</f>
        <v>109569</v>
      </c>
      <c r="E5" s="295">
        <f t="shared" si="6"/>
        <v>109495</v>
      </c>
      <c r="F5" s="295">
        <f t="shared" si="6"/>
        <v>109404</v>
      </c>
      <c r="G5" s="295">
        <f t="shared" si="6"/>
        <v>108998</v>
      </c>
      <c r="H5" s="295">
        <f t="shared" si="6"/>
        <v>108957</v>
      </c>
      <c r="I5" s="295">
        <f t="shared" si="6"/>
        <v>107760</v>
      </c>
      <c r="J5" s="295">
        <f t="shared" ref="J5:K5" si="7">J120</f>
        <v>106911</v>
      </c>
      <c r="K5" s="295">
        <f t="shared" si="7"/>
        <v>109252</v>
      </c>
      <c r="L5" s="295">
        <f t="shared" ref="L5" si="8">L120</f>
        <v>110304</v>
      </c>
    </row>
    <row r="6" spans="1:14" ht="15.75" thickBot="1">
      <c r="D6" s="295">
        <f t="shared" ref="D6:I6" si="9">SUM(D3:D5)</f>
        <v>1278286</v>
      </c>
      <c r="E6" s="295">
        <f t="shared" si="9"/>
        <v>1280544</v>
      </c>
      <c r="F6" s="295">
        <f t="shared" si="9"/>
        <v>1290595</v>
      </c>
      <c r="G6" s="295">
        <f t="shared" si="9"/>
        <v>1304151</v>
      </c>
      <c r="H6" s="295">
        <f t="shared" si="9"/>
        <v>1301592</v>
      </c>
      <c r="I6" s="295">
        <f t="shared" si="9"/>
        <v>1283406</v>
      </c>
      <c r="J6" s="295">
        <f t="shared" ref="J6:K6" si="10">SUM(J3:J5)</f>
        <v>1274597</v>
      </c>
      <c r="K6" s="295">
        <f t="shared" si="10"/>
        <v>1311362</v>
      </c>
      <c r="L6" s="295">
        <f t="shared" ref="L6" si="11">SUM(L3:L5)</f>
        <v>1312275</v>
      </c>
    </row>
    <row r="7" spans="1:14">
      <c r="D7" s="296"/>
      <c r="E7" s="296"/>
      <c r="F7" s="296"/>
      <c r="G7" s="296"/>
      <c r="H7" s="296"/>
      <c r="I7" s="296"/>
      <c r="J7" s="296"/>
      <c r="K7" s="296"/>
      <c r="L7" s="296"/>
    </row>
    <row r="8" spans="1:14">
      <c r="A8" s="291" t="s">
        <v>1205</v>
      </c>
      <c r="C8" s="291"/>
      <c r="D8" s="294">
        <f t="shared" ref="D8:I8" si="12">D150</f>
        <v>127760</v>
      </c>
      <c r="E8" s="294">
        <f t="shared" si="12"/>
        <v>127981</v>
      </c>
      <c r="F8" s="294">
        <f t="shared" si="12"/>
        <v>128749</v>
      </c>
      <c r="G8" s="294">
        <f t="shared" si="12"/>
        <v>131062</v>
      </c>
      <c r="H8" s="294">
        <f t="shared" si="12"/>
        <v>131592</v>
      </c>
      <c r="I8" s="294">
        <f t="shared" si="12"/>
        <v>132163</v>
      </c>
      <c r="J8" s="294">
        <f t="shared" ref="J8:K8" si="13">J150</f>
        <v>126526</v>
      </c>
      <c r="K8" s="294">
        <f t="shared" si="13"/>
        <v>131494</v>
      </c>
      <c r="L8" s="294">
        <f t="shared" ref="L8" si="14">L150</f>
        <v>134416</v>
      </c>
      <c r="N8" s="297"/>
    </row>
    <row r="9" spans="1:14">
      <c r="A9" s="291" t="s">
        <v>2509</v>
      </c>
      <c r="C9" s="291"/>
      <c r="D9" s="294">
        <f t="shared" ref="D9:I9" si="15">D178</f>
        <v>106789</v>
      </c>
      <c r="E9" s="294">
        <f t="shared" si="15"/>
        <v>108402</v>
      </c>
      <c r="F9" s="294">
        <f t="shared" si="15"/>
        <v>110124</v>
      </c>
      <c r="G9" s="294">
        <f t="shared" si="15"/>
        <v>111319</v>
      </c>
      <c r="H9" s="294">
        <f t="shared" si="15"/>
        <v>110453</v>
      </c>
      <c r="I9" s="294">
        <f t="shared" si="15"/>
        <v>109550</v>
      </c>
      <c r="J9" s="294">
        <f t="shared" ref="J9:K9" si="16">J178</f>
        <v>108866</v>
      </c>
      <c r="K9" s="294">
        <f t="shared" si="16"/>
        <v>111922</v>
      </c>
      <c r="L9" s="294">
        <f t="shared" ref="L9" si="17">L178</f>
        <v>111428</v>
      </c>
      <c r="N9" s="297"/>
    </row>
    <row r="10" spans="1:14">
      <c r="A10" s="291" t="s">
        <v>2510</v>
      </c>
      <c r="C10" s="291"/>
      <c r="D10" s="294">
        <f t="shared" ref="D10:I10" si="18">D220</f>
        <v>55162</v>
      </c>
      <c r="E10" s="294">
        <f t="shared" si="18"/>
        <v>55692</v>
      </c>
      <c r="F10" s="294">
        <f t="shared" si="18"/>
        <v>56703</v>
      </c>
      <c r="G10" s="294">
        <f t="shared" si="18"/>
        <v>57648</v>
      </c>
      <c r="H10" s="294">
        <f t="shared" si="18"/>
        <v>57961</v>
      </c>
      <c r="I10" s="294">
        <f t="shared" si="18"/>
        <v>58154</v>
      </c>
      <c r="J10" s="294">
        <f t="shared" ref="J10:K10" si="19">J220</f>
        <v>56445</v>
      </c>
      <c r="K10" s="294">
        <f t="shared" si="19"/>
        <v>58144</v>
      </c>
      <c r="L10" s="294">
        <f t="shared" ref="L10" si="20">L220</f>
        <v>57670</v>
      </c>
      <c r="N10" s="297"/>
    </row>
    <row r="11" spans="1:14">
      <c r="A11" s="291" t="s">
        <v>2511</v>
      </c>
      <c r="C11" s="291"/>
      <c r="D11" s="294">
        <f t="shared" ref="D11:I11" si="21">D244</f>
        <v>67689</v>
      </c>
      <c r="E11" s="294">
        <f t="shared" si="21"/>
        <v>64562</v>
      </c>
      <c r="F11" s="294">
        <f t="shared" si="21"/>
        <v>66697</v>
      </c>
      <c r="G11" s="294">
        <f t="shared" si="21"/>
        <v>67284</v>
      </c>
      <c r="H11" s="294">
        <f t="shared" si="21"/>
        <v>68085</v>
      </c>
      <c r="I11" s="294">
        <f t="shared" si="21"/>
        <v>67461</v>
      </c>
      <c r="J11" s="294">
        <f t="shared" ref="J11:K11" si="22">J244</f>
        <v>67541</v>
      </c>
      <c r="K11" s="294">
        <f t="shared" si="22"/>
        <v>68558</v>
      </c>
      <c r="L11" s="294">
        <f t="shared" ref="L11" si="23">L244</f>
        <v>69147</v>
      </c>
      <c r="N11" s="297"/>
    </row>
    <row r="12" spans="1:14">
      <c r="A12" s="291" t="s">
        <v>13213</v>
      </c>
      <c r="C12" s="291"/>
      <c r="D12" s="294">
        <f t="shared" ref="D12:I12" si="24">D267</f>
        <v>126419</v>
      </c>
      <c r="E12" s="294">
        <f t="shared" si="24"/>
        <v>126981</v>
      </c>
      <c r="F12" s="294">
        <f t="shared" si="24"/>
        <v>126983</v>
      </c>
      <c r="G12" s="294">
        <f t="shared" si="24"/>
        <v>128500</v>
      </c>
      <c r="H12" s="294">
        <f t="shared" si="24"/>
        <v>128307</v>
      </c>
      <c r="I12" s="294">
        <f t="shared" si="24"/>
        <v>128252</v>
      </c>
      <c r="J12" s="294">
        <f t="shared" ref="J12:K12" si="25">J267</f>
        <v>127528</v>
      </c>
      <c r="K12" s="294">
        <f t="shared" si="25"/>
        <v>128790</v>
      </c>
      <c r="L12" s="294">
        <f t="shared" ref="L12" si="26">L267</f>
        <v>129985</v>
      </c>
      <c r="N12" s="297"/>
    </row>
    <row r="13" spans="1:14">
      <c r="A13" s="291" t="s">
        <v>2512</v>
      </c>
      <c r="C13" s="291"/>
      <c r="D13" s="294">
        <f t="shared" ref="D13:I13" si="27">D303</f>
        <v>124169</v>
      </c>
      <c r="E13" s="294">
        <f t="shared" si="27"/>
        <v>124252</v>
      </c>
      <c r="F13" s="294">
        <f t="shared" si="27"/>
        <v>124454</v>
      </c>
      <c r="G13" s="294">
        <f t="shared" si="27"/>
        <v>127376</v>
      </c>
      <c r="H13" s="294">
        <f t="shared" si="27"/>
        <v>122733</v>
      </c>
      <c r="I13" s="294">
        <f t="shared" si="27"/>
        <v>117280</v>
      </c>
      <c r="J13" s="294">
        <f t="shared" ref="J13:K13" si="28">J303</f>
        <v>120001</v>
      </c>
      <c r="K13" s="294">
        <f t="shared" si="28"/>
        <v>130591</v>
      </c>
      <c r="L13" s="294">
        <f t="shared" ref="L13" si="29">L303</f>
        <v>127252</v>
      </c>
      <c r="N13" s="297"/>
    </row>
    <row r="14" spans="1:14">
      <c r="A14" s="291" t="s">
        <v>2513</v>
      </c>
      <c r="C14" s="291"/>
      <c r="D14" s="294">
        <f t="shared" ref="D14:I14" si="30">D337</f>
        <v>95464</v>
      </c>
      <c r="E14" s="294">
        <f t="shared" si="30"/>
        <v>95881</v>
      </c>
      <c r="F14" s="294">
        <f t="shared" si="30"/>
        <v>97065</v>
      </c>
      <c r="G14" s="294">
        <f t="shared" si="30"/>
        <v>97467</v>
      </c>
      <c r="H14" s="294">
        <f t="shared" si="30"/>
        <v>96837</v>
      </c>
      <c r="I14" s="294">
        <f t="shared" si="30"/>
        <v>96989</v>
      </c>
      <c r="J14" s="294">
        <f t="shared" ref="J14:K14" si="31">J337</f>
        <v>97897</v>
      </c>
      <c r="K14" s="294">
        <f t="shared" si="31"/>
        <v>99177</v>
      </c>
      <c r="L14" s="294">
        <f t="shared" ref="L14" si="32">L337</f>
        <v>98420</v>
      </c>
      <c r="N14" s="297"/>
    </row>
    <row r="15" spans="1:14">
      <c r="A15" s="291" t="s">
        <v>2522</v>
      </c>
      <c r="C15" s="291"/>
      <c r="D15" s="294">
        <f t="shared" ref="D15:I15" si="33">D383</f>
        <v>59167</v>
      </c>
      <c r="E15" s="294">
        <f t="shared" si="33"/>
        <v>59380</v>
      </c>
      <c r="F15" s="294">
        <f t="shared" si="33"/>
        <v>60159</v>
      </c>
      <c r="G15" s="294">
        <f t="shared" si="33"/>
        <v>60705</v>
      </c>
      <c r="H15" s="294">
        <f t="shared" si="33"/>
        <v>60380</v>
      </c>
      <c r="I15" s="294">
        <f t="shared" si="33"/>
        <v>58988</v>
      </c>
      <c r="J15" s="294">
        <f t="shared" ref="J15:K15" si="34">J383</f>
        <v>57532</v>
      </c>
      <c r="K15" s="294">
        <f t="shared" si="34"/>
        <v>58776</v>
      </c>
      <c r="L15" s="294">
        <f t="shared" ref="L15" si="35">L383</f>
        <v>58671</v>
      </c>
      <c r="N15" s="297"/>
    </row>
    <row r="16" spans="1:14">
      <c r="A16" s="291" t="s">
        <v>2523</v>
      </c>
      <c r="C16" s="291"/>
      <c r="D16" s="294">
        <f t="shared" ref="D16:I16" si="36">D403</f>
        <v>47843</v>
      </c>
      <c r="E16" s="294">
        <f t="shared" si="36"/>
        <v>48619</v>
      </c>
      <c r="F16" s="294">
        <f t="shared" si="36"/>
        <v>48025</v>
      </c>
      <c r="G16" s="294">
        <f t="shared" si="36"/>
        <v>47802</v>
      </c>
      <c r="H16" s="294">
        <f t="shared" si="36"/>
        <v>47762</v>
      </c>
      <c r="I16" s="294">
        <f t="shared" si="36"/>
        <v>46959</v>
      </c>
      <c r="J16" s="294">
        <f t="shared" ref="J16:K16" si="37">J403</f>
        <v>47312</v>
      </c>
      <c r="K16" s="294">
        <f t="shared" si="37"/>
        <v>49001</v>
      </c>
      <c r="L16" s="294">
        <f t="shared" ref="L16" si="38">L403</f>
        <v>49433</v>
      </c>
      <c r="N16" s="297"/>
    </row>
    <row r="17" spans="1:14">
      <c r="A17" s="291" t="s">
        <v>4210</v>
      </c>
      <c r="C17" s="291"/>
      <c r="D17" s="294">
        <f t="shared" ref="D17:I17" si="39">D430</f>
        <v>64867</v>
      </c>
      <c r="E17" s="294">
        <f t="shared" si="39"/>
        <v>65133</v>
      </c>
      <c r="F17" s="294">
        <f t="shared" si="39"/>
        <v>65401</v>
      </c>
      <c r="G17" s="294">
        <f t="shared" si="39"/>
        <v>66122</v>
      </c>
      <c r="H17" s="294">
        <f t="shared" si="39"/>
        <v>66359</v>
      </c>
      <c r="I17" s="294">
        <f t="shared" si="39"/>
        <v>65617</v>
      </c>
      <c r="J17" s="294">
        <f t="shared" ref="J17:K17" si="40">J430</f>
        <v>64466</v>
      </c>
      <c r="K17" s="294">
        <f t="shared" si="40"/>
        <v>65876</v>
      </c>
      <c r="L17" s="294">
        <f t="shared" ref="L17" si="41">L430</f>
        <v>65824</v>
      </c>
      <c r="N17" s="297"/>
    </row>
    <row r="18" spans="1:14">
      <c r="A18" s="291" t="s">
        <v>4211</v>
      </c>
      <c r="C18" s="291"/>
      <c r="D18" s="294">
        <f t="shared" ref="D18:I18" si="42">D455</f>
        <v>107765</v>
      </c>
      <c r="E18" s="294">
        <f t="shared" si="42"/>
        <v>108308</v>
      </c>
      <c r="F18" s="294">
        <f t="shared" si="42"/>
        <v>108723</v>
      </c>
      <c r="G18" s="294">
        <f t="shared" si="42"/>
        <v>109553</v>
      </c>
      <c r="H18" s="294">
        <f t="shared" si="42"/>
        <v>110276</v>
      </c>
      <c r="I18" s="294">
        <f t="shared" si="42"/>
        <v>107859</v>
      </c>
      <c r="J18" s="294">
        <f t="shared" ref="J18:K18" si="43">J455</f>
        <v>108820</v>
      </c>
      <c r="K18" s="294">
        <f t="shared" si="43"/>
        <v>109092</v>
      </c>
      <c r="L18" s="294">
        <f t="shared" ref="L18" si="44">L455</f>
        <v>109023</v>
      </c>
      <c r="N18" s="297"/>
    </row>
    <row r="19" spans="1:14">
      <c r="A19" s="291" t="s">
        <v>4212</v>
      </c>
      <c r="C19" s="291"/>
      <c r="D19" s="294">
        <f t="shared" ref="D19:I19" si="45">D500</f>
        <v>58606</v>
      </c>
      <c r="E19" s="294">
        <f t="shared" si="45"/>
        <v>59608</v>
      </c>
      <c r="F19" s="294">
        <f t="shared" si="45"/>
        <v>60719</v>
      </c>
      <c r="G19" s="294">
        <f t="shared" si="45"/>
        <v>61613</v>
      </c>
      <c r="H19" s="294">
        <f t="shared" si="45"/>
        <v>62275</v>
      </c>
      <c r="I19" s="294">
        <f t="shared" si="45"/>
        <v>62081</v>
      </c>
      <c r="J19" s="294">
        <f t="shared" ref="J19:K19" si="46">J500</f>
        <v>61702</v>
      </c>
      <c r="K19" s="294">
        <f t="shared" si="46"/>
        <v>64461</v>
      </c>
      <c r="L19" s="294">
        <f t="shared" ref="L19" si="47">L500</f>
        <v>63764</v>
      </c>
      <c r="N19" s="297"/>
    </row>
    <row r="21" spans="1:14">
      <c r="A21" s="291" t="s">
        <v>4213</v>
      </c>
      <c r="D21" s="294">
        <f t="shared" ref="D21:I21" si="48">D3/14</f>
        <v>74407.142857142855</v>
      </c>
      <c r="E21" s="294">
        <f t="shared" si="48"/>
        <v>74628.5</v>
      </c>
      <c r="F21" s="294">
        <f t="shared" si="48"/>
        <v>75271.571428571435</v>
      </c>
      <c r="G21" s="294">
        <f t="shared" si="48"/>
        <v>76175.071428571435</v>
      </c>
      <c r="H21" s="294">
        <f t="shared" si="48"/>
        <v>75930</v>
      </c>
      <c r="I21" s="294">
        <f t="shared" si="48"/>
        <v>75096.642857142855</v>
      </c>
      <c r="J21" s="294">
        <f t="shared" ref="J21:K21" si="49">J3/14</f>
        <v>74616.857142857145</v>
      </c>
      <c r="K21" s="294">
        <f t="shared" si="49"/>
        <v>76848.71428571429</v>
      </c>
      <c r="L21" s="294">
        <f t="shared" ref="L21" si="50">L3/14</f>
        <v>76788.071428571435</v>
      </c>
    </row>
    <row r="22" spans="1:14">
      <c r="A22" s="291" t="s">
        <v>4214</v>
      </c>
      <c r="D22" s="294">
        <f t="shared" ref="D22:I23" si="51">D4/2</f>
        <v>63508.5</v>
      </c>
      <c r="E22" s="294">
        <f t="shared" si="51"/>
        <v>63125</v>
      </c>
      <c r="F22" s="294">
        <f t="shared" si="51"/>
        <v>63694.5</v>
      </c>
      <c r="G22" s="294">
        <f t="shared" si="51"/>
        <v>64351</v>
      </c>
      <c r="H22" s="294">
        <f t="shared" si="51"/>
        <v>64807.5</v>
      </c>
      <c r="I22" s="294">
        <f t="shared" si="51"/>
        <v>62146.5</v>
      </c>
      <c r="J22" s="294">
        <f t="shared" ref="J22:K22" si="52">J4/2</f>
        <v>61525</v>
      </c>
      <c r="K22" s="294">
        <f t="shared" si="52"/>
        <v>63114</v>
      </c>
      <c r="L22" s="294">
        <f t="shared" ref="L22" si="53">L4/2</f>
        <v>63469</v>
      </c>
    </row>
    <row r="23" spans="1:14">
      <c r="A23" s="291" t="s">
        <v>4215</v>
      </c>
      <c r="D23" s="294">
        <f t="shared" si="51"/>
        <v>54784.5</v>
      </c>
      <c r="E23" s="294">
        <f t="shared" si="51"/>
        <v>54747.5</v>
      </c>
      <c r="F23" s="294">
        <f t="shared" si="51"/>
        <v>54702</v>
      </c>
      <c r="G23" s="294">
        <f t="shared" si="51"/>
        <v>54499</v>
      </c>
      <c r="H23" s="294">
        <f t="shared" si="51"/>
        <v>54478.5</v>
      </c>
      <c r="I23" s="294">
        <f t="shared" si="51"/>
        <v>53880</v>
      </c>
      <c r="J23" s="294">
        <f t="shared" ref="J23:K23" si="54">J5/2</f>
        <v>53455.5</v>
      </c>
      <c r="K23" s="294">
        <f t="shared" si="54"/>
        <v>54626</v>
      </c>
      <c r="L23" s="294">
        <f t="shared" ref="L23" si="55">L5/2</f>
        <v>55152</v>
      </c>
    </row>
    <row r="24" spans="1:14">
      <c r="A24" s="291" t="s">
        <v>4216</v>
      </c>
      <c r="D24" s="294">
        <f t="shared" ref="D24:I24" si="56">D5/1</f>
        <v>109569</v>
      </c>
      <c r="E24" s="294">
        <f t="shared" si="56"/>
        <v>109495</v>
      </c>
      <c r="F24" s="294">
        <f t="shared" si="56"/>
        <v>109404</v>
      </c>
      <c r="G24" s="294">
        <f t="shared" si="56"/>
        <v>108998</v>
      </c>
      <c r="H24" s="294">
        <f t="shared" si="56"/>
        <v>108957</v>
      </c>
      <c r="I24" s="294">
        <f t="shared" si="56"/>
        <v>107760</v>
      </c>
      <c r="J24" s="294">
        <f t="shared" ref="J24:K24" si="57">J5/1</f>
        <v>106911</v>
      </c>
      <c r="K24" s="294">
        <f t="shared" si="57"/>
        <v>109252</v>
      </c>
      <c r="L24" s="294">
        <f t="shared" ref="L24" si="58">L5/1</f>
        <v>110304</v>
      </c>
    </row>
    <row r="25" spans="1:14">
      <c r="A25" s="291" t="s">
        <v>3986</v>
      </c>
      <c r="D25" s="294">
        <f t="shared" ref="D25:I25" si="59">D6/17</f>
        <v>75193.294117647063</v>
      </c>
      <c r="E25" s="294">
        <f t="shared" si="59"/>
        <v>75326.117647058825</v>
      </c>
      <c r="F25" s="294">
        <f t="shared" si="59"/>
        <v>75917.352941176476</v>
      </c>
      <c r="G25" s="294">
        <f t="shared" si="59"/>
        <v>76714.76470588235</v>
      </c>
      <c r="H25" s="294">
        <f t="shared" si="59"/>
        <v>76564.23529411765</v>
      </c>
      <c r="I25" s="294">
        <f t="shared" si="59"/>
        <v>75494.470588235301</v>
      </c>
      <c r="J25" s="294">
        <f t="shared" ref="J25:K25" si="60">J6/17</f>
        <v>74976.294117647063</v>
      </c>
      <c r="K25" s="294">
        <f t="shared" si="60"/>
        <v>77138.941176470587</v>
      </c>
      <c r="L25" s="294">
        <f t="shared" ref="L25" si="61">L6/17</f>
        <v>77192.647058823524</v>
      </c>
    </row>
    <row r="26" spans="1:14">
      <c r="A26" s="291"/>
      <c r="D26" s="298"/>
      <c r="E26" s="298"/>
      <c r="F26" s="298"/>
      <c r="G26" s="298"/>
      <c r="H26" s="298"/>
      <c r="I26" s="298"/>
      <c r="J26" s="298"/>
      <c r="K26" s="298"/>
      <c r="L26" s="298"/>
    </row>
    <row r="27" spans="1:14">
      <c r="A27" s="291" t="s">
        <v>2532</v>
      </c>
      <c r="D27" s="294">
        <f t="shared" ref="D27:I27" si="62">D168</f>
        <v>65302</v>
      </c>
      <c r="E27" s="294">
        <f t="shared" si="62"/>
        <v>65373</v>
      </c>
      <c r="F27" s="294">
        <f t="shared" si="62"/>
        <v>65910</v>
      </c>
      <c r="G27" s="294">
        <f t="shared" si="62"/>
        <v>67086</v>
      </c>
      <c r="H27" s="294">
        <f t="shared" si="62"/>
        <v>67504</v>
      </c>
      <c r="I27" s="294">
        <f t="shared" si="62"/>
        <v>67784</v>
      </c>
      <c r="J27" s="294">
        <f t="shared" ref="J27:K27" si="63">J168</f>
        <v>64885</v>
      </c>
      <c r="K27" s="294">
        <f t="shared" si="63"/>
        <v>67898</v>
      </c>
      <c r="L27" s="294">
        <f t="shared" ref="L27" si="64">L168</f>
        <v>69274</v>
      </c>
      <c r="N27" s="291" t="s">
        <v>2533</v>
      </c>
    </row>
    <row r="28" spans="1:14">
      <c r="D28" s="296"/>
      <c r="E28" s="296"/>
      <c r="F28" s="296"/>
      <c r="G28" s="296"/>
      <c r="H28" s="296"/>
      <c r="I28" s="296"/>
      <c r="J28" s="296"/>
      <c r="K28" s="296"/>
      <c r="L28" s="296"/>
    </row>
    <row r="29" spans="1:14">
      <c r="A29" s="291" t="s">
        <v>1658</v>
      </c>
      <c r="D29" s="294">
        <f t="shared" ref="D29:I29" si="65">D212</f>
        <v>70956</v>
      </c>
      <c r="E29" s="294">
        <f t="shared" si="65"/>
        <v>72064</v>
      </c>
      <c r="F29" s="294">
        <f t="shared" si="65"/>
        <v>73291</v>
      </c>
      <c r="G29" s="294">
        <f t="shared" si="65"/>
        <v>74250</v>
      </c>
      <c r="H29" s="294">
        <f t="shared" si="65"/>
        <v>73673</v>
      </c>
      <c r="I29" s="294">
        <f t="shared" si="65"/>
        <v>73239</v>
      </c>
      <c r="J29" s="294">
        <f t="shared" ref="J29:K29" si="66">J212</f>
        <v>72892</v>
      </c>
      <c r="K29" s="294">
        <f t="shared" si="66"/>
        <v>74932</v>
      </c>
      <c r="L29" s="294">
        <f t="shared" ref="L29" si="67">L212</f>
        <v>74579</v>
      </c>
      <c r="N29" s="291" t="s">
        <v>1659</v>
      </c>
    </row>
    <row r="30" spans="1:14">
      <c r="D30" s="296"/>
      <c r="E30" s="296"/>
      <c r="F30" s="296"/>
      <c r="G30" s="296"/>
      <c r="H30" s="296"/>
      <c r="I30" s="296"/>
      <c r="J30" s="296"/>
      <c r="K30" s="296"/>
      <c r="L30" s="296"/>
    </row>
    <row r="31" spans="1:14">
      <c r="A31" s="291" t="s">
        <v>1660</v>
      </c>
      <c r="D31" s="294">
        <f t="shared" ref="D31:I31" si="68">D237</f>
        <v>55162</v>
      </c>
      <c r="E31" s="294">
        <f t="shared" si="68"/>
        <v>55692</v>
      </c>
      <c r="F31" s="294">
        <f t="shared" si="68"/>
        <v>56703</v>
      </c>
      <c r="G31" s="294">
        <f t="shared" si="68"/>
        <v>57648</v>
      </c>
      <c r="H31" s="294">
        <f t="shared" si="68"/>
        <v>57961</v>
      </c>
      <c r="I31" s="294">
        <f t="shared" si="68"/>
        <v>58154</v>
      </c>
      <c r="J31" s="294">
        <f t="shared" ref="J31:K31" si="69">J237</f>
        <v>56445</v>
      </c>
      <c r="K31" s="294">
        <f t="shared" si="69"/>
        <v>58144</v>
      </c>
      <c r="L31" s="294">
        <f t="shared" ref="L31" si="70">L237</f>
        <v>57670</v>
      </c>
      <c r="N31" s="291" t="s">
        <v>6766</v>
      </c>
    </row>
    <row r="32" spans="1:14" ht="15.75" thickBot="1">
      <c r="D32" s="295">
        <f t="shared" ref="D32:I32" si="71">D373</f>
        <v>15200</v>
      </c>
      <c r="E32" s="295">
        <f t="shared" si="71"/>
        <v>15349</v>
      </c>
      <c r="F32" s="295">
        <f t="shared" si="71"/>
        <v>15588</v>
      </c>
      <c r="G32" s="295">
        <f t="shared" si="71"/>
        <v>15740</v>
      </c>
      <c r="H32" s="295">
        <f t="shared" si="71"/>
        <v>15735</v>
      </c>
      <c r="I32" s="295">
        <f t="shared" si="71"/>
        <v>15771</v>
      </c>
      <c r="J32" s="295">
        <f t="shared" ref="J32:K32" si="72">J373</f>
        <v>15937</v>
      </c>
      <c r="K32" s="295">
        <f t="shared" si="72"/>
        <v>16310</v>
      </c>
      <c r="L32" s="295">
        <f t="shared" ref="L32" si="73">L373</f>
        <v>16110</v>
      </c>
      <c r="N32" s="291" t="s">
        <v>2554</v>
      </c>
    </row>
    <row r="33" spans="1:14" ht="15.75" thickBot="1">
      <c r="D33" s="295">
        <f t="shared" ref="D33:I33" si="74">SUM(D31:D32)</f>
        <v>70362</v>
      </c>
      <c r="E33" s="295">
        <f t="shared" si="74"/>
        <v>71041</v>
      </c>
      <c r="F33" s="295">
        <f t="shared" si="74"/>
        <v>72291</v>
      </c>
      <c r="G33" s="295">
        <f t="shared" si="74"/>
        <v>73388</v>
      </c>
      <c r="H33" s="295">
        <f t="shared" si="74"/>
        <v>73696</v>
      </c>
      <c r="I33" s="295">
        <f t="shared" si="74"/>
        <v>73925</v>
      </c>
      <c r="J33" s="295">
        <f t="shared" ref="J33:K33" si="75">SUM(J31:J32)</f>
        <v>72382</v>
      </c>
      <c r="K33" s="295">
        <f t="shared" si="75"/>
        <v>74454</v>
      </c>
      <c r="L33" s="295">
        <f t="shared" ref="L33" si="76">SUM(L31:L32)</f>
        <v>73780</v>
      </c>
    </row>
    <row r="34" spans="1:14" ht="15" customHeight="1">
      <c r="D34" s="296"/>
      <c r="E34" s="296"/>
      <c r="F34" s="296"/>
      <c r="G34" s="296"/>
      <c r="H34" s="296"/>
      <c r="I34" s="296"/>
      <c r="J34" s="296"/>
      <c r="K34" s="296"/>
      <c r="L34" s="296"/>
    </row>
    <row r="35" spans="1:14" ht="15" customHeight="1">
      <c r="A35" s="291" t="s">
        <v>2555</v>
      </c>
      <c r="D35" s="294">
        <f t="shared" ref="D35:I35" si="77">D260</f>
        <v>67689</v>
      </c>
      <c r="E35" s="294">
        <f t="shared" si="77"/>
        <v>64562</v>
      </c>
      <c r="F35" s="294">
        <f t="shared" si="77"/>
        <v>66697</v>
      </c>
      <c r="G35" s="294">
        <f t="shared" si="77"/>
        <v>67284</v>
      </c>
      <c r="H35" s="294">
        <f t="shared" si="77"/>
        <v>68085</v>
      </c>
      <c r="I35" s="294">
        <f t="shared" si="77"/>
        <v>67461</v>
      </c>
      <c r="J35" s="294">
        <f t="shared" ref="J35:K35" si="78">J260</f>
        <v>67541</v>
      </c>
      <c r="K35" s="294">
        <f t="shared" si="78"/>
        <v>68558</v>
      </c>
      <c r="L35" s="294">
        <f t="shared" ref="L35" si="79">L260</f>
        <v>69147</v>
      </c>
      <c r="N35" s="291" t="s">
        <v>6767</v>
      </c>
    </row>
    <row r="36" spans="1:14" ht="15" customHeight="1">
      <c r="D36" s="296"/>
      <c r="E36" s="296"/>
      <c r="F36" s="296"/>
      <c r="G36" s="296"/>
      <c r="H36" s="296"/>
      <c r="I36" s="296"/>
      <c r="J36" s="296"/>
      <c r="K36" s="296"/>
      <c r="L36" s="296"/>
    </row>
    <row r="37" spans="1:14">
      <c r="A37" s="292" t="s">
        <v>2556</v>
      </c>
      <c r="D37" s="296">
        <f t="shared" ref="D37:I37" si="80">D293</f>
        <v>77607</v>
      </c>
      <c r="E37" s="296">
        <f t="shared" si="80"/>
        <v>77835</v>
      </c>
      <c r="F37" s="296">
        <f t="shared" si="80"/>
        <v>77801</v>
      </c>
      <c r="G37" s="296">
        <f t="shared" si="80"/>
        <v>78971</v>
      </c>
      <c r="H37" s="296">
        <f t="shared" si="80"/>
        <v>78626</v>
      </c>
      <c r="I37" s="296">
        <f t="shared" si="80"/>
        <v>78673</v>
      </c>
      <c r="J37" s="296">
        <f t="shared" ref="J37:K37" si="81">J293</f>
        <v>78107</v>
      </c>
      <c r="K37" s="296">
        <f t="shared" si="81"/>
        <v>79124</v>
      </c>
      <c r="L37" s="296">
        <f t="shared" ref="L37" si="82">L293</f>
        <v>79793</v>
      </c>
      <c r="N37" s="292" t="s">
        <v>2557</v>
      </c>
    </row>
    <row r="38" spans="1:14">
      <c r="D38" s="296"/>
      <c r="E38" s="296"/>
      <c r="F38" s="296"/>
      <c r="G38" s="296"/>
      <c r="H38" s="296"/>
      <c r="I38" s="296"/>
      <c r="J38" s="296"/>
      <c r="K38" s="296"/>
      <c r="L38" s="296"/>
    </row>
    <row r="39" spans="1:14">
      <c r="A39" s="292" t="s">
        <v>2558</v>
      </c>
      <c r="D39" s="296">
        <f t="shared" ref="D39:I39" si="83">D492</f>
        <v>67216</v>
      </c>
      <c r="E39" s="296">
        <f t="shared" si="83"/>
        <v>67447</v>
      </c>
      <c r="F39" s="296">
        <f t="shared" si="83"/>
        <v>67656</v>
      </c>
      <c r="G39" s="296">
        <f t="shared" si="83"/>
        <v>68306</v>
      </c>
      <c r="H39" s="296">
        <f t="shared" si="83"/>
        <v>68892</v>
      </c>
      <c r="I39" s="296">
        <f t="shared" si="83"/>
        <v>68009</v>
      </c>
      <c r="J39" s="296">
        <f t="shared" ref="J39:K39" si="84">J492</f>
        <v>68209</v>
      </c>
      <c r="K39" s="296">
        <f t="shared" si="84"/>
        <v>68352</v>
      </c>
      <c r="L39" s="296">
        <f t="shared" ref="L39" si="85">L492</f>
        <v>68086</v>
      </c>
      <c r="N39" s="292" t="s">
        <v>2559</v>
      </c>
    </row>
    <row r="41" spans="1:14">
      <c r="A41" s="291" t="s">
        <v>2560</v>
      </c>
      <c r="D41" s="294">
        <f t="shared" ref="D41:I41" si="86">D328</f>
        <v>73501</v>
      </c>
      <c r="E41" s="294">
        <f t="shared" si="86"/>
        <v>73638</v>
      </c>
      <c r="F41" s="294">
        <f t="shared" si="86"/>
        <v>73928</v>
      </c>
      <c r="G41" s="294">
        <f t="shared" si="86"/>
        <v>76414</v>
      </c>
      <c r="H41" s="294">
        <f t="shared" si="86"/>
        <v>72841</v>
      </c>
      <c r="I41" s="294">
        <f t="shared" si="86"/>
        <v>69819</v>
      </c>
      <c r="J41" s="294">
        <f t="shared" ref="J41:K41" si="87">J328</f>
        <v>72295</v>
      </c>
      <c r="K41" s="294">
        <f t="shared" si="87"/>
        <v>79607</v>
      </c>
      <c r="L41" s="294">
        <f t="shared" ref="L41" si="88">L328</f>
        <v>76556</v>
      </c>
      <c r="N41" s="291" t="s">
        <v>2561</v>
      </c>
    </row>
    <row r="42" spans="1:14">
      <c r="A42" s="291"/>
      <c r="D42" s="294"/>
      <c r="E42" s="294"/>
      <c r="F42" s="294"/>
      <c r="G42" s="294"/>
      <c r="H42" s="294"/>
      <c r="I42" s="294"/>
      <c r="J42" s="294"/>
      <c r="K42" s="294"/>
      <c r="L42" s="294"/>
      <c r="N42" s="291"/>
    </row>
    <row r="43" spans="1:14">
      <c r="A43" s="291" t="s">
        <v>2562</v>
      </c>
      <c r="D43" s="294">
        <f t="shared" ref="D43:I43" si="89">D374</f>
        <v>72006</v>
      </c>
      <c r="E43" s="294">
        <f t="shared" si="89"/>
        <v>72212</v>
      </c>
      <c r="F43" s="294">
        <f t="shared" si="89"/>
        <v>73041</v>
      </c>
      <c r="G43" s="294">
        <f t="shared" si="89"/>
        <v>73271</v>
      </c>
      <c r="H43" s="294">
        <f t="shared" si="89"/>
        <v>72705</v>
      </c>
      <c r="I43" s="294">
        <f t="shared" si="89"/>
        <v>72843</v>
      </c>
      <c r="J43" s="294">
        <f t="shared" ref="J43:K43" si="90">J374</f>
        <v>73521</v>
      </c>
      <c r="K43" s="294">
        <f t="shared" si="90"/>
        <v>74281</v>
      </c>
      <c r="L43" s="294">
        <f t="shared" ref="L43" si="91">L374</f>
        <v>73817</v>
      </c>
      <c r="N43" s="291" t="s">
        <v>2554</v>
      </c>
    </row>
    <row r="44" spans="1:14">
      <c r="D44" s="296"/>
      <c r="E44" s="296"/>
      <c r="F44" s="296"/>
      <c r="G44" s="296"/>
      <c r="H44" s="296"/>
      <c r="I44" s="296"/>
      <c r="J44" s="296"/>
      <c r="K44" s="296"/>
      <c r="L44" s="296"/>
    </row>
    <row r="45" spans="1:14" ht="15" customHeight="1">
      <c r="A45" s="291" t="s">
        <v>2563</v>
      </c>
      <c r="D45" s="294">
        <f t="shared" ref="D45:I45" si="92">D375</f>
        <v>8258</v>
      </c>
      <c r="E45" s="294">
        <f t="shared" si="92"/>
        <v>8320</v>
      </c>
      <c r="F45" s="294">
        <f t="shared" si="92"/>
        <v>8436</v>
      </c>
      <c r="G45" s="294">
        <f t="shared" si="92"/>
        <v>8456</v>
      </c>
      <c r="H45" s="294">
        <f t="shared" si="92"/>
        <v>8397</v>
      </c>
      <c r="I45" s="294">
        <f t="shared" si="92"/>
        <v>8375</v>
      </c>
      <c r="J45" s="294">
        <f t="shared" ref="J45:K45" si="93">J375</f>
        <v>8439</v>
      </c>
      <c r="K45" s="294">
        <f t="shared" si="93"/>
        <v>8586</v>
      </c>
      <c r="L45" s="294">
        <f t="shared" ref="L45" si="94">L375</f>
        <v>8493</v>
      </c>
      <c r="N45" s="291" t="s">
        <v>2554</v>
      </c>
    </row>
    <row r="46" spans="1:14" ht="15.75" thickBot="1">
      <c r="D46" s="295">
        <f t="shared" ref="D46:I46" si="95">D396</f>
        <v>59167</v>
      </c>
      <c r="E46" s="295">
        <f t="shared" si="95"/>
        <v>59380</v>
      </c>
      <c r="F46" s="295">
        <f t="shared" si="95"/>
        <v>60159</v>
      </c>
      <c r="G46" s="295">
        <f t="shared" si="95"/>
        <v>60705</v>
      </c>
      <c r="H46" s="295">
        <f t="shared" si="95"/>
        <v>60380</v>
      </c>
      <c r="I46" s="295">
        <f t="shared" si="95"/>
        <v>58988</v>
      </c>
      <c r="J46" s="295">
        <f t="shared" ref="J46:K46" si="96">J396</f>
        <v>57532</v>
      </c>
      <c r="K46" s="295">
        <f t="shared" si="96"/>
        <v>58776</v>
      </c>
      <c r="L46" s="295">
        <f t="shared" ref="L46" si="97">L396</f>
        <v>58671</v>
      </c>
      <c r="N46" s="291" t="s">
        <v>6771</v>
      </c>
    </row>
    <row r="47" spans="1:14" ht="15.75" thickBot="1">
      <c r="D47" s="295">
        <f t="shared" ref="D47:I47" si="98">SUM(D45:D46)</f>
        <v>67425</v>
      </c>
      <c r="E47" s="295">
        <f t="shared" si="98"/>
        <v>67700</v>
      </c>
      <c r="F47" s="295">
        <f t="shared" si="98"/>
        <v>68595</v>
      </c>
      <c r="G47" s="295">
        <f t="shared" si="98"/>
        <v>69161</v>
      </c>
      <c r="H47" s="295">
        <f t="shared" si="98"/>
        <v>68777</v>
      </c>
      <c r="I47" s="295">
        <f t="shared" si="98"/>
        <v>67363</v>
      </c>
      <c r="J47" s="295">
        <f t="shared" ref="J47:K47" si="99">SUM(J45:J46)</f>
        <v>65971</v>
      </c>
      <c r="K47" s="295">
        <f t="shared" si="99"/>
        <v>67362</v>
      </c>
      <c r="L47" s="295">
        <f t="shared" ref="L47" si="100">SUM(L45:L46)</f>
        <v>67164</v>
      </c>
    </row>
    <row r="48" spans="1:14">
      <c r="D48" s="296"/>
      <c r="E48" s="296"/>
      <c r="F48" s="296"/>
      <c r="G48" s="296"/>
      <c r="H48" s="296"/>
      <c r="I48" s="296"/>
      <c r="J48" s="296"/>
      <c r="K48" s="296"/>
      <c r="L48" s="296"/>
    </row>
    <row r="49" spans="1:14">
      <c r="A49" s="291" t="s">
        <v>2564</v>
      </c>
      <c r="D49" s="294">
        <f t="shared" ref="D49:I49" si="101">D329</f>
        <v>30132</v>
      </c>
      <c r="E49" s="294">
        <f t="shared" si="101"/>
        <v>30226</v>
      </c>
      <c r="F49" s="294">
        <f t="shared" si="101"/>
        <v>30156</v>
      </c>
      <c r="G49" s="294">
        <f t="shared" si="101"/>
        <v>30369</v>
      </c>
      <c r="H49" s="294">
        <f t="shared" si="101"/>
        <v>29806</v>
      </c>
      <c r="I49" s="294">
        <f t="shared" si="101"/>
        <v>27644</v>
      </c>
      <c r="J49" s="294">
        <f t="shared" ref="J49:K49" si="102">J329</f>
        <v>27829</v>
      </c>
      <c r="K49" s="294">
        <f t="shared" si="102"/>
        <v>29757</v>
      </c>
      <c r="L49" s="294">
        <f t="shared" ref="L49" si="103">L329</f>
        <v>30047</v>
      </c>
      <c r="N49" s="291" t="s">
        <v>2561</v>
      </c>
    </row>
    <row r="50" spans="1:14" ht="15.75" thickBot="1">
      <c r="A50" s="291"/>
      <c r="D50" s="295">
        <f t="shared" ref="D50:I50" si="104">D493</f>
        <v>40549</v>
      </c>
      <c r="E50" s="295">
        <f t="shared" si="104"/>
        <v>40861</v>
      </c>
      <c r="F50" s="295">
        <f t="shared" si="104"/>
        <v>41067</v>
      </c>
      <c r="G50" s="295">
        <f t="shared" si="104"/>
        <v>41247</v>
      </c>
      <c r="H50" s="295">
        <f t="shared" si="104"/>
        <v>41384</v>
      </c>
      <c r="I50" s="295">
        <f t="shared" si="104"/>
        <v>39850</v>
      </c>
      <c r="J50" s="295">
        <f t="shared" ref="J50:K50" si="105">J493</f>
        <v>40611</v>
      </c>
      <c r="K50" s="295">
        <f t="shared" si="105"/>
        <v>40740</v>
      </c>
      <c r="L50" s="295">
        <f t="shared" ref="L50" si="106">L493</f>
        <v>40937</v>
      </c>
      <c r="N50" s="291" t="s">
        <v>2559</v>
      </c>
    </row>
    <row r="51" spans="1:14" ht="15.75" thickBot="1">
      <c r="A51" s="291"/>
      <c r="D51" s="299">
        <f t="shared" ref="D51:I51" si="107">D49+D50</f>
        <v>70681</v>
      </c>
      <c r="E51" s="299">
        <f t="shared" si="107"/>
        <v>71087</v>
      </c>
      <c r="F51" s="299">
        <f t="shared" si="107"/>
        <v>71223</v>
      </c>
      <c r="G51" s="299">
        <f t="shared" si="107"/>
        <v>71616</v>
      </c>
      <c r="H51" s="299">
        <f t="shared" si="107"/>
        <v>71190</v>
      </c>
      <c r="I51" s="299">
        <f t="shared" si="107"/>
        <v>67494</v>
      </c>
      <c r="J51" s="299">
        <f t="shared" ref="J51:K51" si="108">J49+J50</f>
        <v>68440</v>
      </c>
      <c r="K51" s="299">
        <f t="shared" si="108"/>
        <v>70497</v>
      </c>
      <c r="L51" s="299">
        <f t="shared" ref="L51" si="109">L49+L50</f>
        <v>70984</v>
      </c>
      <c r="N51" s="291"/>
    </row>
    <row r="52" spans="1:14">
      <c r="D52" s="296"/>
      <c r="E52" s="296"/>
      <c r="F52" s="296"/>
      <c r="G52" s="296"/>
      <c r="H52" s="296"/>
      <c r="I52" s="296"/>
      <c r="J52" s="296"/>
      <c r="K52" s="296"/>
      <c r="L52" s="296"/>
    </row>
    <row r="53" spans="1:14">
      <c r="A53" s="291" t="s">
        <v>2565</v>
      </c>
      <c r="D53" s="294">
        <f t="shared" ref="D53:I53" si="110">D294</f>
        <v>31547</v>
      </c>
      <c r="E53" s="294">
        <f t="shared" si="110"/>
        <v>31645</v>
      </c>
      <c r="F53" s="294">
        <f t="shared" si="110"/>
        <v>31511</v>
      </c>
      <c r="G53" s="294">
        <f t="shared" si="110"/>
        <v>31823</v>
      </c>
      <c r="H53" s="294">
        <f t="shared" si="110"/>
        <v>31892</v>
      </c>
      <c r="I53" s="294">
        <f t="shared" si="110"/>
        <v>32095</v>
      </c>
      <c r="J53" s="294">
        <f t="shared" ref="J53:K53" si="111">J294</f>
        <v>32031</v>
      </c>
      <c r="K53" s="294">
        <f t="shared" si="111"/>
        <v>32139</v>
      </c>
      <c r="L53" s="294">
        <f t="shared" ref="L53" si="112">L294</f>
        <v>32375</v>
      </c>
      <c r="N53" s="291" t="s">
        <v>2557</v>
      </c>
    </row>
    <row r="54" spans="1:14" ht="15.75" thickBot="1">
      <c r="D54" s="295">
        <f t="shared" ref="D54:I54" si="113">D422</f>
        <v>37325</v>
      </c>
      <c r="E54" s="295">
        <f t="shared" si="113"/>
        <v>37894</v>
      </c>
      <c r="F54" s="295">
        <f t="shared" si="113"/>
        <v>37430</v>
      </c>
      <c r="G54" s="295">
        <f t="shared" si="113"/>
        <v>37192</v>
      </c>
      <c r="H54" s="295">
        <f t="shared" si="113"/>
        <v>37192</v>
      </c>
      <c r="I54" s="295">
        <f t="shared" si="113"/>
        <v>36529</v>
      </c>
      <c r="J54" s="295">
        <f t="shared" ref="J54:K54" si="114">J422</f>
        <v>36893</v>
      </c>
      <c r="K54" s="295">
        <f t="shared" si="114"/>
        <v>38308</v>
      </c>
      <c r="L54" s="295">
        <f t="shared" ref="L54" si="115">L422</f>
        <v>38606</v>
      </c>
      <c r="N54" s="291" t="s">
        <v>2566</v>
      </c>
    </row>
    <row r="55" spans="1:14" ht="15.75" thickBot="1">
      <c r="D55" s="295">
        <f t="shared" ref="D55:I55" si="116">SUM(D53:D54)</f>
        <v>68872</v>
      </c>
      <c r="E55" s="295">
        <f t="shared" si="116"/>
        <v>69539</v>
      </c>
      <c r="F55" s="295">
        <f t="shared" si="116"/>
        <v>68941</v>
      </c>
      <c r="G55" s="295">
        <f t="shared" si="116"/>
        <v>69015</v>
      </c>
      <c r="H55" s="295">
        <f t="shared" si="116"/>
        <v>69084</v>
      </c>
      <c r="I55" s="295">
        <f t="shared" si="116"/>
        <v>68624</v>
      </c>
      <c r="J55" s="295">
        <f t="shared" ref="J55:K55" si="117">SUM(J53:J54)</f>
        <v>68924</v>
      </c>
      <c r="K55" s="295">
        <f t="shared" si="117"/>
        <v>70447</v>
      </c>
      <c r="L55" s="295">
        <f t="shared" ref="L55" si="118">SUM(L53:L54)</f>
        <v>70981</v>
      </c>
    </row>
    <row r="56" spans="1:14">
      <c r="D56" s="296"/>
      <c r="E56" s="296"/>
      <c r="F56" s="296"/>
      <c r="G56" s="296"/>
      <c r="H56" s="296"/>
      <c r="I56" s="296"/>
      <c r="J56" s="296"/>
      <c r="K56" s="296"/>
      <c r="L56" s="296"/>
    </row>
    <row r="57" spans="1:14">
      <c r="A57" s="291" t="s">
        <v>2567</v>
      </c>
      <c r="D57" s="294">
        <f t="shared" ref="D57:I57" si="119">D169</f>
        <v>22357</v>
      </c>
      <c r="E57" s="294">
        <f t="shared" si="119"/>
        <v>22617</v>
      </c>
      <c r="F57" s="294">
        <f t="shared" si="119"/>
        <v>22806</v>
      </c>
      <c r="G57" s="294">
        <f t="shared" si="119"/>
        <v>23169</v>
      </c>
      <c r="H57" s="294">
        <f t="shared" si="119"/>
        <v>23180</v>
      </c>
      <c r="I57" s="294">
        <f t="shared" si="119"/>
        <v>23305</v>
      </c>
      <c r="J57" s="294">
        <f t="shared" ref="J57:K57" si="120">J169</f>
        <v>22425</v>
      </c>
      <c r="K57" s="294">
        <f t="shared" si="120"/>
        <v>23535</v>
      </c>
      <c r="L57" s="294">
        <f t="shared" ref="L57" si="121">L169</f>
        <v>24041</v>
      </c>
      <c r="N57" s="291" t="s">
        <v>2533</v>
      </c>
    </row>
    <row r="58" spans="1:14" ht="15.75" thickBot="1">
      <c r="D58" s="295">
        <f t="shared" ref="D58:I58" si="122">D447</f>
        <v>53337</v>
      </c>
      <c r="E58" s="295">
        <f t="shared" si="122"/>
        <v>53472</v>
      </c>
      <c r="F58" s="295">
        <f t="shared" si="122"/>
        <v>53682</v>
      </c>
      <c r="G58" s="295">
        <f t="shared" si="122"/>
        <v>54253</v>
      </c>
      <c r="H58" s="295">
        <f t="shared" si="122"/>
        <v>54466</v>
      </c>
      <c r="I58" s="295">
        <f t="shared" si="122"/>
        <v>53950</v>
      </c>
      <c r="J58" s="295">
        <f t="shared" ref="J58:K58" si="123">J447</f>
        <v>53031</v>
      </c>
      <c r="K58" s="295">
        <f t="shared" si="123"/>
        <v>54247</v>
      </c>
      <c r="L58" s="295">
        <f t="shared" ref="L58" si="124">L447</f>
        <v>54079</v>
      </c>
      <c r="N58" s="291" t="s">
        <v>2550</v>
      </c>
    </row>
    <row r="59" spans="1:14" ht="15.75" thickBot="1">
      <c r="D59" s="295">
        <f t="shared" ref="D59:I59" si="125">SUM(D57:D58)</f>
        <v>75694</v>
      </c>
      <c r="E59" s="295">
        <f t="shared" si="125"/>
        <v>76089</v>
      </c>
      <c r="F59" s="295">
        <f t="shared" si="125"/>
        <v>76488</v>
      </c>
      <c r="G59" s="295">
        <f t="shared" si="125"/>
        <v>77422</v>
      </c>
      <c r="H59" s="295">
        <f t="shared" si="125"/>
        <v>77646</v>
      </c>
      <c r="I59" s="295">
        <f t="shared" si="125"/>
        <v>77255</v>
      </c>
      <c r="J59" s="295">
        <f t="shared" ref="J59:K59" si="126">SUM(J57:J58)</f>
        <v>75456</v>
      </c>
      <c r="K59" s="295">
        <f t="shared" si="126"/>
        <v>77782</v>
      </c>
      <c r="L59" s="295">
        <f t="shared" ref="L59" si="127">SUM(L57:L58)</f>
        <v>78120</v>
      </c>
    </row>
    <row r="60" spans="1:14">
      <c r="D60" s="296"/>
      <c r="E60" s="296"/>
      <c r="F60" s="296"/>
      <c r="G60" s="296"/>
      <c r="H60" s="296"/>
      <c r="I60" s="296"/>
      <c r="J60" s="296"/>
      <c r="K60" s="296"/>
      <c r="L60" s="296"/>
    </row>
    <row r="61" spans="1:14">
      <c r="A61" s="291" t="s">
        <v>2551</v>
      </c>
      <c r="D61" s="294">
        <f t="shared" ref="D61:I61" si="128">D448</f>
        <v>11530</v>
      </c>
      <c r="E61" s="294">
        <f t="shared" si="128"/>
        <v>11661</v>
      </c>
      <c r="F61" s="294">
        <f t="shared" si="128"/>
        <v>11719</v>
      </c>
      <c r="G61" s="294">
        <f t="shared" si="128"/>
        <v>11869</v>
      </c>
      <c r="H61" s="294">
        <f t="shared" si="128"/>
        <v>11893</v>
      </c>
      <c r="I61" s="294">
        <f t="shared" si="128"/>
        <v>11667</v>
      </c>
      <c r="J61" s="294">
        <f t="shared" ref="J61:K61" si="129">J448</f>
        <v>11435</v>
      </c>
      <c r="K61" s="294">
        <f t="shared" si="129"/>
        <v>11629</v>
      </c>
      <c r="L61" s="294">
        <f t="shared" ref="L61" si="130">L448</f>
        <v>11745</v>
      </c>
      <c r="N61" s="291" t="s">
        <v>2550</v>
      </c>
    </row>
    <row r="62" spans="1:14" ht="15.75" thickBot="1">
      <c r="D62" s="295">
        <f t="shared" ref="D62:I62" si="131">D112</f>
        <v>60052</v>
      </c>
      <c r="E62" s="295">
        <f t="shared" si="131"/>
        <v>59470</v>
      </c>
      <c r="F62" s="295">
        <f t="shared" si="131"/>
        <v>60189</v>
      </c>
      <c r="G62" s="295">
        <f t="shared" si="131"/>
        <v>61048</v>
      </c>
      <c r="H62" s="295">
        <f t="shared" si="131"/>
        <v>61605</v>
      </c>
      <c r="I62" s="295">
        <f t="shared" si="131"/>
        <v>58724</v>
      </c>
      <c r="J62" s="295">
        <f t="shared" ref="J62:K62" si="132">J112</f>
        <v>58098</v>
      </c>
      <c r="K62" s="295">
        <f t="shared" si="132"/>
        <v>59923</v>
      </c>
      <c r="L62" s="295">
        <f t="shared" ref="L62" si="133">L112</f>
        <v>60458</v>
      </c>
      <c r="N62" s="291" t="s">
        <v>2552</v>
      </c>
    </row>
    <row r="63" spans="1:14" ht="15.75" thickBot="1">
      <c r="D63" s="295">
        <f t="shared" ref="D63:I63" si="134">SUM(D61:D62)</f>
        <v>71582</v>
      </c>
      <c r="E63" s="295">
        <f t="shared" si="134"/>
        <v>71131</v>
      </c>
      <c r="F63" s="295">
        <f t="shared" si="134"/>
        <v>71908</v>
      </c>
      <c r="G63" s="295">
        <f t="shared" si="134"/>
        <v>72917</v>
      </c>
      <c r="H63" s="295">
        <f t="shared" si="134"/>
        <v>73498</v>
      </c>
      <c r="I63" s="295">
        <f t="shared" si="134"/>
        <v>70391</v>
      </c>
      <c r="J63" s="295">
        <f t="shared" ref="J63:K63" si="135">SUM(J61:J62)</f>
        <v>69533</v>
      </c>
      <c r="K63" s="295">
        <f t="shared" si="135"/>
        <v>71552</v>
      </c>
      <c r="L63" s="295">
        <f t="shared" ref="L63" si="136">SUM(L61:L62)</f>
        <v>72203</v>
      </c>
    </row>
    <row r="64" spans="1:14">
      <c r="D64" s="300"/>
      <c r="E64" s="300"/>
      <c r="F64" s="300"/>
      <c r="G64" s="300"/>
      <c r="H64" s="300"/>
      <c r="I64" s="300"/>
      <c r="J64" s="300"/>
      <c r="K64" s="300"/>
      <c r="L64" s="300"/>
    </row>
    <row r="65" spans="1:14">
      <c r="A65" s="291" t="s">
        <v>2553</v>
      </c>
      <c r="D65" s="294">
        <f t="shared" ref="D65:I65" si="137">D295</f>
        <v>17265</v>
      </c>
      <c r="E65" s="294">
        <f t="shared" si="137"/>
        <v>17501</v>
      </c>
      <c r="F65" s="294">
        <f t="shared" si="137"/>
        <v>17671</v>
      </c>
      <c r="G65" s="294">
        <f t="shared" si="137"/>
        <v>17706</v>
      </c>
      <c r="H65" s="294">
        <f t="shared" si="137"/>
        <v>17789</v>
      </c>
      <c r="I65" s="294">
        <f t="shared" si="137"/>
        <v>17484</v>
      </c>
      <c r="J65" s="294">
        <f t="shared" ref="J65:K65" si="138">J295</f>
        <v>17390</v>
      </c>
      <c r="K65" s="294">
        <f t="shared" si="138"/>
        <v>17527</v>
      </c>
      <c r="L65" s="294">
        <f t="shared" ref="L65" si="139">L295</f>
        <v>17817</v>
      </c>
      <c r="N65" s="291" t="s">
        <v>2557</v>
      </c>
    </row>
    <row r="66" spans="1:14" ht="15.75" thickBot="1">
      <c r="D66" s="295">
        <f t="shared" ref="D66:I66" si="140">D524</f>
        <v>58606</v>
      </c>
      <c r="E66" s="295">
        <f t="shared" si="140"/>
        <v>59608</v>
      </c>
      <c r="F66" s="295">
        <f t="shared" si="140"/>
        <v>60719</v>
      </c>
      <c r="G66" s="295">
        <f t="shared" si="140"/>
        <v>61613</v>
      </c>
      <c r="H66" s="295">
        <f t="shared" si="140"/>
        <v>62275</v>
      </c>
      <c r="I66" s="295">
        <f t="shared" si="140"/>
        <v>62081</v>
      </c>
      <c r="J66" s="295">
        <f t="shared" ref="J66:K66" si="141">J524</f>
        <v>61702</v>
      </c>
      <c r="K66" s="295">
        <f t="shared" si="141"/>
        <v>64461</v>
      </c>
      <c r="L66" s="295">
        <f t="shared" ref="L66" si="142">L524</f>
        <v>63764</v>
      </c>
      <c r="N66" s="291" t="s">
        <v>6775</v>
      </c>
    </row>
    <row r="67" spans="1:14" ht="15.75" thickBot="1">
      <c r="D67" s="295">
        <f t="shared" ref="D67:I67" si="143">SUM(D65:D66)</f>
        <v>75871</v>
      </c>
      <c r="E67" s="295">
        <f t="shared" si="143"/>
        <v>77109</v>
      </c>
      <c r="F67" s="295">
        <f t="shared" si="143"/>
        <v>78390</v>
      </c>
      <c r="G67" s="295">
        <f t="shared" si="143"/>
        <v>79319</v>
      </c>
      <c r="H67" s="295">
        <f t="shared" si="143"/>
        <v>80064</v>
      </c>
      <c r="I67" s="295">
        <f t="shared" si="143"/>
        <v>79565</v>
      </c>
      <c r="J67" s="295">
        <f t="shared" ref="J67:K67" si="144">SUM(J65:J66)</f>
        <v>79092</v>
      </c>
      <c r="K67" s="295">
        <f t="shared" si="144"/>
        <v>81988</v>
      </c>
      <c r="L67" s="295">
        <f t="shared" ref="L67" si="145">SUM(L65:L66)</f>
        <v>81581</v>
      </c>
    </row>
    <row r="68" spans="1:14">
      <c r="D68" s="296"/>
      <c r="E68" s="296"/>
      <c r="F68" s="296"/>
      <c r="G68" s="296"/>
      <c r="H68" s="296"/>
      <c r="I68" s="296"/>
      <c r="J68" s="296"/>
      <c r="K68" s="296"/>
      <c r="L68" s="296"/>
    </row>
    <row r="69" spans="1:14">
      <c r="A69" s="291" t="s">
        <v>4224</v>
      </c>
      <c r="D69" s="294">
        <f t="shared" ref="D69:I69" si="146">D170</f>
        <v>40101</v>
      </c>
      <c r="E69" s="294">
        <f t="shared" si="146"/>
        <v>39991</v>
      </c>
      <c r="F69" s="294">
        <f t="shared" si="146"/>
        <v>40033</v>
      </c>
      <c r="G69" s="294">
        <f t="shared" si="146"/>
        <v>40807</v>
      </c>
      <c r="H69" s="294">
        <f t="shared" si="146"/>
        <v>40908</v>
      </c>
      <c r="I69" s="294">
        <f t="shared" si="146"/>
        <v>41074</v>
      </c>
      <c r="J69" s="294">
        <f t="shared" ref="J69:K69" si="147">J170</f>
        <v>39216</v>
      </c>
      <c r="K69" s="294">
        <f t="shared" si="147"/>
        <v>40061</v>
      </c>
      <c r="L69" s="294">
        <f t="shared" ref="L69" si="148">L170</f>
        <v>41101</v>
      </c>
      <c r="N69" s="291" t="s">
        <v>2533</v>
      </c>
    </row>
    <row r="70" spans="1:14" ht="15.75" thickBot="1">
      <c r="A70" s="291"/>
      <c r="D70" s="295">
        <f t="shared" ref="D70:I70" si="149">D142</f>
        <v>31846</v>
      </c>
      <c r="E70" s="295">
        <f t="shared" si="149"/>
        <v>31828</v>
      </c>
      <c r="F70" s="295">
        <f t="shared" si="149"/>
        <v>31864</v>
      </c>
      <c r="G70" s="295">
        <f t="shared" si="149"/>
        <v>31791</v>
      </c>
      <c r="H70" s="295">
        <f t="shared" si="149"/>
        <v>31497</v>
      </c>
      <c r="I70" s="295">
        <f t="shared" si="149"/>
        <v>31305</v>
      </c>
      <c r="J70" s="295">
        <f t="shared" ref="J70:K70" si="150">J142</f>
        <v>30976</v>
      </c>
      <c r="K70" s="295">
        <f t="shared" si="150"/>
        <v>31827</v>
      </c>
      <c r="L70" s="295">
        <f t="shared" ref="L70" si="151">L142</f>
        <v>32516</v>
      </c>
      <c r="N70" s="291" t="s">
        <v>4225</v>
      </c>
    </row>
    <row r="71" spans="1:14" ht="15.75" thickBot="1">
      <c r="A71" s="291"/>
      <c r="D71" s="299">
        <f t="shared" ref="D71:I71" si="152">D69+D70</f>
        <v>71947</v>
      </c>
      <c r="E71" s="299">
        <f t="shared" si="152"/>
        <v>71819</v>
      </c>
      <c r="F71" s="299">
        <f t="shared" si="152"/>
        <v>71897</v>
      </c>
      <c r="G71" s="299">
        <f t="shared" si="152"/>
        <v>72598</v>
      </c>
      <c r="H71" s="299">
        <f t="shared" si="152"/>
        <v>72405</v>
      </c>
      <c r="I71" s="299">
        <f t="shared" si="152"/>
        <v>72379</v>
      </c>
      <c r="J71" s="299">
        <f t="shared" ref="J71:K71" si="153">J69+J70</f>
        <v>70192</v>
      </c>
      <c r="K71" s="299">
        <f t="shared" si="153"/>
        <v>71888</v>
      </c>
      <c r="L71" s="299">
        <f t="shared" ref="L71" si="154">L69+L70</f>
        <v>73617</v>
      </c>
      <c r="N71" s="291"/>
    </row>
    <row r="72" spans="1:14">
      <c r="D72" s="296"/>
      <c r="E72" s="296"/>
      <c r="F72" s="296"/>
      <c r="G72" s="296"/>
      <c r="H72" s="296"/>
      <c r="I72" s="296"/>
      <c r="J72" s="296"/>
      <c r="K72" s="296"/>
      <c r="L72" s="296"/>
    </row>
    <row r="73" spans="1:14">
      <c r="A73" s="291" t="s">
        <v>4226</v>
      </c>
      <c r="D73" s="294">
        <f t="shared" ref="D73:I73" si="155">D113</f>
        <v>66965</v>
      </c>
      <c r="E73" s="294">
        <f t="shared" si="155"/>
        <v>66780</v>
      </c>
      <c r="F73" s="294">
        <f t="shared" si="155"/>
        <v>67200</v>
      </c>
      <c r="G73" s="294">
        <f t="shared" si="155"/>
        <v>67654</v>
      </c>
      <c r="H73" s="294">
        <f t="shared" si="155"/>
        <v>68010</v>
      </c>
      <c r="I73" s="294">
        <f t="shared" si="155"/>
        <v>65569</v>
      </c>
      <c r="J73" s="294">
        <f t="shared" ref="J73:K73" si="156">J113</f>
        <v>64952</v>
      </c>
      <c r="K73" s="294">
        <f t="shared" si="156"/>
        <v>66305</v>
      </c>
      <c r="L73" s="294">
        <f t="shared" ref="L73" si="157">L113</f>
        <v>66480</v>
      </c>
      <c r="N73" s="291" t="s">
        <v>2552</v>
      </c>
    </row>
    <row r="74" spans="1:14">
      <c r="D74" s="296"/>
      <c r="E74" s="296"/>
      <c r="F74" s="296"/>
      <c r="G74" s="296"/>
      <c r="H74" s="296"/>
      <c r="I74" s="296"/>
      <c r="J74" s="296"/>
      <c r="K74" s="296"/>
      <c r="L74" s="296"/>
    </row>
    <row r="75" spans="1:14">
      <c r="A75" s="291" t="s">
        <v>4227</v>
      </c>
      <c r="D75" s="294">
        <f t="shared" ref="D75:I75" si="158">D143</f>
        <v>77723</v>
      </c>
      <c r="E75" s="294">
        <f t="shared" si="158"/>
        <v>77667</v>
      </c>
      <c r="F75" s="294">
        <f t="shared" si="158"/>
        <v>77540</v>
      </c>
      <c r="G75" s="294">
        <f t="shared" si="158"/>
        <v>77207</v>
      </c>
      <c r="H75" s="294">
        <f t="shared" si="158"/>
        <v>77460</v>
      </c>
      <c r="I75" s="294">
        <f t="shared" si="158"/>
        <v>76455</v>
      </c>
      <c r="J75" s="294">
        <f t="shared" ref="J75:K75" si="159">J143</f>
        <v>75935</v>
      </c>
      <c r="K75" s="294">
        <f t="shared" si="159"/>
        <v>77425</v>
      </c>
      <c r="L75" s="294">
        <f t="shared" ref="L75" si="160">L143</f>
        <v>77788</v>
      </c>
      <c r="N75" s="291" t="s">
        <v>4225</v>
      </c>
    </row>
    <row r="76" spans="1:14">
      <c r="D76" s="296"/>
      <c r="E76" s="296"/>
      <c r="F76" s="296"/>
      <c r="G76" s="296"/>
      <c r="H76" s="296"/>
      <c r="I76" s="296"/>
      <c r="J76" s="296"/>
      <c r="K76" s="296"/>
      <c r="L76" s="296"/>
    </row>
    <row r="77" spans="1:14">
      <c r="A77" s="291" t="s">
        <v>4228</v>
      </c>
      <c r="D77" s="294">
        <f t="shared" ref="D77:I77" si="161">D213</f>
        <v>35833</v>
      </c>
      <c r="E77" s="294">
        <f t="shared" si="161"/>
        <v>36338</v>
      </c>
      <c r="F77" s="294">
        <f t="shared" si="161"/>
        <v>36833</v>
      </c>
      <c r="G77" s="294">
        <f t="shared" si="161"/>
        <v>37069</v>
      </c>
      <c r="H77" s="294">
        <f t="shared" si="161"/>
        <v>36780</v>
      </c>
      <c r="I77" s="294">
        <f t="shared" si="161"/>
        <v>36311</v>
      </c>
      <c r="J77" s="294">
        <f t="shared" ref="J77:K77" si="162">J213</f>
        <v>35974</v>
      </c>
      <c r="K77" s="294">
        <f t="shared" si="162"/>
        <v>36990</v>
      </c>
      <c r="L77" s="294">
        <f t="shared" ref="L77" si="163">L213</f>
        <v>36849</v>
      </c>
      <c r="N77" s="291" t="s">
        <v>1659</v>
      </c>
    </row>
    <row r="78" spans="1:14">
      <c r="A78" s="291"/>
      <c r="D78" s="294">
        <f t="shared" ref="D78:I78" si="164">D330</f>
        <v>20536</v>
      </c>
      <c r="E78" s="294">
        <f t="shared" si="164"/>
        <v>20388</v>
      </c>
      <c r="F78" s="294">
        <f t="shared" si="164"/>
        <v>20370</v>
      </c>
      <c r="G78" s="294">
        <f t="shared" si="164"/>
        <v>20593</v>
      </c>
      <c r="H78" s="294">
        <f t="shared" si="164"/>
        <v>20086</v>
      </c>
      <c r="I78" s="294">
        <f t="shared" si="164"/>
        <v>19817</v>
      </c>
      <c r="J78" s="294">
        <f t="shared" ref="J78:K78" si="165">J330</f>
        <v>19877</v>
      </c>
      <c r="K78" s="294">
        <f t="shared" si="165"/>
        <v>21227</v>
      </c>
      <c r="L78" s="294">
        <f t="shared" ref="L78" si="166">L330</f>
        <v>20649</v>
      </c>
      <c r="N78" s="291" t="s">
        <v>2561</v>
      </c>
    </row>
    <row r="79" spans="1:14" ht="15.75" thickBot="1">
      <c r="A79" s="291"/>
      <c r="D79" s="295">
        <f t="shared" ref="D79:I79" si="167">D423</f>
        <v>10518</v>
      </c>
      <c r="E79" s="295">
        <f t="shared" si="167"/>
        <v>10725</v>
      </c>
      <c r="F79" s="295">
        <f t="shared" si="167"/>
        <v>10595</v>
      </c>
      <c r="G79" s="295">
        <f t="shared" si="167"/>
        <v>10610</v>
      </c>
      <c r="H79" s="295">
        <f t="shared" si="167"/>
        <v>10570</v>
      </c>
      <c r="I79" s="295">
        <f t="shared" si="167"/>
        <v>10430</v>
      </c>
      <c r="J79" s="295">
        <f t="shared" ref="J79:K79" si="168">J423</f>
        <v>10419</v>
      </c>
      <c r="K79" s="295">
        <f t="shared" si="168"/>
        <v>10693</v>
      </c>
      <c r="L79" s="295">
        <f t="shared" ref="L79" si="169">L423</f>
        <v>10827</v>
      </c>
      <c r="N79" s="291" t="s">
        <v>2566</v>
      </c>
    </row>
    <row r="80" spans="1:14" ht="15.75" thickBot="1">
      <c r="A80" s="291"/>
      <c r="D80" s="299">
        <f t="shared" ref="D80:I80" si="170">SUM(D77:D79)</f>
        <v>66887</v>
      </c>
      <c r="E80" s="299">
        <f t="shared" si="170"/>
        <v>67451</v>
      </c>
      <c r="F80" s="299">
        <f t="shared" si="170"/>
        <v>67798</v>
      </c>
      <c r="G80" s="299">
        <f t="shared" si="170"/>
        <v>68272</v>
      </c>
      <c r="H80" s="299">
        <f t="shared" si="170"/>
        <v>67436</v>
      </c>
      <c r="I80" s="299">
        <f t="shared" si="170"/>
        <v>66558</v>
      </c>
      <c r="J80" s="299">
        <f t="shared" ref="J80:K80" si="171">SUM(J77:J79)</f>
        <v>66270</v>
      </c>
      <c r="K80" s="299">
        <f t="shared" si="171"/>
        <v>68910</v>
      </c>
      <c r="L80" s="299">
        <f t="shared" ref="L80" si="172">SUM(L77:L79)</f>
        <v>68325</v>
      </c>
      <c r="N80" s="291"/>
    </row>
    <row r="81" spans="1:17">
      <c r="A81" s="301"/>
      <c r="D81" s="296"/>
      <c r="E81" s="296"/>
      <c r="F81" s="296"/>
      <c r="G81" s="296"/>
      <c r="H81" s="296"/>
      <c r="I81" s="296"/>
      <c r="J81" s="296"/>
      <c r="K81" s="296"/>
      <c r="L81" s="296"/>
    </row>
    <row r="82" spans="1:17">
      <c r="A82" s="291" t="s">
        <v>8697</v>
      </c>
      <c r="D82" s="294">
        <f t="shared" ref="D82:I82" si="173">D27+D29+D33+D39+D35+D37+D41+D71+D43+D47+D51+D55+D59+D63+D67+D73+D75+D80</f>
        <v>1278286</v>
      </c>
      <c r="E82" s="294">
        <f t="shared" si="173"/>
        <v>1280544</v>
      </c>
      <c r="F82" s="294">
        <f t="shared" si="173"/>
        <v>1290595</v>
      </c>
      <c r="G82" s="294">
        <f t="shared" si="173"/>
        <v>1304151</v>
      </c>
      <c r="H82" s="294">
        <f t="shared" si="173"/>
        <v>1301592</v>
      </c>
      <c r="I82" s="294">
        <f t="shared" si="173"/>
        <v>1283406</v>
      </c>
      <c r="J82" s="294">
        <f t="shared" ref="J82:K82" si="174">J27+J29+J33+J39+J35+J37+J41+J71+J43+J47+J51+J55+J59+J63+J67+J73+J75+J80</f>
        <v>1274597</v>
      </c>
      <c r="K82" s="294">
        <f t="shared" si="174"/>
        <v>1311362</v>
      </c>
      <c r="L82" s="294">
        <f t="shared" ref="L82" si="175">L27+L29+L33+L39+L35+L37+L41+L71+L43+L47+L51+L55+L59+L63+L67+L73+L75+L80</f>
        <v>1312275</v>
      </c>
    </row>
    <row r="83" spans="1:17">
      <c r="D83" s="296"/>
      <c r="E83" s="296"/>
      <c r="F83" s="296"/>
      <c r="G83" s="296"/>
      <c r="H83" s="296"/>
      <c r="I83" s="296"/>
      <c r="J83" s="296"/>
      <c r="K83" s="296"/>
      <c r="L83" s="296"/>
    </row>
    <row r="84" spans="1:17">
      <c r="A84" s="291" t="s">
        <v>8698</v>
      </c>
      <c r="D84" s="294">
        <f t="shared" ref="D84:I84" si="176">MAX(D27,D29,D33,D35,D37,D39,D41,D71,D43,D47,D51,D55,D59,D67,D63,D73,D75,D80)-MIN(D27,D29,D33,D35,D37,D39,D41,D71,D43,D47,D51,D55,D59,D67,D63,D73,D75,D80)</f>
        <v>12421</v>
      </c>
      <c r="E84" s="294">
        <f t="shared" si="176"/>
        <v>13273</v>
      </c>
      <c r="F84" s="294">
        <f t="shared" si="176"/>
        <v>12480</v>
      </c>
      <c r="G84" s="294">
        <f t="shared" si="176"/>
        <v>12233</v>
      </c>
      <c r="H84" s="294">
        <f t="shared" si="176"/>
        <v>12628</v>
      </c>
      <c r="I84" s="294">
        <f t="shared" si="176"/>
        <v>13996</v>
      </c>
      <c r="J84" s="294">
        <f t="shared" ref="J84:K84" si="177">MAX(J27,J29,J33,J35,J37,J39,J41,J71,J43,J47,J51,J55,J59,J67,J63,J73,J75,J80)-MIN(J27,J29,J33,J35,J37,J39,J41,J71,J43,J47,J51,J55,J59,J67,J63,J73,J75,J80)</f>
        <v>14207</v>
      </c>
      <c r="K84" s="294">
        <f t="shared" si="177"/>
        <v>15683</v>
      </c>
      <c r="L84" s="294">
        <f t="shared" ref="L84" si="178">MAX(L27,L29,L33,L35,L37,L39,L41,L71,L43,L47,L51,L55,L59,L67,L63,L73,L75,L80)-MIN(L27,L29,L33,L35,L37,L39,L41,L71,L43,L47,L51,L55,L59,L67,L63,L73,L75,L80)</f>
        <v>15101</v>
      </c>
    </row>
    <row r="85" spans="1:17">
      <c r="D85" s="296"/>
      <c r="E85" s="296"/>
      <c r="F85" s="296"/>
      <c r="G85" s="296"/>
      <c r="H85" s="296"/>
      <c r="I85" s="296"/>
      <c r="J85" s="296"/>
      <c r="K85" s="296"/>
      <c r="L85" s="296"/>
    </row>
    <row r="86" spans="1:17">
      <c r="A86" s="302" t="s">
        <v>8701</v>
      </c>
      <c r="D86" s="294">
        <f t="shared" ref="D86:I86" si="179">STDEVP(D27,D29,D33,D35,D37,D39,D41,D71,D43,D47,D51,D55,D59,D63,D67,D73,D75,D80)</f>
        <v>3740.7352647558014</v>
      </c>
      <c r="E86" s="294">
        <f t="shared" si="179"/>
        <v>4037.6335478429273</v>
      </c>
      <c r="F86" s="294">
        <f t="shared" si="179"/>
        <v>3920.0200368755995</v>
      </c>
      <c r="G86" s="294">
        <f t="shared" si="179"/>
        <v>4042.8665194938653</v>
      </c>
      <c r="H86" s="294">
        <f t="shared" si="179"/>
        <v>3941.7234386327341</v>
      </c>
      <c r="I86" s="294">
        <f t="shared" si="179"/>
        <v>4296.8389156060612</v>
      </c>
      <c r="J86" s="294">
        <f t="shared" ref="J86:K86" si="180">STDEVP(J27,J29,J33,J35,J37,J39,J41,J71,J43,J47,J51,J55,J59,J63,J67,J73,J75,J80)</f>
        <v>4269.6391530097226</v>
      </c>
      <c r="K86" s="294">
        <f t="shared" si="180"/>
        <v>4644.6451392044801</v>
      </c>
      <c r="L86" s="294">
        <f t="shared" ref="L86" si="181">STDEVP(L27,L29,L33,L35,L37,L39,L41,L71,L43,L47,L51,L55,L59,L63,L67,L73,L75,L80)</f>
        <v>4381.9340256963651</v>
      </c>
    </row>
    <row r="87" spans="1:17">
      <c r="A87" s="302"/>
      <c r="D87" s="298"/>
      <c r="E87" s="298"/>
      <c r="F87" s="298"/>
      <c r="G87" s="298"/>
      <c r="H87" s="298"/>
      <c r="I87" s="298"/>
      <c r="J87" s="298"/>
      <c r="K87" s="298"/>
      <c r="L87" s="298"/>
    </row>
    <row r="88" spans="1:17">
      <c r="A88" s="292" t="s">
        <v>13788</v>
      </c>
      <c r="D88" s="298"/>
      <c r="E88" s="298"/>
      <c r="F88" s="298"/>
      <c r="G88" s="298"/>
      <c r="H88" s="298"/>
      <c r="I88" s="298"/>
      <c r="J88" s="298"/>
      <c r="K88" s="298"/>
      <c r="L88" s="298"/>
    </row>
    <row r="89" spans="1:17">
      <c r="A89" s="302"/>
      <c r="D89" s="298"/>
      <c r="E89" s="298"/>
      <c r="F89" s="298"/>
      <c r="G89" s="298"/>
      <c r="H89" s="298"/>
      <c r="I89" s="298"/>
      <c r="J89" s="298"/>
      <c r="K89" s="298"/>
      <c r="L89" s="298"/>
    </row>
    <row r="90" spans="1:17">
      <c r="A90" s="302"/>
      <c r="D90" s="298"/>
      <c r="E90" s="298"/>
      <c r="F90" s="298"/>
      <c r="G90" s="298"/>
      <c r="H90" s="298"/>
      <c r="I90" s="298"/>
      <c r="J90" s="298"/>
      <c r="K90" s="298"/>
      <c r="L90" s="298"/>
    </row>
    <row r="91" spans="1:17">
      <c r="E91" s="42" t="s">
        <v>2303</v>
      </c>
      <c r="F91" s="42"/>
      <c r="G91" s="42"/>
      <c r="H91" s="42"/>
      <c r="I91" s="42"/>
      <c r="J91" s="42"/>
      <c r="K91" s="42"/>
      <c r="L91" s="42"/>
      <c r="M91" s="65"/>
      <c r="N91" s="66" t="s">
        <v>13319</v>
      </c>
    </row>
    <row r="92" spans="1:17">
      <c r="D92" s="55">
        <v>2010</v>
      </c>
      <c r="E92" s="55">
        <v>2011</v>
      </c>
      <c r="F92" s="55">
        <v>2012</v>
      </c>
      <c r="G92" s="55">
        <v>2013</v>
      </c>
      <c r="H92" s="55">
        <v>2014</v>
      </c>
      <c r="I92" s="55">
        <v>2015</v>
      </c>
      <c r="J92" s="55">
        <v>2016</v>
      </c>
      <c r="K92" s="55">
        <v>2017</v>
      </c>
      <c r="L92" s="55">
        <v>2018</v>
      </c>
      <c r="N92" s="67" t="s">
        <v>2304</v>
      </c>
    </row>
    <row r="93" spans="1:17">
      <c r="A93" s="291" t="s">
        <v>2507</v>
      </c>
      <c r="C93" s="291"/>
      <c r="D93" s="294">
        <f t="shared" ref="D93:I93" si="182">SUM(D94:D110)</f>
        <v>127017</v>
      </c>
      <c r="E93" s="294">
        <f t="shared" si="182"/>
        <v>126250</v>
      </c>
      <c r="F93" s="294">
        <f t="shared" si="182"/>
        <v>127389</v>
      </c>
      <c r="G93" s="294">
        <f t="shared" si="182"/>
        <v>128702</v>
      </c>
      <c r="H93" s="294">
        <f t="shared" si="182"/>
        <v>129615</v>
      </c>
      <c r="I93" s="294">
        <f t="shared" si="182"/>
        <v>124293</v>
      </c>
      <c r="J93" s="294">
        <f t="shared" ref="J93" si="183">SUM(J94:J110)</f>
        <v>123050</v>
      </c>
      <c r="K93" s="294">
        <f>SUM(K94:K110)</f>
        <v>126228</v>
      </c>
      <c r="L93" s="294">
        <f>SUM(L94:L110)</f>
        <v>126938</v>
      </c>
    </row>
    <row r="94" spans="1:17">
      <c r="A94" s="291" t="s">
        <v>6957</v>
      </c>
      <c r="B94" s="291" t="s">
        <v>4229</v>
      </c>
      <c r="C94" s="4" t="s">
        <v>9748</v>
      </c>
      <c r="D94" s="294">
        <v>7421</v>
      </c>
      <c r="E94" s="294">
        <v>7422</v>
      </c>
      <c r="F94" s="294">
        <v>7434</v>
      </c>
      <c r="G94" s="30">
        <v>7491</v>
      </c>
      <c r="H94" s="30">
        <v>7563</v>
      </c>
      <c r="I94" s="30">
        <v>7406</v>
      </c>
      <c r="J94" s="30">
        <v>7262</v>
      </c>
      <c r="K94" s="30">
        <v>7381</v>
      </c>
      <c r="L94" s="30">
        <v>7358</v>
      </c>
      <c r="N94" s="291" t="s">
        <v>4226</v>
      </c>
      <c r="O94" s="4"/>
      <c r="Q94" s="4"/>
    </row>
    <row r="95" spans="1:17">
      <c r="A95" s="291" t="s">
        <v>6959</v>
      </c>
      <c r="B95" s="291" t="s">
        <v>4230</v>
      </c>
      <c r="C95" s="4" t="s">
        <v>9749</v>
      </c>
      <c r="D95" s="294">
        <v>7798</v>
      </c>
      <c r="E95" s="294">
        <v>7786</v>
      </c>
      <c r="F95" s="294">
        <v>7919</v>
      </c>
      <c r="G95" s="30">
        <v>7922</v>
      </c>
      <c r="H95" s="30">
        <v>7996</v>
      </c>
      <c r="I95" s="30">
        <v>7748</v>
      </c>
      <c r="J95" s="30">
        <v>7713</v>
      </c>
      <c r="K95" s="30">
        <v>7846</v>
      </c>
      <c r="L95" s="30">
        <v>7869</v>
      </c>
      <c r="N95" s="291" t="s">
        <v>4226</v>
      </c>
      <c r="O95" s="4"/>
      <c r="Q95" s="4"/>
    </row>
    <row r="96" spans="1:17">
      <c r="A96" s="291" t="s">
        <v>6961</v>
      </c>
      <c r="B96" s="291" t="s">
        <v>4231</v>
      </c>
      <c r="C96" s="4" t="s">
        <v>9750</v>
      </c>
      <c r="D96" s="294">
        <v>7231</v>
      </c>
      <c r="E96" s="294">
        <v>7088</v>
      </c>
      <c r="F96" s="294">
        <v>7198</v>
      </c>
      <c r="G96" s="30">
        <v>7206</v>
      </c>
      <c r="H96" s="30">
        <v>7225</v>
      </c>
      <c r="I96" s="30">
        <v>6824</v>
      </c>
      <c r="J96" s="30">
        <v>6726</v>
      </c>
      <c r="K96" s="30">
        <v>6864</v>
      </c>
      <c r="L96" s="30">
        <v>6954</v>
      </c>
      <c r="N96" s="291" t="s">
        <v>4226</v>
      </c>
      <c r="O96" s="4"/>
      <c r="Q96" s="4"/>
    </row>
    <row r="97" spans="1:17">
      <c r="A97" s="291" t="s">
        <v>6963</v>
      </c>
      <c r="B97" s="291" t="s">
        <v>4232</v>
      </c>
      <c r="C97" s="4" t="s">
        <v>9751</v>
      </c>
      <c r="D97" s="294">
        <v>7609</v>
      </c>
      <c r="E97" s="294">
        <v>7616</v>
      </c>
      <c r="F97" s="294">
        <v>7610</v>
      </c>
      <c r="G97" s="30">
        <v>7680</v>
      </c>
      <c r="H97" s="30">
        <v>7671</v>
      </c>
      <c r="I97" s="30">
        <v>7449</v>
      </c>
      <c r="J97" s="30">
        <v>7477</v>
      </c>
      <c r="K97" s="30">
        <v>7504</v>
      </c>
      <c r="L97" s="30">
        <v>7476</v>
      </c>
      <c r="N97" s="291" t="s">
        <v>4226</v>
      </c>
      <c r="O97" s="4"/>
      <c r="Q97" s="4"/>
    </row>
    <row r="98" spans="1:17">
      <c r="A98" s="291" t="s">
        <v>6965</v>
      </c>
      <c r="B98" s="291" t="s">
        <v>4233</v>
      </c>
      <c r="C98" s="4" t="s">
        <v>9752</v>
      </c>
      <c r="D98" s="294">
        <v>7322</v>
      </c>
      <c r="E98" s="294">
        <v>7113</v>
      </c>
      <c r="F98" s="294">
        <v>7118</v>
      </c>
      <c r="G98" s="30">
        <v>7137</v>
      </c>
      <c r="H98" s="30">
        <v>7512</v>
      </c>
      <c r="I98" s="30">
        <v>7127</v>
      </c>
      <c r="J98" s="30">
        <v>6912</v>
      </c>
      <c r="K98" s="30">
        <v>7226</v>
      </c>
      <c r="L98" s="30">
        <v>7247</v>
      </c>
      <c r="N98" s="291" t="s">
        <v>2551</v>
      </c>
      <c r="O98" s="4"/>
      <c r="Q98" s="4"/>
    </row>
    <row r="99" spans="1:17">
      <c r="A99" s="291" t="s">
        <v>6997</v>
      </c>
      <c r="B99" s="291" t="s">
        <v>5988</v>
      </c>
      <c r="C99" s="4" t="s">
        <v>9753</v>
      </c>
      <c r="D99" s="294">
        <v>7266</v>
      </c>
      <c r="E99" s="294">
        <v>7298</v>
      </c>
      <c r="F99" s="294">
        <v>7372</v>
      </c>
      <c r="G99" s="30">
        <v>7486</v>
      </c>
      <c r="H99" s="30">
        <v>7496</v>
      </c>
      <c r="I99" s="30">
        <v>7190</v>
      </c>
      <c r="J99" s="30">
        <v>7124</v>
      </c>
      <c r="K99" s="30">
        <v>7415</v>
      </c>
      <c r="L99" s="30">
        <v>7418</v>
      </c>
      <c r="N99" s="291" t="s">
        <v>4226</v>
      </c>
      <c r="O99" s="4"/>
      <c r="Q99" s="4"/>
    </row>
    <row r="100" spans="1:17">
      <c r="A100" s="291" t="s">
        <v>6999</v>
      </c>
      <c r="B100" s="291" t="s">
        <v>7893</v>
      </c>
      <c r="C100" s="4" t="s">
        <v>9754</v>
      </c>
      <c r="D100" s="294">
        <v>7215</v>
      </c>
      <c r="E100" s="294">
        <v>6986</v>
      </c>
      <c r="F100" s="294">
        <v>7350</v>
      </c>
      <c r="G100" s="30">
        <v>7242</v>
      </c>
      <c r="H100" s="30">
        <v>7286</v>
      </c>
      <c r="I100" s="30">
        <v>6612</v>
      </c>
      <c r="J100" s="30">
        <v>6684</v>
      </c>
      <c r="K100" s="30">
        <v>6955</v>
      </c>
      <c r="L100" s="30">
        <v>7361</v>
      </c>
      <c r="N100" s="291" t="s">
        <v>2551</v>
      </c>
      <c r="O100" s="4"/>
      <c r="Q100" s="4"/>
    </row>
    <row r="101" spans="1:17">
      <c r="A101" s="291" t="s">
        <v>7001</v>
      </c>
      <c r="B101" s="291" t="s">
        <v>6005</v>
      </c>
      <c r="C101" s="4" t="s">
        <v>9755</v>
      </c>
      <c r="D101" s="300">
        <v>7599</v>
      </c>
      <c r="E101" s="300">
        <v>7575</v>
      </c>
      <c r="F101" s="300">
        <v>7677</v>
      </c>
      <c r="G101" s="30">
        <v>7685</v>
      </c>
      <c r="H101" s="30">
        <v>7822</v>
      </c>
      <c r="I101" s="30">
        <v>7529</v>
      </c>
      <c r="J101" s="30">
        <v>7419</v>
      </c>
      <c r="K101" s="30">
        <v>7567</v>
      </c>
      <c r="L101" s="30">
        <v>7569</v>
      </c>
      <c r="N101" s="291" t="s">
        <v>4226</v>
      </c>
      <c r="O101" s="4"/>
      <c r="Q101" s="4"/>
    </row>
    <row r="102" spans="1:17">
      <c r="A102" s="291" t="s">
        <v>7003</v>
      </c>
      <c r="B102" s="291" t="s">
        <v>6006</v>
      </c>
      <c r="C102" s="4" t="s">
        <v>9756</v>
      </c>
      <c r="D102" s="294">
        <v>7579</v>
      </c>
      <c r="E102" s="294">
        <v>7537</v>
      </c>
      <c r="F102" s="294">
        <v>7545</v>
      </c>
      <c r="G102" s="30">
        <v>7621</v>
      </c>
      <c r="H102" s="30">
        <v>7644</v>
      </c>
      <c r="I102" s="30">
        <v>7326</v>
      </c>
      <c r="J102" s="30">
        <v>7328</v>
      </c>
      <c r="K102" s="30">
        <v>7500</v>
      </c>
      <c r="L102" s="30">
        <v>7648</v>
      </c>
      <c r="N102" s="291" t="s">
        <v>4226</v>
      </c>
      <c r="O102" s="4"/>
      <c r="Q102" s="4"/>
    </row>
    <row r="103" spans="1:17">
      <c r="A103" s="291" t="s">
        <v>7005</v>
      </c>
      <c r="B103" s="291" t="s">
        <v>6785</v>
      </c>
      <c r="C103" s="4" t="s">
        <v>9757</v>
      </c>
      <c r="D103" s="294">
        <v>8042</v>
      </c>
      <c r="E103" s="294">
        <v>8068</v>
      </c>
      <c r="F103" s="294">
        <v>8031</v>
      </c>
      <c r="G103" s="30">
        <v>8095</v>
      </c>
      <c r="H103" s="30">
        <v>8097</v>
      </c>
      <c r="I103" s="30">
        <v>7678</v>
      </c>
      <c r="J103" s="30">
        <v>7711</v>
      </c>
      <c r="K103" s="30">
        <v>7892</v>
      </c>
      <c r="L103" s="30">
        <v>7875</v>
      </c>
      <c r="N103" s="291" t="s">
        <v>2551</v>
      </c>
      <c r="O103" s="4"/>
      <c r="Q103" s="4"/>
    </row>
    <row r="104" spans="1:17">
      <c r="A104" s="291" t="s">
        <v>7007</v>
      </c>
      <c r="B104" s="291" t="s">
        <v>6786</v>
      </c>
      <c r="C104" s="4" t="s">
        <v>9758</v>
      </c>
      <c r="D104" s="294">
        <v>8066</v>
      </c>
      <c r="E104" s="294">
        <v>7942</v>
      </c>
      <c r="F104" s="294">
        <v>8198</v>
      </c>
      <c r="G104" s="30">
        <v>8486</v>
      </c>
      <c r="H104" s="30">
        <v>8619</v>
      </c>
      <c r="I104" s="30">
        <v>8363</v>
      </c>
      <c r="J104" s="30">
        <v>8346</v>
      </c>
      <c r="K104" s="30">
        <v>8590</v>
      </c>
      <c r="L104" s="30">
        <v>8599</v>
      </c>
      <c r="N104" s="291" t="s">
        <v>2551</v>
      </c>
      <c r="O104" s="4"/>
      <c r="Q104" s="4"/>
    </row>
    <row r="105" spans="1:17">
      <c r="A105" s="291" t="s">
        <v>7009</v>
      </c>
      <c r="B105" s="291" t="s">
        <v>3369</v>
      </c>
      <c r="C105" s="4" t="s">
        <v>9759</v>
      </c>
      <c r="D105" s="294">
        <v>7309</v>
      </c>
      <c r="E105" s="294">
        <v>7423</v>
      </c>
      <c r="F105" s="294">
        <v>7541</v>
      </c>
      <c r="G105" s="30">
        <v>7701</v>
      </c>
      <c r="H105" s="30">
        <v>7762</v>
      </c>
      <c r="I105" s="30">
        <v>7473</v>
      </c>
      <c r="J105" s="30">
        <v>7317</v>
      </c>
      <c r="K105" s="30">
        <v>7493</v>
      </c>
      <c r="L105" s="30">
        <v>7494</v>
      </c>
      <c r="N105" s="291" t="s">
        <v>2551</v>
      </c>
      <c r="O105" s="4"/>
      <c r="Q105" s="4"/>
    </row>
    <row r="106" spans="1:17">
      <c r="A106" s="291" t="s">
        <v>7011</v>
      </c>
      <c r="B106" s="291" t="s">
        <v>3370</v>
      </c>
      <c r="C106" s="4" t="s">
        <v>9760</v>
      </c>
      <c r="D106" s="294">
        <v>7347</v>
      </c>
      <c r="E106" s="294">
        <v>7414</v>
      </c>
      <c r="F106" s="294">
        <v>7461</v>
      </c>
      <c r="G106" s="30">
        <v>7507</v>
      </c>
      <c r="H106" s="30">
        <v>7495</v>
      </c>
      <c r="I106" s="30">
        <v>7353</v>
      </c>
      <c r="J106" s="30">
        <v>7244</v>
      </c>
      <c r="K106" s="30">
        <v>7447</v>
      </c>
      <c r="L106" s="30">
        <v>7385</v>
      </c>
      <c r="N106" s="291" t="s">
        <v>2551</v>
      </c>
      <c r="O106" s="4"/>
      <c r="Q106" s="4"/>
    </row>
    <row r="107" spans="1:17">
      <c r="A107" s="303">
        <v>14</v>
      </c>
      <c r="B107" s="291" t="s">
        <v>5932</v>
      </c>
      <c r="C107" s="4" t="s">
        <v>9761</v>
      </c>
      <c r="D107" s="294">
        <v>7300</v>
      </c>
      <c r="E107" s="294">
        <v>7081</v>
      </c>
      <c r="F107" s="294">
        <v>7013</v>
      </c>
      <c r="G107" s="30">
        <v>7233</v>
      </c>
      <c r="H107" s="30">
        <v>7179</v>
      </c>
      <c r="I107" s="30">
        <v>6798</v>
      </c>
      <c r="J107" s="30">
        <v>6666</v>
      </c>
      <c r="K107" s="30">
        <v>6917</v>
      </c>
      <c r="L107" s="30">
        <v>7154</v>
      </c>
      <c r="N107" s="291" t="s">
        <v>2551</v>
      </c>
      <c r="O107" s="4"/>
      <c r="Q107" s="4"/>
    </row>
    <row r="108" spans="1:17">
      <c r="A108" s="303">
        <v>15</v>
      </c>
      <c r="B108" s="291" t="s">
        <v>3371</v>
      </c>
      <c r="C108" s="4" t="s">
        <v>9762</v>
      </c>
      <c r="D108" s="294">
        <v>7393</v>
      </c>
      <c r="E108" s="294">
        <v>7369</v>
      </c>
      <c r="F108" s="294">
        <v>7340</v>
      </c>
      <c r="G108" s="31">
        <v>7374</v>
      </c>
      <c r="H108" s="31">
        <v>7434</v>
      </c>
      <c r="I108" s="31">
        <v>7133</v>
      </c>
      <c r="J108" s="31">
        <v>6956</v>
      </c>
      <c r="K108" s="31">
        <v>7085</v>
      </c>
      <c r="L108" s="31">
        <v>7102</v>
      </c>
      <c r="N108" s="291" t="s">
        <v>4226</v>
      </c>
      <c r="O108" s="4"/>
      <c r="Q108" s="4"/>
    </row>
    <row r="109" spans="1:17">
      <c r="A109" s="303">
        <v>16</v>
      </c>
      <c r="B109" s="291" t="s">
        <v>3372</v>
      </c>
      <c r="C109" s="4" t="s">
        <v>9763</v>
      </c>
      <c r="D109" s="294">
        <v>7069</v>
      </c>
      <c r="E109" s="294">
        <v>7089</v>
      </c>
      <c r="F109" s="294">
        <v>7105</v>
      </c>
      <c r="G109" s="30">
        <v>7189</v>
      </c>
      <c r="H109" s="30">
        <v>7159</v>
      </c>
      <c r="I109" s="31">
        <v>6964</v>
      </c>
      <c r="J109" s="31">
        <v>6947</v>
      </c>
      <c r="K109" s="30">
        <v>7143</v>
      </c>
      <c r="L109" s="30">
        <v>7086</v>
      </c>
      <c r="N109" s="291" t="s">
        <v>4226</v>
      </c>
      <c r="O109" s="4"/>
      <c r="Q109" s="4"/>
    </row>
    <row r="110" spans="1:17">
      <c r="A110" s="303">
        <v>17</v>
      </c>
      <c r="B110" s="291" t="s">
        <v>3373</v>
      </c>
      <c r="C110" s="4" t="s">
        <v>9764</v>
      </c>
      <c r="D110" s="294">
        <v>7451</v>
      </c>
      <c r="E110" s="294">
        <v>7443</v>
      </c>
      <c r="F110" s="294">
        <v>7477</v>
      </c>
      <c r="G110" s="31">
        <v>7647</v>
      </c>
      <c r="H110" s="31">
        <v>7655</v>
      </c>
      <c r="I110" s="30">
        <v>7320</v>
      </c>
      <c r="J110" s="30">
        <v>7218</v>
      </c>
      <c r="K110" s="31">
        <v>7403</v>
      </c>
      <c r="L110" s="31">
        <v>7343</v>
      </c>
      <c r="N110" s="291" t="s">
        <v>2551</v>
      </c>
      <c r="O110" s="4"/>
      <c r="Q110" s="4"/>
    </row>
    <row r="111" spans="1:17">
      <c r="D111" s="296"/>
      <c r="E111" s="296"/>
      <c r="F111" s="296"/>
      <c r="G111" s="296"/>
      <c r="H111" s="296"/>
      <c r="I111" s="296"/>
      <c r="J111" s="296"/>
      <c r="K111" s="296"/>
      <c r="L111" s="296"/>
    </row>
    <row r="112" spans="1:17">
      <c r="A112" s="291" t="s">
        <v>1640</v>
      </c>
      <c r="D112" s="294">
        <f t="shared" ref="D112:I112" si="184">D98+D100+SUM(D103:D107)+D110</f>
        <v>60052</v>
      </c>
      <c r="E112" s="294">
        <f t="shared" si="184"/>
        <v>59470</v>
      </c>
      <c r="F112" s="294">
        <f t="shared" si="184"/>
        <v>60189</v>
      </c>
      <c r="G112" s="294">
        <f t="shared" si="184"/>
        <v>61048</v>
      </c>
      <c r="H112" s="294">
        <f t="shared" si="184"/>
        <v>61605</v>
      </c>
      <c r="I112" s="294">
        <f t="shared" si="184"/>
        <v>58724</v>
      </c>
      <c r="J112" s="294">
        <f t="shared" ref="J112" si="185">J98+J100+SUM(J103:J107)+J110</f>
        <v>58098</v>
      </c>
      <c r="K112" s="294">
        <f t="shared" ref="K112:L112" si="186">K98+K100+SUM(K103:K107)+K110</f>
        <v>59923</v>
      </c>
      <c r="L112" s="294">
        <f t="shared" si="186"/>
        <v>60458</v>
      </c>
    </row>
    <row r="113" spans="1:17">
      <c r="A113" s="291" t="s">
        <v>4226</v>
      </c>
      <c r="D113" s="294">
        <f t="shared" ref="D113:I113" si="187">SUM(D94:D97)+D99+D101+D102+D108+D109</f>
        <v>66965</v>
      </c>
      <c r="E113" s="294">
        <f t="shared" si="187"/>
        <v>66780</v>
      </c>
      <c r="F113" s="294">
        <f t="shared" si="187"/>
        <v>67200</v>
      </c>
      <c r="G113" s="294">
        <f t="shared" si="187"/>
        <v>67654</v>
      </c>
      <c r="H113" s="294">
        <f t="shared" si="187"/>
        <v>68010</v>
      </c>
      <c r="I113" s="294">
        <f t="shared" si="187"/>
        <v>65569</v>
      </c>
      <c r="J113" s="294">
        <f t="shared" ref="J113" si="188">SUM(J94:J97)+J99+J101+J102+J108+J109</f>
        <v>64952</v>
      </c>
      <c r="K113" s="294">
        <f t="shared" ref="K113:L113" si="189">SUM(K94:K97)+K99+K101+K102+K108+K109</f>
        <v>66305</v>
      </c>
      <c r="L113" s="294">
        <f t="shared" si="189"/>
        <v>66480</v>
      </c>
    </row>
    <row r="115" spans="1:17">
      <c r="A115" s="292" t="s">
        <v>1641</v>
      </c>
    </row>
    <row r="118" spans="1:17">
      <c r="E118" s="42" t="s">
        <v>2303</v>
      </c>
      <c r="F118" s="42"/>
      <c r="G118" s="42"/>
      <c r="H118" s="42"/>
      <c r="I118" s="42"/>
      <c r="J118" s="42"/>
      <c r="K118" s="42"/>
      <c r="L118" s="42"/>
      <c r="M118" s="65"/>
      <c r="N118" s="66" t="s">
        <v>13319</v>
      </c>
    </row>
    <row r="119" spans="1:17">
      <c r="D119" s="55">
        <v>2010</v>
      </c>
      <c r="E119" s="55">
        <v>2011</v>
      </c>
      <c r="F119" s="55">
        <v>2012</v>
      </c>
      <c r="G119" s="55">
        <v>2013</v>
      </c>
      <c r="H119" s="55">
        <v>2014</v>
      </c>
      <c r="I119" s="55">
        <v>2015</v>
      </c>
      <c r="J119" s="55">
        <v>2016</v>
      </c>
      <c r="K119" s="55">
        <v>2017</v>
      </c>
      <c r="L119" s="55">
        <v>2018</v>
      </c>
      <c r="N119" s="67" t="s">
        <v>2304</v>
      </c>
    </row>
    <row r="120" spans="1:17">
      <c r="A120" s="291" t="s">
        <v>2508</v>
      </c>
      <c r="D120" s="294">
        <f t="shared" ref="D120:I120" si="190">SUM(D121:D140)</f>
        <v>109569</v>
      </c>
      <c r="E120" s="294">
        <f t="shared" si="190"/>
        <v>109495</v>
      </c>
      <c r="F120" s="294">
        <f t="shared" si="190"/>
        <v>109404</v>
      </c>
      <c r="G120" s="294">
        <f t="shared" si="190"/>
        <v>108998</v>
      </c>
      <c r="H120" s="294">
        <f t="shared" si="190"/>
        <v>108957</v>
      </c>
      <c r="I120" s="294">
        <f t="shared" si="190"/>
        <v>107760</v>
      </c>
      <c r="J120" s="294">
        <f t="shared" ref="J120:K120" si="191">SUM(J121:J140)</f>
        <v>106911</v>
      </c>
      <c r="K120" s="294">
        <f t="shared" si="191"/>
        <v>109252</v>
      </c>
      <c r="L120" s="294">
        <f t="shared" ref="L120" si="192">SUM(L121:L140)</f>
        <v>110304</v>
      </c>
    </row>
    <row r="121" spans="1:17" ht="15" customHeight="1">
      <c r="A121" s="291" t="s">
        <v>6957</v>
      </c>
      <c r="B121" s="291" t="s">
        <v>1642</v>
      </c>
      <c r="C121" s="4" t="s">
        <v>9765</v>
      </c>
      <c r="D121" s="294">
        <v>6361</v>
      </c>
      <c r="E121" s="294">
        <v>6337</v>
      </c>
      <c r="F121" s="294">
        <v>6321</v>
      </c>
      <c r="G121" s="30">
        <v>6218</v>
      </c>
      <c r="H121" s="30">
        <v>6286</v>
      </c>
      <c r="I121" s="30">
        <v>6254</v>
      </c>
      <c r="J121" s="30">
        <v>6386</v>
      </c>
      <c r="K121" s="30">
        <v>6740</v>
      </c>
      <c r="L121" s="30">
        <v>6695</v>
      </c>
      <c r="N121" s="291" t="s">
        <v>4227</v>
      </c>
      <c r="O121" s="4"/>
      <c r="Q121" s="4"/>
    </row>
    <row r="122" spans="1:17" ht="15" customHeight="1">
      <c r="A122" s="291" t="s">
        <v>6959</v>
      </c>
      <c r="B122" s="291" t="s">
        <v>1643</v>
      </c>
      <c r="C122" s="4" t="s">
        <v>9766</v>
      </c>
      <c r="D122" s="294">
        <v>6536</v>
      </c>
      <c r="E122" s="294">
        <v>6563</v>
      </c>
      <c r="F122" s="294">
        <v>6575</v>
      </c>
      <c r="G122" s="30">
        <v>6722</v>
      </c>
      <c r="H122" s="30">
        <v>6684</v>
      </c>
      <c r="I122" s="30">
        <v>6601</v>
      </c>
      <c r="J122" s="30">
        <v>6459</v>
      </c>
      <c r="K122" s="30">
        <v>6620</v>
      </c>
      <c r="L122" s="30">
        <v>6620</v>
      </c>
      <c r="N122" s="291" t="s">
        <v>4227</v>
      </c>
      <c r="O122" s="4"/>
      <c r="Q122" s="4"/>
    </row>
    <row r="123" spans="1:17">
      <c r="A123" s="291" t="s">
        <v>6961</v>
      </c>
      <c r="B123" s="291" t="s">
        <v>1565</v>
      </c>
      <c r="C123" s="4" t="s">
        <v>9767</v>
      </c>
      <c r="D123" s="294">
        <v>7191</v>
      </c>
      <c r="E123" s="294">
        <v>7147</v>
      </c>
      <c r="F123" s="294">
        <v>7156</v>
      </c>
      <c r="G123" s="30">
        <v>7152</v>
      </c>
      <c r="H123" s="30">
        <v>7100</v>
      </c>
      <c r="I123" s="30">
        <v>6986</v>
      </c>
      <c r="J123" s="30">
        <v>6870</v>
      </c>
      <c r="K123" s="30">
        <v>6987</v>
      </c>
      <c r="L123" s="30">
        <v>6953</v>
      </c>
      <c r="N123" s="291" t="s">
        <v>4227</v>
      </c>
      <c r="O123" s="4"/>
      <c r="Q123" s="4"/>
    </row>
    <row r="124" spans="1:17">
      <c r="A124" s="291" t="s">
        <v>6963</v>
      </c>
      <c r="B124" s="20" t="s">
        <v>1566</v>
      </c>
      <c r="C124" s="4" t="s">
        <v>9768</v>
      </c>
      <c r="D124" s="294">
        <v>5263</v>
      </c>
      <c r="E124" s="294">
        <v>5227</v>
      </c>
      <c r="F124" s="294">
        <v>5188</v>
      </c>
      <c r="G124" s="30">
        <v>5060</v>
      </c>
      <c r="H124" s="30">
        <v>5122</v>
      </c>
      <c r="I124" s="30">
        <v>5067</v>
      </c>
      <c r="J124" s="30">
        <v>4994</v>
      </c>
      <c r="K124" s="30">
        <v>5112</v>
      </c>
      <c r="L124" s="30">
        <v>5132</v>
      </c>
      <c r="N124" s="291" t="s">
        <v>4227</v>
      </c>
      <c r="O124" s="4"/>
      <c r="Q124" s="4"/>
    </row>
    <row r="125" spans="1:17">
      <c r="A125" s="291" t="s">
        <v>6965</v>
      </c>
      <c r="B125" s="291" t="s">
        <v>1567</v>
      </c>
      <c r="C125" s="4" t="s">
        <v>9769</v>
      </c>
      <c r="D125" s="294">
        <v>4438</v>
      </c>
      <c r="E125" s="294">
        <v>4485</v>
      </c>
      <c r="F125" s="294">
        <v>4450</v>
      </c>
      <c r="G125" s="30">
        <v>4434</v>
      </c>
      <c r="H125" s="30">
        <v>4378</v>
      </c>
      <c r="I125" s="30">
        <v>4349</v>
      </c>
      <c r="J125" s="30">
        <v>4326</v>
      </c>
      <c r="K125" s="30">
        <v>4452</v>
      </c>
      <c r="L125" s="30">
        <v>4478</v>
      </c>
      <c r="N125" s="291" t="s">
        <v>4224</v>
      </c>
      <c r="O125" s="4"/>
      <c r="Q125" s="4"/>
    </row>
    <row r="126" spans="1:17">
      <c r="A126" s="291" t="s">
        <v>6997</v>
      </c>
      <c r="B126" s="291" t="s">
        <v>1568</v>
      </c>
      <c r="C126" s="4" t="s">
        <v>9770</v>
      </c>
      <c r="D126" s="294">
        <v>4728</v>
      </c>
      <c r="E126" s="294">
        <v>4746</v>
      </c>
      <c r="F126" s="294">
        <v>4708</v>
      </c>
      <c r="G126" s="30">
        <v>4745</v>
      </c>
      <c r="H126" s="30">
        <v>4686</v>
      </c>
      <c r="I126" s="30">
        <v>4630</v>
      </c>
      <c r="J126" s="30">
        <v>4536</v>
      </c>
      <c r="K126" s="30">
        <v>4674</v>
      </c>
      <c r="L126" s="30">
        <v>4849</v>
      </c>
      <c r="N126" s="291" t="s">
        <v>4224</v>
      </c>
      <c r="O126" s="4"/>
      <c r="Q126" s="4"/>
    </row>
    <row r="127" spans="1:17">
      <c r="A127" s="291" t="s">
        <v>6999</v>
      </c>
      <c r="B127" s="291" t="s">
        <v>1569</v>
      </c>
      <c r="C127" s="4" t="s">
        <v>9771</v>
      </c>
      <c r="D127" s="294">
        <v>6870</v>
      </c>
      <c r="E127" s="294">
        <v>6682</v>
      </c>
      <c r="F127" s="294">
        <v>6558</v>
      </c>
      <c r="G127" s="30">
        <v>6543</v>
      </c>
      <c r="H127" s="30">
        <v>6439</v>
      </c>
      <c r="I127" s="30">
        <v>6247</v>
      </c>
      <c r="J127" s="30">
        <v>6129</v>
      </c>
      <c r="K127" s="30">
        <v>6124</v>
      </c>
      <c r="L127" s="30">
        <v>6115</v>
      </c>
      <c r="N127" s="291" t="s">
        <v>4227</v>
      </c>
      <c r="O127" s="4"/>
      <c r="Q127" s="4"/>
    </row>
    <row r="128" spans="1:17">
      <c r="A128" s="291" t="s">
        <v>7001</v>
      </c>
      <c r="B128" s="291" t="s">
        <v>1570</v>
      </c>
      <c r="C128" s="4" t="s">
        <v>9772</v>
      </c>
      <c r="D128" s="294">
        <v>6209</v>
      </c>
      <c r="E128" s="294">
        <v>6122</v>
      </c>
      <c r="F128" s="294">
        <v>6103</v>
      </c>
      <c r="G128" s="30">
        <v>6112</v>
      </c>
      <c r="H128" s="30">
        <v>6046</v>
      </c>
      <c r="I128" s="30">
        <v>5934</v>
      </c>
      <c r="J128" s="30">
        <v>5823</v>
      </c>
      <c r="K128" s="30">
        <v>5911</v>
      </c>
      <c r="L128" s="30">
        <v>5877</v>
      </c>
      <c r="N128" s="291" t="s">
        <v>4227</v>
      </c>
      <c r="O128" s="4"/>
      <c r="Q128" s="4"/>
    </row>
    <row r="129" spans="1:17">
      <c r="A129" s="291" t="s">
        <v>7003</v>
      </c>
      <c r="B129" s="291" t="s">
        <v>1571</v>
      </c>
      <c r="C129" s="4" t="s">
        <v>9773</v>
      </c>
      <c r="D129" s="294">
        <v>4542</v>
      </c>
      <c r="E129" s="294">
        <v>4498</v>
      </c>
      <c r="F129" s="294">
        <v>4524</v>
      </c>
      <c r="G129" s="30">
        <v>4508</v>
      </c>
      <c r="H129" s="30">
        <v>4522</v>
      </c>
      <c r="I129" s="30">
        <v>4519</v>
      </c>
      <c r="J129" s="30">
        <v>4608</v>
      </c>
      <c r="K129" s="30">
        <v>4701</v>
      </c>
      <c r="L129" s="30">
        <v>4919</v>
      </c>
      <c r="N129" s="291" t="s">
        <v>4227</v>
      </c>
      <c r="O129" s="4"/>
      <c r="Q129" s="4"/>
    </row>
    <row r="130" spans="1:17">
      <c r="A130" s="291" t="s">
        <v>7005</v>
      </c>
      <c r="B130" s="291" t="s">
        <v>1572</v>
      </c>
      <c r="C130" s="4" t="s">
        <v>9774</v>
      </c>
      <c r="D130" s="294">
        <v>4397</v>
      </c>
      <c r="E130" s="294">
        <v>4461</v>
      </c>
      <c r="F130" s="294">
        <v>4418</v>
      </c>
      <c r="G130" s="30">
        <v>4419</v>
      </c>
      <c r="H130" s="30">
        <v>4364</v>
      </c>
      <c r="I130" s="30">
        <v>4336</v>
      </c>
      <c r="J130" s="30">
        <v>4290</v>
      </c>
      <c r="K130" s="30">
        <v>4298</v>
      </c>
      <c r="L130" s="30">
        <v>4281</v>
      </c>
      <c r="N130" s="291" t="s">
        <v>4227</v>
      </c>
      <c r="O130" s="4"/>
      <c r="Q130" s="4"/>
    </row>
    <row r="131" spans="1:17">
      <c r="A131" s="291" t="s">
        <v>7007</v>
      </c>
      <c r="B131" s="291" t="s">
        <v>1573</v>
      </c>
      <c r="C131" s="4" t="s">
        <v>9775</v>
      </c>
      <c r="D131" s="294">
        <v>6681</v>
      </c>
      <c r="E131" s="294">
        <v>6726</v>
      </c>
      <c r="F131" s="294">
        <v>6839</v>
      </c>
      <c r="G131" s="30">
        <v>6641</v>
      </c>
      <c r="H131" s="30">
        <v>6812</v>
      </c>
      <c r="I131" s="30">
        <v>6715</v>
      </c>
      <c r="J131" s="30">
        <v>6794</v>
      </c>
      <c r="K131" s="30">
        <v>7094</v>
      </c>
      <c r="L131" s="30">
        <v>7218</v>
      </c>
      <c r="N131" s="291" t="s">
        <v>4227</v>
      </c>
      <c r="O131" s="4"/>
      <c r="Q131" s="4"/>
    </row>
    <row r="132" spans="1:17">
      <c r="A132" s="291" t="s">
        <v>7009</v>
      </c>
      <c r="B132" s="291" t="s">
        <v>1574</v>
      </c>
      <c r="C132" s="4" t="s">
        <v>9776</v>
      </c>
      <c r="D132" s="294">
        <v>4705</v>
      </c>
      <c r="E132" s="294">
        <v>4772</v>
      </c>
      <c r="F132" s="294">
        <v>4745</v>
      </c>
      <c r="G132" s="30">
        <v>4736</v>
      </c>
      <c r="H132" s="30">
        <v>4825</v>
      </c>
      <c r="I132" s="30">
        <v>4857</v>
      </c>
      <c r="J132" s="30">
        <v>4823</v>
      </c>
      <c r="K132" s="30">
        <v>4903</v>
      </c>
      <c r="L132" s="30">
        <v>4960</v>
      </c>
      <c r="N132" s="291" t="s">
        <v>4224</v>
      </c>
      <c r="O132" s="4"/>
      <c r="Q132" s="4"/>
    </row>
    <row r="133" spans="1:17">
      <c r="A133" s="291" t="s">
        <v>7011</v>
      </c>
      <c r="B133" s="291" t="s">
        <v>1575</v>
      </c>
      <c r="C133" s="4" t="s">
        <v>9777</v>
      </c>
      <c r="D133" s="294">
        <v>4613</v>
      </c>
      <c r="E133" s="294">
        <v>4610</v>
      </c>
      <c r="F133" s="294">
        <v>4557</v>
      </c>
      <c r="G133" s="31">
        <v>4493</v>
      </c>
      <c r="H133" s="31">
        <v>4409</v>
      </c>
      <c r="I133" s="31">
        <v>4278</v>
      </c>
      <c r="J133" s="31">
        <v>4251</v>
      </c>
      <c r="K133" s="31">
        <v>4292</v>
      </c>
      <c r="L133" s="31">
        <v>4409</v>
      </c>
      <c r="N133" s="291" t="s">
        <v>4227</v>
      </c>
      <c r="O133" s="4"/>
      <c r="Q133" s="4"/>
    </row>
    <row r="134" spans="1:17">
      <c r="A134" s="291" t="s">
        <v>7013</v>
      </c>
      <c r="B134" s="291" t="s">
        <v>1576</v>
      </c>
      <c r="C134" s="4" t="s">
        <v>9778</v>
      </c>
      <c r="D134" s="294">
        <v>6494</v>
      </c>
      <c r="E134" s="294">
        <v>6476</v>
      </c>
      <c r="F134" s="294">
        <v>6550</v>
      </c>
      <c r="G134" s="30">
        <v>6515</v>
      </c>
      <c r="H134" s="30">
        <v>6415</v>
      </c>
      <c r="I134" s="30">
        <v>6359</v>
      </c>
      <c r="J134" s="30">
        <v>6307</v>
      </c>
      <c r="K134" s="30">
        <v>6410</v>
      </c>
      <c r="L134" s="30">
        <v>6436</v>
      </c>
      <c r="N134" s="291" t="s">
        <v>4224</v>
      </c>
      <c r="O134" s="4"/>
      <c r="Q134" s="4"/>
    </row>
    <row r="135" spans="1:17">
      <c r="A135" s="291" t="s">
        <v>7015</v>
      </c>
      <c r="B135" s="291" t="s">
        <v>1577</v>
      </c>
      <c r="C135" s="4" t="s">
        <v>9779</v>
      </c>
      <c r="D135" s="294">
        <v>4816</v>
      </c>
      <c r="E135" s="294">
        <v>4682</v>
      </c>
      <c r="F135" s="294">
        <v>4732</v>
      </c>
      <c r="G135" s="30">
        <v>4668</v>
      </c>
      <c r="H135" s="30">
        <v>4591</v>
      </c>
      <c r="I135" s="30">
        <v>4558</v>
      </c>
      <c r="J135" s="30">
        <v>4550</v>
      </c>
      <c r="K135" s="30">
        <v>4811</v>
      </c>
      <c r="L135" s="30">
        <v>5223</v>
      </c>
      <c r="N135" s="291" t="s">
        <v>4224</v>
      </c>
      <c r="O135" s="4"/>
      <c r="Q135" s="4"/>
    </row>
    <row r="136" spans="1:17">
      <c r="A136" s="291" t="s">
        <v>7017</v>
      </c>
      <c r="B136" s="291" t="s">
        <v>1578</v>
      </c>
      <c r="C136" s="4" t="s">
        <v>9780</v>
      </c>
      <c r="D136" s="294">
        <v>4813</v>
      </c>
      <c r="E136" s="294">
        <v>4850</v>
      </c>
      <c r="F136" s="294">
        <v>4848</v>
      </c>
      <c r="G136" s="31">
        <v>4856</v>
      </c>
      <c r="H136" s="31">
        <v>5031</v>
      </c>
      <c r="I136" s="31">
        <v>5006</v>
      </c>
      <c r="J136" s="31">
        <v>4996</v>
      </c>
      <c r="K136" s="31">
        <v>5055</v>
      </c>
      <c r="L136" s="31">
        <v>5050</v>
      </c>
      <c r="N136" s="291" t="s">
        <v>4227</v>
      </c>
      <c r="O136" s="4"/>
      <c r="Q136" s="4"/>
    </row>
    <row r="137" spans="1:17">
      <c r="A137" s="291" t="s">
        <v>7019</v>
      </c>
      <c r="B137" s="291" t="s">
        <v>1579</v>
      </c>
      <c r="C137" s="4" t="s">
        <v>9781</v>
      </c>
      <c r="D137" s="294">
        <v>6665</v>
      </c>
      <c r="E137" s="294">
        <v>6667</v>
      </c>
      <c r="F137" s="294">
        <v>6679</v>
      </c>
      <c r="G137" s="30">
        <v>6693</v>
      </c>
      <c r="H137" s="30">
        <v>6602</v>
      </c>
      <c r="I137" s="30">
        <v>6552</v>
      </c>
      <c r="J137" s="30">
        <v>6434</v>
      </c>
      <c r="K137" s="30">
        <v>6577</v>
      </c>
      <c r="L137" s="30">
        <v>6570</v>
      </c>
      <c r="N137" s="291" t="s">
        <v>4224</v>
      </c>
      <c r="O137" s="4"/>
      <c r="Q137" s="4"/>
    </row>
    <row r="138" spans="1:17">
      <c r="A138" s="291" t="s">
        <v>7021</v>
      </c>
      <c r="B138" s="291" t="s">
        <v>2400</v>
      </c>
      <c r="C138" s="4" t="s">
        <v>9782</v>
      </c>
      <c r="D138" s="294">
        <v>4239</v>
      </c>
      <c r="E138" s="294">
        <v>4298</v>
      </c>
      <c r="F138" s="294">
        <v>4274</v>
      </c>
      <c r="G138" s="31">
        <v>4239</v>
      </c>
      <c r="H138" s="31">
        <v>3987</v>
      </c>
      <c r="I138" s="31">
        <v>4019</v>
      </c>
      <c r="J138" s="31">
        <v>4022</v>
      </c>
      <c r="K138" s="31">
        <v>4079</v>
      </c>
      <c r="L138" s="31">
        <v>4118</v>
      </c>
      <c r="N138" s="291" t="s">
        <v>4227</v>
      </c>
      <c r="O138" s="4"/>
      <c r="Q138" s="4"/>
    </row>
    <row r="139" spans="1:17">
      <c r="A139" s="291" t="s">
        <v>7023</v>
      </c>
      <c r="B139" s="291" t="s">
        <v>2401</v>
      </c>
      <c r="C139" s="4" t="s">
        <v>9783</v>
      </c>
      <c r="D139" s="294">
        <v>4143</v>
      </c>
      <c r="E139" s="294">
        <v>4172</v>
      </c>
      <c r="F139" s="294">
        <v>4236</v>
      </c>
      <c r="G139" s="31">
        <v>4150</v>
      </c>
      <c r="H139" s="31">
        <v>4066</v>
      </c>
      <c r="I139" s="31">
        <v>3954</v>
      </c>
      <c r="J139" s="31">
        <v>3811</v>
      </c>
      <c r="K139" s="31">
        <v>3863</v>
      </c>
      <c r="L139" s="31">
        <v>3932</v>
      </c>
      <c r="N139" s="291" t="s">
        <v>4227</v>
      </c>
      <c r="O139" s="4"/>
      <c r="Q139" s="4"/>
    </row>
    <row r="140" spans="1:17">
      <c r="A140" s="291" t="s">
        <v>7025</v>
      </c>
      <c r="B140" s="291" t="s">
        <v>2402</v>
      </c>
      <c r="C140" s="4" t="s">
        <v>9784</v>
      </c>
      <c r="D140" s="294">
        <v>5865</v>
      </c>
      <c r="E140" s="294">
        <v>5974</v>
      </c>
      <c r="F140" s="294">
        <v>5943</v>
      </c>
      <c r="G140" s="31">
        <v>6094</v>
      </c>
      <c r="H140" s="31">
        <v>6592</v>
      </c>
      <c r="I140" s="31">
        <v>6539</v>
      </c>
      <c r="J140" s="31">
        <v>6502</v>
      </c>
      <c r="K140" s="31">
        <v>6549</v>
      </c>
      <c r="L140" s="31">
        <v>6469</v>
      </c>
      <c r="N140" s="291" t="s">
        <v>4227</v>
      </c>
      <c r="O140" s="4"/>
      <c r="Q140" s="4"/>
    </row>
    <row r="141" spans="1:17">
      <c r="A141" s="291"/>
      <c r="D141" s="296"/>
      <c r="E141" s="296"/>
      <c r="F141" s="296"/>
      <c r="G141" s="296"/>
      <c r="H141" s="296"/>
      <c r="I141" s="296"/>
      <c r="J141" s="296"/>
      <c r="K141" s="296"/>
      <c r="L141" s="296"/>
    </row>
    <row r="142" spans="1:17">
      <c r="A142" s="291" t="s">
        <v>2403</v>
      </c>
      <c r="D142" s="294">
        <f t="shared" ref="D142:I142" si="193">D125+D126+D132+D134+D135+D137</f>
        <v>31846</v>
      </c>
      <c r="E142" s="294">
        <f t="shared" si="193"/>
        <v>31828</v>
      </c>
      <c r="F142" s="294">
        <f t="shared" si="193"/>
        <v>31864</v>
      </c>
      <c r="G142" s="294">
        <f t="shared" si="193"/>
        <v>31791</v>
      </c>
      <c r="H142" s="294">
        <f t="shared" si="193"/>
        <v>31497</v>
      </c>
      <c r="I142" s="294">
        <f t="shared" si="193"/>
        <v>31305</v>
      </c>
      <c r="J142" s="294">
        <f t="shared" ref="J142:K142" si="194">J125+J126+J132+J134+J135+J137</f>
        <v>30976</v>
      </c>
      <c r="K142" s="294">
        <f t="shared" si="194"/>
        <v>31827</v>
      </c>
      <c r="L142" s="294">
        <f t="shared" ref="L142" si="195">L125+L126+L132+L134+L135+L137</f>
        <v>32516</v>
      </c>
    </row>
    <row r="143" spans="1:17">
      <c r="A143" s="291" t="s">
        <v>4227</v>
      </c>
      <c r="D143" s="294">
        <f t="shared" ref="D143:I143" si="196">SUM(D121:D124)+SUM(D127:D131)+D133+D136+SUM(D138:D140)</f>
        <v>77723</v>
      </c>
      <c r="E143" s="294">
        <f t="shared" si="196"/>
        <v>77667</v>
      </c>
      <c r="F143" s="294">
        <f t="shared" si="196"/>
        <v>77540</v>
      </c>
      <c r="G143" s="294">
        <f t="shared" si="196"/>
        <v>77207</v>
      </c>
      <c r="H143" s="294">
        <f t="shared" si="196"/>
        <v>77460</v>
      </c>
      <c r="I143" s="294">
        <f t="shared" si="196"/>
        <v>76455</v>
      </c>
      <c r="J143" s="294">
        <f t="shared" ref="J143:K143" si="197">SUM(J121:J124)+SUM(J127:J131)+J133+J136+SUM(J138:J140)</f>
        <v>75935</v>
      </c>
      <c r="K143" s="294">
        <f t="shared" si="197"/>
        <v>77425</v>
      </c>
      <c r="L143" s="294">
        <f t="shared" ref="L143" si="198">SUM(L121:L124)+SUM(L127:L131)+L133+L136+SUM(L138:L140)</f>
        <v>77788</v>
      </c>
    </row>
    <row r="145" spans="1:17">
      <c r="A145" s="292" t="s">
        <v>2404</v>
      </c>
    </row>
    <row r="148" spans="1:17">
      <c r="E148" s="42" t="s">
        <v>2303</v>
      </c>
      <c r="F148" s="42"/>
      <c r="G148" s="42"/>
      <c r="H148" s="42"/>
      <c r="I148" s="42"/>
      <c r="J148" s="42"/>
      <c r="K148" s="42"/>
      <c r="L148" s="42"/>
      <c r="M148" s="65"/>
      <c r="N148" s="66" t="s">
        <v>13319</v>
      </c>
    </row>
    <row r="149" spans="1:17">
      <c r="D149" s="55">
        <v>2010</v>
      </c>
      <c r="E149" s="55">
        <v>2011</v>
      </c>
      <c r="F149" s="55">
        <v>2012</v>
      </c>
      <c r="G149" s="55">
        <v>2013</v>
      </c>
      <c r="H149" s="55">
        <v>2014</v>
      </c>
      <c r="I149" s="55">
        <v>2015</v>
      </c>
      <c r="J149" s="55">
        <v>2016</v>
      </c>
      <c r="K149" s="55">
        <v>2017</v>
      </c>
      <c r="L149" s="55">
        <v>2018</v>
      </c>
      <c r="N149" s="67" t="s">
        <v>2304</v>
      </c>
    </row>
    <row r="150" spans="1:17">
      <c r="A150" s="291" t="s">
        <v>1206</v>
      </c>
      <c r="D150" s="294">
        <f t="shared" ref="D150:I150" si="199">SUM(D151:D166)</f>
        <v>127760</v>
      </c>
      <c r="E150" s="294">
        <f t="shared" si="199"/>
        <v>127981</v>
      </c>
      <c r="F150" s="294">
        <f t="shared" si="199"/>
        <v>128749</v>
      </c>
      <c r="G150" s="294">
        <f t="shared" si="199"/>
        <v>131062</v>
      </c>
      <c r="H150" s="294">
        <f t="shared" si="199"/>
        <v>131592</v>
      </c>
      <c r="I150" s="294">
        <f t="shared" si="199"/>
        <v>132163</v>
      </c>
      <c r="J150" s="294">
        <f t="shared" ref="J150:K150" si="200">SUM(J151:J166)</f>
        <v>126526</v>
      </c>
      <c r="K150" s="294">
        <f t="shared" si="200"/>
        <v>131494</v>
      </c>
      <c r="L150" s="294">
        <f t="shared" ref="L150" si="201">SUM(L151:L166)</f>
        <v>134416</v>
      </c>
    </row>
    <row r="151" spans="1:17">
      <c r="A151" s="291" t="s">
        <v>6957</v>
      </c>
      <c r="B151" s="291" t="s">
        <v>2405</v>
      </c>
      <c r="C151" s="4" t="s">
        <v>10329</v>
      </c>
      <c r="D151" s="294">
        <v>9082</v>
      </c>
      <c r="E151" s="294">
        <v>9170</v>
      </c>
      <c r="F151" s="294">
        <v>9124</v>
      </c>
      <c r="G151" s="30">
        <v>9245</v>
      </c>
      <c r="H151" s="30">
        <v>9286</v>
      </c>
      <c r="I151" s="30">
        <v>9285</v>
      </c>
      <c r="J151" s="30">
        <v>9061</v>
      </c>
      <c r="K151" s="30">
        <v>9305</v>
      </c>
      <c r="L151" s="30">
        <v>9356</v>
      </c>
      <c r="N151" s="291" t="s">
        <v>2532</v>
      </c>
      <c r="Q151" s="4"/>
    </row>
    <row r="152" spans="1:17" ht="15" customHeight="1">
      <c r="A152" s="291" t="s">
        <v>6959</v>
      </c>
      <c r="B152" s="291" t="s">
        <v>2406</v>
      </c>
      <c r="C152" s="4" t="s">
        <v>10330</v>
      </c>
      <c r="D152" s="294">
        <v>9348</v>
      </c>
      <c r="E152" s="294">
        <v>9338</v>
      </c>
      <c r="F152" s="294">
        <v>9375</v>
      </c>
      <c r="G152" s="30">
        <v>9367</v>
      </c>
      <c r="H152" s="30">
        <v>9366</v>
      </c>
      <c r="I152" s="30">
        <v>9387</v>
      </c>
      <c r="J152" s="30">
        <v>9134</v>
      </c>
      <c r="K152" s="30">
        <v>9353</v>
      </c>
      <c r="L152" s="30">
        <v>9472</v>
      </c>
      <c r="N152" s="291" t="s">
        <v>2532</v>
      </c>
      <c r="Q152" s="4"/>
    </row>
    <row r="153" spans="1:17">
      <c r="A153" s="291" t="s">
        <v>6961</v>
      </c>
      <c r="B153" s="291" t="s">
        <v>2407</v>
      </c>
      <c r="C153" s="4" t="s">
        <v>10331</v>
      </c>
      <c r="D153" s="294">
        <v>8438</v>
      </c>
      <c r="E153" s="294">
        <v>8482</v>
      </c>
      <c r="F153" s="294">
        <v>8571</v>
      </c>
      <c r="G153" s="30">
        <v>8636</v>
      </c>
      <c r="H153" s="30">
        <v>8578</v>
      </c>
      <c r="I153" s="30">
        <v>8590</v>
      </c>
      <c r="J153" s="30">
        <v>8430</v>
      </c>
      <c r="K153" s="30">
        <v>8609</v>
      </c>
      <c r="L153" s="30">
        <v>8653</v>
      </c>
      <c r="N153" s="291" t="s">
        <v>2532</v>
      </c>
      <c r="Q153" s="4"/>
    </row>
    <row r="154" spans="1:17" ht="15" customHeight="1">
      <c r="A154" s="291" t="s">
        <v>6963</v>
      </c>
      <c r="B154" s="291" t="s">
        <v>2408</v>
      </c>
      <c r="C154" s="4" t="s">
        <v>10332</v>
      </c>
      <c r="D154" s="294">
        <v>6376</v>
      </c>
      <c r="E154" s="294">
        <v>6367</v>
      </c>
      <c r="F154" s="294">
        <v>6334</v>
      </c>
      <c r="G154" s="30">
        <v>6379</v>
      </c>
      <c r="H154" s="30">
        <v>6336</v>
      </c>
      <c r="I154" s="30">
        <v>6412</v>
      </c>
      <c r="J154" s="30">
        <v>6035</v>
      </c>
      <c r="K154" s="30">
        <v>6431</v>
      </c>
      <c r="L154" s="30">
        <v>6524</v>
      </c>
      <c r="N154" s="291" t="s">
        <v>2532</v>
      </c>
      <c r="Q154" s="4"/>
    </row>
    <row r="155" spans="1:17" ht="15" customHeight="1">
      <c r="A155" s="291" t="s">
        <v>6965</v>
      </c>
      <c r="B155" s="291" t="s">
        <v>2409</v>
      </c>
      <c r="C155" s="4" t="s">
        <v>10333</v>
      </c>
      <c r="D155" s="294">
        <v>9239</v>
      </c>
      <c r="E155" s="294">
        <v>9261</v>
      </c>
      <c r="F155" s="294">
        <v>9435</v>
      </c>
      <c r="G155" s="30">
        <v>9609</v>
      </c>
      <c r="H155" s="30">
        <v>9702</v>
      </c>
      <c r="I155" s="30">
        <v>9736</v>
      </c>
      <c r="J155" s="30">
        <v>9123</v>
      </c>
      <c r="K155" s="30">
        <v>9778</v>
      </c>
      <c r="L155" s="30">
        <v>10004</v>
      </c>
      <c r="N155" s="291" t="s">
        <v>2532</v>
      </c>
      <c r="Q155" s="4"/>
    </row>
    <row r="156" spans="1:17">
      <c r="A156" s="291" t="s">
        <v>6997</v>
      </c>
      <c r="B156" s="291" t="s">
        <v>1612</v>
      </c>
      <c r="C156" s="4" t="s">
        <v>10334</v>
      </c>
      <c r="D156" s="294">
        <v>8298</v>
      </c>
      <c r="E156" s="294">
        <v>8252</v>
      </c>
      <c r="F156" s="294">
        <v>8482</v>
      </c>
      <c r="G156" s="30">
        <v>8811</v>
      </c>
      <c r="H156" s="30">
        <v>8963</v>
      </c>
      <c r="I156" s="30">
        <v>8986</v>
      </c>
      <c r="J156" s="30">
        <v>8597</v>
      </c>
      <c r="K156" s="30">
        <v>9194</v>
      </c>
      <c r="L156" s="30">
        <v>9509</v>
      </c>
      <c r="N156" s="291" t="s">
        <v>2532</v>
      </c>
      <c r="Q156" s="4"/>
    </row>
    <row r="157" spans="1:17">
      <c r="A157" s="291" t="s">
        <v>6999</v>
      </c>
      <c r="B157" s="291" t="s">
        <v>1613</v>
      </c>
      <c r="C157" s="4" t="s">
        <v>10335</v>
      </c>
      <c r="D157" s="294">
        <v>6898</v>
      </c>
      <c r="E157" s="294">
        <v>6900</v>
      </c>
      <c r="F157" s="294">
        <v>6844</v>
      </c>
      <c r="G157" s="30">
        <v>6997</v>
      </c>
      <c r="H157" s="30">
        <v>6980</v>
      </c>
      <c r="I157" s="30">
        <v>6984</v>
      </c>
      <c r="J157" s="30">
        <v>6814</v>
      </c>
      <c r="K157" s="30">
        <v>6888</v>
      </c>
      <c r="L157" s="30">
        <v>6894</v>
      </c>
      <c r="N157" s="291" t="s">
        <v>4224</v>
      </c>
      <c r="Q157" s="4"/>
    </row>
    <row r="158" spans="1:17">
      <c r="A158" s="291" t="s">
        <v>7001</v>
      </c>
      <c r="B158" s="291" t="s">
        <v>1614</v>
      </c>
      <c r="C158" s="4" t="s">
        <v>10336</v>
      </c>
      <c r="D158" s="294">
        <v>8727</v>
      </c>
      <c r="E158" s="294">
        <v>8705</v>
      </c>
      <c r="F158" s="294">
        <v>8791</v>
      </c>
      <c r="G158" s="30">
        <v>9155</v>
      </c>
      <c r="H158" s="30">
        <v>9284</v>
      </c>
      <c r="I158" s="30">
        <v>9354</v>
      </c>
      <c r="J158" s="30">
        <v>8775</v>
      </c>
      <c r="K158" s="30">
        <v>9206</v>
      </c>
      <c r="L158" s="30">
        <v>9551</v>
      </c>
      <c r="N158" s="291" t="s">
        <v>2532</v>
      </c>
      <c r="Q158" s="4"/>
    </row>
    <row r="159" spans="1:17">
      <c r="A159" s="291" t="s">
        <v>7003</v>
      </c>
      <c r="B159" s="291" t="s">
        <v>1615</v>
      </c>
      <c r="C159" s="4" t="s">
        <v>10337</v>
      </c>
      <c r="D159" s="294">
        <v>8823</v>
      </c>
      <c r="E159" s="294">
        <v>8748</v>
      </c>
      <c r="F159" s="294">
        <v>8845</v>
      </c>
      <c r="G159" s="30">
        <v>9062</v>
      </c>
      <c r="H159" s="30">
        <v>8935</v>
      </c>
      <c r="I159" s="30">
        <v>9012</v>
      </c>
      <c r="J159" s="30">
        <v>8486</v>
      </c>
      <c r="K159" s="30">
        <v>8945</v>
      </c>
      <c r="L159" s="30">
        <v>9381</v>
      </c>
      <c r="N159" s="291" t="s">
        <v>4224</v>
      </c>
      <c r="Q159" s="4"/>
    </row>
    <row r="160" spans="1:17">
      <c r="A160" s="291" t="s">
        <v>7005</v>
      </c>
      <c r="B160" s="291" t="s">
        <v>1616</v>
      </c>
      <c r="C160" s="4" t="s">
        <v>10338</v>
      </c>
      <c r="D160" s="294">
        <v>9182</v>
      </c>
      <c r="E160" s="294">
        <v>9136</v>
      </c>
      <c r="F160" s="294">
        <v>9081</v>
      </c>
      <c r="G160" s="30">
        <v>9196</v>
      </c>
      <c r="H160" s="30">
        <v>9233</v>
      </c>
      <c r="I160" s="30">
        <v>9256</v>
      </c>
      <c r="J160" s="30">
        <v>8900</v>
      </c>
      <c r="K160" s="30">
        <v>8929</v>
      </c>
      <c r="L160" s="30">
        <v>9161</v>
      </c>
      <c r="N160" s="291" t="s">
        <v>4224</v>
      </c>
      <c r="Q160" s="4"/>
    </row>
    <row r="161" spans="1:17">
      <c r="A161" s="291" t="s">
        <v>7007</v>
      </c>
      <c r="B161" s="291" t="s">
        <v>1617</v>
      </c>
      <c r="C161" s="4" t="s">
        <v>10339</v>
      </c>
      <c r="D161" s="294">
        <v>8483</v>
      </c>
      <c r="E161" s="294">
        <v>8457</v>
      </c>
      <c r="F161" s="294">
        <v>8497</v>
      </c>
      <c r="G161" s="30">
        <v>8727</v>
      </c>
      <c r="H161" s="30">
        <v>8875</v>
      </c>
      <c r="I161" s="30">
        <v>8909</v>
      </c>
      <c r="J161" s="30">
        <v>8469</v>
      </c>
      <c r="K161" s="30">
        <v>8695</v>
      </c>
      <c r="L161" s="30">
        <v>8908</v>
      </c>
      <c r="N161" s="291" t="s">
        <v>4224</v>
      </c>
      <c r="Q161" s="4"/>
    </row>
    <row r="162" spans="1:17">
      <c r="A162" s="291" t="s">
        <v>7009</v>
      </c>
      <c r="B162" s="291" t="s">
        <v>1618</v>
      </c>
      <c r="C162" s="4" t="s">
        <v>10340</v>
      </c>
      <c r="D162" s="294">
        <v>5794</v>
      </c>
      <c r="E162" s="294">
        <v>5798</v>
      </c>
      <c r="F162" s="294">
        <v>5798</v>
      </c>
      <c r="G162" s="30">
        <v>5884</v>
      </c>
      <c r="H162" s="30">
        <v>5989</v>
      </c>
      <c r="I162" s="30">
        <v>6034</v>
      </c>
      <c r="J162" s="30">
        <v>5730</v>
      </c>
      <c r="K162" s="30">
        <v>6022</v>
      </c>
      <c r="L162" s="30">
        <v>6205</v>
      </c>
      <c r="N162" s="291" t="s">
        <v>2532</v>
      </c>
      <c r="Q162" s="4"/>
    </row>
    <row r="163" spans="1:17">
      <c r="A163" s="291" t="s">
        <v>7011</v>
      </c>
      <c r="B163" s="291" t="s">
        <v>1619</v>
      </c>
      <c r="C163" s="4" t="s">
        <v>10341</v>
      </c>
      <c r="D163" s="294">
        <v>6715</v>
      </c>
      <c r="E163" s="294">
        <v>6750</v>
      </c>
      <c r="F163" s="294">
        <v>6766</v>
      </c>
      <c r="G163" s="31">
        <v>6825</v>
      </c>
      <c r="H163" s="31">
        <v>6885</v>
      </c>
      <c r="I163" s="31">
        <v>6913</v>
      </c>
      <c r="J163" s="31">
        <v>6547</v>
      </c>
      <c r="K163" s="31">
        <v>6604</v>
      </c>
      <c r="L163" s="31">
        <v>6757</v>
      </c>
      <c r="N163" s="291" t="s">
        <v>4224</v>
      </c>
      <c r="Q163" s="4"/>
    </row>
    <row r="164" spans="1:17">
      <c r="A164" s="304">
        <v>14</v>
      </c>
      <c r="B164" s="291" t="s">
        <v>3307</v>
      </c>
      <c r="C164" s="4" t="s">
        <v>10342</v>
      </c>
      <c r="D164" s="294">
        <v>6117</v>
      </c>
      <c r="E164" s="294">
        <v>6198</v>
      </c>
      <c r="F164" s="294">
        <v>6251</v>
      </c>
      <c r="G164" s="30">
        <v>6324</v>
      </c>
      <c r="H164" s="30">
        <v>6312</v>
      </c>
      <c r="I164" s="30">
        <v>6308</v>
      </c>
      <c r="J164" s="30">
        <v>6160</v>
      </c>
      <c r="K164" s="30">
        <v>6308</v>
      </c>
      <c r="L164" s="30">
        <v>6438</v>
      </c>
      <c r="N164" s="291" t="s">
        <v>2567</v>
      </c>
      <c r="Q164" s="4"/>
    </row>
    <row r="165" spans="1:17">
      <c r="A165" s="304">
        <v>15</v>
      </c>
      <c r="B165" s="291" t="s">
        <v>5159</v>
      </c>
      <c r="C165" s="4" t="s">
        <v>10343</v>
      </c>
      <c r="D165" s="294">
        <v>9407</v>
      </c>
      <c r="E165" s="294">
        <v>9532</v>
      </c>
      <c r="F165" s="294">
        <v>9588</v>
      </c>
      <c r="G165" s="30">
        <v>9786</v>
      </c>
      <c r="H165" s="30">
        <v>9843</v>
      </c>
      <c r="I165" s="30">
        <v>9918</v>
      </c>
      <c r="J165" s="30">
        <v>9487</v>
      </c>
      <c r="K165" s="30">
        <v>10126</v>
      </c>
      <c r="L165" s="30">
        <v>10339</v>
      </c>
      <c r="N165" s="291" t="s">
        <v>2567</v>
      </c>
      <c r="Q165" s="4"/>
    </row>
    <row r="166" spans="1:17">
      <c r="A166" s="304">
        <v>16</v>
      </c>
      <c r="B166" s="291" t="s">
        <v>5160</v>
      </c>
      <c r="C166" s="4" t="s">
        <v>10344</v>
      </c>
      <c r="D166" s="294">
        <v>6833</v>
      </c>
      <c r="E166" s="294">
        <v>6887</v>
      </c>
      <c r="F166" s="294">
        <v>6967</v>
      </c>
      <c r="G166" s="30">
        <v>7059</v>
      </c>
      <c r="H166" s="30">
        <v>7025</v>
      </c>
      <c r="I166" s="30">
        <v>7079</v>
      </c>
      <c r="J166" s="30">
        <v>6778</v>
      </c>
      <c r="K166" s="30">
        <v>7101</v>
      </c>
      <c r="L166" s="30">
        <v>7264</v>
      </c>
      <c r="N166" s="291" t="s">
        <v>2567</v>
      </c>
      <c r="Q166" s="4"/>
    </row>
    <row r="167" spans="1:17">
      <c r="D167" s="296"/>
      <c r="E167" s="296"/>
      <c r="F167" s="296"/>
      <c r="G167" s="296"/>
      <c r="H167" s="296"/>
      <c r="I167" s="296"/>
      <c r="J167" s="296"/>
      <c r="K167" s="296"/>
      <c r="L167" s="296"/>
    </row>
    <row r="168" spans="1:17">
      <c r="A168" s="291" t="s">
        <v>2532</v>
      </c>
      <c r="D168" s="294">
        <f t="shared" ref="D168:I168" si="202">SUM(D151:D156)+D158+D162</f>
        <v>65302</v>
      </c>
      <c r="E168" s="294">
        <f t="shared" si="202"/>
        <v>65373</v>
      </c>
      <c r="F168" s="294">
        <f t="shared" si="202"/>
        <v>65910</v>
      </c>
      <c r="G168" s="294">
        <f t="shared" si="202"/>
        <v>67086</v>
      </c>
      <c r="H168" s="294">
        <f t="shared" si="202"/>
        <v>67504</v>
      </c>
      <c r="I168" s="294">
        <f t="shared" si="202"/>
        <v>67784</v>
      </c>
      <c r="J168" s="294">
        <f t="shared" ref="J168:K168" si="203">SUM(J151:J156)+J158+J162</f>
        <v>64885</v>
      </c>
      <c r="K168" s="294">
        <f t="shared" si="203"/>
        <v>67898</v>
      </c>
      <c r="L168" s="294">
        <f t="shared" ref="L168" si="204">SUM(L151:L156)+L158+L162</f>
        <v>69274</v>
      </c>
    </row>
    <row r="169" spans="1:17">
      <c r="A169" s="291" t="s">
        <v>5161</v>
      </c>
      <c r="D169" s="294">
        <f t="shared" ref="D169:I169" si="205">SUM(D164:D166)</f>
        <v>22357</v>
      </c>
      <c r="E169" s="294">
        <f t="shared" si="205"/>
        <v>22617</v>
      </c>
      <c r="F169" s="294">
        <f t="shared" si="205"/>
        <v>22806</v>
      </c>
      <c r="G169" s="294">
        <f t="shared" si="205"/>
        <v>23169</v>
      </c>
      <c r="H169" s="294">
        <f t="shared" si="205"/>
        <v>23180</v>
      </c>
      <c r="I169" s="294">
        <f t="shared" si="205"/>
        <v>23305</v>
      </c>
      <c r="J169" s="294">
        <f t="shared" ref="J169:K169" si="206">SUM(J164:J166)</f>
        <v>22425</v>
      </c>
      <c r="K169" s="294">
        <f t="shared" si="206"/>
        <v>23535</v>
      </c>
      <c r="L169" s="294">
        <f t="shared" ref="L169" si="207">SUM(L164:L166)</f>
        <v>24041</v>
      </c>
    </row>
    <row r="170" spans="1:17">
      <c r="A170" s="291" t="s">
        <v>2403</v>
      </c>
      <c r="D170" s="294">
        <f t="shared" ref="D170:I170" si="208">D157+SUM(D159:D161)+D163</f>
        <v>40101</v>
      </c>
      <c r="E170" s="294">
        <f t="shared" si="208"/>
        <v>39991</v>
      </c>
      <c r="F170" s="294">
        <f t="shared" si="208"/>
        <v>40033</v>
      </c>
      <c r="G170" s="294">
        <f t="shared" si="208"/>
        <v>40807</v>
      </c>
      <c r="H170" s="294">
        <f t="shared" si="208"/>
        <v>40908</v>
      </c>
      <c r="I170" s="294">
        <f t="shared" si="208"/>
        <v>41074</v>
      </c>
      <c r="J170" s="294">
        <f t="shared" ref="J170:K170" si="209">J157+SUM(J159:J161)+J163</f>
        <v>39216</v>
      </c>
      <c r="K170" s="294">
        <f t="shared" si="209"/>
        <v>40061</v>
      </c>
      <c r="L170" s="294">
        <f t="shared" ref="L170" si="210">L157+SUM(L159:L161)+L163</f>
        <v>41101</v>
      </c>
    </row>
    <row r="171" spans="1:17">
      <c r="A171" s="291"/>
      <c r="D171" s="294"/>
      <c r="E171" s="294"/>
      <c r="F171" s="294"/>
      <c r="G171" s="294"/>
      <c r="H171" s="294"/>
      <c r="I171" s="294"/>
      <c r="J171" s="294"/>
      <c r="K171" s="294"/>
      <c r="L171" s="294"/>
    </row>
    <row r="172" spans="1:17">
      <c r="A172" s="291" t="s">
        <v>1702</v>
      </c>
      <c r="D172" s="294"/>
      <c r="E172" s="294"/>
      <c r="F172" s="294"/>
      <c r="G172" s="294"/>
      <c r="H172" s="294"/>
      <c r="I172" s="294"/>
      <c r="J172" s="294"/>
      <c r="K172" s="294"/>
      <c r="L172" s="294"/>
    </row>
    <row r="173" spans="1:17">
      <c r="A173" s="291" t="s">
        <v>12834</v>
      </c>
      <c r="D173" s="294"/>
      <c r="E173" s="294"/>
      <c r="F173" s="294"/>
      <c r="G173" s="294"/>
      <c r="H173" s="294"/>
      <c r="I173" s="294"/>
      <c r="J173" s="294"/>
      <c r="K173" s="294"/>
      <c r="L173" s="294"/>
    </row>
    <row r="174" spans="1:17">
      <c r="A174" s="291"/>
      <c r="B174" s="291"/>
      <c r="D174" s="305"/>
      <c r="E174" s="305"/>
      <c r="F174" s="305"/>
      <c r="G174" s="305"/>
      <c r="H174" s="305"/>
      <c r="I174" s="305"/>
      <c r="J174" s="305"/>
      <c r="K174" s="305"/>
      <c r="L174" s="305"/>
    </row>
    <row r="175" spans="1:17">
      <c r="A175" s="291"/>
      <c r="B175" s="291"/>
      <c r="D175" s="305"/>
      <c r="E175" s="305"/>
      <c r="F175" s="305"/>
      <c r="G175" s="305"/>
      <c r="H175" s="305"/>
      <c r="I175" s="305"/>
      <c r="J175" s="305"/>
      <c r="K175" s="305"/>
      <c r="L175" s="305"/>
    </row>
    <row r="176" spans="1:17">
      <c r="E176" s="42" t="s">
        <v>2303</v>
      </c>
      <c r="F176" s="42"/>
      <c r="G176" s="42"/>
      <c r="H176" s="42"/>
      <c r="I176" s="42"/>
      <c r="J176" s="42"/>
      <c r="K176" s="42"/>
      <c r="L176" s="42"/>
      <c r="M176" s="65"/>
      <c r="N176" s="66" t="s">
        <v>13319</v>
      </c>
    </row>
    <row r="177" spans="1:17">
      <c r="D177" s="55">
        <v>2010</v>
      </c>
      <c r="E177" s="55">
        <v>2011</v>
      </c>
      <c r="F177" s="55">
        <v>2012</v>
      </c>
      <c r="G177" s="55">
        <v>2013</v>
      </c>
      <c r="H177" s="55">
        <v>2014</v>
      </c>
      <c r="I177" s="55">
        <v>2015</v>
      </c>
      <c r="J177" s="55">
        <v>2016</v>
      </c>
      <c r="K177" s="55">
        <v>2017</v>
      </c>
      <c r="L177" s="55">
        <v>2018</v>
      </c>
      <c r="N177" s="67" t="s">
        <v>2304</v>
      </c>
    </row>
    <row r="178" spans="1:17">
      <c r="A178" s="291" t="s">
        <v>1703</v>
      </c>
      <c r="D178" s="294">
        <f>SUM(D179:D187)+SUM(D189:D191)+SUM(D193:D200)+SUM(D202:D210)</f>
        <v>106789</v>
      </c>
      <c r="E178" s="294">
        <f t="shared" ref="E178:I178" si="211">SUM(E179:E187)+SUM(E189:E191)+SUM(E193:E200)+SUM(E202:E210)</f>
        <v>108402</v>
      </c>
      <c r="F178" s="294">
        <f t="shared" si="211"/>
        <v>110124</v>
      </c>
      <c r="G178" s="294">
        <f t="shared" si="211"/>
        <v>111319</v>
      </c>
      <c r="H178" s="294">
        <f t="shared" si="211"/>
        <v>110453</v>
      </c>
      <c r="I178" s="294">
        <f t="shared" si="211"/>
        <v>109550</v>
      </c>
      <c r="J178" s="294">
        <f t="shared" ref="J178:K178" si="212">SUM(J179:J187)+SUM(J189:J191)+SUM(J193:J200)+SUM(J202:J210)</f>
        <v>108866</v>
      </c>
      <c r="K178" s="294">
        <f t="shared" si="212"/>
        <v>111922</v>
      </c>
      <c r="L178" s="294">
        <f t="shared" ref="L178" si="213">SUM(L179:L187)+SUM(L189:L191)+SUM(L193:L200)+SUM(L202:L210)</f>
        <v>111428</v>
      </c>
    </row>
    <row r="179" spans="1:17">
      <c r="A179" s="291" t="s">
        <v>6957</v>
      </c>
      <c r="B179" s="291" t="s">
        <v>1704</v>
      </c>
      <c r="C179" s="4" t="s">
        <v>14404</v>
      </c>
      <c r="D179" s="294">
        <v>70956</v>
      </c>
      <c r="E179" s="294">
        <v>72064</v>
      </c>
      <c r="F179" s="294">
        <v>73291</v>
      </c>
      <c r="G179" s="31">
        <v>74250</v>
      </c>
      <c r="H179" s="31">
        <v>73673</v>
      </c>
      <c r="I179" s="30">
        <v>7312</v>
      </c>
      <c r="J179" s="30">
        <v>7232</v>
      </c>
      <c r="K179" s="30">
        <v>7432</v>
      </c>
      <c r="L179" s="30">
        <v>7378</v>
      </c>
      <c r="N179" s="291" t="s">
        <v>1658</v>
      </c>
      <c r="O179" s="4"/>
      <c r="Q179" s="4"/>
    </row>
    <row r="180" spans="1:17">
      <c r="A180" s="291" t="s">
        <v>6959</v>
      </c>
      <c r="B180" s="291" t="s">
        <v>1705</v>
      </c>
      <c r="C180" s="4" t="s">
        <v>14405</v>
      </c>
      <c r="D180" s="294">
        <v>0</v>
      </c>
      <c r="E180" s="294">
        <v>0</v>
      </c>
      <c r="F180" s="294">
        <v>0</v>
      </c>
      <c r="G180" s="30">
        <v>0</v>
      </c>
      <c r="H180" s="30">
        <v>0</v>
      </c>
      <c r="I180" s="30">
        <v>4068</v>
      </c>
      <c r="J180" s="30">
        <v>4018</v>
      </c>
      <c r="K180" s="30">
        <v>4110</v>
      </c>
      <c r="L180" s="30">
        <v>4101</v>
      </c>
      <c r="N180" s="291" t="s">
        <v>1658</v>
      </c>
      <c r="O180" s="4"/>
      <c r="Q180" s="4"/>
    </row>
    <row r="181" spans="1:17">
      <c r="A181" s="291" t="s">
        <v>6961</v>
      </c>
      <c r="B181" s="291" t="s">
        <v>1706</v>
      </c>
      <c r="C181" s="4" t="s">
        <v>14406</v>
      </c>
      <c r="D181" s="294">
        <v>0</v>
      </c>
      <c r="E181" s="294">
        <v>0</v>
      </c>
      <c r="F181" s="294">
        <v>0</v>
      </c>
      <c r="G181" s="30">
        <v>0</v>
      </c>
      <c r="H181" s="30">
        <v>0</v>
      </c>
      <c r="I181" s="30">
        <v>4259</v>
      </c>
      <c r="J181" s="30">
        <v>4230</v>
      </c>
      <c r="K181" s="30">
        <v>4416</v>
      </c>
      <c r="L181" s="30">
        <v>4348</v>
      </c>
      <c r="N181" s="291" t="s">
        <v>1658</v>
      </c>
      <c r="O181" s="4"/>
      <c r="Q181" s="4"/>
    </row>
    <row r="182" spans="1:17">
      <c r="A182" s="291" t="s">
        <v>6963</v>
      </c>
      <c r="B182" s="291" t="s">
        <v>13923</v>
      </c>
      <c r="C182" s="4" t="s">
        <v>14407</v>
      </c>
      <c r="D182" s="294">
        <v>0</v>
      </c>
      <c r="E182" s="294">
        <v>0</v>
      </c>
      <c r="F182" s="294">
        <v>0</v>
      </c>
      <c r="G182" s="30">
        <v>0</v>
      </c>
      <c r="H182" s="30">
        <v>0</v>
      </c>
      <c r="I182" s="30">
        <v>5984</v>
      </c>
      <c r="J182" s="30">
        <v>5905</v>
      </c>
      <c r="K182" s="30">
        <v>6101</v>
      </c>
      <c r="L182" s="30">
        <v>6111</v>
      </c>
      <c r="N182" s="291" t="s">
        <v>1658</v>
      </c>
      <c r="O182" s="4"/>
      <c r="Q182" s="4"/>
    </row>
    <row r="183" spans="1:17">
      <c r="A183" s="291" t="s">
        <v>6965</v>
      </c>
      <c r="B183" s="291" t="s">
        <v>2173</v>
      </c>
      <c r="C183" s="4" t="s">
        <v>14408</v>
      </c>
      <c r="D183" s="294">
        <v>0</v>
      </c>
      <c r="E183" s="294">
        <v>0</v>
      </c>
      <c r="F183" s="294">
        <v>0</v>
      </c>
      <c r="G183" s="31">
        <v>0</v>
      </c>
      <c r="H183" s="31">
        <v>0</v>
      </c>
      <c r="I183" s="30">
        <v>4245</v>
      </c>
      <c r="J183" s="30">
        <v>4347</v>
      </c>
      <c r="K183" s="30">
        <v>4557</v>
      </c>
      <c r="L183" s="30">
        <v>4556</v>
      </c>
      <c r="N183" s="291" t="s">
        <v>1658</v>
      </c>
      <c r="O183" s="4"/>
      <c r="Q183" s="4"/>
    </row>
    <row r="184" spans="1:17">
      <c r="A184" s="291" t="s">
        <v>6997</v>
      </c>
      <c r="B184" s="291" t="s">
        <v>13924</v>
      </c>
      <c r="C184" s="4" t="s">
        <v>14409</v>
      </c>
      <c r="D184" s="294">
        <v>0</v>
      </c>
      <c r="E184" s="294">
        <v>0</v>
      </c>
      <c r="F184" s="294">
        <v>0</v>
      </c>
      <c r="G184" s="30">
        <v>0</v>
      </c>
      <c r="H184" s="30">
        <v>0</v>
      </c>
      <c r="I184" s="30">
        <v>4712</v>
      </c>
      <c r="J184" s="30">
        <v>4643</v>
      </c>
      <c r="K184" s="30">
        <v>4746</v>
      </c>
      <c r="L184" s="30">
        <v>4727</v>
      </c>
      <c r="N184" s="291" t="s">
        <v>1658</v>
      </c>
      <c r="O184" s="4"/>
      <c r="Q184" s="4"/>
    </row>
    <row r="185" spans="1:17">
      <c r="A185" s="291" t="s">
        <v>6999</v>
      </c>
      <c r="B185" s="291" t="s">
        <v>2185</v>
      </c>
      <c r="C185" s="4" t="s">
        <v>14410</v>
      </c>
      <c r="D185" s="294">
        <v>0</v>
      </c>
      <c r="E185" s="294">
        <v>0</v>
      </c>
      <c r="F185" s="294">
        <v>0</v>
      </c>
      <c r="G185" s="30">
        <v>0</v>
      </c>
      <c r="H185" s="30">
        <v>0</v>
      </c>
      <c r="I185" s="30">
        <v>2308</v>
      </c>
      <c r="J185" s="30">
        <v>2285</v>
      </c>
      <c r="K185" s="30">
        <v>2365</v>
      </c>
      <c r="L185" s="30">
        <v>2316</v>
      </c>
      <c r="N185" s="291" t="s">
        <v>1658</v>
      </c>
      <c r="O185" s="4"/>
      <c r="Q185" s="4"/>
    </row>
    <row r="186" spans="1:17">
      <c r="A186" s="291" t="s">
        <v>7001</v>
      </c>
      <c r="B186" s="291" t="s">
        <v>13925</v>
      </c>
      <c r="C186" s="4" t="s">
        <v>14411</v>
      </c>
      <c r="D186" s="294">
        <v>0</v>
      </c>
      <c r="E186" s="294">
        <v>0</v>
      </c>
      <c r="F186" s="294">
        <v>0</v>
      </c>
      <c r="G186" s="30">
        <v>0</v>
      </c>
      <c r="H186" s="30">
        <v>0</v>
      </c>
      <c r="I186" s="30">
        <v>506</v>
      </c>
      <c r="J186" s="30">
        <v>523</v>
      </c>
      <c r="K186" s="30">
        <v>529</v>
      </c>
      <c r="L186" s="30">
        <v>512</v>
      </c>
      <c r="N186" s="291" t="s">
        <v>1658</v>
      </c>
      <c r="O186" s="4"/>
      <c r="Q186" s="4"/>
    </row>
    <row r="187" spans="1:17" ht="15.75" thickBot="1">
      <c r="A187" s="291"/>
      <c r="B187" s="291"/>
      <c r="C187" s="4" t="s">
        <v>14411</v>
      </c>
      <c r="D187" s="295">
        <v>0</v>
      </c>
      <c r="E187" s="295">
        <v>0</v>
      </c>
      <c r="F187" s="295">
        <v>0</v>
      </c>
      <c r="G187" s="899">
        <v>0</v>
      </c>
      <c r="H187" s="899">
        <v>0</v>
      </c>
      <c r="I187" s="31">
        <v>3981</v>
      </c>
      <c r="J187" s="31">
        <v>3975</v>
      </c>
      <c r="K187" s="31">
        <v>4062</v>
      </c>
      <c r="L187" s="31">
        <v>4051</v>
      </c>
      <c r="N187" s="291" t="s">
        <v>4228</v>
      </c>
      <c r="O187" s="4"/>
      <c r="Q187" s="4"/>
    </row>
    <row r="188" spans="1:17" ht="15.75" thickBot="1">
      <c r="A188" s="291"/>
      <c r="B188" s="291"/>
      <c r="C188" s="4" t="s">
        <v>14411</v>
      </c>
      <c r="D188" s="299">
        <f>D186+D187</f>
        <v>0</v>
      </c>
      <c r="E188" s="299">
        <f t="shared" ref="E188:L188" si="214">E186+E187</f>
        <v>0</v>
      </c>
      <c r="F188" s="299">
        <f t="shared" si="214"/>
        <v>0</v>
      </c>
      <c r="G188" s="299">
        <f t="shared" si="214"/>
        <v>0</v>
      </c>
      <c r="H188" s="299">
        <f t="shared" si="214"/>
        <v>0</v>
      </c>
      <c r="I188" s="299">
        <f t="shared" si="214"/>
        <v>4487</v>
      </c>
      <c r="J188" s="299">
        <f t="shared" si="214"/>
        <v>4498</v>
      </c>
      <c r="K188" s="299">
        <f t="shared" si="214"/>
        <v>4591</v>
      </c>
      <c r="L188" s="299">
        <f t="shared" si="214"/>
        <v>4563</v>
      </c>
      <c r="N188" s="291"/>
      <c r="O188" s="4"/>
      <c r="Q188" s="4"/>
    </row>
    <row r="189" spans="1:17">
      <c r="A189" s="291" t="s">
        <v>7003</v>
      </c>
      <c r="B189" s="291" t="s">
        <v>13926</v>
      </c>
      <c r="C189" s="4" t="s">
        <v>14412</v>
      </c>
      <c r="D189" s="294">
        <v>0</v>
      </c>
      <c r="E189" s="294">
        <v>0</v>
      </c>
      <c r="F189" s="294">
        <v>0</v>
      </c>
      <c r="G189" s="30">
        <v>0</v>
      </c>
      <c r="H189" s="30">
        <v>0</v>
      </c>
      <c r="I189" s="30">
        <v>2223</v>
      </c>
      <c r="J189" s="30">
        <v>2211</v>
      </c>
      <c r="K189" s="30">
        <v>2225</v>
      </c>
      <c r="L189" s="30">
        <v>2209</v>
      </c>
      <c r="N189" s="291" t="s">
        <v>1658</v>
      </c>
      <c r="O189" s="4"/>
      <c r="Q189" s="4"/>
    </row>
    <row r="190" spans="1:17">
      <c r="A190" s="291" t="s">
        <v>7005</v>
      </c>
      <c r="B190" s="291" t="s">
        <v>13927</v>
      </c>
      <c r="C190" s="4" t="s">
        <v>14413</v>
      </c>
      <c r="D190" s="294">
        <v>0</v>
      </c>
      <c r="E190" s="294">
        <v>0</v>
      </c>
      <c r="F190" s="294">
        <v>0</v>
      </c>
      <c r="G190" s="30">
        <v>0</v>
      </c>
      <c r="H190" s="30">
        <v>0</v>
      </c>
      <c r="I190" s="30">
        <v>5331</v>
      </c>
      <c r="J190" s="30">
        <v>5314</v>
      </c>
      <c r="K190" s="30">
        <v>5353</v>
      </c>
      <c r="L190" s="30">
        <v>5318</v>
      </c>
      <c r="N190" s="291" t="s">
        <v>1658</v>
      </c>
      <c r="O190" s="4"/>
      <c r="Q190" s="4"/>
    </row>
    <row r="191" spans="1:17" ht="15.75" thickBot="1">
      <c r="A191" s="291"/>
      <c r="B191" s="291"/>
      <c r="C191" s="4" t="s">
        <v>14413</v>
      </c>
      <c r="D191" s="295">
        <v>0</v>
      </c>
      <c r="E191" s="295">
        <v>0</v>
      </c>
      <c r="F191" s="295">
        <v>0</v>
      </c>
      <c r="G191" s="899">
        <v>0</v>
      </c>
      <c r="H191" s="899">
        <v>0</v>
      </c>
      <c r="I191" s="31">
        <v>1834</v>
      </c>
      <c r="J191" s="31">
        <v>1837</v>
      </c>
      <c r="K191" s="31">
        <v>1835</v>
      </c>
      <c r="L191" s="31">
        <v>1842</v>
      </c>
      <c r="N191" s="291" t="s">
        <v>4228</v>
      </c>
      <c r="O191" s="4"/>
      <c r="Q191" s="4"/>
    </row>
    <row r="192" spans="1:17" ht="15.75" thickBot="1">
      <c r="A192" s="291"/>
      <c r="B192" s="291"/>
      <c r="C192" s="4" t="s">
        <v>14413</v>
      </c>
      <c r="D192" s="299">
        <f>D190+D191</f>
        <v>0</v>
      </c>
      <c r="E192" s="299">
        <f t="shared" ref="E192" si="215">E190+E191</f>
        <v>0</v>
      </c>
      <c r="F192" s="299">
        <f t="shared" ref="F192" si="216">F190+F191</f>
        <v>0</v>
      </c>
      <c r="G192" s="299">
        <f t="shared" ref="G192" si="217">G190+G191</f>
        <v>0</v>
      </c>
      <c r="H192" s="299">
        <f t="shared" ref="H192" si="218">H190+H191</f>
        <v>0</v>
      </c>
      <c r="I192" s="299">
        <f t="shared" ref="I192:L192" si="219">I190+I191</f>
        <v>7165</v>
      </c>
      <c r="J192" s="299">
        <f t="shared" si="219"/>
        <v>7151</v>
      </c>
      <c r="K192" s="299">
        <f t="shared" si="219"/>
        <v>7188</v>
      </c>
      <c r="L192" s="299">
        <f t="shared" si="219"/>
        <v>7160</v>
      </c>
      <c r="N192" s="291"/>
      <c r="O192" s="4"/>
      <c r="Q192" s="4"/>
    </row>
    <row r="193" spans="1:17">
      <c r="A193" s="291" t="s">
        <v>7007</v>
      </c>
      <c r="B193" s="291" t="s">
        <v>13092</v>
      </c>
      <c r="C193" s="4" t="s">
        <v>14414</v>
      </c>
      <c r="D193" s="294">
        <v>0</v>
      </c>
      <c r="E193" s="294">
        <v>0</v>
      </c>
      <c r="F193" s="294">
        <v>0</v>
      </c>
      <c r="G193" s="30">
        <v>0</v>
      </c>
      <c r="H193" s="30">
        <v>0</v>
      </c>
      <c r="I193" s="30">
        <v>4273</v>
      </c>
      <c r="J193" s="30">
        <v>4216</v>
      </c>
      <c r="K193" s="30">
        <v>4376</v>
      </c>
      <c r="L193" s="30">
        <v>4338</v>
      </c>
      <c r="N193" s="291" t="s">
        <v>1658</v>
      </c>
      <c r="O193" s="4"/>
      <c r="Q193" s="4"/>
    </row>
    <row r="194" spans="1:17">
      <c r="A194" s="291" t="s">
        <v>7009</v>
      </c>
      <c r="B194" s="291" t="s">
        <v>3886</v>
      </c>
      <c r="C194" s="4" t="s">
        <v>14415</v>
      </c>
      <c r="D194" s="294">
        <v>0</v>
      </c>
      <c r="E194" s="294">
        <v>0</v>
      </c>
      <c r="F194" s="294">
        <v>0</v>
      </c>
      <c r="G194" s="30">
        <v>0</v>
      </c>
      <c r="H194" s="30">
        <v>0</v>
      </c>
      <c r="I194" s="30">
        <v>4630</v>
      </c>
      <c r="J194" s="30">
        <v>4598</v>
      </c>
      <c r="K194" s="30">
        <v>4686</v>
      </c>
      <c r="L194" s="30">
        <v>4692</v>
      </c>
      <c r="N194" s="291" t="s">
        <v>1658</v>
      </c>
      <c r="O194" s="4"/>
      <c r="Q194" s="4"/>
    </row>
    <row r="195" spans="1:17">
      <c r="A195" s="291" t="s">
        <v>7011</v>
      </c>
      <c r="B195" s="291" t="s">
        <v>13928</v>
      </c>
      <c r="C195" s="4" t="s">
        <v>14416</v>
      </c>
      <c r="D195" s="294">
        <v>35833</v>
      </c>
      <c r="E195" s="294">
        <v>36338</v>
      </c>
      <c r="F195" s="294">
        <v>36833</v>
      </c>
      <c r="G195" s="30">
        <v>37069</v>
      </c>
      <c r="H195" s="30">
        <v>36780</v>
      </c>
      <c r="I195" s="31">
        <v>4679</v>
      </c>
      <c r="J195" s="31">
        <v>4689</v>
      </c>
      <c r="K195" s="31">
        <v>4720</v>
      </c>
      <c r="L195" s="31">
        <v>4650</v>
      </c>
      <c r="N195" s="291" t="s">
        <v>4228</v>
      </c>
      <c r="O195" s="4"/>
      <c r="Q195" s="4"/>
    </row>
    <row r="196" spans="1:17">
      <c r="A196" s="291" t="s">
        <v>7013</v>
      </c>
      <c r="B196" s="291" t="s">
        <v>13929</v>
      </c>
      <c r="C196" s="4" t="s">
        <v>14417</v>
      </c>
      <c r="D196" s="294">
        <v>0</v>
      </c>
      <c r="E196" s="294">
        <v>0</v>
      </c>
      <c r="F196" s="294">
        <v>0</v>
      </c>
      <c r="G196" s="30">
        <v>0</v>
      </c>
      <c r="H196" s="30">
        <v>0</v>
      </c>
      <c r="I196" s="30">
        <v>4049</v>
      </c>
      <c r="J196" s="30">
        <v>4109</v>
      </c>
      <c r="K196" s="30">
        <v>4335</v>
      </c>
      <c r="L196" s="30">
        <v>4441</v>
      </c>
      <c r="N196" s="291" t="s">
        <v>1658</v>
      </c>
      <c r="O196" s="4"/>
      <c r="Q196" s="4"/>
    </row>
    <row r="197" spans="1:17">
      <c r="A197" s="291" t="s">
        <v>7015</v>
      </c>
      <c r="B197" s="291" t="s">
        <v>13930</v>
      </c>
      <c r="C197" s="4" t="s">
        <v>14418</v>
      </c>
      <c r="D197" s="294">
        <v>0</v>
      </c>
      <c r="E197" s="294">
        <v>0</v>
      </c>
      <c r="F197" s="294">
        <v>0</v>
      </c>
      <c r="G197" s="30">
        <v>0</v>
      </c>
      <c r="H197" s="30">
        <v>0</v>
      </c>
      <c r="I197" s="31">
        <v>4309</v>
      </c>
      <c r="J197" s="31">
        <v>4251</v>
      </c>
      <c r="K197" s="31">
        <v>4346</v>
      </c>
      <c r="L197" s="31">
        <v>4291</v>
      </c>
      <c r="N197" s="291" t="s">
        <v>4228</v>
      </c>
      <c r="O197" s="4"/>
      <c r="Q197" s="4"/>
    </row>
    <row r="198" spans="1:17">
      <c r="A198" s="291" t="s">
        <v>7017</v>
      </c>
      <c r="B198" s="291" t="s">
        <v>3887</v>
      </c>
      <c r="C198" s="4" t="s">
        <v>14419</v>
      </c>
      <c r="D198" s="294">
        <v>0</v>
      </c>
      <c r="E198" s="294">
        <v>0</v>
      </c>
      <c r="F198" s="294">
        <v>0</v>
      </c>
      <c r="G198" s="31">
        <v>0</v>
      </c>
      <c r="H198" s="31">
        <v>0</v>
      </c>
      <c r="I198" s="30">
        <v>2178</v>
      </c>
      <c r="J198" s="30">
        <v>2203</v>
      </c>
      <c r="K198" s="30">
        <v>2237</v>
      </c>
      <c r="L198" s="30">
        <v>2221</v>
      </c>
      <c r="N198" s="291" t="s">
        <v>1658</v>
      </c>
      <c r="O198" s="4"/>
      <c r="Q198" s="4"/>
    </row>
    <row r="199" spans="1:17">
      <c r="A199" s="291" t="s">
        <v>7019</v>
      </c>
      <c r="B199" s="291" t="s">
        <v>13931</v>
      </c>
      <c r="C199" s="4" t="s">
        <v>14420</v>
      </c>
      <c r="D199" s="294">
        <v>0</v>
      </c>
      <c r="E199" s="294">
        <v>0</v>
      </c>
      <c r="F199" s="294">
        <v>0</v>
      </c>
      <c r="G199" s="30">
        <v>0</v>
      </c>
      <c r="H199" s="30">
        <v>0</v>
      </c>
      <c r="I199" s="30">
        <v>1369</v>
      </c>
      <c r="J199" s="30">
        <v>1364</v>
      </c>
      <c r="K199" s="30">
        <v>1393</v>
      </c>
      <c r="L199" s="30">
        <v>1370</v>
      </c>
      <c r="N199" s="291" t="s">
        <v>1658</v>
      </c>
      <c r="O199" s="4"/>
      <c r="Q199" s="4"/>
    </row>
    <row r="200" spans="1:17" ht="15.75" thickBot="1">
      <c r="A200" s="291"/>
      <c r="B200" s="291"/>
      <c r="C200" s="4" t="s">
        <v>14420</v>
      </c>
      <c r="D200" s="295">
        <v>0</v>
      </c>
      <c r="E200" s="295">
        <v>0</v>
      </c>
      <c r="F200" s="295">
        <v>0</v>
      </c>
      <c r="G200" s="899">
        <v>0</v>
      </c>
      <c r="H200" s="899">
        <v>0</v>
      </c>
      <c r="I200" s="31">
        <v>3299</v>
      </c>
      <c r="J200" s="31">
        <v>3255</v>
      </c>
      <c r="K200" s="31">
        <v>3346</v>
      </c>
      <c r="L200" s="31">
        <v>3294</v>
      </c>
      <c r="N200" s="291" t="s">
        <v>4228</v>
      </c>
      <c r="O200" s="4"/>
      <c r="Q200" s="4"/>
    </row>
    <row r="201" spans="1:17" ht="15.75" thickBot="1">
      <c r="A201" s="291"/>
      <c r="B201" s="291"/>
      <c r="C201" s="4" t="s">
        <v>14420</v>
      </c>
      <c r="D201" s="299">
        <f>D199+D200</f>
        <v>0</v>
      </c>
      <c r="E201" s="299">
        <f t="shared" ref="E201" si="220">E199+E200</f>
        <v>0</v>
      </c>
      <c r="F201" s="299">
        <f t="shared" ref="F201" si="221">F199+F200</f>
        <v>0</v>
      </c>
      <c r="G201" s="299">
        <f t="shared" ref="G201" si="222">G199+G200</f>
        <v>0</v>
      </c>
      <c r="H201" s="299">
        <f t="shared" ref="H201" si="223">H199+H200</f>
        <v>0</v>
      </c>
      <c r="I201" s="299">
        <f t="shared" ref="I201:L201" si="224">I199+I200</f>
        <v>4668</v>
      </c>
      <c r="J201" s="299">
        <f t="shared" si="224"/>
        <v>4619</v>
      </c>
      <c r="K201" s="299">
        <f t="shared" si="224"/>
        <v>4739</v>
      </c>
      <c r="L201" s="299">
        <f t="shared" si="224"/>
        <v>4664</v>
      </c>
      <c r="N201" s="291"/>
      <c r="O201" s="4"/>
      <c r="Q201" s="4"/>
    </row>
    <row r="202" spans="1:17">
      <c r="A202" s="291" t="s">
        <v>7021</v>
      </c>
      <c r="B202" s="291" t="s">
        <v>3888</v>
      </c>
      <c r="C202" s="4" t="s">
        <v>14421</v>
      </c>
      <c r="D202" s="294">
        <v>0</v>
      </c>
      <c r="E202" s="294">
        <v>0</v>
      </c>
      <c r="F202" s="294">
        <v>0</v>
      </c>
      <c r="G202" s="31">
        <v>0</v>
      </c>
      <c r="H202" s="31">
        <v>0</v>
      </c>
      <c r="I202" s="31">
        <v>2265</v>
      </c>
      <c r="J202" s="31">
        <v>2271</v>
      </c>
      <c r="K202" s="31">
        <v>2338</v>
      </c>
      <c r="L202" s="31">
        <v>2326</v>
      </c>
      <c r="N202" s="291" t="s">
        <v>1658</v>
      </c>
      <c r="O202" s="4"/>
      <c r="Q202" s="4"/>
    </row>
    <row r="203" spans="1:17">
      <c r="A203" s="291" t="s">
        <v>7023</v>
      </c>
      <c r="B203" s="291" t="s">
        <v>3889</v>
      </c>
      <c r="C203" s="4" t="s">
        <v>14422</v>
      </c>
      <c r="D203" s="294">
        <v>0</v>
      </c>
      <c r="E203" s="294">
        <v>0</v>
      </c>
      <c r="F203" s="294">
        <v>0</v>
      </c>
      <c r="G203" s="30">
        <v>0</v>
      </c>
      <c r="H203" s="30">
        <v>0</v>
      </c>
      <c r="I203" s="31">
        <v>2392</v>
      </c>
      <c r="J203" s="31">
        <v>2404</v>
      </c>
      <c r="K203" s="31">
        <v>2483</v>
      </c>
      <c r="L203" s="31">
        <v>2438</v>
      </c>
      <c r="N203" s="291" t="s">
        <v>1658</v>
      </c>
      <c r="O203" s="4"/>
      <c r="Q203" s="4"/>
    </row>
    <row r="204" spans="1:17">
      <c r="A204" s="291" t="s">
        <v>7025</v>
      </c>
      <c r="B204" s="291" t="s">
        <v>13932</v>
      </c>
      <c r="C204" s="4" t="s">
        <v>14423</v>
      </c>
      <c r="D204" s="294">
        <v>0</v>
      </c>
      <c r="E204" s="294">
        <v>0</v>
      </c>
      <c r="F204" s="294">
        <v>0</v>
      </c>
      <c r="G204" s="30">
        <v>0</v>
      </c>
      <c r="H204" s="30">
        <v>0</v>
      </c>
      <c r="I204" s="31">
        <v>4473</v>
      </c>
      <c r="J204" s="31">
        <v>4429</v>
      </c>
      <c r="K204" s="31">
        <v>4514</v>
      </c>
      <c r="L204" s="31">
        <v>4480</v>
      </c>
      <c r="N204" s="291" t="s">
        <v>1658</v>
      </c>
      <c r="O204" s="4"/>
      <c r="Q204" s="4"/>
    </row>
    <row r="205" spans="1:17">
      <c r="A205" s="291" t="s">
        <v>7570</v>
      </c>
      <c r="B205" s="291" t="s">
        <v>3890</v>
      </c>
      <c r="C205" s="4" t="s">
        <v>14424</v>
      </c>
      <c r="D205" s="294">
        <v>0</v>
      </c>
      <c r="E205" s="294">
        <v>0</v>
      </c>
      <c r="F205" s="294">
        <v>0</v>
      </c>
      <c r="G205" s="31">
        <v>0</v>
      </c>
      <c r="H205" s="31">
        <v>0</v>
      </c>
      <c r="I205" s="31">
        <v>4518</v>
      </c>
      <c r="J205" s="31">
        <v>4480</v>
      </c>
      <c r="K205" s="31">
        <v>4597</v>
      </c>
      <c r="L205" s="31">
        <v>4583</v>
      </c>
      <c r="N205" s="291" t="s">
        <v>1658</v>
      </c>
      <c r="O205" s="4"/>
      <c r="Q205" s="4"/>
    </row>
    <row r="206" spans="1:17">
      <c r="A206" s="291" t="s">
        <v>7572</v>
      </c>
      <c r="B206" s="291" t="s">
        <v>13933</v>
      </c>
      <c r="C206" s="4" t="s">
        <v>14425</v>
      </c>
      <c r="D206" s="294">
        <v>0</v>
      </c>
      <c r="E206" s="294">
        <v>0</v>
      </c>
      <c r="F206" s="294">
        <v>0</v>
      </c>
      <c r="G206" s="31">
        <v>0</v>
      </c>
      <c r="H206" s="31">
        <v>0</v>
      </c>
      <c r="I206" s="31">
        <v>4146</v>
      </c>
      <c r="J206" s="31">
        <v>4147</v>
      </c>
      <c r="K206" s="31">
        <v>4285</v>
      </c>
      <c r="L206" s="31">
        <v>4277</v>
      </c>
      <c r="N206" s="291" t="s">
        <v>4228</v>
      </c>
      <c r="O206" s="4"/>
      <c r="Q206" s="4"/>
    </row>
    <row r="207" spans="1:17">
      <c r="A207" s="291" t="s">
        <v>7573</v>
      </c>
      <c r="B207" s="291" t="s">
        <v>3891</v>
      </c>
      <c r="C207" s="4" t="s">
        <v>14426</v>
      </c>
      <c r="D207" s="294">
        <v>0</v>
      </c>
      <c r="E207" s="294">
        <v>0</v>
      </c>
      <c r="F207" s="294">
        <v>0</v>
      </c>
      <c r="G207" s="31">
        <v>0</v>
      </c>
      <c r="H207" s="31">
        <v>0</v>
      </c>
      <c r="I207" s="31">
        <v>4807</v>
      </c>
      <c r="J207" s="31">
        <v>4759</v>
      </c>
      <c r="K207" s="31">
        <v>4869</v>
      </c>
      <c r="L207" s="31">
        <v>4888</v>
      </c>
      <c r="N207" s="291" t="s">
        <v>4228</v>
      </c>
      <c r="O207" s="4"/>
      <c r="Q207" s="4"/>
    </row>
    <row r="208" spans="1:17">
      <c r="A208" s="291" t="s">
        <v>5798</v>
      </c>
      <c r="B208" s="291" t="s">
        <v>3892</v>
      </c>
      <c r="C208" s="4" t="s">
        <v>14427</v>
      </c>
      <c r="D208" s="294">
        <v>0</v>
      </c>
      <c r="E208" s="294">
        <v>0</v>
      </c>
      <c r="F208" s="294">
        <v>0</v>
      </c>
      <c r="G208" s="31">
        <v>0</v>
      </c>
      <c r="H208" s="31">
        <v>0</v>
      </c>
      <c r="I208" s="31">
        <v>4287</v>
      </c>
      <c r="J208" s="31">
        <v>4260</v>
      </c>
      <c r="K208" s="31">
        <v>4570</v>
      </c>
      <c r="L208" s="31">
        <v>4575</v>
      </c>
      <c r="N208" s="291" t="s">
        <v>4228</v>
      </c>
      <c r="O208" s="4"/>
      <c r="Q208" s="4"/>
    </row>
    <row r="209" spans="1:17">
      <c r="A209" s="291" t="s">
        <v>5799</v>
      </c>
      <c r="B209" s="291" t="s">
        <v>3893</v>
      </c>
      <c r="C209" s="4" t="s">
        <v>14428</v>
      </c>
      <c r="D209" s="294">
        <v>0</v>
      </c>
      <c r="E209" s="294">
        <v>0</v>
      </c>
      <c r="F209" s="294">
        <v>0</v>
      </c>
      <c r="G209" s="31">
        <v>0</v>
      </c>
      <c r="H209" s="31">
        <v>0</v>
      </c>
      <c r="I209" s="31">
        <v>4969</v>
      </c>
      <c r="J209" s="31">
        <v>4801</v>
      </c>
      <c r="K209" s="31">
        <v>4957</v>
      </c>
      <c r="L209" s="31">
        <v>4981</v>
      </c>
      <c r="N209" s="291" t="s">
        <v>4228</v>
      </c>
      <c r="O209" s="4"/>
      <c r="Q209" s="4"/>
    </row>
    <row r="210" spans="1:17">
      <c r="A210" s="291" t="s">
        <v>5801</v>
      </c>
      <c r="B210" s="291" t="s">
        <v>3894</v>
      </c>
      <c r="C210" s="4" t="s">
        <v>14429</v>
      </c>
      <c r="D210" s="294">
        <v>0</v>
      </c>
      <c r="E210" s="294">
        <v>0</v>
      </c>
      <c r="F210" s="294">
        <v>0</v>
      </c>
      <c r="G210" s="31">
        <v>0</v>
      </c>
      <c r="H210" s="31">
        <v>0</v>
      </c>
      <c r="I210" s="31">
        <v>2144</v>
      </c>
      <c r="J210" s="31">
        <v>2110</v>
      </c>
      <c r="K210" s="31">
        <v>2139</v>
      </c>
      <c r="L210" s="31">
        <v>2114</v>
      </c>
      <c r="N210" s="291" t="s">
        <v>1658</v>
      </c>
      <c r="O210" s="4"/>
      <c r="Q210" s="4"/>
    </row>
    <row r="211" spans="1:17">
      <c r="D211" s="296"/>
      <c r="E211" s="296"/>
      <c r="F211" s="296"/>
      <c r="G211" s="296"/>
      <c r="H211" s="296"/>
      <c r="I211" s="296"/>
      <c r="J211" s="296"/>
      <c r="K211" s="296"/>
      <c r="L211" s="296"/>
    </row>
    <row r="212" spans="1:17">
      <c r="A212" s="291" t="s">
        <v>1658</v>
      </c>
      <c r="D212" s="294">
        <f t="shared" ref="D212:H212" si="225">SUM(D179:D186)+D189+D190+D193+D194+D196+D198+D199+SUM(D202:D205)+D210</f>
        <v>70956</v>
      </c>
      <c r="E212" s="294">
        <f t="shared" si="225"/>
        <v>72064</v>
      </c>
      <c r="F212" s="294">
        <f t="shared" si="225"/>
        <v>73291</v>
      </c>
      <c r="G212" s="294">
        <f t="shared" si="225"/>
        <v>74250</v>
      </c>
      <c r="H212" s="294">
        <f t="shared" si="225"/>
        <v>73673</v>
      </c>
      <c r="I212" s="294">
        <f>SUM(I179:I186)+I189+I190+I193+I194+I196+I198+I199+SUM(I202:I205)+I210</f>
        <v>73239</v>
      </c>
      <c r="J212" s="294">
        <f>SUM(J179:J186)+J189+J190+J193+J194+J196+J198+J199+SUM(J202:J205)+J210</f>
        <v>72892</v>
      </c>
      <c r="K212" s="294">
        <f>SUM(K179:K186)+K189+K190+K193+K194+K196+K198+K199+SUM(K202:K205)+K210</f>
        <v>74932</v>
      </c>
      <c r="L212" s="294">
        <f>SUM(L179:L186)+L189+L190+L193+L194+L196+L198+L199+SUM(L202:L205)+L210</f>
        <v>74579</v>
      </c>
    </row>
    <row r="213" spans="1:17">
      <c r="A213" s="291" t="s">
        <v>3895</v>
      </c>
      <c r="D213" s="294">
        <f t="shared" ref="D213:H213" si="226">D187+D191+D195+D197+D200+SUM(D206:D209)</f>
        <v>35833</v>
      </c>
      <c r="E213" s="294">
        <f t="shared" si="226"/>
        <v>36338</v>
      </c>
      <c r="F213" s="294">
        <f t="shared" si="226"/>
        <v>36833</v>
      </c>
      <c r="G213" s="294">
        <f t="shared" si="226"/>
        <v>37069</v>
      </c>
      <c r="H213" s="294">
        <f t="shared" si="226"/>
        <v>36780</v>
      </c>
      <c r="I213" s="294">
        <f>I187+I191+I195+I197+I200+SUM(I206:I209)</f>
        <v>36311</v>
      </c>
      <c r="J213" s="294">
        <f>J187+J191+J195+J197+J200+SUM(J206:J209)</f>
        <v>35974</v>
      </c>
      <c r="K213" s="294">
        <f>K187+K191+K195+K197+K200+SUM(K206:K209)</f>
        <v>36990</v>
      </c>
      <c r="L213" s="294">
        <f>L187+L191+L195+L197+L200+SUM(L206:L209)</f>
        <v>36849</v>
      </c>
    </row>
    <row r="214" spans="1:17">
      <c r="A214" s="291"/>
      <c r="D214" s="294"/>
      <c r="E214" s="294"/>
      <c r="F214" s="294"/>
      <c r="G214" s="294"/>
      <c r="H214" s="294"/>
      <c r="I214" s="294"/>
      <c r="J214" s="294"/>
      <c r="K214" s="294"/>
      <c r="L214" s="294"/>
    </row>
    <row r="215" spans="1:17">
      <c r="A215" s="291" t="s">
        <v>13934</v>
      </c>
      <c r="D215" s="294"/>
      <c r="E215" s="294"/>
      <c r="F215" s="294"/>
      <c r="G215" s="294"/>
      <c r="H215" s="294"/>
      <c r="I215" s="294"/>
      <c r="J215" s="294"/>
      <c r="K215" s="294"/>
      <c r="L215" s="294"/>
    </row>
    <row r="216" spans="1:17">
      <c r="A216" s="291"/>
      <c r="B216" s="291"/>
      <c r="D216" s="305"/>
      <c r="E216" s="305"/>
      <c r="F216" s="305"/>
      <c r="G216" s="305"/>
      <c r="H216" s="305"/>
      <c r="I216" s="305"/>
      <c r="J216" s="305"/>
      <c r="K216" s="305"/>
      <c r="L216" s="305"/>
    </row>
    <row r="217" spans="1:17">
      <c r="A217" s="291"/>
      <c r="B217" s="291"/>
      <c r="D217" s="305"/>
      <c r="E217" s="305"/>
      <c r="F217" s="305"/>
      <c r="G217" s="305"/>
      <c r="H217" s="305"/>
      <c r="I217" s="305"/>
      <c r="J217" s="305"/>
      <c r="K217" s="305"/>
      <c r="L217" s="305"/>
    </row>
    <row r="218" spans="1:17">
      <c r="E218" s="42" t="s">
        <v>2303</v>
      </c>
      <c r="F218" s="42"/>
      <c r="G218" s="42"/>
      <c r="H218" s="42"/>
      <c r="I218" s="42"/>
      <c r="J218" s="42"/>
      <c r="K218" s="42"/>
      <c r="L218" s="42"/>
      <c r="M218" s="65"/>
      <c r="N218" s="66" t="s">
        <v>13319</v>
      </c>
    </row>
    <row r="219" spans="1:17">
      <c r="D219" s="55">
        <v>2010</v>
      </c>
      <c r="E219" s="55">
        <v>2011</v>
      </c>
      <c r="F219" s="55">
        <v>2012</v>
      </c>
      <c r="G219" s="55">
        <v>2013</v>
      </c>
      <c r="H219" s="55">
        <v>2014</v>
      </c>
      <c r="I219" s="55">
        <v>2015</v>
      </c>
      <c r="J219" s="55">
        <v>2016</v>
      </c>
      <c r="K219" s="55">
        <v>2017</v>
      </c>
      <c r="L219" s="55">
        <v>2018</v>
      </c>
      <c r="N219" s="67" t="s">
        <v>2304</v>
      </c>
    </row>
    <row r="220" spans="1:17">
      <c r="A220" s="291" t="s">
        <v>3896</v>
      </c>
      <c r="D220" s="294">
        <f t="shared" ref="D220:I220" si="227">SUM(D221:D235)</f>
        <v>55162</v>
      </c>
      <c r="E220" s="294">
        <f t="shared" si="227"/>
        <v>55692</v>
      </c>
      <c r="F220" s="294">
        <f t="shared" si="227"/>
        <v>56703</v>
      </c>
      <c r="G220" s="294">
        <f t="shared" si="227"/>
        <v>57648</v>
      </c>
      <c r="H220" s="294">
        <f t="shared" si="227"/>
        <v>57961</v>
      </c>
      <c r="I220" s="294">
        <f t="shared" si="227"/>
        <v>58154</v>
      </c>
      <c r="J220" s="294">
        <f t="shared" ref="J220:K220" si="228">SUM(J221:J235)</f>
        <v>56445</v>
      </c>
      <c r="K220" s="294">
        <f t="shared" si="228"/>
        <v>58144</v>
      </c>
      <c r="L220" s="294">
        <f t="shared" ref="L220" si="229">SUM(L221:L235)</f>
        <v>57670</v>
      </c>
    </row>
    <row r="221" spans="1:17">
      <c r="A221" s="291" t="s">
        <v>6957</v>
      </c>
      <c r="B221" s="291" t="s">
        <v>3897</v>
      </c>
      <c r="C221" s="4" t="s">
        <v>10345</v>
      </c>
      <c r="D221" s="294">
        <v>4465</v>
      </c>
      <c r="E221" s="294">
        <v>4556</v>
      </c>
      <c r="F221" s="294">
        <v>4699</v>
      </c>
      <c r="G221" s="30">
        <v>4992</v>
      </c>
      <c r="H221" s="30">
        <v>5161</v>
      </c>
      <c r="I221" s="48">
        <v>5176</v>
      </c>
      <c r="J221" s="30">
        <v>5054</v>
      </c>
      <c r="K221" s="30">
        <v>5246</v>
      </c>
      <c r="L221" s="30">
        <v>5170</v>
      </c>
      <c r="N221" s="291" t="s">
        <v>1660</v>
      </c>
      <c r="O221" s="934"/>
      <c r="P221" s="301"/>
      <c r="Q221" s="940"/>
    </row>
    <row r="222" spans="1:17">
      <c r="A222" s="291" t="s">
        <v>6959</v>
      </c>
      <c r="B222" s="291" t="s">
        <v>3898</v>
      </c>
      <c r="C222" s="4" t="s">
        <v>10346</v>
      </c>
      <c r="D222" s="294">
        <v>4164</v>
      </c>
      <c r="E222" s="294">
        <v>4211</v>
      </c>
      <c r="F222" s="294">
        <v>4300</v>
      </c>
      <c r="G222" s="30">
        <v>4372</v>
      </c>
      <c r="H222" s="30">
        <v>4379</v>
      </c>
      <c r="I222" s="48">
        <v>4419</v>
      </c>
      <c r="J222" s="30">
        <v>4204</v>
      </c>
      <c r="K222" s="30">
        <v>4328</v>
      </c>
      <c r="L222" s="30">
        <v>4391</v>
      </c>
      <c r="N222" s="291" t="s">
        <v>1660</v>
      </c>
      <c r="O222" s="934"/>
      <c r="P222" s="301"/>
      <c r="Q222" s="940"/>
    </row>
    <row r="223" spans="1:17">
      <c r="A223" s="291" t="s">
        <v>6961</v>
      </c>
      <c r="B223" s="291" t="s">
        <v>3899</v>
      </c>
      <c r="C223" s="4" t="s">
        <v>10347</v>
      </c>
      <c r="D223" s="294">
        <v>4899</v>
      </c>
      <c r="E223" s="294">
        <v>4973</v>
      </c>
      <c r="F223" s="294">
        <v>5178</v>
      </c>
      <c r="G223" s="30">
        <v>5262</v>
      </c>
      <c r="H223" s="30">
        <v>5311</v>
      </c>
      <c r="I223" s="48">
        <v>5349</v>
      </c>
      <c r="J223" s="30">
        <v>5096</v>
      </c>
      <c r="K223" s="30">
        <v>5328</v>
      </c>
      <c r="L223" s="30">
        <v>5259</v>
      </c>
      <c r="N223" s="291" t="s">
        <v>1660</v>
      </c>
      <c r="O223" s="934"/>
      <c r="P223" s="301"/>
      <c r="Q223" s="940"/>
    </row>
    <row r="224" spans="1:17">
      <c r="A224" s="291" t="s">
        <v>6963</v>
      </c>
      <c r="B224" s="291" t="s">
        <v>3900</v>
      </c>
      <c r="C224" s="4" t="s">
        <v>10348</v>
      </c>
      <c r="D224" s="294">
        <v>4671</v>
      </c>
      <c r="E224" s="294">
        <v>4704</v>
      </c>
      <c r="F224" s="294">
        <v>4755</v>
      </c>
      <c r="G224" s="30">
        <v>4768</v>
      </c>
      <c r="H224" s="30">
        <v>4777</v>
      </c>
      <c r="I224" s="48">
        <v>4765</v>
      </c>
      <c r="J224" s="30">
        <v>4648</v>
      </c>
      <c r="K224" s="30">
        <v>4814</v>
      </c>
      <c r="L224" s="30">
        <v>4772</v>
      </c>
      <c r="N224" s="291" t="s">
        <v>1660</v>
      </c>
      <c r="O224" s="934"/>
      <c r="P224" s="301"/>
      <c r="Q224" s="940"/>
    </row>
    <row r="225" spans="1:17">
      <c r="A225" s="291" t="s">
        <v>6965</v>
      </c>
      <c r="B225" s="291" t="s">
        <v>3901</v>
      </c>
      <c r="C225" s="4" t="s">
        <v>10349</v>
      </c>
      <c r="D225" s="294">
        <v>2915</v>
      </c>
      <c r="E225" s="294">
        <v>2940</v>
      </c>
      <c r="F225" s="294">
        <v>2952</v>
      </c>
      <c r="G225" s="30">
        <v>2988</v>
      </c>
      <c r="H225" s="30">
        <v>2968</v>
      </c>
      <c r="I225" s="48">
        <v>2980</v>
      </c>
      <c r="J225" s="30">
        <v>2970</v>
      </c>
      <c r="K225" s="30">
        <v>3043</v>
      </c>
      <c r="L225" s="30">
        <v>3022</v>
      </c>
      <c r="N225" s="291" t="s">
        <v>1660</v>
      </c>
      <c r="O225" s="934"/>
      <c r="P225" s="301"/>
      <c r="Q225" s="940"/>
    </row>
    <row r="226" spans="1:17">
      <c r="A226" s="291" t="s">
        <v>6997</v>
      </c>
      <c r="B226" s="291" t="s">
        <v>3913</v>
      </c>
      <c r="C226" s="4" t="s">
        <v>10350</v>
      </c>
      <c r="D226" s="294">
        <v>2870</v>
      </c>
      <c r="E226" s="294">
        <v>2885</v>
      </c>
      <c r="F226" s="294">
        <v>2920</v>
      </c>
      <c r="G226" s="30">
        <v>2919</v>
      </c>
      <c r="H226" s="30">
        <v>2950</v>
      </c>
      <c r="I226" s="48">
        <v>2969</v>
      </c>
      <c r="J226" s="30">
        <v>2950</v>
      </c>
      <c r="K226" s="30">
        <v>3013</v>
      </c>
      <c r="L226" s="30">
        <v>2999</v>
      </c>
      <c r="N226" s="291" t="s">
        <v>1660</v>
      </c>
      <c r="O226" s="934"/>
      <c r="P226" s="301"/>
      <c r="Q226" s="940"/>
    </row>
    <row r="227" spans="1:17">
      <c r="A227" s="291" t="s">
        <v>6999</v>
      </c>
      <c r="B227" s="291" t="s">
        <v>3914</v>
      </c>
      <c r="C227" s="4" t="s">
        <v>10351</v>
      </c>
      <c r="D227" s="294">
        <v>2853</v>
      </c>
      <c r="E227" s="294">
        <v>2851</v>
      </c>
      <c r="F227" s="294">
        <v>2920</v>
      </c>
      <c r="G227" s="30">
        <v>2946</v>
      </c>
      <c r="H227" s="30">
        <v>2937</v>
      </c>
      <c r="I227" s="48">
        <v>2932</v>
      </c>
      <c r="J227" s="30">
        <v>2873</v>
      </c>
      <c r="K227" s="30">
        <v>2944</v>
      </c>
      <c r="L227" s="30">
        <v>2945</v>
      </c>
      <c r="N227" s="291" t="s">
        <v>1660</v>
      </c>
      <c r="O227" s="934"/>
      <c r="P227" s="301"/>
      <c r="Q227" s="940"/>
    </row>
    <row r="228" spans="1:17">
      <c r="A228" s="291" t="s">
        <v>7001</v>
      </c>
      <c r="B228" s="291" t="s">
        <v>3915</v>
      </c>
      <c r="C228" s="4" t="s">
        <v>10352</v>
      </c>
      <c r="D228" s="294">
        <v>3085</v>
      </c>
      <c r="E228" s="294">
        <v>3079</v>
      </c>
      <c r="F228" s="294">
        <v>3176</v>
      </c>
      <c r="G228" s="30">
        <v>3242</v>
      </c>
      <c r="H228" s="30">
        <v>3232</v>
      </c>
      <c r="I228" s="48">
        <v>3225</v>
      </c>
      <c r="J228" s="30">
        <v>3085</v>
      </c>
      <c r="K228" s="30">
        <v>3180</v>
      </c>
      <c r="L228" s="30">
        <v>3125</v>
      </c>
      <c r="N228" s="291" t="s">
        <v>1660</v>
      </c>
      <c r="O228" s="934"/>
      <c r="P228" s="301"/>
      <c r="Q228" s="940"/>
    </row>
    <row r="229" spans="1:17">
      <c r="A229" s="291" t="s">
        <v>7003</v>
      </c>
      <c r="B229" s="291" t="s">
        <v>3916</v>
      </c>
      <c r="C229" s="4" t="s">
        <v>10353</v>
      </c>
      <c r="D229" s="294">
        <v>3031</v>
      </c>
      <c r="E229" s="294">
        <v>3047</v>
      </c>
      <c r="F229" s="294">
        <v>3062</v>
      </c>
      <c r="G229" s="30">
        <v>3090</v>
      </c>
      <c r="H229" s="30">
        <v>3105</v>
      </c>
      <c r="I229" s="48">
        <v>3127</v>
      </c>
      <c r="J229" s="30">
        <v>3029</v>
      </c>
      <c r="K229" s="30">
        <v>3080</v>
      </c>
      <c r="L229" s="30">
        <v>3010</v>
      </c>
      <c r="N229" s="291" t="s">
        <v>1660</v>
      </c>
      <c r="O229" s="934"/>
      <c r="P229" s="301"/>
      <c r="Q229" s="940"/>
    </row>
    <row r="230" spans="1:17">
      <c r="A230" s="291" t="s">
        <v>7005</v>
      </c>
      <c r="B230" s="291" t="s">
        <v>3917</v>
      </c>
      <c r="C230" s="4" t="s">
        <v>10354</v>
      </c>
      <c r="D230" s="294">
        <v>4697</v>
      </c>
      <c r="E230" s="294">
        <v>4769</v>
      </c>
      <c r="F230" s="294">
        <v>4813</v>
      </c>
      <c r="G230" s="30">
        <v>4883</v>
      </c>
      <c r="H230" s="30">
        <v>4893</v>
      </c>
      <c r="I230" s="48">
        <v>4907</v>
      </c>
      <c r="J230" s="30">
        <v>4795</v>
      </c>
      <c r="K230" s="30">
        <v>4906</v>
      </c>
      <c r="L230" s="30">
        <v>4896</v>
      </c>
      <c r="N230" s="291" t="s">
        <v>1660</v>
      </c>
      <c r="O230" s="934"/>
      <c r="P230" s="301"/>
      <c r="Q230" s="940"/>
    </row>
    <row r="231" spans="1:17">
      <c r="A231" s="291" t="s">
        <v>7007</v>
      </c>
      <c r="B231" s="291" t="s">
        <v>3918</v>
      </c>
      <c r="C231" s="4" t="s">
        <v>10355</v>
      </c>
      <c r="D231" s="294">
        <v>4535</v>
      </c>
      <c r="E231" s="294">
        <v>4553</v>
      </c>
      <c r="F231" s="294">
        <v>4576</v>
      </c>
      <c r="G231" s="30">
        <v>4711</v>
      </c>
      <c r="H231" s="30">
        <v>4710</v>
      </c>
      <c r="I231" s="48">
        <v>4712</v>
      </c>
      <c r="J231" s="30">
        <v>4497</v>
      </c>
      <c r="K231" s="30">
        <v>4595</v>
      </c>
      <c r="L231" s="30">
        <v>4515</v>
      </c>
      <c r="N231" s="291" t="s">
        <v>1660</v>
      </c>
      <c r="O231" s="934"/>
      <c r="P231" s="301"/>
      <c r="Q231" s="940"/>
    </row>
    <row r="232" spans="1:17">
      <c r="A232" s="291" t="s">
        <v>7009</v>
      </c>
      <c r="B232" s="291" t="s">
        <v>3919</v>
      </c>
      <c r="C232" s="4" t="s">
        <v>10356</v>
      </c>
      <c r="D232" s="294">
        <v>4185</v>
      </c>
      <c r="E232" s="294">
        <v>4167</v>
      </c>
      <c r="F232" s="294">
        <v>4237</v>
      </c>
      <c r="G232" s="30">
        <v>4280</v>
      </c>
      <c r="H232" s="30">
        <v>4250</v>
      </c>
      <c r="I232" s="48">
        <v>4259</v>
      </c>
      <c r="J232" s="30">
        <v>4187</v>
      </c>
      <c r="K232" s="30">
        <v>4266</v>
      </c>
      <c r="L232" s="30">
        <v>4201</v>
      </c>
      <c r="N232" s="291" t="s">
        <v>1660</v>
      </c>
      <c r="O232" s="934"/>
      <c r="P232" s="301"/>
      <c r="Q232" s="940"/>
    </row>
    <row r="233" spans="1:17">
      <c r="A233" s="291" t="s">
        <v>7011</v>
      </c>
      <c r="B233" s="291" t="s">
        <v>3920</v>
      </c>
      <c r="C233" s="4" t="s">
        <v>10357</v>
      </c>
      <c r="D233" s="294">
        <v>1388</v>
      </c>
      <c r="E233" s="294">
        <v>1407</v>
      </c>
      <c r="F233" s="294">
        <v>1422</v>
      </c>
      <c r="G233" s="30">
        <v>1448</v>
      </c>
      <c r="H233" s="30">
        <v>1475</v>
      </c>
      <c r="I233" s="48">
        <v>1480</v>
      </c>
      <c r="J233" s="30">
        <v>1437</v>
      </c>
      <c r="K233" s="30">
        <v>1489</v>
      </c>
      <c r="L233" s="30">
        <v>1500</v>
      </c>
      <c r="N233" s="291" t="s">
        <v>1660</v>
      </c>
      <c r="O233" s="934"/>
      <c r="P233" s="301"/>
      <c r="Q233" s="940"/>
    </row>
    <row r="234" spans="1:17">
      <c r="A234" s="291" t="s">
        <v>7013</v>
      </c>
      <c r="B234" s="291" t="s">
        <v>3921</v>
      </c>
      <c r="C234" s="4" t="s">
        <v>10358</v>
      </c>
      <c r="D234" s="294">
        <v>3032</v>
      </c>
      <c r="E234" s="294">
        <v>3042</v>
      </c>
      <c r="F234" s="294">
        <v>3084</v>
      </c>
      <c r="G234" s="30">
        <v>3102</v>
      </c>
      <c r="H234" s="30">
        <v>3152</v>
      </c>
      <c r="I234" s="48">
        <v>3159</v>
      </c>
      <c r="J234" s="30">
        <v>3115</v>
      </c>
      <c r="K234" s="30">
        <v>3191</v>
      </c>
      <c r="L234" s="30">
        <v>3182</v>
      </c>
      <c r="N234" s="291" t="s">
        <v>1660</v>
      </c>
      <c r="O234" s="934"/>
      <c r="P234" s="301"/>
      <c r="Q234" s="940"/>
    </row>
    <row r="235" spans="1:17">
      <c r="A235" s="291" t="s">
        <v>7015</v>
      </c>
      <c r="B235" s="291" t="s">
        <v>3922</v>
      </c>
      <c r="C235" s="4" t="s">
        <v>10359</v>
      </c>
      <c r="D235" s="294">
        <v>4372</v>
      </c>
      <c r="E235" s="294">
        <v>4508</v>
      </c>
      <c r="F235" s="294">
        <v>4609</v>
      </c>
      <c r="G235" s="30">
        <v>4645</v>
      </c>
      <c r="H235" s="30">
        <v>4661</v>
      </c>
      <c r="I235" s="48">
        <v>4695</v>
      </c>
      <c r="J235" s="30">
        <v>4505</v>
      </c>
      <c r="K235" s="30">
        <v>4721</v>
      </c>
      <c r="L235" s="30">
        <v>4683</v>
      </c>
      <c r="N235" s="291" t="s">
        <v>1660</v>
      </c>
      <c r="O235" s="934"/>
      <c r="P235" s="301"/>
      <c r="Q235" s="940"/>
    </row>
    <row r="236" spans="1:17">
      <c r="D236" s="296"/>
      <c r="E236" s="296"/>
      <c r="F236" s="296"/>
      <c r="G236" s="296"/>
      <c r="H236" s="296"/>
      <c r="I236" s="296"/>
      <c r="J236" s="296"/>
      <c r="K236" s="296"/>
      <c r="L236" s="296"/>
    </row>
    <row r="237" spans="1:17">
      <c r="A237" s="291" t="s">
        <v>3923</v>
      </c>
      <c r="D237" s="294">
        <f t="shared" ref="D237:I237" si="230">SUM(D221:D235)</f>
        <v>55162</v>
      </c>
      <c r="E237" s="294">
        <f t="shared" si="230"/>
        <v>55692</v>
      </c>
      <c r="F237" s="294">
        <f t="shared" si="230"/>
        <v>56703</v>
      </c>
      <c r="G237" s="294">
        <f t="shared" si="230"/>
        <v>57648</v>
      </c>
      <c r="H237" s="294">
        <f t="shared" si="230"/>
        <v>57961</v>
      </c>
      <c r="I237" s="294">
        <f t="shared" si="230"/>
        <v>58154</v>
      </c>
      <c r="J237" s="294">
        <f t="shared" ref="J237:K237" si="231">SUM(J221:J235)</f>
        <v>56445</v>
      </c>
      <c r="K237" s="294">
        <f t="shared" si="231"/>
        <v>58144</v>
      </c>
      <c r="L237" s="294">
        <f t="shared" ref="L237" si="232">SUM(L221:L235)</f>
        <v>57670</v>
      </c>
    </row>
    <row r="238" spans="1:17">
      <c r="A238" s="291"/>
      <c r="D238" s="294"/>
      <c r="E238" s="294"/>
      <c r="F238" s="294"/>
      <c r="G238" s="294"/>
      <c r="H238" s="294"/>
      <c r="I238" s="294"/>
      <c r="J238" s="294"/>
      <c r="K238" s="294"/>
      <c r="L238" s="294"/>
    </row>
    <row r="239" spans="1:17">
      <c r="A239" s="291" t="s">
        <v>2249</v>
      </c>
      <c r="D239" s="294"/>
      <c r="E239" s="294"/>
      <c r="F239" s="294"/>
      <c r="G239" s="294"/>
      <c r="H239" s="294"/>
      <c r="I239" s="294"/>
      <c r="J239" s="294"/>
      <c r="K239" s="294"/>
      <c r="L239" s="294"/>
    </row>
    <row r="240" spans="1:17">
      <c r="A240" s="291"/>
      <c r="B240" s="291"/>
      <c r="D240" s="305"/>
      <c r="E240" s="305"/>
      <c r="F240" s="305"/>
      <c r="G240" s="305"/>
      <c r="H240" s="305"/>
      <c r="I240" s="305"/>
      <c r="J240" s="305"/>
      <c r="K240" s="305"/>
      <c r="L240" s="305"/>
    </row>
    <row r="241" spans="1:17">
      <c r="A241" s="291"/>
      <c r="B241" s="291"/>
      <c r="D241" s="305"/>
      <c r="E241" s="305"/>
      <c r="F241" s="305"/>
      <c r="G241" s="305"/>
      <c r="H241" s="305"/>
      <c r="I241" s="305"/>
      <c r="J241" s="305"/>
      <c r="K241" s="305"/>
      <c r="L241" s="305"/>
    </row>
    <row r="242" spans="1:17">
      <c r="D242" s="42"/>
      <c r="E242" s="42" t="s">
        <v>2303</v>
      </c>
      <c r="F242" s="42"/>
      <c r="G242" s="42"/>
      <c r="H242" s="42"/>
      <c r="I242" s="42"/>
      <c r="J242" s="42"/>
      <c r="K242" s="42"/>
      <c r="L242" s="42"/>
      <c r="M242" s="65"/>
      <c r="N242" s="66" t="s">
        <v>13319</v>
      </c>
    </row>
    <row r="243" spans="1:17">
      <c r="D243" s="55">
        <v>2010</v>
      </c>
      <c r="E243" s="55">
        <v>2011</v>
      </c>
      <c r="F243" s="55">
        <v>2012</v>
      </c>
      <c r="G243" s="55">
        <v>2013</v>
      </c>
      <c r="H243" s="55">
        <v>2014</v>
      </c>
      <c r="I243" s="55">
        <v>2015</v>
      </c>
      <c r="J243" s="55">
        <v>2016</v>
      </c>
      <c r="K243" s="55">
        <v>2017</v>
      </c>
      <c r="L243" s="55">
        <v>2018</v>
      </c>
      <c r="N243" s="67" t="s">
        <v>2304</v>
      </c>
    </row>
    <row r="244" spans="1:17">
      <c r="A244" s="291" t="s">
        <v>2250</v>
      </c>
      <c r="D244" s="294">
        <f t="shared" ref="D244:I244" si="233">SUM(D245:D258)</f>
        <v>67689</v>
      </c>
      <c r="E244" s="294">
        <f t="shared" si="233"/>
        <v>64562</v>
      </c>
      <c r="F244" s="294">
        <f t="shared" si="233"/>
        <v>66697</v>
      </c>
      <c r="G244" s="294">
        <f t="shared" si="233"/>
        <v>67284</v>
      </c>
      <c r="H244" s="294">
        <f t="shared" si="233"/>
        <v>68085</v>
      </c>
      <c r="I244" s="294">
        <f t="shared" si="233"/>
        <v>67461</v>
      </c>
      <c r="J244" s="294">
        <f t="shared" ref="J244:K244" si="234">SUM(J245:J258)</f>
        <v>67541</v>
      </c>
      <c r="K244" s="294">
        <f t="shared" si="234"/>
        <v>68558</v>
      </c>
      <c r="L244" s="294">
        <f t="shared" ref="L244" si="235">SUM(L245:L258)</f>
        <v>69147</v>
      </c>
    </row>
    <row r="245" spans="1:17">
      <c r="A245" s="291" t="s">
        <v>6957</v>
      </c>
      <c r="B245" s="291" t="s">
        <v>8555</v>
      </c>
      <c r="C245" s="4" t="s">
        <v>10360</v>
      </c>
      <c r="D245" s="294">
        <v>5154</v>
      </c>
      <c r="E245" s="294">
        <v>5018</v>
      </c>
      <c r="F245" s="294">
        <v>5161</v>
      </c>
      <c r="G245" s="30">
        <v>5223</v>
      </c>
      <c r="H245" s="30">
        <v>5280</v>
      </c>
      <c r="I245" s="30">
        <v>5280</v>
      </c>
      <c r="J245" s="30">
        <v>5311</v>
      </c>
      <c r="K245" s="30">
        <v>5317</v>
      </c>
      <c r="L245" s="30">
        <v>5370</v>
      </c>
      <c r="N245" s="291" t="s">
        <v>2555</v>
      </c>
      <c r="O245" s="934"/>
      <c r="P245" s="301"/>
      <c r="Q245" s="940"/>
    </row>
    <row r="246" spans="1:17">
      <c r="A246" s="291" t="s">
        <v>6959</v>
      </c>
      <c r="B246" s="291" t="s">
        <v>2251</v>
      </c>
      <c r="C246" s="4" t="s">
        <v>10361</v>
      </c>
      <c r="D246" s="294">
        <v>5131</v>
      </c>
      <c r="E246" s="294">
        <v>5003</v>
      </c>
      <c r="F246" s="294">
        <v>5119</v>
      </c>
      <c r="G246" s="30">
        <v>5135</v>
      </c>
      <c r="H246" s="30">
        <v>5224</v>
      </c>
      <c r="I246" s="30">
        <v>5157</v>
      </c>
      <c r="J246" s="30">
        <v>5133</v>
      </c>
      <c r="K246" s="30">
        <v>5221</v>
      </c>
      <c r="L246" s="30">
        <v>5239</v>
      </c>
      <c r="N246" s="291" t="s">
        <v>2555</v>
      </c>
      <c r="O246" s="934"/>
      <c r="P246" s="301"/>
      <c r="Q246" s="940"/>
    </row>
    <row r="247" spans="1:17">
      <c r="A247" s="291" t="s">
        <v>6961</v>
      </c>
      <c r="B247" s="291" t="s">
        <v>2252</v>
      </c>
      <c r="C247" s="4" t="s">
        <v>10362</v>
      </c>
      <c r="D247" s="294">
        <v>4886</v>
      </c>
      <c r="E247" s="294">
        <v>4636</v>
      </c>
      <c r="F247" s="294">
        <v>4830</v>
      </c>
      <c r="G247" s="30">
        <v>4943</v>
      </c>
      <c r="H247" s="30">
        <v>4990</v>
      </c>
      <c r="I247" s="30">
        <v>4977</v>
      </c>
      <c r="J247" s="30">
        <v>4959</v>
      </c>
      <c r="K247" s="30">
        <v>5038</v>
      </c>
      <c r="L247" s="30">
        <v>5118</v>
      </c>
      <c r="N247" s="291" t="s">
        <v>2555</v>
      </c>
      <c r="O247" s="934"/>
      <c r="P247" s="301"/>
      <c r="Q247" s="940"/>
    </row>
    <row r="248" spans="1:17">
      <c r="A248" s="291" t="s">
        <v>6963</v>
      </c>
      <c r="B248" s="291" t="s">
        <v>2253</v>
      </c>
      <c r="C248" s="4" t="s">
        <v>10363</v>
      </c>
      <c r="D248" s="294">
        <v>4862</v>
      </c>
      <c r="E248" s="294">
        <v>4587</v>
      </c>
      <c r="F248" s="294">
        <v>4725</v>
      </c>
      <c r="G248" s="30">
        <v>4736</v>
      </c>
      <c r="H248" s="30">
        <v>4817</v>
      </c>
      <c r="I248" s="30">
        <v>4746</v>
      </c>
      <c r="J248" s="30">
        <v>4740</v>
      </c>
      <c r="K248" s="30">
        <v>4866</v>
      </c>
      <c r="L248" s="30">
        <v>4833</v>
      </c>
      <c r="N248" s="291" t="s">
        <v>2555</v>
      </c>
      <c r="O248" s="934"/>
      <c r="P248" s="301"/>
      <c r="Q248" s="940"/>
    </row>
    <row r="249" spans="1:17">
      <c r="A249" s="291" t="s">
        <v>6965</v>
      </c>
      <c r="B249" s="291" t="s">
        <v>2254</v>
      </c>
      <c r="C249" s="4" t="s">
        <v>10364</v>
      </c>
      <c r="D249" s="294">
        <v>5259</v>
      </c>
      <c r="E249" s="294">
        <v>4962</v>
      </c>
      <c r="F249" s="294">
        <v>5112</v>
      </c>
      <c r="G249" s="30">
        <v>5102</v>
      </c>
      <c r="H249" s="30">
        <v>5153</v>
      </c>
      <c r="I249" s="30">
        <v>5138</v>
      </c>
      <c r="J249" s="30">
        <v>5090</v>
      </c>
      <c r="K249" s="30">
        <v>5215</v>
      </c>
      <c r="L249" s="30">
        <v>5230</v>
      </c>
      <c r="N249" s="291" t="s">
        <v>2555</v>
      </c>
      <c r="O249" s="934"/>
      <c r="P249" s="301"/>
      <c r="Q249" s="940"/>
    </row>
    <row r="250" spans="1:17">
      <c r="A250" s="291" t="s">
        <v>6997</v>
      </c>
      <c r="B250" s="291" t="s">
        <v>2255</v>
      </c>
      <c r="C250" s="4" t="s">
        <v>10365</v>
      </c>
      <c r="D250" s="294">
        <v>4967</v>
      </c>
      <c r="E250" s="294">
        <v>4701</v>
      </c>
      <c r="F250" s="294">
        <v>4851</v>
      </c>
      <c r="G250" s="30">
        <v>4887</v>
      </c>
      <c r="H250" s="30">
        <v>4975</v>
      </c>
      <c r="I250" s="30">
        <v>4930</v>
      </c>
      <c r="J250" s="30">
        <v>4960</v>
      </c>
      <c r="K250" s="30">
        <v>5062</v>
      </c>
      <c r="L250" s="30">
        <v>5083</v>
      </c>
      <c r="N250" s="291" t="s">
        <v>2555</v>
      </c>
      <c r="O250" s="934"/>
      <c r="P250" s="301"/>
      <c r="Q250" s="940"/>
    </row>
    <row r="251" spans="1:17">
      <c r="A251" s="291" t="s">
        <v>6999</v>
      </c>
      <c r="B251" s="291" t="s">
        <v>2256</v>
      </c>
      <c r="C251" s="4" t="s">
        <v>10366</v>
      </c>
      <c r="D251" s="294">
        <v>3592</v>
      </c>
      <c r="E251" s="294">
        <v>3394</v>
      </c>
      <c r="F251" s="294">
        <v>3521</v>
      </c>
      <c r="G251" s="30">
        <v>3617</v>
      </c>
      <c r="H251" s="30">
        <v>3763</v>
      </c>
      <c r="I251" s="30">
        <v>3704</v>
      </c>
      <c r="J251" s="30">
        <v>3679</v>
      </c>
      <c r="K251" s="30">
        <v>3730</v>
      </c>
      <c r="L251" s="30">
        <v>3785</v>
      </c>
      <c r="N251" s="291" t="s">
        <v>2555</v>
      </c>
      <c r="O251" s="934"/>
      <c r="P251" s="301"/>
      <c r="Q251" s="940"/>
    </row>
    <row r="252" spans="1:17">
      <c r="A252" s="291" t="s">
        <v>7001</v>
      </c>
      <c r="B252" s="291" t="s">
        <v>2257</v>
      </c>
      <c r="C252" s="4" t="s">
        <v>10367</v>
      </c>
      <c r="D252" s="294">
        <v>4973</v>
      </c>
      <c r="E252" s="294">
        <v>4570</v>
      </c>
      <c r="F252" s="294">
        <v>4781</v>
      </c>
      <c r="G252" s="30">
        <v>4890</v>
      </c>
      <c r="H252" s="30">
        <v>4910</v>
      </c>
      <c r="I252" s="30">
        <v>4871</v>
      </c>
      <c r="J252" s="30">
        <v>4870</v>
      </c>
      <c r="K252" s="30">
        <v>4926</v>
      </c>
      <c r="L252" s="30">
        <v>4907</v>
      </c>
      <c r="N252" s="291" t="s">
        <v>2555</v>
      </c>
      <c r="O252" s="934"/>
      <c r="P252" s="301"/>
      <c r="Q252" s="940"/>
    </row>
    <row r="253" spans="1:17">
      <c r="A253" s="291" t="s">
        <v>7003</v>
      </c>
      <c r="B253" s="291" t="s">
        <v>2258</v>
      </c>
      <c r="C253" s="4" t="s">
        <v>10368</v>
      </c>
      <c r="D253" s="294">
        <v>4594</v>
      </c>
      <c r="E253" s="294">
        <v>4407</v>
      </c>
      <c r="F253" s="294">
        <v>4525</v>
      </c>
      <c r="G253" s="30">
        <v>4572</v>
      </c>
      <c r="H253" s="30">
        <v>4584</v>
      </c>
      <c r="I253" s="30">
        <v>4544</v>
      </c>
      <c r="J253" s="30">
        <v>4663</v>
      </c>
      <c r="K253" s="30">
        <v>4764</v>
      </c>
      <c r="L253" s="30">
        <v>4910</v>
      </c>
      <c r="N253" s="291" t="s">
        <v>2555</v>
      </c>
      <c r="O253" s="934"/>
      <c r="P253" s="301"/>
      <c r="Q253" s="940"/>
    </row>
    <row r="254" spans="1:17">
      <c r="A254" s="291" t="s">
        <v>7005</v>
      </c>
      <c r="B254" s="291" t="s">
        <v>6547</v>
      </c>
      <c r="C254" s="4" t="s">
        <v>10369</v>
      </c>
      <c r="D254" s="294">
        <v>4604</v>
      </c>
      <c r="E254" s="294">
        <v>4416</v>
      </c>
      <c r="F254" s="294">
        <v>4505</v>
      </c>
      <c r="G254" s="30">
        <v>4519</v>
      </c>
      <c r="H254" s="30">
        <v>4541</v>
      </c>
      <c r="I254" s="30">
        <v>4482</v>
      </c>
      <c r="J254" s="30">
        <v>4495</v>
      </c>
      <c r="K254" s="30">
        <v>4515</v>
      </c>
      <c r="L254" s="30">
        <v>4562</v>
      </c>
      <c r="N254" s="291" t="s">
        <v>2555</v>
      </c>
      <c r="O254" s="934"/>
      <c r="P254" s="301"/>
      <c r="Q254" s="940"/>
    </row>
    <row r="255" spans="1:17">
      <c r="A255" s="291" t="s">
        <v>7007</v>
      </c>
      <c r="B255" s="291" t="s">
        <v>4099</v>
      </c>
      <c r="C255" s="4" t="s">
        <v>10370</v>
      </c>
      <c r="D255" s="294">
        <v>5246</v>
      </c>
      <c r="E255" s="294">
        <v>5056</v>
      </c>
      <c r="F255" s="294">
        <v>5240</v>
      </c>
      <c r="G255" s="30">
        <v>5273</v>
      </c>
      <c r="H255" s="30">
        <v>5278</v>
      </c>
      <c r="I255" s="30">
        <v>5211</v>
      </c>
      <c r="J255" s="30">
        <v>5259</v>
      </c>
      <c r="K255" s="30">
        <v>5301</v>
      </c>
      <c r="L255" s="30">
        <v>5353</v>
      </c>
      <c r="N255" s="291" t="s">
        <v>2555</v>
      </c>
      <c r="O255" s="934"/>
      <c r="P255" s="301"/>
      <c r="Q255" s="940"/>
    </row>
    <row r="256" spans="1:17">
      <c r="A256" s="291" t="s">
        <v>7009</v>
      </c>
      <c r="B256" s="291" t="s">
        <v>8835</v>
      </c>
      <c r="C256" s="4" t="s">
        <v>10371</v>
      </c>
      <c r="D256" s="294">
        <v>4858</v>
      </c>
      <c r="E256" s="294">
        <v>4635</v>
      </c>
      <c r="F256" s="294">
        <v>4785</v>
      </c>
      <c r="G256" s="30">
        <v>4801</v>
      </c>
      <c r="H256" s="30">
        <v>4935</v>
      </c>
      <c r="I256" s="30">
        <v>4866</v>
      </c>
      <c r="J256" s="30">
        <v>4853</v>
      </c>
      <c r="K256" s="30">
        <v>4974</v>
      </c>
      <c r="L256" s="30">
        <v>5054</v>
      </c>
      <c r="N256" s="291" t="s">
        <v>2555</v>
      </c>
      <c r="O256" s="934"/>
      <c r="P256" s="301"/>
      <c r="Q256" s="940"/>
    </row>
    <row r="257" spans="1:17">
      <c r="A257" s="291" t="s">
        <v>7011</v>
      </c>
      <c r="B257" s="291" t="s">
        <v>8607</v>
      </c>
      <c r="C257" s="4" t="s">
        <v>10372</v>
      </c>
      <c r="D257" s="294">
        <v>4998</v>
      </c>
      <c r="E257" s="294">
        <v>4812</v>
      </c>
      <c r="F257" s="294">
        <v>5043</v>
      </c>
      <c r="G257" s="30">
        <v>5051</v>
      </c>
      <c r="H257" s="30">
        <v>5107</v>
      </c>
      <c r="I257" s="30">
        <v>5059</v>
      </c>
      <c r="J257" s="30">
        <v>5008</v>
      </c>
      <c r="K257" s="30">
        <v>5071</v>
      </c>
      <c r="L257" s="30">
        <v>5124</v>
      </c>
      <c r="N257" s="291" t="s">
        <v>2555</v>
      </c>
      <c r="O257" s="934"/>
      <c r="P257" s="301"/>
      <c r="Q257" s="940"/>
    </row>
    <row r="258" spans="1:17">
      <c r="A258" s="291" t="s">
        <v>7013</v>
      </c>
      <c r="B258" s="291" t="s">
        <v>5932</v>
      </c>
      <c r="C258" s="4" t="s">
        <v>10373</v>
      </c>
      <c r="D258" s="294">
        <v>4565</v>
      </c>
      <c r="E258" s="294">
        <v>4365</v>
      </c>
      <c r="F258" s="294">
        <v>4499</v>
      </c>
      <c r="G258" s="30">
        <v>4535</v>
      </c>
      <c r="H258" s="30">
        <v>4528</v>
      </c>
      <c r="I258" s="30">
        <v>4496</v>
      </c>
      <c r="J258" s="30">
        <v>4521</v>
      </c>
      <c r="K258" s="30">
        <v>4558</v>
      </c>
      <c r="L258" s="30">
        <v>4579</v>
      </c>
      <c r="N258" s="291" t="s">
        <v>2555</v>
      </c>
      <c r="O258" s="934"/>
      <c r="P258" s="301"/>
      <c r="Q258" s="940"/>
    </row>
    <row r="259" spans="1:17">
      <c r="D259" s="296"/>
      <c r="E259" s="296"/>
      <c r="F259" s="296"/>
      <c r="G259" s="296"/>
      <c r="H259" s="296"/>
      <c r="I259" s="296"/>
      <c r="J259" s="296"/>
      <c r="K259" s="296"/>
      <c r="L259" s="296"/>
    </row>
    <row r="260" spans="1:17">
      <c r="A260" s="291" t="s">
        <v>2555</v>
      </c>
      <c r="D260" s="294">
        <f t="shared" ref="D260:I260" si="236">SUM(D245:D258)</f>
        <v>67689</v>
      </c>
      <c r="E260" s="294">
        <f t="shared" si="236"/>
        <v>64562</v>
      </c>
      <c r="F260" s="294">
        <f t="shared" si="236"/>
        <v>66697</v>
      </c>
      <c r="G260" s="294">
        <f t="shared" si="236"/>
        <v>67284</v>
      </c>
      <c r="H260" s="294">
        <f t="shared" si="236"/>
        <v>68085</v>
      </c>
      <c r="I260" s="294">
        <f t="shared" si="236"/>
        <v>67461</v>
      </c>
      <c r="J260" s="294">
        <f t="shared" ref="J260:K260" si="237">SUM(J245:J258)</f>
        <v>67541</v>
      </c>
      <c r="K260" s="294">
        <f t="shared" si="237"/>
        <v>68558</v>
      </c>
      <c r="L260" s="294">
        <f t="shared" ref="L260" si="238">SUM(L245:L258)</f>
        <v>69147</v>
      </c>
    </row>
    <row r="261" spans="1:17">
      <c r="A261" s="291"/>
      <c r="D261" s="294"/>
      <c r="E261" s="294"/>
      <c r="F261" s="294"/>
      <c r="G261" s="294"/>
      <c r="H261" s="294"/>
      <c r="I261" s="294"/>
      <c r="J261" s="294"/>
      <c r="K261" s="294"/>
      <c r="L261" s="294"/>
    </row>
    <row r="262" spans="1:17">
      <c r="A262" s="291" t="s">
        <v>2482</v>
      </c>
      <c r="D262" s="294"/>
      <c r="E262" s="294"/>
      <c r="F262" s="294"/>
      <c r="G262" s="294"/>
      <c r="H262" s="294"/>
      <c r="I262" s="294"/>
      <c r="J262" s="294"/>
      <c r="K262" s="294"/>
      <c r="L262" s="294"/>
    </row>
    <row r="263" spans="1:17">
      <c r="A263" s="291"/>
      <c r="B263" s="291"/>
      <c r="D263" s="305"/>
      <c r="E263" s="305"/>
      <c r="F263" s="305"/>
      <c r="G263" s="305"/>
      <c r="H263" s="305"/>
      <c r="I263" s="305"/>
      <c r="J263" s="305"/>
      <c r="K263" s="305"/>
      <c r="L263" s="305"/>
    </row>
    <row r="264" spans="1:17">
      <c r="A264" s="291"/>
      <c r="B264" s="291"/>
      <c r="D264" s="305"/>
      <c r="E264" s="305"/>
      <c r="F264" s="305"/>
      <c r="G264" s="305"/>
      <c r="H264" s="305"/>
      <c r="I264" s="305"/>
      <c r="J264" s="305"/>
      <c r="K264" s="305"/>
      <c r="L264" s="305"/>
    </row>
    <row r="265" spans="1:17">
      <c r="E265" s="42" t="s">
        <v>2303</v>
      </c>
      <c r="F265" s="42"/>
      <c r="G265" s="42"/>
      <c r="H265" s="42"/>
      <c r="I265" s="42"/>
      <c r="J265" s="42"/>
      <c r="K265" s="42"/>
      <c r="L265" s="42"/>
      <c r="M265" s="65"/>
      <c r="N265" s="66" t="s">
        <v>13319</v>
      </c>
    </row>
    <row r="266" spans="1:17">
      <c r="D266" s="55">
        <v>2010</v>
      </c>
      <c r="E266" s="55">
        <v>2011</v>
      </c>
      <c r="F266" s="55">
        <v>2012</v>
      </c>
      <c r="G266" s="55">
        <v>2013</v>
      </c>
      <c r="H266" s="55">
        <v>2014</v>
      </c>
      <c r="I266" s="55">
        <v>2015</v>
      </c>
      <c r="J266" s="55">
        <v>2016</v>
      </c>
      <c r="K266" s="55">
        <v>2017</v>
      </c>
      <c r="L266" s="55">
        <v>2018</v>
      </c>
      <c r="N266" s="67" t="s">
        <v>2304</v>
      </c>
    </row>
    <row r="267" spans="1:17">
      <c r="A267" s="291" t="s">
        <v>13214</v>
      </c>
      <c r="D267" s="294">
        <f t="shared" ref="D267:I267" si="239">SUM(D268:D291)</f>
        <v>126419</v>
      </c>
      <c r="E267" s="294">
        <f t="shared" si="239"/>
        <v>126981</v>
      </c>
      <c r="F267" s="294">
        <f t="shared" si="239"/>
        <v>126983</v>
      </c>
      <c r="G267" s="294">
        <f t="shared" si="239"/>
        <v>128500</v>
      </c>
      <c r="H267" s="294">
        <f t="shared" si="239"/>
        <v>128307</v>
      </c>
      <c r="I267" s="294">
        <f t="shared" si="239"/>
        <v>128252</v>
      </c>
      <c r="J267" s="294">
        <f t="shared" ref="J267:K267" si="240">SUM(J268:J291)</f>
        <v>127528</v>
      </c>
      <c r="K267" s="294">
        <f t="shared" si="240"/>
        <v>128790</v>
      </c>
      <c r="L267" s="294">
        <f t="shared" ref="L267" si="241">SUM(L268:L291)</f>
        <v>129985</v>
      </c>
    </row>
    <row r="268" spans="1:17">
      <c r="A268" s="291" t="s">
        <v>6957</v>
      </c>
      <c r="B268" s="291" t="s">
        <v>2483</v>
      </c>
      <c r="C268" s="4" t="s">
        <v>10374</v>
      </c>
      <c r="D268" s="294">
        <v>4014</v>
      </c>
      <c r="E268" s="294">
        <v>4048</v>
      </c>
      <c r="F268" s="294">
        <v>4029</v>
      </c>
      <c r="G268" s="294">
        <v>4070</v>
      </c>
      <c r="H268" s="30">
        <v>4068</v>
      </c>
      <c r="I268" s="30">
        <v>4105</v>
      </c>
      <c r="J268" s="30">
        <v>4102</v>
      </c>
      <c r="K268" s="30">
        <v>4087</v>
      </c>
      <c r="L268" s="30">
        <v>4166</v>
      </c>
      <c r="N268" s="291" t="s">
        <v>2565</v>
      </c>
      <c r="O268" s="930"/>
      <c r="P268" s="944"/>
      <c r="Q268" s="945"/>
    </row>
    <row r="269" spans="1:17" ht="15.75" customHeight="1">
      <c r="A269" s="291" t="s">
        <v>6959</v>
      </c>
      <c r="B269" s="291" t="s">
        <v>5893</v>
      </c>
      <c r="C269" s="4" t="s">
        <v>10375</v>
      </c>
      <c r="D269" s="294">
        <v>4638</v>
      </c>
      <c r="E269" s="294">
        <v>4688</v>
      </c>
      <c r="F269" s="294">
        <v>4714</v>
      </c>
      <c r="G269" s="294">
        <v>4756</v>
      </c>
      <c r="H269" s="31">
        <v>4769</v>
      </c>
      <c r="I269" s="31">
        <v>4765</v>
      </c>
      <c r="J269" s="31">
        <v>4691</v>
      </c>
      <c r="K269" s="31">
        <v>4698</v>
      </c>
      <c r="L269" s="31">
        <v>4732</v>
      </c>
      <c r="N269" s="291" t="s">
        <v>2553</v>
      </c>
      <c r="O269" s="946"/>
      <c r="P269" s="944"/>
      <c r="Q269" s="945"/>
    </row>
    <row r="270" spans="1:17">
      <c r="A270" s="291" t="s">
        <v>6961</v>
      </c>
      <c r="B270" s="291" t="s">
        <v>5894</v>
      </c>
      <c r="C270" s="4" t="s">
        <v>10376</v>
      </c>
      <c r="D270" s="294">
        <v>6102</v>
      </c>
      <c r="E270" s="294">
        <v>6295</v>
      </c>
      <c r="F270" s="294">
        <v>6372</v>
      </c>
      <c r="G270" s="294">
        <v>6385</v>
      </c>
      <c r="H270" s="31">
        <v>6374</v>
      </c>
      <c r="I270" s="31">
        <v>6367</v>
      </c>
      <c r="J270" s="31">
        <v>6367</v>
      </c>
      <c r="K270" s="31">
        <v>6449</v>
      </c>
      <c r="L270" s="31">
        <v>6654</v>
      </c>
      <c r="N270" s="291" t="s">
        <v>2553</v>
      </c>
      <c r="O270" s="946"/>
      <c r="P270" s="944"/>
      <c r="Q270" s="945"/>
    </row>
    <row r="271" spans="1:17">
      <c r="A271" s="291" t="s">
        <v>6963</v>
      </c>
      <c r="B271" s="291" t="s">
        <v>5895</v>
      </c>
      <c r="C271" s="4" t="s">
        <v>10377</v>
      </c>
      <c r="D271" s="294">
        <v>8124</v>
      </c>
      <c r="E271" s="294">
        <v>8127</v>
      </c>
      <c r="F271" s="294">
        <v>8125</v>
      </c>
      <c r="G271" s="294">
        <v>8172</v>
      </c>
      <c r="H271" s="30">
        <v>8088</v>
      </c>
      <c r="I271" s="30">
        <v>8162</v>
      </c>
      <c r="J271" s="30">
        <v>8026</v>
      </c>
      <c r="K271" s="30">
        <v>8058</v>
      </c>
      <c r="L271" s="30">
        <v>8094</v>
      </c>
      <c r="N271" s="291" t="s">
        <v>2556</v>
      </c>
      <c r="O271" s="930"/>
      <c r="P271" s="944"/>
      <c r="Q271" s="945"/>
    </row>
    <row r="272" spans="1:17">
      <c r="A272" s="291" t="s">
        <v>6965</v>
      </c>
      <c r="B272" s="291" t="s">
        <v>5896</v>
      </c>
      <c r="C272" s="4" t="s">
        <v>10378</v>
      </c>
      <c r="D272" s="294">
        <v>2228</v>
      </c>
      <c r="E272" s="294">
        <v>2188</v>
      </c>
      <c r="F272" s="294">
        <v>2224</v>
      </c>
      <c r="G272" s="294">
        <v>2175</v>
      </c>
      <c r="H272" s="31">
        <v>2176</v>
      </c>
      <c r="I272" s="31">
        <v>2206</v>
      </c>
      <c r="J272" s="31">
        <v>2181</v>
      </c>
      <c r="K272" s="31">
        <v>2227</v>
      </c>
      <c r="L272" s="31">
        <v>2310</v>
      </c>
      <c r="N272" s="291" t="s">
        <v>2553</v>
      </c>
      <c r="O272" s="946"/>
      <c r="P272" s="944"/>
      <c r="Q272" s="945"/>
    </row>
    <row r="273" spans="1:17">
      <c r="A273" s="291" t="s">
        <v>6997</v>
      </c>
      <c r="B273" s="291" t="s">
        <v>5897</v>
      </c>
      <c r="C273" s="4" t="s">
        <v>10379</v>
      </c>
      <c r="D273" s="294">
        <v>4435</v>
      </c>
      <c r="E273" s="294">
        <v>4409</v>
      </c>
      <c r="F273" s="294">
        <v>4353</v>
      </c>
      <c r="G273" s="294">
        <v>4428</v>
      </c>
      <c r="H273" s="30">
        <v>4348</v>
      </c>
      <c r="I273" s="30">
        <v>4374</v>
      </c>
      <c r="J273" s="30">
        <v>4391</v>
      </c>
      <c r="K273" s="30">
        <v>4410</v>
      </c>
      <c r="L273" s="30">
        <v>4373</v>
      </c>
      <c r="N273" s="291" t="s">
        <v>2556</v>
      </c>
      <c r="O273" s="930"/>
      <c r="P273" s="944"/>
      <c r="Q273" s="945"/>
    </row>
    <row r="274" spans="1:17">
      <c r="A274" s="291" t="s">
        <v>6999</v>
      </c>
      <c r="B274" s="291" t="s">
        <v>5898</v>
      </c>
      <c r="C274" s="4" t="s">
        <v>10380</v>
      </c>
      <c r="D274" s="294">
        <v>4343</v>
      </c>
      <c r="E274" s="294">
        <v>4347</v>
      </c>
      <c r="F274" s="294">
        <v>4332</v>
      </c>
      <c r="G274" s="294">
        <v>4419</v>
      </c>
      <c r="H274" s="30">
        <v>4372</v>
      </c>
      <c r="I274" s="30">
        <v>4447</v>
      </c>
      <c r="J274" s="30">
        <v>4495</v>
      </c>
      <c r="K274" s="30">
        <v>4663</v>
      </c>
      <c r="L274" s="30">
        <v>4678</v>
      </c>
      <c r="N274" s="291" t="s">
        <v>2556</v>
      </c>
      <c r="O274" s="930"/>
      <c r="P274" s="944"/>
      <c r="Q274" s="945"/>
    </row>
    <row r="275" spans="1:17">
      <c r="A275" s="291" t="s">
        <v>7001</v>
      </c>
      <c r="B275" s="291" t="s">
        <v>5899</v>
      </c>
      <c r="C275" s="4" t="s">
        <v>10381</v>
      </c>
      <c r="D275" s="294">
        <v>6450</v>
      </c>
      <c r="E275" s="294">
        <v>6416</v>
      </c>
      <c r="F275" s="294">
        <v>6367</v>
      </c>
      <c r="G275" s="294">
        <v>6486</v>
      </c>
      <c r="H275" s="30">
        <v>6496</v>
      </c>
      <c r="I275" s="30">
        <v>6490</v>
      </c>
      <c r="J275" s="30">
        <v>6438</v>
      </c>
      <c r="K275" s="30">
        <v>6433</v>
      </c>
      <c r="L275" s="30">
        <v>6438</v>
      </c>
      <c r="N275" s="291" t="s">
        <v>2556</v>
      </c>
      <c r="O275" s="930"/>
      <c r="P275" s="944"/>
      <c r="Q275" s="945"/>
    </row>
    <row r="276" spans="1:17">
      <c r="A276" s="291" t="s">
        <v>7003</v>
      </c>
      <c r="B276" s="291" t="s">
        <v>7545</v>
      </c>
      <c r="C276" s="4" t="s">
        <v>10382</v>
      </c>
      <c r="D276" s="294">
        <v>4417</v>
      </c>
      <c r="E276" s="294">
        <v>4512</v>
      </c>
      <c r="F276" s="294">
        <v>4618</v>
      </c>
      <c r="G276" s="294">
        <v>4693</v>
      </c>
      <c r="H276" s="30">
        <v>4812</v>
      </c>
      <c r="I276" s="30">
        <v>4807</v>
      </c>
      <c r="J276" s="30">
        <v>4760</v>
      </c>
      <c r="K276" s="30">
        <v>4792</v>
      </c>
      <c r="L276" s="30">
        <v>4815</v>
      </c>
      <c r="N276" s="291" t="s">
        <v>2556</v>
      </c>
      <c r="O276" s="930"/>
      <c r="P276" s="944"/>
      <c r="Q276" s="945"/>
    </row>
    <row r="277" spans="1:17">
      <c r="A277" s="291" t="s">
        <v>7005</v>
      </c>
      <c r="B277" s="291" t="s">
        <v>7546</v>
      </c>
      <c r="C277" s="4" t="s">
        <v>10383</v>
      </c>
      <c r="D277" s="294">
        <v>6586</v>
      </c>
      <c r="E277" s="294">
        <v>6570</v>
      </c>
      <c r="F277" s="294">
        <v>6520</v>
      </c>
      <c r="G277" s="294">
        <v>6561</v>
      </c>
      <c r="H277" s="31">
        <v>6552</v>
      </c>
      <c r="I277" s="31">
        <v>6570</v>
      </c>
      <c r="J277" s="31">
        <v>6613</v>
      </c>
      <c r="K277" s="31">
        <v>6631</v>
      </c>
      <c r="L277" s="31">
        <v>6622</v>
      </c>
      <c r="N277" s="291" t="s">
        <v>2565</v>
      </c>
      <c r="O277" s="946"/>
      <c r="P277" s="944"/>
      <c r="Q277" s="945"/>
    </row>
    <row r="278" spans="1:17">
      <c r="A278" s="291" t="s">
        <v>7007</v>
      </c>
      <c r="B278" s="291" t="s">
        <v>7547</v>
      </c>
      <c r="C278" s="4" t="s">
        <v>10384</v>
      </c>
      <c r="D278" s="294">
        <v>5038</v>
      </c>
      <c r="E278" s="294">
        <v>5167</v>
      </c>
      <c r="F278" s="294">
        <v>5226</v>
      </c>
      <c r="G278" s="294">
        <v>5341</v>
      </c>
      <c r="H278" s="30">
        <v>5178</v>
      </c>
      <c r="I278" s="30">
        <v>4975</v>
      </c>
      <c r="J278" s="30">
        <v>4888</v>
      </c>
      <c r="K278" s="30">
        <v>5175</v>
      </c>
      <c r="L278" s="30">
        <v>5293</v>
      </c>
      <c r="N278" s="291" t="s">
        <v>2556</v>
      </c>
      <c r="O278" s="930"/>
      <c r="P278" s="944"/>
      <c r="Q278" s="945"/>
    </row>
    <row r="279" spans="1:17">
      <c r="A279" s="291" t="s">
        <v>7009</v>
      </c>
      <c r="B279" s="291" t="s">
        <v>7548</v>
      </c>
      <c r="C279" s="4" t="s">
        <v>10385</v>
      </c>
      <c r="D279" s="294">
        <v>7299</v>
      </c>
      <c r="E279" s="294">
        <v>7329</v>
      </c>
      <c r="F279" s="294">
        <v>7477</v>
      </c>
      <c r="G279" s="294">
        <v>7625</v>
      </c>
      <c r="H279" s="30">
        <v>7783</v>
      </c>
      <c r="I279" s="30">
        <v>7785</v>
      </c>
      <c r="J279" s="30">
        <v>7706</v>
      </c>
      <c r="K279" s="30">
        <v>8068</v>
      </c>
      <c r="L279" s="30">
        <v>8251</v>
      </c>
      <c r="N279" s="291" t="s">
        <v>2556</v>
      </c>
      <c r="O279" s="930"/>
      <c r="P279" s="944"/>
      <c r="Q279" s="945"/>
    </row>
    <row r="280" spans="1:17">
      <c r="A280" s="291" t="s">
        <v>7011</v>
      </c>
      <c r="B280" s="291" t="s">
        <v>5702</v>
      </c>
      <c r="C280" s="4" t="s">
        <v>10386</v>
      </c>
      <c r="D280" s="294">
        <v>4315</v>
      </c>
      <c r="E280" s="294">
        <v>4311</v>
      </c>
      <c r="F280" s="294">
        <v>4281</v>
      </c>
      <c r="G280" s="294">
        <v>4296</v>
      </c>
      <c r="H280" s="30">
        <v>4283</v>
      </c>
      <c r="I280" s="30">
        <v>4309</v>
      </c>
      <c r="J280" s="30">
        <v>4307</v>
      </c>
      <c r="K280" s="30">
        <v>4279</v>
      </c>
      <c r="L280" s="30">
        <v>4318</v>
      </c>
      <c r="N280" s="291" t="s">
        <v>2556</v>
      </c>
      <c r="O280" s="930"/>
      <c r="P280" s="944"/>
      <c r="Q280" s="945"/>
    </row>
    <row r="281" spans="1:17">
      <c r="A281" s="291" t="s">
        <v>7013</v>
      </c>
      <c r="B281" s="291" t="s">
        <v>5703</v>
      </c>
      <c r="C281" s="4" t="s">
        <v>10387</v>
      </c>
      <c r="D281" s="294">
        <v>6652</v>
      </c>
      <c r="E281" s="294">
        <v>6705</v>
      </c>
      <c r="F281" s="294">
        <v>6705</v>
      </c>
      <c r="G281" s="294">
        <v>6817</v>
      </c>
      <c r="H281" s="30">
        <v>6815</v>
      </c>
      <c r="I281" s="30">
        <v>6836</v>
      </c>
      <c r="J281" s="30">
        <v>6751</v>
      </c>
      <c r="K281" s="30">
        <v>6772</v>
      </c>
      <c r="L281" s="30">
        <v>6759</v>
      </c>
      <c r="N281" s="291" t="s">
        <v>2556</v>
      </c>
      <c r="O281" s="930"/>
      <c r="P281" s="944"/>
      <c r="Q281" s="945"/>
    </row>
    <row r="282" spans="1:17">
      <c r="A282" s="291" t="s">
        <v>7015</v>
      </c>
      <c r="B282" s="291" t="s">
        <v>5704</v>
      </c>
      <c r="C282" s="4" t="s">
        <v>10388</v>
      </c>
      <c r="D282" s="294">
        <v>3896</v>
      </c>
      <c r="E282" s="294">
        <v>3908</v>
      </c>
      <c r="F282" s="294">
        <v>3953</v>
      </c>
      <c r="G282" s="294">
        <v>4029</v>
      </c>
      <c r="H282" s="31">
        <v>4130</v>
      </c>
      <c r="I282" s="31">
        <v>4217</v>
      </c>
      <c r="J282" s="31">
        <v>4274</v>
      </c>
      <c r="K282" s="31">
        <v>4367</v>
      </c>
      <c r="L282" s="31">
        <v>4585</v>
      </c>
      <c r="N282" s="291" t="s">
        <v>2565</v>
      </c>
      <c r="O282" s="946"/>
      <c r="P282" s="944"/>
      <c r="Q282" s="945"/>
    </row>
    <row r="283" spans="1:17">
      <c r="A283" s="291" t="s">
        <v>7017</v>
      </c>
      <c r="B283" s="291" t="s">
        <v>6139</v>
      </c>
      <c r="C283" s="4" t="s">
        <v>10389</v>
      </c>
      <c r="D283" s="294">
        <v>6708</v>
      </c>
      <c r="E283" s="294">
        <v>6729</v>
      </c>
      <c r="F283" s="294">
        <v>6637</v>
      </c>
      <c r="G283" s="294">
        <v>6707</v>
      </c>
      <c r="H283" s="30">
        <v>6651</v>
      </c>
      <c r="I283" s="30">
        <v>6655</v>
      </c>
      <c r="J283" s="30">
        <v>6572</v>
      </c>
      <c r="K283" s="30">
        <v>6543</v>
      </c>
      <c r="L283" s="30">
        <v>6629</v>
      </c>
      <c r="N283" s="291" t="s">
        <v>2556</v>
      </c>
      <c r="O283" s="930"/>
      <c r="P283" s="944"/>
      <c r="Q283" s="945"/>
    </row>
    <row r="284" spans="1:17">
      <c r="A284" s="291" t="s">
        <v>7019</v>
      </c>
      <c r="B284" s="291" t="s">
        <v>5705</v>
      </c>
      <c r="C284" s="4" t="s">
        <v>10390</v>
      </c>
      <c r="D284" s="294">
        <v>4361</v>
      </c>
      <c r="E284" s="294">
        <v>4403</v>
      </c>
      <c r="F284" s="294">
        <v>4418</v>
      </c>
      <c r="G284" s="294">
        <v>4458</v>
      </c>
      <c r="H284" s="31">
        <v>4457</v>
      </c>
      <c r="I284" s="31">
        <v>4480</v>
      </c>
      <c r="J284" s="31">
        <v>4472</v>
      </c>
      <c r="K284" s="31">
        <v>4496</v>
      </c>
      <c r="L284" s="31">
        <v>4556</v>
      </c>
      <c r="N284" s="291" t="s">
        <v>2565</v>
      </c>
      <c r="O284" s="930"/>
      <c r="P284" s="944"/>
      <c r="Q284" s="945"/>
    </row>
    <row r="285" spans="1:17">
      <c r="A285" s="291" t="s">
        <v>7021</v>
      </c>
      <c r="B285" s="291" t="s">
        <v>5706</v>
      </c>
      <c r="C285" s="4" t="s">
        <v>10391</v>
      </c>
      <c r="D285" s="294">
        <v>6465</v>
      </c>
      <c r="E285" s="294">
        <v>6474</v>
      </c>
      <c r="F285" s="294">
        <v>6434</v>
      </c>
      <c r="G285" s="294">
        <v>6508</v>
      </c>
      <c r="H285" s="31">
        <v>6475</v>
      </c>
      <c r="I285" s="31">
        <v>6468</v>
      </c>
      <c r="J285" s="31">
        <v>6347</v>
      </c>
      <c r="K285" s="31">
        <v>6333</v>
      </c>
      <c r="L285" s="31">
        <v>6240</v>
      </c>
      <c r="N285" s="291" t="s">
        <v>2565</v>
      </c>
      <c r="O285" s="946"/>
      <c r="P285" s="944"/>
      <c r="Q285" s="945"/>
    </row>
    <row r="286" spans="1:17">
      <c r="A286" s="291" t="s">
        <v>7023</v>
      </c>
      <c r="B286" s="291" t="s">
        <v>5707</v>
      </c>
      <c r="C286" s="4" t="s">
        <v>10392</v>
      </c>
      <c r="D286" s="294">
        <v>6225</v>
      </c>
      <c r="E286" s="294">
        <v>6242</v>
      </c>
      <c r="F286" s="294">
        <v>6157</v>
      </c>
      <c r="G286" s="294">
        <v>6197</v>
      </c>
      <c r="H286" s="31">
        <v>6210</v>
      </c>
      <c r="I286" s="31">
        <v>6255</v>
      </c>
      <c r="J286" s="31">
        <v>6223</v>
      </c>
      <c r="K286" s="31">
        <v>6225</v>
      </c>
      <c r="L286" s="31">
        <v>6206</v>
      </c>
      <c r="N286" s="291" t="s">
        <v>2565</v>
      </c>
      <c r="O286" s="946"/>
      <c r="P286" s="944"/>
      <c r="Q286" s="945"/>
    </row>
    <row r="287" spans="1:17">
      <c r="A287" s="291" t="s">
        <v>7025</v>
      </c>
      <c r="B287" s="291" t="s">
        <v>5708</v>
      </c>
      <c r="C287" s="4" t="s">
        <v>10393</v>
      </c>
      <c r="D287" s="294">
        <v>6747</v>
      </c>
      <c r="E287" s="294">
        <v>6714</v>
      </c>
      <c r="F287" s="294">
        <v>6674</v>
      </c>
      <c r="G287" s="294">
        <v>6779</v>
      </c>
      <c r="H287" s="30">
        <v>6783</v>
      </c>
      <c r="I287" s="30">
        <v>6747</v>
      </c>
      <c r="J287" s="30">
        <v>6593</v>
      </c>
      <c r="K287" s="30">
        <v>6677</v>
      </c>
      <c r="L287" s="30">
        <v>6735</v>
      </c>
      <c r="N287" s="291" t="s">
        <v>2556</v>
      </c>
      <c r="O287" s="946"/>
      <c r="P287" s="944"/>
      <c r="Q287" s="945"/>
    </row>
    <row r="288" spans="1:17">
      <c r="A288" s="291">
        <v>21</v>
      </c>
      <c r="B288" s="291" t="s">
        <v>5709</v>
      </c>
      <c r="C288" s="4" t="s">
        <v>10394</v>
      </c>
      <c r="D288" s="294">
        <v>4240</v>
      </c>
      <c r="E288" s="294">
        <v>4220</v>
      </c>
      <c r="F288" s="294">
        <v>4214</v>
      </c>
      <c r="G288" s="294">
        <v>4257</v>
      </c>
      <c r="H288" s="30">
        <v>4189</v>
      </c>
      <c r="I288" s="30">
        <v>4211</v>
      </c>
      <c r="J288" s="30">
        <v>4230</v>
      </c>
      <c r="K288" s="30">
        <v>4248</v>
      </c>
      <c r="L288" s="30">
        <v>4263</v>
      </c>
      <c r="N288" s="291" t="s">
        <v>2556</v>
      </c>
      <c r="O288" s="930"/>
      <c r="P288" s="944"/>
      <c r="Q288" s="945"/>
    </row>
    <row r="289" spans="1:17">
      <c r="A289" s="291" t="s">
        <v>7572</v>
      </c>
      <c r="B289" s="291" t="s">
        <v>5546</v>
      </c>
      <c r="C289" s="4" t="s">
        <v>10395</v>
      </c>
      <c r="D289" s="294">
        <v>4392</v>
      </c>
      <c r="E289" s="294">
        <v>4425</v>
      </c>
      <c r="F289" s="294">
        <v>4372</v>
      </c>
      <c r="G289" s="294">
        <v>4467</v>
      </c>
      <c r="H289" s="30">
        <v>4450</v>
      </c>
      <c r="I289" s="30">
        <v>4509</v>
      </c>
      <c r="J289" s="30">
        <v>4542</v>
      </c>
      <c r="K289" s="30">
        <v>4522</v>
      </c>
      <c r="L289" s="30">
        <v>4595</v>
      </c>
      <c r="N289" s="291" t="s">
        <v>2556</v>
      </c>
      <c r="O289" s="930"/>
      <c r="P289" s="944"/>
      <c r="Q289" s="945"/>
    </row>
    <row r="290" spans="1:17">
      <c r="A290" s="291" t="s">
        <v>7573</v>
      </c>
      <c r="B290" s="291" t="s">
        <v>5710</v>
      </c>
      <c r="C290" s="4" t="s">
        <v>10396</v>
      </c>
      <c r="D290" s="294">
        <v>4447</v>
      </c>
      <c r="E290" s="294">
        <v>4424</v>
      </c>
      <c r="F290" s="294">
        <v>4420</v>
      </c>
      <c r="G290" s="294">
        <v>4484</v>
      </c>
      <c r="H290" s="30">
        <v>4378</v>
      </c>
      <c r="I290" s="30">
        <v>4366</v>
      </c>
      <c r="J290" s="30">
        <v>4408</v>
      </c>
      <c r="K290" s="30">
        <v>4484</v>
      </c>
      <c r="L290" s="30">
        <v>4552</v>
      </c>
      <c r="N290" s="291" t="s">
        <v>2556</v>
      </c>
      <c r="O290" s="930"/>
      <c r="P290" s="944"/>
      <c r="Q290" s="945"/>
    </row>
    <row r="291" spans="1:17">
      <c r="A291" s="291" t="s">
        <v>5798</v>
      </c>
      <c r="B291" s="291" t="s">
        <v>5711</v>
      </c>
      <c r="C291" s="4" t="s">
        <v>10397</v>
      </c>
      <c r="D291" s="296">
        <v>4297</v>
      </c>
      <c r="E291" s="296">
        <v>4330</v>
      </c>
      <c r="F291" s="296">
        <v>4361</v>
      </c>
      <c r="G291" s="296">
        <v>4390</v>
      </c>
      <c r="H291" s="31">
        <v>4470</v>
      </c>
      <c r="I291" s="31">
        <v>4146</v>
      </c>
      <c r="J291" s="31">
        <v>4151</v>
      </c>
      <c r="K291" s="31">
        <v>4153</v>
      </c>
      <c r="L291" s="31">
        <v>4121</v>
      </c>
      <c r="N291" s="291" t="s">
        <v>2553</v>
      </c>
      <c r="O291" s="946"/>
      <c r="P291" s="944"/>
      <c r="Q291" s="945"/>
    </row>
    <row r="292" spans="1:17">
      <c r="D292" s="296"/>
      <c r="E292" s="296"/>
      <c r="F292" s="296"/>
      <c r="G292" s="296"/>
      <c r="H292" s="296"/>
      <c r="I292" s="296"/>
      <c r="J292" s="296"/>
      <c r="K292" s="296"/>
      <c r="L292" s="296"/>
    </row>
    <row r="293" spans="1:17">
      <c r="A293" s="291" t="s">
        <v>2556</v>
      </c>
      <c r="D293" s="294">
        <f t="shared" ref="D293:I293" si="242">D271+SUM(D273:D276)+SUM(D278:D281)+D283+SUM(D287:D290)</f>
        <v>77607</v>
      </c>
      <c r="E293" s="294">
        <f t="shared" si="242"/>
        <v>77835</v>
      </c>
      <c r="F293" s="294">
        <f t="shared" si="242"/>
        <v>77801</v>
      </c>
      <c r="G293" s="294">
        <f t="shared" si="242"/>
        <v>78971</v>
      </c>
      <c r="H293" s="294">
        <f t="shared" si="242"/>
        <v>78626</v>
      </c>
      <c r="I293" s="294">
        <f t="shared" si="242"/>
        <v>78673</v>
      </c>
      <c r="J293" s="294">
        <f t="shared" ref="J293:K293" si="243">J271+SUM(J273:J276)+SUM(J278:J281)+J283+SUM(J287:J290)</f>
        <v>78107</v>
      </c>
      <c r="K293" s="294">
        <f t="shared" si="243"/>
        <v>79124</v>
      </c>
      <c r="L293" s="294">
        <f t="shared" ref="L293" si="244">L271+SUM(L273:L276)+SUM(L278:L281)+L283+SUM(L287:L290)</f>
        <v>79793</v>
      </c>
    </row>
    <row r="294" spans="1:17">
      <c r="A294" s="291" t="s">
        <v>5712</v>
      </c>
      <c r="D294" s="294">
        <f t="shared" ref="D294:I294" si="245">D268+D277+D282+SUM(D284:D286)</f>
        <v>31547</v>
      </c>
      <c r="E294" s="294">
        <f t="shared" si="245"/>
        <v>31645</v>
      </c>
      <c r="F294" s="294">
        <f t="shared" si="245"/>
        <v>31511</v>
      </c>
      <c r="G294" s="294">
        <f t="shared" si="245"/>
        <v>31823</v>
      </c>
      <c r="H294" s="294">
        <f t="shared" si="245"/>
        <v>31892</v>
      </c>
      <c r="I294" s="294">
        <f t="shared" si="245"/>
        <v>32095</v>
      </c>
      <c r="J294" s="294">
        <f t="shared" ref="J294:K294" si="246">J268+J277+J282+SUM(J284:J286)</f>
        <v>32031</v>
      </c>
      <c r="K294" s="294">
        <f t="shared" si="246"/>
        <v>32139</v>
      </c>
      <c r="L294" s="294">
        <f t="shared" ref="L294" si="247">L268+L277+L282+SUM(L284:L286)</f>
        <v>32375</v>
      </c>
    </row>
    <row r="295" spans="1:17">
      <c r="A295" s="291" t="s">
        <v>5713</v>
      </c>
      <c r="D295" s="294">
        <f t="shared" ref="D295:I295" si="248">D269+D270+D272+D291</f>
        <v>17265</v>
      </c>
      <c r="E295" s="294">
        <f t="shared" si="248"/>
        <v>17501</v>
      </c>
      <c r="F295" s="294">
        <f t="shared" si="248"/>
        <v>17671</v>
      </c>
      <c r="G295" s="294">
        <f t="shared" si="248"/>
        <v>17706</v>
      </c>
      <c r="H295" s="294">
        <f t="shared" si="248"/>
        <v>17789</v>
      </c>
      <c r="I295" s="294">
        <f t="shared" si="248"/>
        <v>17484</v>
      </c>
      <c r="J295" s="294">
        <f t="shared" ref="J295:K295" si="249">J269+J270+J272+J291</f>
        <v>17390</v>
      </c>
      <c r="K295" s="294">
        <f t="shared" si="249"/>
        <v>17527</v>
      </c>
      <c r="L295" s="294">
        <f t="shared" ref="L295" si="250">L269+L270+L272+L291</f>
        <v>17817</v>
      </c>
    </row>
    <row r="296" spans="1:17">
      <c r="A296" s="291"/>
      <c r="D296" s="294"/>
      <c r="E296" s="294"/>
      <c r="F296" s="294"/>
      <c r="G296" s="294"/>
      <c r="H296" s="294"/>
      <c r="I296" s="294"/>
      <c r="J296" s="294"/>
      <c r="K296" s="294"/>
      <c r="L296" s="294"/>
    </row>
    <row r="297" spans="1:17">
      <c r="A297" s="291" t="s">
        <v>5714</v>
      </c>
      <c r="D297" s="294"/>
      <c r="E297" s="294"/>
      <c r="F297" s="294"/>
      <c r="G297" s="294"/>
      <c r="H297" s="294"/>
      <c r="I297" s="294"/>
      <c r="J297" s="294"/>
      <c r="K297" s="294"/>
      <c r="L297" s="294"/>
    </row>
    <row r="298" spans="1:17">
      <c r="A298" s="306" t="s">
        <v>13215</v>
      </c>
      <c r="B298" s="291"/>
      <c r="D298" s="305"/>
      <c r="E298" s="305"/>
      <c r="F298" s="305"/>
      <c r="G298" s="305"/>
      <c r="H298" s="305"/>
      <c r="I298" s="305"/>
      <c r="J298" s="305"/>
      <c r="K298" s="305"/>
      <c r="L298" s="305"/>
    </row>
    <row r="299" spans="1:17">
      <c r="A299" s="306"/>
      <c r="B299" s="291"/>
      <c r="D299" s="305"/>
      <c r="E299" s="305"/>
      <c r="F299" s="305"/>
      <c r="G299" s="305"/>
      <c r="H299" s="305"/>
      <c r="I299" s="305"/>
      <c r="J299" s="305"/>
      <c r="K299" s="305"/>
      <c r="L299" s="305"/>
    </row>
    <row r="300" spans="1:17">
      <c r="A300" s="306"/>
      <c r="B300" s="291"/>
      <c r="D300" s="305"/>
      <c r="E300" s="305"/>
      <c r="F300" s="305"/>
      <c r="G300" s="305"/>
      <c r="H300" s="305"/>
      <c r="I300" s="305"/>
      <c r="J300" s="305"/>
      <c r="K300" s="305"/>
      <c r="L300" s="305"/>
    </row>
    <row r="301" spans="1:17">
      <c r="E301" s="42" t="s">
        <v>2303</v>
      </c>
      <c r="F301" s="42"/>
      <c r="G301" s="42"/>
      <c r="H301" s="42"/>
      <c r="I301" s="42"/>
      <c r="J301" s="42"/>
      <c r="K301" s="42"/>
      <c r="L301" s="42"/>
      <c r="M301" s="65"/>
      <c r="N301" s="66" t="s">
        <v>13319</v>
      </c>
    </row>
    <row r="302" spans="1:17">
      <c r="D302" s="55">
        <v>2010</v>
      </c>
      <c r="E302" s="55">
        <v>2011</v>
      </c>
      <c r="F302" s="55">
        <v>2012</v>
      </c>
      <c r="G302" s="55">
        <v>2013</v>
      </c>
      <c r="H302" s="55">
        <v>2014</v>
      </c>
      <c r="I302" s="55">
        <v>2015</v>
      </c>
      <c r="J302" s="55">
        <v>2016</v>
      </c>
      <c r="K302" s="55">
        <v>2017</v>
      </c>
      <c r="L302" s="55">
        <v>2018</v>
      </c>
      <c r="N302" s="67" t="s">
        <v>2304</v>
      </c>
    </row>
    <row r="303" spans="1:17">
      <c r="A303" s="291" t="s">
        <v>5715</v>
      </c>
      <c r="D303" s="294">
        <f t="shared" ref="D303:I303" si="251">D304+D305+SUM(D307:D311)+SUM(D313:D318)+SUM(D320:D326)</f>
        <v>124169</v>
      </c>
      <c r="E303" s="294">
        <f t="shared" si="251"/>
        <v>124252</v>
      </c>
      <c r="F303" s="294">
        <f t="shared" si="251"/>
        <v>124454</v>
      </c>
      <c r="G303" s="294">
        <f t="shared" si="251"/>
        <v>127376</v>
      </c>
      <c r="H303" s="294">
        <f t="shared" si="251"/>
        <v>122733</v>
      </c>
      <c r="I303" s="294">
        <f t="shared" si="251"/>
        <v>117280</v>
      </c>
      <c r="J303" s="294">
        <f>J304+J305+SUM(J307:J311)+SUM(J313:J318)+SUM(J320:J326)</f>
        <v>120001</v>
      </c>
      <c r="K303" s="294">
        <f>K304+K305+SUM(K307:K311)+SUM(K313:K318)+SUM(K320:K326)</f>
        <v>130591</v>
      </c>
      <c r="L303" s="294">
        <f>L304+L305+SUM(L307:L311)+SUM(L313:L318)+SUM(L320:L326)</f>
        <v>127252</v>
      </c>
    </row>
    <row r="304" spans="1:17">
      <c r="A304" s="291" t="s">
        <v>6957</v>
      </c>
      <c r="B304" s="72" t="s">
        <v>4005</v>
      </c>
      <c r="C304" s="72" t="s">
        <v>15777</v>
      </c>
      <c r="D304" s="294">
        <v>0</v>
      </c>
      <c r="E304" s="294">
        <v>0</v>
      </c>
      <c r="F304" s="294">
        <v>0</v>
      </c>
      <c r="G304" s="30">
        <v>0</v>
      </c>
      <c r="H304" s="30">
        <v>0</v>
      </c>
      <c r="I304" s="30">
        <v>0</v>
      </c>
      <c r="J304" s="30">
        <v>6424</v>
      </c>
      <c r="K304" s="30">
        <v>6962</v>
      </c>
      <c r="L304" s="30">
        <v>6668</v>
      </c>
      <c r="N304" s="291" t="s">
        <v>2560</v>
      </c>
      <c r="Q304" s="4"/>
    </row>
    <row r="305" spans="1:17" ht="15.75" thickBot="1">
      <c r="A305" s="291"/>
      <c r="B305" s="72"/>
      <c r="C305" s="72" t="s">
        <v>15777</v>
      </c>
      <c r="D305" s="295">
        <v>0</v>
      </c>
      <c r="E305" s="295">
        <v>0</v>
      </c>
      <c r="F305" s="295">
        <v>0</v>
      </c>
      <c r="G305" s="899">
        <v>0</v>
      </c>
      <c r="H305" s="899">
        <v>0</v>
      </c>
      <c r="I305" s="30">
        <v>0</v>
      </c>
      <c r="J305" s="30">
        <v>466</v>
      </c>
      <c r="K305" s="30">
        <v>539</v>
      </c>
      <c r="L305" s="955">
        <v>499</v>
      </c>
      <c r="N305" s="291" t="s">
        <v>2564</v>
      </c>
      <c r="Q305" s="4"/>
    </row>
    <row r="306" spans="1:17" ht="15.75" thickBot="1">
      <c r="A306" s="291"/>
      <c r="B306" s="72"/>
      <c r="C306" s="72" t="s">
        <v>15777</v>
      </c>
      <c r="D306" s="299">
        <f>D304+D305</f>
        <v>0</v>
      </c>
      <c r="E306" s="299">
        <f t="shared" ref="E306:L306" si="252">E304+E305</f>
        <v>0</v>
      </c>
      <c r="F306" s="299">
        <f t="shared" si="252"/>
        <v>0</v>
      </c>
      <c r="G306" s="299">
        <f t="shared" si="252"/>
        <v>0</v>
      </c>
      <c r="H306" s="299">
        <f t="shared" si="252"/>
        <v>0</v>
      </c>
      <c r="I306" s="299">
        <f t="shared" si="252"/>
        <v>0</v>
      </c>
      <c r="J306" s="299">
        <f t="shared" si="252"/>
        <v>6890</v>
      </c>
      <c r="K306" s="299">
        <f t="shared" si="252"/>
        <v>7501</v>
      </c>
      <c r="L306" s="299">
        <f t="shared" si="252"/>
        <v>7167</v>
      </c>
      <c r="N306" s="291"/>
      <c r="Q306" s="4"/>
    </row>
    <row r="307" spans="1:17">
      <c r="A307" s="291" t="s">
        <v>6959</v>
      </c>
      <c r="B307" s="72" t="s">
        <v>7588</v>
      </c>
      <c r="C307" s="72" t="s">
        <v>15778</v>
      </c>
      <c r="D307" s="294">
        <v>73501</v>
      </c>
      <c r="E307" s="294">
        <v>73638</v>
      </c>
      <c r="F307" s="294">
        <v>73928</v>
      </c>
      <c r="G307" s="31">
        <v>76414</v>
      </c>
      <c r="H307" s="31">
        <v>72841</v>
      </c>
      <c r="I307" s="31">
        <v>69819</v>
      </c>
      <c r="J307" s="30">
        <v>6662</v>
      </c>
      <c r="K307" s="30">
        <v>7421</v>
      </c>
      <c r="L307" s="30">
        <v>6834</v>
      </c>
      <c r="N307" s="291" t="s">
        <v>2560</v>
      </c>
      <c r="Q307" s="4"/>
    </row>
    <row r="308" spans="1:17">
      <c r="A308" s="291" t="s">
        <v>6961</v>
      </c>
      <c r="B308" s="72" t="s">
        <v>15780</v>
      </c>
      <c r="C308" s="72" t="s">
        <v>15779</v>
      </c>
      <c r="D308" s="294">
        <v>0</v>
      </c>
      <c r="E308" s="294">
        <v>0</v>
      </c>
      <c r="F308" s="294">
        <v>0</v>
      </c>
      <c r="G308" s="30">
        <v>0</v>
      </c>
      <c r="H308" s="30">
        <v>0</v>
      </c>
      <c r="I308" s="30">
        <v>0</v>
      </c>
      <c r="J308" s="30">
        <v>6801</v>
      </c>
      <c r="K308" s="30">
        <v>7784</v>
      </c>
      <c r="L308" s="30">
        <v>7961</v>
      </c>
      <c r="N308" s="291" t="s">
        <v>2560</v>
      </c>
      <c r="Q308" s="4"/>
    </row>
    <row r="309" spans="1:17">
      <c r="A309" s="291" t="s">
        <v>6963</v>
      </c>
      <c r="B309" s="72" t="s">
        <v>5900</v>
      </c>
      <c r="C309" s="72" t="s">
        <v>15781</v>
      </c>
      <c r="D309" s="294">
        <v>0</v>
      </c>
      <c r="E309" s="294">
        <v>0</v>
      </c>
      <c r="F309" s="294">
        <v>0</v>
      </c>
      <c r="G309" s="30">
        <v>0</v>
      </c>
      <c r="H309" s="30">
        <v>0</v>
      </c>
      <c r="I309" s="30">
        <v>0</v>
      </c>
      <c r="J309" s="30">
        <v>6732</v>
      </c>
      <c r="K309" s="30">
        <v>7395</v>
      </c>
      <c r="L309" s="30">
        <v>6994</v>
      </c>
      <c r="N309" s="291" t="s">
        <v>2560</v>
      </c>
      <c r="Q309" s="4"/>
    </row>
    <row r="310" spans="1:17">
      <c r="A310" s="291" t="s">
        <v>6965</v>
      </c>
      <c r="B310" s="72" t="s">
        <v>15799</v>
      </c>
      <c r="C310" s="72" t="s">
        <v>15782</v>
      </c>
      <c r="D310" s="294">
        <v>0</v>
      </c>
      <c r="E310" s="294">
        <v>0</v>
      </c>
      <c r="F310" s="294">
        <v>0</v>
      </c>
      <c r="G310" s="30">
        <v>0</v>
      </c>
      <c r="H310" s="30">
        <v>0</v>
      </c>
      <c r="I310" s="30">
        <v>0</v>
      </c>
      <c r="J310" s="30">
        <v>2794</v>
      </c>
      <c r="K310" s="30">
        <v>2987</v>
      </c>
      <c r="L310" s="30">
        <v>2852</v>
      </c>
      <c r="N310" s="291" t="s">
        <v>2560</v>
      </c>
      <c r="Q310" s="4"/>
    </row>
    <row r="311" spans="1:17" ht="15.75" thickBot="1">
      <c r="A311" s="291"/>
      <c r="B311" s="72"/>
      <c r="C311" s="72" t="s">
        <v>15782</v>
      </c>
      <c r="D311" s="295">
        <v>0</v>
      </c>
      <c r="E311" s="295">
        <v>0</v>
      </c>
      <c r="F311" s="295">
        <v>0</v>
      </c>
      <c r="G311" s="899">
        <v>0</v>
      </c>
      <c r="H311" s="899">
        <v>0</v>
      </c>
      <c r="I311" s="30">
        <v>0</v>
      </c>
      <c r="J311" s="30">
        <v>4206</v>
      </c>
      <c r="K311" s="30">
        <v>4461</v>
      </c>
      <c r="L311" s="955">
        <v>4255</v>
      </c>
      <c r="N311" s="291" t="s">
        <v>2564</v>
      </c>
      <c r="Q311" s="4"/>
    </row>
    <row r="312" spans="1:17" ht="15.75" thickBot="1">
      <c r="A312" s="291"/>
      <c r="B312" s="72"/>
      <c r="C312" s="72" t="s">
        <v>15782</v>
      </c>
      <c r="D312" s="299">
        <f>D310+D311</f>
        <v>0</v>
      </c>
      <c r="E312" s="299">
        <f t="shared" ref="E312:L312" si="253">E310+E311</f>
        <v>0</v>
      </c>
      <c r="F312" s="299">
        <f t="shared" si="253"/>
        <v>0</v>
      </c>
      <c r="G312" s="299">
        <f t="shared" si="253"/>
        <v>0</v>
      </c>
      <c r="H312" s="299">
        <f t="shared" si="253"/>
        <v>0</v>
      </c>
      <c r="I312" s="299">
        <f t="shared" si="253"/>
        <v>0</v>
      </c>
      <c r="J312" s="299">
        <f t="shared" si="253"/>
        <v>7000</v>
      </c>
      <c r="K312" s="299">
        <f t="shared" si="253"/>
        <v>7448</v>
      </c>
      <c r="L312" s="299">
        <f t="shared" si="253"/>
        <v>7107</v>
      </c>
      <c r="N312" s="291"/>
      <c r="Q312" s="4"/>
    </row>
    <row r="313" spans="1:17">
      <c r="A313" s="291" t="s">
        <v>6997</v>
      </c>
      <c r="B313" s="72" t="s">
        <v>15800</v>
      </c>
      <c r="C313" s="72" t="s">
        <v>15783</v>
      </c>
      <c r="D313" s="294">
        <v>20536</v>
      </c>
      <c r="E313" s="294">
        <v>20388</v>
      </c>
      <c r="F313" s="294">
        <v>20370</v>
      </c>
      <c r="G313" s="30">
        <v>20593</v>
      </c>
      <c r="H313" s="30">
        <v>20086</v>
      </c>
      <c r="I313" s="30">
        <v>19817</v>
      </c>
      <c r="J313" s="31">
        <v>6543</v>
      </c>
      <c r="K313" s="31">
        <v>7099</v>
      </c>
      <c r="L313" s="31">
        <v>6984</v>
      </c>
      <c r="N313" s="291" t="s">
        <v>4228</v>
      </c>
      <c r="Q313" s="4"/>
    </row>
    <row r="314" spans="1:17">
      <c r="A314" s="291" t="s">
        <v>6999</v>
      </c>
      <c r="B314" s="72" t="s">
        <v>15801</v>
      </c>
      <c r="C314" s="72" t="s">
        <v>15784</v>
      </c>
      <c r="D314" s="294">
        <v>30132</v>
      </c>
      <c r="E314" s="294">
        <v>30226</v>
      </c>
      <c r="F314" s="294">
        <v>30156</v>
      </c>
      <c r="G314" s="30">
        <v>30369</v>
      </c>
      <c r="H314" s="30">
        <v>29806</v>
      </c>
      <c r="I314" s="30">
        <v>27644</v>
      </c>
      <c r="J314" s="30">
        <v>7834</v>
      </c>
      <c r="K314" s="30">
        <v>8390</v>
      </c>
      <c r="L314" s="30">
        <v>8055</v>
      </c>
      <c r="N314" s="291" t="s">
        <v>2564</v>
      </c>
      <c r="Q314" s="4"/>
    </row>
    <row r="315" spans="1:17">
      <c r="A315" s="291" t="s">
        <v>7001</v>
      </c>
      <c r="B315" s="72" t="s">
        <v>2485</v>
      </c>
      <c r="C315" s="72" t="s">
        <v>15785</v>
      </c>
      <c r="D315" s="294">
        <v>0</v>
      </c>
      <c r="E315" s="294">
        <v>0</v>
      </c>
      <c r="F315" s="294">
        <v>0</v>
      </c>
      <c r="G315" s="30">
        <v>0</v>
      </c>
      <c r="H315" s="30">
        <v>0</v>
      </c>
      <c r="I315" s="30">
        <v>0</v>
      </c>
      <c r="J315" s="30">
        <v>6421</v>
      </c>
      <c r="K315" s="30">
        <v>7248</v>
      </c>
      <c r="L315" s="30">
        <v>7120</v>
      </c>
      <c r="N315" s="291" t="s">
        <v>2560</v>
      </c>
      <c r="Q315" s="4"/>
    </row>
    <row r="316" spans="1:17">
      <c r="A316" s="291" t="s">
        <v>7003</v>
      </c>
      <c r="B316" s="72" t="s">
        <v>15787</v>
      </c>
      <c r="C316" s="72" t="s">
        <v>15786</v>
      </c>
      <c r="D316" s="294">
        <v>0</v>
      </c>
      <c r="E316" s="294">
        <v>0</v>
      </c>
      <c r="F316" s="294">
        <v>0</v>
      </c>
      <c r="G316" s="30">
        <v>0</v>
      </c>
      <c r="H316" s="30">
        <v>0</v>
      </c>
      <c r="I316" s="30">
        <v>0</v>
      </c>
      <c r="J316" s="30">
        <v>7742</v>
      </c>
      <c r="K316" s="30">
        <v>8896</v>
      </c>
      <c r="L316" s="30">
        <v>8530</v>
      </c>
      <c r="N316" s="291" t="s">
        <v>2560</v>
      </c>
      <c r="Q316" s="4"/>
    </row>
    <row r="317" spans="1:17">
      <c r="A317" s="291" t="s">
        <v>7005</v>
      </c>
      <c r="B317" s="72" t="s">
        <v>15802</v>
      </c>
      <c r="C317" s="72" t="s">
        <v>15788</v>
      </c>
      <c r="D317" s="294">
        <v>0</v>
      </c>
      <c r="E317" s="294">
        <v>0</v>
      </c>
      <c r="F317" s="294">
        <v>0</v>
      </c>
      <c r="G317" s="30">
        <v>0</v>
      </c>
      <c r="H317" s="30">
        <v>0</v>
      </c>
      <c r="I317" s="30">
        <v>0</v>
      </c>
      <c r="J317" s="30">
        <v>5882</v>
      </c>
      <c r="K317" s="30">
        <v>6384</v>
      </c>
      <c r="L317" s="30">
        <v>6197</v>
      </c>
      <c r="N317" s="291" t="s">
        <v>2560</v>
      </c>
      <c r="Q317" s="4"/>
    </row>
    <row r="318" spans="1:17" ht="15.75" thickBot="1">
      <c r="A318" s="291"/>
      <c r="B318" s="72"/>
      <c r="C318" s="72" t="s">
        <v>15788</v>
      </c>
      <c r="D318" s="295">
        <v>0</v>
      </c>
      <c r="E318" s="295">
        <v>0</v>
      </c>
      <c r="F318" s="295">
        <v>0</v>
      </c>
      <c r="G318" s="899">
        <v>0</v>
      </c>
      <c r="H318" s="899">
        <v>0</v>
      </c>
      <c r="I318" s="30">
        <v>0</v>
      </c>
      <c r="J318" s="30">
        <v>1379</v>
      </c>
      <c r="K318" s="30">
        <v>1486</v>
      </c>
      <c r="L318" s="30">
        <v>1452</v>
      </c>
      <c r="N318" s="291" t="s">
        <v>2564</v>
      </c>
      <c r="Q318" s="4"/>
    </row>
    <row r="319" spans="1:17" ht="15.75" thickBot="1">
      <c r="A319" s="291"/>
      <c r="B319" s="72"/>
      <c r="C319" s="72" t="s">
        <v>15788</v>
      </c>
      <c r="D319" s="299">
        <f>D317+D318</f>
        <v>0</v>
      </c>
      <c r="E319" s="299">
        <f t="shared" ref="E319:L319" si="254">E317+E318</f>
        <v>0</v>
      </c>
      <c r="F319" s="299">
        <f t="shared" si="254"/>
        <v>0</v>
      </c>
      <c r="G319" s="299">
        <f t="shared" si="254"/>
        <v>0</v>
      </c>
      <c r="H319" s="299">
        <f t="shared" si="254"/>
        <v>0</v>
      </c>
      <c r="I319" s="299">
        <f t="shared" si="254"/>
        <v>0</v>
      </c>
      <c r="J319" s="299">
        <f t="shared" si="254"/>
        <v>7261</v>
      </c>
      <c r="K319" s="299">
        <f t="shared" si="254"/>
        <v>7870</v>
      </c>
      <c r="L319" s="299">
        <f t="shared" si="254"/>
        <v>7649</v>
      </c>
      <c r="N319" s="291"/>
      <c r="Q319" s="4"/>
    </row>
    <row r="320" spans="1:17">
      <c r="A320" s="291" t="s">
        <v>7007</v>
      </c>
      <c r="B320" s="72" t="s">
        <v>2486</v>
      </c>
      <c r="C320" s="72" t="s">
        <v>15789</v>
      </c>
      <c r="D320" s="294">
        <v>0</v>
      </c>
      <c r="E320" s="294">
        <v>0</v>
      </c>
      <c r="F320" s="294">
        <v>0</v>
      </c>
      <c r="G320" s="30">
        <v>0</v>
      </c>
      <c r="H320" s="30">
        <v>0</v>
      </c>
      <c r="I320" s="30">
        <v>0</v>
      </c>
      <c r="J320" s="30">
        <v>7801</v>
      </c>
      <c r="K320" s="30">
        <v>8246</v>
      </c>
      <c r="L320" s="30">
        <v>7884</v>
      </c>
      <c r="N320" s="291" t="s">
        <v>2560</v>
      </c>
      <c r="Q320" s="4"/>
    </row>
    <row r="321" spans="1:17">
      <c r="A321" s="291" t="s">
        <v>7009</v>
      </c>
      <c r="B321" s="72" t="s">
        <v>15791</v>
      </c>
      <c r="C321" s="72" t="s">
        <v>15790</v>
      </c>
      <c r="D321" s="294">
        <v>0</v>
      </c>
      <c r="E321" s="294">
        <v>0</v>
      </c>
      <c r="F321" s="294">
        <v>0</v>
      </c>
      <c r="G321" s="30">
        <v>0</v>
      </c>
      <c r="H321" s="30">
        <v>0</v>
      </c>
      <c r="I321" s="30">
        <v>0</v>
      </c>
      <c r="J321" s="31">
        <v>8268</v>
      </c>
      <c r="K321" s="31">
        <v>8747</v>
      </c>
      <c r="L321" s="31">
        <v>8458</v>
      </c>
      <c r="N321" s="291" t="s">
        <v>2564</v>
      </c>
      <c r="Q321" s="4"/>
    </row>
    <row r="322" spans="1:17">
      <c r="A322" s="291" t="s">
        <v>7011</v>
      </c>
      <c r="B322" s="72" t="s">
        <v>15793</v>
      </c>
      <c r="C322" s="72" t="s">
        <v>15792</v>
      </c>
      <c r="D322" s="294">
        <v>0</v>
      </c>
      <c r="E322" s="294">
        <v>0</v>
      </c>
      <c r="F322" s="294">
        <v>0</v>
      </c>
      <c r="G322" s="30">
        <v>0</v>
      </c>
      <c r="H322" s="30">
        <v>0</v>
      </c>
      <c r="I322" s="30">
        <v>0</v>
      </c>
      <c r="J322" s="30">
        <v>7812</v>
      </c>
      <c r="K322" s="30">
        <v>8217</v>
      </c>
      <c r="L322" s="30">
        <v>7848</v>
      </c>
      <c r="N322" s="291" t="s">
        <v>2560</v>
      </c>
      <c r="Q322" s="4"/>
    </row>
    <row r="323" spans="1:17">
      <c r="A323" s="291" t="s">
        <v>7013</v>
      </c>
      <c r="B323" s="72" t="s">
        <v>2488</v>
      </c>
      <c r="C323" s="72" t="s">
        <v>15794</v>
      </c>
      <c r="D323" s="294">
        <v>0</v>
      </c>
      <c r="E323" s="294">
        <v>0</v>
      </c>
      <c r="F323" s="294">
        <v>0</v>
      </c>
      <c r="G323" s="30">
        <v>0</v>
      </c>
      <c r="H323" s="30">
        <v>0</v>
      </c>
      <c r="I323" s="30">
        <v>0</v>
      </c>
      <c r="J323" s="30">
        <v>7224</v>
      </c>
      <c r="K323" s="30">
        <v>8067</v>
      </c>
      <c r="L323" s="30">
        <v>7668</v>
      </c>
      <c r="N323" s="291" t="s">
        <v>2560</v>
      </c>
      <c r="Q323" s="4"/>
    </row>
    <row r="324" spans="1:17">
      <c r="A324" s="291" t="s">
        <v>7015</v>
      </c>
      <c r="B324" s="72" t="s">
        <v>2489</v>
      </c>
      <c r="C324" s="72" t="s">
        <v>15795</v>
      </c>
      <c r="D324" s="294">
        <v>0</v>
      </c>
      <c r="E324" s="294">
        <v>0</v>
      </c>
      <c r="F324" s="294">
        <v>0</v>
      </c>
      <c r="G324" s="30">
        <v>0</v>
      </c>
      <c r="H324" s="30">
        <v>0</v>
      </c>
      <c r="I324" s="30">
        <v>0</v>
      </c>
      <c r="J324" s="31">
        <v>6329</v>
      </c>
      <c r="K324" s="31">
        <v>6710</v>
      </c>
      <c r="L324" s="31">
        <v>6514</v>
      </c>
      <c r="N324" s="291" t="s">
        <v>4228</v>
      </c>
      <c r="Q324" s="4"/>
    </row>
    <row r="325" spans="1:17">
      <c r="A325" s="291" t="s">
        <v>7017</v>
      </c>
      <c r="B325" s="72" t="s">
        <v>2490</v>
      </c>
      <c r="C325" s="72" t="s">
        <v>15796</v>
      </c>
      <c r="D325" s="294">
        <v>0</v>
      </c>
      <c r="E325" s="294">
        <v>0</v>
      </c>
      <c r="F325" s="294">
        <v>0</v>
      </c>
      <c r="G325" s="30">
        <v>0</v>
      </c>
      <c r="H325" s="30">
        <v>0</v>
      </c>
      <c r="I325" s="30">
        <v>0</v>
      </c>
      <c r="J325" s="31">
        <v>7005</v>
      </c>
      <c r="K325" s="31">
        <v>7418</v>
      </c>
      <c r="L325" s="31">
        <v>7151</v>
      </c>
      <c r="N325" s="291" t="s">
        <v>4228</v>
      </c>
      <c r="Q325" s="4"/>
    </row>
    <row r="326" spans="1:17">
      <c r="A326" s="291" t="s">
        <v>7019</v>
      </c>
      <c r="B326" s="72" t="s">
        <v>15798</v>
      </c>
      <c r="C326" s="72" t="s">
        <v>15797</v>
      </c>
      <c r="D326" s="294">
        <v>0</v>
      </c>
      <c r="E326" s="294">
        <v>0</v>
      </c>
      <c r="F326" s="294">
        <v>0</v>
      </c>
      <c r="G326" s="30">
        <v>0</v>
      </c>
      <c r="H326" s="30">
        <v>0</v>
      </c>
      <c r="I326" s="30">
        <v>0</v>
      </c>
      <c r="J326" s="31">
        <v>5676</v>
      </c>
      <c r="K326" s="31">
        <v>6134</v>
      </c>
      <c r="L326" s="31">
        <v>7328</v>
      </c>
      <c r="N326" s="291" t="s">
        <v>2564</v>
      </c>
      <c r="Q326" s="4"/>
    </row>
    <row r="327" spans="1:17">
      <c r="D327" s="296"/>
      <c r="E327" s="296"/>
      <c r="F327" s="296"/>
      <c r="G327" s="296"/>
      <c r="H327" s="296"/>
      <c r="I327" s="296"/>
      <c r="J327" s="296"/>
      <c r="K327" s="296"/>
      <c r="L327" s="296"/>
    </row>
    <row r="328" spans="1:17">
      <c r="A328" s="291" t="s">
        <v>2560</v>
      </c>
      <c r="D328" s="294">
        <f t="shared" ref="D328:I328" si="255">D304+SUM(D307:D310)+SUM(D315:D317)+D320+D322+D323</f>
        <v>73501</v>
      </c>
      <c r="E328" s="294">
        <f t="shared" si="255"/>
        <v>73638</v>
      </c>
      <c r="F328" s="294">
        <f t="shared" si="255"/>
        <v>73928</v>
      </c>
      <c r="G328" s="294">
        <f t="shared" si="255"/>
        <v>76414</v>
      </c>
      <c r="H328" s="294">
        <f t="shared" si="255"/>
        <v>72841</v>
      </c>
      <c r="I328" s="294">
        <f t="shared" si="255"/>
        <v>69819</v>
      </c>
      <c r="J328" s="294">
        <f>J304+SUM(J307:J310)+SUM(J315:J317)+J320+J322+J323</f>
        <v>72295</v>
      </c>
      <c r="K328" s="294">
        <f>K304+SUM(K307:K310)+SUM(K315:K317)+K320+K322+K323</f>
        <v>79607</v>
      </c>
      <c r="L328" s="294">
        <f>L304+SUM(L307:L310)+SUM(L315:L317)+L320+L322+L323</f>
        <v>76556</v>
      </c>
    </row>
    <row r="329" spans="1:17">
      <c r="A329" s="291" t="s">
        <v>2491</v>
      </c>
      <c r="D329" s="294">
        <f t="shared" ref="D329:I329" si="256">D305+D311+D314+D318+D321+D326</f>
        <v>30132</v>
      </c>
      <c r="E329" s="294">
        <f t="shared" si="256"/>
        <v>30226</v>
      </c>
      <c r="F329" s="294">
        <f t="shared" si="256"/>
        <v>30156</v>
      </c>
      <c r="G329" s="294">
        <f t="shared" si="256"/>
        <v>30369</v>
      </c>
      <c r="H329" s="294">
        <f t="shared" si="256"/>
        <v>29806</v>
      </c>
      <c r="I329" s="294">
        <f t="shared" si="256"/>
        <v>27644</v>
      </c>
      <c r="J329" s="294">
        <f>J305+J311+J314+J318+J321+J326</f>
        <v>27829</v>
      </c>
      <c r="K329" s="294">
        <f>K305+K311+K314+K318+K321+K326</f>
        <v>29757</v>
      </c>
      <c r="L329" s="294">
        <f>L305+L311+L314+L318+L321+L326</f>
        <v>30047</v>
      </c>
    </row>
    <row r="330" spans="1:17">
      <c r="A330" s="291" t="s">
        <v>3895</v>
      </c>
      <c r="D330" s="294">
        <f t="shared" ref="D330:I330" si="257">D313+D324+D325</f>
        <v>20536</v>
      </c>
      <c r="E330" s="294">
        <f t="shared" si="257"/>
        <v>20388</v>
      </c>
      <c r="F330" s="294">
        <f t="shared" si="257"/>
        <v>20370</v>
      </c>
      <c r="G330" s="294">
        <f t="shared" si="257"/>
        <v>20593</v>
      </c>
      <c r="H330" s="294">
        <f t="shared" si="257"/>
        <v>20086</v>
      </c>
      <c r="I330" s="294">
        <f t="shared" si="257"/>
        <v>19817</v>
      </c>
      <c r="J330" s="294">
        <f>J313+J324+J325</f>
        <v>19877</v>
      </c>
      <c r="K330" s="294">
        <f>K313+K324+K325</f>
        <v>21227</v>
      </c>
      <c r="L330" s="294">
        <f>L313+L324+L325</f>
        <v>20649</v>
      </c>
    </row>
    <row r="332" spans="1:17">
      <c r="A332" s="292" t="s">
        <v>15803</v>
      </c>
    </row>
    <row r="335" spans="1:17">
      <c r="E335" s="42" t="s">
        <v>2303</v>
      </c>
      <c r="F335" s="42"/>
      <c r="G335" s="42"/>
      <c r="H335" s="42"/>
      <c r="I335" s="42"/>
      <c r="J335" s="42"/>
      <c r="K335" s="42"/>
      <c r="L335" s="42"/>
      <c r="M335" s="65"/>
      <c r="N335" s="66" t="s">
        <v>13319</v>
      </c>
    </row>
    <row r="336" spans="1:17">
      <c r="D336" s="55">
        <v>2010</v>
      </c>
      <c r="E336" s="55">
        <v>2011</v>
      </c>
      <c r="F336" s="55">
        <v>2012</v>
      </c>
      <c r="G336" s="55">
        <v>2013</v>
      </c>
      <c r="H336" s="55">
        <v>2014</v>
      </c>
      <c r="I336" s="55">
        <v>2015</v>
      </c>
      <c r="J336" s="55">
        <v>2016</v>
      </c>
      <c r="K336" s="55">
        <v>2017</v>
      </c>
      <c r="L336" s="55">
        <v>2018</v>
      </c>
      <c r="N336" s="67" t="s">
        <v>2304</v>
      </c>
    </row>
    <row r="337" spans="1:17">
      <c r="A337" s="291" t="s">
        <v>2492</v>
      </c>
      <c r="D337" s="294">
        <f>SUM(D338:D348)+SUM(D350:D371)</f>
        <v>95464</v>
      </c>
      <c r="E337" s="294">
        <f t="shared" ref="E337:F337" si="258">SUM(E338:E348)+SUM(E350:E371)</f>
        <v>95881</v>
      </c>
      <c r="F337" s="294">
        <f t="shared" si="258"/>
        <v>97065</v>
      </c>
      <c r="G337" s="294">
        <f t="shared" ref="G337:H337" si="259">SUM(G338:G348)+SUM(G350:G371)</f>
        <v>97467</v>
      </c>
      <c r="H337" s="294">
        <f t="shared" si="259"/>
        <v>96837</v>
      </c>
      <c r="I337" s="294">
        <f t="shared" ref="I337:J337" si="260">SUM(I338:I348)+SUM(I350:I371)</f>
        <v>96989</v>
      </c>
      <c r="J337" s="294">
        <f t="shared" si="260"/>
        <v>97897</v>
      </c>
      <c r="K337" s="294">
        <f t="shared" ref="K337:L337" si="261">SUM(K338:K348)+SUM(K350:K371)</f>
        <v>99177</v>
      </c>
      <c r="L337" s="294">
        <f t="shared" si="261"/>
        <v>98420</v>
      </c>
    </row>
    <row r="338" spans="1:17">
      <c r="A338" s="291" t="s">
        <v>6957</v>
      </c>
      <c r="B338" s="291" t="s">
        <v>1450</v>
      </c>
      <c r="C338" s="4" t="s">
        <v>10398</v>
      </c>
      <c r="D338" s="300">
        <v>1606</v>
      </c>
      <c r="E338" s="300">
        <v>1618</v>
      </c>
      <c r="F338" s="300">
        <v>1610</v>
      </c>
      <c r="G338" s="30">
        <v>1638</v>
      </c>
      <c r="H338" s="30">
        <v>1669</v>
      </c>
      <c r="I338" s="30">
        <v>1663</v>
      </c>
      <c r="J338" s="30">
        <v>1693</v>
      </c>
      <c r="K338" s="30">
        <v>1733</v>
      </c>
      <c r="L338" s="30">
        <v>1748</v>
      </c>
      <c r="N338" s="291" t="s">
        <v>1451</v>
      </c>
      <c r="P338" s="944"/>
      <c r="Q338" s="945"/>
    </row>
    <row r="339" spans="1:17">
      <c r="A339" s="291" t="s">
        <v>6959</v>
      </c>
      <c r="B339" s="291" t="s">
        <v>1452</v>
      </c>
      <c r="C339" s="4" t="s">
        <v>10399</v>
      </c>
      <c r="D339" s="294">
        <v>3405</v>
      </c>
      <c r="E339" s="294">
        <v>3438</v>
      </c>
      <c r="F339" s="294">
        <v>3490</v>
      </c>
      <c r="G339" s="30">
        <v>3489</v>
      </c>
      <c r="H339" s="30">
        <v>3451</v>
      </c>
      <c r="I339" s="30">
        <v>3418</v>
      </c>
      <c r="J339" s="30">
        <v>3433</v>
      </c>
      <c r="K339" s="30">
        <v>3480</v>
      </c>
      <c r="L339" s="30">
        <v>3492</v>
      </c>
      <c r="N339" s="291" t="s">
        <v>1451</v>
      </c>
      <c r="P339" s="944"/>
      <c r="Q339" s="945"/>
    </row>
    <row r="340" spans="1:17">
      <c r="A340" s="291" t="s">
        <v>6961</v>
      </c>
      <c r="B340" s="291" t="s">
        <v>1453</v>
      </c>
      <c r="C340" s="4" t="s">
        <v>10400</v>
      </c>
      <c r="D340" s="294">
        <v>5237</v>
      </c>
      <c r="E340" s="294">
        <v>5154</v>
      </c>
      <c r="F340" s="294">
        <v>5213</v>
      </c>
      <c r="G340" s="30">
        <v>5206</v>
      </c>
      <c r="H340" s="30">
        <v>5164</v>
      </c>
      <c r="I340" s="30">
        <v>5217</v>
      </c>
      <c r="J340" s="30">
        <v>5234</v>
      </c>
      <c r="K340" s="30">
        <v>5273</v>
      </c>
      <c r="L340" s="30">
        <v>5273</v>
      </c>
      <c r="N340" s="291" t="s">
        <v>1451</v>
      </c>
      <c r="P340" s="944"/>
      <c r="Q340" s="945"/>
    </row>
    <row r="341" spans="1:17" ht="15" customHeight="1">
      <c r="A341" s="291" t="s">
        <v>6963</v>
      </c>
      <c r="B341" s="291" t="s">
        <v>1454</v>
      </c>
      <c r="C341" s="4" t="s">
        <v>10401</v>
      </c>
      <c r="D341" s="294">
        <v>1827</v>
      </c>
      <c r="E341" s="294">
        <v>1813</v>
      </c>
      <c r="F341" s="294">
        <v>1832</v>
      </c>
      <c r="G341" s="30">
        <v>1835</v>
      </c>
      <c r="H341" s="30">
        <v>1857</v>
      </c>
      <c r="I341" s="30">
        <v>1856</v>
      </c>
      <c r="J341" s="30">
        <v>1835</v>
      </c>
      <c r="K341" s="30">
        <v>1854</v>
      </c>
      <c r="L341" s="30">
        <v>1789</v>
      </c>
      <c r="N341" s="291" t="s">
        <v>1451</v>
      </c>
      <c r="O341" s="930"/>
      <c r="P341" s="944"/>
      <c r="Q341" s="945"/>
    </row>
    <row r="342" spans="1:17" ht="15" customHeight="1">
      <c r="A342" s="291" t="s">
        <v>6965</v>
      </c>
      <c r="B342" s="291" t="s">
        <v>1455</v>
      </c>
      <c r="C342" s="4" t="s">
        <v>10402</v>
      </c>
      <c r="D342" s="294">
        <v>3248</v>
      </c>
      <c r="E342" s="294">
        <v>3221</v>
      </c>
      <c r="F342" s="294">
        <v>3242</v>
      </c>
      <c r="G342" s="30">
        <v>3282</v>
      </c>
      <c r="H342" s="30">
        <v>3215</v>
      </c>
      <c r="I342" s="30">
        <v>3295</v>
      </c>
      <c r="J342" s="30">
        <v>3304</v>
      </c>
      <c r="K342" s="30">
        <v>3319</v>
      </c>
      <c r="L342" s="30">
        <v>3317</v>
      </c>
      <c r="N342" s="291" t="s">
        <v>1451</v>
      </c>
      <c r="O342" s="930"/>
      <c r="P342" s="944"/>
      <c r="Q342" s="945"/>
    </row>
    <row r="343" spans="1:17">
      <c r="A343" s="291" t="s">
        <v>6997</v>
      </c>
      <c r="B343" s="291" t="s">
        <v>1456</v>
      </c>
      <c r="C343" s="4" t="s">
        <v>10403</v>
      </c>
      <c r="D343" s="294">
        <v>3234</v>
      </c>
      <c r="E343" s="294">
        <v>3313</v>
      </c>
      <c r="F343" s="294">
        <v>3321</v>
      </c>
      <c r="G343" s="307">
        <v>3350</v>
      </c>
      <c r="H343" s="30">
        <v>3451</v>
      </c>
      <c r="I343" s="30">
        <v>3451</v>
      </c>
      <c r="J343" s="30">
        <v>3435</v>
      </c>
      <c r="K343" s="30">
        <v>3486</v>
      </c>
      <c r="L343" s="30">
        <v>3436</v>
      </c>
      <c r="N343" s="291" t="s">
        <v>1660</v>
      </c>
      <c r="O343" s="930"/>
      <c r="P343" s="944"/>
      <c r="Q343" s="945"/>
    </row>
    <row r="344" spans="1:17">
      <c r="A344" s="291" t="s">
        <v>6999</v>
      </c>
      <c r="B344" s="291" t="s">
        <v>1457</v>
      </c>
      <c r="C344" s="4" t="s">
        <v>10404</v>
      </c>
      <c r="D344" s="294">
        <v>4795</v>
      </c>
      <c r="E344" s="294">
        <v>4805</v>
      </c>
      <c r="F344" s="294">
        <v>4867</v>
      </c>
      <c r="G344" s="30">
        <v>4866</v>
      </c>
      <c r="H344" s="30">
        <v>4838</v>
      </c>
      <c r="I344" s="30">
        <v>4799</v>
      </c>
      <c r="J344" s="30">
        <v>4858</v>
      </c>
      <c r="K344" s="30">
        <v>4917</v>
      </c>
      <c r="L344" s="30">
        <v>4825</v>
      </c>
      <c r="N344" s="291" t="s">
        <v>1451</v>
      </c>
      <c r="O344" s="930"/>
      <c r="P344" s="944"/>
      <c r="Q344" s="945"/>
    </row>
    <row r="345" spans="1:17">
      <c r="A345" s="291" t="s">
        <v>7001</v>
      </c>
      <c r="B345" s="291" t="s">
        <v>1447</v>
      </c>
      <c r="C345" s="4" t="s">
        <v>10405</v>
      </c>
      <c r="D345" s="294">
        <v>4753</v>
      </c>
      <c r="E345" s="294">
        <v>4874</v>
      </c>
      <c r="F345" s="294">
        <v>4974</v>
      </c>
      <c r="G345" s="30">
        <v>5034</v>
      </c>
      <c r="H345" s="30">
        <v>4980</v>
      </c>
      <c r="I345" s="30">
        <v>5042</v>
      </c>
      <c r="J345" s="30">
        <v>5239</v>
      </c>
      <c r="K345" s="30">
        <v>5307</v>
      </c>
      <c r="L345" s="30">
        <v>5320</v>
      </c>
      <c r="N345" s="291" t="s">
        <v>1451</v>
      </c>
      <c r="O345" s="930"/>
      <c r="P345" s="944"/>
      <c r="Q345" s="945"/>
    </row>
    <row r="346" spans="1:17">
      <c r="A346" s="291" t="s">
        <v>7003</v>
      </c>
      <c r="B346" s="291" t="s">
        <v>1448</v>
      </c>
      <c r="C346" s="4" t="s">
        <v>10406</v>
      </c>
      <c r="D346" s="294">
        <v>4753</v>
      </c>
      <c r="E346" s="294">
        <v>4797</v>
      </c>
      <c r="F346" s="294">
        <v>4873</v>
      </c>
      <c r="G346" s="31">
        <v>4861</v>
      </c>
      <c r="H346" s="31">
        <v>4813</v>
      </c>
      <c r="I346" s="31">
        <v>4861</v>
      </c>
      <c r="J346" s="31">
        <v>4898</v>
      </c>
      <c r="K346" s="31">
        <v>4963</v>
      </c>
      <c r="L346" s="31">
        <v>4935</v>
      </c>
      <c r="N346" s="291" t="s">
        <v>1451</v>
      </c>
      <c r="O346" s="930"/>
      <c r="P346" s="944"/>
      <c r="Q346" s="945"/>
    </row>
    <row r="347" spans="1:17">
      <c r="A347" s="291" t="s">
        <v>7005</v>
      </c>
      <c r="B347" s="291" t="s">
        <v>2316</v>
      </c>
      <c r="C347" s="4" t="s">
        <v>13071</v>
      </c>
      <c r="D347" s="300">
        <v>0</v>
      </c>
      <c r="E347" s="300">
        <v>0</v>
      </c>
      <c r="F347" s="300">
        <v>157</v>
      </c>
      <c r="G347" s="300">
        <v>164</v>
      </c>
      <c r="H347" s="30">
        <v>167</v>
      </c>
      <c r="I347" s="30">
        <v>166</v>
      </c>
      <c r="J347" s="30">
        <v>168</v>
      </c>
      <c r="K347" s="30">
        <v>168</v>
      </c>
      <c r="L347" s="30">
        <v>174</v>
      </c>
      <c r="N347" s="291" t="s">
        <v>1660</v>
      </c>
      <c r="O347" s="930"/>
      <c r="P347" s="944"/>
      <c r="Q347" s="945"/>
    </row>
    <row r="348" spans="1:17" ht="15.75" thickBot="1">
      <c r="A348" s="291"/>
      <c r="B348" s="291"/>
      <c r="C348" s="4" t="s">
        <v>13071</v>
      </c>
      <c r="D348" s="295">
        <v>1651</v>
      </c>
      <c r="E348" s="295">
        <v>1671</v>
      </c>
      <c r="F348" s="295">
        <v>1684</v>
      </c>
      <c r="G348" s="300">
        <v>1700</v>
      </c>
      <c r="H348" s="31">
        <v>1711</v>
      </c>
      <c r="I348" s="31">
        <v>1702</v>
      </c>
      <c r="J348" s="31">
        <v>1715</v>
      </c>
      <c r="K348" s="31">
        <v>1778</v>
      </c>
      <c r="L348" s="31">
        <v>1749</v>
      </c>
      <c r="N348" s="291" t="s">
        <v>2563</v>
      </c>
      <c r="O348" s="930"/>
      <c r="P348" s="944"/>
      <c r="Q348" s="945"/>
    </row>
    <row r="349" spans="1:17" ht="15.75" thickBot="1">
      <c r="A349" s="291"/>
      <c r="B349" s="291"/>
      <c r="C349" s="4" t="s">
        <v>13071</v>
      </c>
      <c r="D349" s="299">
        <f>D347+D348</f>
        <v>1651</v>
      </c>
      <c r="E349" s="299">
        <f t="shared" ref="E349:L349" si="262">E347+E348</f>
        <v>1671</v>
      </c>
      <c r="F349" s="299">
        <f t="shared" si="262"/>
        <v>1841</v>
      </c>
      <c r="G349" s="299">
        <f t="shared" si="262"/>
        <v>1864</v>
      </c>
      <c r="H349" s="299">
        <f t="shared" si="262"/>
        <v>1878</v>
      </c>
      <c r="I349" s="299">
        <f t="shared" si="262"/>
        <v>1868</v>
      </c>
      <c r="J349" s="299">
        <f t="shared" si="262"/>
        <v>1883</v>
      </c>
      <c r="K349" s="299">
        <f t="shared" si="262"/>
        <v>1946</v>
      </c>
      <c r="L349" s="299">
        <f t="shared" si="262"/>
        <v>1923</v>
      </c>
      <c r="N349" s="291"/>
      <c r="O349" s="946"/>
      <c r="P349" s="944"/>
      <c r="Q349" s="945"/>
    </row>
    <row r="350" spans="1:17">
      <c r="A350" s="291" t="s">
        <v>7007</v>
      </c>
      <c r="B350" s="291" t="s">
        <v>2317</v>
      </c>
      <c r="C350" s="4" t="s">
        <v>10407</v>
      </c>
      <c r="D350" s="294">
        <v>1691</v>
      </c>
      <c r="E350" s="294">
        <v>1737</v>
      </c>
      <c r="F350" s="294">
        <v>1789</v>
      </c>
      <c r="G350" s="294">
        <v>1786</v>
      </c>
      <c r="H350" s="30">
        <v>1783</v>
      </c>
      <c r="I350" s="30">
        <v>1791</v>
      </c>
      <c r="J350" s="30">
        <v>1832</v>
      </c>
      <c r="K350" s="30">
        <v>1866</v>
      </c>
      <c r="L350" s="30">
        <v>1860</v>
      </c>
      <c r="N350" s="291" t="s">
        <v>1660</v>
      </c>
      <c r="O350" s="930"/>
      <c r="P350" s="944"/>
      <c r="Q350" s="945"/>
    </row>
    <row r="351" spans="1:17">
      <c r="A351" s="291" t="s">
        <v>7009</v>
      </c>
      <c r="B351" s="291" t="s">
        <v>2318</v>
      </c>
      <c r="C351" s="4" t="s">
        <v>10408</v>
      </c>
      <c r="D351" s="294">
        <v>1579</v>
      </c>
      <c r="E351" s="294">
        <v>1573</v>
      </c>
      <c r="F351" s="294">
        <v>1570</v>
      </c>
      <c r="G351" s="294">
        <v>1535</v>
      </c>
      <c r="H351" s="30">
        <v>1479</v>
      </c>
      <c r="I351" s="30">
        <v>1481</v>
      </c>
      <c r="J351" s="30">
        <v>1561</v>
      </c>
      <c r="K351" s="30">
        <v>1603</v>
      </c>
      <c r="L351" s="30">
        <v>1597</v>
      </c>
      <c r="N351" s="291" t="s">
        <v>1660</v>
      </c>
      <c r="O351" s="946"/>
      <c r="P351" s="944"/>
      <c r="Q351" s="945"/>
    </row>
    <row r="352" spans="1:17">
      <c r="A352" s="291" t="s">
        <v>7011</v>
      </c>
      <c r="B352" s="291" t="s">
        <v>2319</v>
      </c>
      <c r="C352" s="4" t="s">
        <v>10409</v>
      </c>
      <c r="D352" s="294">
        <v>3289</v>
      </c>
      <c r="E352" s="294">
        <v>3311</v>
      </c>
      <c r="F352" s="294">
        <v>3363</v>
      </c>
      <c r="G352" s="31">
        <v>3325</v>
      </c>
      <c r="H352" s="31">
        <v>3290</v>
      </c>
      <c r="I352" s="31">
        <v>3263</v>
      </c>
      <c r="J352" s="31">
        <v>3258</v>
      </c>
      <c r="K352" s="31">
        <v>3299</v>
      </c>
      <c r="L352" s="31">
        <v>3262</v>
      </c>
      <c r="N352" s="291" t="s">
        <v>1451</v>
      </c>
      <c r="O352" s="945"/>
      <c r="P352" s="944"/>
      <c r="Q352" s="945"/>
    </row>
    <row r="353" spans="1:17">
      <c r="A353" s="291" t="s">
        <v>7013</v>
      </c>
      <c r="B353" s="291" t="s">
        <v>2320</v>
      </c>
      <c r="C353" s="4" t="s">
        <v>10410</v>
      </c>
      <c r="D353" s="294">
        <v>3173</v>
      </c>
      <c r="E353" s="294">
        <v>3173</v>
      </c>
      <c r="F353" s="294">
        <v>3208</v>
      </c>
      <c r="G353" s="31">
        <v>3191</v>
      </c>
      <c r="H353" s="31">
        <v>3130</v>
      </c>
      <c r="I353" s="31">
        <v>3120</v>
      </c>
      <c r="J353" s="31">
        <v>3173</v>
      </c>
      <c r="K353" s="31">
        <v>3178</v>
      </c>
      <c r="L353" s="31">
        <v>3165</v>
      </c>
      <c r="N353" s="291" t="s">
        <v>1451</v>
      </c>
      <c r="O353" s="930"/>
      <c r="P353" s="944"/>
      <c r="Q353" s="945"/>
    </row>
    <row r="354" spans="1:17">
      <c r="A354" s="291" t="s">
        <v>7015</v>
      </c>
      <c r="B354" s="291" t="s">
        <v>2321</v>
      </c>
      <c r="C354" s="4" t="s">
        <v>10411</v>
      </c>
      <c r="D354" s="294">
        <v>3185</v>
      </c>
      <c r="E354" s="294">
        <v>3227</v>
      </c>
      <c r="F354" s="294">
        <v>3205</v>
      </c>
      <c r="G354" s="31">
        <v>3199</v>
      </c>
      <c r="H354" s="31">
        <v>3169</v>
      </c>
      <c r="I354" s="31">
        <v>3157</v>
      </c>
      <c r="J354" s="31">
        <v>3166</v>
      </c>
      <c r="K354" s="31">
        <v>3176</v>
      </c>
      <c r="L354" s="31">
        <v>3118</v>
      </c>
      <c r="N354" s="291" t="s">
        <v>1451</v>
      </c>
      <c r="O354" s="930"/>
      <c r="P354" s="944"/>
      <c r="Q354" s="945"/>
    </row>
    <row r="355" spans="1:17">
      <c r="A355" s="291" t="s">
        <v>7017</v>
      </c>
      <c r="B355" s="291" t="s">
        <v>2322</v>
      </c>
      <c r="C355" s="4" t="s">
        <v>10412</v>
      </c>
      <c r="D355" s="294">
        <v>3334</v>
      </c>
      <c r="E355" s="294">
        <v>3373</v>
      </c>
      <c r="F355" s="294">
        <v>3367</v>
      </c>
      <c r="G355" s="31">
        <v>3352</v>
      </c>
      <c r="H355" s="31">
        <v>3361</v>
      </c>
      <c r="I355" s="31">
        <v>3355</v>
      </c>
      <c r="J355" s="31">
        <v>3349</v>
      </c>
      <c r="K355" s="31">
        <v>3373</v>
      </c>
      <c r="L355" s="31">
        <v>3349</v>
      </c>
      <c r="N355" s="291" t="s">
        <v>1451</v>
      </c>
      <c r="O355" s="946"/>
      <c r="P355" s="944"/>
      <c r="Q355" s="945"/>
    </row>
    <row r="356" spans="1:17">
      <c r="A356" s="291" t="s">
        <v>7019</v>
      </c>
      <c r="B356" s="291" t="s">
        <v>2323</v>
      </c>
      <c r="C356" s="4" t="s">
        <v>10413</v>
      </c>
      <c r="D356" s="294">
        <v>3507</v>
      </c>
      <c r="E356" s="294">
        <v>3470</v>
      </c>
      <c r="F356" s="294">
        <v>3527</v>
      </c>
      <c r="G356" s="31">
        <v>3532</v>
      </c>
      <c r="H356" s="31">
        <v>3492</v>
      </c>
      <c r="I356" s="31">
        <v>3472</v>
      </c>
      <c r="J356" s="31">
        <v>3523</v>
      </c>
      <c r="K356" s="31">
        <v>3574</v>
      </c>
      <c r="L356" s="31">
        <v>3517</v>
      </c>
      <c r="N356" s="291" t="s">
        <v>1451</v>
      </c>
      <c r="O356" s="946"/>
      <c r="P356" s="944"/>
      <c r="Q356" s="945"/>
    </row>
    <row r="357" spans="1:17">
      <c r="A357" s="291" t="s">
        <v>7021</v>
      </c>
      <c r="B357" s="291" t="s">
        <v>4007</v>
      </c>
      <c r="C357" s="4" t="s">
        <v>10414</v>
      </c>
      <c r="D357" s="294">
        <v>3451</v>
      </c>
      <c r="E357" s="294">
        <v>3407</v>
      </c>
      <c r="F357" s="294">
        <v>3423</v>
      </c>
      <c r="G357" s="31">
        <v>3390</v>
      </c>
      <c r="H357" s="31">
        <v>3325</v>
      </c>
      <c r="I357" s="31">
        <v>3344</v>
      </c>
      <c r="J357" s="31">
        <v>3392</v>
      </c>
      <c r="K357" s="31">
        <v>3440</v>
      </c>
      <c r="L357" s="31">
        <v>3446</v>
      </c>
      <c r="N357" s="291" t="s">
        <v>1451</v>
      </c>
      <c r="O357" s="946"/>
      <c r="P357" s="944"/>
      <c r="Q357" s="945"/>
    </row>
    <row r="358" spans="1:17">
      <c r="A358" s="291" t="s">
        <v>7023</v>
      </c>
      <c r="B358" s="291" t="s">
        <v>4008</v>
      </c>
      <c r="C358" s="4" t="s">
        <v>10415</v>
      </c>
      <c r="D358" s="294">
        <v>3284</v>
      </c>
      <c r="E358" s="294">
        <v>3373</v>
      </c>
      <c r="F358" s="294">
        <v>3549</v>
      </c>
      <c r="G358" s="31">
        <v>3614</v>
      </c>
      <c r="H358" s="31">
        <v>3658</v>
      </c>
      <c r="I358" s="31">
        <v>3656</v>
      </c>
      <c r="J358" s="31">
        <v>3703</v>
      </c>
      <c r="K358" s="31">
        <v>3770</v>
      </c>
      <c r="L358" s="31">
        <v>3716</v>
      </c>
      <c r="N358" s="291" t="s">
        <v>1451</v>
      </c>
      <c r="O358" s="946"/>
      <c r="P358" s="944"/>
      <c r="Q358" s="945"/>
    </row>
    <row r="359" spans="1:17">
      <c r="A359" s="291" t="s">
        <v>7025</v>
      </c>
      <c r="B359" s="291" t="s">
        <v>4009</v>
      </c>
      <c r="C359" s="4" t="s">
        <v>10416</v>
      </c>
      <c r="D359" s="294">
        <v>3141</v>
      </c>
      <c r="E359" s="294">
        <v>3198</v>
      </c>
      <c r="F359" s="294">
        <v>3204</v>
      </c>
      <c r="G359" s="294">
        <v>3216</v>
      </c>
      <c r="H359" s="31">
        <v>3220</v>
      </c>
      <c r="I359" s="31">
        <v>3253</v>
      </c>
      <c r="J359" s="31">
        <v>3245</v>
      </c>
      <c r="K359" s="31">
        <v>3299</v>
      </c>
      <c r="L359" s="31">
        <v>3273</v>
      </c>
      <c r="N359" s="291" t="s">
        <v>2563</v>
      </c>
      <c r="O359" s="946"/>
      <c r="P359" s="944"/>
      <c r="Q359" s="945"/>
    </row>
    <row r="360" spans="1:17">
      <c r="A360" s="291" t="s">
        <v>7570</v>
      </c>
      <c r="B360" s="291" t="s">
        <v>2307</v>
      </c>
      <c r="C360" s="4" t="s">
        <v>10417</v>
      </c>
      <c r="D360" s="294">
        <v>1717</v>
      </c>
      <c r="E360" s="294">
        <v>1708</v>
      </c>
      <c r="F360" s="294">
        <v>1783</v>
      </c>
      <c r="G360" s="294">
        <v>1760</v>
      </c>
      <c r="H360" s="31">
        <v>1681</v>
      </c>
      <c r="I360" s="31">
        <v>1659</v>
      </c>
      <c r="J360" s="31">
        <v>1699</v>
      </c>
      <c r="K360" s="31">
        <v>1730</v>
      </c>
      <c r="L360" s="31">
        <v>1715</v>
      </c>
      <c r="N360" s="291" t="s">
        <v>2563</v>
      </c>
      <c r="O360" s="946"/>
      <c r="P360" s="944"/>
      <c r="Q360" s="945"/>
    </row>
    <row r="361" spans="1:17">
      <c r="A361" s="291" t="s">
        <v>7572</v>
      </c>
      <c r="B361" s="292" t="s">
        <v>2308</v>
      </c>
      <c r="C361" s="4" t="s">
        <v>13072</v>
      </c>
      <c r="D361" s="294">
        <v>1719</v>
      </c>
      <c r="E361" s="294">
        <v>1720</v>
      </c>
      <c r="F361" s="294">
        <v>1580</v>
      </c>
      <c r="G361" s="294">
        <v>1615</v>
      </c>
      <c r="H361" s="30">
        <v>1618</v>
      </c>
      <c r="I361" s="30">
        <v>1634</v>
      </c>
      <c r="J361" s="30">
        <v>1661</v>
      </c>
      <c r="K361" s="30">
        <v>1725</v>
      </c>
      <c r="L361" s="30">
        <v>1694</v>
      </c>
      <c r="N361" s="291" t="s">
        <v>1660</v>
      </c>
      <c r="O361" s="946"/>
      <c r="P361" s="944"/>
      <c r="Q361" s="945"/>
    </row>
    <row r="362" spans="1:17">
      <c r="A362" s="291" t="s">
        <v>7573</v>
      </c>
      <c r="B362" s="291" t="s">
        <v>2309</v>
      </c>
      <c r="C362" s="4" t="s">
        <v>10418</v>
      </c>
      <c r="D362" s="294">
        <v>3509</v>
      </c>
      <c r="E362" s="294">
        <v>3529</v>
      </c>
      <c r="F362" s="294">
        <v>3658</v>
      </c>
      <c r="G362" s="294">
        <v>3732</v>
      </c>
      <c r="H362" s="30">
        <v>3687</v>
      </c>
      <c r="I362" s="30">
        <v>3681</v>
      </c>
      <c r="J362" s="30">
        <v>3659</v>
      </c>
      <c r="K362" s="30">
        <v>3757</v>
      </c>
      <c r="L362" s="30">
        <v>3693</v>
      </c>
      <c r="N362" s="291" t="s">
        <v>1660</v>
      </c>
      <c r="O362" s="946"/>
      <c r="P362" s="944"/>
      <c r="Q362" s="945"/>
    </row>
    <row r="363" spans="1:17">
      <c r="A363" s="291" t="s">
        <v>5798</v>
      </c>
      <c r="B363" s="291" t="s">
        <v>2310</v>
      </c>
      <c r="C363" s="4" t="s">
        <v>10419</v>
      </c>
      <c r="D363" s="294">
        <v>1754</v>
      </c>
      <c r="E363" s="294">
        <v>1772</v>
      </c>
      <c r="F363" s="294">
        <v>1811</v>
      </c>
      <c r="G363" s="294">
        <v>1838</v>
      </c>
      <c r="H363" s="30">
        <v>1823</v>
      </c>
      <c r="I363" s="30">
        <v>1847</v>
      </c>
      <c r="J363" s="30">
        <v>1884</v>
      </c>
      <c r="K363" s="30">
        <v>1911</v>
      </c>
      <c r="L363" s="30">
        <v>1897</v>
      </c>
      <c r="N363" s="291" t="s">
        <v>1660</v>
      </c>
      <c r="O363" s="946"/>
      <c r="P363" s="944"/>
      <c r="Q363" s="945"/>
    </row>
    <row r="364" spans="1:17">
      <c r="A364" s="291" t="s">
        <v>5799</v>
      </c>
      <c r="B364" s="291" t="s">
        <v>4388</v>
      </c>
      <c r="C364" s="4" t="s">
        <v>10420</v>
      </c>
      <c r="D364" s="294">
        <v>1749</v>
      </c>
      <c r="E364" s="294">
        <v>1743</v>
      </c>
      <c r="F364" s="294">
        <v>1765</v>
      </c>
      <c r="G364" s="294">
        <v>1780</v>
      </c>
      <c r="H364" s="31">
        <v>1785</v>
      </c>
      <c r="I364" s="31">
        <v>1761</v>
      </c>
      <c r="J364" s="31">
        <v>1780</v>
      </c>
      <c r="K364" s="31">
        <v>1779</v>
      </c>
      <c r="L364" s="31">
        <v>1756</v>
      </c>
      <c r="N364" s="291" t="s">
        <v>2563</v>
      </c>
      <c r="O364" s="930"/>
      <c r="P364" s="944"/>
      <c r="Q364" s="945"/>
    </row>
    <row r="365" spans="1:17">
      <c r="A365" s="291" t="s">
        <v>5801</v>
      </c>
      <c r="B365" s="291" t="s">
        <v>2311</v>
      </c>
      <c r="C365" s="4" t="s">
        <v>10421</v>
      </c>
      <c r="D365" s="296">
        <v>1714</v>
      </c>
      <c r="E365" s="296">
        <v>1705</v>
      </c>
      <c r="F365" s="296">
        <v>1702</v>
      </c>
      <c r="G365" s="296">
        <v>1720</v>
      </c>
      <c r="H365" s="30">
        <v>1727</v>
      </c>
      <c r="I365" s="30">
        <v>1720</v>
      </c>
      <c r="J365" s="30">
        <v>1737</v>
      </c>
      <c r="K365" s="30">
        <v>1794</v>
      </c>
      <c r="L365" s="30">
        <v>1759</v>
      </c>
      <c r="N365" s="291" t="s">
        <v>1660</v>
      </c>
      <c r="O365" s="930"/>
      <c r="P365" s="944"/>
      <c r="Q365" s="945"/>
    </row>
    <row r="366" spans="1:17">
      <c r="A366" s="291" t="s">
        <v>5927</v>
      </c>
      <c r="B366" s="291" t="s">
        <v>2312</v>
      </c>
      <c r="C366" s="4" t="s">
        <v>10422</v>
      </c>
      <c r="D366" s="294">
        <v>3232</v>
      </c>
      <c r="E366" s="294">
        <v>3258</v>
      </c>
      <c r="F366" s="294">
        <v>3291</v>
      </c>
      <c r="G366" s="31">
        <v>3300</v>
      </c>
      <c r="H366" s="31">
        <v>3296</v>
      </c>
      <c r="I366" s="31">
        <v>3261</v>
      </c>
      <c r="J366" s="31">
        <v>3296</v>
      </c>
      <c r="K366" s="31">
        <v>3332</v>
      </c>
      <c r="L366" s="31">
        <v>3321</v>
      </c>
      <c r="N366" s="291" t="s">
        <v>1451</v>
      </c>
      <c r="O366" s="930"/>
      <c r="P366" s="944"/>
      <c r="Q366" s="945"/>
    </row>
    <row r="367" spans="1:17">
      <c r="A367" s="291" t="s">
        <v>5929</v>
      </c>
      <c r="B367" s="291" t="s">
        <v>2313</v>
      </c>
      <c r="C367" s="4" t="s">
        <v>10423</v>
      </c>
      <c r="D367" s="294">
        <v>1776</v>
      </c>
      <c r="E367" s="294">
        <v>1775</v>
      </c>
      <c r="F367" s="294">
        <v>1765</v>
      </c>
      <c r="G367" s="31">
        <v>1856</v>
      </c>
      <c r="H367" s="31">
        <v>1937</v>
      </c>
      <c r="I367" s="31">
        <v>1929</v>
      </c>
      <c r="J367" s="31">
        <v>1987</v>
      </c>
      <c r="K367" s="31">
        <v>2026</v>
      </c>
      <c r="L367" s="31">
        <v>2023</v>
      </c>
      <c r="N367" s="291" t="s">
        <v>1451</v>
      </c>
      <c r="O367" s="946"/>
      <c r="P367" s="944"/>
      <c r="Q367" s="945"/>
    </row>
    <row r="368" spans="1:17">
      <c r="A368" s="291" t="s">
        <v>5931</v>
      </c>
      <c r="B368" s="291" t="s">
        <v>2314</v>
      </c>
      <c r="C368" s="4" t="s">
        <v>10424</v>
      </c>
      <c r="D368" s="294">
        <v>4582</v>
      </c>
      <c r="E368" s="294">
        <v>4569</v>
      </c>
      <c r="F368" s="294">
        <v>4615</v>
      </c>
      <c r="G368" s="31">
        <v>4600</v>
      </c>
      <c r="H368" s="31">
        <v>4489</v>
      </c>
      <c r="I368" s="31">
        <v>4508</v>
      </c>
      <c r="J368" s="31">
        <v>4508</v>
      </c>
      <c r="K368" s="31">
        <v>4554</v>
      </c>
      <c r="L368" s="31">
        <v>4531</v>
      </c>
      <c r="N368" s="291" t="s">
        <v>1451</v>
      </c>
      <c r="O368" s="930"/>
      <c r="P368" s="944"/>
      <c r="Q368" s="945"/>
    </row>
    <row r="369" spans="1:17">
      <c r="A369" s="291" t="s">
        <v>5933</v>
      </c>
      <c r="B369" s="291" t="s">
        <v>2315</v>
      </c>
      <c r="C369" s="4" t="s">
        <v>10425</v>
      </c>
      <c r="D369" s="294">
        <v>3216</v>
      </c>
      <c r="E369" s="294">
        <v>3186</v>
      </c>
      <c r="F369" s="294">
        <v>3229</v>
      </c>
      <c r="G369" s="31">
        <v>3242</v>
      </c>
      <c r="H369" s="31">
        <v>3225</v>
      </c>
      <c r="I369" s="31">
        <v>3256</v>
      </c>
      <c r="J369" s="31">
        <v>3254</v>
      </c>
      <c r="K369" s="31">
        <v>3276</v>
      </c>
      <c r="L369" s="31">
        <v>3260</v>
      </c>
      <c r="N369" s="291" t="s">
        <v>1451</v>
      </c>
      <c r="O369" s="946"/>
      <c r="P369" s="944"/>
      <c r="Q369" s="945"/>
    </row>
    <row r="370" spans="1:17">
      <c r="A370" s="303">
        <v>31</v>
      </c>
      <c r="B370" s="291" t="s">
        <v>5746</v>
      </c>
      <c r="C370" s="4" t="s">
        <v>10426</v>
      </c>
      <c r="D370" s="294">
        <v>3290</v>
      </c>
      <c r="E370" s="294">
        <v>3328</v>
      </c>
      <c r="F370" s="294">
        <v>3323</v>
      </c>
      <c r="G370" s="31">
        <v>3387</v>
      </c>
      <c r="H370" s="31">
        <v>3353</v>
      </c>
      <c r="I370" s="31">
        <v>3346</v>
      </c>
      <c r="J370" s="31">
        <v>3362</v>
      </c>
      <c r="K370" s="31">
        <v>3331</v>
      </c>
      <c r="L370" s="31">
        <v>3278</v>
      </c>
      <c r="N370" s="291" t="s">
        <v>1451</v>
      </c>
      <c r="O370" s="946"/>
      <c r="P370" s="944"/>
      <c r="Q370" s="945"/>
    </row>
    <row r="371" spans="1:17">
      <c r="A371" s="303">
        <v>32</v>
      </c>
      <c r="B371" s="291" t="s">
        <v>5747</v>
      </c>
      <c r="C371" s="4" t="s">
        <v>10427</v>
      </c>
      <c r="D371" s="294">
        <v>3063</v>
      </c>
      <c r="E371" s="294">
        <v>3042</v>
      </c>
      <c r="F371" s="294">
        <v>3075</v>
      </c>
      <c r="G371" s="31">
        <v>3072</v>
      </c>
      <c r="H371" s="31">
        <v>2993</v>
      </c>
      <c r="I371" s="31">
        <v>3025</v>
      </c>
      <c r="J371" s="31">
        <v>3056</v>
      </c>
      <c r="K371" s="31">
        <v>3106</v>
      </c>
      <c r="L371" s="31">
        <v>3132</v>
      </c>
      <c r="N371" s="291" t="s">
        <v>1451</v>
      </c>
      <c r="O371" s="946"/>
      <c r="Q371" s="4"/>
    </row>
    <row r="372" spans="1:17">
      <c r="D372" s="296"/>
      <c r="E372" s="296"/>
      <c r="F372" s="296"/>
      <c r="G372" s="296"/>
      <c r="H372" s="296"/>
      <c r="I372" s="296"/>
      <c r="J372" s="296"/>
      <c r="K372" s="296"/>
      <c r="L372" s="296"/>
      <c r="O372" s="946"/>
    </row>
    <row r="373" spans="1:17">
      <c r="A373" s="291" t="s">
        <v>3923</v>
      </c>
      <c r="D373" s="294">
        <f t="shared" ref="D373:E373" si="263">D343+D347+D350+D351+SUM(D361:D363)+D365</f>
        <v>15200</v>
      </c>
      <c r="E373" s="294">
        <f t="shared" si="263"/>
        <v>15349</v>
      </c>
      <c r="F373" s="294">
        <f t="shared" ref="F373:K373" si="264">F343+F347+F350+F351+SUM(F361:F363)+F365</f>
        <v>15588</v>
      </c>
      <c r="G373" s="294">
        <f t="shared" si="264"/>
        <v>15740</v>
      </c>
      <c r="H373" s="294">
        <f t="shared" si="264"/>
        <v>15735</v>
      </c>
      <c r="I373" s="294">
        <f t="shared" si="264"/>
        <v>15771</v>
      </c>
      <c r="J373" s="294">
        <f t="shared" si="264"/>
        <v>15937</v>
      </c>
      <c r="K373" s="294">
        <f t="shared" si="264"/>
        <v>16310</v>
      </c>
      <c r="L373" s="294">
        <f t="shared" ref="L373" si="265">L343+L347+L350+L351+SUM(L361:L363)+L365</f>
        <v>16110</v>
      </c>
      <c r="O373" s="946"/>
    </row>
    <row r="374" spans="1:17">
      <c r="A374" s="291" t="s">
        <v>1451</v>
      </c>
      <c r="D374" s="294">
        <f t="shared" ref="D374:I374" si="266">SUM(D338:D342)+SUM(D344:D346)+SUM(D352:D358)+SUM(D366:D371)</f>
        <v>72006</v>
      </c>
      <c r="E374" s="294">
        <f t="shared" si="266"/>
        <v>72212</v>
      </c>
      <c r="F374" s="294">
        <f t="shared" si="266"/>
        <v>73041</v>
      </c>
      <c r="G374" s="294">
        <f t="shared" si="266"/>
        <v>73271</v>
      </c>
      <c r="H374" s="294">
        <f t="shared" si="266"/>
        <v>72705</v>
      </c>
      <c r="I374" s="294">
        <f t="shared" si="266"/>
        <v>72843</v>
      </c>
      <c r="J374" s="294">
        <f t="shared" ref="J374:K374" si="267">SUM(J338:J342)+SUM(J344:J346)+SUM(J352:J358)+SUM(J366:J371)</f>
        <v>73521</v>
      </c>
      <c r="K374" s="294">
        <f t="shared" si="267"/>
        <v>74281</v>
      </c>
      <c r="L374" s="294">
        <f t="shared" ref="L374" si="268">SUM(L338:L342)+SUM(L344:L346)+SUM(L352:L358)+SUM(L366:L371)</f>
        <v>73817</v>
      </c>
      <c r="O374" s="71"/>
    </row>
    <row r="375" spans="1:17">
      <c r="A375" s="291" t="s">
        <v>5748</v>
      </c>
      <c r="D375" s="294">
        <f t="shared" ref="D375:E375" si="269">D348+D359+D360+D364</f>
        <v>8258</v>
      </c>
      <c r="E375" s="294">
        <f t="shared" si="269"/>
        <v>8320</v>
      </c>
      <c r="F375" s="294">
        <f t="shared" ref="F375:K375" si="270">F348+F359+F360+F364</f>
        <v>8436</v>
      </c>
      <c r="G375" s="294">
        <f t="shared" si="270"/>
        <v>8456</v>
      </c>
      <c r="H375" s="294">
        <f t="shared" si="270"/>
        <v>8397</v>
      </c>
      <c r="I375" s="294">
        <f t="shared" si="270"/>
        <v>8375</v>
      </c>
      <c r="J375" s="294">
        <f t="shared" si="270"/>
        <v>8439</v>
      </c>
      <c r="K375" s="294">
        <f t="shared" si="270"/>
        <v>8586</v>
      </c>
      <c r="L375" s="294">
        <f t="shared" ref="L375" si="271">L348+L359+L360+L364</f>
        <v>8493</v>
      </c>
    </row>
    <row r="376" spans="1:17">
      <c r="A376" s="291"/>
      <c r="D376" s="294"/>
      <c r="E376" s="294"/>
      <c r="F376" s="294"/>
      <c r="G376" s="294"/>
      <c r="H376" s="294"/>
      <c r="I376" s="294"/>
      <c r="J376" s="294"/>
      <c r="K376" s="294"/>
      <c r="L376" s="294"/>
    </row>
    <row r="377" spans="1:17">
      <c r="A377" s="291" t="s">
        <v>12835</v>
      </c>
      <c r="D377" s="294"/>
      <c r="E377" s="294"/>
      <c r="F377" s="294"/>
      <c r="G377" s="294"/>
      <c r="H377" s="294"/>
      <c r="I377" s="294"/>
      <c r="J377" s="294"/>
      <c r="K377" s="294"/>
      <c r="L377" s="294"/>
    </row>
    <row r="378" spans="1:17">
      <c r="A378" s="291" t="s">
        <v>13070</v>
      </c>
      <c r="D378" s="294"/>
      <c r="E378" s="294"/>
      <c r="F378" s="294"/>
      <c r="G378" s="294"/>
      <c r="H378" s="294"/>
      <c r="I378" s="294"/>
      <c r="J378" s="294"/>
      <c r="K378" s="294"/>
      <c r="L378" s="294"/>
    </row>
    <row r="379" spans="1:17">
      <c r="A379" s="302"/>
    </row>
    <row r="380" spans="1:17">
      <c r="A380" s="302"/>
    </row>
    <row r="381" spans="1:17">
      <c r="E381" s="42" t="s">
        <v>2303</v>
      </c>
      <c r="F381" s="42"/>
      <c r="G381" s="42"/>
      <c r="H381" s="42"/>
      <c r="I381" s="42"/>
      <c r="J381" s="42"/>
      <c r="K381" s="42"/>
      <c r="L381" s="42"/>
      <c r="M381" s="65"/>
      <c r="N381" s="66" t="s">
        <v>13319</v>
      </c>
    </row>
    <row r="382" spans="1:17">
      <c r="D382" s="55">
        <v>2010</v>
      </c>
      <c r="E382" s="55">
        <v>2011</v>
      </c>
      <c r="F382" s="55">
        <v>2012</v>
      </c>
      <c r="G382" s="55">
        <v>2013</v>
      </c>
      <c r="H382" s="55">
        <v>2014</v>
      </c>
      <c r="I382" s="55">
        <v>2015</v>
      </c>
      <c r="J382" s="55">
        <v>2016</v>
      </c>
      <c r="K382" s="55">
        <v>2017</v>
      </c>
      <c r="L382" s="55">
        <v>2018</v>
      </c>
      <c r="N382" s="67" t="s">
        <v>2304</v>
      </c>
    </row>
    <row r="383" spans="1:17">
      <c r="A383" s="291" t="s">
        <v>5749</v>
      </c>
      <c r="D383" s="294">
        <f t="shared" ref="D383:I383" si="272">SUM(D384:D394)</f>
        <v>59167</v>
      </c>
      <c r="E383" s="294">
        <f t="shared" si="272"/>
        <v>59380</v>
      </c>
      <c r="F383" s="294">
        <f t="shared" si="272"/>
        <v>60159</v>
      </c>
      <c r="G383" s="294">
        <f t="shared" si="272"/>
        <v>60705</v>
      </c>
      <c r="H383" s="294">
        <f t="shared" si="272"/>
        <v>60380</v>
      </c>
      <c r="I383" s="294">
        <f t="shared" si="272"/>
        <v>58988</v>
      </c>
      <c r="J383" s="294">
        <f t="shared" ref="J383:K383" si="273">SUM(J384:J394)</f>
        <v>57532</v>
      </c>
      <c r="K383" s="294">
        <f t="shared" si="273"/>
        <v>58776</v>
      </c>
      <c r="L383" s="294">
        <f t="shared" ref="L383" si="274">SUM(L384:L394)</f>
        <v>58671</v>
      </c>
    </row>
    <row r="384" spans="1:17">
      <c r="A384" s="291" t="s">
        <v>6957</v>
      </c>
      <c r="B384" s="291" t="s">
        <v>5750</v>
      </c>
      <c r="C384" s="4" t="s">
        <v>10428</v>
      </c>
      <c r="D384" s="294">
        <v>5552</v>
      </c>
      <c r="E384" s="294">
        <v>5572</v>
      </c>
      <c r="F384" s="294">
        <v>5598</v>
      </c>
      <c r="G384" s="30">
        <v>5646</v>
      </c>
      <c r="H384" s="30">
        <v>5625</v>
      </c>
      <c r="I384" s="30">
        <v>5489</v>
      </c>
      <c r="J384" s="30">
        <v>5350</v>
      </c>
      <c r="K384" s="30">
        <v>5379</v>
      </c>
      <c r="L384" s="30">
        <v>5366</v>
      </c>
      <c r="N384" s="291" t="s">
        <v>2563</v>
      </c>
      <c r="P384" s="944"/>
      <c r="Q384" s="945"/>
    </row>
    <row r="385" spans="1:17">
      <c r="A385" s="291" t="s">
        <v>6959</v>
      </c>
      <c r="B385" s="291" t="s">
        <v>5751</v>
      </c>
      <c r="C385" s="4" t="s">
        <v>10429</v>
      </c>
      <c r="D385" s="294">
        <v>6278</v>
      </c>
      <c r="E385" s="294">
        <v>6204</v>
      </c>
      <c r="F385" s="294">
        <v>6263</v>
      </c>
      <c r="G385" s="30">
        <v>6331</v>
      </c>
      <c r="H385" s="30">
        <v>6258</v>
      </c>
      <c r="I385" s="30">
        <v>6193</v>
      </c>
      <c r="J385" s="30">
        <v>6067</v>
      </c>
      <c r="K385" s="30">
        <v>6255</v>
      </c>
      <c r="L385" s="30">
        <v>6272</v>
      </c>
      <c r="N385" s="291" t="s">
        <v>2563</v>
      </c>
      <c r="P385" s="944"/>
      <c r="Q385" s="945"/>
    </row>
    <row r="386" spans="1:17">
      <c r="A386" s="291" t="s">
        <v>6961</v>
      </c>
      <c r="B386" s="291" t="s">
        <v>5752</v>
      </c>
      <c r="C386" s="4" t="s">
        <v>10430</v>
      </c>
      <c r="D386" s="294">
        <v>5143</v>
      </c>
      <c r="E386" s="294">
        <v>5062</v>
      </c>
      <c r="F386" s="294">
        <v>5059</v>
      </c>
      <c r="G386" s="30">
        <v>5122</v>
      </c>
      <c r="H386" s="30">
        <v>5069</v>
      </c>
      <c r="I386" s="30">
        <v>4992</v>
      </c>
      <c r="J386" s="30">
        <v>4899</v>
      </c>
      <c r="K386" s="30">
        <v>4948</v>
      </c>
      <c r="L386" s="30">
        <v>4861</v>
      </c>
      <c r="N386" s="291" t="s">
        <v>2563</v>
      </c>
      <c r="P386" s="944"/>
      <c r="Q386" s="945"/>
    </row>
    <row r="387" spans="1:17">
      <c r="A387" s="291" t="s">
        <v>6963</v>
      </c>
      <c r="B387" s="291" t="s">
        <v>5753</v>
      </c>
      <c r="C387" s="4" t="s">
        <v>10431</v>
      </c>
      <c r="D387" s="294">
        <v>5453</v>
      </c>
      <c r="E387" s="294">
        <v>5486</v>
      </c>
      <c r="F387" s="294">
        <v>5494</v>
      </c>
      <c r="G387" s="30">
        <v>5544</v>
      </c>
      <c r="H387" s="30">
        <v>5499</v>
      </c>
      <c r="I387" s="30">
        <v>5402</v>
      </c>
      <c r="J387" s="30">
        <v>5299</v>
      </c>
      <c r="K387" s="30">
        <v>5423</v>
      </c>
      <c r="L387" s="30">
        <v>5402</v>
      </c>
      <c r="N387" s="291" t="s">
        <v>2563</v>
      </c>
      <c r="O387" s="930"/>
      <c r="P387" s="944"/>
      <c r="Q387" s="945"/>
    </row>
    <row r="388" spans="1:17">
      <c r="A388" s="291" t="s">
        <v>6965</v>
      </c>
      <c r="B388" s="291" t="s">
        <v>5754</v>
      </c>
      <c r="C388" s="4" t="s">
        <v>10432</v>
      </c>
      <c r="D388" s="294">
        <v>5634</v>
      </c>
      <c r="E388" s="294">
        <v>5750</v>
      </c>
      <c r="F388" s="294">
        <v>5922</v>
      </c>
      <c r="G388" s="30">
        <v>6048</v>
      </c>
      <c r="H388" s="30">
        <v>5974</v>
      </c>
      <c r="I388" s="30">
        <v>5808</v>
      </c>
      <c r="J388" s="30">
        <v>5629</v>
      </c>
      <c r="K388" s="30">
        <v>5739</v>
      </c>
      <c r="L388" s="30">
        <v>5715</v>
      </c>
      <c r="N388" s="291" t="s">
        <v>2563</v>
      </c>
      <c r="O388" s="930"/>
      <c r="P388" s="944"/>
      <c r="Q388" s="945"/>
    </row>
    <row r="389" spans="1:17">
      <c r="A389" s="291" t="s">
        <v>6997</v>
      </c>
      <c r="B389" s="291" t="s">
        <v>5755</v>
      </c>
      <c r="C389" s="4" t="s">
        <v>10433</v>
      </c>
      <c r="D389" s="294">
        <v>5032</v>
      </c>
      <c r="E389" s="294">
        <v>5029</v>
      </c>
      <c r="F389" s="294">
        <v>5146</v>
      </c>
      <c r="G389" s="30">
        <v>5147</v>
      </c>
      <c r="H389" s="30">
        <v>5179</v>
      </c>
      <c r="I389" s="30">
        <v>5033</v>
      </c>
      <c r="J389" s="30">
        <v>4879</v>
      </c>
      <c r="K389" s="30">
        <v>5003</v>
      </c>
      <c r="L389" s="30">
        <v>5030</v>
      </c>
      <c r="N389" s="291" t="s">
        <v>2563</v>
      </c>
      <c r="O389" s="930"/>
      <c r="P389" s="944"/>
      <c r="Q389" s="945"/>
    </row>
    <row r="390" spans="1:17">
      <c r="A390" s="291" t="s">
        <v>6999</v>
      </c>
      <c r="B390" s="291" t="s">
        <v>12505</v>
      </c>
      <c r="C390" s="4" t="s">
        <v>10434</v>
      </c>
      <c r="D390" s="294">
        <v>5365</v>
      </c>
      <c r="E390" s="294">
        <v>5377</v>
      </c>
      <c r="F390" s="294">
        <v>5388</v>
      </c>
      <c r="G390" s="30">
        <v>5342</v>
      </c>
      <c r="H390" s="30">
        <v>5337</v>
      </c>
      <c r="I390" s="30">
        <v>5188</v>
      </c>
      <c r="J390" s="30">
        <v>5089</v>
      </c>
      <c r="K390" s="30">
        <v>5206</v>
      </c>
      <c r="L390" s="30">
        <v>5184</v>
      </c>
      <c r="N390" s="291" t="s">
        <v>2563</v>
      </c>
      <c r="O390" s="930"/>
      <c r="P390" s="944"/>
      <c r="Q390" s="945"/>
    </row>
    <row r="391" spans="1:17">
      <c r="A391" s="291" t="s">
        <v>7001</v>
      </c>
      <c r="B391" s="291" t="s">
        <v>5756</v>
      </c>
      <c r="C391" s="4" t="s">
        <v>10435</v>
      </c>
      <c r="D391" s="294">
        <v>5156</v>
      </c>
      <c r="E391" s="294">
        <v>5338</v>
      </c>
      <c r="F391" s="294">
        <v>5413</v>
      </c>
      <c r="G391" s="30">
        <v>5593</v>
      </c>
      <c r="H391" s="30">
        <v>5696</v>
      </c>
      <c r="I391" s="30">
        <v>5594</v>
      </c>
      <c r="J391" s="30">
        <v>5661</v>
      </c>
      <c r="K391" s="30">
        <v>6071</v>
      </c>
      <c r="L391" s="30">
        <v>6296</v>
      </c>
      <c r="N391" s="291" t="s">
        <v>2563</v>
      </c>
      <c r="O391" s="930"/>
      <c r="P391" s="944"/>
      <c r="Q391" s="945"/>
    </row>
    <row r="392" spans="1:17">
      <c r="A392" s="291" t="s">
        <v>7003</v>
      </c>
      <c r="B392" s="291" t="s">
        <v>5757</v>
      </c>
      <c r="C392" s="4" t="s">
        <v>10436</v>
      </c>
      <c r="D392" s="294">
        <v>4966</v>
      </c>
      <c r="E392" s="294">
        <v>4978</v>
      </c>
      <c r="F392" s="294">
        <v>5081</v>
      </c>
      <c r="G392" s="30">
        <v>5109</v>
      </c>
      <c r="H392" s="30">
        <v>5039</v>
      </c>
      <c r="I392" s="30">
        <v>4848</v>
      </c>
      <c r="J392" s="30">
        <v>4600</v>
      </c>
      <c r="K392" s="30">
        <v>4527</v>
      </c>
      <c r="L392" s="30">
        <v>4436</v>
      </c>
      <c r="N392" s="291" t="s">
        <v>2563</v>
      </c>
      <c r="O392" s="930"/>
      <c r="P392" s="944"/>
      <c r="Q392" s="945"/>
    </row>
    <row r="393" spans="1:17">
      <c r="A393" s="291" t="s">
        <v>7005</v>
      </c>
      <c r="B393" s="291" t="s">
        <v>8472</v>
      </c>
      <c r="C393" s="4" t="s">
        <v>10437</v>
      </c>
      <c r="D393" s="294">
        <v>5303</v>
      </c>
      <c r="E393" s="294">
        <v>5300</v>
      </c>
      <c r="F393" s="294">
        <v>5300</v>
      </c>
      <c r="G393" s="30">
        <v>5302</v>
      </c>
      <c r="H393" s="30">
        <v>5250</v>
      </c>
      <c r="I393" s="30">
        <v>5162</v>
      </c>
      <c r="J393" s="30">
        <v>4974</v>
      </c>
      <c r="K393" s="30">
        <v>5063</v>
      </c>
      <c r="L393" s="30">
        <v>4983</v>
      </c>
      <c r="N393" s="291" t="s">
        <v>2563</v>
      </c>
      <c r="O393" s="930"/>
      <c r="P393" s="944"/>
      <c r="Q393" s="945"/>
    </row>
    <row r="394" spans="1:17">
      <c r="A394" s="291" t="s">
        <v>7007</v>
      </c>
      <c r="B394" s="291" t="s">
        <v>7541</v>
      </c>
      <c r="C394" s="4" t="s">
        <v>10438</v>
      </c>
      <c r="D394" s="294">
        <v>5285</v>
      </c>
      <c r="E394" s="294">
        <v>5284</v>
      </c>
      <c r="F394" s="294">
        <v>5495</v>
      </c>
      <c r="G394" s="30">
        <v>5521</v>
      </c>
      <c r="H394" s="30">
        <v>5454</v>
      </c>
      <c r="I394" s="30">
        <v>5279</v>
      </c>
      <c r="J394" s="30">
        <v>5085</v>
      </c>
      <c r="K394" s="30">
        <v>5162</v>
      </c>
      <c r="L394" s="30">
        <v>5126</v>
      </c>
      <c r="N394" s="291" t="s">
        <v>2563</v>
      </c>
      <c r="O394" s="930"/>
      <c r="P394" s="944"/>
      <c r="Q394" s="945"/>
    </row>
    <row r="395" spans="1:17">
      <c r="D395" s="296"/>
      <c r="E395" s="296"/>
      <c r="F395" s="296"/>
      <c r="G395" s="296"/>
      <c r="H395" s="296"/>
      <c r="I395" s="296"/>
      <c r="J395" s="296"/>
      <c r="K395" s="296"/>
      <c r="L395" s="296"/>
      <c r="O395" s="930"/>
    </row>
    <row r="396" spans="1:17">
      <c r="A396" s="291" t="s">
        <v>5748</v>
      </c>
      <c r="D396" s="294">
        <f t="shared" ref="D396:I396" si="275">SUM(D384:D394)</f>
        <v>59167</v>
      </c>
      <c r="E396" s="294">
        <f t="shared" si="275"/>
        <v>59380</v>
      </c>
      <c r="F396" s="294">
        <f t="shared" si="275"/>
        <v>60159</v>
      </c>
      <c r="G396" s="294">
        <f t="shared" si="275"/>
        <v>60705</v>
      </c>
      <c r="H396" s="294">
        <f t="shared" si="275"/>
        <v>60380</v>
      </c>
      <c r="I396" s="294">
        <f t="shared" si="275"/>
        <v>58988</v>
      </c>
      <c r="J396" s="294">
        <f t="shared" ref="J396:K396" si="276">SUM(J384:J394)</f>
        <v>57532</v>
      </c>
      <c r="K396" s="294">
        <f t="shared" si="276"/>
        <v>58776</v>
      </c>
      <c r="L396" s="294">
        <f t="shared" ref="L396" si="277">SUM(L384:L394)</f>
        <v>58671</v>
      </c>
      <c r="O396" s="930"/>
    </row>
    <row r="397" spans="1:17">
      <c r="A397" s="291"/>
      <c r="D397" s="294"/>
      <c r="E397" s="294"/>
      <c r="F397" s="294"/>
      <c r="G397" s="294"/>
      <c r="H397" s="294"/>
      <c r="I397" s="294"/>
      <c r="J397" s="294"/>
      <c r="K397" s="294"/>
      <c r="L397" s="294"/>
      <c r="O397" s="930"/>
    </row>
    <row r="398" spans="1:17">
      <c r="A398" s="291" t="s">
        <v>7577</v>
      </c>
      <c r="D398" s="294"/>
      <c r="E398" s="294"/>
      <c r="F398" s="294"/>
      <c r="G398" s="294"/>
      <c r="H398" s="294"/>
      <c r="I398" s="294"/>
      <c r="J398" s="294"/>
      <c r="K398" s="294"/>
      <c r="L398" s="294"/>
    </row>
    <row r="399" spans="1:17">
      <c r="A399" s="291"/>
      <c r="B399" s="291"/>
      <c r="D399" s="305"/>
      <c r="E399" s="305"/>
      <c r="F399" s="305"/>
      <c r="G399" s="305"/>
      <c r="H399" s="305"/>
      <c r="I399" s="305"/>
      <c r="J399" s="305"/>
      <c r="K399" s="305"/>
      <c r="L399" s="305"/>
    </row>
    <row r="400" spans="1:17">
      <c r="A400" s="291"/>
      <c r="B400" s="291"/>
      <c r="D400" s="305"/>
      <c r="E400" s="305"/>
      <c r="F400" s="305"/>
      <c r="G400" s="305"/>
      <c r="H400" s="305"/>
      <c r="I400" s="305"/>
      <c r="J400" s="305"/>
      <c r="K400" s="305"/>
      <c r="L400" s="305"/>
    </row>
    <row r="401" spans="1:17">
      <c r="E401" s="42" t="s">
        <v>2303</v>
      </c>
      <c r="F401" s="42"/>
      <c r="G401" s="42"/>
      <c r="H401" s="42"/>
      <c r="I401" s="42"/>
      <c r="J401" s="42"/>
      <c r="K401" s="42"/>
      <c r="L401" s="42"/>
      <c r="M401" s="65"/>
      <c r="N401" s="66" t="s">
        <v>13319</v>
      </c>
    </row>
    <row r="402" spans="1:17">
      <c r="D402" s="55">
        <v>2010</v>
      </c>
      <c r="E402" s="55">
        <v>2011</v>
      </c>
      <c r="F402" s="55">
        <v>2012</v>
      </c>
      <c r="G402" s="55">
        <v>2013</v>
      </c>
      <c r="H402" s="55">
        <v>2014</v>
      </c>
      <c r="I402" s="55">
        <v>2015</v>
      </c>
      <c r="J402" s="55">
        <v>2016</v>
      </c>
      <c r="K402" s="55">
        <v>2017</v>
      </c>
      <c r="L402" s="55">
        <v>2018</v>
      </c>
      <c r="N402" s="67" t="s">
        <v>2304</v>
      </c>
    </row>
    <row r="403" spans="1:17">
      <c r="A403" s="291" t="s">
        <v>7578</v>
      </c>
      <c r="D403" s="294">
        <f t="shared" ref="D403:H403" si="278">SUM(D404:D420)</f>
        <v>47843</v>
      </c>
      <c r="E403" s="294">
        <f t="shared" si="278"/>
        <v>48619</v>
      </c>
      <c r="F403" s="294">
        <f t="shared" si="278"/>
        <v>48025</v>
      </c>
      <c r="G403" s="294">
        <f t="shared" si="278"/>
        <v>47802</v>
      </c>
      <c r="H403" s="294">
        <f t="shared" si="278"/>
        <v>47762</v>
      </c>
      <c r="I403" s="294">
        <f>SUM(I404:I420)</f>
        <v>46959</v>
      </c>
      <c r="J403" s="294">
        <f>SUM(J404:J420)</f>
        <v>47312</v>
      </c>
      <c r="K403" s="294">
        <f>SUM(K404:K420)</f>
        <v>49001</v>
      </c>
      <c r="L403" s="294">
        <f>SUM(L404:L420)</f>
        <v>49433</v>
      </c>
    </row>
    <row r="404" spans="1:17">
      <c r="A404" s="291" t="s">
        <v>6957</v>
      </c>
      <c r="B404" s="291" t="s">
        <v>7579</v>
      </c>
      <c r="C404" s="4" t="s">
        <v>10439</v>
      </c>
      <c r="D404" s="294">
        <v>3237</v>
      </c>
      <c r="E404" s="294">
        <v>3331</v>
      </c>
      <c r="F404" s="294">
        <v>3270</v>
      </c>
      <c r="G404" s="294">
        <v>3281</v>
      </c>
      <c r="H404" s="30">
        <v>3271</v>
      </c>
      <c r="I404" s="30">
        <v>3150</v>
      </c>
      <c r="J404" s="30">
        <v>3208</v>
      </c>
      <c r="K404" s="30">
        <v>3353</v>
      </c>
      <c r="L404" s="30">
        <v>3432</v>
      </c>
      <c r="N404" s="291" t="s">
        <v>2565</v>
      </c>
      <c r="P404" s="944"/>
      <c r="Q404" s="945"/>
    </row>
    <row r="405" spans="1:17">
      <c r="A405" s="291" t="s">
        <v>6959</v>
      </c>
      <c r="B405" s="291" t="s">
        <v>7580</v>
      </c>
      <c r="C405" s="4" t="s">
        <v>10440</v>
      </c>
      <c r="D405" s="294">
        <v>2987</v>
      </c>
      <c r="E405" s="294">
        <v>3016</v>
      </c>
      <c r="F405" s="294">
        <v>2985</v>
      </c>
      <c r="G405" s="294">
        <v>3006</v>
      </c>
      <c r="H405" s="30">
        <v>2921</v>
      </c>
      <c r="I405" s="30">
        <v>2897</v>
      </c>
      <c r="J405" s="30">
        <v>2901</v>
      </c>
      <c r="K405" s="30">
        <v>2994</v>
      </c>
      <c r="L405" s="30">
        <v>3016</v>
      </c>
      <c r="N405" s="291" t="s">
        <v>2565</v>
      </c>
      <c r="P405" s="944"/>
      <c r="Q405" s="945"/>
    </row>
    <row r="406" spans="1:17">
      <c r="A406" s="291" t="s">
        <v>6961</v>
      </c>
      <c r="B406" s="291" t="s">
        <v>5716</v>
      </c>
      <c r="C406" s="4" t="s">
        <v>10441</v>
      </c>
      <c r="D406" s="294">
        <v>3098</v>
      </c>
      <c r="E406" s="294">
        <v>3141</v>
      </c>
      <c r="F406" s="294">
        <v>3157</v>
      </c>
      <c r="G406" s="294">
        <v>3068</v>
      </c>
      <c r="H406" s="30">
        <v>3069</v>
      </c>
      <c r="I406" s="30">
        <v>3053</v>
      </c>
      <c r="J406" s="30">
        <v>3147</v>
      </c>
      <c r="K406" s="30">
        <v>3217</v>
      </c>
      <c r="L406" s="30">
        <v>3232</v>
      </c>
      <c r="N406" s="291" t="s">
        <v>2565</v>
      </c>
      <c r="P406" s="944"/>
      <c r="Q406" s="945"/>
    </row>
    <row r="407" spans="1:17">
      <c r="A407" s="291" t="s">
        <v>6963</v>
      </c>
      <c r="B407" s="291" t="s">
        <v>5717</v>
      </c>
      <c r="C407" s="4" t="s">
        <v>10442</v>
      </c>
      <c r="D407" s="294">
        <v>2903</v>
      </c>
      <c r="E407" s="294">
        <v>2944</v>
      </c>
      <c r="F407" s="294">
        <v>2920</v>
      </c>
      <c r="G407" s="294">
        <v>2928</v>
      </c>
      <c r="H407" s="30">
        <v>2927</v>
      </c>
      <c r="I407" s="30">
        <v>2854</v>
      </c>
      <c r="J407" s="30">
        <v>2851</v>
      </c>
      <c r="K407" s="30">
        <v>2927</v>
      </c>
      <c r="L407" s="30">
        <v>2968</v>
      </c>
      <c r="N407" s="291" t="s">
        <v>4228</v>
      </c>
      <c r="O407" s="930"/>
      <c r="P407" s="944"/>
      <c r="Q407" s="945"/>
    </row>
    <row r="408" spans="1:17">
      <c r="A408" s="291" t="s">
        <v>6965</v>
      </c>
      <c r="B408" s="291" t="s">
        <v>5718</v>
      </c>
      <c r="C408" s="4" t="s">
        <v>10443</v>
      </c>
      <c r="D408" s="294">
        <v>3165</v>
      </c>
      <c r="E408" s="294">
        <v>3232</v>
      </c>
      <c r="F408" s="294">
        <v>3175</v>
      </c>
      <c r="G408" s="294">
        <v>3186</v>
      </c>
      <c r="H408" s="30">
        <v>3247</v>
      </c>
      <c r="I408" s="30">
        <v>3146</v>
      </c>
      <c r="J408" s="30">
        <v>3190</v>
      </c>
      <c r="K408" s="30">
        <v>3250</v>
      </c>
      <c r="L408" s="30">
        <v>3279</v>
      </c>
      <c r="N408" s="291" t="s">
        <v>2565</v>
      </c>
      <c r="O408" s="930"/>
      <c r="P408" s="944"/>
      <c r="Q408" s="945"/>
    </row>
    <row r="409" spans="1:17">
      <c r="A409" s="291" t="s">
        <v>6997</v>
      </c>
      <c r="B409" s="291" t="s">
        <v>5719</v>
      </c>
      <c r="C409" s="4" t="s">
        <v>10444</v>
      </c>
      <c r="D409" s="294">
        <v>3081</v>
      </c>
      <c r="E409" s="294">
        <v>3074</v>
      </c>
      <c r="F409" s="294">
        <v>3044</v>
      </c>
      <c r="G409" s="294">
        <v>2991</v>
      </c>
      <c r="H409" s="30">
        <v>3095</v>
      </c>
      <c r="I409" s="30">
        <v>3039</v>
      </c>
      <c r="J409" s="30">
        <v>3014</v>
      </c>
      <c r="K409" s="30">
        <v>3089</v>
      </c>
      <c r="L409" s="30">
        <v>3074</v>
      </c>
      <c r="N409" s="291" t="s">
        <v>2565</v>
      </c>
      <c r="O409" s="930"/>
      <c r="P409" s="944"/>
      <c r="Q409" s="945"/>
    </row>
    <row r="410" spans="1:17">
      <c r="A410" s="291" t="s">
        <v>6999</v>
      </c>
      <c r="B410" s="291" t="s">
        <v>5720</v>
      </c>
      <c r="C410" s="4" t="s">
        <v>10445</v>
      </c>
      <c r="D410" s="294">
        <v>1616</v>
      </c>
      <c r="E410" s="294">
        <v>1654</v>
      </c>
      <c r="F410" s="294">
        <v>1594</v>
      </c>
      <c r="G410" s="294">
        <v>1590</v>
      </c>
      <c r="H410" s="30">
        <v>1557</v>
      </c>
      <c r="I410" s="30">
        <v>1546</v>
      </c>
      <c r="J410" s="30">
        <v>1548</v>
      </c>
      <c r="K410" s="30">
        <v>1654</v>
      </c>
      <c r="L410" s="30">
        <v>1797</v>
      </c>
      <c r="N410" s="291" t="s">
        <v>2565</v>
      </c>
      <c r="O410" s="930"/>
      <c r="P410" s="944"/>
      <c r="Q410" s="945"/>
    </row>
    <row r="411" spans="1:17">
      <c r="A411" s="291" t="s">
        <v>7001</v>
      </c>
      <c r="B411" s="291" t="s">
        <v>5721</v>
      </c>
      <c r="C411" s="4" t="s">
        <v>10446</v>
      </c>
      <c r="D411" s="294">
        <v>3202</v>
      </c>
      <c r="E411" s="294">
        <v>3251</v>
      </c>
      <c r="F411" s="294">
        <v>3256</v>
      </c>
      <c r="G411" s="294">
        <v>3161</v>
      </c>
      <c r="H411" s="30">
        <v>3189</v>
      </c>
      <c r="I411" s="30">
        <v>3145</v>
      </c>
      <c r="J411" s="30">
        <v>3189</v>
      </c>
      <c r="K411" s="30">
        <v>3309</v>
      </c>
      <c r="L411" s="30">
        <v>3333</v>
      </c>
      <c r="N411" s="291" t="s">
        <v>2565</v>
      </c>
      <c r="O411" s="930"/>
      <c r="P411" s="944"/>
      <c r="Q411" s="945"/>
    </row>
    <row r="412" spans="1:17">
      <c r="A412" s="291" t="s">
        <v>7003</v>
      </c>
      <c r="B412" s="291" t="s">
        <v>5722</v>
      </c>
      <c r="C412" s="4" t="s">
        <v>10447</v>
      </c>
      <c r="D412" s="294">
        <v>2998</v>
      </c>
      <c r="E412" s="294">
        <v>3036</v>
      </c>
      <c r="F412" s="294">
        <v>2970</v>
      </c>
      <c r="G412" s="294">
        <v>2976</v>
      </c>
      <c r="H412" s="30">
        <v>3002</v>
      </c>
      <c r="I412" s="30">
        <v>2992</v>
      </c>
      <c r="J412" s="30">
        <v>2969</v>
      </c>
      <c r="K412" s="30">
        <v>3035</v>
      </c>
      <c r="L412" s="30">
        <v>3015</v>
      </c>
      <c r="N412" s="291" t="s">
        <v>2565</v>
      </c>
      <c r="O412" s="930"/>
      <c r="P412" s="944"/>
      <c r="Q412" s="945"/>
    </row>
    <row r="413" spans="1:17">
      <c r="A413" s="291" t="s">
        <v>7005</v>
      </c>
      <c r="B413" s="291" t="s">
        <v>4036</v>
      </c>
      <c r="C413" s="4" t="s">
        <v>10448</v>
      </c>
      <c r="D413" s="294">
        <v>3023</v>
      </c>
      <c r="E413" s="294">
        <v>3078</v>
      </c>
      <c r="F413" s="294">
        <v>3003</v>
      </c>
      <c r="G413" s="294">
        <v>3019</v>
      </c>
      <c r="H413" s="30">
        <v>3041</v>
      </c>
      <c r="I413" s="30">
        <v>3033</v>
      </c>
      <c r="J413" s="30">
        <v>3030</v>
      </c>
      <c r="K413" s="30">
        <v>3080</v>
      </c>
      <c r="L413" s="30">
        <v>3034</v>
      </c>
      <c r="N413" s="291" t="s">
        <v>2565</v>
      </c>
      <c r="O413" s="930"/>
      <c r="P413" s="944"/>
      <c r="Q413" s="945"/>
    </row>
    <row r="414" spans="1:17">
      <c r="A414" s="291" t="s">
        <v>7007</v>
      </c>
      <c r="B414" s="291" t="s">
        <v>4037</v>
      </c>
      <c r="C414" s="4" t="s">
        <v>10449</v>
      </c>
      <c r="D414" s="294">
        <v>3360</v>
      </c>
      <c r="E414" s="294">
        <v>3409</v>
      </c>
      <c r="F414" s="294">
        <v>3397</v>
      </c>
      <c r="G414" s="294">
        <v>3389</v>
      </c>
      <c r="H414" s="30">
        <v>3330</v>
      </c>
      <c r="I414" s="30">
        <v>3235</v>
      </c>
      <c r="J414" s="30">
        <v>3281</v>
      </c>
      <c r="K414" s="30">
        <v>3447</v>
      </c>
      <c r="L414" s="30">
        <v>3478</v>
      </c>
      <c r="N414" s="291" t="s">
        <v>2565</v>
      </c>
      <c r="O414" s="930"/>
      <c r="P414" s="944"/>
      <c r="Q414" s="945"/>
    </row>
    <row r="415" spans="1:17">
      <c r="A415" s="291" t="s">
        <v>7009</v>
      </c>
      <c r="B415" s="291" t="s">
        <v>4038</v>
      </c>
      <c r="C415" s="4" t="s">
        <v>10450</v>
      </c>
      <c r="D415" s="294">
        <v>2648</v>
      </c>
      <c r="E415" s="294">
        <v>2712</v>
      </c>
      <c r="F415" s="294">
        <v>2687</v>
      </c>
      <c r="G415" s="294">
        <v>2673</v>
      </c>
      <c r="H415" s="30">
        <v>2701</v>
      </c>
      <c r="I415" s="30">
        <v>2642</v>
      </c>
      <c r="J415" s="30">
        <v>2642</v>
      </c>
      <c r="K415" s="30">
        <v>2751</v>
      </c>
      <c r="L415" s="30">
        <v>2746</v>
      </c>
      <c r="N415" s="291" t="s">
        <v>2565</v>
      </c>
      <c r="O415" s="930"/>
      <c r="P415" s="944"/>
      <c r="Q415" s="945"/>
    </row>
    <row r="416" spans="1:17">
      <c r="A416" s="291" t="s">
        <v>7011</v>
      </c>
      <c r="B416" s="291" t="s">
        <v>4035</v>
      </c>
      <c r="C416" s="4" t="s">
        <v>10451</v>
      </c>
      <c r="D416" s="294">
        <v>3165</v>
      </c>
      <c r="E416" s="294">
        <v>3181</v>
      </c>
      <c r="F416" s="294">
        <v>3131</v>
      </c>
      <c r="G416" s="294">
        <v>3113</v>
      </c>
      <c r="H416" s="30">
        <v>3058</v>
      </c>
      <c r="I416" s="30">
        <v>3015</v>
      </c>
      <c r="J416" s="30">
        <v>3105</v>
      </c>
      <c r="K416" s="30">
        <v>3359</v>
      </c>
      <c r="L416" s="30">
        <v>3391</v>
      </c>
      <c r="N416" s="291" t="s">
        <v>2565</v>
      </c>
      <c r="O416" s="930"/>
      <c r="P416" s="944"/>
      <c r="Q416" s="945"/>
    </row>
    <row r="417" spans="1:17">
      <c r="A417" s="291" t="s">
        <v>7013</v>
      </c>
      <c r="B417" s="291" t="s">
        <v>2373</v>
      </c>
      <c r="C417" s="4" t="s">
        <v>10452</v>
      </c>
      <c r="D417" s="294">
        <v>1745</v>
      </c>
      <c r="E417" s="294">
        <v>1779</v>
      </c>
      <c r="F417" s="294">
        <v>1761</v>
      </c>
      <c r="G417" s="294">
        <v>1739</v>
      </c>
      <c r="H417" s="30">
        <v>1711</v>
      </c>
      <c r="I417" s="30">
        <v>1636</v>
      </c>
      <c r="J417" s="30">
        <v>1669</v>
      </c>
      <c r="K417" s="30">
        <v>1770</v>
      </c>
      <c r="L417" s="30">
        <v>1779</v>
      </c>
      <c r="N417" s="291" t="s">
        <v>2565</v>
      </c>
      <c r="O417" s="930"/>
      <c r="P417" s="944"/>
      <c r="Q417" s="945"/>
    </row>
    <row r="418" spans="1:17">
      <c r="A418" s="291" t="s">
        <v>7015</v>
      </c>
      <c r="B418" s="291" t="s">
        <v>1467</v>
      </c>
      <c r="C418" s="4" t="s">
        <v>10453</v>
      </c>
      <c r="D418" s="294">
        <v>1592</v>
      </c>
      <c r="E418" s="294">
        <v>1616</v>
      </c>
      <c r="F418" s="294">
        <v>1570</v>
      </c>
      <c r="G418" s="294">
        <v>1556</v>
      </c>
      <c r="H418" s="30">
        <v>1561</v>
      </c>
      <c r="I418" s="30">
        <v>1537</v>
      </c>
      <c r="J418" s="30">
        <v>1571</v>
      </c>
      <c r="K418" s="30">
        <v>1616</v>
      </c>
      <c r="L418" s="30">
        <v>1609</v>
      </c>
      <c r="N418" s="291" t="s">
        <v>4228</v>
      </c>
      <c r="O418" s="930"/>
      <c r="P418" s="944"/>
      <c r="Q418" s="945"/>
    </row>
    <row r="419" spans="1:17">
      <c r="A419" s="291" t="s">
        <v>7017</v>
      </c>
      <c r="B419" s="291" t="s">
        <v>1468</v>
      </c>
      <c r="C419" s="4" t="s">
        <v>10454</v>
      </c>
      <c r="D419" s="294">
        <v>3184</v>
      </c>
      <c r="E419" s="294">
        <v>3252</v>
      </c>
      <c r="F419" s="294">
        <v>3238</v>
      </c>
      <c r="G419" s="294">
        <v>3250</v>
      </c>
      <c r="H419" s="31">
        <v>3235</v>
      </c>
      <c r="I419" s="31">
        <v>3224</v>
      </c>
      <c r="J419" s="31">
        <v>3167</v>
      </c>
      <c r="K419" s="31">
        <v>3300</v>
      </c>
      <c r="L419" s="31">
        <v>3327</v>
      </c>
      <c r="N419" s="291" t="s">
        <v>4228</v>
      </c>
      <c r="O419" s="930"/>
      <c r="P419" s="944"/>
      <c r="Q419" s="945"/>
    </row>
    <row r="420" spans="1:17">
      <c r="A420" s="291" t="s">
        <v>7019</v>
      </c>
      <c r="B420" s="291" t="s">
        <v>1469</v>
      </c>
      <c r="C420" s="4" t="s">
        <v>10455</v>
      </c>
      <c r="D420" s="294">
        <v>2839</v>
      </c>
      <c r="E420" s="294">
        <v>2913</v>
      </c>
      <c r="F420" s="294">
        <v>2867</v>
      </c>
      <c r="G420" s="294">
        <v>2876</v>
      </c>
      <c r="H420" s="31">
        <v>2847</v>
      </c>
      <c r="I420" s="31">
        <v>2815</v>
      </c>
      <c r="J420" s="31">
        <v>2830</v>
      </c>
      <c r="K420" s="31">
        <v>2850</v>
      </c>
      <c r="L420" s="31">
        <v>2923</v>
      </c>
      <c r="N420" s="291" t="s">
        <v>4228</v>
      </c>
      <c r="O420" s="930"/>
      <c r="P420" s="944"/>
      <c r="Q420" s="945"/>
    </row>
    <row r="421" spans="1:17">
      <c r="D421" s="296"/>
      <c r="E421" s="296"/>
      <c r="F421" s="296"/>
      <c r="G421" s="296"/>
      <c r="H421" s="296"/>
      <c r="I421" s="296"/>
      <c r="J421" s="296"/>
      <c r="K421" s="296"/>
      <c r="L421" s="296"/>
      <c r="O421" s="930"/>
    </row>
    <row r="422" spans="1:17">
      <c r="A422" s="291" t="s">
        <v>5712</v>
      </c>
      <c r="D422" s="294">
        <f t="shared" ref="D422:I422" si="279">SUM(D404:D406)+SUM(D408:D417)</f>
        <v>37325</v>
      </c>
      <c r="E422" s="294">
        <f t="shared" si="279"/>
        <v>37894</v>
      </c>
      <c r="F422" s="294">
        <f t="shared" si="279"/>
        <v>37430</v>
      </c>
      <c r="G422" s="294">
        <f t="shared" si="279"/>
        <v>37192</v>
      </c>
      <c r="H422" s="294">
        <f t="shared" si="279"/>
        <v>37192</v>
      </c>
      <c r="I422" s="294">
        <f t="shared" si="279"/>
        <v>36529</v>
      </c>
      <c r="J422" s="294">
        <f t="shared" ref="J422:K422" si="280">SUM(J404:J406)+SUM(J408:J417)</f>
        <v>36893</v>
      </c>
      <c r="K422" s="294">
        <f t="shared" si="280"/>
        <v>38308</v>
      </c>
      <c r="L422" s="294">
        <f t="shared" ref="L422" si="281">SUM(L404:L406)+SUM(L408:L417)</f>
        <v>38606</v>
      </c>
      <c r="O422" s="946"/>
    </row>
    <row r="423" spans="1:17">
      <c r="A423" s="291" t="s">
        <v>3895</v>
      </c>
      <c r="D423" s="294">
        <f t="shared" ref="D423:I423" si="282">D407+SUM(D418:D420)</f>
        <v>10518</v>
      </c>
      <c r="E423" s="294">
        <f t="shared" si="282"/>
        <v>10725</v>
      </c>
      <c r="F423" s="294">
        <f t="shared" si="282"/>
        <v>10595</v>
      </c>
      <c r="G423" s="294">
        <f t="shared" si="282"/>
        <v>10610</v>
      </c>
      <c r="H423" s="294">
        <f t="shared" si="282"/>
        <v>10570</v>
      </c>
      <c r="I423" s="294">
        <f t="shared" si="282"/>
        <v>10430</v>
      </c>
      <c r="J423" s="294">
        <f t="shared" ref="J423:K423" si="283">J407+SUM(J418:J420)</f>
        <v>10419</v>
      </c>
      <c r="K423" s="294">
        <f t="shared" si="283"/>
        <v>10693</v>
      </c>
      <c r="L423" s="294">
        <f t="shared" ref="L423" si="284">L407+SUM(L418:L420)</f>
        <v>10827</v>
      </c>
      <c r="O423" s="946"/>
    </row>
    <row r="424" spans="1:17">
      <c r="A424" s="291"/>
      <c r="D424" s="294"/>
      <c r="E424" s="294"/>
      <c r="F424" s="294"/>
      <c r="G424" s="294"/>
      <c r="H424" s="294"/>
      <c r="I424" s="294"/>
      <c r="J424" s="294"/>
      <c r="K424" s="294"/>
      <c r="L424" s="294"/>
    </row>
    <row r="425" spans="1:17">
      <c r="A425" s="291" t="s">
        <v>1470</v>
      </c>
      <c r="D425" s="294"/>
      <c r="E425" s="294"/>
      <c r="F425" s="294"/>
      <c r="G425" s="294"/>
      <c r="H425" s="294"/>
      <c r="I425" s="294"/>
      <c r="J425" s="294"/>
      <c r="K425" s="294"/>
      <c r="L425" s="294"/>
    </row>
    <row r="426" spans="1:17">
      <c r="A426" s="291"/>
      <c r="B426" s="291"/>
      <c r="D426" s="305"/>
      <c r="E426" s="305"/>
      <c r="F426" s="305"/>
      <c r="G426" s="305"/>
      <c r="H426" s="305"/>
      <c r="I426" s="305"/>
      <c r="J426" s="305"/>
      <c r="K426" s="305"/>
      <c r="L426" s="305"/>
    </row>
    <row r="427" spans="1:17">
      <c r="A427" s="291"/>
      <c r="B427" s="291"/>
      <c r="D427" s="305"/>
      <c r="E427" s="305"/>
      <c r="F427" s="305"/>
      <c r="G427" s="305"/>
      <c r="H427" s="305"/>
      <c r="I427" s="305"/>
      <c r="J427" s="305"/>
      <c r="K427" s="305"/>
      <c r="L427" s="305"/>
    </row>
    <row r="428" spans="1:17">
      <c r="E428" s="42" t="s">
        <v>2303</v>
      </c>
      <c r="F428" s="42"/>
      <c r="G428" s="42"/>
      <c r="H428" s="42"/>
      <c r="I428" s="42"/>
      <c r="J428" s="42"/>
      <c r="K428" s="42"/>
      <c r="L428" s="42"/>
      <c r="M428" s="65"/>
      <c r="N428" s="66" t="s">
        <v>13319</v>
      </c>
    </row>
    <row r="429" spans="1:17">
      <c r="D429" s="55">
        <v>2010</v>
      </c>
      <c r="E429" s="55">
        <v>2011</v>
      </c>
      <c r="F429" s="55">
        <v>2012</v>
      </c>
      <c r="G429" s="55">
        <v>2013</v>
      </c>
      <c r="H429" s="55">
        <v>2014</v>
      </c>
      <c r="I429" s="55">
        <v>2015</v>
      </c>
      <c r="J429" s="55">
        <v>2016</v>
      </c>
      <c r="K429" s="55">
        <v>2017</v>
      </c>
      <c r="L429" s="55">
        <v>2018</v>
      </c>
      <c r="N429" s="67" t="s">
        <v>2304</v>
      </c>
    </row>
    <row r="430" spans="1:17">
      <c r="A430" s="291" t="s">
        <v>1471</v>
      </c>
      <c r="D430" s="294">
        <f>SUM(D431:D440)+SUM(D442:D445)</f>
        <v>64867</v>
      </c>
      <c r="E430" s="294">
        <f t="shared" ref="E430:K430" si="285">SUM(E431:E440)+SUM(E442:E445)</f>
        <v>65133</v>
      </c>
      <c r="F430" s="294">
        <f t="shared" si="285"/>
        <v>65401</v>
      </c>
      <c r="G430" s="294">
        <f t="shared" si="285"/>
        <v>66122</v>
      </c>
      <c r="H430" s="294">
        <f t="shared" si="285"/>
        <v>66359</v>
      </c>
      <c r="I430" s="294">
        <f t="shared" si="285"/>
        <v>65617</v>
      </c>
      <c r="J430" s="294">
        <f t="shared" si="285"/>
        <v>64466</v>
      </c>
      <c r="K430" s="294">
        <f t="shared" si="285"/>
        <v>65876</v>
      </c>
      <c r="L430" s="294">
        <f t="shared" ref="L430" si="286">SUM(L431:L440)+SUM(L442:L445)</f>
        <v>65824</v>
      </c>
    </row>
    <row r="431" spans="1:17">
      <c r="A431" s="291" t="s">
        <v>6957</v>
      </c>
      <c r="B431" s="291" t="s">
        <v>15934</v>
      </c>
      <c r="C431" s="4" t="s">
        <v>15932</v>
      </c>
      <c r="D431" s="294">
        <v>53337</v>
      </c>
      <c r="E431" s="294">
        <v>53472</v>
      </c>
      <c r="F431" s="294">
        <v>53682</v>
      </c>
      <c r="G431" s="294">
        <v>54253</v>
      </c>
      <c r="H431" s="30">
        <v>54466</v>
      </c>
      <c r="I431" s="30">
        <v>53950</v>
      </c>
      <c r="J431" s="30">
        <v>53031</v>
      </c>
      <c r="K431" s="30">
        <v>5004</v>
      </c>
      <c r="L431" s="30">
        <v>5055</v>
      </c>
      <c r="N431" s="291" t="s">
        <v>2567</v>
      </c>
      <c r="P431" s="944"/>
      <c r="Q431" s="945"/>
    </row>
    <row r="432" spans="1:17">
      <c r="A432" s="291" t="s">
        <v>6959</v>
      </c>
      <c r="B432" s="291" t="s">
        <v>15933</v>
      </c>
      <c r="C432" s="4" t="s">
        <v>15935</v>
      </c>
      <c r="D432" s="294">
        <v>11530</v>
      </c>
      <c r="E432" s="294">
        <v>11661</v>
      </c>
      <c r="F432" s="294">
        <v>11719</v>
      </c>
      <c r="G432" s="294">
        <v>11869</v>
      </c>
      <c r="H432" s="31">
        <v>11893</v>
      </c>
      <c r="I432" s="31">
        <v>11667</v>
      </c>
      <c r="J432" s="31">
        <v>11435</v>
      </c>
      <c r="K432" s="30">
        <v>5309</v>
      </c>
      <c r="L432" s="30">
        <v>5361</v>
      </c>
      <c r="N432" s="291" t="s">
        <v>2551</v>
      </c>
      <c r="P432" s="944"/>
      <c r="Q432" s="945"/>
    </row>
    <row r="433" spans="1:17">
      <c r="A433" s="291" t="s">
        <v>6961</v>
      </c>
      <c r="B433" s="291" t="s">
        <v>15947</v>
      </c>
      <c r="C433" s="4" t="s">
        <v>15936</v>
      </c>
      <c r="D433" s="294">
        <v>0</v>
      </c>
      <c r="E433" s="294">
        <v>0</v>
      </c>
      <c r="F433" s="294">
        <v>0</v>
      </c>
      <c r="G433" s="294">
        <v>0</v>
      </c>
      <c r="H433" s="30">
        <v>0</v>
      </c>
      <c r="I433" s="30">
        <v>0</v>
      </c>
      <c r="J433" s="30">
        <v>0</v>
      </c>
      <c r="K433" s="30">
        <v>4818</v>
      </c>
      <c r="L433" s="30">
        <v>4799</v>
      </c>
      <c r="N433" s="291" t="s">
        <v>2567</v>
      </c>
      <c r="P433" s="944"/>
      <c r="Q433" s="945"/>
    </row>
    <row r="434" spans="1:17">
      <c r="A434" s="291" t="s">
        <v>6963</v>
      </c>
      <c r="B434" s="291" t="s">
        <v>3342</v>
      </c>
      <c r="C434" s="4" t="s">
        <v>15937</v>
      </c>
      <c r="D434" s="294">
        <v>0</v>
      </c>
      <c r="E434" s="294">
        <v>0</v>
      </c>
      <c r="F434" s="294">
        <v>0</v>
      </c>
      <c r="G434" s="294">
        <v>0</v>
      </c>
      <c r="H434" s="31">
        <v>0</v>
      </c>
      <c r="I434" s="31">
        <v>0</v>
      </c>
      <c r="J434" s="31">
        <v>0</v>
      </c>
      <c r="K434" s="30">
        <v>5047</v>
      </c>
      <c r="L434" s="30">
        <v>5087</v>
      </c>
      <c r="N434" s="291" t="s">
        <v>2567</v>
      </c>
      <c r="O434" s="930"/>
      <c r="P434" s="944"/>
      <c r="Q434" s="945"/>
    </row>
    <row r="435" spans="1:17">
      <c r="A435" s="291" t="s">
        <v>6965</v>
      </c>
      <c r="B435" s="291" t="s">
        <v>15948</v>
      </c>
      <c r="C435" s="4" t="s">
        <v>15938</v>
      </c>
      <c r="D435" s="294">
        <v>0</v>
      </c>
      <c r="E435" s="294">
        <v>0</v>
      </c>
      <c r="F435" s="294">
        <v>0</v>
      </c>
      <c r="G435" s="294">
        <v>0</v>
      </c>
      <c r="H435" s="30">
        <v>0</v>
      </c>
      <c r="I435" s="30">
        <v>0</v>
      </c>
      <c r="J435" s="30">
        <v>0</v>
      </c>
      <c r="K435" s="30">
        <v>5010</v>
      </c>
      <c r="L435" s="30">
        <v>4943</v>
      </c>
      <c r="N435" s="291" t="s">
        <v>2567</v>
      </c>
      <c r="O435" s="946"/>
      <c r="P435" s="944"/>
      <c r="Q435" s="945"/>
    </row>
    <row r="436" spans="1:17">
      <c r="A436" s="291" t="s">
        <v>6997</v>
      </c>
      <c r="B436" s="291" t="s">
        <v>15949</v>
      </c>
      <c r="C436" s="4" t="s">
        <v>15939</v>
      </c>
      <c r="D436" s="294">
        <v>0</v>
      </c>
      <c r="E436" s="294">
        <v>0</v>
      </c>
      <c r="F436" s="294">
        <v>0</v>
      </c>
      <c r="G436" s="294">
        <v>0</v>
      </c>
      <c r="H436" s="30">
        <v>0</v>
      </c>
      <c r="I436" s="30">
        <v>0</v>
      </c>
      <c r="J436" s="30">
        <v>0</v>
      </c>
      <c r="K436" s="30">
        <v>5286</v>
      </c>
      <c r="L436" s="30">
        <v>5216</v>
      </c>
      <c r="N436" s="291" t="s">
        <v>2567</v>
      </c>
      <c r="O436" s="930"/>
      <c r="P436" s="944"/>
      <c r="Q436" s="945"/>
    </row>
    <row r="437" spans="1:17">
      <c r="A437" s="291" t="s">
        <v>6999</v>
      </c>
      <c r="B437" s="291" t="s">
        <v>3343</v>
      </c>
      <c r="C437" s="4" t="s">
        <v>15940</v>
      </c>
      <c r="D437" s="294">
        <v>0</v>
      </c>
      <c r="E437" s="294">
        <v>0</v>
      </c>
      <c r="F437" s="294">
        <v>0</v>
      </c>
      <c r="G437" s="294">
        <v>0</v>
      </c>
      <c r="H437" s="30">
        <v>0</v>
      </c>
      <c r="I437" s="30">
        <v>0</v>
      </c>
      <c r="J437" s="30">
        <v>0</v>
      </c>
      <c r="K437" s="30">
        <v>5446</v>
      </c>
      <c r="L437" s="30">
        <v>5405</v>
      </c>
      <c r="N437" s="291" t="s">
        <v>2567</v>
      </c>
      <c r="O437" s="946"/>
      <c r="P437" s="944"/>
      <c r="Q437" s="945"/>
    </row>
    <row r="438" spans="1:17">
      <c r="A438" s="291" t="s">
        <v>7001</v>
      </c>
      <c r="B438" s="291" t="s">
        <v>3344</v>
      </c>
      <c r="C438" s="4" t="s">
        <v>15941</v>
      </c>
      <c r="D438" s="294">
        <v>0</v>
      </c>
      <c r="E438" s="294">
        <v>0</v>
      </c>
      <c r="F438" s="294">
        <v>0</v>
      </c>
      <c r="G438" s="294">
        <v>0</v>
      </c>
      <c r="H438" s="30">
        <v>0</v>
      </c>
      <c r="I438" s="30">
        <v>0</v>
      </c>
      <c r="J438" s="30">
        <v>0</v>
      </c>
      <c r="K438" s="30">
        <v>5388</v>
      </c>
      <c r="L438" s="30">
        <v>5325</v>
      </c>
      <c r="N438" s="291" t="s">
        <v>2567</v>
      </c>
      <c r="O438" s="930"/>
      <c r="P438" s="944"/>
      <c r="Q438" s="945"/>
    </row>
    <row r="439" spans="1:17">
      <c r="A439" s="291" t="s">
        <v>7003</v>
      </c>
      <c r="B439" s="291" t="s">
        <v>15950</v>
      </c>
      <c r="C439" s="4" t="s">
        <v>15942</v>
      </c>
      <c r="D439" s="300">
        <v>0</v>
      </c>
      <c r="E439" s="300">
        <v>0</v>
      </c>
      <c r="F439" s="300">
        <v>0</v>
      </c>
      <c r="G439" s="300">
        <v>0</v>
      </c>
      <c r="H439" s="30">
        <v>0</v>
      </c>
      <c r="I439" s="30">
        <v>0</v>
      </c>
      <c r="J439" s="30">
        <v>0</v>
      </c>
      <c r="K439" s="30">
        <v>2649</v>
      </c>
      <c r="L439" s="30">
        <v>2659</v>
      </c>
      <c r="N439" s="291" t="s">
        <v>2567</v>
      </c>
      <c r="O439" s="930"/>
      <c r="P439" s="944"/>
      <c r="Q439" s="945"/>
    </row>
    <row r="440" spans="1:17" ht="15.75" thickBot="1">
      <c r="A440" s="291"/>
      <c r="B440" s="291"/>
      <c r="C440" s="4" t="s">
        <v>15942</v>
      </c>
      <c r="D440" s="295">
        <v>0</v>
      </c>
      <c r="E440" s="295">
        <v>0</v>
      </c>
      <c r="F440" s="295">
        <v>0</v>
      </c>
      <c r="G440" s="295">
        <v>0</v>
      </c>
      <c r="H440" s="899">
        <v>0</v>
      </c>
      <c r="I440" s="899">
        <v>0</v>
      </c>
      <c r="J440" s="899">
        <v>0</v>
      </c>
      <c r="K440" s="899">
        <v>2389</v>
      </c>
      <c r="L440" s="899">
        <v>2391</v>
      </c>
      <c r="N440" s="291" t="s">
        <v>2551</v>
      </c>
      <c r="O440" s="930"/>
      <c r="P440" s="944"/>
      <c r="Q440" s="945"/>
    </row>
    <row r="441" spans="1:17" ht="15.75" thickBot="1">
      <c r="A441" s="291"/>
      <c r="B441" s="291"/>
      <c r="C441" s="4" t="s">
        <v>15942</v>
      </c>
      <c r="D441" s="295">
        <f>D439+D440</f>
        <v>0</v>
      </c>
      <c r="E441" s="295">
        <f t="shared" ref="E441:L441" si="287">E439+E440</f>
        <v>0</v>
      </c>
      <c r="F441" s="295">
        <f t="shared" si="287"/>
        <v>0</v>
      </c>
      <c r="G441" s="295">
        <f t="shared" si="287"/>
        <v>0</v>
      </c>
      <c r="H441" s="295">
        <f t="shared" si="287"/>
        <v>0</v>
      </c>
      <c r="I441" s="295">
        <f t="shared" si="287"/>
        <v>0</v>
      </c>
      <c r="J441" s="295">
        <f t="shared" si="287"/>
        <v>0</v>
      </c>
      <c r="K441" s="295">
        <f>K439+K440</f>
        <v>5038</v>
      </c>
      <c r="L441" s="295">
        <f t="shared" si="287"/>
        <v>5050</v>
      </c>
      <c r="N441" s="291"/>
      <c r="O441" s="930"/>
      <c r="P441" s="944"/>
      <c r="Q441" s="945"/>
    </row>
    <row r="442" spans="1:17">
      <c r="A442" s="291" t="s">
        <v>7005</v>
      </c>
      <c r="B442" s="291" t="s">
        <v>15951</v>
      </c>
      <c r="C442" s="4" t="s">
        <v>15943</v>
      </c>
      <c r="D442" s="294">
        <v>0</v>
      </c>
      <c r="E442" s="294">
        <v>0</v>
      </c>
      <c r="F442" s="294">
        <v>0</v>
      </c>
      <c r="G442" s="294">
        <v>0</v>
      </c>
      <c r="H442" s="30">
        <v>0</v>
      </c>
      <c r="I442" s="30">
        <v>0</v>
      </c>
      <c r="J442" s="30">
        <v>0</v>
      </c>
      <c r="K442" s="30">
        <v>3931</v>
      </c>
      <c r="L442" s="30">
        <v>3993</v>
      </c>
      <c r="N442" s="291" t="s">
        <v>2551</v>
      </c>
      <c r="O442" s="930"/>
      <c r="P442" s="944"/>
      <c r="Q442" s="945"/>
    </row>
    <row r="443" spans="1:17">
      <c r="A443" s="291" t="s">
        <v>7007</v>
      </c>
      <c r="B443" s="291" t="s">
        <v>15952</v>
      </c>
      <c r="C443" s="4" t="s">
        <v>15944</v>
      </c>
      <c r="D443" s="294">
        <v>0</v>
      </c>
      <c r="E443" s="294">
        <v>0</v>
      </c>
      <c r="F443" s="294">
        <v>0</v>
      </c>
      <c r="G443" s="294">
        <v>0</v>
      </c>
      <c r="H443" s="30">
        <v>0</v>
      </c>
      <c r="I443" s="30">
        <v>0</v>
      </c>
      <c r="J443" s="30">
        <v>0</v>
      </c>
      <c r="K443" s="30">
        <v>5004</v>
      </c>
      <c r="L443" s="30">
        <v>5016</v>
      </c>
      <c r="N443" s="291" t="s">
        <v>2567</v>
      </c>
      <c r="O443" s="930"/>
      <c r="P443" s="944"/>
      <c r="Q443" s="945"/>
    </row>
    <row r="444" spans="1:17">
      <c r="A444" s="291" t="s">
        <v>7009</v>
      </c>
      <c r="B444" s="291" t="s">
        <v>5546</v>
      </c>
      <c r="C444" s="4" t="s">
        <v>15945</v>
      </c>
      <c r="D444" s="294">
        <v>0</v>
      </c>
      <c r="E444" s="294">
        <v>0</v>
      </c>
      <c r="F444" s="294">
        <v>0</v>
      </c>
      <c r="G444" s="294">
        <v>0</v>
      </c>
      <c r="H444" s="30">
        <v>0</v>
      </c>
      <c r="I444" s="30">
        <v>0</v>
      </c>
      <c r="J444" s="30">
        <v>0</v>
      </c>
      <c r="K444" s="30">
        <v>5490</v>
      </c>
      <c r="L444" s="30">
        <v>5470</v>
      </c>
      <c r="N444" s="291" t="s">
        <v>2567</v>
      </c>
      <c r="O444" s="930"/>
      <c r="P444" s="944"/>
      <c r="Q444" s="945"/>
    </row>
    <row r="445" spans="1:17">
      <c r="A445" s="291" t="s">
        <v>7011</v>
      </c>
      <c r="B445" s="291" t="s">
        <v>4090</v>
      </c>
      <c r="C445" s="4" t="s">
        <v>15946</v>
      </c>
      <c r="D445" s="294">
        <v>0</v>
      </c>
      <c r="E445" s="294">
        <v>0</v>
      </c>
      <c r="F445" s="294">
        <v>0</v>
      </c>
      <c r="G445" s="294">
        <v>0</v>
      </c>
      <c r="H445" s="30">
        <v>0</v>
      </c>
      <c r="I445" s="30">
        <v>0</v>
      </c>
      <c r="J445" s="30">
        <v>0</v>
      </c>
      <c r="K445" s="30">
        <v>5105</v>
      </c>
      <c r="L445" s="30">
        <v>5104</v>
      </c>
      <c r="N445" s="291" t="s">
        <v>2567</v>
      </c>
      <c r="O445" s="930"/>
      <c r="Q445" s="4"/>
    </row>
    <row r="446" spans="1:17">
      <c r="D446" s="296"/>
      <c r="E446" s="296"/>
      <c r="F446" s="296"/>
      <c r="G446" s="296"/>
      <c r="H446" s="296"/>
      <c r="I446" s="296"/>
      <c r="J446" s="296"/>
      <c r="K446" s="296"/>
      <c r="L446" s="296"/>
      <c r="O446" s="930"/>
    </row>
    <row r="447" spans="1:17">
      <c r="A447" s="291" t="s">
        <v>5161</v>
      </c>
      <c r="D447" s="294">
        <f>D431+SUM(D433:D439)+SUM(D443:D445)</f>
        <v>53337</v>
      </c>
      <c r="E447" s="294">
        <f t="shared" ref="E447:K447" si="288">E431+SUM(E433:E439)+SUM(E443:E445)</f>
        <v>53472</v>
      </c>
      <c r="F447" s="294">
        <f t="shared" si="288"/>
        <v>53682</v>
      </c>
      <c r="G447" s="294">
        <f t="shared" si="288"/>
        <v>54253</v>
      </c>
      <c r="H447" s="294">
        <f t="shared" si="288"/>
        <v>54466</v>
      </c>
      <c r="I447" s="294">
        <f t="shared" si="288"/>
        <v>53950</v>
      </c>
      <c r="J447" s="294">
        <f t="shared" si="288"/>
        <v>53031</v>
      </c>
      <c r="K447" s="294">
        <f t="shared" si="288"/>
        <v>54247</v>
      </c>
      <c r="L447" s="294">
        <f t="shared" ref="L447" si="289">L431+SUM(L433:L439)+SUM(L443:L445)</f>
        <v>54079</v>
      </c>
      <c r="O447" s="930"/>
    </row>
    <row r="448" spans="1:17">
      <c r="A448" s="291" t="s">
        <v>1640</v>
      </c>
      <c r="D448" s="294">
        <f>D432+D440+D442</f>
        <v>11530</v>
      </c>
      <c r="E448" s="294">
        <f t="shared" ref="E448:K448" si="290">E432+E440+E442</f>
        <v>11661</v>
      </c>
      <c r="F448" s="294">
        <f t="shared" si="290"/>
        <v>11719</v>
      </c>
      <c r="G448" s="294">
        <f t="shared" si="290"/>
        <v>11869</v>
      </c>
      <c r="H448" s="294">
        <f t="shared" si="290"/>
        <v>11893</v>
      </c>
      <c r="I448" s="294">
        <f t="shared" si="290"/>
        <v>11667</v>
      </c>
      <c r="J448" s="294">
        <f t="shared" si="290"/>
        <v>11435</v>
      </c>
      <c r="K448" s="294">
        <f t="shared" si="290"/>
        <v>11629</v>
      </c>
      <c r="L448" s="294">
        <f t="shared" ref="L448" si="291">L432+L440+L442</f>
        <v>11745</v>
      </c>
      <c r="O448" s="70"/>
    </row>
    <row r="449" spans="1:17">
      <c r="A449" s="291"/>
      <c r="D449" s="294"/>
      <c r="E449" s="294"/>
      <c r="F449" s="294"/>
      <c r="G449" s="294"/>
      <c r="H449" s="294"/>
      <c r="I449" s="294"/>
      <c r="J449" s="294"/>
      <c r="K449" s="294"/>
      <c r="L449" s="294"/>
    </row>
    <row r="450" spans="1:17">
      <c r="A450" s="291" t="s">
        <v>15953</v>
      </c>
      <c r="D450" s="294"/>
      <c r="E450" s="294"/>
      <c r="F450" s="294"/>
      <c r="G450" s="294"/>
      <c r="H450" s="294"/>
      <c r="I450" s="294"/>
      <c r="J450" s="294"/>
      <c r="K450" s="294"/>
      <c r="L450" s="294"/>
    </row>
    <row r="453" spans="1:17">
      <c r="E453" s="42" t="s">
        <v>2303</v>
      </c>
      <c r="F453" s="42"/>
      <c r="G453" s="42"/>
      <c r="H453" s="42"/>
      <c r="I453" s="42"/>
      <c r="J453" s="42"/>
      <c r="K453" s="42"/>
      <c r="L453" s="42"/>
      <c r="M453" s="65"/>
      <c r="N453" s="66" t="s">
        <v>13319</v>
      </c>
    </row>
    <row r="454" spans="1:17">
      <c r="D454" s="55">
        <v>2010</v>
      </c>
      <c r="E454" s="55">
        <v>2011</v>
      </c>
      <c r="F454" s="55">
        <v>2012</v>
      </c>
      <c r="G454" s="55">
        <v>2013</v>
      </c>
      <c r="H454" s="55">
        <v>2014</v>
      </c>
      <c r="I454" s="55">
        <v>2015</v>
      </c>
      <c r="J454" s="55">
        <v>2016</v>
      </c>
      <c r="K454" s="55">
        <v>2017</v>
      </c>
      <c r="L454" s="55">
        <v>2018</v>
      </c>
      <c r="N454" s="67" t="s">
        <v>2304</v>
      </c>
    </row>
    <row r="455" spans="1:17">
      <c r="A455" s="291" t="s">
        <v>4109</v>
      </c>
      <c r="D455" s="294">
        <f t="shared" ref="D455:I455" si="292">SUM(D456:D490)</f>
        <v>107765</v>
      </c>
      <c r="E455" s="294">
        <f t="shared" si="292"/>
        <v>108308</v>
      </c>
      <c r="F455" s="294">
        <f t="shared" si="292"/>
        <v>108723</v>
      </c>
      <c r="G455" s="294">
        <f t="shared" si="292"/>
        <v>109553</v>
      </c>
      <c r="H455" s="294">
        <f t="shared" si="292"/>
        <v>110276</v>
      </c>
      <c r="I455" s="294">
        <f t="shared" si="292"/>
        <v>107859</v>
      </c>
      <c r="J455" s="294">
        <f t="shared" ref="J455:K455" si="293">SUM(J456:J490)</f>
        <v>108820</v>
      </c>
      <c r="K455" s="294">
        <f t="shared" si="293"/>
        <v>109092</v>
      </c>
      <c r="L455" s="294">
        <f t="shared" ref="L455" si="294">SUM(L456:L490)</f>
        <v>109023</v>
      </c>
      <c r="M455" s="294"/>
    </row>
    <row r="456" spans="1:17">
      <c r="A456" s="291" t="s">
        <v>6957</v>
      </c>
      <c r="B456" s="291" t="s">
        <v>4110</v>
      </c>
      <c r="C456" s="4" t="s">
        <v>10456</v>
      </c>
      <c r="D456" s="294">
        <v>1670</v>
      </c>
      <c r="E456" s="294">
        <v>1670</v>
      </c>
      <c r="F456" s="294">
        <v>1649</v>
      </c>
      <c r="G456" s="294">
        <v>1672</v>
      </c>
      <c r="H456" s="31">
        <v>1719</v>
      </c>
      <c r="I456" s="31">
        <v>1649</v>
      </c>
      <c r="J456" s="31">
        <v>1677</v>
      </c>
      <c r="K456" s="31">
        <v>1678</v>
      </c>
      <c r="L456" s="31">
        <v>1660</v>
      </c>
      <c r="N456" s="291" t="s">
        <v>2564</v>
      </c>
      <c r="P456" s="944"/>
      <c r="Q456" s="945"/>
    </row>
    <row r="457" spans="1:17">
      <c r="A457" s="291" t="s">
        <v>6959</v>
      </c>
      <c r="B457" s="291" t="s">
        <v>4111</v>
      </c>
      <c r="C457" s="4" t="s">
        <v>10457</v>
      </c>
      <c r="D457" s="294">
        <v>3354</v>
      </c>
      <c r="E457" s="294">
        <v>3392</v>
      </c>
      <c r="F457" s="294">
        <v>3342</v>
      </c>
      <c r="G457" s="294">
        <v>3497</v>
      </c>
      <c r="H457" s="30">
        <v>3625</v>
      </c>
      <c r="I457" s="30">
        <v>3542</v>
      </c>
      <c r="J457" s="30">
        <v>3420</v>
      </c>
      <c r="K457" s="30">
        <v>3411</v>
      </c>
      <c r="L457" s="30">
        <v>3444</v>
      </c>
      <c r="N457" s="291" t="s">
        <v>2558</v>
      </c>
      <c r="P457" s="944"/>
      <c r="Q457" s="945"/>
    </row>
    <row r="458" spans="1:17">
      <c r="A458" s="291" t="s">
        <v>6961</v>
      </c>
      <c r="B458" s="291" t="s">
        <v>4112</v>
      </c>
      <c r="C458" s="4" t="s">
        <v>10458</v>
      </c>
      <c r="D458" s="294">
        <v>1834</v>
      </c>
      <c r="E458" s="294">
        <v>1844</v>
      </c>
      <c r="F458" s="294">
        <v>1868</v>
      </c>
      <c r="G458" s="294">
        <v>1859</v>
      </c>
      <c r="H458" s="31">
        <v>1847</v>
      </c>
      <c r="I458" s="31">
        <v>1776</v>
      </c>
      <c r="J458" s="31">
        <v>1846</v>
      </c>
      <c r="K458" s="31">
        <v>1845</v>
      </c>
      <c r="L458" s="31">
        <v>1903</v>
      </c>
      <c r="N458" s="291" t="s">
        <v>2564</v>
      </c>
      <c r="P458" s="944"/>
      <c r="Q458" s="945"/>
    </row>
    <row r="459" spans="1:17">
      <c r="A459" s="291" t="s">
        <v>6963</v>
      </c>
      <c r="B459" s="291" t="s">
        <v>2428</v>
      </c>
      <c r="C459" s="4" t="s">
        <v>10459</v>
      </c>
      <c r="D459" s="294">
        <v>1808</v>
      </c>
      <c r="E459" s="294">
        <v>1845</v>
      </c>
      <c r="F459" s="294">
        <v>1848</v>
      </c>
      <c r="G459" s="294">
        <v>1837</v>
      </c>
      <c r="H459" s="30">
        <v>1848</v>
      </c>
      <c r="I459" s="30">
        <v>1830</v>
      </c>
      <c r="J459" s="30">
        <v>1782</v>
      </c>
      <c r="K459" s="30">
        <v>1808</v>
      </c>
      <c r="L459" s="30">
        <v>1807</v>
      </c>
      <c r="N459" s="291" t="s">
        <v>2558</v>
      </c>
      <c r="O459" s="946"/>
      <c r="P459" s="944"/>
      <c r="Q459" s="945"/>
    </row>
    <row r="460" spans="1:17">
      <c r="A460" s="291" t="s">
        <v>6965</v>
      </c>
      <c r="B460" s="291" t="s">
        <v>2429</v>
      </c>
      <c r="C460" s="4" t="s">
        <v>10460</v>
      </c>
      <c r="D460" s="294">
        <v>3460</v>
      </c>
      <c r="E460" s="294">
        <v>3517</v>
      </c>
      <c r="F460" s="294">
        <v>3598</v>
      </c>
      <c r="G460" s="294">
        <v>3782</v>
      </c>
      <c r="H460" s="30">
        <v>3954</v>
      </c>
      <c r="I460" s="30">
        <v>3945</v>
      </c>
      <c r="J460" s="30">
        <v>4036</v>
      </c>
      <c r="K460" s="30">
        <v>4132</v>
      </c>
      <c r="L460" s="30">
        <v>4154</v>
      </c>
      <c r="N460" s="291" t="s">
        <v>2558</v>
      </c>
      <c r="O460" s="930"/>
      <c r="P460" s="944"/>
      <c r="Q460" s="945"/>
    </row>
    <row r="461" spans="1:17">
      <c r="A461" s="291" t="s">
        <v>6997</v>
      </c>
      <c r="B461" s="291" t="s">
        <v>2430</v>
      </c>
      <c r="C461" s="4" t="s">
        <v>10461</v>
      </c>
      <c r="D461" s="294">
        <v>1819</v>
      </c>
      <c r="E461" s="294">
        <v>1830</v>
      </c>
      <c r="F461" s="294">
        <v>1836</v>
      </c>
      <c r="G461" s="294">
        <v>1829</v>
      </c>
      <c r="H461" s="31">
        <v>1843</v>
      </c>
      <c r="I461" s="31">
        <v>1801</v>
      </c>
      <c r="J461" s="31">
        <v>1828</v>
      </c>
      <c r="K461" s="31">
        <v>1875</v>
      </c>
      <c r="L461" s="31">
        <v>1888</v>
      </c>
      <c r="N461" s="291" t="s">
        <v>2564</v>
      </c>
      <c r="O461" s="946"/>
      <c r="P461" s="944"/>
      <c r="Q461" s="945"/>
    </row>
    <row r="462" spans="1:17">
      <c r="A462" s="291" t="s">
        <v>6999</v>
      </c>
      <c r="B462" s="291" t="s">
        <v>2431</v>
      </c>
      <c r="C462" s="4" t="s">
        <v>10462</v>
      </c>
      <c r="D462" s="294">
        <v>6378</v>
      </c>
      <c r="E462" s="294">
        <v>6424</v>
      </c>
      <c r="F462" s="294">
        <v>6412</v>
      </c>
      <c r="G462" s="294">
        <v>6478</v>
      </c>
      <c r="H462" s="31">
        <v>6506</v>
      </c>
      <c r="I462" s="31">
        <v>6300</v>
      </c>
      <c r="J462" s="31">
        <v>6398</v>
      </c>
      <c r="K462" s="31">
        <v>6441</v>
      </c>
      <c r="L462" s="31">
        <v>6517</v>
      </c>
      <c r="N462" s="291" t="s">
        <v>2564</v>
      </c>
      <c r="O462" s="930"/>
      <c r="P462" s="944"/>
      <c r="Q462" s="945"/>
    </row>
    <row r="463" spans="1:17">
      <c r="A463" s="291" t="s">
        <v>7001</v>
      </c>
      <c r="B463" s="291" t="s">
        <v>2410</v>
      </c>
      <c r="C463" s="4" t="s">
        <v>10463</v>
      </c>
      <c r="D463" s="294">
        <v>1754</v>
      </c>
      <c r="E463" s="294">
        <v>1741</v>
      </c>
      <c r="F463" s="294">
        <v>1759</v>
      </c>
      <c r="G463" s="294">
        <v>1779</v>
      </c>
      <c r="H463" s="30">
        <v>1811</v>
      </c>
      <c r="I463" s="30">
        <v>1774</v>
      </c>
      <c r="J463" s="30">
        <v>1782</v>
      </c>
      <c r="K463" s="30">
        <v>1765</v>
      </c>
      <c r="L463" s="30">
        <v>1754</v>
      </c>
      <c r="N463" s="291" t="s">
        <v>2558</v>
      </c>
      <c r="O463" s="930"/>
      <c r="P463" s="944"/>
      <c r="Q463" s="945"/>
    </row>
    <row r="464" spans="1:17">
      <c r="A464" s="291" t="s">
        <v>7003</v>
      </c>
      <c r="B464" s="291" t="s">
        <v>2411</v>
      </c>
      <c r="C464" s="4" t="s">
        <v>10464</v>
      </c>
      <c r="D464" s="294">
        <v>3344</v>
      </c>
      <c r="E464" s="294">
        <v>3362</v>
      </c>
      <c r="F464" s="294">
        <v>3337</v>
      </c>
      <c r="G464" s="294">
        <v>3360</v>
      </c>
      <c r="H464" s="30">
        <v>3369</v>
      </c>
      <c r="I464" s="30">
        <v>3363</v>
      </c>
      <c r="J464" s="30">
        <v>3375</v>
      </c>
      <c r="K464" s="30">
        <v>3389</v>
      </c>
      <c r="L464" s="30">
        <v>3396</v>
      </c>
      <c r="N464" s="291" t="s">
        <v>2558</v>
      </c>
      <c r="O464" s="946"/>
      <c r="P464" s="944"/>
      <c r="Q464" s="945"/>
    </row>
    <row r="465" spans="1:17">
      <c r="A465" s="291" t="s">
        <v>7005</v>
      </c>
      <c r="B465" s="291" t="s">
        <v>2412</v>
      </c>
      <c r="C465" s="4" t="s">
        <v>10465</v>
      </c>
      <c r="D465" s="294">
        <v>3960</v>
      </c>
      <c r="E465" s="294">
        <v>3929</v>
      </c>
      <c r="F465" s="294">
        <v>3926</v>
      </c>
      <c r="G465" s="294">
        <v>3974</v>
      </c>
      <c r="H465" s="30">
        <v>4098</v>
      </c>
      <c r="I465" s="30">
        <v>4015</v>
      </c>
      <c r="J465" s="30">
        <v>3990</v>
      </c>
      <c r="K465" s="30">
        <v>3974</v>
      </c>
      <c r="L465" s="30">
        <v>3957</v>
      </c>
      <c r="N465" s="291" t="s">
        <v>2558</v>
      </c>
      <c r="O465" s="946"/>
      <c r="P465" s="944"/>
      <c r="Q465" s="945"/>
    </row>
    <row r="466" spans="1:17">
      <c r="A466" s="291" t="s">
        <v>7007</v>
      </c>
      <c r="B466" s="291" t="s">
        <v>2413</v>
      </c>
      <c r="C466" s="4" t="s">
        <v>10466</v>
      </c>
      <c r="D466" s="294">
        <v>1739</v>
      </c>
      <c r="E466" s="294">
        <v>1725</v>
      </c>
      <c r="F466" s="294">
        <v>1725</v>
      </c>
      <c r="G466" s="294">
        <v>1717</v>
      </c>
      <c r="H466" s="31">
        <v>1700</v>
      </c>
      <c r="I466" s="31">
        <v>1624</v>
      </c>
      <c r="J466" s="31">
        <v>1655</v>
      </c>
      <c r="K466" s="31">
        <v>1659</v>
      </c>
      <c r="L466" s="31">
        <v>1689</v>
      </c>
      <c r="N466" s="291" t="s">
        <v>2564</v>
      </c>
      <c r="O466" s="930"/>
      <c r="P466" s="944"/>
      <c r="Q466" s="945"/>
    </row>
    <row r="467" spans="1:17">
      <c r="A467" s="291" t="s">
        <v>7009</v>
      </c>
      <c r="B467" s="291" t="s">
        <v>2414</v>
      </c>
      <c r="C467" s="4" t="s">
        <v>10467</v>
      </c>
      <c r="D467" s="294">
        <v>1801</v>
      </c>
      <c r="E467" s="294">
        <v>1788</v>
      </c>
      <c r="F467" s="294">
        <v>1795</v>
      </c>
      <c r="G467" s="294">
        <v>1806</v>
      </c>
      <c r="H467" s="31">
        <v>1800</v>
      </c>
      <c r="I467" s="31">
        <v>1712</v>
      </c>
      <c r="J467" s="31">
        <v>1751</v>
      </c>
      <c r="K467" s="31">
        <v>1809</v>
      </c>
      <c r="L467" s="31">
        <v>1825</v>
      </c>
      <c r="N467" s="291" t="s">
        <v>2564</v>
      </c>
      <c r="O467" s="930"/>
      <c r="P467" s="944"/>
      <c r="Q467" s="945"/>
    </row>
    <row r="468" spans="1:17">
      <c r="A468" s="291" t="s">
        <v>7011</v>
      </c>
      <c r="B468" s="291" t="s">
        <v>2415</v>
      </c>
      <c r="C468" s="4" t="s">
        <v>10468</v>
      </c>
      <c r="D468" s="294">
        <v>3214</v>
      </c>
      <c r="E468" s="294">
        <v>3228</v>
      </c>
      <c r="F468" s="294">
        <v>3228</v>
      </c>
      <c r="G468" s="294">
        <v>3217</v>
      </c>
      <c r="H468" s="30">
        <v>3250</v>
      </c>
      <c r="I468" s="30">
        <v>3219</v>
      </c>
      <c r="J468" s="30">
        <v>3259</v>
      </c>
      <c r="K468" s="30">
        <v>3258</v>
      </c>
      <c r="L468" s="30">
        <v>3253</v>
      </c>
      <c r="N468" s="291" t="s">
        <v>2558</v>
      </c>
      <c r="O468" s="930"/>
      <c r="P468" s="944"/>
      <c r="Q468" s="945"/>
    </row>
    <row r="469" spans="1:17">
      <c r="A469" s="291" t="s">
        <v>7013</v>
      </c>
      <c r="B469" s="291" t="s">
        <v>2416</v>
      </c>
      <c r="C469" s="4" t="s">
        <v>10469</v>
      </c>
      <c r="D469" s="294">
        <v>1853</v>
      </c>
      <c r="E469" s="294">
        <v>1874</v>
      </c>
      <c r="F469" s="294">
        <v>1865</v>
      </c>
      <c r="G469" s="294">
        <v>1866</v>
      </c>
      <c r="H469" s="31">
        <v>1835</v>
      </c>
      <c r="I469" s="31">
        <v>1728</v>
      </c>
      <c r="J469" s="31">
        <v>1779</v>
      </c>
      <c r="K469" s="31">
        <v>1799</v>
      </c>
      <c r="L469" s="31">
        <v>1813</v>
      </c>
      <c r="N469" s="291" t="s">
        <v>2564</v>
      </c>
      <c r="O469" s="946"/>
      <c r="P469" s="944"/>
      <c r="Q469" s="945"/>
    </row>
    <row r="470" spans="1:17">
      <c r="A470" s="291" t="s">
        <v>7015</v>
      </c>
      <c r="B470" s="291" t="s">
        <v>2417</v>
      </c>
      <c r="C470" s="4" t="s">
        <v>10470</v>
      </c>
      <c r="D470" s="294">
        <v>3495</v>
      </c>
      <c r="E470" s="294">
        <v>3559</v>
      </c>
      <c r="F470" s="294">
        <v>3669</v>
      </c>
      <c r="G470" s="294">
        <v>3683</v>
      </c>
      <c r="H470" s="31">
        <v>3768</v>
      </c>
      <c r="I470" s="31">
        <v>3559</v>
      </c>
      <c r="J470" s="31">
        <v>3656</v>
      </c>
      <c r="K470" s="31">
        <v>3622</v>
      </c>
      <c r="L470" s="31">
        <v>3692</v>
      </c>
      <c r="N470" s="291" t="s">
        <v>2564</v>
      </c>
      <c r="O470" s="946"/>
      <c r="P470" s="944"/>
      <c r="Q470" s="945"/>
    </row>
    <row r="471" spans="1:17">
      <c r="A471" s="291" t="s">
        <v>7017</v>
      </c>
      <c r="B471" s="291" t="s">
        <v>2418</v>
      </c>
      <c r="C471" s="4" t="s">
        <v>10471</v>
      </c>
      <c r="D471" s="294">
        <v>3902</v>
      </c>
      <c r="E471" s="294">
        <v>3883</v>
      </c>
      <c r="F471" s="294">
        <v>3916</v>
      </c>
      <c r="G471" s="294">
        <v>3902</v>
      </c>
      <c r="H471" s="31">
        <v>3954</v>
      </c>
      <c r="I471" s="31">
        <v>3837</v>
      </c>
      <c r="J471" s="31">
        <v>3902</v>
      </c>
      <c r="K471" s="31">
        <v>3905</v>
      </c>
      <c r="L471" s="31">
        <v>3885</v>
      </c>
      <c r="N471" s="291" t="s">
        <v>2564</v>
      </c>
      <c r="O471" s="930"/>
      <c r="P471" s="944"/>
      <c r="Q471" s="945"/>
    </row>
    <row r="472" spans="1:17">
      <c r="A472" s="291" t="s">
        <v>7019</v>
      </c>
      <c r="B472" s="291" t="s">
        <v>2419</v>
      </c>
      <c r="C472" s="4" t="s">
        <v>10472</v>
      </c>
      <c r="D472" s="294">
        <v>3688</v>
      </c>
      <c r="E472" s="294">
        <v>3770</v>
      </c>
      <c r="F472" s="294">
        <v>3859</v>
      </c>
      <c r="G472" s="294">
        <v>3885</v>
      </c>
      <c r="H472" s="31">
        <v>3911</v>
      </c>
      <c r="I472" s="31">
        <v>3760</v>
      </c>
      <c r="J472" s="31">
        <v>3792</v>
      </c>
      <c r="K472" s="31">
        <v>3728</v>
      </c>
      <c r="L472" s="31">
        <v>3786</v>
      </c>
      <c r="N472" s="291" t="s">
        <v>2564</v>
      </c>
      <c r="O472" s="946"/>
      <c r="P472" s="944"/>
      <c r="Q472" s="945"/>
    </row>
    <row r="473" spans="1:17">
      <c r="A473" s="291" t="s">
        <v>7021</v>
      </c>
      <c r="B473" s="291" t="s">
        <v>2420</v>
      </c>
      <c r="C473" s="4" t="s">
        <v>10473</v>
      </c>
      <c r="D473" s="294">
        <v>1760</v>
      </c>
      <c r="E473" s="294">
        <v>1756</v>
      </c>
      <c r="F473" s="294">
        <v>1740</v>
      </c>
      <c r="G473" s="294">
        <v>1792</v>
      </c>
      <c r="H473" s="30">
        <v>1786</v>
      </c>
      <c r="I473" s="30">
        <v>1763</v>
      </c>
      <c r="J473" s="30">
        <v>1796</v>
      </c>
      <c r="K473" s="30">
        <v>1807</v>
      </c>
      <c r="L473" s="30">
        <v>1778</v>
      </c>
      <c r="N473" s="291" t="s">
        <v>2558</v>
      </c>
      <c r="O473" s="946"/>
      <c r="P473" s="944"/>
      <c r="Q473" s="945"/>
    </row>
    <row r="474" spans="1:17">
      <c r="A474" s="291" t="s">
        <v>7023</v>
      </c>
      <c r="B474" s="291" t="s">
        <v>5818</v>
      </c>
      <c r="C474" s="4" t="s">
        <v>10474</v>
      </c>
      <c r="D474" s="294">
        <v>3844</v>
      </c>
      <c r="E474" s="294">
        <v>3847</v>
      </c>
      <c r="F474" s="294">
        <v>3872</v>
      </c>
      <c r="G474" s="294">
        <v>3851</v>
      </c>
      <c r="H474" s="30">
        <v>3844</v>
      </c>
      <c r="I474" s="30">
        <v>3823</v>
      </c>
      <c r="J474" s="30">
        <v>3809</v>
      </c>
      <c r="K474" s="30">
        <v>3845</v>
      </c>
      <c r="L474" s="30">
        <v>3841</v>
      </c>
      <c r="N474" s="291" t="s">
        <v>2558</v>
      </c>
      <c r="O474" s="946"/>
      <c r="P474" s="944"/>
      <c r="Q474" s="945"/>
    </row>
    <row r="475" spans="1:17">
      <c r="A475" s="291" t="s">
        <v>7025</v>
      </c>
      <c r="B475" s="291" t="s">
        <v>5819</v>
      </c>
      <c r="C475" s="4" t="s">
        <v>10475</v>
      </c>
      <c r="D475" s="294">
        <v>1702</v>
      </c>
      <c r="E475" s="294">
        <v>1667</v>
      </c>
      <c r="F475" s="294">
        <v>1681</v>
      </c>
      <c r="G475" s="294">
        <v>1670</v>
      </c>
      <c r="H475" s="30">
        <v>1677</v>
      </c>
      <c r="I475" s="30">
        <v>1672</v>
      </c>
      <c r="J475" s="30">
        <v>1706</v>
      </c>
      <c r="K475" s="30">
        <v>1678</v>
      </c>
      <c r="L475" s="30">
        <v>1659</v>
      </c>
      <c r="N475" s="291" t="s">
        <v>2558</v>
      </c>
      <c r="O475" s="946"/>
      <c r="P475" s="944"/>
      <c r="Q475" s="945"/>
    </row>
    <row r="476" spans="1:17">
      <c r="A476" s="291" t="s">
        <v>7570</v>
      </c>
      <c r="B476" s="291" t="s">
        <v>5820</v>
      </c>
      <c r="C476" s="4" t="s">
        <v>10476</v>
      </c>
      <c r="D476" s="294">
        <v>3431</v>
      </c>
      <c r="E476" s="294">
        <v>3451</v>
      </c>
      <c r="F476" s="294">
        <v>3482</v>
      </c>
      <c r="G476" s="294">
        <v>3487</v>
      </c>
      <c r="H476" s="31">
        <v>3433</v>
      </c>
      <c r="I476" s="31">
        <v>3335</v>
      </c>
      <c r="J476" s="31">
        <v>3364</v>
      </c>
      <c r="K476" s="31">
        <v>3403</v>
      </c>
      <c r="L476" s="31">
        <v>3424</v>
      </c>
      <c r="N476" s="291" t="s">
        <v>2564</v>
      </c>
      <c r="O476" s="930"/>
      <c r="P476" s="944"/>
      <c r="Q476" s="945"/>
    </row>
    <row r="477" spans="1:17">
      <c r="A477" s="291" t="s">
        <v>7572</v>
      </c>
      <c r="B477" s="291" t="s">
        <v>5821</v>
      </c>
      <c r="C477" s="4" t="s">
        <v>10477</v>
      </c>
      <c r="D477" s="294">
        <v>3761</v>
      </c>
      <c r="E477" s="294">
        <v>3756</v>
      </c>
      <c r="F477" s="294">
        <v>3766</v>
      </c>
      <c r="G477" s="294">
        <v>3780</v>
      </c>
      <c r="H477" s="30">
        <v>3764</v>
      </c>
      <c r="I477" s="30">
        <v>3814</v>
      </c>
      <c r="J477" s="30">
        <v>3797</v>
      </c>
      <c r="K477" s="30">
        <v>3846</v>
      </c>
      <c r="L477" s="30">
        <v>3906</v>
      </c>
      <c r="N477" s="291" t="s">
        <v>2558</v>
      </c>
      <c r="O477" s="930"/>
      <c r="P477" s="944"/>
      <c r="Q477" s="945"/>
    </row>
    <row r="478" spans="1:17">
      <c r="A478" s="291" t="s">
        <v>7573</v>
      </c>
      <c r="B478" s="291" t="s">
        <v>5822</v>
      </c>
      <c r="C478" s="4" t="s">
        <v>10478</v>
      </c>
      <c r="D478" s="294">
        <v>3582</v>
      </c>
      <c r="E478" s="294">
        <v>3634</v>
      </c>
      <c r="F478" s="294">
        <v>3560</v>
      </c>
      <c r="G478" s="294">
        <v>3551</v>
      </c>
      <c r="H478" s="31">
        <v>3554</v>
      </c>
      <c r="I478" s="31">
        <v>3440</v>
      </c>
      <c r="J478" s="31">
        <v>3562</v>
      </c>
      <c r="K478" s="31">
        <v>3549</v>
      </c>
      <c r="L478" s="31">
        <v>3488</v>
      </c>
      <c r="N478" s="291" t="s">
        <v>2564</v>
      </c>
      <c r="O478" s="930"/>
      <c r="P478" s="944"/>
      <c r="Q478" s="945"/>
    </row>
    <row r="479" spans="1:17">
      <c r="A479" s="291" t="s">
        <v>5798</v>
      </c>
      <c r="B479" s="291" t="s">
        <v>5823</v>
      </c>
      <c r="C479" s="4" t="s">
        <v>10479</v>
      </c>
      <c r="D479" s="294">
        <v>3272</v>
      </c>
      <c r="E479" s="294">
        <v>3245</v>
      </c>
      <c r="F479" s="294">
        <v>3289</v>
      </c>
      <c r="G479" s="294">
        <v>3331</v>
      </c>
      <c r="H479" s="30">
        <v>3297</v>
      </c>
      <c r="I479" s="30">
        <v>3268</v>
      </c>
      <c r="J479" s="30">
        <v>3238</v>
      </c>
      <c r="K479" s="30">
        <v>3210</v>
      </c>
      <c r="L479" s="30">
        <v>3215</v>
      </c>
      <c r="N479" s="291" t="s">
        <v>2558</v>
      </c>
      <c r="O479" s="946"/>
      <c r="P479" s="944"/>
      <c r="Q479" s="945"/>
    </row>
    <row r="480" spans="1:17">
      <c r="A480" s="291" t="s">
        <v>5799</v>
      </c>
      <c r="B480" s="291" t="s">
        <v>5824</v>
      </c>
      <c r="C480" s="4" t="s">
        <v>10480</v>
      </c>
      <c r="D480" s="294">
        <v>3249</v>
      </c>
      <c r="E480" s="294">
        <v>3323</v>
      </c>
      <c r="F480" s="294">
        <v>3358</v>
      </c>
      <c r="G480" s="294">
        <v>3365</v>
      </c>
      <c r="H480" s="30">
        <v>3325</v>
      </c>
      <c r="I480" s="30">
        <v>3281</v>
      </c>
      <c r="J480" s="30">
        <v>3326</v>
      </c>
      <c r="K480" s="30">
        <v>3386</v>
      </c>
      <c r="L480" s="30">
        <v>3285</v>
      </c>
      <c r="N480" s="291" t="s">
        <v>2558</v>
      </c>
      <c r="O480" s="930"/>
      <c r="P480" s="944"/>
      <c r="Q480" s="945"/>
    </row>
    <row r="481" spans="1:17">
      <c r="A481" s="291" t="s">
        <v>5801</v>
      </c>
      <c r="B481" s="291" t="s">
        <v>5825</v>
      </c>
      <c r="C481" s="4" t="s">
        <v>10481</v>
      </c>
      <c r="D481" s="294">
        <v>1731</v>
      </c>
      <c r="E481" s="294">
        <v>1732</v>
      </c>
      <c r="F481" s="294">
        <v>1725</v>
      </c>
      <c r="G481" s="294">
        <v>1729</v>
      </c>
      <c r="H481" s="31">
        <v>1742</v>
      </c>
      <c r="I481" s="31">
        <v>1641</v>
      </c>
      <c r="J481" s="31">
        <v>1677</v>
      </c>
      <c r="K481" s="31">
        <v>1663</v>
      </c>
      <c r="L481" s="31">
        <v>1642</v>
      </c>
      <c r="N481" s="291" t="s">
        <v>2564</v>
      </c>
      <c r="O481" s="946"/>
      <c r="P481" s="944"/>
      <c r="Q481" s="945"/>
    </row>
    <row r="482" spans="1:17">
      <c r="A482" s="291" t="s">
        <v>5927</v>
      </c>
      <c r="B482" s="291" t="s">
        <v>5826</v>
      </c>
      <c r="C482" s="4" t="s">
        <v>10482</v>
      </c>
      <c r="D482" s="294">
        <v>3417</v>
      </c>
      <c r="E482" s="294">
        <v>3462</v>
      </c>
      <c r="F482" s="294">
        <v>3512</v>
      </c>
      <c r="G482" s="294">
        <v>3511</v>
      </c>
      <c r="H482" s="30">
        <v>3478</v>
      </c>
      <c r="I482" s="30">
        <v>3484</v>
      </c>
      <c r="J482" s="30">
        <v>3428</v>
      </c>
      <c r="K482" s="30">
        <v>3455</v>
      </c>
      <c r="L482" s="30">
        <v>3395</v>
      </c>
      <c r="N482" s="291" t="s">
        <v>2558</v>
      </c>
      <c r="O482" s="930"/>
      <c r="P482" s="944"/>
      <c r="Q482" s="945"/>
    </row>
    <row r="483" spans="1:17">
      <c r="A483" s="291" t="s">
        <v>5929</v>
      </c>
      <c r="B483" s="291" t="s">
        <v>5827</v>
      </c>
      <c r="C483" s="4" t="s">
        <v>10483</v>
      </c>
      <c r="D483" s="294">
        <v>3890</v>
      </c>
      <c r="E483" s="294">
        <v>3885</v>
      </c>
      <c r="F483" s="294">
        <v>3846</v>
      </c>
      <c r="G483" s="294">
        <v>3898</v>
      </c>
      <c r="H483" s="30">
        <v>3909</v>
      </c>
      <c r="I483" s="30">
        <v>3920</v>
      </c>
      <c r="J483" s="30">
        <v>3939</v>
      </c>
      <c r="K483" s="30">
        <v>3915</v>
      </c>
      <c r="L483" s="30">
        <v>3863</v>
      </c>
      <c r="N483" s="291" t="s">
        <v>2558</v>
      </c>
      <c r="O483" s="930"/>
      <c r="P483" s="944"/>
      <c r="Q483" s="945"/>
    </row>
    <row r="484" spans="1:17">
      <c r="A484" s="291" t="s">
        <v>5931</v>
      </c>
      <c r="B484" s="291" t="s">
        <v>4099</v>
      </c>
      <c r="C484" s="4" t="s">
        <v>10484</v>
      </c>
      <c r="D484" s="294">
        <v>3326</v>
      </c>
      <c r="E484" s="294">
        <v>3441</v>
      </c>
      <c r="F484" s="294">
        <v>3408</v>
      </c>
      <c r="G484" s="294">
        <v>3426</v>
      </c>
      <c r="H484" s="31">
        <v>3397</v>
      </c>
      <c r="I484" s="31">
        <v>3368</v>
      </c>
      <c r="J484" s="31">
        <v>3325</v>
      </c>
      <c r="K484" s="31">
        <v>3337</v>
      </c>
      <c r="L484" s="31">
        <v>3285</v>
      </c>
      <c r="N484" s="291" t="s">
        <v>2558</v>
      </c>
      <c r="O484" s="946"/>
      <c r="P484" s="944"/>
      <c r="Q484" s="945"/>
    </row>
    <row r="485" spans="1:17">
      <c r="A485" s="291" t="s">
        <v>5933</v>
      </c>
      <c r="B485" s="291" t="s">
        <v>7742</v>
      </c>
      <c r="C485" s="4" t="s">
        <v>10485</v>
      </c>
      <c r="D485" s="294">
        <v>3763</v>
      </c>
      <c r="E485" s="294">
        <v>3797</v>
      </c>
      <c r="F485" s="294">
        <v>3854</v>
      </c>
      <c r="G485" s="294">
        <v>3879</v>
      </c>
      <c r="H485" s="31">
        <v>3841</v>
      </c>
      <c r="I485" s="31">
        <v>3741</v>
      </c>
      <c r="J485" s="31">
        <v>3814</v>
      </c>
      <c r="K485" s="31">
        <v>3782</v>
      </c>
      <c r="L485" s="31">
        <v>3769</v>
      </c>
      <c r="N485" s="291" t="s">
        <v>2558</v>
      </c>
      <c r="O485" s="930"/>
      <c r="P485" s="944"/>
      <c r="Q485" s="945"/>
    </row>
    <row r="486" spans="1:17">
      <c r="A486" s="291" t="s">
        <v>7897</v>
      </c>
      <c r="B486" s="291" t="s">
        <v>6140</v>
      </c>
      <c r="C486" s="4" t="s">
        <v>10486</v>
      </c>
      <c r="D486" s="296">
        <v>3750</v>
      </c>
      <c r="E486" s="296">
        <v>3715</v>
      </c>
      <c r="F486" s="296">
        <v>3735</v>
      </c>
      <c r="G486" s="296">
        <v>3722</v>
      </c>
      <c r="H486" s="31">
        <v>3760</v>
      </c>
      <c r="I486" s="31">
        <v>3596</v>
      </c>
      <c r="J486" s="31">
        <v>3614</v>
      </c>
      <c r="K486" s="31">
        <v>3653</v>
      </c>
      <c r="L486" s="31">
        <v>3577</v>
      </c>
      <c r="N486" s="291" t="s">
        <v>2558</v>
      </c>
      <c r="O486" s="930"/>
      <c r="P486" s="944"/>
      <c r="Q486" s="945"/>
    </row>
    <row r="487" spans="1:17">
      <c r="A487" s="304">
        <v>32</v>
      </c>
      <c r="B487" s="291" t="s">
        <v>15804</v>
      </c>
      <c r="C487" s="4" t="s">
        <v>10487</v>
      </c>
      <c r="D487" s="294">
        <v>3593</v>
      </c>
      <c r="E487" s="294">
        <v>3510</v>
      </c>
      <c r="F487" s="294">
        <v>3532</v>
      </c>
      <c r="G487" s="294">
        <v>3566</v>
      </c>
      <c r="H487" s="31">
        <v>3668</v>
      </c>
      <c r="I487" s="31">
        <v>3594</v>
      </c>
      <c r="J487" s="31">
        <v>3673</v>
      </c>
      <c r="K487" s="31">
        <v>3699</v>
      </c>
      <c r="L487" s="31">
        <v>3734</v>
      </c>
      <c r="N487" s="291" t="s">
        <v>2558</v>
      </c>
      <c r="O487" s="946"/>
      <c r="P487" s="944"/>
      <c r="Q487" s="945"/>
    </row>
    <row r="488" spans="1:17">
      <c r="A488" s="304">
        <v>33</v>
      </c>
      <c r="B488" s="291" t="s">
        <v>4074</v>
      </c>
      <c r="C488" s="4" t="s">
        <v>10488</v>
      </c>
      <c r="D488" s="294">
        <v>3679</v>
      </c>
      <c r="E488" s="294">
        <v>3711</v>
      </c>
      <c r="F488" s="294">
        <v>3710</v>
      </c>
      <c r="G488" s="294">
        <v>3756</v>
      </c>
      <c r="H488" s="31">
        <v>3789</v>
      </c>
      <c r="I488" s="31">
        <v>3663</v>
      </c>
      <c r="J488" s="31">
        <v>3761</v>
      </c>
      <c r="K488" s="31">
        <v>3708</v>
      </c>
      <c r="L488" s="31">
        <v>3714</v>
      </c>
      <c r="N488" s="291" t="s">
        <v>2558</v>
      </c>
      <c r="O488" s="946"/>
      <c r="P488" s="944"/>
      <c r="Q488" s="945"/>
    </row>
    <row r="489" spans="1:17">
      <c r="A489" s="304">
        <v>34</v>
      </c>
      <c r="B489" s="291" t="s">
        <v>4075</v>
      </c>
      <c r="C489" s="4" t="s">
        <v>10489</v>
      </c>
      <c r="D489" s="294">
        <v>3626</v>
      </c>
      <c r="E489" s="294">
        <v>3677</v>
      </c>
      <c r="F489" s="294">
        <v>3706</v>
      </c>
      <c r="G489" s="294">
        <v>3783</v>
      </c>
      <c r="H489" s="31">
        <v>3772</v>
      </c>
      <c r="I489" s="31">
        <v>3688</v>
      </c>
      <c r="J489" s="31">
        <v>3724</v>
      </c>
      <c r="K489" s="31">
        <v>3764</v>
      </c>
      <c r="L489" s="31">
        <v>3725</v>
      </c>
      <c r="N489" s="291" t="s">
        <v>2564</v>
      </c>
      <c r="O489" s="946"/>
      <c r="P489" s="944"/>
      <c r="Q489" s="945"/>
    </row>
    <row r="490" spans="1:17">
      <c r="A490" s="304">
        <v>35</v>
      </c>
      <c r="B490" s="291" t="s">
        <v>7876</v>
      </c>
      <c r="C490" s="4" t="s">
        <v>10490</v>
      </c>
      <c r="D490" s="294">
        <v>3316</v>
      </c>
      <c r="E490" s="294">
        <v>3318</v>
      </c>
      <c r="F490" s="294">
        <v>3315</v>
      </c>
      <c r="G490" s="294">
        <v>3313</v>
      </c>
      <c r="H490" s="31">
        <v>3402</v>
      </c>
      <c r="I490" s="31">
        <v>3334</v>
      </c>
      <c r="J490" s="31">
        <v>3339</v>
      </c>
      <c r="K490" s="31">
        <v>3294</v>
      </c>
      <c r="L490" s="31">
        <v>3300</v>
      </c>
      <c r="N490" s="291" t="s">
        <v>2558</v>
      </c>
      <c r="O490" s="946"/>
      <c r="P490" s="944"/>
      <c r="Q490" s="945"/>
    </row>
    <row r="491" spans="1:17">
      <c r="D491" s="296"/>
      <c r="E491" s="296"/>
      <c r="F491" s="296"/>
      <c r="G491" s="296"/>
      <c r="H491" s="296"/>
      <c r="I491" s="296"/>
      <c r="J491" s="296"/>
      <c r="K491" s="296"/>
      <c r="L491" s="296"/>
      <c r="O491" s="946"/>
    </row>
    <row r="492" spans="1:17">
      <c r="A492" s="291" t="s">
        <v>2558</v>
      </c>
      <c r="D492" s="294">
        <f t="shared" ref="D492:I492" si="295">D457+D459+D460+SUM(D463:D465)+D468+SUM(D473:D475)+D477+D479+D480+SUM(D482:D488)+D490</f>
        <v>67216</v>
      </c>
      <c r="E492" s="294">
        <f t="shared" si="295"/>
        <v>67447</v>
      </c>
      <c r="F492" s="294">
        <f t="shared" si="295"/>
        <v>67656</v>
      </c>
      <c r="G492" s="294">
        <f t="shared" si="295"/>
        <v>68306</v>
      </c>
      <c r="H492" s="294">
        <f t="shared" si="295"/>
        <v>68892</v>
      </c>
      <c r="I492" s="294">
        <f t="shared" si="295"/>
        <v>68009</v>
      </c>
      <c r="J492" s="294">
        <f t="shared" ref="J492:K492" si="296">J457+J459+J460+SUM(J463:J465)+J468+SUM(J473:J475)+J477+J479+J480+SUM(J482:J488)+J490</f>
        <v>68209</v>
      </c>
      <c r="K492" s="294">
        <f t="shared" si="296"/>
        <v>68352</v>
      </c>
      <c r="L492" s="294">
        <f t="shared" ref="L492" si="297">L457+L459+L460+SUM(L463:L465)+L468+SUM(L473:L475)+L477+L479+L480+SUM(L482:L488)+L490</f>
        <v>68086</v>
      </c>
      <c r="O492" s="946"/>
    </row>
    <row r="493" spans="1:17">
      <c r="A493" s="291" t="s">
        <v>2491</v>
      </c>
      <c r="D493" s="294">
        <f t="shared" ref="D493:I493" si="298">D456+D458+D461+D462+D466+D467+SUM(D469:D472)+D476+D478+D481+D489</f>
        <v>40549</v>
      </c>
      <c r="E493" s="294">
        <f t="shared" si="298"/>
        <v>40861</v>
      </c>
      <c r="F493" s="294">
        <f t="shared" si="298"/>
        <v>41067</v>
      </c>
      <c r="G493" s="294">
        <f t="shared" si="298"/>
        <v>41247</v>
      </c>
      <c r="H493" s="294">
        <f t="shared" si="298"/>
        <v>41384</v>
      </c>
      <c r="I493" s="294">
        <f t="shared" si="298"/>
        <v>39850</v>
      </c>
      <c r="J493" s="294">
        <f t="shared" ref="J493:K493" si="299">J456+J458+J461+J462+J466+J467+SUM(J469:J472)+J476+J478+J481+J489</f>
        <v>40611</v>
      </c>
      <c r="K493" s="294">
        <f t="shared" si="299"/>
        <v>40740</v>
      </c>
      <c r="L493" s="294">
        <f t="shared" ref="L493" si="300">L456+L458+L461+L462+L466+L467+SUM(L469:L472)+L476+L478+L481+L489</f>
        <v>40937</v>
      </c>
      <c r="O493" s="946"/>
    </row>
    <row r="494" spans="1:17">
      <c r="A494" s="291"/>
      <c r="B494" s="291"/>
      <c r="D494" s="305"/>
      <c r="E494" s="305"/>
      <c r="F494" s="305"/>
      <c r="G494" s="305"/>
      <c r="H494" s="305"/>
      <c r="I494" s="305"/>
      <c r="J494" s="305"/>
      <c r="K494" s="305"/>
      <c r="L494" s="305"/>
    </row>
    <row r="495" spans="1:17">
      <c r="A495" s="292" t="s">
        <v>4076</v>
      </c>
      <c r="B495" s="291"/>
      <c r="D495" s="305"/>
      <c r="E495" s="305"/>
      <c r="F495" s="305"/>
      <c r="G495" s="305"/>
      <c r="H495" s="305"/>
      <c r="I495" s="305"/>
      <c r="J495" s="305"/>
      <c r="K495" s="305"/>
      <c r="L495" s="305"/>
    </row>
    <row r="498" spans="1:17">
      <c r="E498" s="42" t="s">
        <v>2303</v>
      </c>
      <c r="F498" s="42"/>
      <c r="G498" s="42"/>
      <c r="H498" s="42"/>
      <c r="I498" s="42"/>
      <c r="J498" s="42"/>
      <c r="K498" s="42"/>
      <c r="L498" s="42"/>
      <c r="M498" s="65"/>
      <c r="N498" s="66" t="s">
        <v>13319</v>
      </c>
    </row>
    <row r="499" spans="1:17">
      <c r="D499" s="55">
        <v>2010</v>
      </c>
      <c r="E499" s="55">
        <v>2011</v>
      </c>
      <c r="F499" s="55">
        <v>2012</v>
      </c>
      <c r="G499" s="55">
        <v>2013</v>
      </c>
      <c r="H499" s="55">
        <v>2014</v>
      </c>
      <c r="I499" s="55">
        <v>2015</v>
      </c>
      <c r="J499" s="55">
        <v>2016</v>
      </c>
      <c r="K499" s="55">
        <v>2017</v>
      </c>
      <c r="L499" s="55">
        <v>2018</v>
      </c>
      <c r="N499" s="67" t="s">
        <v>2304</v>
      </c>
    </row>
    <row r="500" spans="1:17">
      <c r="A500" s="291" t="s">
        <v>4077</v>
      </c>
      <c r="D500" s="294">
        <f t="shared" ref="D500:I500" si="301">SUM(D501:D522)</f>
        <v>58606</v>
      </c>
      <c r="E500" s="294">
        <f t="shared" si="301"/>
        <v>59608</v>
      </c>
      <c r="F500" s="294">
        <f t="shared" si="301"/>
        <v>60719</v>
      </c>
      <c r="G500" s="294">
        <f t="shared" si="301"/>
        <v>61613</v>
      </c>
      <c r="H500" s="294">
        <f t="shared" si="301"/>
        <v>62275</v>
      </c>
      <c r="I500" s="294">
        <f t="shared" si="301"/>
        <v>62081</v>
      </c>
      <c r="J500" s="294">
        <f t="shared" ref="J500:K500" si="302">SUM(J501:J522)</f>
        <v>61702</v>
      </c>
      <c r="K500" s="294">
        <f t="shared" si="302"/>
        <v>64461</v>
      </c>
      <c r="L500" s="294">
        <f t="shared" ref="L500" si="303">SUM(L501:L522)</f>
        <v>63764</v>
      </c>
    </row>
    <row r="501" spans="1:17">
      <c r="A501" s="291" t="s">
        <v>6957</v>
      </c>
      <c r="B501" s="291" t="s">
        <v>4078</v>
      </c>
      <c r="C501" s="4" t="s">
        <v>14333</v>
      </c>
      <c r="D501" s="294">
        <v>58606</v>
      </c>
      <c r="E501" s="294">
        <v>59608</v>
      </c>
      <c r="F501" s="294">
        <v>60719</v>
      </c>
      <c r="G501" s="48">
        <v>61613</v>
      </c>
      <c r="H501" s="48">
        <v>62275</v>
      </c>
      <c r="I501" s="48">
        <v>1569</v>
      </c>
      <c r="J501" s="48">
        <v>1560</v>
      </c>
      <c r="K501" s="48">
        <v>1592</v>
      </c>
      <c r="L501" s="48">
        <v>1564</v>
      </c>
      <c r="N501" s="291" t="s">
        <v>2553</v>
      </c>
      <c r="Q501" s="4"/>
    </row>
    <row r="502" spans="1:17">
      <c r="A502" s="291" t="s">
        <v>6959</v>
      </c>
      <c r="B502" s="292" t="s">
        <v>14334</v>
      </c>
      <c r="C502" s="4" t="s">
        <v>14430</v>
      </c>
      <c r="D502" s="294">
        <v>0</v>
      </c>
      <c r="E502" s="294">
        <v>0</v>
      </c>
      <c r="F502" s="294">
        <v>0</v>
      </c>
      <c r="G502" s="48">
        <v>0</v>
      </c>
      <c r="H502" s="48">
        <v>0</v>
      </c>
      <c r="I502" s="48">
        <v>3124</v>
      </c>
      <c r="J502" s="48">
        <v>3033</v>
      </c>
      <c r="K502" s="48">
        <v>3197</v>
      </c>
      <c r="L502" s="48">
        <v>3110</v>
      </c>
      <c r="N502" s="291" t="s">
        <v>2553</v>
      </c>
      <c r="Q502" s="4"/>
    </row>
    <row r="503" spans="1:17">
      <c r="A503" s="291" t="s">
        <v>6961</v>
      </c>
      <c r="B503" s="291" t="s">
        <v>5816</v>
      </c>
      <c r="C503" s="4" t="s">
        <v>14431</v>
      </c>
      <c r="D503" s="294">
        <v>0</v>
      </c>
      <c r="E503" s="294">
        <v>0</v>
      </c>
      <c r="F503" s="294">
        <v>0</v>
      </c>
      <c r="G503" s="48">
        <v>0</v>
      </c>
      <c r="H503" s="48">
        <v>0</v>
      </c>
      <c r="I503" s="48">
        <v>1757</v>
      </c>
      <c r="J503" s="48">
        <v>1776</v>
      </c>
      <c r="K503" s="48">
        <v>1852</v>
      </c>
      <c r="L503" s="48">
        <v>1818</v>
      </c>
      <c r="N503" s="291" t="s">
        <v>2553</v>
      </c>
      <c r="Q503" s="4"/>
    </row>
    <row r="504" spans="1:17">
      <c r="A504" s="291" t="s">
        <v>6963</v>
      </c>
      <c r="B504" s="292" t="s">
        <v>14335</v>
      </c>
      <c r="C504" s="4" t="s">
        <v>14432</v>
      </c>
      <c r="D504" s="294">
        <v>0</v>
      </c>
      <c r="E504" s="294">
        <v>0</v>
      </c>
      <c r="F504" s="294">
        <v>0</v>
      </c>
      <c r="G504" s="48">
        <v>0</v>
      </c>
      <c r="H504" s="48">
        <v>0</v>
      </c>
      <c r="I504" s="48">
        <v>1613</v>
      </c>
      <c r="J504" s="48">
        <v>1628</v>
      </c>
      <c r="K504" s="48">
        <v>1710</v>
      </c>
      <c r="L504" s="48">
        <v>1638</v>
      </c>
      <c r="N504" s="291" t="s">
        <v>2553</v>
      </c>
      <c r="O504" s="4"/>
      <c r="Q504" s="4"/>
    </row>
    <row r="505" spans="1:17">
      <c r="A505" s="291" t="s">
        <v>6965</v>
      </c>
      <c r="B505" s="291" t="s">
        <v>14336</v>
      </c>
      <c r="C505" s="4" t="s">
        <v>14433</v>
      </c>
      <c r="D505" s="294">
        <v>0</v>
      </c>
      <c r="E505" s="294">
        <v>0</v>
      </c>
      <c r="F505" s="294">
        <v>0</v>
      </c>
      <c r="G505" s="48">
        <v>0</v>
      </c>
      <c r="H505" s="48">
        <v>0</v>
      </c>
      <c r="I505" s="48">
        <v>2803</v>
      </c>
      <c r="J505" s="48">
        <v>2800</v>
      </c>
      <c r="K505" s="48">
        <v>2983</v>
      </c>
      <c r="L505" s="48">
        <v>3101</v>
      </c>
      <c r="N505" s="291" t="s">
        <v>2553</v>
      </c>
      <c r="O505" s="4"/>
      <c r="Q505" s="4"/>
    </row>
    <row r="506" spans="1:17">
      <c r="A506" s="291" t="s">
        <v>6997</v>
      </c>
      <c r="B506" s="291" t="s">
        <v>14337</v>
      </c>
      <c r="C506" s="4" t="s">
        <v>14434</v>
      </c>
      <c r="D506" s="294">
        <v>0</v>
      </c>
      <c r="E506" s="294">
        <v>0</v>
      </c>
      <c r="F506" s="294">
        <v>0</v>
      </c>
      <c r="G506" s="48">
        <v>0</v>
      </c>
      <c r="H506" s="48">
        <v>0</v>
      </c>
      <c r="I506" s="48">
        <v>3252</v>
      </c>
      <c r="J506" s="48">
        <v>3268</v>
      </c>
      <c r="K506" s="48">
        <v>3354</v>
      </c>
      <c r="L506" s="48">
        <v>3296</v>
      </c>
      <c r="N506" s="291" t="s">
        <v>2553</v>
      </c>
      <c r="O506" s="4"/>
      <c r="Q506" s="4"/>
    </row>
    <row r="507" spans="1:17">
      <c r="A507" s="291" t="s">
        <v>6999</v>
      </c>
      <c r="B507" s="291" t="s">
        <v>14338</v>
      </c>
      <c r="C507" s="4" t="s">
        <v>14435</v>
      </c>
      <c r="D507" s="294">
        <v>0</v>
      </c>
      <c r="E507" s="294">
        <v>0</v>
      </c>
      <c r="F507" s="294">
        <v>0</v>
      </c>
      <c r="G507" s="48">
        <v>0</v>
      </c>
      <c r="H507" s="48">
        <v>0</v>
      </c>
      <c r="I507" s="48">
        <v>1566</v>
      </c>
      <c r="J507" s="48">
        <v>1546</v>
      </c>
      <c r="K507" s="48">
        <v>1613</v>
      </c>
      <c r="L507" s="48">
        <v>1685</v>
      </c>
      <c r="N507" s="291" t="s">
        <v>2553</v>
      </c>
      <c r="O507" s="4"/>
      <c r="Q507" s="4"/>
    </row>
    <row r="508" spans="1:17">
      <c r="A508" s="291" t="s">
        <v>7001</v>
      </c>
      <c r="B508" s="291" t="s">
        <v>7655</v>
      </c>
      <c r="C508" s="4" t="s">
        <v>14436</v>
      </c>
      <c r="D508" s="294">
        <v>0</v>
      </c>
      <c r="E508" s="294">
        <v>0</v>
      </c>
      <c r="F508" s="294">
        <v>0</v>
      </c>
      <c r="G508" s="48">
        <v>0</v>
      </c>
      <c r="H508" s="48">
        <v>0</v>
      </c>
      <c r="I508" s="48">
        <v>3117</v>
      </c>
      <c r="J508" s="48">
        <v>3154</v>
      </c>
      <c r="K508" s="48">
        <v>3300</v>
      </c>
      <c r="L508" s="48">
        <v>3376</v>
      </c>
      <c r="N508" s="291" t="s">
        <v>2553</v>
      </c>
      <c r="O508" s="4"/>
      <c r="Q508" s="4"/>
    </row>
    <row r="509" spans="1:17">
      <c r="A509" s="291" t="s">
        <v>7003</v>
      </c>
      <c r="B509" s="291" t="s">
        <v>14339</v>
      </c>
      <c r="C509" s="4" t="s">
        <v>14437</v>
      </c>
      <c r="D509" s="294">
        <v>0</v>
      </c>
      <c r="E509" s="294">
        <v>0</v>
      </c>
      <c r="F509" s="294">
        <v>0</v>
      </c>
      <c r="G509" s="48">
        <v>0</v>
      </c>
      <c r="H509" s="48">
        <v>0</v>
      </c>
      <c r="I509" s="48">
        <v>4658</v>
      </c>
      <c r="J509" s="48">
        <v>4552</v>
      </c>
      <c r="K509" s="48">
        <v>4703</v>
      </c>
      <c r="L509" s="48">
        <v>4646</v>
      </c>
      <c r="N509" s="291" t="s">
        <v>2553</v>
      </c>
      <c r="O509" s="4"/>
      <c r="Q509" s="4"/>
    </row>
    <row r="510" spans="1:17">
      <c r="A510" s="291" t="s">
        <v>7005</v>
      </c>
      <c r="B510" s="291" t="s">
        <v>7656</v>
      </c>
      <c r="C510" s="4" t="s">
        <v>14438</v>
      </c>
      <c r="D510" s="294">
        <v>0</v>
      </c>
      <c r="E510" s="294">
        <v>0</v>
      </c>
      <c r="F510" s="294">
        <v>0</v>
      </c>
      <c r="G510" s="48">
        <v>0</v>
      </c>
      <c r="H510" s="48">
        <v>0</v>
      </c>
      <c r="I510" s="48">
        <v>1692</v>
      </c>
      <c r="J510" s="48">
        <v>1676</v>
      </c>
      <c r="K510" s="48">
        <v>1756</v>
      </c>
      <c r="L510" s="48">
        <v>1747</v>
      </c>
      <c r="N510" s="291" t="s">
        <v>2553</v>
      </c>
      <c r="O510" s="4"/>
      <c r="Q510" s="4"/>
    </row>
    <row r="511" spans="1:17">
      <c r="A511" s="291" t="s">
        <v>7007</v>
      </c>
      <c r="B511" s="292" t="s">
        <v>14340</v>
      </c>
      <c r="C511" s="4" t="s">
        <v>14439</v>
      </c>
      <c r="D511" s="294">
        <v>0</v>
      </c>
      <c r="E511" s="294">
        <v>0</v>
      </c>
      <c r="F511" s="294">
        <v>0</v>
      </c>
      <c r="G511" s="48">
        <v>0</v>
      </c>
      <c r="H511" s="48">
        <v>0</v>
      </c>
      <c r="I511" s="48">
        <v>1784</v>
      </c>
      <c r="J511" s="48">
        <v>1772</v>
      </c>
      <c r="K511" s="48">
        <v>1890</v>
      </c>
      <c r="L511" s="48">
        <v>1865</v>
      </c>
      <c r="N511" s="291" t="s">
        <v>2553</v>
      </c>
      <c r="O511" s="4"/>
      <c r="Q511" s="4"/>
    </row>
    <row r="512" spans="1:17">
      <c r="A512" s="291" t="s">
        <v>7009</v>
      </c>
      <c r="B512" s="291" t="s">
        <v>14341</v>
      </c>
      <c r="C512" s="4" t="s">
        <v>14440</v>
      </c>
      <c r="D512" s="294">
        <v>0</v>
      </c>
      <c r="E512" s="294">
        <v>0</v>
      </c>
      <c r="F512" s="294">
        <v>0</v>
      </c>
      <c r="G512" s="48">
        <v>0</v>
      </c>
      <c r="H512" s="48">
        <v>0</v>
      </c>
      <c r="I512" s="48">
        <v>3280</v>
      </c>
      <c r="J512" s="48">
        <v>3290</v>
      </c>
      <c r="K512" s="48">
        <v>3418</v>
      </c>
      <c r="L512" s="48">
        <v>3351</v>
      </c>
      <c r="N512" s="291" t="s">
        <v>2553</v>
      </c>
      <c r="O512" s="4"/>
      <c r="Q512" s="4"/>
    </row>
    <row r="513" spans="1:17">
      <c r="A513" s="291" t="s">
        <v>7011</v>
      </c>
      <c r="B513" s="291" t="s">
        <v>3903</v>
      </c>
      <c r="C513" s="4" t="s">
        <v>14441</v>
      </c>
      <c r="D513" s="294">
        <v>0</v>
      </c>
      <c r="E513" s="294">
        <v>0</v>
      </c>
      <c r="F513" s="294">
        <v>0</v>
      </c>
      <c r="G513" s="48">
        <v>0</v>
      </c>
      <c r="H513" s="48">
        <v>0</v>
      </c>
      <c r="I513" s="48">
        <v>2728</v>
      </c>
      <c r="J513" s="48">
        <v>2652</v>
      </c>
      <c r="K513" s="48">
        <v>2747</v>
      </c>
      <c r="L513" s="48">
        <v>2696</v>
      </c>
      <c r="N513" s="291" t="s">
        <v>2553</v>
      </c>
      <c r="O513" s="4"/>
      <c r="Q513" s="4"/>
    </row>
    <row r="514" spans="1:17">
      <c r="A514" s="291" t="s">
        <v>7013</v>
      </c>
      <c r="B514" s="291" t="s">
        <v>7657</v>
      </c>
      <c r="C514" s="4" t="s">
        <v>14442</v>
      </c>
      <c r="D514" s="294">
        <v>0</v>
      </c>
      <c r="E514" s="294">
        <v>0</v>
      </c>
      <c r="F514" s="294">
        <v>0</v>
      </c>
      <c r="G514" s="48">
        <v>0</v>
      </c>
      <c r="H514" s="48">
        <v>0</v>
      </c>
      <c r="I514" s="48">
        <v>3384</v>
      </c>
      <c r="J514" s="48">
        <v>3315</v>
      </c>
      <c r="K514" s="48">
        <v>3477</v>
      </c>
      <c r="L514" s="48">
        <v>3368</v>
      </c>
      <c r="N514" s="291" t="s">
        <v>2553</v>
      </c>
      <c r="O514" s="4"/>
      <c r="Q514" s="4"/>
    </row>
    <row r="515" spans="1:17">
      <c r="A515" s="291" t="s">
        <v>7015</v>
      </c>
      <c r="B515" s="291" t="s">
        <v>7658</v>
      </c>
      <c r="C515" s="4" t="s">
        <v>14443</v>
      </c>
      <c r="D515" s="294">
        <v>0</v>
      </c>
      <c r="E515" s="294">
        <v>0</v>
      </c>
      <c r="F515" s="294">
        <v>0</v>
      </c>
      <c r="G515" s="48">
        <v>0</v>
      </c>
      <c r="H515" s="48">
        <v>0</v>
      </c>
      <c r="I515" s="48">
        <v>2882</v>
      </c>
      <c r="J515" s="48">
        <v>3002</v>
      </c>
      <c r="K515" s="48">
        <v>3111</v>
      </c>
      <c r="L515" s="48">
        <v>3094</v>
      </c>
      <c r="N515" s="291" t="s">
        <v>2553</v>
      </c>
      <c r="O515" s="4"/>
      <c r="Q515" s="4"/>
    </row>
    <row r="516" spans="1:17">
      <c r="A516" s="291" t="s">
        <v>7017</v>
      </c>
      <c r="B516" s="291" t="s">
        <v>4092</v>
      </c>
      <c r="C516" s="4" t="s">
        <v>14444</v>
      </c>
      <c r="D516" s="294">
        <v>0</v>
      </c>
      <c r="E516" s="294">
        <v>0</v>
      </c>
      <c r="F516" s="294">
        <v>0</v>
      </c>
      <c r="G516" s="48">
        <v>0</v>
      </c>
      <c r="H516" s="48">
        <v>0</v>
      </c>
      <c r="I516" s="48">
        <v>5261</v>
      </c>
      <c r="J516" s="48">
        <v>5194</v>
      </c>
      <c r="K516" s="48">
        <v>5270</v>
      </c>
      <c r="L516" s="48">
        <v>5159</v>
      </c>
      <c r="N516" s="291" t="s">
        <v>2553</v>
      </c>
      <c r="O516" s="4"/>
      <c r="Q516" s="4"/>
    </row>
    <row r="517" spans="1:17">
      <c r="A517" s="291" t="s">
        <v>7019</v>
      </c>
      <c r="B517" s="291" t="s">
        <v>5817</v>
      </c>
      <c r="C517" s="4" t="s">
        <v>14445</v>
      </c>
      <c r="D517" s="294">
        <v>0</v>
      </c>
      <c r="E517" s="294">
        <v>0</v>
      </c>
      <c r="F517" s="294">
        <v>0</v>
      </c>
      <c r="G517" s="48">
        <v>0</v>
      </c>
      <c r="H517" s="48">
        <v>0</v>
      </c>
      <c r="I517" s="48">
        <v>3308</v>
      </c>
      <c r="J517" s="48">
        <v>3253</v>
      </c>
      <c r="K517" s="48">
        <v>3364</v>
      </c>
      <c r="L517" s="48">
        <v>3242</v>
      </c>
      <c r="N517" s="291" t="s">
        <v>2553</v>
      </c>
      <c r="O517" s="4"/>
      <c r="Q517" s="4"/>
    </row>
    <row r="518" spans="1:17">
      <c r="A518" s="291" t="s">
        <v>7021</v>
      </c>
      <c r="B518" s="292" t="s">
        <v>14342</v>
      </c>
      <c r="C518" s="4" t="s">
        <v>14446</v>
      </c>
      <c r="D518" s="294">
        <v>0</v>
      </c>
      <c r="E518" s="294">
        <v>0</v>
      </c>
      <c r="F518" s="294">
        <v>0</v>
      </c>
      <c r="G518" s="48">
        <v>0</v>
      </c>
      <c r="H518" s="48">
        <v>0</v>
      </c>
      <c r="I518" s="48">
        <v>3196</v>
      </c>
      <c r="J518" s="48">
        <v>3091</v>
      </c>
      <c r="K518" s="48">
        <v>3227</v>
      </c>
      <c r="L518" s="48">
        <v>3104</v>
      </c>
      <c r="N518" s="291" t="s">
        <v>2553</v>
      </c>
      <c r="O518" s="4"/>
      <c r="Q518" s="4"/>
    </row>
    <row r="519" spans="1:17">
      <c r="A519" s="291" t="s">
        <v>7023</v>
      </c>
      <c r="B519" s="291" t="s">
        <v>7702</v>
      </c>
      <c r="C519" s="4" t="s">
        <v>14447</v>
      </c>
      <c r="D519" s="294">
        <v>0</v>
      </c>
      <c r="E519" s="294">
        <v>0</v>
      </c>
      <c r="F519" s="294">
        <v>0</v>
      </c>
      <c r="G519" s="48">
        <v>0</v>
      </c>
      <c r="H519" s="48">
        <v>0</v>
      </c>
      <c r="I519" s="48">
        <v>1548</v>
      </c>
      <c r="J519" s="48">
        <v>1559</v>
      </c>
      <c r="K519" s="48">
        <v>1636</v>
      </c>
      <c r="L519" s="48">
        <v>1582</v>
      </c>
      <c r="N519" s="291" t="s">
        <v>2553</v>
      </c>
      <c r="O519" s="4"/>
      <c r="Q519" s="4"/>
    </row>
    <row r="520" spans="1:17">
      <c r="A520" s="291" t="s">
        <v>7025</v>
      </c>
      <c r="B520" s="291" t="s">
        <v>14343</v>
      </c>
      <c r="C520" s="4" t="s">
        <v>14448</v>
      </c>
      <c r="D520" s="294">
        <v>0</v>
      </c>
      <c r="E520" s="294">
        <v>0</v>
      </c>
      <c r="F520" s="294">
        <v>0</v>
      </c>
      <c r="G520" s="48">
        <v>0</v>
      </c>
      <c r="H520" s="48">
        <v>0</v>
      </c>
      <c r="I520" s="48">
        <v>4258</v>
      </c>
      <c r="J520" s="48">
        <v>4300</v>
      </c>
      <c r="K520" s="48">
        <v>4668</v>
      </c>
      <c r="L520" s="48">
        <v>4745</v>
      </c>
      <c r="N520" s="291" t="s">
        <v>2553</v>
      </c>
      <c r="O520" s="4"/>
      <c r="Q520" s="4"/>
    </row>
    <row r="521" spans="1:17">
      <c r="A521" s="291" t="s">
        <v>7570</v>
      </c>
      <c r="B521" s="291" t="s">
        <v>14344</v>
      </c>
      <c r="C521" s="4" t="s">
        <v>14449</v>
      </c>
      <c r="D521" s="294">
        <v>0</v>
      </c>
      <c r="E521" s="294">
        <v>0</v>
      </c>
      <c r="F521" s="294">
        <v>0</v>
      </c>
      <c r="G521" s="48">
        <v>0</v>
      </c>
      <c r="H521" s="48">
        <v>0</v>
      </c>
      <c r="I521" s="48">
        <v>3583</v>
      </c>
      <c r="J521" s="48">
        <v>3613</v>
      </c>
      <c r="K521" s="48">
        <v>3857</v>
      </c>
      <c r="L521" s="48">
        <v>3856</v>
      </c>
      <c r="N521" s="291" t="s">
        <v>2553</v>
      </c>
      <c r="O521" s="4"/>
      <c r="Q521" s="4"/>
    </row>
    <row r="522" spans="1:17">
      <c r="A522" s="291" t="s">
        <v>7572</v>
      </c>
      <c r="B522" s="291" t="s">
        <v>7703</v>
      </c>
      <c r="C522" s="4" t="s">
        <v>14450</v>
      </c>
      <c r="D522" s="294">
        <v>0</v>
      </c>
      <c r="E522" s="294">
        <v>0</v>
      </c>
      <c r="F522" s="294">
        <v>0</v>
      </c>
      <c r="G522" s="48">
        <v>0</v>
      </c>
      <c r="H522" s="48">
        <v>0</v>
      </c>
      <c r="I522" s="48">
        <v>1718</v>
      </c>
      <c r="J522" s="48">
        <v>1668</v>
      </c>
      <c r="K522" s="48">
        <v>1736</v>
      </c>
      <c r="L522" s="48">
        <v>1721</v>
      </c>
      <c r="N522" s="291" t="s">
        <v>2553</v>
      </c>
      <c r="O522" s="4"/>
      <c r="Q522" s="4"/>
    </row>
    <row r="523" spans="1:17">
      <c r="D523" s="296"/>
      <c r="E523" s="296"/>
      <c r="F523" s="296"/>
      <c r="G523" s="296"/>
      <c r="H523" s="296"/>
      <c r="I523" s="296"/>
      <c r="J523" s="296"/>
      <c r="K523" s="296"/>
      <c r="L523" s="296"/>
      <c r="O523" s="4"/>
    </row>
    <row r="524" spans="1:17">
      <c r="A524" s="291" t="s">
        <v>5713</v>
      </c>
      <c r="D524" s="294">
        <f t="shared" ref="D524:L524" si="304">SUM(D501:D522)</f>
        <v>58606</v>
      </c>
      <c r="E524" s="294">
        <f t="shared" si="304"/>
        <v>59608</v>
      </c>
      <c r="F524" s="294">
        <f t="shared" si="304"/>
        <v>60719</v>
      </c>
      <c r="G524" s="294">
        <f t="shared" si="304"/>
        <v>61613</v>
      </c>
      <c r="H524" s="294">
        <f t="shared" si="304"/>
        <v>62275</v>
      </c>
      <c r="I524" s="294">
        <f t="shared" si="304"/>
        <v>62081</v>
      </c>
      <c r="J524" s="294">
        <f t="shared" si="304"/>
        <v>61702</v>
      </c>
      <c r="K524" s="294">
        <f t="shared" si="304"/>
        <v>64461</v>
      </c>
      <c r="L524" s="294">
        <f t="shared" si="304"/>
        <v>63764</v>
      </c>
      <c r="O524" s="4"/>
    </row>
    <row r="525" spans="1:17">
      <c r="O525" s="4"/>
    </row>
    <row r="526" spans="1:17">
      <c r="A526" s="292" t="s">
        <v>14332</v>
      </c>
    </row>
  </sheetData>
  <sortState ref="O221:Q235">
    <sortCondition ref="O221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54" orientation="portrait" horizontalDpi="300" verticalDpi="300" r:id="rId1"/>
  <headerFooter alignWithMargins="0">
    <oddFooter>&amp;C&amp;"Times New Roman,Regular"&amp;8&amp;P of &amp;N</oddFooter>
  </headerFooter>
  <ignoredErrors>
    <ignoredError sqref="D93:I93 D112:D113 D3:D20 D383:K383 D492:D493 D455:K455 D260:K260 D244:K244 D267:K267 D293:D295 D142:D143 D120:K120 D168 D170 D150:K150 D422:D423 D403:K403 D524:K524 D500:K500 D237:K237 D220:K220 E142:E143 E492:E493 E112:E113 E293:E295 D396:K396 E422:E423 E168 E3:E20 E170 F112:F113 F142:F143 F168 F293:F295 D349:K349 D337:K337 E374 D374 D373:F373 D375:F375 F374 F422:F423 F492:F493 F3:F20 F27:F86 F170 G373:G375 G492:G493 G293:G295 G142:G143 G422:G423 G112:G113 G168 G170 G3:G20 D21:D24 E21:E24 F21:F24 G21:G24 D26 E26 G26 D25:G25 H112:H113 H168 H170 H373:H375 H422:H423 H142:H143 H293:H295 H492:H493 H3:H20 H21:H26 D27:D86 E27:E86 G27:G86 H27:H86 I168 I293:I295 I373:I375 I422:I423 I492:I493 I112:I113 D188:K188 D192:K192 D201:K201 D212:H212 D178:K178 I212 I142:I143 I3:I86 I170 J168 J212 J293:J295 J373:J375 J112:J113 J142:J143 J170 J422:J423 J492:J493 J3:J86 D306:K306 D312:K312 D319:K319 D303:K303 D329:J330 D441:K441 D447:J448 D430:K430 K373:K375 K293:K295 K329:K330 K422:K423 K447:K448 K492:K493 K168 K170 K112:K113 K93 K142:K143 K212 K3:K86 L293:L295 L329:L330 L303 L319 L312 L306 L3:L168 L307:L311 L313:L318 L320:L322 L304:L305 L331:L524 L296:L302 L170:L212 L214:L292 L327 L324:L325" unlockedFormula="1"/>
    <ignoredError sqref="D169:L169 D213:L213 D328:L328" formulaRange="1" unlockedFormula="1"/>
    <ignoredError sqref="J93" formula="1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46"/>
  <sheetViews>
    <sheetView showGridLines="0" zoomScaleNormal="100" workbookViewId="0"/>
  </sheetViews>
  <sheetFormatPr defaultColWidth="12.5703125" defaultRowHeight="15"/>
  <cols>
    <col min="1" max="1" width="4.85546875" style="570" customWidth="1"/>
    <col min="2" max="2" width="40.7109375" style="570" customWidth="1"/>
    <col min="3" max="3" width="11.5703125" style="570" customWidth="1"/>
    <col min="4" max="12" width="10" style="570" customWidth="1"/>
    <col min="13" max="13" width="2.28515625" style="570" customWidth="1"/>
    <col min="14" max="14" width="25.7109375" style="570" customWidth="1"/>
    <col min="15" max="16384" width="12.5703125" style="570"/>
  </cols>
  <sheetData>
    <row r="1" spans="1:14">
      <c r="A1" s="54" t="s">
        <v>8847</v>
      </c>
      <c r="D1" s="571">
        <v>2010</v>
      </c>
      <c r="E1" s="571">
        <v>2011</v>
      </c>
      <c r="F1" s="571">
        <v>2012</v>
      </c>
      <c r="G1" s="571">
        <v>2013</v>
      </c>
      <c r="H1" s="571">
        <v>2014</v>
      </c>
      <c r="I1" s="571">
        <v>2015</v>
      </c>
      <c r="J1" s="571">
        <v>2016</v>
      </c>
      <c r="K1" s="571">
        <v>2017</v>
      </c>
      <c r="L1" s="571">
        <v>2018</v>
      </c>
    </row>
    <row r="3" spans="1:14">
      <c r="A3" s="54" t="s">
        <v>5047</v>
      </c>
      <c r="D3" s="572">
        <f t="shared" ref="D3:I3" si="0">SUM(D5:D10)</f>
        <v>459085</v>
      </c>
      <c r="E3" s="572">
        <f t="shared" si="0"/>
        <v>462208</v>
      </c>
      <c r="F3" s="572">
        <f t="shared" si="0"/>
        <v>466036</v>
      </c>
      <c r="G3" s="572">
        <f t="shared" si="0"/>
        <v>467889</v>
      </c>
      <c r="H3" s="572">
        <f t="shared" si="0"/>
        <v>465621</v>
      </c>
      <c r="I3" s="572">
        <f t="shared" si="0"/>
        <v>458822</v>
      </c>
      <c r="J3" s="572">
        <f t="shared" ref="J3:K3" si="1">SUM(J5:J10)</f>
        <v>460522</v>
      </c>
      <c r="K3" s="572">
        <f t="shared" si="1"/>
        <v>467951</v>
      </c>
      <c r="L3" s="572">
        <f t="shared" ref="L3" si="2">SUM(L5:L10)</f>
        <v>476589</v>
      </c>
    </row>
    <row r="4" spans="1:14">
      <c r="A4" s="54"/>
      <c r="D4" s="572"/>
      <c r="E4" s="572"/>
      <c r="F4" s="572"/>
      <c r="G4" s="572"/>
      <c r="H4" s="572"/>
      <c r="I4" s="572"/>
      <c r="J4" s="572"/>
      <c r="K4" s="572"/>
      <c r="L4" s="572"/>
      <c r="N4" s="573"/>
    </row>
    <row r="5" spans="1:14">
      <c r="A5" s="54" t="s">
        <v>7575</v>
      </c>
      <c r="C5" s="54"/>
      <c r="D5" s="572">
        <f t="shared" ref="D5:I5" si="3">D42</f>
        <v>87489</v>
      </c>
      <c r="E5" s="572">
        <f t="shared" si="3"/>
        <v>86856</v>
      </c>
      <c r="F5" s="572">
        <f t="shared" si="3"/>
        <v>86841</v>
      </c>
      <c r="G5" s="572">
        <f t="shared" si="3"/>
        <v>86854</v>
      </c>
      <c r="H5" s="572">
        <f t="shared" si="3"/>
        <v>86332</v>
      </c>
      <c r="I5" s="572">
        <f t="shared" si="3"/>
        <v>83347</v>
      </c>
      <c r="J5" s="572">
        <f t="shared" ref="J5:K5" si="4">J42</f>
        <v>85812</v>
      </c>
      <c r="K5" s="572">
        <f t="shared" si="4"/>
        <v>83888</v>
      </c>
      <c r="L5" s="572">
        <f t="shared" ref="L5" si="5">L42</f>
        <v>85321</v>
      </c>
      <c r="N5" s="573"/>
    </row>
    <row r="6" spans="1:14">
      <c r="A6" s="54" t="s">
        <v>7576</v>
      </c>
      <c r="C6" s="54"/>
      <c r="D6" s="572">
        <f t="shared" ref="D6:I6" si="6">D72</f>
        <v>66804</v>
      </c>
      <c r="E6" s="572">
        <f t="shared" si="6"/>
        <v>68087</v>
      </c>
      <c r="F6" s="572">
        <f t="shared" si="6"/>
        <v>68019</v>
      </c>
      <c r="G6" s="572">
        <f t="shared" si="6"/>
        <v>67966</v>
      </c>
      <c r="H6" s="572">
        <f t="shared" si="6"/>
        <v>67770</v>
      </c>
      <c r="I6" s="572">
        <f t="shared" si="6"/>
        <v>66739</v>
      </c>
      <c r="J6" s="572">
        <f t="shared" ref="J6:K6" si="7">J72</f>
        <v>65825</v>
      </c>
      <c r="K6" s="572">
        <f t="shared" si="7"/>
        <v>67478</v>
      </c>
      <c r="L6" s="572">
        <f t="shared" ref="L6" si="8">L72</f>
        <v>68969</v>
      </c>
      <c r="N6" s="573"/>
    </row>
    <row r="7" spans="1:14">
      <c r="A7" s="54" t="s">
        <v>4006</v>
      </c>
      <c r="C7" s="54"/>
      <c r="D7" s="572">
        <f t="shared" ref="D7:I7" si="9">D113</f>
        <v>65296</v>
      </c>
      <c r="E7" s="572">
        <f t="shared" si="9"/>
        <v>65153</v>
      </c>
      <c r="F7" s="572">
        <f t="shared" si="9"/>
        <v>65892</v>
      </c>
      <c r="G7" s="572">
        <f t="shared" si="9"/>
        <v>66361</v>
      </c>
      <c r="H7" s="572">
        <f t="shared" si="9"/>
        <v>66310</v>
      </c>
      <c r="I7" s="572">
        <f t="shared" si="9"/>
        <v>65422</v>
      </c>
      <c r="J7" s="572">
        <f t="shared" ref="J7:K7" si="10">J113</f>
        <v>65175</v>
      </c>
      <c r="K7" s="572">
        <f t="shared" si="10"/>
        <v>68319</v>
      </c>
      <c r="L7" s="572">
        <f t="shared" ref="L7" si="11">L113</f>
        <v>67061</v>
      </c>
      <c r="N7" s="573"/>
    </row>
    <row r="8" spans="1:14">
      <c r="A8" s="54" t="s">
        <v>5732</v>
      </c>
      <c r="C8" s="54"/>
      <c r="D8" s="572">
        <f t="shared" ref="D8:I8" si="12">D149</f>
        <v>87510</v>
      </c>
      <c r="E8" s="572">
        <f t="shared" si="12"/>
        <v>88291</v>
      </c>
      <c r="F8" s="572">
        <f t="shared" si="12"/>
        <v>89781</v>
      </c>
      <c r="G8" s="572">
        <f t="shared" si="12"/>
        <v>90793</v>
      </c>
      <c r="H8" s="572">
        <f t="shared" si="12"/>
        <v>90196</v>
      </c>
      <c r="I8" s="572">
        <f t="shared" si="12"/>
        <v>89522</v>
      </c>
      <c r="J8" s="572">
        <f t="shared" ref="J8:K8" si="13">J149</f>
        <v>86427</v>
      </c>
      <c r="K8" s="572">
        <f t="shared" si="13"/>
        <v>87756</v>
      </c>
      <c r="L8" s="572">
        <f t="shared" ref="L8" si="14">L149</f>
        <v>92251</v>
      </c>
      <c r="N8" s="573"/>
    </row>
    <row r="9" spans="1:14">
      <c r="A9" s="54" t="s">
        <v>5733</v>
      </c>
      <c r="C9" s="54"/>
      <c r="D9" s="572">
        <f t="shared" ref="D9:I9" si="15">D177</f>
        <v>88595</v>
      </c>
      <c r="E9" s="572">
        <f t="shared" si="15"/>
        <v>89487</v>
      </c>
      <c r="F9" s="572">
        <f t="shared" si="15"/>
        <v>90510</v>
      </c>
      <c r="G9" s="572">
        <f t="shared" si="15"/>
        <v>90368</v>
      </c>
      <c r="H9" s="572">
        <f t="shared" si="15"/>
        <v>89416</v>
      </c>
      <c r="I9" s="572">
        <f t="shared" si="15"/>
        <v>88663</v>
      </c>
      <c r="J9" s="572">
        <f t="shared" ref="J9:K9" si="16">J177</f>
        <v>91294</v>
      </c>
      <c r="K9" s="572">
        <f t="shared" si="16"/>
        <v>92461</v>
      </c>
      <c r="L9" s="572">
        <f t="shared" ref="L9" si="17">L177</f>
        <v>93264</v>
      </c>
      <c r="N9" s="573"/>
    </row>
    <row r="10" spans="1:14">
      <c r="A10" s="54" t="s">
        <v>5734</v>
      </c>
      <c r="C10" s="54"/>
      <c r="D10" s="572">
        <f t="shared" ref="D10:I10" si="18">D218</f>
        <v>63391</v>
      </c>
      <c r="E10" s="572">
        <f t="shared" si="18"/>
        <v>64334</v>
      </c>
      <c r="F10" s="572">
        <f t="shared" si="18"/>
        <v>64993</v>
      </c>
      <c r="G10" s="572">
        <f t="shared" si="18"/>
        <v>65547</v>
      </c>
      <c r="H10" s="572">
        <f t="shared" si="18"/>
        <v>65597</v>
      </c>
      <c r="I10" s="572">
        <f t="shared" si="18"/>
        <v>65129</v>
      </c>
      <c r="J10" s="572">
        <f t="shared" ref="J10:K10" si="19">J218</f>
        <v>65989</v>
      </c>
      <c r="K10" s="572">
        <f t="shared" si="19"/>
        <v>68049</v>
      </c>
      <c r="L10" s="572">
        <f t="shared" ref="L10" si="20">L218</f>
        <v>69723</v>
      </c>
      <c r="N10" s="573"/>
    </row>
    <row r="12" spans="1:14">
      <c r="A12" s="54" t="s">
        <v>1173</v>
      </c>
      <c r="D12" s="572">
        <f t="shared" ref="D12:I12" si="21">D3/6</f>
        <v>76514.166666666672</v>
      </c>
      <c r="E12" s="572">
        <f t="shared" si="21"/>
        <v>77034.666666666672</v>
      </c>
      <c r="F12" s="572">
        <f t="shared" si="21"/>
        <v>77672.666666666672</v>
      </c>
      <c r="G12" s="572">
        <f t="shared" si="21"/>
        <v>77981.5</v>
      </c>
      <c r="H12" s="572">
        <f t="shared" si="21"/>
        <v>77603.5</v>
      </c>
      <c r="I12" s="572">
        <f t="shared" si="21"/>
        <v>76470.333333333328</v>
      </c>
      <c r="J12" s="572">
        <f t="shared" ref="J12:K12" si="22">J3/6</f>
        <v>76753.666666666672</v>
      </c>
      <c r="K12" s="572">
        <f t="shared" si="22"/>
        <v>77991.833333333328</v>
      </c>
      <c r="L12" s="572">
        <f t="shared" ref="L12" si="23">L3/6</f>
        <v>79431.5</v>
      </c>
    </row>
    <row r="13" spans="1:14">
      <c r="D13" s="574"/>
      <c r="E13" s="574"/>
      <c r="F13" s="574"/>
      <c r="G13" s="574"/>
      <c r="H13" s="574"/>
      <c r="I13" s="574"/>
      <c r="J13" s="574"/>
      <c r="K13" s="574"/>
      <c r="L13" s="574"/>
    </row>
    <row r="14" spans="1:14">
      <c r="A14" s="54" t="s">
        <v>5735</v>
      </c>
      <c r="D14" s="572">
        <f t="shared" ref="D14:I14" si="24">D64</f>
        <v>78469</v>
      </c>
      <c r="E14" s="572">
        <f t="shared" si="24"/>
        <v>77937</v>
      </c>
      <c r="F14" s="572">
        <f t="shared" si="24"/>
        <v>77929</v>
      </c>
      <c r="G14" s="572">
        <f t="shared" si="24"/>
        <v>77939</v>
      </c>
      <c r="H14" s="572">
        <f t="shared" si="24"/>
        <v>77605</v>
      </c>
      <c r="I14" s="572">
        <f t="shared" si="24"/>
        <v>74891</v>
      </c>
      <c r="J14" s="572">
        <f t="shared" ref="J14:K14" si="25">J64</f>
        <v>77222</v>
      </c>
      <c r="K14" s="572">
        <f t="shared" si="25"/>
        <v>75351</v>
      </c>
      <c r="L14" s="572">
        <f t="shared" ref="L14" si="26">L64</f>
        <v>76708</v>
      </c>
      <c r="N14" s="54" t="s">
        <v>5736</v>
      </c>
    </row>
    <row r="15" spans="1:14">
      <c r="D15" s="574"/>
      <c r="E15" s="574"/>
      <c r="F15" s="574"/>
      <c r="G15" s="574"/>
      <c r="H15" s="574"/>
      <c r="I15" s="574"/>
      <c r="J15" s="574"/>
      <c r="K15" s="574"/>
      <c r="L15" s="574"/>
    </row>
    <row r="16" spans="1:14">
      <c r="A16" s="54" t="s">
        <v>5737</v>
      </c>
      <c r="D16" s="572">
        <f t="shared" ref="D16:I16" si="27">D142</f>
        <v>65296</v>
      </c>
      <c r="E16" s="572">
        <f t="shared" si="27"/>
        <v>65153</v>
      </c>
      <c r="F16" s="572">
        <f t="shared" si="27"/>
        <v>65892</v>
      </c>
      <c r="G16" s="572">
        <f t="shared" si="27"/>
        <v>66361</v>
      </c>
      <c r="H16" s="572">
        <f t="shared" si="27"/>
        <v>66310</v>
      </c>
      <c r="I16" s="572">
        <f t="shared" si="27"/>
        <v>65422</v>
      </c>
      <c r="J16" s="572">
        <f t="shared" ref="J16:K16" si="28">J142</f>
        <v>65175</v>
      </c>
      <c r="K16" s="572">
        <f t="shared" si="28"/>
        <v>68319</v>
      </c>
      <c r="L16" s="572">
        <f t="shared" ref="L16" si="29">L142</f>
        <v>67061</v>
      </c>
      <c r="N16" s="54" t="s">
        <v>8650</v>
      </c>
    </row>
    <row r="17" spans="1:14" ht="15.75" thickBot="1">
      <c r="D17" s="575">
        <f t="shared" ref="D17:I17" si="30">D242</f>
        <v>3543</v>
      </c>
      <c r="E17" s="575">
        <f t="shared" si="30"/>
        <v>3550</v>
      </c>
      <c r="F17" s="575">
        <f t="shared" si="30"/>
        <v>3529</v>
      </c>
      <c r="G17" s="575">
        <f t="shared" si="30"/>
        <v>3545</v>
      </c>
      <c r="H17" s="575">
        <f t="shared" si="30"/>
        <v>3456</v>
      </c>
      <c r="I17" s="575">
        <f t="shared" si="30"/>
        <v>3408</v>
      </c>
      <c r="J17" s="575">
        <f t="shared" ref="J17:K17" si="31">J242</f>
        <v>3415</v>
      </c>
      <c r="K17" s="575">
        <f t="shared" si="31"/>
        <v>3459</v>
      </c>
      <c r="L17" s="575">
        <f t="shared" ref="L17" si="32">L242</f>
        <v>3501</v>
      </c>
      <c r="N17" s="54" t="s">
        <v>5738</v>
      </c>
    </row>
    <row r="18" spans="1:14" ht="15.75" thickBot="1">
      <c r="D18" s="575">
        <f t="shared" ref="D18:I18" si="33">D16+D17</f>
        <v>68839</v>
      </c>
      <c r="E18" s="575">
        <f t="shared" si="33"/>
        <v>68703</v>
      </c>
      <c r="F18" s="575">
        <f t="shared" si="33"/>
        <v>69421</v>
      </c>
      <c r="G18" s="575">
        <f t="shared" si="33"/>
        <v>69906</v>
      </c>
      <c r="H18" s="575">
        <f t="shared" si="33"/>
        <v>69766</v>
      </c>
      <c r="I18" s="575">
        <f t="shared" si="33"/>
        <v>68830</v>
      </c>
      <c r="J18" s="575">
        <f t="shared" ref="J18:K18" si="34">J16+J17</f>
        <v>68590</v>
      </c>
      <c r="K18" s="575">
        <f t="shared" si="34"/>
        <v>71778</v>
      </c>
      <c r="L18" s="575">
        <f t="shared" ref="L18" si="35">L16+L17</f>
        <v>70562</v>
      </c>
    </row>
    <row r="19" spans="1:14">
      <c r="D19" s="574"/>
      <c r="E19" s="574"/>
      <c r="F19" s="574"/>
      <c r="G19" s="574"/>
      <c r="H19" s="574"/>
      <c r="I19" s="574"/>
      <c r="J19" s="574"/>
      <c r="K19" s="574"/>
      <c r="L19" s="574"/>
    </row>
    <row r="20" spans="1:14">
      <c r="A20" s="54" t="s">
        <v>5739</v>
      </c>
      <c r="D20" s="572">
        <f t="shared" ref="D20:I20" si="36">D169</f>
        <v>79972</v>
      </c>
      <c r="E20" s="572">
        <f t="shared" si="36"/>
        <v>80788</v>
      </c>
      <c r="F20" s="572">
        <f t="shared" si="36"/>
        <v>82214</v>
      </c>
      <c r="G20" s="572">
        <f t="shared" si="36"/>
        <v>83183</v>
      </c>
      <c r="H20" s="572">
        <f t="shared" si="36"/>
        <v>82626</v>
      </c>
      <c r="I20" s="572">
        <f t="shared" si="36"/>
        <v>82066</v>
      </c>
      <c r="J20" s="572">
        <f t="shared" ref="J20:K20" si="37">J169</f>
        <v>79129</v>
      </c>
      <c r="K20" s="572">
        <f t="shared" si="37"/>
        <v>80427</v>
      </c>
      <c r="L20" s="572">
        <f t="shared" ref="L20" si="38">L169</f>
        <v>84650</v>
      </c>
      <c r="N20" s="54" t="s">
        <v>5740</v>
      </c>
    </row>
    <row r="21" spans="1:14">
      <c r="D21" s="574"/>
      <c r="E21" s="574"/>
      <c r="F21" s="574"/>
      <c r="G21" s="574"/>
      <c r="H21" s="574"/>
      <c r="I21" s="574"/>
      <c r="J21" s="574"/>
      <c r="K21" s="574"/>
      <c r="L21" s="574"/>
    </row>
    <row r="22" spans="1:14">
      <c r="A22" s="54" t="s">
        <v>5741</v>
      </c>
      <c r="D22" s="572">
        <f t="shared" ref="D22:I22" si="39">D210</f>
        <v>78261</v>
      </c>
      <c r="E22" s="572">
        <f t="shared" si="39"/>
        <v>79135</v>
      </c>
      <c r="F22" s="572">
        <f t="shared" si="39"/>
        <v>80114</v>
      </c>
      <c r="G22" s="572">
        <f t="shared" si="39"/>
        <v>79998</v>
      </c>
      <c r="H22" s="572">
        <f t="shared" si="39"/>
        <v>79226</v>
      </c>
      <c r="I22" s="572">
        <f t="shared" si="39"/>
        <v>78539</v>
      </c>
      <c r="J22" s="572">
        <f t="shared" ref="J22:K22" si="40">J210</f>
        <v>80909</v>
      </c>
      <c r="K22" s="572">
        <f t="shared" si="40"/>
        <v>81849</v>
      </c>
      <c r="L22" s="572">
        <f t="shared" ref="L22" si="41">L210</f>
        <v>82616</v>
      </c>
      <c r="N22" s="54" t="s">
        <v>5742</v>
      </c>
    </row>
    <row r="23" spans="1:14">
      <c r="D23" s="574"/>
      <c r="E23" s="574"/>
      <c r="F23" s="574"/>
      <c r="G23" s="574"/>
      <c r="H23" s="574"/>
      <c r="I23" s="574"/>
      <c r="J23" s="574"/>
      <c r="K23" s="574"/>
      <c r="L23" s="574"/>
    </row>
    <row r="24" spans="1:14">
      <c r="A24" s="54" t="s">
        <v>5743</v>
      </c>
      <c r="D24" s="572">
        <f t="shared" ref="D24:I24" si="42">D65</f>
        <v>9020</v>
      </c>
      <c r="E24" s="572">
        <f t="shared" si="42"/>
        <v>8919</v>
      </c>
      <c r="F24" s="572">
        <f t="shared" si="42"/>
        <v>8912</v>
      </c>
      <c r="G24" s="572">
        <f t="shared" si="42"/>
        <v>8915</v>
      </c>
      <c r="H24" s="572">
        <f t="shared" si="42"/>
        <v>8727</v>
      </c>
      <c r="I24" s="572">
        <f t="shared" si="42"/>
        <v>8456</v>
      </c>
      <c r="J24" s="572">
        <f t="shared" ref="J24:K24" si="43">J65</f>
        <v>8590</v>
      </c>
      <c r="K24" s="572">
        <f t="shared" si="43"/>
        <v>8537</v>
      </c>
      <c r="L24" s="572">
        <f t="shared" ref="L24" si="44">L65</f>
        <v>8613</v>
      </c>
      <c r="N24" s="54" t="s">
        <v>5736</v>
      </c>
    </row>
    <row r="25" spans="1:14">
      <c r="A25" s="54"/>
      <c r="D25" s="572">
        <f t="shared" ref="D25:I25" si="45">D170</f>
        <v>7538</v>
      </c>
      <c r="E25" s="572">
        <f t="shared" si="45"/>
        <v>7503</v>
      </c>
      <c r="F25" s="572">
        <f t="shared" si="45"/>
        <v>7567</v>
      </c>
      <c r="G25" s="572">
        <f t="shared" si="45"/>
        <v>7610</v>
      </c>
      <c r="H25" s="572">
        <f t="shared" si="45"/>
        <v>7570</v>
      </c>
      <c r="I25" s="572">
        <f t="shared" si="45"/>
        <v>7456</v>
      </c>
      <c r="J25" s="572">
        <f t="shared" ref="J25:K25" si="46">J170</f>
        <v>7298</v>
      </c>
      <c r="K25" s="572">
        <f t="shared" si="46"/>
        <v>7329</v>
      </c>
      <c r="L25" s="572">
        <f t="shared" ref="L25" si="47">L170</f>
        <v>7601</v>
      </c>
      <c r="N25" s="54" t="s">
        <v>5740</v>
      </c>
    </row>
    <row r="26" spans="1:14" ht="15.75" thickBot="1">
      <c r="D26" s="575">
        <f t="shared" ref="D26:I26" si="48">D243</f>
        <v>59848</v>
      </c>
      <c r="E26" s="575">
        <f t="shared" si="48"/>
        <v>60784</v>
      </c>
      <c r="F26" s="575">
        <f t="shared" si="48"/>
        <v>61464</v>
      </c>
      <c r="G26" s="575">
        <f t="shared" si="48"/>
        <v>62002</v>
      </c>
      <c r="H26" s="575">
        <f t="shared" si="48"/>
        <v>62141</v>
      </c>
      <c r="I26" s="575">
        <f t="shared" si="48"/>
        <v>61721</v>
      </c>
      <c r="J26" s="575">
        <f t="shared" ref="J26:K26" si="49">J243</f>
        <v>62574</v>
      </c>
      <c r="K26" s="575">
        <f t="shared" si="49"/>
        <v>64590</v>
      </c>
      <c r="L26" s="575">
        <f t="shared" ref="L26" si="50">L243</f>
        <v>66222</v>
      </c>
      <c r="N26" s="54" t="s">
        <v>5738</v>
      </c>
    </row>
    <row r="27" spans="1:14" ht="15.75" thickBot="1">
      <c r="D27" s="575">
        <f t="shared" ref="D27:I27" si="51">SUM(D24:D26)</f>
        <v>76406</v>
      </c>
      <c r="E27" s="575">
        <f t="shared" si="51"/>
        <v>77206</v>
      </c>
      <c r="F27" s="575">
        <f t="shared" si="51"/>
        <v>77943</v>
      </c>
      <c r="G27" s="575">
        <f t="shared" si="51"/>
        <v>78527</v>
      </c>
      <c r="H27" s="575">
        <f t="shared" si="51"/>
        <v>78438</v>
      </c>
      <c r="I27" s="575">
        <f t="shared" si="51"/>
        <v>77633</v>
      </c>
      <c r="J27" s="575">
        <f t="shared" ref="J27:K27" si="52">SUM(J24:J26)</f>
        <v>78462</v>
      </c>
      <c r="K27" s="575">
        <f t="shared" si="52"/>
        <v>80456</v>
      </c>
      <c r="L27" s="575">
        <f t="shared" ref="L27" si="53">SUM(L24:L26)</f>
        <v>82436</v>
      </c>
    </row>
    <row r="28" spans="1:14">
      <c r="D28" s="574"/>
      <c r="E28" s="574"/>
      <c r="F28" s="574"/>
      <c r="G28" s="574"/>
      <c r="H28" s="574"/>
      <c r="I28" s="574"/>
      <c r="J28" s="574"/>
      <c r="K28" s="574"/>
      <c r="L28" s="574"/>
    </row>
    <row r="29" spans="1:14">
      <c r="A29" s="54" t="s">
        <v>5744</v>
      </c>
      <c r="D29" s="572">
        <f t="shared" ref="D29:I29" si="54">D106</f>
        <v>66804</v>
      </c>
      <c r="E29" s="572">
        <f t="shared" si="54"/>
        <v>68087</v>
      </c>
      <c r="F29" s="572">
        <f t="shared" si="54"/>
        <v>68019</v>
      </c>
      <c r="G29" s="572">
        <f t="shared" si="54"/>
        <v>67966</v>
      </c>
      <c r="H29" s="572">
        <f t="shared" si="54"/>
        <v>67770</v>
      </c>
      <c r="I29" s="572">
        <f t="shared" si="54"/>
        <v>66739</v>
      </c>
      <c r="J29" s="572">
        <f t="shared" ref="J29:K29" si="55">J106</f>
        <v>65825</v>
      </c>
      <c r="K29" s="572">
        <f t="shared" si="55"/>
        <v>67478</v>
      </c>
      <c r="L29" s="572">
        <f t="shared" ref="L29" si="56">L106</f>
        <v>68969</v>
      </c>
      <c r="N29" s="54" t="s">
        <v>8649</v>
      </c>
    </row>
    <row r="30" spans="1:14" ht="15.75" thickBot="1">
      <c r="D30" s="575">
        <f t="shared" ref="D30:I30" si="57">D211</f>
        <v>10334</v>
      </c>
      <c r="E30" s="575">
        <f t="shared" si="57"/>
        <v>10352</v>
      </c>
      <c r="F30" s="575">
        <f t="shared" si="57"/>
        <v>10396</v>
      </c>
      <c r="G30" s="575">
        <f t="shared" si="57"/>
        <v>10370</v>
      </c>
      <c r="H30" s="575">
        <f t="shared" si="57"/>
        <v>10190</v>
      </c>
      <c r="I30" s="575">
        <f t="shared" si="57"/>
        <v>10124</v>
      </c>
      <c r="J30" s="575">
        <f t="shared" ref="J30:K30" si="58">J211</f>
        <v>10385</v>
      </c>
      <c r="K30" s="575">
        <f t="shared" si="58"/>
        <v>10612</v>
      </c>
      <c r="L30" s="575">
        <f t="shared" ref="L30" si="59">L211</f>
        <v>10648</v>
      </c>
      <c r="N30" s="54" t="s">
        <v>5742</v>
      </c>
    </row>
    <row r="31" spans="1:14" ht="15.75" thickBot="1">
      <c r="D31" s="575">
        <f t="shared" ref="D31:I31" si="60">D29+D30</f>
        <v>77138</v>
      </c>
      <c r="E31" s="575">
        <f t="shared" si="60"/>
        <v>78439</v>
      </c>
      <c r="F31" s="575">
        <f t="shared" si="60"/>
        <v>78415</v>
      </c>
      <c r="G31" s="575">
        <f t="shared" si="60"/>
        <v>78336</v>
      </c>
      <c r="H31" s="575">
        <f t="shared" si="60"/>
        <v>77960</v>
      </c>
      <c r="I31" s="575">
        <f t="shared" si="60"/>
        <v>76863</v>
      </c>
      <c r="J31" s="575">
        <f t="shared" ref="J31:K31" si="61">J29+J30</f>
        <v>76210</v>
      </c>
      <c r="K31" s="575">
        <f t="shared" si="61"/>
        <v>78090</v>
      </c>
      <c r="L31" s="575">
        <f t="shared" ref="L31" si="62">L29+L30</f>
        <v>79617</v>
      </c>
    </row>
    <row r="32" spans="1:14">
      <c r="D32" s="574"/>
      <c r="E32" s="574"/>
      <c r="F32" s="574"/>
      <c r="G32" s="574"/>
      <c r="H32" s="574"/>
      <c r="I32" s="574"/>
      <c r="J32" s="574"/>
      <c r="K32" s="574"/>
      <c r="L32" s="574"/>
    </row>
    <row r="33" spans="1:17">
      <c r="A33" s="54" t="s">
        <v>8697</v>
      </c>
      <c r="D33" s="572">
        <f t="shared" ref="D33:I33" si="63">D14+D18+D20+D22+D27+D31</f>
        <v>459085</v>
      </c>
      <c r="E33" s="572">
        <f t="shared" si="63"/>
        <v>462208</v>
      </c>
      <c r="F33" s="572">
        <f t="shared" si="63"/>
        <v>466036</v>
      </c>
      <c r="G33" s="572">
        <f t="shared" si="63"/>
        <v>467889</v>
      </c>
      <c r="H33" s="572">
        <f t="shared" si="63"/>
        <v>465621</v>
      </c>
      <c r="I33" s="572">
        <f t="shared" si="63"/>
        <v>458822</v>
      </c>
      <c r="J33" s="572">
        <f t="shared" ref="J33:K33" si="64">J14+J18+J20+J22+J27+J31</f>
        <v>460522</v>
      </c>
      <c r="K33" s="572">
        <f t="shared" si="64"/>
        <v>467951</v>
      </c>
      <c r="L33" s="572">
        <f t="shared" ref="L33" si="65">L14+L18+L20+L22+L27+L31</f>
        <v>476589</v>
      </c>
    </row>
    <row r="34" spans="1:17">
      <c r="D34" s="574"/>
      <c r="E34" s="574"/>
      <c r="F34" s="574"/>
      <c r="G34" s="574"/>
      <c r="H34" s="574"/>
      <c r="I34" s="574"/>
      <c r="J34" s="574"/>
      <c r="K34" s="574"/>
      <c r="L34" s="574"/>
    </row>
    <row r="35" spans="1:17">
      <c r="A35" s="54" t="s">
        <v>8698</v>
      </c>
      <c r="D35" s="572">
        <f t="shared" ref="D35:I35" si="66">MAX(D14,D18,D20,D22,D27,D31)-MIN(D14,D18,D20,D27,D31)</f>
        <v>11133</v>
      </c>
      <c r="E35" s="572">
        <f t="shared" si="66"/>
        <v>12085</v>
      </c>
      <c r="F35" s="572">
        <f t="shared" si="66"/>
        <v>12793</v>
      </c>
      <c r="G35" s="572">
        <f t="shared" si="66"/>
        <v>13277</v>
      </c>
      <c r="H35" s="572">
        <f t="shared" si="66"/>
        <v>12860</v>
      </c>
      <c r="I35" s="572">
        <f t="shared" si="66"/>
        <v>13236</v>
      </c>
      <c r="J35" s="572">
        <f t="shared" ref="J35:K35" si="67">MAX(J14,J18,J20,J22,J27,J31)-MIN(J14,J18,J20,J27,J31)</f>
        <v>12319</v>
      </c>
      <c r="K35" s="572">
        <f t="shared" si="67"/>
        <v>10071</v>
      </c>
      <c r="L35" s="572">
        <f t="shared" ref="L35" si="68">MAX(L14,L18,L20,L22,L27,L31)-MIN(L14,L18,L20,L27,L31)</f>
        <v>14088</v>
      </c>
    </row>
    <row r="36" spans="1:17">
      <c r="D36" s="574"/>
      <c r="E36" s="574"/>
      <c r="F36" s="574"/>
      <c r="G36" s="574"/>
      <c r="H36" s="574"/>
      <c r="I36" s="574"/>
      <c r="J36" s="574"/>
      <c r="K36" s="574"/>
      <c r="L36" s="574"/>
    </row>
    <row r="37" spans="1:17">
      <c r="A37" s="54" t="s">
        <v>8701</v>
      </c>
      <c r="D37" s="572">
        <f t="shared" ref="D37:I37" si="69">STDEVP(D14,D18,D20,D22,D27,D31)</f>
        <v>3608.7500798599076</v>
      </c>
      <c r="E37" s="572">
        <f t="shared" si="69"/>
        <v>3888.6864391748304</v>
      </c>
      <c r="F37" s="572">
        <f t="shared" si="69"/>
        <v>3986.7209862520131</v>
      </c>
      <c r="G37" s="572">
        <f t="shared" si="69"/>
        <v>4015.8150169050368</v>
      </c>
      <c r="H37" s="572">
        <f t="shared" si="69"/>
        <v>3875.3043643908368</v>
      </c>
      <c r="I37" s="572">
        <f t="shared" si="69"/>
        <v>4040.7473593658665</v>
      </c>
      <c r="J37" s="572">
        <f t="shared" ref="J37:K37" si="70">STDEVP(J14,J18,J20,J22,J27,J31)</f>
        <v>3936.7450457904374</v>
      </c>
      <c r="K37" s="572">
        <f t="shared" si="70"/>
        <v>3475.5155692677054</v>
      </c>
      <c r="L37" s="572">
        <f t="shared" ref="L37" si="71">STDEVP(L14,L18,L20,L22,L27,L31)</f>
        <v>4699.6577091670551</v>
      </c>
    </row>
    <row r="38" spans="1:17">
      <c r="A38" s="54"/>
      <c r="D38" s="576"/>
      <c r="E38" s="576"/>
      <c r="F38" s="576"/>
      <c r="G38" s="576"/>
      <c r="H38" s="576"/>
      <c r="I38" s="576"/>
      <c r="J38" s="576"/>
      <c r="K38" s="576"/>
      <c r="L38" s="576"/>
    </row>
    <row r="39" spans="1:17">
      <c r="A39" s="54"/>
      <c r="D39" s="576"/>
      <c r="E39" s="576"/>
      <c r="F39" s="576"/>
      <c r="G39" s="576"/>
      <c r="H39" s="576"/>
      <c r="I39" s="576"/>
      <c r="J39" s="576"/>
      <c r="K39" s="576"/>
      <c r="L39" s="576"/>
    </row>
    <row r="40" spans="1:17">
      <c r="E40" s="42" t="s">
        <v>2303</v>
      </c>
      <c r="F40" s="42"/>
      <c r="G40" s="42"/>
      <c r="H40" s="42"/>
      <c r="I40" s="42"/>
      <c r="J40" s="42"/>
      <c r="K40" s="42"/>
      <c r="L40" s="42"/>
      <c r="M40" s="65"/>
      <c r="N40" s="66" t="s">
        <v>13319</v>
      </c>
    </row>
    <row r="41" spans="1:17">
      <c r="D41" s="55">
        <v>2010</v>
      </c>
      <c r="E41" s="55">
        <v>2011</v>
      </c>
      <c r="F41" s="55">
        <v>2012</v>
      </c>
      <c r="G41" s="55">
        <v>2013</v>
      </c>
      <c r="H41" s="55">
        <v>2014</v>
      </c>
      <c r="I41" s="55">
        <v>2015</v>
      </c>
      <c r="J41" s="55">
        <v>2016</v>
      </c>
      <c r="K41" s="55">
        <v>2017</v>
      </c>
      <c r="L41" s="55">
        <v>2018</v>
      </c>
      <c r="M41" s="65"/>
      <c r="N41" s="67" t="s">
        <v>2304</v>
      </c>
    </row>
    <row r="42" spans="1:17">
      <c r="A42" s="54" t="s">
        <v>5745</v>
      </c>
      <c r="C42" s="54"/>
      <c r="D42" s="572">
        <f t="shared" ref="D42:I42" si="72">SUM(D43:D62)</f>
        <v>87489</v>
      </c>
      <c r="E42" s="572">
        <f t="shared" si="72"/>
        <v>86856</v>
      </c>
      <c r="F42" s="572">
        <f t="shared" si="72"/>
        <v>86841</v>
      </c>
      <c r="G42" s="572">
        <f t="shared" si="72"/>
        <v>86854</v>
      </c>
      <c r="H42" s="572">
        <f t="shared" si="72"/>
        <v>86332</v>
      </c>
      <c r="I42" s="572">
        <f t="shared" si="72"/>
        <v>83347</v>
      </c>
      <c r="J42" s="572">
        <f t="shared" ref="J42:K42" si="73">SUM(J43:J62)</f>
        <v>85812</v>
      </c>
      <c r="K42" s="572">
        <f t="shared" si="73"/>
        <v>83888</v>
      </c>
      <c r="L42" s="572">
        <f t="shared" ref="L42" si="74">SUM(L43:L62)</f>
        <v>85321</v>
      </c>
    </row>
    <row r="43" spans="1:17">
      <c r="A43" s="54" t="s">
        <v>6957</v>
      </c>
      <c r="B43" s="54" t="s">
        <v>4656</v>
      </c>
      <c r="C43" s="4" t="s">
        <v>12320</v>
      </c>
      <c r="D43" s="572">
        <v>4005</v>
      </c>
      <c r="E43" s="572">
        <v>3932</v>
      </c>
      <c r="F43" s="572">
        <v>3838</v>
      </c>
      <c r="G43" s="48">
        <v>3948</v>
      </c>
      <c r="H43" s="48">
        <v>3869</v>
      </c>
      <c r="I43" s="48">
        <v>3739</v>
      </c>
      <c r="J43" s="48">
        <v>3909</v>
      </c>
      <c r="K43" s="48">
        <v>3758</v>
      </c>
      <c r="L43" s="48">
        <v>3848</v>
      </c>
      <c r="N43" s="54" t="s">
        <v>5735</v>
      </c>
      <c r="O43" s="4"/>
      <c r="Q43" s="4"/>
    </row>
    <row r="44" spans="1:17">
      <c r="A44" s="577">
        <v>2</v>
      </c>
      <c r="B44" s="54" t="s">
        <v>7724</v>
      </c>
      <c r="C44" s="4" t="s">
        <v>12321</v>
      </c>
      <c r="D44" s="572">
        <v>3994</v>
      </c>
      <c r="E44" s="572">
        <v>4120</v>
      </c>
      <c r="F44" s="572">
        <v>4201</v>
      </c>
      <c r="G44" s="48">
        <v>4229</v>
      </c>
      <c r="H44" s="48">
        <v>4160</v>
      </c>
      <c r="I44" s="48">
        <v>4092</v>
      </c>
      <c r="J44" s="48">
        <v>4142</v>
      </c>
      <c r="K44" s="48">
        <v>4109</v>
      </c>
      <c r="L44" s="48">
        <v>4241</v>
      </c>
      <c r="N44" s="54" t="s">
        <v>5735</v>
      </c>
      <c r="O44" s="4"/>
      <c r="Q44" s="4"/>
    </row>
    <row r="45" spans="1:17">
      <c r="A45" s="577">
        <v>3</v>
      </c>
      <c r="B45" s="54" t="s">
        <v>8598</v>
      </c>
      <c r="C45" s="4" t="s">
        <v>12322</v>
      </c>
      <c r="D45" s="572">
        <v>4049</v>
      </c>
      <c r="E45" s="572">
        <v>4028</v>
      </c>
      <c r="F45" s="572">
        <v>4072</v>
      </c>
      <c r="G45" s="48">
        <v>4065</v>
      </c>
      <c r="H45" s="48">
        <v>4075</v>
      </c>
      <c r="I45" s="48">
        <v>4000</v>
      </c>
      <c r="J45" s="48">
        <v>4095</v>
      </c>
      <c r="K45" s="48">
        <v>3989</v>
      </c>
      <c r="L45" s="48">
        <v>3985</v>
      </c>
      <c r="N45" s="54" t="s">
        <v>5735</v>
      </c>
      <c r="O45" s="4"/>
      <c r="Q45" s="4"/>
    </row>
    <row r="46" spans="1:17">
      <c r="A46" s="54" t="s">
        <v>6963</v>
      </c>
      <c r="B46" s="54" t="s">
        <v>8599</v>
      </c>
      <c r="C46" s="4" t="s">
        <v>12323</v>
      </c>
      <c r="D46" s="572">
        <v>4303</v>
      </c>
      <c r="E46" s="572">
        <v>4304</v>
      </c>
      <c r="F46" s="572">
        <v>4352</v>
      </c>
      <c r="G46" s="48">
        <v>4388</v>
      </c>
      <c r="H46" s="48">
        <v>4365</v>
      </c>
      <c r="I46" s="48">
        <v>4319</v>
      </c>
      <c r="J46" s="48">
        <v>4370</v>
      </c>
      <c r="K46" s="48">
        <v>4376</v>
      </c>
      <c r="L46" s="48">
        <v>4342</v>
      </c>
      <c r="N46" s="54" t="s">
        <v>5735</v>
      </c>
      <c r="O46" s="4"/>
      <c r="Q46" s="4"/>
    </row>
    <row r="47" spans="1:17">
      <c r="A47" s="54" t="s">
        <v>6965</v>
      </c>
      <c r="B47" s="54" t="s">
        <v>8600</v>
      </c>
      <c r="C47" s="4" t="s">
        <v>12324</v>
      </c>
      <c r="D47" s="572">
        <v>4038</v>
      </c>
      <c r="E47" s="572">
        <v>4020</v>
      </c>
      <c r="F47" s="572">
        <v>3999</v>
      </c>
      <c r="G47" s="48">
        <v>4013</v>
      </c>
      <c r="H47" s="48">
        <v>3997</v>
      </c>
      <c r="I47" s="48">
        <v>3951</v>
      </c>
      <c r="J47" s="48">
        <v>4028</v>
      </c>
      <c r="K47" s="48">
        <v>3928</v>
      </c>
      <c r="L47" s="48">
        <v>3973</v>
      </c>
      <c r="N47" s="54" t="s">
        <v>5735</v>
      </c>
      <c r="O47" s="4"/>
      <c r="Q47" s="4"/>
    </row>
    <row r="48" spans="1:17">
      <c r="A48" s="54" t="s">
        <v>6997</v>
      </c>
      <c r="B48" s="54" t="s">
        <v>2177</v>
      </c>
      <c r="C48" s="4" t="s">
        <v>12325</v>
      </c>
      <c r="D48" s="572">
        <v>4223</v>
      </c>
      <c r="E48" s="572">
        <v>4172</v>
      </c>
      <c r="F48" s="572">
        <v>4101</v>
      </c>
      <c r="G48" s="48">
        <v>4030</v>
      </c>
      <c r="H48" s="48">
        <v>4013</v>
      </c>
      <c r="I48" s="48">
        <v>3872</v>
      </c>
      <c r="J48" s="48">
        <v>4184</v>
      </c>
      <c r="K48" s="48">
        <v>4126</v>
      </c>
      <c r="L48" s="48">
        <v>4257</v>
      </c>
      <c r="N48" s="54" t="s">
        <v>5735</v>
      </c>
      <c r="O48" s="4"/>
      <c r="Q48" s="4"/>
    </row>
    <row r="49" spans="1:17">
      <c r="A49" s="54" t="s">
        <v>6999</v>
      </c>
      <c r="B49" s="54" t="s">
        <v>8601</v>
      </c>
      <c r="C49" s="4" t="s">
        <v>12326</v>
      </c>
      <c r="D49" s="572">
        <v>4888</v>
      </c>
      <c r="E49" s="572">
        <v>4880</v>
      </c>
      <c r="F49" s="572">
        <v>4854</v>
      </c>
      <c r="G49" s="48">
        <v>4856</v>
      </c>
      <c r="H49" s="48">
        <v>4712</v>
      </c>
      <c r="I49" s="48">
        <v>4574</v>
      </c>
      <c r="J49" s="48">
        <v>4681</v>
      </c>
      <c r="K49" s="48">
        <v>4462</v>
      </c>
      <c r="L49" s="48">
        <v>4497</v>
      </c>
      <c r="N49" s="54" t="s">
        <v>5735</v>
      </c>
      <c r="O49" s="4"/>
      <c r="Q49" s="4"/>
    </row>
    <row r="50" spans="1:17">
      <c r="A50" s="54" t="s">
        <v>7001</v>
      </c>
      <c r="B50" s="54" t="s">
        <v>1822</v>
      </c>
      <c r="C50" s="4" t="s">
        <v>12327</v>
      </c>
      <c r="D50" s="572">
        <v>4427</v>
      </c>
      <c r="E50" s="572">
        <v>4250</v>
      </c>
      <c r="F50" s="572">
        <v>4182</v>
      </c>
      <c r="G50" s="48">
        <v>4192</v>
      </c>
      <c r="H50" s="48">
        <v>4275</v>
      </c>
      <c r="I50" s="48">
        <v>3879</v>
      </c>
      <c r="J50" s="48">
        <v>3989</v>
      </c>
      <c r="K50" s="48">
        <v>3903</v>
      </c>
      <c r="L50" s="48">
        <v>3898</v>
      </c>
      <c r="N50" s="54" t="s">
        <v>5735</v>
      </c>
      <c r="O50" s="4"/>
      <c r="Q50" s="4"/>
    </row>
    <row r="51" spans="1:17">
      <c r="A51" s="54" t="s">
        <v>7003</v>
      </c>
      <c r="B51" s="54" t="s">
        <v>8602</v>
      </c>
      <c r="C51" s="4" t="s">
        <v>12328</v>
      </c>
      <c r="D51" s="572">
        <v>4102</v>
      </c>
      <c r="E51" s="572">
        <v>4124</v>
      </c>
      <c r="F51" s="572">
        <v>4139</v>
      </c>
      <c r="G51" s="48">
        <v>4129</v>
      </c>
      <c r="H51" s="48">
        <v>4196</v>
      </c>
      <c r="I51" s="48">
        <v>4171</v>
      </c>
      <c r="J51" s="48">
        <v>4290</v>
      </c>
      <c r="K51" s="48">
        <v>4299</v>
      </c>
      <c r="L51" s="48">
        <v>4344</v>
      </c>
      <c r="N51" s="54" t="s">
        <v>5735</v>
      </c>
      <c r="O51" s="4"/>
      <c r="Q51" s="4"/>
    </row>
    <row r="52" spans="1:17">
      <c r="A52" s="54" t="s">
        <v>7005</v>
      </c>
      <c r="B52" s="54" t="s">
        <v>7567</v>
      </c>
      <c r="C52" s="4" t="s">
        <v>12329</v>
      </c>
      <c r="D52" s="572">
        <v>4207</v>
      </c>
      <c r="E52" s="572">
        <v>4191</v>
      </c>
      <c r="F52" s="572">
        <v>4205</v>
      </c>
      <c r="G52" s="48">
        <v>4212</v>
      </c>
      <c r="H52" s="48">
        <v>4215</v>
      </c>
      <c r="I52" s="48">
        <v>4179</v>
      </c>
      <c r="J52" s="48">
        <v>4278</v>
      </c>
      <c r="K52" s="48">
        <v>4096</v>
      </c>
      <c r="L52" s="48">
        <v>4104</v>
      </c>
      <c r="N52" s="54" t="s">
        <v>5735</v>
      </c>
      <c r="O52" s="4"/>
      <c r="Q52" s="4"/>
    </row>
    <row r="53" spans="1:17">
      <c r="A53" s="54" t="s">
        <v>7007</v>
      </c>
      <c r="B53" s="54" t="s">
        <v>2442</v>
      </c>
      <c r="C53" s="4" t="s">
        <v>12330</v>
      </c>
      <c r="D53" s="572">
        <v>5105</v>
      </c>
      <c r="E53" s="572">
        <v>5111</v>
      </c>
      <c r="F53" s="572">
        <v>5072</v>
      </c>
      <c r="G53" s="48">
        <v>5047</v>
      </c>
      <c r="H53" s="48">
        <v>4986</v>
      </c>
      <c r="I53" s="48">
        <v>4609</v>
      </c>
      <c r="J53" s="48">
        <v>4703</v>
      </c>
      <c r="K53" s="48">
        <v>4626</v>
      </c>
      <c r="L53" s="48">
        <v>4735</v>
      </c>
      <c r="N53" s="54" t="s">
        <v>5735</v>
      </c>
      <c r="O53" s="4"/>
      <c r="Q53" s="4"/>
    </row>
    <row r="54" spans="1:17">
      <c r="A54" s="54" t="s">
        <v>7009</v>
      </c>
      <c r="B54" s="54" t="s">
        <v>8603</v>
      </c>
      <c r="C54" s="4" t="s">
        <v>12331</v>
      </c>
      <c r="D54" s="572">
        <v>4123</v>
      </c>
      <c r="E54" s="572">
        <v>4039</v>
      </c>
      <c r="F54" s="572">
        <v>4009</v>
      </c>
      <c r="G54" s="48">
        <v>4008</v>
      </c>
      <c r="H54" s="48">
        <v>4108</v>
      </c>
      <c r="I54" s="48">
        <v>4099</v>
      </c>
      <c r="J54" s="48">
        <v>4344</v>
      </c>
      <c r="K54" s="48">
        <v>4300</v>
      </c>
      <c r="L54" s="48">
        <v>4508</v>
      </c>
      <c r="N54" s="54" t="s">
        <v>5735</v>
      </c>
      <c r="O54" s="4"/>
      <c r="Q54" s="4"/>
    </row>
    <row r="55" spans="1:17">
      <c r="A55" s="54" t="s">
        <v>7011</v>
      </c>
      <c r="B55" s="54" t="s">
        <v>8604</v>
      </c>
      <c r="C55" s="4" t="s">
        <v>12332</v>
      </c>
      <c r="D55" s="578">
        <v>4593</v>
      </c>
      <c r="E55" s="578">
        <v>4578</v>
      </c>
      <c r="F55" s="578">
        <v>4567</v>
      </c>
      <c r="G55" s="48">
        <v>4576</v>
      </c>
      <c r="H55" s="48">
        <v>4502</v>
      </c>
      <c r="I55" s="48">
        <v>4262</v>
      </c>
      <c r="J55" s="48">
        <v>4389</v>
      </c>
      <c r="K55" s="48">
        <v>4363</v>
      </c>
      <c r="L55" s="48">
        <v>4448</v>
      </c>
      <c r="N55" s="54" t="s">
        <v>5743</v>
      </c>
      <c r="O55" s="4"/>
      <c r="Q55" s="4"/>
    </row>
    <row r="56" spans="1:17">
      <c r="A56" s="54" t="s">
        <v>7013</v>
      </c>
      <c r="B56" s="54" t="s">
        <v>8605</v>
      </c>
      <c r="C56" s="4" t="s">
        <v>12333</v>
      </c>
      <c r="D56" s="572">
        <v>4562</v>
      </c>
      <c r="E56" s="572">
        <v>4515</v>
      </c>
      <c r="F56" s="572">
        <v>4477</v>
      </c>
      <c r="G56" s="48">
        <v>4526</v>
      </c>
      <c r="H56" s="48">
        <v>4497</v>
      </c>
      <c r="I56" s="48">
        <v>4420</v>
      </c>
      <c r="J56" s="48">
        <v>4533</v>
      </c>
      <c r="K56" s="48">
        <v>4457</v>
      </c>
      <c r="L56" s="48">
        <v>4595</v>
      </c>
      <c r="N56" s="54" t="s">
        <v>5735</v>
      </c>
      <c r="O56" s="4"/>
      <c r="Q56" s="4"/>
    </row>
    <row r="57" spans="1:17">
      <c r="A57" s="579">
        <v>15</v>
      </c>
      <c r="B57" s="54" t="s">
        <v>8606</v>
      </c>
      <c r="C57" s="4" t="s">
        <v>12334</v>
      </c>
      <c r="D57" s="572">
        <v>4353</v>
      </c>
      <c r="E57" s="572">
        <v>4249</v>
      </c>
      <c r="F57" s="572">
        <v>4435</v>
      </c>
      <c r="G57" s="48">
        <v>4422</v>
      </c>
      <c r="H57" s="48">
        <v>4401</v>
      </c>
      <c r="I57" s="48">
        <v>3571</v>
      </c>
      <c r="J57" s="48">
        <v>3904</v>
      </c>
      <c r="K57" s="48">
        <v>3436</v>
      </c>
      <c r="L57" s="48">
        <v>3696</v>
      </c>
      <c r="N57" s="54" t="s">
        <v>5735</v>
      </c>
      <c r="O57" s="4"/>
      <c r="Q57" s="4"/>
    </row>
    <row r="58" spans="1:17">
      <c r="A58" s="579">
        <v>16</v>
      </c>
      <c r="B58" s="54" t="s">
        <v>8607</v>
      </c>
      <c r="C58" s="4" t="s">
        <v>12335</v>
      </c>
      <c r="D58" s="572">
        <v>4792</v>
      </c>
      <c r="E58" s="572">
        <v>4749</v>
      </c>
      <c r="F58" s="572">
        <v>4718</v>
      </c>
      <c r="G58" s="48">
        <v>4676</v>
      </c>
      <c r="H58" s="48">
        <v>4643</v>
      </c>
      <c r="I58" s="48">
        <v>4455</v>
      </c>
      <c r="J58" s="48">
        <v>4595</v>
      </c>
      <c r="K58" s="48">
        <v>4545</v>
      </c>
      <c r="L58" s="48">
        <v>4747</v>
      </c>
      <c r="N58" s="54" t="s">
        <v>5735</v>
      </c>
      <c r="O58" s="4"/>
      <c r="Q58" s="4"/>
    </row>
    <row r="59" spans="1:17">
      <c r="A59" s="579">
        <v>17</v>
      </c>
      <c r="B59" s="54" t="s">
        <v>8608</v>
      </c>
      <c r="C59" s="4" t="s">
        <v>12336</v>
      </c>
      <c r="D59" s="572">
        <v>4767</v>
      </c>
      <c r="E59" s="572">
        <v>4764</v>
      </c>
      <c r="F59" s="572">
        <v>4744</v>
      </c>
      <c r="G59" s="48">
        <v>4703</v>
      </c>
      <c r="H59" s="48">
        <v>4625</v>
      </c>
      <c r="I59" s="48">
        <v>4548</v>
      </c>
      <c r="J59" s="48">
        <v>4557</v>
      </c>
      <c r="K59" s="48">
        <v>4484</v>
      </c>
      <c r="L59" s="48">
        <v>4550</v>
      </c>
      <c r="N59" s="54" t="s">
        <v>5735</v>
      </c>
      <c r="O59" s="4"/>
      <c r="Q59" s="4"/>
    </row>
    <row r="60" spans="1:17">
      <c r="A60" s="579">
        <v>18</v>
      </c>
      <c r="B60" s="54" t="s">
        <v>8609</v>
      </c>
      <c r="C60" s="4" t="s">
        <v>12337</v>
      </c>
      <c r="D60" s="578">
        <v>4427</v>
      </c>
      <c r="E60" s="578">
        <v>4341</v>
      </c>
      <c r="F60" s="578">
        <v>4345</v>
      </c>
      <c r="G60" s="48">
        <v>4339</v>
      </c>
      <c r="H60" s="48">
        <v>4225</v>
      </c>
      <c r="I60" s="48">
        <v>4194</v>
      </c>
      <c r="J60" s="48">
        <v>4201</v>
      </c>
      <c r="K60" s="48">
        <v>4174</v>
      </c>
      <c r="L60" s="48">
        <v>4165</v>
      </c>
      <c r="N60" s="54" t="s">
        <v>5743</v>
      </c>
      <c r="O60" s="4"/>
      <c r="Q60" s="4"/>
    </row>
    <row r="61" spans="1:17">
      <c r="A61" s="579">
        <v>19</v>
      </c>
      <c r="B61" s="54" t="s">
        <v>7747</v>
      </c>
      <c r="C61" s="4" t="s">
        <v>12338</v>
      </c>
      <c r="D61" s="572">
        <v>4137</v>
      </c>
      <c r="E61" s="572">
        <v>4120</v>
      </c>
      <c r="F61" s="572">
        <v>4126</v>
      </c>
      <c r="G61" s="48">
        <v>4124</v>
      </c>
      <c r="H61" s="48">
        <v>4155</v>
      </c>
      <c r="I61" s="48">
        <v>4143</v>
      </c>
      <c r="J61" s="48">
        <v>4274</v>
      </c>
      <c r="K61" s="48">
        <v>4146</v>
      </c>
      <c r="L61" s="48">
        <v>4146</v>
      </c>
      <c r="N61" s="54" t="s">
        <v>5735</v>
      </c>
      <c r="O61" s="4"/>
      <c r="Q61" s="4"/>
    </row>
    <row r="62" spans="1:17">
      <c r="A62" s="579">
        <v>20</v>
      </c>
      <c r="B62" s="54" t="s">
        <v>5796</v>
      </c>
      <c r="C62" s="4" t="s">
        <v>12339</v>
      </c>
      <c r="D62" s="572">
        <v>4394</v>
      </c>
      <c r="E62" s="572">
        <v>4369</v>
      </c>
      <c r="F62" s="572">
        <v>4405</v>
      </c>
      <c r="G62" s="48">
        <v>4371</v>
      </c>
      <c r="H62" s="48">
        <v>4313</v>
      </c>
      <c r="I62" s="48">
        <v>4270</v>
      </c>
      <c r="J62" s="48">
        <v>4346</v>
      </c>
      <c r="K62" s="48">
        <v>4311</v>
      </c>
      <c r="L62" s="48">
        <v>4242</v>
      </c>
      <c r="N62" s="54" t="s">
        <v>5735</v>
      </c>
      <c r="O62" s="4"/>
      <c r="Q62" s="4"/>
    </row>
    <row r="63" spans="1:17">
      <c r="D63" s="572"/>
      <c r="E63" s="572"/>
      <c r="F63" s="572"/>
      <c r="G63" s="572"/>
      <c r="H63" s="572"/>
      <c r="I63" s="572"/>
      <c r="J63" s="572"/>
      <c r="K63" s="572"/>
      <c r="L63" s="572"/>
      <c r="N63" s="54"/>
    </row>
    <row r="64" spans="1:17">
      <c r="A64" s="54" t="s">
        <v>5735</v>
      </c>
      <c r="D64" s="572">
        <f t="shared" ref="D64:I64" si="75">SUM(D43:D54)+SUM(D56:D59)+D61+D62</f>
        <v>78469</v>
      </c>
      <c r="E64" s="572">
        <f t="shared" si="75"/>
        <v>77937</v>
      </c>
      <c r="F64" s="572">
        <f t="shared" si="75"/>
        <v>77929</v>
      </c>
      <c r="G64" s="572">
        <f t="shared" si="75"/>
        <v>77939</v>
      </c>
      <c r="H64" s="572">
        <f t="shared" si="75"/>
        <v>77605</v>
      </c>
      <c r="I64" s="572">
        <f t="shared" si="75"/>
        <v>74891</v>
      </c>
      <c r="J64" s="572">
        <f t="shared" ref="J64:K64" si="76">SUM(J43:J54)+SUM(J56:J59)+J61+J62</f>
        <v>77222</v>
      </c>
      <c r="K64" s="572">
        <f t="shared" si="76"/>
        <v>75351</v>
      </c>
      <c r="L64" s="572">
        <f t="shared" ref="L64" si="77">SUM(L43:L54)+SUM(L56:L59)+L61+L62</f>
        <v>76708</v>
      </c>
    </row>
    <row r="65" spans="1:17">
      <c r="A65" s="54" t="s">
        <v>5797</v>
      </c>
      <c r="D65" s="572">
        <f t="shared" ref="D65:I65" si="78">D55+D60</f>
        <v>9020</v>
      </c>
      <c r="E65" s="572">
        <f t="shared" si="78"/>
        <v>8919</v>
      </c>
      <c r="F65" s="572">
        <f t="shared" si="78"/>
        <v>8912</v>
      </c>
      <c r="G65" s="572">
        <f t="shared" si="78"/>
        <v>8915</v>
      </c>
      <c r="H65" s="572">
        <f t="shared" si="78"/>
        <v>8727</v>
      </c>
      <c r="I65" s="572">
        <f t="shared" si="78"/>
        <v>8456</v>
      </c>
      <c r="J65" s="572">
        <f t="shared" ref="J65:K65" si="79">J55+J60</f>
        <v>8590</v>
      </c>
      <c r="K65" s="572">
        <f t="shared" si="79"/>
        <v>8537</v>
      </c>
      <c r="L65" s="572">
        <f t="shared" ref="L65" si="80">L55+L60</f>
        <v>8613</v>
      </c>
    </row>
    <row r="66" spans="1:17">
      <c r="A66" s="54"/>
      <c r="D66" s="572"/>
      <c r="E66" s="572"/>
      <c r="F66" s="572"/>
      <c r="G66" s="572"/>
      <c r="H66" s="572"/>
      <c r="I66" s="572"/>
      <c r="J66" s="572"/>
      <c r="K66" s="572"/>
      <c r="L66" s="572"/>
    </row>
    <row r="67" spans="1:17">
      <c r="A67" s="54" t="s">
        <v>7672</v>
      </c>
      <c r="D67" s="572"/>
      <c r="E67" s="572"/>
      <c r="F67" s="572"/>
      <c r="G67" s="572"/>
      <c r="H67" s="572"/>
      <c r="I67" s="572"/>
      <c r="J67" s="572"/>
      <c r="K67" s="572"/>
      <c r="L67" s="572"/>
    </row>
    <row r="68" spans="1:17">
      <c r="A68" s="54"/>
      <c r="B68" s="54"/>
      <c r="D68" s="580"/>
      <c r="E68" s="580"/>
      <c r="F68" s="580"/>
      <c r="G68" s="580"/>
      <c r="H68" s="580"/>
      <c r="I68" s="580"/>
      <c r="J68" s="580"/>
      <c r="K68" s="580"/>
      <c r="L68" s="580"/>
    </row>
    <row r="69" spans="1:17">
      <c r="A69" s="54"/>
      <c r="B69" s="54"/>
      <c r="D69" s="580"/>
      <c r="E69" s="580"/>
      <c r="F69" s="580"/>
      <c r="G69" s="580"/>
      <c r="H69" s="580"/>
      <c r="I69" s="580"/>
      <c r="J69" s="580"/>
      <c r="K69" s="580"/>
      <c r="L69" s="580"/>
    </row>
    <row r="70" spans="1:17">
      <c r="E70" s="42" t="s">
        <v>2303</v>
      </c>
      <c r="F70" s="42"/>
      <c r="G70" s="42"/>
      <c r="H70" s="42"/>
      <c r="I70" s="42"/>
      <c r="J70" s="42"/>
      <c r="K70" s="42"/>
      <c r="L70" s="42"/>
      <c r="M70" s="65"/>
      <c r="N70" s="66" t="s">
        <v>13319</v>
      </c>
    </row>
    <row r="71" spans="1:17">
      <c r="D71" s="55">
        <v>2010</v>
      </c>
      <c r="E71" s="55">
        <v>2011</v>
      </c>
      <c r="F71" s="55">
        <v>2012</v>
      </c>
      <c r="G71" s="55">
        <v>2013</v>
      </c>
      <c r="H71" s="55">
        <v>2014</v>
      </c>
      <c r="I71" s="55">
        <v>2015</v>
      </c>
      <c r="J71" s="55">
        <v>2016</v>
      </c>
      <c r="K71" s="55">
        <v>2017</v>
      </c>
      <c r="L71" s="55">
        <v>2018</v>
      </c>
      <c r="M71" s="65"/>
      <c r="N71" s="67" t="s">
        <v>2304</v>
      </c>
    </row>
    <row r="72" spans="1:17">
      <c r="A72" s="54" t="s">
        <v>7673</v>
      </c>
      <c r="D72" s="572">
        <f>SUM(D73:D104)</f>
        <v>66804</v>
      </c>
      <c r="E72" s="572">
        <f t="shared" ref="E72:J72" si="81">SUM(E73:E104)</f>
        <v>68087</v>
      </c>
      <c r="F72" s="572">
        <f t="shared" si="81"/>
        <v>68019</v>
      </c>
      <c r="G72" s="572">
        <f t="shared" si="81"/>
        <v>67966</v>
      </c>
      <c r="H72" s="572">
        <f t="shared" si="81"/>
        <v>67770</v>
      </c>
      <c r="I72" s="572">
        <f t="shared" si="81"/>
        <v>66739</v>
      </c>
      <c r="J72" s="572">
        <f t="shared" si="81"/>
        <v>65825</v>
      </c>
      <c r="K72" s="572">
        <f t="shared" ref="K72:L72" si="82">SUM(K73:K104)</f>
        <v>67478</v>
      </c>
      <c r="L72" s="572">
        <f t="shared" si="82"/>
        <v>68969</v>
      </c>
      <c r="M72" s="572"/>
    </row>
    <row r="73" spans="1:17">
      <c r="A73" s="54" t="s">
        <v>6957</v>
      </c>
      <c r="B73" s="54" t="s">
        <v>8199</v>
      </c>
      <c r="C73" s="4" t="s">
        <v>14923</v>
      </c>
      <c r="D73" s="572">
        <v>66804</v>
      </c>
      <c r="E73" s="572">
        <v>68087</v>
      </c>
      <c r="F73" s="572">
        <v>68019</v>
      </c>
      <c r="G73" s="30">
        <v>67966</v>
      </c>
      <c r="H73" s="30">
        <v>67770</v>
      </c>
      <c r="I73" s="30">
        <v>66739</v>
      </c>
      <c r="J73" s="30">
        <v>1859</v>
      </c>
      <c r="K73" s="30">
        <v>1885</v>
      </c>
      <c r="L73" s="30">
        <v>1921</v>
      </c>
      <c r="N73" s="54" t="s">
        <v>5744</v>
      </c>
      <c r="O73" s="4"/>
      <c r="Q73" s="4"/>
    </row>
    <row r="74" spans="1:17">
      <c r="A74" s="54" t="s">
        <v>6959</v>
      </c>
      <c r="B74" s="54" t="s">
        <v>7680</v>
      </c>
      <c r="C74" s="4" t="s">
        <v>14924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2121</v>
      </c>
      <c r="K74" s="30">
        <v>2120</v>
      </c>
      <c r="L74" s="30">
        <v>2120</v>
      </c>
      <c r="N74" s="54" t="s">
        <v>5744</v>
      </c>
      <c r="O74" s="4"/>
      <c r="Q74" s="4"/>
    </row>
    <row r="75" spans="1:17">
      <c r="A75" s="54" t="s">
        <v>6961</v>
      </c>
      <c r="B75" s="54" t="s">
        <v>14964</v>
      </c>
      <c r="C75" s="4" t="s">
        <v>14925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2164</v>
      </c>
      <c r="K75" s="30">
        <v>2207</v>
      </c>
      <c r="L75" s="30">
        <v>2185</v>
      </c>
      <c r="N75" s="54" t="s">
        <v>5744</v>
      </c>
      <c r="O75" s="4"/>
      <c r="Q75" s="4"/>
    </row>
    <row r="76" spans="1:17">
      <c r="A76" s="54" t="s">
        <v>6963</v>
      </c>
      <c r="B76" s="54" t="s">
        <v>14965</v>
      </c>
      <c r="C76" s="4" t="s">
        <v>14926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1989</v>
      </c>
      <c r="K76" s="30">
        <v>2066</v>
      </c>
      <c r="L76" s="30">
        <v>2229</v>
      </c>
      <c r="N76" s="54" t="s">
        <v>5744</v>
      </c>
      <c r="O76" s="4"/>
      <c r="Q76" s="4"/>
    </row>
    <row r="77" spans="1:17">
      <c r="A77" s="54" t="s">
        <v>6965</v>
      </c>
      <c r="B77" s="54" t="s">
        <v>14966</v>
      </c>
      <c r="C77" s="4" t="s">
        <v>14927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4331</v>
      </c>
      <c r="K77" s="30">
        <v>4398</v>
      </c>
      <c r="L77" s="30">
        <v>4622</v>
      </c>
      <c r="N77" s="54" t="s">
        <v>5744</v>
      </c>
      <c r="O77" s="4"/>
      <c r="Q77" s="4"/>
    </row>
    <row r="78" spans="1:17">
      <c r="A78" s="54" t="s">
        <v>6997</v>
      </c>
      <c r="B78" s="54" t="s">
        <v>14967</v>
      </c>
      <c r="C78" s="4" t="s">
        <v>14928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1975</v>
      </c>
      <c r="K78" s="30">
        <v>1982</v>
      </c>
      <c r="L78" s="30">
        <v>1989</v>
      </c>
      <c r="N78" s="54" t="s">
        <v>5744</v>
      </c>
      <c r="O78" s="4"/>
      <c r="Q78" s="4"/>
    </row>
    <row r="79" spans="1:17">
      <c r="A79" s="577">
        <v>7</v>
      </c>
      <c r="B79" s="54" t="s">
        <v>2495</v>
      </c>
      <c r="C79" s="4" t="s">
        <v>14929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1814</v>
      </c>
      <c r="K79" s="30">
        <v>1843</v>
      </c>
      <c r="L79" s="30">
        <v>1850</v>
      </c>
      <c r="N79" s="54" t="s">
        <v>5744</v>
      </c>
      <c r="O79" s="4"/>
      <c r="Q79" s="4"/>
    </row>
    <row r="80" spans="1:17">
      <c r="A80" s="577">
        <v>8</v>
      </c>
      <c r="B80" s="54" t="s">
        <v>14968</v>
      </c>
      <c r="C80" s="4" t="s">
        <v>14930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1948</v>
      </c>
      <c r="K80" s="30">
        <v>2032</v>
      </c>
      <c r="L80" s="30">
        <v>2032</v>
      </c>
      <c r="N80" s="54" t="s">
        <v>5744</v>
      </c>
      <c r="O80" s="4"/>
      <c r="Q80" s="4"/>
    </row>
    <row r="81" spans="1:17">
      <c r="A81" s="577">
        <v>9</v>
      </c>
      <c r="B81" s="54" t="s">
        <v>4271</v>
      </c>
      <c r="C81" s="4" t="s">
        <v>14931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1994</v>
      </c>
      <c r="K81" s="30">
        <v>2005</v>
      </c>
      <c r="L81" s="30">
        <v>2028</v>
      </c>
      <c r="N81" s="54" t="s">
        <v>5744</v>
      </c>
      <c r="O81" s="4"/>
      <c r="Q81" s="4"/>
    </row>
    <row r="82" spans="1:17">
      <c r="A82" s="577">
        <v>10</v>
      </c>
      <c r="B82" s="54" t="s">
        <v>14969</v>
      </c>
      <c r="C82" s="4" t="s">
        <v>14932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1825</v>
      </c>
      <c r="K82" s="30">
        <v>1922</v>
      </c>
      <c r="L82" s="30">
        <v>1985</v>
      </c>
      <c r="N82" s="54" t="s">
        <v>5744</v>
      </c>
      <c r="O82" s="4"/>
      <c r="Q82" s="4"/>
    </row>
    <row r="83" spans="1:17">
      <c r="A83" s="577">
        <v>11</v>
      </c>
      <c r="B83" s="54" t="s">
        <v>2459</v>
      </c>
      <c r="C83" s="4" t="s">
        <v>14933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2065</v>
      </c>
      <c r="K83" s="30">
        <v>2106</v>
      </c>
      <c r="L83" s="30">
        <v>2129</v>
      </c>
      <c r="N83" s="54" t="s">
        <v>5744</v>
      </c>
      <c r="O83" s="4"/>
      <c r="Q83" s="4"/>
    </row>
    <row r="84" spans="1:17">
      <c r="A84" s="577">
        <v>12</v>
      </c>
      <c r="B84" s="570" t="s">
        <v>14976</v>
      </c>
      <c r="C84" s="4" t="s">
        <v>14934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1431</v>
      </c>
      <c r="K84" s="30">
        <v>1445</v>
      </c>
      <c r="L84" s="30">
        <v>1515</v>
      </c>
      <c r="N84" s="54" t="s">
        <v>5744</v>
      </c>
      <c r="O84" s="4"/>
      <c r="Q84" s="4"/>
    </row>
    <row r="85" spans="1:17">
      <c r="A85" s="54" t="s">
        <v>7011</v>
      </c>
      <c r="B85" s="54" t="s">
        <v>14970</v>
      </c>
      <c r="C85" s="4" t="s">
        <v>14935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2005</v>
      </c>
      <c r="K85" s="30">
        <v>2044</v>
      </c>
      <c r="L85" s="30">
        <v>2071</v>
      </c>
      <c r="N85" s="54" t="s">
        <v>5744</v>
      </c>
      <c r="O85" s="4"/>
      <c r="Q85" s="4"/>
    </row>
    <row r="86" spans="1:17">
      <c r="A86" s="54" t="s">
        <v>7013</v>
      </c>
      <c r="B86" s="54" t="s">
        <v>14971</v>
      </c>
      <c r="C86" s="4" t="s">
        <v>14936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2003</v>
      </c>
      <c r="K86" s="30">
        <v>2040</v>
      </c>
      <c r="L86" s="30">
        <v>2081</v>
      </c>
      <c r="N86" s="54" t="s">
        <v>5744</v>
      </c>
      <c r="O86" s="4"/>
      <c r="Q86" s="4"/>
    </row>
    <row r="87" spans="1:17">
      <c r="A87" s="54" t="s">
        <v>7015</v>
      </c>
      <c r="B87" s="54" t="s">
        <v>14972</v>
      </c>
      <c r="C87" s="4" t="s">
        <v>14937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4184</v>
      </c>
      <c r="K87" s="30">
        <v>4357</v>
      </c>
      <c r="L87" s="30">
        <v>4669</v>
      </c>
      <c r="N87" s="54" t="s">
        <v>5744</v>
      </c>
      <c r="O87" s="4"/>
      <c r="Q87" s="4"/>
    </row>
    <row r="88" spans="1:17">
      <c r="A88" s="54" t="s">
        <v>7017</v>
      </c>
      <c r="B88" s="54" t="s">
        <v>14973</v>
      </c>
      <c r="C88" s="4" t="s">
        <v>14938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1897</v>
      </c>
      <c r="K88" s="31">
        <v>1973</v>
      </c>
      <c r="L88" s="31">
        <v>2063</v>
      </c>
      <c r="N88" s="54" t="s">
        <v>5744</v>
      </c>
      <c r="O88" s="4"/>
      <c r="Q88" s="4"/>
    </row>
    <row r="89" spans="1:17">
      <c r="A89" s="54" t="s">
        <v>7019</v>
      </c>
      <c r="B89" s="54" t="s">
        <v>14974</v>
      </c>
      <c r="C89" s="4" t="s">
        <v>14939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1881</v>
      </c>
      <c r="K89" s="31">
        <v>1870</v>
      </c>
      <c r="L89" s="31">
        <v>1904</v>
      </c>
      <c r="N89" s="54" t="s">
        <v>5744</v>
      </c>
      <c r="O89" s="4"/>
      <c r="Q89" s="4"/>
    </row>
    <row r="90" spans="1:17">
      <c r="A90" s="54" t="s">
        <v>7021</v>
      </c>
      <c r="B90" s="54" t="s">
        <v>14975</v>
      </c>
      <c r="C90" s="4" t="s">
        <v>14940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1848</v>
      </c>
      <c r="K90" s="31">
        <v>1904</v>
      </c>
      <c r="L90" s="31">
        <v>1884</v>
      </c>
      <c r="N90" s="54" t="s">
        <v>5744</v>
      </c>
      <c r="O90" s="4"/>
      <c r="Q90" s="4"/>
    </row>
    <row r="91" spans="1:17">
      <c r="A91" s="54" t="s">
        <v>7023</v>
      </c>
      <c r="B91" s="54" t="s">
        <v>2461</v>
      </c>
      <c r="C91" s="4" t="s">
        <v>14941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2074</v>
      </c>
      <c r="K91" s="31">
        <v>2137</v>
      </c>
      <c r="L91" s="31">
        <v>2152</v>
      </c>
      <c r="N91" s="54" t="s">
        <v>5744</v>
      </c>
      <c r="O91" s="4"/>
      <c r="Q91" s="4"/>
    </row>
    <row r="92" spans="1:17">
      <c r="A92" s="54" t="s">
        <v>7025</v>
      </c>
      <c r="B92" s="54" t="s">
        <v>8836</v>
      </c>
      <c r="C92" s="4" t="s">
        <v>14942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1857</v>
      </c>
      <c r="K92" s="31">
        <v>1860</v>
      </c>
      <c r="L92" s="31">
        <v>1870</v>
      </c>
      <c r="N92" s="54" t="s">
        <v>5744</v>
      </c>
      <c r="O92" s="4"/>
      <c r="Q92" s="4"/>
    </row>
    <row r="93" spans="1:17">
      <c r="A93" s="54" t="s">
        <v>7570</v>
      </c>
      <c r="B93" s="54" t="s">
        <v>2462</v>
      </c>
      <c r="C93" s="4" t="s">
        <v>14943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2098</v>
      </c>
      <c r="K93" s="31">
        <v>2136</v>
      </c>
      <c r="L93" s="31">
        <v>2145</v>
      </c>
      <c r="N93" s="54" t="s">
        <v>5744</v>
      </c>
      <c r="O93" s="4"/>
      <c r="Q93" s="4"/>
    </row>
    <row r="94" spans="1:17">
      <c r="A94" s="54" t="s">
        <v>7572</v>
      </c>
      <c r="B94" s="54" t="s">
        <v>14963</v>
      </c>
      <c r="C94" s="4" t="s">
        <v>14944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1887</v>
      </c>
      <c r="K94" s="31">
        <v>2021</v>
      </c>
      <c r="L94" s="31">
        <v>2068</v>
      </c>
      <c r="N94" s="54" t="s">
        <v>5744</v>
      </c>
      <c r="O94" s="4"/>
      <c r="Q94" s="4"/>
    </row>
    <row r="95" spans="1:17">
      <c r="A95" s="54" t="s">
        <v>7573</v>
      </c>
      <c r="B95" s="54" t="s">
        <v>14962</v>
      </c>
      <c r="C95" s="4" t="s">
        <v>14945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1943</v>
      </c>
      <c r="K95" s="31">
        <v>2022</v>
      </c>
      <c r="L95" s="31">
        <v>2091</v>
      </c>
      <c r="N95" s="54" t="s">
        <v>5744</v>
      </c>
      <c r="O95" s="4"/>
      <c r="Q95" s="4"/>
    </row>
    <row r="96" spans="1:17">
      <c r="A96" s="54" t="s">
        <v>5798</v>
      </c>
      <c r="B96" s="54" t="s">
        <v>2398</v>
      </c>
      <c r="C96" s="4" t="s">
        <v>14946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2081</v>
      </c>
      <c r="K96" s="31">
        <v>2051</v>
      </c>
      <c r="L96" s="31">
        <v>2083</v>
      </c>
      <c r="N96" s="54" t="s">
        <v>5744</v>
      </c>
      <c r="O96" s="4"/>
      <c r="Q96" s="4"/>
    </row>
    <row r="97" spans="1:17">
      <c r="A97" s="54" t="s">
        <v>5799</v>
      </c>
      <c r="B97" s="54" t="s">
        <v>4398</v>
      </c>
      <c r="C97" s="4" t="s">
        <v>14947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2018</v>
      </c>
      <c r="K97" s="31">
        <v>2062</v>
      </c>
      <c r="L97" s="31">
        <v>2062</v>
      </c>
      <c r="N97" s="54" t="s">
        <v>5744</v>
      </c>
      <c r="O97" s="4"/>
      <c r="Q97" s="4"/>
    </row>
    <row r="98" spans="1:17">
      <c r="A98" s="54" t="s">
        <v>5801</v>
      </c>
      <c r="B98" s="54" t="s">
        <v>14961</v>
      </c>
      <c r="C98" s="4" t="s">
        <v>14948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1549</v>
      </c>
      <c r="K98" s="31">
        <v>1645</v>
      </c>
      <c r="L98" s="31">
        <v>1752</v>
      </c>
      <c r="N98" s="54" t="s">
        <v>5744</v>
      </c>
      <c r="O98" s="4"/>
      <c r="Q98" s="4"/>
    </row>
    <row r="99" spans="1:17">
      <c r="A99" s="54" t="s">
        <v>5927</v>
      </c>
      <c r="B99" s="54" t="s">
        <v>14960</v>
      </c>
      <c r="C99" s="4" t="s">
        <v>14949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1602</v>
      </c>
      <c r="K99" s="31">
        <v>1597</v>
      </c>
      <c r="L99" s="31">
        <v>1644</v>
      </c>
      <c r="N99" s="54" t="s">
        <v>5744</v>
      </c>
      <c r="O99" s="4"/>
      <c r="Q99" s="4"/>
    </row>
    <row r="100" spans="1:17">
      <c r="A100" s="54" t="s">
        <v>5929</v>
      </c>
      <c r="B100" s="54" t="s">
        <v>14959</v>
      </c>
      <c r="C100" s="4" t="s">
        <v>14950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1686</v>
      </c>
      <c r="K100" s="31">
        <v>1685</v>
      </c>
      <c r="L100" s="31">
        <v>1661</v>
      </c>
      <c r="N100" s="54" t="s">
        <v>5744</v>
      </c>
      <c r="O100" s="4"/>
      <c r="Q100" s="4"/>
    </row>
    <row r="101" spans="1:17">
      <c r="A101" s="82">
        <v>29</v>
      </c>
      <c r="B101" s="54" t="s">
        <v>14958</v>
      </c>
      <c r="C101" s="4" t="s">
        <v>14951</v>
      </c>
      <c r="D101" s="31">
        <v>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2133</v>
      </c>
      <c r="K101" s="31">
        <v>2188</v>
      </c>
      <c r="L101" s="31">
        <v>2176</v>
      </c>
      <c r="N101" s="54" t="s">
        <v>5744</v>
      </c>
      <c r="O101" s="4"/>
      <c r="Q101" s="4"/>
    </row>
    <row r="102" spans="1:17">
      <c r="A102" s="82">
        <v>30</v>
      </c>
      <c r="B102" s="54" t="s">
        <v>14957</v>
      </c>
      <c r="C102" s="4" t="s">
        <v>14952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2023</v>
      </c>
      <c r="K102" s="31">
        <v>2099</v>
      </c>
      <c r="L102" s="31">
        <v>2111</v>
      </c>
      <c r="N102" s="54" t="s">
        <v>5744</v>
      </c>
      <c r="O102" s="4"/>
      <c r="Q102" s="4"/>
    </row>
    <row r="103" spans="1:17">
      <c r="A103" s="82">
        <v>31</v>
      </c>
      <c r="B103" s="54" t="s">
        <v>14956</v>
      </c>
      <c r="C103" s="4" t="s">
        <v>14953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1511</v>
      </c>
      <c r="K103" s="31">
        <v>1736</v>
      </c>
      <c r="L103" s="31">
        <v>1825</v>
      </c>
      <c r="N103" s="54" t="s">
        <v>5744</v>
      </c>
      <c r="O103" s="4"/>
      <c r="Q103" s="4"/>
    </row>
    <row r="104" spans="1:17">
      <c r="A104" s="82">
        <v>32</v>
      </c>
      <c r="B104" s="54" t="s">
        <v>14955</v>
      </c>
      <c r="C104" s="4" t="s">
        <v>14954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2029</v>
      </c>
      <c r="K104" s="31">
        <v>2040</v>
      </c>
      <c r="L104" s="31">
        <v>2052</v>
      </c>
      <c r="N104" s="54" t="s">
        <v>5744</v>
      </c>
      <c r="O104" s="4"/>
      <c r="Q104" s="4"/>
    </row>
    <row r="105" spans="1:17">
      <c r="D105" s="574"/>
      <c r="E105" s="574"/>
      <c r="F105" s="574"/>
      <c r="G105" s="574"/>
      <c r="H105" s="574"/>
      <c r="I105" s="574"/>
      <c r="J105" s="574"/>
      <c r="K105" s="574"/>
      <c r="L105" s="574"/>
    </row>
    <row r="106" spans="1:17">
      <c r="A106" s="54" t="s">
        <v>2463</v>
      </c>
      <c r="D106" s="572">
        <f t="shared" ref="D106:G106" si="83">SUM(D73:D104)</f>
        <v>66804</v>
      </c>
      <c r="E106" s="572">
        <f t="shared" si="83"/>
        <v>68087</v>
      </c>
      <c r="F106" s="572">
        <f t="shared" si="83"/>
        <v>68019</v>
      </c>
      <c r="G106" s="572">
        <f t="shared" si="83"/>
        <v>67966</v>
      </c>
      <c r="H106" s="572">
        <f>SUM(H73:H104)</f>
        <v>67770</v>
      </c>
      <c r="I106" s="572">
        <f t="shared" ref="I106:J106" si="84">SUM(I73:I104)</f>
        <v>66739</v>
      </c>
      <c r="J106" s="572">
        <f t="shared" si="84"/>
        <v>65825</v>
      </c>
      <c r="K106" s="572">
        <f t="shared" ref="K106:L106" si="85">SUM(K73:K104)</f>
        <v>67478</v>
      </c>
      <c r="L106" s="572">
        <f t="shared" si="85"/>
        <v>68969</v>
      </c>
    </row>
    <row r="107" spans="1:17">
      <c r="A107" s="54"/>
      <c r="D107" s="572"/>
      <c r="E107" s="572"/>
      <c r="F107" s="572"/>
      <c r="G107" s="572"/>
      <c r="H107" s="572"/>
      <c r="I107" s="572"/>
      <c r="J107" s="572"/>
      <c r="K107" s="572"/>
      <c r="L107" s="572"/>
    </row>
    <row r="108" spans="1:17">
      <c r="A108" s="54" t="s">
        <v>14922</v>
      </c>
      <c r="D108" s="572"/>
      <c r="E108" s="572"/>
      <c r="F108" s="572"/>
      <c r="G108" s="572"/>
      <c r="H108" s="572"/>
      <c r="I108" s="572"/>
      <c r="J108" s="572"/>
      <c r="K108" s="572"/>
      <c r="L108" s="572"/>
    </row>
    <row r="109" spans="1:17">
      <c r="A109" s="54"/>
      <c r="B109" s="54"/>
      <c r="D109" s="580"/>
      <c r="E109" s="580"/>
      <c r="F109" s="580"/>
      <c r="G109" s="580"/>
      <c r="H109" s="580"/>
      <c r="I109" s="580"/>
      <c r="J109" s="580"/>
      <c r="K109" s="580"/>
      <c r="L109" s="580"/>
    </row>
    <row r="110" spans="1:17">
      <c r="A110" s="54"/>
      <c r="B110" s="54"/>
      <c r="D110" s="580"/>
      <c r="E110" s="580"/>
      <c r="F110" s="580"/>
      <c r="G110" s="580"/>
      <c r="H110" s="580"/>
      <c r="I110" s="580"/>
      <c r="J110" s="580"/>
      <c r="K110" s="580"/>
      <c r="L110" s="580"/>
    </row>
    <row r="111" spans="1:17">
      <c r="E111" s="42" t="s">
        <v>2303</v>
      </c>
      <c r="F111" s="42"/>
      <c r="G111" s="42"/>
      <c r="H111" s="42"/>
      <c r="I111" s="42"/>
      <c r="J111" s="42"/>
      <c r="K111" s="42"/>
      <c r="L111" s="42"/>
      <c r="M111" s="65"/>
      <c r="N111" s="66" t="s">
        <v>13319</v>
      </c>
    </row>
    <row r="112" spans="1:17">
      <c r="D112" s="55">
        <v>2010</v>
      </c>
      <c r="E112" s="55">
        <v>2011</v>
      </c>
      <c r="F112" s="55">
        <v>2012</v>
      </c>
      <c r="G112" s="55">
        <v>2013</v>
      </c>
      <c r="H112" s="55">
        <v>2014</v>
      </c>
      <c r="I112" s="55">
        <v>2015</v>
      </c>
      <c r="J112" s="55">
        <v>2016</v>
      </c>
      <c r="K112" s="55">
        <v>2017</v>
      </c>
      <c r="L112" s="55">
        <v>2018</v>
      </c>
      <c r="M112" s="65"/>
      <c r="N112" s="67" t="s">
        <v>2304</v>
      </c>
    </row>
    <row r="113" spans="1:17">
      <c r="A113" s="54" t="s">
        <v>5892</v>
      </c>
      <c r="D113" s="572">
        <f t="shared" ref="D113:I113" si="86">SUM(D114:D140)</f>
        <v>65296</v>
      </c>
      <c r="E113" s="572">
        <f t="shared" si="86"/>
        <v>65153</v>
      </c>
      <c r="F113" s="572">
        <f t="shared" si="86"/>
        <v>65892</v>
      </c>
      <c r="G113" s="572">
        <f t="shared" si="86"/>
        <v>66361</v>
      </c>
      <c r="H113" s="572">
        <f t="shared" si="86"/>
        <v>66310</v>
      </c>
      <c r="I113" s="572">
        <f t="shared" si="86"/>
        <v>65422</v>
      </c>
      <c r="J113" s="572">
        <f t="shared" ref="J113:K113" si="87">SUM(J114:J140)</f>
        <v>65175</v>
      </c>
      <c r="K113" s="572">
        <f t="shared" si="87"/>
        <v>68319</v>
      </c>
      <c r="L113" s="572">
        <f t="shared" ref="L113" si="88">SUM(L114:L140)</f>
        <v>67061</v>
      </c>
    </row>
    <row r="114" spans="1:17">
      <c r="A114" s="54" t="s">
        <v>6957</v>
      </c>
      <c r="B114" s="54" t="s">
        <v>7730</v>
      </c>
      <c r="C114" s="4" t="s">
        <v>12340</v>
      </c>
      <c r="D114" s="572">
        <v>2509</v>
      </c>
      <c r="E114" s="572">
        <v>2504</v>
      </c>
      <c r="F114" s="572">
        <v>2536</v>
      </c>
      <c r="G114" s="48">
        <v>2519</v>
      </c>
      <c r="H114" s="48">
        <v>2507</v>
      </c>
      <c r="I114" s="48">
        <v>2468</v>
      </c>
      <c r="J114" s="48">
        <v>2451</v>
      </c>
      <c r="K114" s="48">
        <v>2558</v>
      </c>
      <c r="L114" s="48">
        <v>2489</v>
      </c>
      <c r="N114" s="54" t="s">
        <v>5737</v>
      </c>
      <c r="O114" s="4"/>
      <c r="Q114" s="4"/>
    </row>
    <row r="115" spans="1:17">
      <c r="A115" s="54" t="s">
        <v>6959</v>
      </c>
      <c r="B115" s="54" t="s">
        <v>7731</v>
      </c>
      <c r="C115" s="4" t="s">
        <v>12341</v>
      </c>
      <c r="D115" s="572">
        <v>1425</v>
      </c>
      <c r="E115" s="572">
        <v>1407</v>
      </c>
      <c r="F115" s="572">
        <v>1410</v>
      </c>
      <c r="G115" s="48">
        <v>1415</v>
      </c>
      <c r="H115" s="48">
        <v>1394</v>
      </c>
      <c r="I115" s="48">
        <v>1352</v>
      </c>
      <c r="J115" s="48">
        <v>1351</v>
      </c>
      <c r="K115" s="48">
        <v>1416</v>
      </c>
      <c r="L115" s="48">
        <v>1377</v>
      </c>
      <c r="N115" s="54" t="s">
        <v>5737</v>
      </c>
      <c r="O115" s="4"/>
      <c r="Q115" s="4"/>
    </row>
    <row r="116" spans="1:17">
      <c r="A116" s="54" t="s">
        <v>6961</v>
      </c>
      <c r="B116" s="54" t="s">
        <v>7732</v>
      </c>
      <c r="C116" s="4" t="s">
        <v>12342</v>
      </c>
      <c r="D116" s="572">
        <v>1283</v>
      </c>
      <c r="E116" s="572">
        <v>1274</v>
      </c>
      <c r="F116" s="572">
        <v>1283</v>
      </c>
      <c r="G116" s="48">
        <v>1318</v>
      </c>
      <c r="H116" s="48">
        <v>1317</v>
      </c>
      <c r="I116" s="48">
        <v>1305</v>
      </c>
      <c r="J116" s="48">
        <v>1293</v>
      </c>
      <c r="K116" s="48">
        <v>1329</v>
      </c>
      <c r="L116" s="48">
        <v>1299</v>
      </c>
      <c r="N116" s="54" t="s">
        <v>5737</v>
      </c>
      <c r="O116" s="4"/>
      <c r="Q116" s="4"/>
    </row>
    <row r="117" spans="1:17">
      <c r="A117" s="54" t="s">
        <v>6963</v>
      </c>
      <c r="B117" s="54" t="s">
        <v>7733</v>
      </c>
      <c r="C117" s="4" t="s">
        <v>12343</v>
      </c>
      <c r="D117" s="572">
        <v>1475</v>
      </c>
      <c r="E117" s="572">
        <v>1474</v>
      </c>
      <c r="F117" s="572">
        <v>1474</v>
      </c>
      <c r="G117" s="48">
        <v>1480</v>
      </c>
      <c r="H117" s="48">
        <v>1471</v>
      </c>
      <c r="I117" s="48">
        <v>1455</v>
      </c>
      <c r="J117" s="48">
        <v>1430</v>
      </c>
      <c r="K117" s="48">
        <v>1499</v>
      </c>
      <c r="L117" s="48">
        <v>1488</v>
      </c>
      <c r="N117" s="54" t="s">
        <v>5737</v>
      </c>
      <c r="O117" s="4"/>
      <c r="Q117" s="4"/>
    </row>
    <row r="118" spans="1:17">
      <c r="A118" s="54" t="s">
        <v>6965</v>
      </c>
      <c r="B118" s="54" t="s">
        <v>7734</v>
      </c>
      <c r="C118" s="4" t="s">
        <v>12344</v>
      </c>
      <c r="D118" s="572">
        <v>2548</v>
      </c>
      <c r="E118" s="572">
        <v>2512</v>
      </c>
      <c r="F118" s="572">
        <v>2558</v>
      </c>
      <c r="G118" s="48">
        <v>2563</v>
      </c>
      <c r="H118" s="48">
        <v>2540</v>
      </c>
      <c r="I118" s="48">
        <v>2496</v>
      </c>
      <c r="J118" s="48">
        <v>2508</v>
      </c>
      <c r="K118" s="48">
        <v>2580</v>
      </c>
      <c r="L118" s="48">
        <v>2563</v>
      </c>
      <c r="N118" s="54" t="s">
        <v>5737</v>
      </c>
      <c r="O118" s="4"/>
      <c r="Q118" s="4"/>
    </row>
    <row r="119" spans="1:17">
      <c r="A119" s="54" t="s">
        <v>6997</v>
      </c>
      <c r="B119" s="54" t="s">
        <v>7735</v>
      </c>
      <c r="C119" s="4" t="s">
        <v>12345</v>
      </c>
      <c r="D119" s="572">
        <v>1576</v>
      </c>
      <c r="E119" s="572">
        <v>1585</v>
      </c>
      <c r="F119" s="572">
        <v>1606</v>
      </c>
      <c r="G119" s="48">
        <v>1627</v>
      </c>
      <c r="H119" s="48">
        <v>1589</v>
      </c>
      <c r="I119" s="48">
        <v>1580</v>
      </c>
      <c r="J119" s="48">
        <v>1548</v>
      </c>
      <c r="K119" s="48">
        <v>1618</v>
      </c>
      <c r="L119" s="48">
        <v>1615</v>
      </c>
      <c r="N119" s="54" t="s">
        <v>5737</v>
      </c>
      <c r="O119" s="4"/>
      <c r="Q119" s="4"/>
    </row>
    <row r="120" spans="1:17">
      <c r="A120" s="54" t="s">
        <v>6999</v>
      </c>
      <c r="B120" s="54" t="s">
        <v>7736</v>
      </c>
      <c r="C120" s="4" t="s">
        <v>12346</v>
      </c>
      <c r="D120" s="572">
        <v>1327</v>
      </c>
      <c r="E120" s="572">
        <v>1320</v>
      </c>
      <c r="F120" s="572">
        <v>1343</v>
      </c>
      <c r="G120" s="48">
        <v>1324</v>
      </c>
      <c r="H120" s="48">
        <v>1313</v>
      </c>
      <c r="I120" s="48">
        <v>1306</v>
      </c>
      <c r="J120" s="48">
        <v>1307</v>
      </c>
      <c r="K120" s="48">
        <v>1342</v>
      </c>
      <c r="L120" s="48">
        <v>1313</v>
      </c>
      <c r="N120" s="54" t="s">
        <v>5737</v>
      </c>
      <c r="O120" s="4"/>
      <c r="Q120" s="4"/>
    </row>
    <row r="121" spans="1:17">
      <c r="A121" s="54" t="s">
        <v>7001</v>
      </c>
      <c r="B121" s="54" t="s">
        <v>7737</v>
      </c>
      <c r="C121" s="4" t="s">
        <v>12347</v>
      </c>
      <c r="D121" s="572">
        <v>1379</v>
      </c>
      <c r="E121" s="572">
        <v>1395</v>
      </c>
      <c r="F121" s="572">
        <v>1429</v>
      </c>
      <c r="G121" s="48">
        <v>1470</v>
      </c>
      <c r="H121" s="48">
        <v>1465</v>
      </c>
      <c r="I121" s="48">
        <v>1449</v>
      </c>
      <c r="J121" s="48">
        <v>1437</v>
      </c>
      <c r="K121" s="48">
        <v>1493</v>
      </c>
      <c r="L121" s="48">
        <v>1460</v>
      </c>
      <c r="N121" s="54" t="s">
        <v>5737</v>
      </c>
      <c r="O121" s="4"/>
      <c r="Q121" s="4"/>
    </row>
    <row r="122" spans="1:17">
      <c r="A122" s="54" t="s">
        <v>7003</v>
      </c>
      <c r="B122" s="54" t="s">
        <v>7738</v>
      </c>
      <c r="C122" s="4" t="s">
        <v>12348</v>
      </c>
      <c r="D122" s="572">
        <v>2734</v>
      </c>
      <c r="E122" s="572">
        <v>2691</v>
      </c>
      <c r="F122" s="572">
        <v>2779</v>
      </c>
      <c r="G122" s="48">
        <v>2754</v>
      </c>
      <c r="H122" s="48">
        <v>2736</v>
      </c>
      <c r="I122" s="48">
        <v>2681</v>
      </c>
      <c r="J122" s="48">
        <v>2593</v>
      </c>
      <c r="K122" s="48">
        <v>2691</v>
      </c>
      <c r="L122" s="48">
        <v>2647</v>
      </c>
      <c r="N122" s="54" t="s">
        <v>5737</v>
      </c>
      <c r="O122" s="4"/>
      <c r="Q122" s="4"/>
    </row>
    <row r="123" spans="1:17">
      <c r="A123" s="54" t="s">
        <v>7005</v>
      </c>
      <c r="B123" s="54" t="s">
        <v>5901</v>
      </c>
      <c r="C123" s="4" t="s">
        <v>12349</v>
      </c>
      <c r="D123" s="572">
        <v>3798</v>
      </c>
      <c r="E123" s="572">
        <v>3808</v>
      </c>
      <c r="F123" s="572">
        <v>3791</v>
      </c>
      <c r="G123" s="48">
        <v>3850</v>
      </c>
      <c r="H123" s="48">
        <v>3856</v>
      </c>
      <c r="I123" s="48">
        <v>3817</v>
      </c>
      <c r="J123" s="48">
        <v>3846</v>
      </c>
      <c r="K123" s="48">
        <v>4072</v>
      </c>
      <c r="L123" s="48">
        <v>3964</v>
      </c>
      <c r="N123" s="54" t="s">
        <v>5737</v>
      </c>
      <c r="O123" s="4"/>
      <c r="Q123" s="4"/>
    </row>
    <row r="124" spans="1:17">
      <c r="A124" s="54" t="s">
        <v>7007</v>
      </c>
      <c r="B124" s="54" t="s">
        <v>5902</v>
      </c>
      <c r="C124" s="4" t="s">
        <v>12350</v>
      </c>
      <c r="D124" s="572">
        <v>2561</v>
      </c>
      <c r="E124" s="572">
        <v>2514</v>
      </c>
      <c r="F124" s="572">
        <v>2524</v>
      </c>
      <c r="G124" s="48">
        <v>2634</v>
      </c>
      <c r="H124" s="48">
        <v>2685</v>
      </c>
      <c r="I124" s="48">
        <v>2616</v>
      </c>
      <c r="J124" s="48">
        <v>2669</v>
      </c>
      <c r="K124" s="48">
        <v>2895</v>
      </c>
      <c r="L124" s="48">
        <v>2872</v>
      </c>
      <c r="N124" s="54" t="s">
        <v>5737</v>
      </c>
      <c r="O124" s="4"/>
      <c r="Q124" s="4"/>
    </row>
    <row r="125" spans="1:17">
      <c r="A125" s="54" t="s">
        <v>7009</v>
      </c>
      <c r="B125" s="54" t="s">
        <v>5903</v>
      </c>
      <c r="C125" s="4" t="s">
        <v>12351</v>
      </c>
      <c r="D125" s="572">
        <v>4245</v>
      </c>
      <c r="E125" s="572">
        <v>4264</v>
      </c>
      <c r="F125" s="572">
        <v>4255</v>
      </c>
      <c r="G125" s="48">
        <v>4184</v>
      </c>
      <c r="H125" s="48">
        <v>4291</v>
      </c>
      <c r="I125" s="48">
        <v>4195</v>
      </c>
      <c r="J125" s="48">
        <v>4167</v>
      </c>
      <c r="K125" s="48">
        <v>4416</v>
      </c>
      <c r="L125" s="48">
        <v>4388</v>
      </c>
      <c r="N125" s="54" t="s">
        <v>5737</v>
      </c>
      <c r="O125" s="4"/>
      <c r="Q125" s="4"/>
    </row>
    <row r="126" spans="1:17">
      <c r="A126" s="54" t="s">
        <v>7011</v>
      </c>
      <c r="B126" s="54" t="s">
        <v>5904</v>
      </c>
      <c r="C126" s="4" t="s">
        <v>12352</v>
      </c>
      <c r="D126" s="572">
        <v>1344</v>
      </c>
      <c r="E126" s="572">
        <v>1354</v>
      </c>
      <c r="F126" s="572">
        <v>1349</v>
      </c>
      <c r="G126" s="48">
        <v>1330</v>
      </c>
      <c r="H126" s="48">
        <v>1354</v>
      </c>
      <c r="I126" s="48">
        <v>1330</v>
      </c>
      <c r="J126" s="48">
        <v>1375</v>
      </c>
      <c r="K126" s="48">
        <v>1443</v>
      </c>
      <c r="L126" s="48">
        <v>1394</v>
      </c>
      <c r="N126" s="54" t="s">
        <v>5737</v>
      </c>
      <c r="O126" s="4"/>
      <c r="Q126" s="4"/>
    </row>
    <row r="127" spans="1:17">
      <c r="A127" s="54" t="s">
        <v>7013</v>
      </c>
      <c r="B127" s="54" t="s">
        <v>5905</v>
      </c>
      <c r="C127" s="4" t="s">
        <v>12353</v>
      </c>
      <c r="D127" s="572">
        <v>1414</v>
      </c>
      <c r="E127" s="572">
        <v>1428</v>
      </c>
      <c r="F127" s="572">
        <v>1425</v>
      </c>
      <c r="G127" s="48">
        <v>1445</v>
      </c>
      <c r="H127" s="48">
        <v>1413</v>
      </c>
      <c r="I127" s="48">
        <v>1416</v>
      </c>
      <c r="J127" s="48">
        <v>1422</v>
      </c>
      <c r="K127" s="48">
        <v>1467</v>
      </c>
      <c r="L127" s="48">
        <v>1450</v>
      </c>
      <c r="N127" s="54" t="s">
        <v>5737</v>
      </c>
      <c r="O127" s="4"/>
      <c r="Q127" s="4"/>
    </row>
    <row r="128" spans="1:17">
      <c r="A128" s="54" t="s">
        <v>7015</v>
      </c>
      <c r="B128" s="54" t="s">
        <v>5906</v>
      </c>
      <c r="C128" s="4" t="s">
        <v>12354</v>
      </c>
      <c r="D128" s="572">
        <v>3026</v>
      </c>
      <c r="E128" s="572">
        <v>3018</v>
      </c>
      <c r="F128" s="572">
        <v>3137</v>
      </c>
      <c r="G128" s="48">
        <v>3214</v>
      </c>
      <c r="H128" s="48">
        <v>3229</v>
      </c>
      <c r="I128" s="48">
        <v>3209</v>
      </c>
      <c r="J128" s="48">
        <v>3211</v>
      </c>
      <c r="K128" s="48">
        <v>3370</v>
      </c>
      <c r="L128" s="48">
        <v>3290</v>
      </c>
      <c r="N128" s="54" t="s">
        <v>5737</v>
      </c>
      <c r="O128" s="4"/>
      <c r="Q128" s="4"/>
    </row>
    <row r="129" spans="1:17">
      <c r="A129" s="54" t="s">
        <v>7017</v>
      </c>
      <c r="B129" s="54" t="s">
        <v>5907</v>
      </c>
      <c r="C129" s="4" t="s">
        <v>12355</v>
      </c>
      <c r="D129" s="572">
        <v>4031</v>
      </c>
      <c r="E129" s="572">
        <v>3987</v>
      </c>
      <c r="F129" s="572">
        <v>3951</v>
      </c>
      <c r="G129" s="48">
        <v>3962</v>
      </c>
      <c r="H129" s="48">
        <v>3999</v>
      </c>
      <c r="I129" s="48">
        <v>3939</v>
      </c>
      <c r="J129" s="48">
        <v>3914</v>
      </c>
      <c r="K129" s="48">
        <v>4063</v>
      </c>
      <c r="L129" s="48">
        <v>3991</v>
      </c>
      <c r="N129" s="54" t="s">
        <v>5737</v>
      </c>
      <c r="O129" s="4"/>
      <c r="Q129" s="4"/>
    </row>
    <row r="130" spans="1:17">
      <c r="A130" s="54" t="s">
        <v>7019</v>
      </c>
      <c r="B130" s="54" t="s">
        <v>5921</v>
      </c>
      <c r="C130" s="4" t="s">
        <v>12356</v>
      </c>
      <c r="D130" s="572">
        <v>3947</v>
      </c>
      <c r="E130" s="572">
        <v>3939</v>
      </c>
      <c r="F130" s="572">
        <v>3997</v>
      </c>
      <c r="G130" s="48">
        <v>4063</v>
      </c>
      <c r="H130" s="48">
        <v>4076</v>
      </c>
      <c r="I130" s="48">
        <v>4068</v>
      </c>
      <c r="J130" s="48">
        <v>4009</v>
      </c>
      <c r="K130" s="48">
        <v>4315</v>
      </c>
      <c r="L130" s="48">
        <v>4244</v>
      </c>
      <c r="N130" s="54" t="s">
        <v>5737</v>
      </c>
      <c r="O130" s="4"/>
      <c r="Q130" s="4"/>
    </row>
    <row r="131" spans="1:17">
      <c r="A131" s="54" t="s">
        <v>7021</v>
      </c>
      <c r="B131" s="54" t="s">
        <v>4170</v>
      </c>
      <c r="C131" s="4" t="s">
        <v>12357</v>
      </c>
      <c r="D131" s="572">
        <v>1523</v>
      </c>
      <c r="E131" s="572">
        <v>1508</v>
      </c>
      <c r="F131" s="572">
        <v>1510</v>
      </c>
      <c r="G131" s="48">
        <v>1525</v>
      </c>
      <c r="H131" s="48">
        <v>1502</v>
      </c>
      <c r="I131" s="48">
        <v>1491</v>
      </c>
      <c r="J131" s="48">
        <v>1512</v>
      </c>
      <c r="K131" s="48">
        <v>1542</v>
      </c>
      <c r="L131" s="48">
        <v>1506</v>
      </c>
      <c r="N131" s="54" t="s">
        <v>5737</v>
      </c>
      <c r="O131" s="4"/>
      <c r="Q131" s="4"/>
    </row>
    <row r="132" spans="1:17">
      <c r="A132" s="54" t="s">
        <v>7023</v>
      </c>
      <c r="B132" s="54" t="s">
        <v>4171</v>
      </c>
      <c r="C132" s="4" t="s">
        <v>12358</v>
      </c>
      <c r="D132" s="572">
        <v>3640</v>
      </c>
      <c r="E132" s="572">
        <v>3650</v>
      </c>
      <c r="F132" s="572">
        <v>3646</v>
      </c>
      <c r="G132" s="48">
        <v>3742</v>
      </c>
      <c r="H132" s="48">
        <v>3697</v>
      </c>
      <c r="I132" s="48">
        <v>3610</v>
      </c>
      <c r="J132" s="48">
        <v>3553</v>
      </c>
      <c r="K132" s="48">
        <v>3725</v>
      </c>
      <c r="L132" s="48">
        <v>3664</v>
      </c>
      <c r="N132" s="54" t="s">
        <v>5737</v>
      </c>
      <c r="O132" s="4"/>
      <c r="Q132" s="4"/>
    </row>
    <row r="133" spans="1:17">
      <c r="A133" s="54" t="s">
        <v>7025</v>
      </c>
      <c r="B133" s="54" t="s">
        <v>4172</v>
      </c>
      <c r="C133" s="4" t="s">
        <v>12359</v>
      </c>
      <c r="D133" s="572">
        <v>2825</v>
      </c>
      <c r="E133" s="572">
        <v>2843</v>
      </c>
      <c r="F133" s="572">
        <v>3036</v>
      </c>
      <c r="G133" s="48">
        <v>3099</v>
      </c>
      <c r="H133" s="48">
        <v>3194</v>
      </c>
      <c r="I133" s="48">
        <v>3212</v>
      </c>
      <c r="J133" s="48">
        <v>3140</v>
      </c>
      <c r="K133" s="48">
        <v>3233</v>
      </c>
      <c r="L133" s="48">
        <v>3248</v>
      </c>
      <c r="N133" s="54" t="s">
        <v>5737</v>
      </c>
      <c r="O133" s="4"/>
      <c r="Q133" s="4"/>
    </row>
    <row r="134" spans="1:17">
      <c r="A134" s="54" t="s">
        <v>7570</v>
      </c>
      <c r="B134" s="54" t="s">
        <v>4173</v>
      </c>
      <c r="C134" s="4" t="s">
        <v>12360</v>
      </c>
      <c r="D134" s="572">
        <v>2772</v>
      </c>
      <c r="E134" s="572">
        <v>2758</v>
      </c>
      <c r="F134" s="572">
        <v>2790</v>
      </c>
      <c r="G134" s="48">
        <v>2782</v>
      </c>
      <c r="H134" s="48">
        <v>2805</v>
      </c>
      <c r="I134" s="48">
        <v>2769</v>
      </c>
      <c r="J134" s="48">
        <v>2772</v>
      </c>
      <c r="K134" s="48">
        <v>2888</v>
      </c>
      <c r="L134" s="48">
        <v>2817</v>
      </c>
      <c r="N134" s="54" t="s">
        <v>5737</v>
      </c>
      <c r="O134" s="4"/>
      <c r="Q134" s="4"/>
    </row>
    <row r="135" spans="1:17">
      <c r="A135" s="54" t="s">
        <v>7572</v>
      </c>
      <c r="B135" s="54" t="s">
        <v>4174</v>
      </c>
      <c r="C135" s="4" t="s">
        <v>12361</v>
      </c>
      <c r="D135" s="572">
        <v>2582</v>
      </c>
      <c r="E135" s="572">
        <v>2579</v>
      </c>
      <c r="F135" s="572">
        <v>2600</v>
      </c>
      <c r="G135" s="48">
        <v>2626</v>
      </c>
      <c r="H135" s="48">
        <v>2583</v>
      </c>
      <c r="I135" s="48">
        <v>2509</v>
      </c>
      <c r="J135" s="48">
        <v>2478</v>
      </c>
      <c r="K135" s="48">
        <v>2597</v>
      </c>
      <c r="L135" s="48">
        <v>2547</v>
      </c>
      <c r="N135" s="54" t="s">
        <v>5737</v>
      </c>
      <c r="O135" s="4"/>
      <c r="Q135" s="4"/>
    </row>
    <row r="136" spans="1:17">
      <c r="A136" s="54" t="s">
        <v>7573</v>
      </c>
      <c r="B136" s="54" t="s">
        <v>4175</v>
      </c>
      <c r="C136" s="4" t="s">
        <v>12362</v>
      </c>
      <c r="D136" s="572">
        <v>1291</v>
      </c>
      <c r="E136" s="572">
        <v>1288</v>
      </c>
      <c r="F136" s="572">
        <v>1313</v>
      </c>
      <c r="G136" s="48">
        <v>1320</v>
      </c>
      <c r="H136" s="48">
        <v>1286</v>
      </c>
      <c r="I136" s="48">
        <v>1290</v>
      </c>
      <c r="J136" s="48">
        <v>1287</v>
      </c>
      <c r="K136" s="48">
        <v>1343</v>
      </c>
      <c r="L136" s="48">
        <v>1292</v>
      </c>
      <c r="N136" s="54" t="s">
        <v>5737</v>
      </c>
      <c r="O136" s="4"/>
      <c r="Q136" s="4"/>
    </row>
    <row r="137" spans="1:17">
      <c r="A137" s="54" t="s">
        <v>5798</v>
      </c>
      <c r="B137" s="54" t="s">
        <v>4176</v>
      </c>
      <c r="C137" s="4" t="s">
        <v>12363</v>
      </c>
      <c r="D137" s="572">
        <v>2866</v>
      </c>
      <c r="E137" s="572">
        <v>2859</v>
      </c>
      <c r="F137" s="572">
        <v>2887</v>
      </c>
      <c r="G137" s="48">
        <v>2875</v>
      </c>
      <c r="H137" s="48">
        <v>2881</v>
      </c>
      <c r="I137" s="48">
        <v>2850</v>
      </c>
      <c r="J137" s="48">
        <v>2910</v>
      </c>
      <c r="K137" s="48">
        <v>3029</v>
      </c>
      <c r="L137" s="48">
        <v>3012</v>
      </c>
      <c r="N137" s="54" t="s">
        <v>5737</v>
      </c>
      <c r="O137" s="4"/>
      <c r="Q137" s="4"/>
    </row>
    <row r="138" spans="1:17">
      <c r="A138" s="54" t="s">
        <v>5799</v>
      </c>
      <c r="B138" s="54" t="s">
        <v>4177</v>
      </c>
      <c r="C138" s="4" t="s">
        <v>12364</v>
      </c>
      <c r="D138" s="572">
        <v>1483</v>
      </c>
      <c r="E138" s="572">
        <v>1493</v>
      </c>
      <c r="F138" s="572">
        <v>1504</v>
      </c>
      <c r="G138" s="48">
        <v>1510</v>
      </c>
      <c r="H138" s="48">
        <v>1482</v>
      </c>
      <c r="I138" s="48">
        <v>1458</v>
      </c>
      <c r="J138" s="48">
        <v>1449</v>
      </c>
      <c r="K138" s="48">
        <v>1566</v>
      </c>
      <c r="L138" s="48">
        <v>1504</v>
      </c>
      <c r="N138" s="54" t="s">
        <v>5737</v>
      </c>
      <c r="O138" s="4"/>
      <c r="Q138" s="4"/>
    </row>
    <row r="139" spans="1:17">
      <c r="A139" s="54" t="s">
        <v>5801</v>
      </c>
      <c r="B139" s="54" t="s">
        <v>4178</v>
      </c>
      <c r="C139" s="4" t="s">
        <v>12365</v>
      </c>
      <c r="D139" s="572">
        <v>1435</v>
      </c>
      <c r="E139" s="572">
        <v>1426</v>
      </c>
      <c r="F139" s="572">
        <v>1424</v>
      </c>
      <c r="G139" s="48">
        <v>1419</v>
      </c>
      <c r="H139" s="48">
        <v>1404</v>
      </c>
      <c r="I139" s="48">
        <v>1389</v>
      </c>
      <c r="J139" s="48">
        <v>1389</v>
      </c>
      <c r="K139" s="48">
        <v>1435</v>
      </c>
      <c r="L139" s="48">
        <v>1432</v>
      </c>
      <c r="N139" s="54" t="s">
        <v>5737</v>
      </c>
      <c r="O139" s="4"/>
      <c r="Q139" s="4"/>
    </row>
    <row r="140" spans="1:17">
      <c r="A140" s="54" t="s">
        <v>5927</v>
      </c>
      <c r="B140" s="54" t="s">
        <v>1620</v>
      </c>
      <c r="C140" s="4" t="s">
        <v>12366</v>
      </c>
      <c r="D140" s="572">
        <v>4257</v>
      </c>
      <c r="E140" s="572">
        <v>4275</v>
      </c>
      <c r="F140" s="572">
        <v>4335</v>
      </c>
      <c r="G140" s="48">
        <v>4311</v>
      </c>
      <c r="H140" s="48">
        <v>4241</v>
      </c>
      <c r="I140" s="48">
        <v>4162</v>
      </c>
      <c r="J140" s="48">
        <v>4154</v>
      </c>
      <c r="K140" s="48">
        <v>4394</v>
      </c>
      <c r="L140" s="48">
        <v>4195</v>
      </c>
      <c r="N140" s="54" t="s">
        <v>5737</v>
      </c>
      <c r="O140" s="4"/>
      <c r="Q140" s="4"/>
    </row>
    <row r="141" spans="1:17">
      <c r="D141" s="574"/>
      <c r="E141" s="574"/>
      <c r="F141" s="574"/>
      <c r="G141" s="574"/>
      <c r="H141" s="574"/>
      <c r="I141" s="574"/>
      <c r="J141" s="574"/>
      <c r="K141" s="574"/>
      <c r="L141" s="574"/>
    </row>
    <row r="142" spans="1:17">
      <c r="A142" s="54" t="s">
        <v>1621</v>
      </c>
      <c r="D142" s="572">
        <f t="shared" ref="D142:I142" si="89">SUM(D114:D140)</f>
        <v>65296</v>
      </c>
      <c r="E142" s="572">
        <f t="shared" si="89"/>
        <v>65153</v>
      </c>
      <c r="F142" s="572">
        <f t="shared" si="89"/>
        <v>65892</v>
      </c>
      <c r="G142" s="572">
        <f t="shared" si="89"/>
        <v>66361</v>
      </c>
      <c r="H142" s="572">
        <f t="shared" si="89"/>
        <v>66310</v>
      </c>
      <c r="I142" s="572">
        <f t="shared" si="89"/>
        <v>65422</v>
      </c>
      <c r="J142" s="572">
        <f t="shared" ref="J142:K142" si="90">SUM(J114:J140)</f>
        <v>65175</v>
      </c>
      <c r="K142" s="572">
        <f t="shared" si="90"/>
        <v>68319</v>
      </c>
      <c r="L142" s="572">
        <f t="shared" ref="L142" si="91">SUM(L114:L140)</f>
        <v>67061</v>
      </c>
    </row>
    <row r="144" spans="1:17">
      <c r="A144" s="54" t="s">
        <v>1622</v>
      </c>
    </row>
    <row r="145" spans="1:17">
      <c r="A145" s="54"/>
    </row>
    <row r="146" spans="1:17">
      <c r="A146" s="54"/>
    </row>
    <row r="147" spans="1:17">
      <c r="E147" s="42" t="s">
        <v>2303</v>
      </c>
      <c r="F147" s="42"/>
      <c r="G147" s="42"/>
      <c r="H147" s="42"/>
      <c r="I147" s="42"/>
      <c r="J147" s="42"/>
      <c r="K147" s="42"/>
      <c r="L147" s="42"/>
      <c r="M147" s="65"/>
      <c r="N147" s="66" t="s">
        <v>13319</v>
      </c>
    </row>
    <row r="148" spans="1:17">
      <c r="D148" s="55">
        <v>2010</v>
      </c>
      <c r="E148" s="55">
        <v>2011</v>
      </c>
      <c r="F148" s="55">
        <v>2012</v>
      </c>
      <c r="G148" s="55">
        <v>2013</v>
      </c>
      <c r="H148" s="55">
        <v>2014</v>
      </c>
      <c r="I148" s="55">
        <v>2015</v>
      </c>
      <c r="J148" s="55">
        <v>2016</v>
      </c>
      <c r="K148" s="55">
        <v>2017</v>
      </c>
      <c r="L148" s="55">
        <v>2018</v>
      </c>
      <c r="M148" s="65"/>
      <c r="N148" s="67" t="s">
        <v>2304</v>
      </c>
    </row>
    <row r="149" spans="1:17">
      <c r="A149" s="54" t="s">
        <v>1623</v>
      </c>
      <c r="D149" s="572">
        <f>SUM(D150:D167)</f>
        <v>87510</v>
      </c>
      <c r="E149" s="572">
        <f t="shared" ref="E149:K149" si="92">SUM(E150:E167)</f>
        <v>88291</v>
      </c>
      <c r="F149" s="572">
        <f t="shared" si="92"/>
        <v>89781</v>
      </c>
      <c r="G149" s="572">
        <f t="shared" si="92"/>
        <v>90793</v>
      </c>
      <c r="H149" s="572">
        <f t="shared" si="92"/>
        <v>90196</v>
      </c>
      <c r="I149" s="572">
        <f t="shared" si="92"/>
        <v>89522</v>
      </c>
      <c r="J149" s="572">
        <f t="shared" si="92"/>
        <v>86427</v>
      </c>
      <c r="K149" s="572">
        <f t="shared" si="92"/>
        <v>87756</v>
      </c>
      <c r="L149" s="572">
        <f t="shared" ref="L149" si="93">SUM(L150:L167)</f>
        <v>92251</v>
      </c>
    </row>
    <row r="150" spans="1:17">
      <c r="A150" s="54" t="s">
        <v>6957</v>
      </c>
      <c r="B150" s="54" t="s">
        <v>16098</v>
      </c>
      <c r="C150" s="4" t="s">
        <v>16080</v>
      </c>
      <c r="D150" s="572">
        <v>79972</v>
      </c>
      <c r="E150" s="572">
        <v>80788</v>
      </c>
      <c r="F150" s="572">
        <v>82214</v>
      </c>
      <c r="G150" s="48">
        <v>83183</v>
      </c>
      <c r="H150" s="48">
        <v>82626</v>
      </c>
      <c r="I150" s="30">
        <v>82066</v>
      </c>
      <c r="J150" s="30">
        <v>79129</v>
      </c>
      <c r="K150" s="30">
        <v>5196</v>
      </c>
      <c r="L150" s="30">
        <v>5304</v>
      </c>
      <c r="N150" s="54" t="s">
        <v>5739</v>
      </c>
      <c r="O150" s="4"/>
      <c r="Q150" s="4"/>
    </row>
    <row r="151" spans="1:17">
      <c r="A151" s="54" t="s">
        <v>6959</v>
      </c>
      <c r="B151" s="570" t="s">
        <v>16099</v>
      </c>
      <c r="C151" s="4" t="s">
        <v>16081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4619</v>
      </c>
      <c r="L151" s="30">
        <v>4851</v>
      </c>
      <c r="N151" s="54" t="s">
        <v>5739</v>
      </c>
      <c r="O151" s="4"/>
      <c r="Q151" s="4"/>
    </row>
    <row r="152" spans="1:17">
      <c r="A152" s="54" t="s">
        <v>6961</v>
      </c>
      <c r="B152" s="54" t="s">
        <v>1624</v>
      </c>
      <c r="C152" s="4" t="s">
        <v>16082</v>
      </c>
      <c r="D152" s="30">
        <v>0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4931</v>
      </c>
      <c r="L152" s="30">
        <v>5097</v>
      </c>
      <c r="N152" s="54" t="s">
        <v>5739</v>
      </c>
      <c r="O152" s="4"/>
      <c r="Q152" s="4"/>
    </row>
    <row r="153" spans="1:17">
      <c r="A153" s="54" t="s">
        <v>6963</v>
      </c>
      <c r="B153" s="570" t="s">
        <v>16103</v>
      </c>
      <c r="C153" s="4" t="s">
        <v>16083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6312</v>
      </c>
      <c r="L153" s="30">
        <v>6721</v>
      </c>
      <c r="N153" s="54" t="s">
        <v>5739</v>
      </c>
      <c r="O153" s="4"/>
      <c r="Q153" s="4"/>
    </row>
    <row r="154" spans="1:17">
      <c r="A154" s="54" t="s">
        <v>6965</v>
      </c>
      <c r="B154" s="54" t="s">
        <v>16104</v>
      </c>
      <c r="C154" s="4" t="s">
        <v>16084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2373</v>
      </c>
      <c r="L154" s="30">
        <v>2506</v>
      </c>
      <c r="N154" s="54" t="s">
        <v>5739</v>
      </c>
      <c r="O154" s="4"/>
      <c r="Q154" s="4"/>
    </row>
    <row r="155" spans="1:17">
      <c r="A155" s="54" t="s">
        <v>6997</v>
      </c>
      <c r="B155" s="54" t="s">
        <v>3433</v>
      </c>
      <c r="C155" s="4" t="s">
        <v>16085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4826</v>
      </c>
      <c r="L155" s="30">
        <v>5000</v>
      </c>
      <c r="N155" s="54" t="s">
        <v>5739</v>
      </c>
      <c r="O155" s="4"/>
      <c r="Q155" s="4"/>
    </row>
    <row r="156" spans="1:17">
      <c r="A156" s="54" t="s">
        <v>6999</v>
      </c>
      <c r="B156" s="54" t="s">
        <v>8563</v>
      </c>
      <c r="C156" s="4" t="s">
        <v>16086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5124</v>
      </c>
      <c r="L156" s="30">
        <v>5303</v>
      </c>
      <c r="N156" s="54" t="s">
        <v>5739</v>
      </c>
      <c r="O156" s="4"/>
      <c r="Q156" s="4"/>
    </row>
    <row r="157" spans="1:17">
      <c r="A157" s="54" t="s">
        <v>7001</v>
      </c>
      <c r="B157" s="54" t="s">
        <v>4274</v>
      </c>
      <c r="C157" s="4" t="s">
        <v>16087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5096</v>
      </c>
      <c r="L157" s="30">
        <v>5213</v>
      </c>
      <c r="N157" s="54" t="s">
        <v>5739</v>
      </c>
      <c r="O157" s="4"/>
      <c r="Q157" s="4"/>
    </row>
    <row r="158" spans="1:17">
      <c r="A158" s="54" t="s">
        <v>7003</v>
      </c>
      <c r="B158" s="54" t="s">
        <v>16100</v>
      </c>
      <c r="C158" s="4" t="s">
        <v>16088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4451</v>
      </c>
      <c r="L158" s="30">
        <v>4789</v>
      </c>
      <c r="N158" s="54" t="s">
        <v>5739</v>
      </c>
      <c r="O158" s="4"/>
      <c r="Q158" s="4"/>
    </row>
    <row r="159" spans="1:17">
      <c r="A159" s="54" t="s">
        <v>7005</v>
      </c>
      <c r="B159" s="54" t="s">
        <v>8568</v>
      </c>
      <c r="C159" s="4" t="s">
        <v>16089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3680</v>
      </c>
      <c r="L159" s="30">
        <v>3925</v>
      </c>
      <c r="N159" s="54" t="s">
        <v>5739</v>
      </c>
      <c r="O159" s="4"/>
      <c r="Q159" s="4"/>
    </row>
    <row r="160" spans="1:17">
      <c r="A160" s="54" t="s">
        <v>7007</v>
      </c>
      <c r="B160" s="54" t="s">
        <v>4275</v>
      </c>
      <c r="C160" s="4" t="s">
        <v>16090</v>
      </c>
      <c r="D160" s="572">
        <v>7538</v>
      </c>
      <c r="E160" s="572">
        <v>7503</v>
      </c>
      <c r="F160" s="572">
        <v>7567</v>
      </c>
      <c r="G160" s="48">
        <v>7610</v>
      </c>
      <c r="H160" s="48">
        <v>7570</v>
      </c>
      <c r="I160" s="30">
        <v>7456</v>
      </c>
      <c r="J160" s="30">
        <v>7298</v>
      </c>
      <c r="K160" s="31">
        <v>7329</v>
      </c>
      <c r="L160" s="31">
        <v>7601</v>
      </c>
      <c r="N160" s="54" t="s">
        <v>5743</v>
      </c>
      <c r="O160" s="4"/>
      <c r="Q160" s="4"/>
    </row>
    <row r="161" spans="1:17">
      <c r="A161" s="54" t="s">
        <v>7009</v>
      </c>
      <c r="B161" s="54" t="s">
        <v>16101</v>
      </c>
      <c r="C161" s="4" t="s">
        <v>16091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6429</v>
      </c>
      <c r="L161" s="30">
        <v>6709</v>
      </c>
      <c r="N161" s="54" t="s">
        <v>5739</v>
      </c>
      <c r="O161" s="4"/>
      <c r="Q161" s="4"/>
    </row>
    <row r="162" spans="1:17">
      <c r="A162" s="577">
        <v>13</v>
      </c>
      <c r="B162" s="54" t="s">
        <v>4276</v>
      </c>
      <c r="C162" s="4" t="s">
        <v>16092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6582</v>
      </c>
      <c r="L162" s="30">
        <v>6925</v>
      </c>
      <c r="N162" s="54" t="s">
        <v>5739</v>
      </c>
      <c r="O162" s="4"/>
      <c r="Q162" s="4"/>
    </row>
    <row r="163" spans="1:17">
      <c r="A163" s="577">
        <v>14</v>
      </c>
      <c r="B163" s="54" t="s">
        <v>4277</v>
      </c>
      <c r="C163" s="4" t="s">
        <v>16093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2157</v>
      </c>
      <c r="L163" s="30">
        <v>2214</v>
      </c>
      <c r="N163" s="54" t="s">
        <v>5739</v>
      </c>
      <c r="O163" s="4"/>
      <c r="Q163" s="4"/>
    </row>
    <row r="164" spans="1:17">
      <c r="A164" s="577">
        <v>15</v>
      </c>
      <c r="B164" s="54" t="s">
        <v>4278</v>
      </c>
      <c r="C164" s="4" t="s">
        <v>16094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4543</v>
      </c>
      <c r="L164" s="30">
        <v>5034</v>
      </c>
      <c r="N164" s="54" t="s">
        <v>5739</v>
      </c>
      <c r="O164" s="4"/>
      <c r="Q164" s="4"/>
    </row>
    <row r="165" spans="1:17">
      <c r="A165" s="577">
        <v>16</v>
      </c>
      <c r="B165" s="54" t="s">
        <v>4279</v>
      </c>
      <c r="C165" s="4" t="s">
        <v>16095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4568</v>
      </c>
      <c r="L165" s="30">
        <v>4790</v>
      </c>
      <c r="N165" s="54" t="s">
        <v>5739</v>
      </c>
      <c r="O165" s="4"/>
      <c r="Q165" s="4"/>
    </row>
    <row r="166" spans="1:17">
      <c r="A166" s="577">
        <v>17</v>
      </c>
      <c r="B166" s="54" t="s">
        <v>4280</v>
      </c>
      <c r="C166" s="4" t="s">
        <v>16096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1">
        <v>4448</v>
      </c>
      <c r="L166" s="31">
        <v>4615</v>
      </c>
      <c r="N166" s="54" t="s">
        <v>5739</v>
      </c>
      <c r="O166" s="4"/>
      <c r="Q166" s="4"/>
    </row>
    <row r="167" spans="1:17">
      <c r="A167" s="577">
        <v>18</v>
      </c>
      <c r="B167" s="570" t="s">
        <v>4281</v>
      </c>
      <c r="C167" s="4" t="s">
        <v>16097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1">
        <v>5092</v>
      </c>
      <c r="L167" s="31">
        <v>5654</v>
      </c>
      <c r="N167" s="54" t="s">
        <v>5739</v>
      </c>
      <c r="O167" s="4"/>
      <c r="Q167" s="4"/>
    </row>
    <row r="169" spans="1:17">
      <c r="A169" s="54" t="s">
        <v>5739</v>
      </c>
      <c r="D169" s="572">
        <f>SUM(D150:D159)+SUM(D161:D167)</f>
        <v>79972</v>
      </c>
      <c r="E169" s="572">
        <f t="shared" ref="E169:K169" si="94">SUM(E150:E159)+SUM(E161:E167)</f>
        <v>80788</v>
      </c>
      <c r="F169" s="572">
        <f t="shared" si="94"/>
        <v>82214</v>
      </c>
      <c r="G169" s="572">
        <f t="shared" si="94"/>
        <v>83183</v>
      </c>
      <c r="H169" s="572">
        <f t="shared" si="94"/>
        <v>82626</v>
      </c>
      <c r="I169" s="572">
        <f t="shared" si="94"/>
        <v>82066</v>
      </c>
      <c r="J169" s="572">
        <f t="shared" si="94"/>
        <v>79129</v>
      </c>
      <c r="K169" s="572">
        <f t="shared" si="94"/>
        <v>80427</v>
      </c>
      <c r="L169" s="572">
        <f t="shared" ref="L169" si="95">SUM(L150:L159)+SUM(L161:L167)</f>
        <v>84650</v>
      </c>
    </row>
    <row r="170" spans="1:17">
      <c r="A170" s="54" t="s">
        <v>5797</v>
      </c>
      <c r="D170" s="572">
        <f>D160</f>
        <v>7538</v>
      </c>
      <c r="E170" s="572">
        <f t="shared" ref="E170:K170" si="96">E160</f>
        <v>7503</v>
      </c>
      <c r="F170" s="572">
        <f t="shared" si="96"/>
        <v>7567</v>
      </c>
      <c r="G170" s="572">
        <f t="shared" si="96"/>
        <v>7610</v>
      </c>
      <c r="H170" s="572">
        <f t="shared" si="96"/>
        <v>7570</v>
      </c>
      <c r="I170" s="572">
        <f t="shared" si="96"/>
        <v>7456</v>
      </c>
      <c r="J170" s="572">
        <f t="shared" si="96"/>
        <v>7298</v>
      </c>
      <c r="K170" s="572">
        <f t="shared" si="96"/>
        <v>7329</v>
      </c>
      <c r="L170" s="572">
        <f t="shared" ref="L170" si="97">L160</f>
        <v>7601</v>
      </c>
    </row>
    <row r="171" spans="1:17">
      <c r="A171" s="54"/>
      <c r="B171" s="54"/>
      <c r="D171" s="580"/>
      <c r="E171" s="580"/>
      <c r="F171" s="580"/>
      <c r="G171" s="580"/>
      <c r="H171" s="580"/>
      <c r="I171" s="580"/>
      <c r="J171" s="580"/>
      <c r="K171" s="580"/>
      <c r="L171" s="580"/>
    </row>
    <row r="172" spans="1:17">
      <c r="A172" s="54" t="s">
        <v>16102</v>
      </c>
      <c r="B172" s="54"/>
      <c r="D172" s="580"/>
      <c r="E172" s="580"/>
      <c r="F172" s="580"/>
      <c r="G172" s="580"/>
      <c r="H172" s="580"/>
      <c r="I172" s="580"/>
      <c r="J172" s="580"/>
      <c r="K172" s="580"/>
      <c r="L172" s="580"/>
    </row>
    <row r="173" spans="1:17">
      <c r="A173" s="54"/>
      <c r="B173" s="54"/>
      <c r="D173" s="580"/>
      <c r="E173" s="580"/>
      <c r="F173" s="580"/>
      <c r="G173" s="580"/>
      <c r="H173" s="580"/>
      <c r="I173" s="580"/>
      <c r="J173" s="580"/>
      <c r="K173" s="580"/>
      <c r="L173" s="580"/>
    </row>
    <row r="174" spans="1:17">
      <c r="A174" s="54"/>
      <c r="B174" s="54"/>
      <c r="D174" s="580"/>
      <c r="E174" s="580"/>
      <c r="F174" s="580"/>
      <c r="G174" s="580"/>
      <c r="H174" s="580"/>
      <c r="I174" s="580"/>
      <c r="J174" s="580"/>
      <c r="K174" s="580"/>
      <c r="L174" s="580"/>
    </row>
    <row r="175" spans="1:17">
      <c r="E175" s="42" t="s">
        <v>2303</v>
      </c>
      <c r="F175" s="42"/>
      <c r="G175" s="42"/>
      <c r="H175" s="42"/>
      <c r="I175" s="42"/>
      <c r="J175" s="42"/>
      <c r="K175" s="42"/>
      <c r="L175" s="42"/>
      <c r="M175" s="65"/>
      <c r="N175" s="66" t="s">
        <v>13319</v>
      </c>
    </row>
    <row r="176" spans="1:17">
      <c r="D176" s="55">
        <v>2010</v>
      </c>
      <c r="E176" s="55">
        <v>2011</v>
      </c>
      <c r="F176" s="55">
        <v>2012</v>
      </c>
      <c r="G176" s="55">
        <v>2013</v>
      </c>
      <c r="H176" s="55">
        <v>2014</v>
      </c>
      <c r="I176" s="55">
        <v>2015</v>
      </c>
      <c r="J176" s="55">
        <v>2016</v>
      </c>
      <c r="K176" s="55">
        <v>2017</v>
      </c>
      <c r="L176" s="55">
        <v>2018</v>
      </c>
      <c r="M176" s="65"/>
      <c r="N176" s="67" t="s">
        <v>2304</v>
      </c>
    </row>
    <row r="177" spans="1:17">
      <c r="A177" s="54" t="s">
        <v>5939</v>
      </c>
      <c r="D177" s="572">
        <f t="shared" ref="D177:J177" si="98">SUM(D178:D190)+SUM(D192:D207)</f>
        <v>88595</v>
      </c>
      <c r="E177" s="572">
        <f t="shared" si="98"/>
        <v>89487</v>
      </c>
      <c r="F177" s="572">
        <f t="shared" si="98"/>
        <v>90510</v>
      </c>
      <c r="G177" s="572">
        <f t="shared" si="98"/>
        <v>90368</v>
      </c>
      <c r="H177" s="572">
        <f t="shared" si="98"/>
        <v>89416</v>
      </c>
      <c r="I177" s="572">
        <f t="shared" si="98"/>
        <v>88663</v>
      </c>
      <c r="J177" s="572">
        <f t="shared" si="98"/>
        <v>91294</v>
      </c>
      <c r="K177" s="572">
        <f>SUM(K178:K190)+SUM(K192:K207)</f>
        <v>92461</v>
      </c>
      <c r="L177" s="572">
        <f>SUM(L178:L190)+SUM(L192:L207)</f>
        <v>93264</v>
      </c>
    </row>
    <row r="178" spans="1:17">
      <c r="A178" s="54" t="s">
        <v>6957</v>
      </c>
      <c r="B178" s="54" t="s">
        <v>5940</v>
      </c>
      <c r="C178" s="4" t="s">
        <v>16106</v>
      </c>
      <c r="D178" s="572">
        <v>78261</v>
      </c>
      <c r="E178" s="572">
        <v>79135</v>
      </c>
      <c r="F178" s="572">
        <v>80114</v>
      </c>
      <c r="G178" s="30">
        <v>79998</v>
      </c>
      <c r="H178" s="30">
        <v>79226</v>
      </c>
      <c r="I178" s="30">
        <v>78539</v>
      </c>
      <c r="J178" s="30">
        <v>80909</v>
      </c>
      <c r="K178" s="30">
        <v>1723</v>
      </c>
      <c r="L178" s="30">
        <v>1724</v>
      </c>
      <c r="N178" s="54" t="s">
        <v>5741</v>
      </c>
      <c r="O178" s="930"/>
      <c r="P178" s="947"/>
      <c r="Q178" s="945"/>
    </row>
    <row r="179" spans="1:17">
      <c r="A179" s="54" t="s">
        <v>6959</v>
      </c>
      <c r="B179" s="54" t="s">
        <v>16133</v>
      </c>
      <c r="C179" s="4" t="s">
        <v>16107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5658</v>
      </c>
      <c r="L179" s="30">
        <v>5717</v>
      </c>
      <c r="N179" s="54" t="s">
        <v>5741</v>
      </c>
      <c r="O179" s="930"/>
      <c r="P179" s="947"/>
      <c r="Q179" s="945"/>
    </row>
    <row r="180" spans="1:17">
      <c r="A180" s="54" t="s">
        <v>6961</v>
      </c>
      <c r="B180" s="54" t="s">
        <v>4179</v>
      </c>
      <c r="C180" s="4" t="s">
        <v>16108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1869</v>
      </c>
      <c r="L180" s="30">
        <v>1866</v>
      </c>
      <c r="N180" s="54" t="s">
        <v>5741</v>
      </c>
      <c r="O180" s="930"/>
      <c r="P180" s="947"/>
      <c r="Q180" s="945"/>
    </row>
    <row r="181" spans="1:17">
      <c r="A181" s="54" t="s">
        <v>6963</v>
      </c>
      <c r="B181" s="54" t="s">
        <v>1625</v>
      </c>
      <c r="C181" s="4" t="s">
        <v>16109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5954</v>
      </c>
      <c r="L181" s="30">
        <v>5949</v>
      </c>
      <c r="N181" s="54" t="s">
        <v>5741</v>
      </c>
      <c r="O181" s="930"/>
      <c r="P181" s="947"/>
      <c r="Q181" s="945"/>
    </row>
    <row r="182" spans="1:17">
      <c r="A182" s="54" t="s">
        <v>6965</v>
      </c>
      <c r="B182" s="54" t="s">
        <v>2500</v>
      </c>
      <c r="C182" s="4" t="s">
        <v>16110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3689</v>
      </c>
      <c r="L182" s="30">
        <v>3693</v>
      </c>
      <c r="N182" s="54" t="s">
        <v>5741</v>
      </c>
      <c r="O182" s="930"/>
      <c r="P182" s="947"/>
      <c r="Q182" s="945"/>
    </row>
    <row r="183" spans="1:17">
      <c r="A183" s="54" t="s">
        <v>6997</v>
      </c>
      <c r="B183" s="54" t="s">
        <v>2501</v>
      </c>
      <c r="C183" s="4" t="s">
        <v>16111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3092</v>
      </c>
      <c r="L183" s="30">
        <v>3114</v>
      </c>
      <c r="N183" s="54" t="s">
        <v>5741</v>
      </c>
      <c r="O183" s="930"/>
      <c r="P183" s="947"/>
      <c r="Q183" s="945"/>
    </row>
    <row r="184" spans="1:17">
      <c r="A184" s="54" t="s">
        <v>6999</v>
      </c>
      <c r="B184" s="54" t="s">
        <v>2502</v>
      </c>
      <c r="C184" s="4" t="s">
        <v>16112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5144</v>
      </c>
      <c r="L184" s="30">
        <v>5206</v>
      </c>
      <c r="N184" s="54" t="s">
        <v>5741</v>
      </c>
      <c r="O184" s="930"/>
      <c r="P184" s="947"/>
      <c r="Q184" s="945"/>
    </row>
    <row r="185" spans="1:17">
      <c r="A185" s="54" t="s">
        <v>7001</v>
      </c>
      <c r="B185" s="54" t="s">
        <v>16134</v>
      </c>
      <c r="C185" s="4" t="s">
        <v>16113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1942</v>
      </c>
      <c r="L185" s="30">
        <v>1953</v>
      </c>
      <c r="N185" s="54" t="s">
        <v>5741</v>
      </c>
      <c r="O185" s="930"/>
      <c r="P185" s="947"/>
      <c r="Q185" s="945"/>
    </row>
    <row r="186" spans="1:17">
      <c r="A186" s="54" t="s">
        <v>7003</v>
      </c>
      <c r="B186" s="54" t="s">
        <v>2503</v>
      </c>
      <c r="C186" s="4" t="s">
        <v>16114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5288</v>
      </c>
      <c r="L186" s="30">
        <v>5338</v>
      </c>
      <c r="N186" s="54" t="s">
        <v>5741</v>
      </c>
      <c r="O186" s="930"/>
      <c r="P186" s="947"/>
      <c r="Q186" s="945"/>
    </row>
    <row r="187" spans="1:17">
      <c r="A187" s="54" t="s">
        <v>7005</v>
      </c>
      <c r="B187" s="54" t="s">
        <v>7786</v>
      </c>
      <c r="C187" s="4" t="s">
        <v>16115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5277</v>
      </c>
      <c r="L187" s="30">
        <v>5359</v>
      </c>
      <c r="N187" s="54" t="s">
        <v>5741</v>
      </c>
      <c r="O187" s="930"/>
      <c r="P187" s="947"/>
      <c r="Q187" s="945"/>
    </row>
    <row r="188" spans="1:17">
      <c r="A188" s="54" t="s">
        <v>7007</v>
      </c>
      <c r="B188" s="54" t="s">
        <v>7787</v>
      </c>
      <c r="C188" s="4" t="s">
        <v>16116</v>
      </c>
      <c r="D188" s="30">
        <v>10334</v>
      </c>
      <c r="E188" s="30">
        <v>10352</v>
      </c>
      <c r="F188" s="30">
        <v>10396</v>
      </c>
      <c r="G188" s="30">
        <v>10370</v>
      </c>
      <c r="H188" s="30">
        <v>10190</v>
      </c>
      <c r="I188" s="30">
        <v>10124</v>
      </c>
      <c r="J188" s="30">
        <v>10385</v>
      </c>
      <c r="K188" s="31">
        <v>1763</v>
      </c>
      <c r="L188" s="31">
        <v>1773</v>
      </c>
      <c r="N188" s="54" t="s">
        <v>5744</v>
      </c>
      <c r="O188" s="930"/>
      <c r="P188" s="947"/>
      <c r="Q188" s="945"/>
    </row>
    <row r="189" spans="1:17">
      <c r="A189" s="54" t="s">
        <v>7009</v>
      </c>
      <c r="B189" s="54" t="s">
        <v>7788</v>
      </c>
      <c r="C189" s="4" t="s">
        <v>16117</v>
      </c>
      <c r="D189" s="572">
        <v>0</v>
      </c>
      <c r="E189" s="572">
        <v>0</v>
      </c>
      <c r="F189" s="572">
        <v>0</v>
      </c>
      <c r="G189" s="30">
        <v>0</v>
      </c>
      <c r="H189" s="30">
        <v>0</v>
      </c>
      <c r="I189" s="30">
        <v>0</v>
      </c>
      <c r="J189" s="30">
        <v>0</v>
      </c>
      <c r="K189" s="31">
        <v>0</v>
      </c>
      <c r="L189" s="31">
        <v>0</v>
      </c>
      <c r="N189" s="54" t="s">
        <v>5741</v>
      </c>
      <c r="O189" s="930"/>
      <c r="P189" s="947"/>
      <c r="Q189" s="945"/>
    </row>
    <row r="190" spans="1:17" ht="15.75" thickBot="1">
      <c r="A190" s="54"/>
      <c r="B190" s="54"/>
      <c r="C190" s="4" t="s">
        <v>16117</v>
      </c>
      <c r="D190" s="572">
        <v>0</v>
      </c>
      <c r="E190" s="572">
        <v>0</v>
      </c>
      <c r="F190" s="572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3727</v>
      </c>
      <c r="L190" s="30">
        <v>3739</v>
      </c>
      <c r="N190" s="54" t="s">
        <v>5744</v>
      </c>
      <c r="O190" s="930"/>
      <c r="P190" s="947"/>
      <c r="Q190" s="945"/>
    </row>
    <row r="191" spans="1:17" ht="15.75" thickBot="1">
      <c r="A191" s="54"/>
      <c r="B191" s="54"/>
      <c r="C191" s="4" t="s">
        <v>16117</v>
      </c>
      <c r="D191" s="581">
        <f t="shared" ref="D191:L191" si="99">D189+D190</f>
        <v>0</v>
      </c>
      <c r="E191" s="581">
        <f t="shared" si="99"/>
        <v>0</v>
      </c>
      <c r="F191" s="581">
        <f t="shared" si="99"/>
        <v>0</v>
      </c>
      <c r="G191" s="581">
        <f t="shared" si="99"/>
        <v>0</v>
      </c>
      <c r="H191" s="581">
        <f t="shared" si="99"/>
        <v>0</v>
      </c>
      <c r="I191" s="581">
        <f t="shared" si="99"/>
        <v>0</v>
      </c>
      <c r="J191" s="581">
        <f t="shared" si="99"/>
        <v>0</v>
      </c>
      <c r="K191" s="581">
        <f t="shared" si="99"/>
        <v>3727</v>
      </c>
      <c r="L191" s="581">
        <f t="shared" si="99"/>
        <v>3739</v>
      </c>
      <c r="N191" s="54"/>
      <c r="O191" s="930"/>
      <c r="P191" s="947"/>
      <c r="Q191" s="945"/>
    </row>
    <row r="192" spans="1:17">
      <c r="A192" s="54" t="s">
        <v>7011</v>
      </c>
      <c r="B192" s="54" t="s">
        <v>7789</v>
      </c>
      <c r="C192" s="4" t="s">
        <v>16118</v>
      </c>
      <c r="D192" s="572">
        <v>0</v>
      </c>
      <c r="E192" s="572">
        <v>0</v>
      </c>
      <c r="F192" s="572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5303</v>
      </c>
      <c r="L192" s="30">
        <v>5259</v>
      </c>
      <c r="N192" s="54" t="s">
        <v>5741</v>
      </c>
      <c r="O192" s="930"/>
      <c r="P192" s="947"/>
      <c r="Q192" s="945"/>
    </row>
    <row r="193" spans="1:17">
      <c r="A193" s="54" t="s">
        <v>7013</v>
      </c>
      <c r="B193" s="54" t="s">
        <v>16135</v>
      </c>
      <c r="C193" s="4" t="s">
        <v>16119</v>
      </c>
      <c r="D193" s="572">
        <v>0</v>
      </c>
      <c r="E193" s="572">
        <v>0</v>
      </c>
      <c r="F193" s="572">
        <v>0</v>
      </c>
      <c r="G193" s="572">
        <v>0</v>
      </c>
      <c r="H193" s="31">
        <v>0</v>
      </c>
      <c r="I193" s="907">
        <v>0</v>
      </c>
      <c r="J193" s="31">
        <v>0</v>
      </c>
      <c r="K193" s="30">
        <v>5724</v>
      </c>
      <c r="L193" s="30">
        <v>5765</v>
      </c>
      <c r="N193" s="54" t="s">
        <v>5741</v>
      </c>
      <c r="O193" s="946"/>
      <c r="P193" s="947"/>
      <c r="Q193" s="945"/>
    </row>
    <row r="194" spans="1:17">
      <c r="A194" s="54" t="s">
        <v>7015</v>
      </c>
      <c r="B194" s="54" t="s">
        <v>16136</v>
      </c>
      <c r="C194" s="4" t="s">
        <v>16120</v>
      </c>
      <c r="D194" s="574">
        <v>0</v>
      </c>
      <c r="E194" s="574">
        <v>0</v>
      </c>
      <c r="F194" s="574">
        <v>0</v>
      </c>
      <c r="G194" s="574">
        <v>0</v>
      </c>
      <c r="H194" s="574">
        <v>0</v>
      </c>
      <c r="I194" s="30">
        <v>0</v>
      </c>
      <c r="J194" s="30">
        <v>0</v>
      </c>
      <c r="K194" s="30">
        <v>1758</v>
      </c>
      <c r="L194" s="30">
        <v>1770</v>
      </c>
      <c r="N194" s="570" t="s">
        <v>5741</v>
      </c>
      <c r="O194" s="947"/>
      <c r="P194" s="947"/>
      <c r="Q194" s="945"/>
    </row>
    <row r="195" spans="1:17">
      <c r="A195" s="54" t="s">
        <v>7017</v>
      </c>
      <c r="B195" s="54" t="s">
        <v>7790</v>
      </c>
      <c r="C195" s="4" t="s">
        <v>16121</v>
      </c>
      <c r="D195" s="574">
        <v>0</v>
      </c>
      <c r="E195" s="574">
        <v>0</v>
      </c>
      <c r="F195" s="574">
        <v>0</v>
      </c>
      <c r="G195" s="574">
        <v>0</v>
      </c>
      <c r="H195" s="574">
        <v>0</v>
      </c>
      <c r="I195" s="30">
        <v>0</v>
      </c>
      <c r="J195" s="30">
        <v>0</v>
      </c>
      <c r="K195" s="30">
        <v>3605</v>
      </c>
      <c r="L195" s="30">
        <v>3630</v>
      </c>
      <c r="N195" s="54" t="s">
        <v>5741</v>
      </c>
      <c r="O195" s="930"/>
      <c r="P195" s="947"/>
      <c r="Q195" s="945"/>
    </row>
    <row r="196" spans="1:17">
      <c r="A196" s="54" t="s">
        <v>7019</v>
      </c>
      <c r="B196" s="54" t="s">
        <v>7791</v>
      </c>
      <c r="C196" s="4" t="s">
        <v>16122</v>
      </c>
      <c r="D196" s="574">
        <v>0</v>
      </c>
      <c r="E196" s="574">
        <v>0</v>
      </c>
      <c r="F196" s="574">
        <v>0</v>
      </c>
      <c r="G196" s="574">
        <v>0</v>
      </c>
      <c r="H196" s="574">
        <v>0</v>
      </c>
      <c r="I196" s="30">
        <v>0</v>
      </c>
      <c r="J196" s="30">
        <v>0</v>
      </c>
      <c r="K196" s="30">
        <v>4100</v>
      </c>
      <c r="L196" s="30">
        <v>4189</v>
      </c>
      <c r="N196" s="54" t="s">
        <v>5741</v>
      </c>
      <c r="O196" s="930"/>
      <c r="P196" s="947"/>
      <c r="Q196" s="945"/>
    </row>
    <row r="197" spans="1:17">
      <c r="A197" s="54" t="s">
        <v>7021</v>
      </c>
      <c r="B197" s="54" t="s">
        <v>7793</v>
      </c>
      <c r="C197" s="4" t="s">
        <v>16123</v>
      </c>
      <c r="D197" s="574">
        <v>0</v>
      </c>
      <c r="E197" s="574">
        <v>0</v>
      </c>
      <c r="F197" s="574">
        <v>0</v>
      </c>
      <c r="G197" s="574">
        <v>0</v>
      </c>
      <c r="H197" s="574">
        <v>0</v>
      </c>
      <c r="I197" s="30">
        <v>0</v>
      </c>
      <c r="J197" s="30">
        <v>0</v>
      </c>
      <c r="K197" s="31">
        <v>5790</v>
      </c>
      <c r="L197" s="31">
        <v>5817</v>
      </c>
      <c r="N197" s="54" t="s">
        <v>5741</v>
      </c>
      <c r="O197" s="946"/>
      <c r="P197" s="947"/>
      <c r="Q197" s="945"/>
    </row>
    <row r="198" spans="1:17">
      <c r="A198" s="54" t="s">
        <v>7023</v>
      </c>
      <c r="B198" s="54" t="s">
        <v>16137</v>
      </c>
      <c r="C198" s="4" t="s">
        <v>16124</v>
      </c>
      <c r="D198" s="574">
        <v>0</v>
      </c>
      <c r="E198" s="574">
        <v>0</v>
      </c>
      <c r="F198" s="574">
        <v>0</v>
      </c>
      <c r="G198" s="574">
        <v>0</v>
      </c>
      <c r="H198" s="574">
        <v>0</v>
      </c>
      <c r="I198" s="30">
        <v>0</v>
      </c>
      <c r="J198" s="30">
        <v>0</v>
      </c>
      <c r="K198" s="31">
        <v>1643</v>
      </c>
      <c r="L198" s="31">
        <v>1675</v>
      </c>
      <c r="N198" s="54" t="s">
        <v>5741</v>
      </c>
      <c r="O198" s="946"/>
      <c r="P198" s="947"/>
      <c r="Q198" s="945"/>
    </row>
    <row r="199" spans="1:17">
      <c r="A199" s="54" t="s">
        <v>7025</v>
      </c>
      <c r="B199" s="54" t="s">
        <v>16138</v>
      </c>
      <c r="C199" s="4" t="s">
        <v>16125</v>
      </c>
      <c r="D199" s="574">
        <v>0</v>
      </c>
      <c r="E199" s="574">
        <v>0</v>
      </c>
      <c r="F199" s="574">
        <v>0</v>
      </c>
      <c r="G199" s="574">
        <v>0</v>
      </c>
      <c r="H199" s="574">
        <v>0</v>
      </c>
      <c r="I199" s="30">
        <v>0</v>
      </c>
      <c r="J199" s="30">
        <v>0</v>
      </c>
      <c r="K199" s="31">
        <v>1866</v>
      </c>
      <c r="L199" s="31">
        <v>1899</v>
      </c>
      <c r="N199" s="54" t="s">
        <v>5741</v>
      </c>
      <c r="O199" s="946"/>
      <c r="P199" s="947"/>
      <c r="Q199" s="945"/>
    </row>
    <row r="200" spans="1:17">
      <c r="A200" s="54" t="s">
        <v>7570</v>
      </c>
      <c r="B200" s="54" t="s">
        <v>16139</v>
      </c>
      <c r="C200" s="4" t="s">
        <v>16126</v>
      </c>
      <c r="D200" s="574">
        <v>0</v>
      </c>
      <c r="E200" s="574">
        <v>0</v>
      </c>
      <c r="F200" s="574">
        <v>0</v>
      </c>
      <c r="G200" s="574">
        <v>0</v>
      </c>
      <c r="H200" s="574">
        <v>0</v>
      </c>
      <c r="I200" s="30">
        <v>0</v>
      </c>
      <c r="J200" s="30">
        <v>0</v>
      </c>
      <c r="K200" s="31">
        <v>1708</v>
      </c>
      <c r="L200" s="31">
        <v>1784</v>
      </c>
      <c r="N200" s="54" t="s">
        <v>5741</v>
      </c>
      <c r="O200" s="946"/>
      <c r="P200" s="947"/>
      <c r="Q200" s="945"/>
    </row>
    <row r="201" spans="1:17">
      <c r="A201" s="54" t="s">
        <v>7572</v>
      </c>
      <c r="B201" s="54" t="s">
        <v>16140</v>
      </c>
      <c r="C201" s="4" t="s">
        <v>16127</v>
      </c>
      <c r="D201" s="574">
        <v>0</v>
      </c>
      <c r="E201" s="574">
        <v>0</v>
      </c>
      <c r="F201" s="574">
        <v>0</v>
      </c>
      <c r="G201" s="574">
        <v>0</v>
      </c>
      <c r="H201" s="574">
        <v>0</v>
      </c>
      <c r="I201" s="30">
        <v>0</v>
      </c>
      <c r="J201" s="30">
        <v>0</v>
      </c>
      <c r="K201" s="31">
        <v>1705</v>
      </c>
      <c r="L201" s="31">
        <v>1718</v>
      </c>
      <c r="N201" s="54" t="s">
        <v>5741</v>
      </c>
      <c r="O201" s="946"/>
      <c r="P201" s="947"/>
      <c r="Q201" s="945"/>
    </row>
    <row r="202" spans="1:17">
      <c r="A202" s="54" t="s">
        <v>7573</v>
      </c>
      <c r="B202" s="54" t="s">
        <v>16141</v>
      </c>
      <c r="C202" s="4" t="s">
        <v>16128</v>
      </c>
      <c r="D202" s="574">
        <v>0</v>
      </c>
      <c r="E202" s="574">
        <v>0</v>
      </c>
      <c r="F202" s="574">
        <v>0</v>
      </c>
      <c r="G202" s="574">
        <v>0</v>
      </c>
      <c r="H202" s="574">
        <v>0</v>
      </c>
      <c r="I202" s="30">
        <v>0</v>
      </c>
      <c r="J202" s="30">
        <v>0</v>
      </c>
      <c r="K202" s="31">
        <v>1677</v>
      </c>
      <c r="L202" s="31">
        <v>1684</v>
      </c>
      <c r="N202" s="54" t="s">
        <v>5741</v>
      </c>
      <c r="O202" s="946"/>
      <c r="P202" s="947"/>
      <c r="Q202" s="945"/>
    </row>
    <row r="203" spans="1:17">
      <c r="A203" s="54" t="s">
        <v>5798</v>
      </c>
      <c r="B203" s="54" t="s">
        <v>16142</v>
      </c>
      <c r="C203" s="4" t="s">
        <v>16129</v>
      </c>
      <c r="D203" s="574">
        <v>0</v>
      </c>
      <c r="E203" s="574">
        <v>0</v>
      </c>
      <c r="F203" s="574">
        <v>0</v>
      </c>
      <c r="G203" s="574">
        <v>0</v>
      </c>
      <c r="H203" s="574">
        <v>0</v>
      </c>
      <c r="I203" s="30">
        <v>0</v>
      </c>
      <c r="J203" s="30">
        <v>0</v>
      </c>
      <c r="K203" s="31">
        <v>1698</v>
      </c>
      <c r="L203" s="31">
        <v>1716</v>
      </c>
      <c r="N203" s="54" t="s">
        <v>5741</v>
      </c>
      <c r="O203" s="946"/>
      <c r="P203" s="947"/>
      <c r="Q203" s="945"/>
    </row>
    <row r="204" spans="1:17">
      <c r="A204" s="54" t="s">
        <v>5799</v>
      </c>
      <c r="B204" s="54" t="s">
        <v>7794</v>
      </c>
      <c r="C204" s="4" t="s">
        <v>16130</v>
      </c>
      <c r="D204" s="574">
        <v>0</v>
      </c>
      <c r="E204" s="574">
        <v>0</v>
      </c>
      <c r="F204" s="574">
        <v>0</v>
      </c>
      <c r="G204" s="574">
        <v>0</v>
      </c>
      <c r="H204" s="574">
        <v>0</v>
      </c>
      <c r="I204" s="30">
        <v>0</v>
      </c>
      <c r="J204" s="30">
        <v>0</v>
      </c>
      <c r="K204" s="31">
        <v>3370</v>
      </c>
      <c r="L204" s="31">
        <v>3498</v>
      </c>
      <c r="N204" s="54" t="s">
        <v>5741</v>
      </c>
      <c r="O204" s="946"/>
      <c r="P204" s="947"/>
      <c r="Q204" s="945"/>
    </row>
    <row r="205" spans="1:17">
      <c r="A205" s="54" t="s">
        <v>5801</v>
      </c>
      <c r="B205" s="54" t="s">
        <v>7795</v>
      </c>
      <c r="C205" s="4" t="s">
        <v>16131</v>
      </c>
      <c r="D205" s="574">
        <v>0</v>
      </c>
      <c r="E205" s="574">
        <v>0</v>
      </c>
      <c r="F205" s="574">
        <v>0</v>
      </c>
      <c r="G205" s="574">
        <v>0</v>
      </c>
      <c r="H205" s="574">
        <v>0</v>
      </c>
      <c r="I205" s="30">
        <v>0</v>
      </c>
      <c r="J205" s="30">
        <v>0</v>
      </c>
      <c r="K205" s="31">
        <v>1872</v>
      </c>
      <c r="L205" s="31">
        <v>1894</v>
      </c>
      <c r="N205" s="54" t="s">
        <v>5741</v>
      </c>
      <c r="O205" s="946"/>
      <c r="P205" s="947"/>
      <c r="Q205" s="945"/>
    </row>
    <row r="206" spans="1:17">
      <c r="A206" s="54" t="s">
        <v>5927</v>
      </c>
      <c r="B206" s="54" t="s">
        <v>7797</v>
      </c>
      <c r="C206" s="4" t="s">
        <v>16132</v>
      </c>
      <c r="D206" s="574">
        <v>0</v>
      </c>
      <c r="E206" s="574">
        <v>0</v>
      </c>
      <c r="F206" s="574">
        <v>0</v>
      </c>
      <c r="G206" s="574">
        <v>0</v>
      </c>
      <c r="H206" s="574">
        <v>0</v>
      </c>
      <c r="I206" s="30">
        <v>0</v>
      </c>
      <c r="J206" s="30">
        <v>0</v>
      </c>
      <c r="K206" s="31">
        <v>394</v>
      </c>
      <c r="L206" s="31">
        <v>399</v>
      </c>
      <c r="N206" s="54" t="s">
        <v>5741</v>
      </c>
      <c r="O206" s="71"/>
      <c r="Q206" s="4"/>
    </row>
    <row r="207" spans="1:17" ht="15.75" thickBot="1">
      <c r="A207" s="54"/>
      <c r="B207" s="54"/>
      <c r="C207" s="4" t="s">
        <v>16132</v>
      </c>
      <c r="D207" s="574">
        <v>0</v>
      </c>
      <c r="E207" s="574">
        <v>0</v>
      </c>
      <c r="F207" s="574">
        <v>0</v>
      </c>
      <c r="G207" s="574">
        <v>0</v>
      </c>
      <c r="H207" s="574">
        <v>0</v>
      </c>
      <c r="I207" s="30">
        <v>0</v>
      </c>
      <c r="J207" s="30">
        <v>0</v>
      </c>
      <c r="K207" s="31">
        <v>5122</v>
      </c>
      <c r="L207" s="31">
        <v>5136</v>
      </c>
      <c r="N207" s="54" t="s">
        <v>5744</v>
      </c>
      <c r="O207" s="71"/>
      <c r="Q207" s="4"/>
    </row>
    <row r="208" spans="1:17" ht="15.75" thickBot="1">
      <c r="A208" s="54"/>
      <c r="B208" s="54"/>
      <c r="C208" s="4" t="s">
        <v>16132</v>
      </c>
      <c r="D208" s="581">
        <f t="shared" ref="D208:K208" si="100">D206+D207</f>
        <v>0</v>
      </c>
      <c r="E208" s="581">
        <f t="shared" si="100"/>
        <v>0</v>
      </c>
      <c r="F208" s="581">
        <f t="shared" si="100"/>
        <v>0</v>
      </c>
      <c r="G208" s="581">
        <f t="shared" si="100"/>
        <v>0</v>
      </c>
      <c r="H208" s="581">
        <f t="shared" si="100"/>
        <v>0</v>
      </c>
      <c r="I208" s="581">
        <f t="shared" si="100"/>
        <v>0</v>
      </c>
      <c r="J208" s="581">
        <f t="shared" si="100"/>
        <v>0</v>
      </c>
      <c r="K208" s="581">
        <f t="shared" si="100"/>
        <v>5516</v>
      </c>
      <c r="L208" s="581">
        <f t="shared" ref="L208" si="101">L206+L207</f>
        <v>5535</v>
      </c>
      <c r="N208" s="54"/>
      <c r="O208" s="71"/>
      <c r="Q208" s="4"/>
    </row>
    <row r="209" spans="1:17">
      <c r="A209" s="54"/>
      <c r="B209" s="54"/>
      <c r="C209" s="4"/>
      <c r="D209" s="572"/>
      <c r="E209" s="572"/>
      <c r="F209" s="572"/>
      <c r="G209" s="572"/>
      <c r="H209" s="31"/>
      <c r="I209" s="907"/>
      <c r="J209" s="31"/>
      <c r="K209" s="31"/>
      <c r="L209" s="31"/>
      <c r="O209" s="71"/>
      <c r="Q209" s="4"/>
    </row>
    <row r="210" spans="1:17">
      <c r="A210" s="54" t="s">
        <v>5741</v>
      </c>
      <c r="D210" s="572">
        <f>SUM(D178:D187)+D189+SUM(D192:D206)</f>
        <v>78261</v>
      </c>
      <c r="E210" s="572">
        <f t="shared" ref="E210:K210" si="102">SUM(E178:E187)+E189+SUM(E192:E206)</f>
        <v>79135</v>
      </c>
      <c r="F210" s="572">
        <f t="shared" si="102"/>
        <v>80114</v>
      </c>
      <c r="G210" s="572">
        <f t="shared" si="102"/>
        <v>79998</v>
      </c>
      <c r="H210" s="572">
        <f t="shared" si="102"/>
        <v>79226</v>
      </c>
      <c r="I210" s="572">
        <f t="shared" si="102"/>
        <v>78539</v>
      </c>
      <c r="J210" s="572">
        <f t="shared" si="102"/>
        <v>80909</v>
      </c>
      <c r="K210" s="572">
        <f t="shared" si="102"/>
        <v>81849</v>
      </c>
      <c r="L210" s="572">
        <f t="shared" ref="L210" si="103">SUM(L178:L187)+L189+SUM(L192:L206)</f>
        <v>82616</v>
      </c>
    </row>
    <row r="211" spans="1:17">
      <c r="A211" s="54" t="s">
        <v>2463</v>
      </c>
      <c r="D211" s="572">
        <f>D188+D190+D207</f>
        <v>10334</v>
      </c>
      <c r="E211" s="572">
        <f t="shared" ref="E211:K211" si="104">E188+E190+E207</f>
        <v>10352</v>
      </c>
      <c r="F211" s="572">
        <f t="shared" si="104"/>
        <v>10396</v>
      </c>
      <c r="G211" s="572">
        <f t="shared" si="104"/>
        <v>10370</v>
      </c>
      <c r="H211" s="572">
        <f t="shared" si="104"/>
        <v>10190</v>
      </c>
      <c r="I211" s="572">
        <f t="shared" si="104"/>
        <v>10124</v>
      </c>
      <c r="J211" s="572">
        <f t="shared" si="104"/>
        <v>10385</v>
      </c>
      <c r="K211" s="572">
        <f t="shared" si="104"/>
        <v>10612</v>
      </c>
      <c r="L211" s="572">
        <f t="shared" ref="L211" si="105">L188+L190+L207</f>
        <v>10648</v>
      </c>
      <c r="M211" s="572"/>
    </row>
    <row r="212" spans="1:17">
      <c r="A212" s="54"/>
      <c r="D212" s="572"/>
      <c r="E212" s="572"/>
      <c r="F212" s="572"/>
      <c r="G212" s="572"/>
      <c r="H212" s="572"/>
      <c r="I212" s="572"/>
      <c r="J212" s="572"/>
      <c r="K212" s="572"/>
      <c r="L212" s="572"/>
    </row>
    <row r="213" spans="1:17">
      <c r="A213" s="54" t="s">
        <v>16105</v>
      </c>
      <c r="D213" s="572"/>
      <c r="E213" s="572"/>
      <c r="F213" s="572"/>
      <c r="G213" s="572"/>
      <c r="H213" s="572"/>
      <c r="I213" s="572"/>
      <c r="J213" s="572"/>
      <c r="K213" s="572"/>
      <c r="L213" s="572"/>
    </row>
    <row r="214" spans="1:17">
      <c r="A214" s="54"/>
      <c r="B214" s="54"/>
      <c r="D214" s="580"/>
      <c r="E214" s="580"/>
      <c r="F214" s="580"/>
      <c r="G214" s="580"/>
      <c r="H214" s="580"/>
      <c r="I214" s="580"/>
      <c r="J214" s="580"/>
      <c r="K214" s="580"/>
      <c r="L214" s="580"/>
    </row>
    <row r="215" spans="1:17">
      <c r="A215" s="54"/>
      <c r="B215" s="54"/>
      <c r="D215" s="580"/>
      <c r="E215" s="580"/>
      <c r="F215" s="580"/>
      <c r="G215" s="580"/>
      <c r="H215" s="580"/>
      <c r="I215" s="580"/>
      <c r="J215" s="580"/>
      <c r="K215" s="580"/>
      <c r="L215" s="580"/>
    </row>
    <row r="216" spans="1:17">
      <c r="E216" s="42" t="s">
        <v>2303</v>
      </c>
      <c r="F216" s="42"/>
      <c r="G216" s="42"/>
      <c r="H216" s="42"/>
      <c r="I216" s="42"/>
      <c r="J216" s="42"/>
      <c r="K216" s="42"/>
      <c r="L216" s="42"/>
      <c r="M216" s="65"/>
      <c r="N216" s="66" t="s">
        <v>13319</v>
      </c>
    </row>
    <row r="217" spans="1:17">
      <c r="D217" s="55">
        <v>2010</v>
      </c>
      <c r="E217" s="55">
        <v>2011</v>
      </c>
      <c r="F217" s="55">
        <v>2012</v>
      </c>
      <c r="G217" s="55">
        <v>2013</v>
      </c>
      <c r="H217" s="55">
        <v>2014</v>
      </c>
      <c r="I217" s="55">
        <v>2015</v>
      </c>
      <c r="J217" s="55">
        <v>2016</v>
      </c>
      <c r="K217" s="55">
        <v>2017</v>
      </c>
      <c r="L217" s="55">
        <v>2018</v>
      </c>
      <c r="M217" s="65"/>
      <c r="N217" s="67" t="s">
        <v>2304</v>
      </c>
    </row>
    <row r="218" spans="1:17">
      <c r="A218" s="54" t="s">
        <v>4204</v>
      </c>
      <c r="D218" s="572">
        <f t="shared" ref="D218:I218" si="106">SUM(D219:D240)</f>
        <v>63391</v>
      </c>
      <c r="E218" s="572">
        <f t="shared" si="106"/>
        <v>64334</v>
      </c>
      <c r="F218" s="572">
        <f t="shared" si="106"/>
        <v>64993</v>
      </c>
      <c r="G218" s="572">
        <f t="shared" si="106"/>
        <v>65547</v>
      </c>
      <c r="H218" s="572">
        <f t="shared" si="106"/>
        <v>65597</v>
      </c>
      <c r="I218" s="572">
        <f t="shared" si="106"/>
        <v>65129</v>
      </c>
      <c r="J218" s="572">
        <f t="shared" ref="J218:K218" si="107">SUM(J219:J240)</f>
        <v>65989</v>
      </c>
      <c r="K218" s="572">
        <f t="shared" si="107"/>
        <v>68049</v>
      </c>
      <c r="L218" s="572">
        <f t="shared" ref="L218" si="108">SUM(L219:L240)</f>
        <v>69723</v>
      </c>
    </row>
    <row r="219" spans="1:17">
      <c r="A219" s="54" t="s">
        <v>6957</v>
      </c>
      <c r="B219" s="54" t="s">
        <v>7807</v>
      </c>
      <c r="C219" s="4" t="s">
        <v>12367</v>
      </c>
      <c r="D219" s="572">
        <v>2970</v>
      </c>
      <c r="E219" s="572">
        <v>3023</v>
      </c>
      <c r="F219" s="572">
        <v>3152</v>
      </c>
      <c r="G219" s="30">
        <v>3204</v>
      </c>
      <c r="H219" s="30">
        <v>3316</v>
      </c>
      <c r="I219" s="30">
        <v>3241</v>
      </c>
      <c r="J219" s="30">
        <v>3222</v>
      </c>
      <c r="K219" s="30">
        <v>3309</v>
      </c>
      <c r="L219" s="30">
        <v>3354</v>
      </c>
      <c r="N219" s="54" t="s">
        <v>5743</v>
      </c>
      <c r="O219" s="4"/>
      <c r="Q219" s="4"/>
    </row>
    <row r="220" spans="1:17">
      <c r="A220" s="54" t="s">
        <v>6959</v>
      </c>
      <c r="B220" s="54" t="s">
        <v>7808</v>
      </c>
      <c r="C220" s="4" t="s">
        <v>13057</v>
      </c>
      <c r="D220" s="572">
        <v>1737</v>
      </c>
      <c r="E220" s="572">
        <v>1827</v>
      </c>
      <c r="F220" s="572">
        <v>1840</v>
      </c>
      <c r="G220" s="30">
        <v>1930</v>
      </c>
      <c r="H220" s="30">
        <v>2115</v>
      </c>
      <c r="I220" s="30">
        <v>2163</v>
      </c>
      <c r="J220" s="30">
        <v>2224</v>
      </c>
      <c r="K220" s="30">
        <v>2283</v>
      </c>
      <c r="L220" s="30">
        <v>2317</v>
      </c>
      <c r="N220" s="54" t="s">
        <v>5743</v>
      </c>
      <c r="O220" s="4"/>
      <c r="Q220" s="4"/>
    </row>
    <row r="221" spans="1:17">
      <c r="A221" s="54" t="s">
        <v>6961</v>
      </c>
      <c r="B221" s="54" t="s">
        <v>7809</v>
      </c>
      <c r="C221" s="4" t="s">
        <v>13058</v>
      </c>
      <c r="D221" s="572">
        <v>5212</v>
      </c>
      <c r="E221" s="572">
        <v>5455</v>
      </c>
      <c r="F221" s="572">
        <v>5545</v>
      </c>
      <c r="G221" s="30">
        <v>5640</v>
      </c>
      <c r="H221" s="30">
        <v>5651</v>
      </c>
      <c r="I221" s="30">
        <v>5658</v>
      </c>
      <c r="J221" s="30">
        <v>5907</v>
      </c>
      <c r="K221" s="30">
        <v>6168</v>
      </c>
      <c r="L221" s="30">
        <v>6441</v>
      </c>
      <c r="N221" s="54" t="s">
        <v>5743</v>
      </c>
      <c r="O221" s="4"/>
      <c r="Q221" s="4"/>
    </row>
    <row r="222" spans="1:17">
      <c r="A222" s="54" t="s">
        <v>6963</v>
      </c>
      <c r="B222" s="54" t="s">
        <v>7810</v>
      </c>
      <c r="C222" s="4" t="s">
        <v>13059</v>
      </c>
      <c r="D222" s="572">
        <v>3369</v>
      </c>
      <c r="E222" s="572">
        <v>3439</v>
      </c>
      <c r="F222" s="572">
        <v>3438</v>
      </c>
      <c r="G222" s="30">
        <v>3478</v>
      </c>
      <c r="H222" s="30">
        <v>3477</v>
      </c>
      <c r="I222" s="30">
        <v>3395</v>
      </c>
      <c r="J222" s="30">
        <v>3377</v>
      </c>
      <c r="K222" s="30">
        <v>3390</v>
      </c>
      <c r="L222" s="30">
        <v>3375</v>
      </c>
      <c r="N222" s="54" t="s">
        <v>5743</v>
      </c>
      <c r="O222" s="4"/>
      <c r="Q222" s="4"/>
    </row>
    <row r="223" spans="1:17">
      <c r="A223" s="54" t="s">
        <v>6965</v>
      </c>
      <c r="B223" s="54" t="s">
        <v>7811</v>
      </c>
      <c r="C223" s="4" t="s">
        <v>12368</v>
      </c>
      <c r="D223" s="572">
        <v>5215</v>
      </c>
      <c r="E223" s="572">
        <v>5289</v>
      </c>
      <c r="F223" s="572">
        <v>5318</v>
      </c>
      <c r="G223" s="30">
        <v>5303</v>
      </c>
      <c r="H223" s="30">
        <v>5297</v>
      </c>
      <c r="I223" s="30">
        <v>5217</v>
      </c>
      <c r="J223" s="30">
        <v>5154</v>
      </c>
      <c r="K223" s="30">
        <v>5195</v>
      </c>
      <c r="L223" s="30">
        <v>5229</v>
      </c>
      <c r="N223" s="54" t="s">
        <v>5743</v>
      </c>
      <c r="O223" s="4"/>
      <c r="Q223" s="4"/>
    </row>
    <row r="224" spans="1:17">
      <c r="A224" s="54" t="s">
        <v>6997</v>
      </c>
      <c r="B224" s="54" t="s">
        <v>7812</v>
      </c>
      <c r="C224" s="4" t="s">
        <v>13060</v>
      </c>
      <c r="D224" s="572">
        <v>1601</v>
      </c>
      <c r="E224" s="572">
        <v>1596</v>
      </c>
      <c r="F224" s="572">
        <v>1587</v>
      </c>
      <c r="G224" s="30">
        <v>1598</v>
      </c>
      <c r="H224" s="30">
        <v>1572</v>
      </c>
      <c r="I224" s="30">
        <v>1561</v>
      </c>
      <c r="J224" s="30">
        <v>1536</v>
      </c>
      <c r="K224" s="30">
        <v>1584</v>
      </c>
      <c r="L224" s="30">
        <v>1589</v>
      </c>
      <c r="N224" s="54" t="s">
        <v>5743</v>
      </c>
      <c r="O224" s="4"/>
      <c r="Q224" s="4"/>
    </row>
    <row r="225" spans="1:17">
      <c r="A225" s="54" t="s">
        <v>6999</v>
      </c>
      <c r="B225" s="54" t="s">
        <v>7813</v>
      </c>
      <c r="C225" s="4" t="s">
        <v>13061</v>
      </c>
      <c r="D225" s="572">
        <v>3407</v>
      </c>
      <c r="E225" s="572">
        <v>3368</v>
      </c>
      <c r="F225" s="572">
        <v>3298</v>
      </c>
      <c r="G225" s="30">
        <v>3281</v>
      </c>
      <c r="H225" s="30">
        <v>3234</v>
      </c>
      <c r="I225" s="30">
        <v>3224</v>
      </c>
      <c r="J225" s="30">
        <v>3220</v>
      </c>
      <c r="K225" s="30">
        <v>3267</v>
      </c>
      <c r="L225" s="30">
        <v>3244</v>
      </c>
      <c r="N225" s="54" t="s">
        <v>5743</v>
      </c>
      <c r="O225" s="4"/>
      <c r="Q225" s="4"/>
    </row>
    <row r="226" spans="1:17">
      <c r="A226" s="54" t="s">
        <v>7001</v>
      </c>
      <c r="B226" s="54" t="s">
        <v>8584</v>
      </c>
      <c r="C226" s="4" t="s">
        <v>13062</v>
      </c>
      <c r="D226" s="572">
        <v>3371</v>
      </c>
      <c r="E226" s="572">
        <v>3449</v>
      </c>
      <c r="F226" s="572">
        <v>3399</v>
      </c>
      <c r="G226" s="30">
        <v>3485</v>
      </c>
      <c r="H226" s="30">
        <v>3607</v>
      </c>
      <c r="I226" s="30">
        <v>3670</v>
      </c>
      <c r="J226" s="30">
        <v>3846</v>
      </c>
      <c r="K226" s="30">
        <v>4108</v>
      </c>
      <c r="L226" s="30">
        <v>4412</v>
      </c>
      <c r="N226" s="54" t="s">
        <v>5743</v>
      </c>
      <c r="O226" s="4"/>
      <c r="Q226" s="4"/>
    </row>
    <row r="227" spans="1:17">
      <c r="A227" s="54" t="s">
        <v>7003</v>
      </c>
      <c r="B227" s="54" t="s">
        <v>8585</v>
      </c>
      <c r="C227" s="4" t="s">
        <v>12369</v>
      </c>
      <c r="D227" s="572">
        <v>3401</v>
      </c>
      <c r="E227" s="572">
        <v>3352</v>
      </c>
      <c r="F227" s="572">
        <v>3373</v>
      </c>
      <c r="G227" s="30">
        <v>3407</v>
      </c>
      <c r="H227" s="30">
        <v>3284</v>
      </c>
      <c r="I227" s="30">
        <v>3229</v>
      </c>
      <c r="J227" s="30">
        <v>3266</v>
      </c>
      <c r="K227" s="30">
        <v>3452</v>
      </c>
      <c r="L227" s="30">
        <v>3625</v>
      </c>
      <c r="N227" s="54" t="s">
        <v>5743</v>
      </c>
      <c r="O227" s="4"/>
      <c r="Q227" s="4"/>
    </row>
    <row r="228" spans="1:17">
      <c r="A228" s="54" t="s">
        <v>7005</v>
      </c>
      <c r="B228" s="54" t="s">
        <v>8586</v>
      </c>
      <c r="C228" s="4" t="s">
        <v>13063</v>
      </c>
      <c r="D228" s="572">
        <v>3706</v>
      </c>
      <c r="E228" s="572">
        <v>3782</v>
      </c>
      <c r="F228" s="572">
        <v>3842</v>
      </c>
      <c r="G228" s="30">
        <v>3856</v>
      </c>
      <c r="H228" s="30">
        <v>3786</v>
      </c>
      <c r="I228" s="30">
        <v>3767</v>
      </c>
      <c r="J228" s="30">
        <v>3764</v>
      </c>
      <c r="K228" s="30">
        <v>4087</v>
      </c>
      <c r="L228" s="30">
        <v>4459</v>
      </c>
      <c r="N228" s="54" t="s">
        <v>5743</v>
      </c>
      <c r="O228" s="4"/>
      <c r="Q228" s="4"/>
    </row>
    <row r="229" spans="1:17">
      <c r="A229" s="54" t="s">
        <v>7007</v>
      </c>
      <c r="B229" s="54" t="s">
        <v>8587</v>
      </c>
      <c r="C229" s="4" t="s">
        <v>12370</v>
      </c>
      <c r="D229" s="572">
        <v>3543</v>
      </c>
      <c r="E229" s="572">
        <v>3550</v>
      </c>
      <c r="F229" s="572">
        <v>3529</v>
      </c>
      <c r="G229" s="30">
        <v>3545</v>
      </c>
      <c r="H229" s="30">
        <v>3456</v>
      </c>
      <c r="I229" s="30">
        <v>3408</v>
      </c>
      <c r="J229" s="30">
        <v>3415</v>
      </c>
      <c r="K229" s="30">
        <v>3459</v>
      </c>
      <c r="L229" s="30">
        <v>3501</v>
      </c>
      <c r="N229" s="54" t="s">
        <v>5737</v>
      </c>
      <c r="O229" s="4"/>
      <c r="Q229" s="4"/>
    </row>
    <row r="230" spans="1:17">
      <c r="A230" s="54" t="s">
        <v>7009</v>
      </c>
      <c r="B230" s="54" t="s">
        <v>4274</v>
      </c>
      <c r="C230" s="4" t="s">
        <v>13064</v>
      </c>
      <c r="D230" s="572">
        <v>1253</v>
      </c>
      <c r="E230" s="572">
        <v>1124</v>
      </c>
      <c r="F230" s="572">
        <v>1215</v>
      </c>
      <c r="G230" s="30">
        <v>1294</v>
      </c>
      <c r="H230" s="30">
        <v>1480</v>
      </c>
      <c r="I230" s="30">
        <v>1566</v>
      </c>
      <c r="J230" s="30">
        <v>1777</v>
      </c>
      <c r="K230" s="30">
        <v>1888</v>
      </c>
      <c r="L230" s="30">
        <v>1981</v>
      </c>
      <c r="N230" s="54" t="s">
        <v>5743</v>
      </c>
      <c r="O230" s="4"/>
      <c r="Q230" s="4"/>
    </row>
    <row r="231" spans="1:17">
      <c r="A231" s="54" t="s">
        <v>7011</v>
      </c>
      <c r="B231" s="54" t="s">
        <v>8588</v>
      </c>
      <c r="C231" s="4" t="s">
        <v>12371</v>
      </c>
      <c r="D231" s="572">
        <v>1532</v>
      </c>
      <c r="E231" s="572">
        <v>1741</v>
      </c>
      <c r="F231" s="572">
        <v>1845</v>
      </c>
      <c r="G231" s="30">
        <v>1864</v>
      </c>
      <c r="H231" s="30">
        <v>1859</v>
      </c>
      <c r="I231" s="30">
        <v>1795</v>
      </c>
      <c r="J231" s="30">
        <v>1801</v>
      </c>
      <c r="K231" s="30">
        <v>1863</v>
      </c>
      <c r="L231" s="30">
        <v>1870</v>
      </c>
      <c r="N231" s="54" t="s">
        <v>5743</v>
      </c>
      <c r="O231" s="4"/>
      <c r="Q231" s="4"/>
    </row>
    <row r="232" spans="1:17">
      <c r="A232" s="54" t="s">
        <v>7013</v>
      </c>
      <c r="B232" s="54" t="s">
        <v>8589</v>
      </c>
      <c r="C232" s="4" t="s">
        <v>13065</v>
      </c>
      <c r="D232" s="572">
        <v>1686</v>
      </c>
      <c r="E232" s="572">
        <v>1674</v>
      </c>
      <c r="F232" s="572">
        <v>1697</v>
      </c>
      <c r="G232" s="30">
        <v>1717</v>
      </c>
      <c r="H232" s="30">
        <v>1681</v>
      </c>
      <c r="I232" s="30">
        <v>1662</v>
      </c>
      <c r="J232" s="30">
        <v>1662</v>
      </c>
      <c r="K232" s="30">
        <v>1674</v>
      </c>
      <c r="L232" s="30">
        <v>1681</v>
      </c>
      <c r="N232" s="54" t="s">
        <v>5743</v>
      </c>
      <c r="O232" s="4"/>
      <c r="Q232" s="4"/>
    </row>
    <row r="233" spans="1:17">
      <c r="A233" s="54" t="s">
        <v>7015</v>
      </c>
      <c r="B233" s="54" t="s">
        <v>7771</v>
      </c>
      <c r="C233" s="4" t="s">
        <v>12372</v>
      </c>
      <c r="D233" s="572">
        <v>3748</v>
      </c>
      <c r="E233" s="572">
        <v>3800</v>
      </c>
      <c r="F233" s="572">
        <v>3825</v>
      </c>
      <c r="G233" s="30">
        <v>3810</v>
      </c>
      <c r="H233" s="30">
        <v>3781</v>
      </c>
      <c r="I233" s="30">
        <v>3695</v>
      </c>
      <c r="J233" s="30">
        <v>3626</v>
      </c>
      <c r="K233" s="30">
        <v>3684</v>
      </c>
      <c r="L233" s="30">
        <v>3740</v>
      </c>
      <c r="N233" s="54" t="s">
        <v>5743</v>
      </c>
      <c r="O233" s="4"/>
      <c r="Q233" s="4"/>
    </row>
    <row r="234" spans="1:17">
      <c r="A234" s="54" t="s">
        <v>7017</v>
      </c>
      <c r="B234" s="54" t="s">
        <v>7772</v>
      </c>
      <c r="C234" s="4" t="s">
        <v>13066</v>
      </c>
      <c r="D234" s="572">
        <v>1277</v>
      </c>
      <c r="E234" s="572">
        <v>1302</v>
      </c>
      <c r="F234" s="572">
        <v>1349</v>
      </c>
      <c r="G234" s="31">
        <v>1362</v>
      </c>
      <c r="H234" s="31">
        <v>1403</v>
      </c>
      <c r="I234" s="31">
        <v>1437</v>
      </c>
      <c r="J234" s="31">
        <v>1531</v>
      </c>
      <c r="K234" s="31">
        <v>1632</v>
      </c>
      <c r="L234" s="31">
        <v>1779</v>
      </c>
      <c r="N234" s="54" t="s">
        <v>5743</v>
      </c>
      <c r="O234" s="4"/>
      <c r="Q234" s="4"/>
    </row>
    <row r="235" spans="1:17">
      <c r="A235" s="54" t="s">
        <v>7019</v>
      </c>
      <c r="B235" s="54" t="s">
        <v>7773</v>
      </c>
      <c r="C235" s="4" t="s">
        <v>13067</v>
      </c>
      <c r="D235" s="572">
        <v>1574</v>
      </c>
      <c r="E235" s="572">
        <v>1549</v>
      </c>
      <c r="F235" s="572">
        <v>1553</v>
      </c>
      <c r="G235" s="31">
        <v>1543</v>
      </c>
      <c r="H235" s="31">
        <v>1532</v>
      </c>
      <c r="I235" s="31">
        <v>1514</v>
      </c>
      <c r="J235" s="31">
        <v>1520</v>
      </c>
      <c r="K235" s="31">
        <v>1535</v>
      </c>
      <c r="L235" s="31">
        <v>1536</v>
      </c>
      <c r="N235" s="54" t="s">
        <v>5743</v>
      </c>
      <c r="O235" s="4"/>
      <c r="Q235" s="4"/>
    </row>
    <row r="236" spans="1:17">
      <c r="A236" s="54" t="s">
        <v>7021</v>
      </c>
      <c r="B236" s="54" t="s">
        <v>7774</v>
      </c>
      <c r="C236" s="4" t="s">
        <v>12373</v>
      </c>
      <c r="D236" s="572">
        <v>1642</v>
      </c>
      <c r="E236" s="572">
        <v>1664</v>
      </c>
      <c r="F236" s="572">
        <v>1662</v>
      </c>
      <c r="G236" s="31">
        <v>1630</v>
      </c>
      <c r="H236" s="31">
        <v>1614</v>
      </c>
      <c r="I236" s="31">
        <v>1604</v>
      </c>
      <c r="J236" s="31">
        <v>1585</v>
      </c>
      <c r="K236" s="31">
        <v>1590</v>
      </c>
      <c r="L236" s="31">
        <v>1572</v>
      </c>
      <c r="N236" s="54" t="s">
        <v>5743</v>
      </c>
      <c r="O236" s="4"/>
      <c r="Q236" s="4"/>
    </row>
    <row r="237" spans="1:17">
      <c r="A237" s="54" t="s">
        <v>7023</v>
      </c>
      <c r="B237" s="54" t="s">
        <v>7775</v>
      </c>
      <c r="C237" s="4" t="s">
        <v>13068</v>
      </c>
      <c r="D237" s="572">
        <v>3003</v>
      </c>
      <c r="E237" s="572">
        <v>2991</v>
      </c>
      <c r="F237" s="572">
        <v>3013</v>
      </c>
      <c r="G237" s="31">
        <v>3017</v>
      </c>
      <c r="H237" s="31">
        <v>2960</v>
      </c>
      <c r="I237" s="31">
        <v>2901</v>
      </c>
      <c r="J237" s="31">
        <v>2900</v>
      </c>
      <c r="K237" s="31">
        <v>2939</v>
      </c>
      <c r="L237" s="31">
        <v>2954</v>
      </c>
      <c r="N237" s="54" t="s">
        <v>5743</v>
      </c>
      <c r="O237" s="4"/>
      <c r="Q237" s="4"/>
    </row>
    <row r="238" spans="1:17">
      <c r="A238" s="54" t="s">
        <v>7025</v>
      </c>
      <c r="B238" s="54" t="s">
        <v>7776</v>
      </c>
      <c r="C238" s="4" t="s">
        <v>12374</v>
      </c>
      <c r="D238" s="572">
        <v>3605</v>
      </c>
      <c r="E238" s="572">
        <v>3778</v>
      </c>
      <c r="F238" s="572">
        <v>3856</v>
      </c>
      <c r="G238" s="31">
        <v>3865</v>
      </c>
      <c r="H238" s="31">
        <v>3776</v>
      </c>
      <c r="I238" s="31">
        <v>3702</v>
      </c>
      <c r="J238" s="31">
        <v>3701</v>
      </c>
      <c r="K238" s="31">
        <v>3780</v>
      </c>
      <c r="L238" s="31">
        <v>3795</v>
      </c>
      <c r="N238" s="54" t="s">
        <v>5743</v>
      </c>
      <c r="O238" s="4"/>
      <c r="Q238" s="4"/>
    </row>
    <row r="239" spans="1:17">
      <c r="A239" s="54" t="s">
        <v>7570</v>
      </c>
      <c r="B239" s="54" t="s">
        <v>7777</v>
      </c>
      <c r="C239" s="4" t="s">
        <v>12375</v>
      </c>
      <c r="D239" s="572">
        <v>1404</v>
      </c>
      <c r="E239" s="572">
        <v>1419</v>
      </c>
      <c r="F239" s="572">
        <v>1418</v>
      </c>
      <c r="G239" s="31">
        <v>1439</v>
      </c>
      <c r="H239" s="31">
        <v>1494</v>
      </c>
      <c r="I239" s="31">
        <v>1505</v>
      </c>
      <c r="J239" s="31">
        <v>1503</v>
      </c>
      <c r="K239" s="31">
        <v>1524</v>
      </c>
      <c r="L239" s="31">
        <v>1527</v>
      </c>
      <c r="N239" s="54" t="s">
        <v>5743</v>
      </c>
      <c r="O239" s="4"/>
      <c r="Q239" s="4"/>
    </row>
    <row r="240" spans="1:17">
      <c r="A240" s="54" t="s">
        <v>7572</v>
      </c>
      <c r="B240" s="54" t="s">
        <v>4197</v>
      </c>
      <c r="C240" s="4" t="s">
        <v>13069</v>
      </c>
      <c r="D240" s="572">
        <v>5135</v>
      </c>
      <c r="E240" s="572">
        <v>5162</v>
      </c>
      <c r="F240" s="572">
        <v>5239</v>
      </c>
      <c r="G240" s="31">
        <v>5279</v>
      </c>
      <c r="H240" s="31">
        <v>5222</v>
      </c>
      <c r="I240" s="31">
        <v>5215</v>
      </c>
      <c r="J240" s="31">
        <v>5452</v>
      </c>
      <c r="K240" s="31">
        <v>5638</v>
      </c>
      <c r="L240" s="31">
        <v>5742</v>
      </c>
      <c r="N240" s="54" t="s">
        <v>5743</v>
      </c>
      <c r="O240" s="4"/>
      <c r="Q240" s="4"/>
    </row>
    <row r="241" spans="1:12">
      <c r="D241" s="574"/>
      <c r="E241" s="574"/>
      <c r="F241" s="574"/>
      <c r="G241" s="574"/>
      <c r="H241" s="574"/>
      <c r="I241" s="574"/>
      <c r="J241" s="574"/>
      <c r="K241" s="574"/>
      <c r="L241" s="574"/>
    </row>
    <row r="242" spans="1:12">
      <c r="A242" s="54" t="s">
        <v>1621</v>
      </c>
      <c r="D242" s="572">
        <f t="shared" ref="D242:I242" si="109">D229</f>
        <v>3543</v>
      </c>
      <c r="E242" s="572">
        <f t="shared" si="109"/>
        <v>3550</v>
      </c>
      <c r="F242" s="572">
        <f t="shared" si="109"/>
        <v>3529</v>
      </c>
      <c r="G242" s="572">
        <f t="shared" si="109"/>
        <v>3545</v>
      </c>
      <c r="H242" s="572">
        <f t="shared" si="109"/>
        <v>3456</v>
      </c>
      <c r="I242" s="572">
        <f t="shared" si="109"/>
        <v>3408</v>
      </c>
      <c r="J242" s="572">
        <f t="shared" ref="J242:K242" si="110">J229</f>
        <v>3415</v>
      </c>
      <c r="K242" s="572">
        <f t="shared" si="110"/>
        <v>3459</v>
      </c>
      <c r="L242" s="572">
        <f t="shared" ref="L242" si="111">L229</f>
        <v>3501</v>
      </c>
    </row>
    <row r="243" spans="1:12">
      <c r="A243" s="54" t="s">
        <v>5797</v>
      </c>
      <c r="D243" s="572">
        <f t="shared" ref="D243:I243" si="112">SUM(D219:D228)+SUM(D230:D240)</f>
        <v>59848</v>
      </c>
      <c r="E243" s="572">
        <f t="shared" si="112"/>
        <v>60784</v>
      </c>
      <c r="F243" s="572">
        <f t="shared" si="112"/>
        <v>61464</v>
      </c>
      <c r="G243" s="572">
        <f t="shared" si="112"/>
        <v>62002</v>
      </c>
      <c r="H243" s="572">
        <f t="shared" si="112"/>
        <v>62141</v>
      </c>
      <c r="I243" s="572">
        <f t="shared" si="112"/>
        <v>61721</v>
      </c>
      <c r="J243" s="572">
        <f t="shared" ref="J243:K243" si="113">SUM(J219:J228)+SUM(J230:J240)</f>
        <v>62574</v>
      </c>
      <c r="K243" s="572">
        <f t="shared" si="113"/>
        <v>64590</v>
      </c>
      <c r="L243" s="572">
        <f t="shared" ref="L243" si="114">SUM(L219:L228)+SUM(L230:L240)</f>
        <v>66222</v>
      </c>
    </row>
    <row r="245" spans="1:12">
      <c r="A245" s="570" t="s">
        <v>13055</v>
      </c>
    </row>
    <row r="246" spans="1:12">
      <c r="A246" s="570" t="s">
        <v>13056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2" orientation="portrait" horizontalDpi="300" verticalDpi="300" r:id="rId1"/>
  <headerFooter alignWithMargins="0">
    <oddFooter>&amp;C&amp;"Times New Roman,Regular"&amp;8&amp;P of &amp;N</oddFooter>
  </headerFooter>
  <ignoredErrors>
    <ignoredError sqref="D42:E42 D64:D65 D142:E142 D113:E113 D242:D243 D218:E218 D3:D11 E64:E65 E242:E243 E3:E11 F64:F71 F107:F108 F142:F148 F171:F176 F242:F243 F5:F11 F3 G42:K42 G64:G65 G113:K113 G142:K142 G242:G243 G218:K218 G3:G11 D12:D37 E12:E37 F12:F42 G12:G37 H242:H243 H64:H65 H3:H11 H12:H37 I242:I243 I64:I65 I3:I37 F109:F113 D106:K106 D72:K72 J64:J65 J242:J243 J3:J37 D169:J170 D149:K149 F214:F218 D191:K191 D208:K208 F212:F213 D210:J211 K64:K65 K169:K170 K210:K211 D177:K177 K242:K243 K3:K37 L3:L243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14"/>
  <sheetViews>
    <sheetView showGridLines="0" zoomScaleNormal="100" workbookViewId="0"/>
  </sheetViews>
  <sheetFormatPr defaultColWidth="12.5703125" defaultRowHeight="15"/>
  <cols>
    <col min="1" max="1" width="4.85546875" style="357" customWidth="1"/>
    <col min="2" max="2" width="40.7109375" style="357" customWidth="1"/>
    <col min="3" max="3" width="11.5703125" style="357" customWidth="1"/>
    <col min="4" max="12" width="10.140625" style="357" customWidth="1"/>
    <col min="13" max="13" width="2.28515625" style="357" customWidth="1"/>
    <col min="14" max="14" width="29.7109375" style="357" customWidth="1"/>
    <col min="15" max="16384" width="12.5703125" style="357"/>
  </cols>
  <sheetData>
    <row r="1" spans="1:14">
      <c r="A1" s="7" t="s">
        <v>8847</v>
      </c>
      <c r="D1" s="358">
        <v>2010</v>
      </c>
      <c r="E1" s="358">
        <v>2011</v>
      </c>
      <c r="F1" s="358">
        <v>2012</v>
      </c>
      <c r="G1" s="358">
        <v>2013</v>
      </c>
      <c r="H1" s="358">
        <v>2014</v>
      </c>
      <c r="I1" s="358">
        <v>2015</v>
      </c>
      <c r="J1" s="358">
        <v>2016</v>
      </c>
      <c r="K1" s="358">
        <v>2017</v>
      </c>
      <c r="L1" s="358">
        <v>2018</v>
      </c>
    </row>
    <row r="3" spans="1:14">
      <c r="A3" s="7" t="s">
        <v>6638</v>
      </c>
      <c r="D3" s="359">
        <f t="shared" ref="D3:I3" si="0">SUM(D5:D14)</f>
        <v>1935913</v>
      </c>
      <c r="E3" s="359">
        <f t="shared" si="0"/>
        <v>1957990</v>
      </c>
      <c r="F3" s="359">
        <f t="shared" si="0"/>
        <v>1960361</v>
      </c>
      <c r="G3" s="359">
        <f t="shared" si="0"/>
        <v>1971447</v>
      </c>
      <c r="H3" s="359">
        <f t="shared" si="0"/>
        <v>1978050</v>
      </c>
      <c r="I3" s="359">
        <f t="shared" si="0"/>
        <v>1933630</v>
      </c>
      <c r="J3" s="359">
        <f t="shared" ref="J3:K3" si="1">SUM(J5:J14)</f>
        <v>1897229</v>
      </c>
      <c r="K3" s="359">
        <f t="shared" si="1"/>
        <v>1916189</v>
      </c>
      <c r="L3" s="359">
        <f t="shared" ref="L3" si="2">SUM(L5:L14)</f>
        <v>1940388</v>
      </c>
    </row>
    <row r="4" spans="1:14">
      <c r="D4" s="360"/>
      <c r="E4" s="360"/>
      <c r="F4" s="360"/>
      <c r="G4" s="360"/>
      <c r="H4" s="360"/>
      <c r="I4" s="360"/>
      <c r="J4" s="360"/>
      <c r="K4" s="360"/>
      <c r="L4" s="360"/>
      <c r="N4" s="361"/>
    </row>
    <row r="5" spans="1:14">
      <c r="A5" s="7" t="s">
        <v>3794</v>
      </c>
      <c r="C5" s="7"/>
      <c r="D5" s="359">
        <f t="shared" ref="D5:I5" si="3">D92</f>
        <v>196202</v>
      </c>
      <c r="E5" s="359">
        <f t="shared" si="3"/>
        <v>196180</v>
      </c>
      <c r="F5" s="359">
        <f t="shared" si="3"/>
        <v>195499</v>
      </c>
      <c r="G5" s="359">
        <f t="shared" si="3"/>
        <v>196620</v>
      </c>
      <c r="H5" s="359">
        <f t="shared" si="3"/>
        <v>196840</v>
      </c>
      <c r="I5" s="359">
        <f t="shared" si="3"/>
        <v>196320</v>
      </c>
      <c r="J5" s="359">
        <f t="shared" ref="J5:K5" si="4">J92</f>
        <v>188874</v>
      </c>
      <c r="K5" s="359">
        <f t="shared" si="4"/>
        <v>193297</v>
      </c>
      <c r="L5" s="359">
        <f t="shared" ref="L5" si="5">L92</f>
        <v>194950</v>
      </c>
      <c r="N5" s="362"/>
    </row>
    <row r="6" spans="1:14">
      <c r="A6" s="7" t="s">
        <v>3795</v>
      </c>
      <c r="C6" s="7"/>
      <c r="D6" s="359">
        <f t="shared" ref="D6:I6" si="6">D123</f>
        <v>141734</v>
      </c>
      <c r="E6" s="359">
        <f t="shared" si="6"/>
        <v>143051</v>
      </c>
      <c r="F6" s="359">
        <f t="shared" si="6"/>
        <v>143109</v>
      </c>
      <c r="G6" s="359">
        <f t="shared" si="6"/>
        <v>143450</v>
      </c>
      <c r="H6" s="359">
        <f t="shared" si="6"/>
        <v>143181</v>
      </c>
      <c r="I6" s="359">
        <f t="shared" si="6"/>
        <v>140417</v>
      </c>
      <c r="J6" s="359">
        <f t="shared" ref="J6:K6" si="7">J123</f>
        <v>134649</v>
      </c>
      <c r="K6" s="359">
        <f t="shared" si="7"/>
        <v>138465</v>
      </c>
      <c r="L6" s="359">
        <f t="shared" ref="L6" si="8">L123</f>
        <v>139521</v>
      </c>
      <c r="N6" s="362"/>
    </row>
    <row r="7" spans="1:14">
      <c r="A7" s="7" t="s">
        <v>3796</v>
      </c>
      <c r="C7" s="7"/>
      <c r="D7" s="359">
        <f t="shared" ref="D7:I7" si="9">D150</f>
        <v>336366</v>
      </c>
      <c r="E7" s="359">
        <f t="shared" si="9"/>
        <v>343889</v>
      </c>
      <c r="F7" s="359">
        <f t="shared" si="9"/>
        <v>351324</v>
      </c>
      <c r="G7" s="359">
        <f t="shared" si="9"/>
        <v>353684</v>
      </c>
      <c r="H7" s="359">
        <f t="shared" si="9"/>
        <v>358357</v>
      </c>
      <c r="I7" s="359">
        <f t="shared" si="9"/>
        <v>346080</v>
      </c>
      <c r="J7" s="359">
        <f t="shared" ref="J7:K7" si="10">J150</f>
        <v>345660</v>
      </c>
      <c r="K7" s="359">
        <f t="shared" si="10"/>
        <v>332071</v>
      </c>
      <c r="L7" s="359">
        <f t="shared" ref="L7" si="11">L150</f>
        <v>340724</v>
      </c>
      <c r="N7" s="362"/>
    </row>
    <row r="8" spans="1:14">
      <c r="A8" s="7" t="s">
        <v>2099</v>
      </c>
      <c r="C8" s="7"/>
      <c r="D8" s="359">
        <f t="shared" ref="D8:I8" si="12">D195</f>
        <v>160184</v>
      </c>
      <c r="E8" s="359">
        <f t="shared" si="12"/>
        <v>160369</v>
      </c>
      <c r="F8" s="359">
        <f t="shared" si="12"/>
        <v>158724</v>
      </c>
      <c r="G8" s="359">
        <f t="shared" si="12"/>
        <v>160486</v>
      </c>
      <c r="H8" s="359">
        <f t="shared" si="12"/>
        <v>160329</v>
      </c>
      <c r="I8" s="359">
        <f t="shared" si="12"/>
        <v>155990</v>
      </c>
      <c r="J8" s="359">
        <f t="shared" ref="J8:K8" si="13">J195</f>
        <v>153751</v>
      </c>
      <c r="K8" s="359">
        <f t="shared" si="13"/>
        <v>156597</v>
      </c>
      <c r="L8" s="359">
        <f t="shared" ref="L8" si="14">L195</f>
        <v>157063</v>
      </c>
      <c r="N8" s="362"/>
    </row>
    <row r="9" spans="1:14">
      <c r="A9" s="7" t="s">
        <v>2100</v>
      </c>
      <c r="C9" s="7"/>
      <c r="D9" s="359">
        <f t="shared" ref="D9:I9" si="15">D226</f>
        <v>156502</v>
      </c>
      <c r="E9" s="359">
        <f t="shared" si="15"/>
        <v>157335</v>
      </c>
      <c r="F9" s="359">
        <f t="shared" si="15"/>
        <v>157055</v>
      </c>
      <c r="G9" s="359">
        <f t="shared" si="15"/>
        <v>158823</v>
      </c>
      <c r="H9" s="359">
        <f t="shared" si="15"/>
        <v>157282</v>
      </c>
      <c r="I9" s="359">
        <f t="shared" si="15"/>
        <v>157278</v>
      </c>
      <c r="J9" s="359">
        <f t="shared" ref="J9:K9" si="16">J226</f>
        <v>148410</v>
      </c>
      <c r="K9" s="359">
        <f t="shared" si="16"/>
        <v>155201</v>
      </c>
      <c r="L9" s="359">
        <f t="shared" ref="L9" si="17">L226</f>
        <v>157319</v>
      </c>
      <c r="N9" s="362"/>
    </row>
    <row r="10" spans="1:14">
      <c r="A10" s="7" t="s">
        <v>1240</v>
      </c>
      <c r="C10" s="7"/>
      <c r="D10" s="359">
        <f t="shared" ref="D10:I10" si="18">D256</f>
        <v>162868</v>
      </c>
      <c r="E10" s="359">
        <f t="shared" si="18"/>
        <v>165689</v>
      </c>
      <c r="F10" s="359">
        <f t="shared" si="18"/>
        <v>167566</v>
      </c>
      <c r="G10" s="359">
        <f t="shared" si="18"/>
        <v>168738</v>
      </c>
      <c r="H10" s="359">
        <f t="shared" si="18"/>
        <v>169093</v>
      </c>
      <c r="I10" s="359">
        <f t="shared" si="18"/>
        <v>159585</v>
      </c>
      <c r="J10" s="359">
        <f t="shared" ref="J10:K10" si="19">J256</f>
        <v>162645</v>
      </c>
      <c r="K10" s="359">
        <f t="shared" si="19"/>
        <v>162307</v>
      </c>
      <c r="L10" s="359">
        <f t="shared" ref="L10" si="20">L256</f>
        <v>165286</v>
      </c>
      <c r="N10" s="362"/>
    </row>
    <row r="11" spans="1:14">
      <c r="A11" s="7" t="s">
        <v>1241</v>
      </c>
      <c r="C11" s="7"/>
      <c r="D11" s="359">
        <f t="shared" ref="D11:I11" si="21">D287</f>
        <v>218383</v>
      </c>
      <c r="E11" s="359">
        <f t="shared" si="21"/>
        <v>217872</v>
      </c>
      <c r="F11" s="359">
        <f t="shared" si="21"/>
        <v>220277</v>
      </c>
      <c r="G11" s="359">
        <f t="shared" si="21"/>
        <v>221580</v>
      </c>
      <c r="H11" s="359">
        <f t="shared" si="21"/>
        <v>219880</v>
      </c>
      <c r="I11" s="359">
        <f t="shared" si="21"/>
        <v>220746</v>
      </c>
      <c r="J11" s="359">
        <f t="shared" ref="J11:K11" si="22">J287</f>
        <v>211848</v>
      </c>
      <c r="K11" s="359">
        <f t="shared" si="22"/>
        <v>216687</v>
      </c>
      <c r="L11" s="359">
        <f t="shared" ref="L11" si="23">L287</f>
        <v>218294</v>
      </c>
      <c r="N11" s="362"/>
    </row>
    <row r="12" spans="1:14">
      <c r="A12" s="7" t="s">
        <v>1242</v>
      </c>
      <c r="C12" s="7"/>
      <c r="D12" s="359">
        <f t="shared" ref="D12:I12" si="24">D320</f>
        <v>164902</v>
      </c>
      <c r="E12" s="359">
        <f t="shared" si="24"/>
        <v>168321</v>
      </c>
      <c r="F12" s="359">
        <f t="shared" si="24"/>
        <v>166636</v>
      </c>
      <c r="G12" s="359">
        <f t="shared" si="24"/>
        <v>165961</v>
      </c>
      <c r="H12" s="359">
        <f t="shared" si="24"/>
        <v>169561</v>
      </c>
      <c r="I12" s="359">
        <f t="shared" si="24"/>
        <v>166761</v>
      </c>
      <c r="J12" s="359">
        <f t="shared" ref="J12:K12" si="25">J320</f>
        <v>163976</v>
      </c>
      <c r="K12" s="359">
        <f t="shared" si="25"/>
        <v>167545</v>
      </c>
      <c r="L12" s="359">
        <f t="shared" ref="L12" si="26">L320</f>
        <v>168472</v>
      </c>
      <c r="N12" s="362"/>
    </row>
    <row r="13" spans="1:14">
      <c r="A13" s="7" t="s">
        <v>1243</v>
      </c>
      <c r="C13" s="7"/>
      <c r="D13" s="359">
        <f t="shared" ref="D13:I13" si="27">D350</f>
        <v>164342</v>
      </c>
      <c r="E13" s="359">
        <f t="shared" si="27"/>
        <v>165686</v>
      </c>
      <c r="F13" s="359">
        <f t="shared" si="27"/>
        <v>158458</v>
      </c>
      <c r="G13" s="359">
        <f t="shared" si="27"/>
        <v>158924</v>
      </c>
      <c r="H13" s="359">
        <f t="shared" si="27"/>
        <v>160141</v>
      </c>
      <c r="I13" s="359">
        <f t="shared" si="27"/>
        <v>158831</v>
      </c>
      <c r="J13" s="359">
        <f t="shared" ref="J13:K13" si="28">J350</f>
        <v>159419</v>
      </c>
      <c r="K13" s="359">
        <f t="shared" si="28"/>
        <v>162852</v>
      </c>
      <c r="L13" s="359">
        <f t="shared" ref="L13" si="29">L350</f>
        <v>165628</v>
      </c>
      <c r="N13" s="362"/>
    </row>
    <row r="14" spans="1:14">
      <c r="A14" s="7" t="s">
        <v>1244</v>
      </c>
      <c r="C14" s="7"/>
      <c r="D14" s="359">
        <f t="shared" ref="D14:I14" si="30">D382</f>
        <v>234430</v>
      </c>
      <c r="E14" s="359">
        <f t="shared" si="30"/>
        <v>239598</v>
      </c>
      <c r="F14" s="359">
        <f t="shared" si="30"/>
        <v>241713</v>
      </c>
      <c r="G14" s="359">
        <f t="shared" si="30"/>
        <v>243181</v>
      </c>
      <c r="H14" s="359">
        <f t="shared" si="30"/>
        <v>243386</v>
      </c>
      <c r="I14" s="359">
        <f t="shared" si="30"/>
        <v>231622</v>
      </c>
      <c r="J14" s="359">
        <f t="shared" ref="J14:K14" si="31">J382</f>
        <v>227997</v>
      </c>
      <c r="K14" s="359">
        <f t="shared" si="31"/>
        <v>231167</v>
      </c>
      <c r="L14" s="359">
        <f t="shared" ref="L14" si="32">L382</f>
        <v>233131</v>
      </c>
      <c r="N14" s="362"/>
    </row>
    <row r="16" spans="1:14">
      <c r="A16" s="7" t="s">
        <v>13398</v>
      </c>
      <c r="D16" s="359">
        <f t="shared" ref="D16:I16" si="33">D3/25</f>
        <v>77436.52</v>
      </c>
      <c r="E16" s="359">
        <f t="shared" si="33"/>
        <v>78319.600000000006</v>
      </c>
      <c r="F16" s="359">
        <f t="shared" si="33"/>
        <v>78414.44</v>
      </c>
      <c r="G16" s="359">
        <f t="shared" si="33"/>
        <v>78857.88</v>
      </c>
      <c r="H16" s="359">
        <f t="shared" si="33"/>
        <v>79122</v>
      </c>
      <c r="I16" s="359">
        <f t="shared" si="33"/>
        <v>77345.2</v>
      </c>
      <c r="J16" s="359">
        <f t="shared" ref="J16:K16" si="34">J3/25</f>
        <v>75889.16</v>
      </c>
      <c r="K16" s="359">
        <f t="shared" si="34"/>
        <v>76647.56</v>
      </c>
      <c r="L16" s="359">
        <f t="shared" ref="L16" si="35">L3/25</f>
        <v>77615.520000000004</v>
      </c>
    </row>
    <row r="17" spans="1:14">
      <c r="A17" s="7" t="s">
        <v>13397</v>
      </c>
      <c r="D17" s="359">
        <f t="shared" ref="D17:I17" si="36">D3/26</f>
        <v>74458.192307692312</v>
      </c>
      <c r="E17" s="359">
        <f t="shared" si="36"/>
        <v>75307.307692307688</v>
      </c>
      <c r="F17" s="359">
        <f t="shared" si="36"/>
        <v>75398.5</v>
      </c>
      <c r="G17" s="359">
        <f t="shared" si="36"/>
        <v>75824.88461538461</v>
      </c>
      <c r="H17" s="359">
        <f t="shared" si="36"/>
        <v>76078.846153846156</v>
      </c>
      <c r="I17" s="359">
        <f t="shared" si="36"/>
        <v>74370.38461538461</v>
      </c>
      <c r="J17" s="359">
        <f t="shared" ref="J17:K17" si="37">J3/26</f>
        <v>72970.346153846156</v>
      </c>
      <c r="K17" s="359">
        <f t="shared" si="37"/>
        <v>73699.576923076922</v>
      </c>
      <c r="L17" s="359">
        <f t="shared" ref="L17" si="38">L3/26</f>
        <v>74630.307692307688</v>
      </c>
    </row>
    <row r="18" spans="1:14">
      <c r="D18" s="360"/>
      <c r="E18" s="360"/>
      <c r="F18" s="360"/>
      <c r="G18" s="360"/>
      <c r="H18" s="360"/>
      <c r="I18" s="360"/>
      <c r="J18" s="360"/>
      <c r="K18" s="360"/>
      <c r="L18" s="360"/>
    </row>
    <row r="19" spans="1:14">
      <c r="A19" s="7" t="s">
        <v>2132</v>
      </c>
      <c r="D19" s="359">
        <f t="shared" ref="D19:I19" si="39">D373</f>
        <v>71192</v>
      </c>
      <c r="E19" s="359">
        <f t="shared" si="39"/>
        <v>72008</v>
      </c>
      <c r="F19" s="359">
        <f t="shared" si="39"/>
        <v>69755</v>
      </c>
      <c r="G19" s="359">
        <f t="shared" si="39"/>
        <v>69691</v>
      </c>
      <c r="H19" s="359">
        <f t="shared" si="39"/>
        <v>70359</v>
      </c>
      <c r="I19" s="359">
        <f t="shared" si="39"/>
        <v>69788</v>
      </c>
      <c r="J19" s="359">
        <f t="shared" ref="J19:K19" si="40">J373</f>
        <v>69719</v>
      </c>
      <c r="K19" s="359">
        <f t="shared" si="40"/>
        <v>71058</v>
      </c>
      <c r="L19" s="359">
        <f t="shared" ref="L19" si="41">L373</f>
        <v>71993</v>
      </c>
      <c r="N19" s="7" t="s">
        <v>2133</v>
      </c>
    </row>
    <row r="20" spans="1:14">
      <c r="D20" s="360"/>
      <c r="E20" s="360"/>
      <c r="F20" s="360"/>
      <c r="G20" s="360"/>
      <c r="H20" s="360"/>
      <c r="I20" s="360"/>
      <c r="J20" s="360"/>
      <c r="K20" s="360"/>
      <c r="L20" s="360"/>
    </row>
    <row r="21" spans="1:14">
      <c r="A21" s="7" t="s">
        <v>3834</v>
      </c>
      <c r="D21" s="359">
        <f t="shared" ref="D21:I21" si="42">D217</f>
        <v>15811</v>
      </c>
      <c r="E21" s="359">
        <f t="shared" si="42"/>
        <v>15718</v>
      </c>
      <c r="F21" s="359">
        <f t="shared" si="42"/>
        <v>15545</v>
      </c>
      <c r="G21" s="359">
        <f t="shared" si="42"/>
        <v>15682</v>
      </c>
      <c r="H21" s="359">
        <f t="shared" si="42"/>
        <v>15724</v>
      </c>
      <c r="I21" s="359">
        <f t="shared" si="42"/>
        <v>15313</v>
      </c>
      <c r="J21" s="359">
        <f t="shared" ref="J21:K21" si="43">J217</f>
        <v>15073</v>
      </c>
      <c r="K21" s="359">
        <f t="shared" si="43"/>
        <v>15234</v>
      </c>
      <c r="L21" s="359">
        <f t="shared" ref="L21" si="44">L217</f>
        <v>15221</v>
      </c>
      <c r="N21" s="7" t="s">
        <v>3835</v>
      </c>
    </row>
    <row r="22" spans="1:14" ht="15.75" thickBot="1">
      <c r="D22" s="363">
        <f t="shared" ref="D22:I22" si="45">D341</f>
        <v>51846</v>
      </c>
      <c r="E22" s="363">
        <f t="shared" si="45"/>
        <v>52835</v>
      </c>
      <c r="F22" s="363">
        <f t="shared" si="45"/>
        <v>52203</v>
      </c>
      <c r="G22" s="363">
        <f t="shared" si="45"/>
        <v>51762</v>
      </c>
      <c r="H22" s="363">
        <f t="shared" si="45"/>
        <v>52924</v>
      </c>
      <c r="I22" s="363">
        <f t="shared" si="45"/>
        <v>52043</v>
      </c>
      <c r="J22" s="363">
        <f t="shared" ref="J22:K22" si="46">J341</f>
        <v>50868</v>
      </c>
      <c r="K22" s="363">
        <f t="shared" si="46"/>
        <v>51812</v>
      </c>
      <c r="L22" s="363">
        <f t="shared" ref="L22" si="47">L341</f>
        <v>52143</v>
      </c>
      <c r="N22" s="7" t="s">
        <v>3836</v>
      </c>
    </row>
    <row r="23" spans="1:14" ht="15.75" thickBot="1">
      <c r="D23" s="363">
        <f t="shared" ref="D23:I23" si="48">D21+D22</f>
        <v>67657</v>
      </c>
      <c r="E23" s="363">
        <f t="shared" si="48"/>
        <v>68553</v>
      </c>
      <c r="F23" s="363">
        <f t="shared" si="48"/>
        <v>67748</v>
      </c>
      <c r="G23" s="363">
        <f t="shared" si="48"/>
        <v>67444</v>
      </c>
      <c r="H23" s="363">
        <f t="shared" si="48"/>
        <v>68648</v>
      </c>
      <c r="I23" s="363">
        <f t="shared" si="48"/>
        <v>67356</v>
      </c>
      <c r="J23" s="363">
        <f t="shared" ref="J23:K23" si="49">J21+J22</f>
        <v>65941</v>
      </c>
      <c r="K23" s="363">
        <f t="shared" si="49"/>
        <v>67046</v>
      </c>
      <c r="L23" s="363">
        <f t="shared" ref="L23" si="50">L21+L22</f>
        <v>67364</v>
      </c>
    </row>
    <row r="24" spans="1:14">
      <c r="D24" s="360"/>
      <c r="E24" s="360"/>
      <c r="F24" s="360"/>
      <c r="G24" s="360"/>
      <c r="H24" s="360"/>
      <c r="I24" s="360"/>
      <c r="J24" s="360"/>
      <c r="K24" s="360"/>
      <c r="L24" s="360"/>
    </row>
    <row r="25" spans="1:14">
      <c r="A25" s="7" t="s">
        <v>3837</v>
      </c>
      <c r="D25" s="359">
        <f t="shared" ref="D25:I25" si="51">D184</f>
        <v>53793</v>
      </c>
      <c r="E25" s="359">
        <f t="shared" si="51"/>
        <v>53589</v>
      </c>
      <c r="F25" s="359">
        <f t="shared" si="51"/>
        <v>55638</v>
      </c>
      <c r="G25" s="359">
        <f t="shared" si="51"/>
        <v>56447</v>
      </c>
      <c r="H25" s="359">
        <f t="shared" si="51"/>
        <v>56768</v>
      </c>
      <c r="I25" s="359">
        <f t="shared" si="51"/>
        <v>55958</v>
      </c>
      <c r="J25" s="359">
        <f t="shared" ref="J25:K25" si="52">J184</f>
        <v>55835</v>
      </c>
      <c r="K25" s="359">
        <f t="shared" si="52"/>
        <v>54241</v>
      </c>
      <c r="L25" s="359">
        <f t="shared" ref="L25" si="53">L184</f>
        <v>54602</v>
      </c>
      <c r="N25" s="7" t="s">
        <v>3838</v>
      </c>
    </row>
    <row r="26" spans="1:14" ht="15.75" thickBot="1">
      <c r="D26" s="363">
        <f t="shared" ref="D26:I26" si="54">D278</f>
        <v>15032</v>
      </c>
      <c r="E26" s="363">
        <f t="shared" si="54"/>
        <v>15417</v>
      </c>
      <c r="F26" s="363">
        <f t="shared" si="54"/>
        <v>15891</v>
      </c>
      <c r="G26" s="363">
        <f t="shared" si="54"/>
        <v>16211</v>
      </c>
      <c r="H26" s="363">
        <f t="shared" si="54"/>
        <v>16315</v>
      </c>
      <c r="I26" s="363">
        <f t="shared" si="54"/>
        <v>15696</v>
      </c>
      <c r="J26" s="363">
        <f t="shared" ref="J26:K26" si="55">J278</f>
        <v>16168</v>
      </c>
      <c r="K26" s="363">
        <f t="shared" si="55"/>
        <v>16080</v>
      </c>
      <c r="L26" s="363">
        <f t="shared" ref="L26" si="56">L278</f>
        <v>16457</v>
      </c>
      <c r="N26" s="7" t="s">
        <v>3839</v>
      </c>
    </row>
    <row r="27" spans="1:14" ht="15.75" thickBot="1">
      <c r="D27" s="364">
        <f t="shared" ref="D27:I27" si="57">D25+D26</f>
        <v>68825</v>
      </c>
      <c r="E27" s="364">
        <f t="shared" si="57"/>
        <v>69006</v>
      </c>
      <c r="F27" s="364">
        <f t="shared" si="57"/>
        <v>71529</v>
      </c>
      <c r="G27" s="364">
        <f t="shared" si="57"/>
        <v>72658</v>
      </c>
      <c r="H27" s="364">
        <f t="shared" si="57"/>
        <v>73083</v>
      </c>
      <c r="I27" s="364">
        <f t="shared" si="57"/>
        <v>71654</v>
      </c>
      <c r="J27" s="364">
        <f t="shared" ref="J27:K27" si="58">J25+J26</f>
        <v>72003</v>
      </c>
      <c r="K27" s="364">
        <f t="shared" si="58"/>
        <v>70321</v>
      </c>
      <c r="L27" s="364">
        <f t="shared" ref="L27" si="59">L25+L26</f>
        <v>71059</v>
      </c>
    </row>
    <row r="28" spans="1:14">
      <c r="D28" s="360"/>
      <c r="E28" s="360"/>
      <c r="F28" s="360"/>
      <c r="G28" s="360"/>
      <c r="H28" s="360"/>
      <c r="I28" s="360"/>
      <c r="J28" s="360"/>
      <c r="K28" s="360"/>
      <c r="L28" s="360"/>
    </row>
    <row r="29" spans="1:14">
      <c r="A29" s="7" t="s">
        <v>3825</v>
      </c>
      <c r="D29" s="359">
        <f t="shared" ref="D29:I29" si="60">D114</f>
        <v>66682</v>
      </c>
      <c r="E29" s="359">
        <f t="shared" si="60"/>
        <v>66600</v>
      </c>
      <c r="F29" s="359">
        <f t="shared" si="60"/>
        <v>66284</v>
      </c>
      <c r="G29" s="359">
        <f t="shared" si="60"/>
        <v>66895</v>
      </c>
      <c r="H29" s="359">
        <f t="shared" si="60"/>
        <v>66794</v>
      </c>
      <c r="I29" s="359">
        <f t="shared" si="60"/>
        <v>66597</v>
      </c>
      <c r="J29" s="359">
        <f t="shared" ref="J29:K29" si="61">J114</f>
        <v>63881</v>
      </c>
      <c r="K29" s="359">
        <f t="shared" si="61"/>
        <v>65375</v>
      </c>
      <c r="L29" s="359">
        <f t="shared" ref="L29" si="62">L114</f>
        <v>65973</v>
      </c>
      <c r="N29" s="7" t="s">
        <v>3826</v>
      </c>
    </row>
    <row r="30" spans="1:14">
      <c r="D30" s="360"/>
      <c r="E30" s="360"/>
      <c r="F30" s="360"/>
      <c r="G30" s="360"/>
      <c r="H30" s="360"/>
      <c r="I30" s="360"/>
      <c r="J30" s="360"/>
      <c r="K30" s="360"/>
      <c r="L30" s="360"/>
    </row>
    <row r="31" spans="1:14">
      <c r="A31" s="7" t="s">
        <v>3827</v>
      </c>
      <c r="D31" s="359">
        <f t="shared" ref="D31:I31" si="63">D115</f>
        <v>69077</v>
      </c>
      <c r="E31" s="359">
        <f t="shared" si="63"/>
        <v>69088</v>
      </c>
      <c r="F31" s="359">
        <f t="shared" si="63"/>
        <v>68743</v>
      </c>
      <c r="G31" s="359">
        <f t="shared" si="63"/>
        <v>68653</v>
      </c>
      <c r="H31" s="359">
        <f t="shared" si="63"/>
        <v>68719</v>
      </c>
      <c r="I31" s="359">
        <f t="shared" si="63"/>
        <v>68423</v>
      </c>
      <c r="J31" s="359">
        <f t="shared" ref="J31:K31" si="64">J115</f>
        <v>65610</v>
      </c>
      <c r="K31" s="359">
        <f t="shared" si="64"/>
        <v>67109</v>
      </c>
      <c r="L31" s="359">
        <f t="shared" ref="L31" si="65">L115</f>
        <v>67682</v>
      </c>
      <c r="N31" s="7" t="s">
        <v>3826</v>
      </c>
    </row>
    <row r="32" spans="1:14">
      <c r="D32" s="360"/>
      <c r="E32" s="360"/>
      <c r="F32" s="360"/>
      <c r="G32" s="360"/>
      <c r="H32" s="360"/>
      <c r="I32" s="360"/>
      <c r="J32" s="360"/>
      <c r="K32" s="360"/>
      <c r="L32" s="360"/>
    </row>
    <row r="33" spans="1:14">
      <c r="A33" s="7" t="s">
        <v>3828</v>
      </c>
      <c r="D33" s="359">
        <f t="shared" ref="D33:I33" si="66">D116</f>
        <v>60443</v>
      </c>
      <c r="E33" s="359">
        <f t="shared" si="66"/>
        <v>60492</v>
      </c>
      <c r="F33" s="359">
        <f t="shared" si="66"/>
        <v>60472</v>
      </c>
      <c r="G33" s="359">
        <f t="shared" si="66"/>
        <v>61072</v>
      </c>
      <c r="H33" s="359">
        <f t="shared" si="66"/>
        <v>61327</v>
      </c>
      <c r="I33" s="359">
        <f t="shared" si="66"/>
        <v>61300</v>
      </c>
      <c r="J33" s="359">
        <f t="shared" ref="J33:K33" si="67">J116</f>
        <v>59383</v>
      </c>
      <c r="K33" s="359">
        <f t="shared" si="67"/>
        <v>60813</v>
      </c>
      <c r="L33" s="359">
        <f t="shared" ref="L33" si="68">L116</f>
        <v>61295</v>
      </c>
      <c r="N33" s="7" t="s">
        <v>3826</v>
      </c>
    </row>
    <row r="34" spans="1:14" ht="15.75" thickBot="1">
      <c r="A34" s="7"/>
      <c r="D34" s="363">
        <f t="shared" ref="D34:I34" si="69">D409</f>
        <v>10618</v>
      </c>
      <c r="E34" s="363">
        <f t="shared" si="69"/>
        <v>10962</v>
      </c>
      <c r="F34" s="363">
        <f t="shared" si="69"/>
        <v>11218</v>
      </c>
      <c r="G34" s="363">
        <f t="shared" si="69"/>
        <v>11252</v>
      </c>
      <c r="H34" s="363">
        <f t="shared" si="69"/>
        <v>11312</v>
      </c>
      <c r="I34" s="363">
        <f t="shared" si="69"/>
        <v>10158</v>
      </c>
      <c r="J34" s="363">
        <f t="shared" ref="J34:K34" si="70">J409</f>
        <v>10337</v>
      </c>
      <c r="K34" s="363">
        <f t="shared" si="70"/>
        <v>10427</v>
      </c>
      <c r="L34" s="363">
        <f t="shared" ref="L34" si="71">L409</f>
        <v>10594</v>
      </c>
      <c r="N34" s="7" t="s">
        <v>3829</v>
      </c>
    </row>
    <row r="35" spans="1:14" ht="15.75" thickBot="1">
      <c r="A35" s="7"/>
      <c r="D35" s="364">
        <f t="shared" ref="D35:I35" si="72">D33+D34</f>
        <v>71061</v>
      </c>
      <c r="E35" s="364">
        <f t="shared" si="72"/>
        <v>71454</v>
      </c>
      <c r="F35" s="364">
        <f t="shared" si="72"/>
        <v>71690</v>
      </c>
      <c r="G35" s="364">
        <f t="shared" si="72"/>
        <v>72324</v>
      </c>
      <c r="H35" s="364">
        <f t="shared" si="72"/>
        <v>72639</v>
      </c>
      <c r="I35" s="364">
        <f t="shared" si="72"/>
        <v>71458</v>
      </c>
      <c r="J35" s="364">
        <f t="shared" ref="J35:K35" si="73">J33+J34</f>
        <v>69720</v>
      </c>
      <c r="K35" s="364">
        <f t="shared" si="73"/>
        <v>71240</v>
      </c>
      <c r="L35" s="364">
        <f t="shared" ref="L35" si="74">L33+L34</f>
        <v>71889</v>
      </c>
      <c r="N35" s="7"/>
    </row>
    <row r="36" spans="1:14">
      <c r="A36" s="7"/>
      <c r="D36" s="359"/>
      <c r="E36" s="359"/>
      <c r="F36" s="359"/>
      <c r="G36" s="359"/>
      <c r="H36" s="359"/>
      <c r="I36" s="359"/>
      <c r="J36" s="359"/>
      <c r="K36" s="359"/>
      <c r="L36" s="359"/>
      <c r="N36" s="7"/>
    </row>
    <row r="37" spans="1:14">
      <c r="A37" s="7" t="s">
        <v>3830</v>
      </c>
      <c r="D37" s="359">
        <f t="shared" ref="D37:I37" si="75">D142</f>
        <v>67421</v>
      </c>
      <c r="E37" s="359">
        <f t="shared" si="75"/>
        <v>67911</v>
      </c>
      <c r="F37" s="359">
        <f t="shared" si="75"/>
        <v>68025</v>
      </c>
      <c r="G37" s="359">
        <f t="shared" si="75"/>
        <v>68380</v>
      </c>
      <c r="H37" s="359">
        <f t="shared" si="75"/>
        <v>68520</v>
      </c>
      <c r="I37" s="359">
        <f t="shared" si="75"/>
        <v>67039</v>
      </c>
      <c r="J37" s="359">
        <f t="shared" ref="J37:K37" si="76">J142</f>
        <v>64564</v>
      </c>
      <c r="K37" s="359">
        <f t="shared" si="76"/>
        <v>66511</v>
      </c>
      <c r="L37" s="359">
        <f t="shared" ref="L37" si="77">L142</f>
        <v>66842</v>
      </c>
      <c r="N37" s="7" t="s">
        <v>3831</v>
      </c>
    </row>
    <row r="38" spans="1:14">
      <c r="D38" s="360"/>
      <c r="E38" s="360"/>
      <c r="F38" s="360"/>
      <c r="G38" s="360"/>
      <c r="H38" s="360"/>
      <c r="I38" s="360"/>
      <c r="J38" s="360"/>
      <c r="K38" s="360"/>
      <c r="L38" s="360"/>
    </row>
    <row r="39" spans="1:14">
      <c r="A39" s="7" t="s">
        <v>3832</v>
      </c>
      <c r="D39" s="359">
        <f t="shared" ref="D39:I39" si="78">D143</f>
        <v>74313</v>
      </c>
      <c r="E39" s="359">
        <f t="shared" si="78"/>
        <v>75140</v>
      </c>
      <c r="F39" s="359">
        <f t="shared" si="78"/>
        <v>75084</v>
      </c>
      <c r="G39" s="359">
        <f t="shared" si="78"/>
        <v>75070</v>
      </c>
      <c r="H39" s="359">
        <f t="shared" si="78"/>
        <v>74661</v>
      </c>
      <c r="I39" s="359">
        <f t="shared" si="78"/>
        <v>73378</v>
      </c>
      <c r="J39" s="359">
        <f t="shared" ref="J39:K39" si="79">J143</f>
        <v>70085</v>
      </c>
      <c r="K39" s="359">
        <f t="shared" si="79"/>
        <v>71954</v>
      </c>
      <c r="L39" s="359">
        <f t="shared" ref="L39" si="80">L143</f>
        <v>72679</v>
      </c>
      <c r="N39" s="7" t="s">
        <v>3831</v>
      </c>
    </row>
    <row r="40" spans="1:14">
      <c r="D40" s="360"/>
      <c r="E40" s="360"/>
      <c r="F40" s="360"/>
      <c r="G40" s="360"/>
      <c r="H40" s="360"/>
      <c r="I40" s="360"/>
      <c r="J40" s="360"/>
      <c r="K40" s="360"/>
      <c r="L40" s="360"/>
    </row>
    <row r="41" spans="1:14">
      <c r="A41" s="7" t="s">
        <v>3833</v>
      </c>
      <c r="D41" s="359">
        <f t="shared" ref="D41:I41" si="81">D310</f>
        <v>71927</v>
      </c>
      <c r="E41" s="359">
        <f t="shared" si="81"/>
        <v>71797</v>
      </c>
      <c r="F41" s="359">
        <f t="shared" si="81"/>
        <v>72422</v>
      </c>
      <c r="G41" s="359">
        <f t="shared" si="81"/>
        <v>72777</v>
      </c>
      <c r="H41" s="359">
        <f t="shared" si="81"/>
        <v>72368</v>
      </c>
      <c r="I41" s="359">
        <f t="shared" si="81"/>
        <v>72936</v>
      </c>
      <c r="J41" s="359">
        <f t="shared" ref="J41:K41" si="82">J310</f>
        <v>70529</v>
      </c>
      <c r="K41" s="359">
        <f t="shared" si="82"/>
        <v>72039</v>
      </c>
      <c r="L41" s="359">
        <f t="shared" ref="L41" si="83">L310</f>
        <v>72568</v>
      </c>
      <c r="N41" s="7" t="s">
        <v>5532</v>
      </c>
    </row>
    <row r="42" spans="1:14">
      <c r="D42" s="360"/>
      <c r="E42" s="360"/>
      <c r="F42" s="360"/>
      <c r="G42" s="360"/>
      <c r="H42" s="360"/>
      <c r="I42" s="360"/>
      <c r="J42" s="360"/>
      <c r="K42" s="360"/>
      <c r="L42" s="360"/>
    </row>
    <row r="43" spans="1:14">
      <c r="A43" s="7" t="s">
        <v>5533</v>
      </c>
      <c r="D43" s="360">
        <f t="shared" ref="D43:I43" si="84">D311</f>
        <v>20841</v>
      </c>
      <c r="E43" s="360">
        <f t="shared" si="84"/>
        <v>20889</v>
      </c>
      <c r="F43" s="360">
        <f t="shared" si="84"/>
        <v>21153</v>
      </c>
      <c r="G43" s="360">
        <f t="shared" si="84"/>
        <v>21280</v>
      </c>
      <c r="H43" s="360">
        <f t="shared" si="84"/>
        <v>20903</v>
      </c>
      <c r="I43" s="360">
        <f t="shared" si="84"/>
        <v>20987</v>
      </c>
      <c r="J43" s="360">
        <f t="shared" ref="J43:K43" si="85">J311</f>
        <v>19937</v>
      </c>
      <c r="K43" s="360">
        <f t="shared" si="85"/>
        <v>20434</v>
      </c>
      <c r="L43" s="360">
        <f t="shared" ref="L43" si="86">L311</f>
        <v>20636</v>
      </c>
      <c r="N43" s="7" t="s">
        <v>5532</v>
      </c>
    </row>
    <row r="44" spans="1:14" ht="15.75" thickBot="1">
      <c r="A44" s="7"/>
      <c r="D44" s="363">
        <f t="shared" ref="D44:I44" si="87">D342</f>
        <v>43998</v>
      </c>
      <c r="E44" s="363">
        <f t="shared" si="87"/>
        <v>44795</v>
      </c>
      <c r="F44" s="363">
        <f t="shared" si="87"/>
        <v>44430</v>
      </c>
      <c r="G44" s="363">
        <f t="shared" si="87"/>
        <v>44165</v>
      </c>
      <c r="H44" s="363">
        <f t="shared" si="87"/>
        <v>45124</v>
      </c>
      <c r="I44" s="363">
        <f t="shared" si="87"/>
        <v>44537</v>
      </c>
      <c r="J44" s="363">
        <f t="shared" ref="J44:K44" si="88">J342</f>
        <v>43931</v>
      </c>
      <c r="K44" s="363">
        <f t="shared" si="88"/>
        <v>44933</v>
      </c>
      <c r="L44" s="363">
        <f t="shared" ref="L44" si="89">L342</f>
        <v>44897</v>
      </c>
      <c r="N44" s="7" t="s">
        <v>3836</v>
      </c>
    </row>
    <row r="45" spans="1:14" ht="15.75" thickBot="1">
      <c r="A45" s="7"/>
      <c r="D45" s="364">
        <f t="shared" ref="D45:I45" si="90">D43+D44</f>
        <v>64839</v>
      </c>
      <c r="E45" s="364">
        <f t="shared" si="90"/>
        <v>65684</v>
      </c>
      <c r="F45" s="364">
        <f t="shared" si="90"/>
        <v>65583</v>
      </c>
      <c r="G45" s="364">
        <f t="shared" si="90"/>
        <v>65445</v>
      </c>
      <c r="H45" s="364">
        <f t="shared" si="90"/>
        <v>66027</v>
      </c>
      <c r="I45" s="364">
        <f t="shared" si="90"/>
        <v>65524</v>
      </c>
      <c r="J45" s="364">
        <f t="shared" ref="J45:K45" si="91">J43+J44</f>
        <v>63868</v>
      </c>
      <c r="K45" s="364">
        <f t="shared" si="91"/>
        <v>65367</v>
      </c>
      <c r="L45" s="364">
        <f t="shared" ref="L45" si="92">L43+L44</f>
        <v>65533</v>
      </c>
      <c r="N45" s="7"/>
    </row>
    <row r="46" spans="1:14">
      <c r="D46" s="360"/>
      <c r="E46" s="360"/>
      <c r="F46" s="360"/>
      <c r="G46" s="360"/>
      <c r="H46" s="360"/>
      <c r="I46" s="360"/>
      <c r="J46" s="360"/>
      <c r="K46" s="360"/>
      <c r="L46" s="360"/>
    </row>
    <row r="47" spans="1:14">
      <c r="A47" s="7" t="s">
        <v>5534</v>
      </c>
      <c r="D47" s="359">
        <f t="shared" ref="D47:I47" si="93">D312</f>
        <v>62665</v>
      </c>
      <c r="E47" s="359">
        <f t="shared" si="93"/>
        <v>62422</v>
      </c>
      <c r="F47" s="359">
        <f t="shared" si="93"/>
        <v>62914</v>
      </c>
      <c r="G47" s="359">
        <f t="shared" si="93"/>
        <v>63213</v>
      </c>
      <c r="H47" s="359">
        <f t="shared" si="93"/>
        <v>62910</v>
      </c>
      <c r="I47" s="359">
        <f t="shared" si="93"/>
        <v>63175</v>
      </c>
      <c r="J47" s="359">
        <f t="shared" ref="J47:K47" si="94">J312</f>
        <v>60718</v>
      </c>
      <c r="K47" s="359">
        <f t="shared" si="94"/>
        <v>61959</v>
      </c>
      <c r="L47" s="359">
        <f t="shared" ref="L47" si="95">L312</f>
        <v>62184</v>
      </c>
      <c r="N47" s="7" t="s">
        <v>5532</v>
      </c>
    </row>
    <row r="48" spans="1:14">
      <c r="D48" s="360"/>
      <c r="E48" s="360"/>
      <c r="F48" s="360"/>
      <c r="G48" s="360"/>
      <c r="H48" s="360"/>
      <c r="I48" s="360"/>
      <c r="J48" s="360"/>
      <c r="K48" s="360"/>
      <c r="L48" s="360"/>
    </row>
    <row r="49" spans="1:14">
      <c r="A49" s="7" t="s">
        <v>5535</v>
      </c>
      <c r="D49" s="359">
        <f t="shared" ref="D49:I49" si="96">D248</f>
        <v>79031</v>
      </c>
      <c r="E49" s="359">
        <f t="shared" si="96"/>
        <v>79636</v>
      </c>
      <c r="F49" s="359">
        <f t="shared" si="96"/>
        <v>79020</v>
      </c>
      <c r="G49" s="359">
        <f t="shared" si="96"/>
        <v>80503</v>
      </c>
      <c r="H49" s="359">
        <f t="shared" si="96"/>
        <v>79885</v>
      </c>
      <c r="I49" s="359">
        <f t="shared" si="96"/>
        <v>80059</v>
      </c>
      <c r="J49" s="359">
        <f t="shared" ref="J49:K49" si="97">J248</f>
        <v>75880</v>
      </c>
      <c r="K49" s="359">
        <f t="shared" si="97"/>
        <v>78625</v>
      </c>
      <c r="L49" s="359">
        <f t="shared" ref="L49" si="98">L248</f>
        <v>79317</v>
      </c>
      <c r="N49" s="7" t="s">
        <v>5536</v>
      </c>
    </row>
    <row r="50" spans="1:14">
      <c r="D50" s="360"/>
      <c r="E50" s="360"/>
      <c r="F50" s="360"/>
      <c r="G50" s="360"/>
      <c r="H50" s="360"/>
      <c r="I50" s="360"/>
      <c r="J50" s="360"/>
      <c r="K50" s="360"/>
      <c r="L50" s="360"/>
    </row>
    <row r="51" spans="1:14">
      <c r="A51" s="7" t="s">
        <v>5537</v>
      </c>
      <c r="D51" s="359">
        <f t="shared" ref="D51:I51" si="99">D410</f>
        <v>75330</v>
      </c>
      <c r="E51" s="359">
        <f t="shared" si="99"/>
        <v>77001</v>
      </c>
      <c r="F51" s="359">
        <f t="shared" si="99"/>
        <v>77900</v>
      </c>
      <c r="G51" s="359">
        <f t="shared" si="99"/>
        <v>78529</v>
      </c>
      <c r="H51" s="359">
        <f t="shared" si="99"/>
        <v>78661</v>
      </c>
      <c r="I51" s="359">
        <f t="shared" si="99"/>
        <v>74008</v>
      </c>
      <c r="J51" s="359">
        <f t="shared" ref="J51:K51" si="100">J410</f>
        <v>73070</v>
      </c>
      <c r="K51" s="359">
        <f t="shared" si="100"/>
        <v>74448</v>
      </c>
      <c r="L51" s="359">
        <f t="shared" ref="L51" si="101">L410</f>
        <v>74941</v>
      </c>
      <c r="N51" s="7" t="s">
        <v>3829</v>
      </c>
    </row>
    <row r="52" spans="1:14">
      <c r="D52" s="360"/>
      <c r="E52" s="360"/>
      <c r="F52" s="360"/>
      <c r="G52" s="360"/>
      <c r="H52" s="360"/>
      <c r="I52" s="360"/>
      <c r="J52" s="360"/>
      <c r="K52" s="360"/>
      <c r="L52" s="360"/>
    </row>
    <row r="53" spans="1:14">
      <c r="A53" s="7" t="s">
        <v>5538</v>
      </c>
      <c r="D53" s="359">
        <f t="shared" ref="D53:I53" si="102">D411</f>
        <v>73447</v>
      </c>
      <c r="E53" s="359">
        <f t="shared" si="102"/>
        <v>74856</v>
      </c>
      <c r="F53" s="359">
        <f t="shared" si="102"/>
        <v>75307</v>
      </c>
      <c r="G53" s="359">
        <f t="shared" si="102"/>
        <v>75725</v>
      </c>
      <c r="H53" s="359">
        <f t="shared" si="102"/>
        <v>75758</v>
      </c>
      <c r="I53" s="359">
        <f t="shared" si="102"/>
        <v>72835</v>
      </c>
      <c r="J53" s="359">
        <f t="shared" ref="J53:K53" si="103">J411</f>
        <v>71857</v>
      </c>
      <c r="K53" s="359">
        <f t="shared" si="103"/>
        <v>72636</v>
      </c>
      <c r="L53" s="359">
        <f t="shared" ref="L53" si="104">L411</f>
        <v>73355</v>
      </c>
      <c r="N53" s="7" t="s">
        <v>3829</v>
      </c>
    </row>
    <row r="54" spans="1:14">
      <c r="D54" s="360"/>
      <c r="E54" s="360"/>
      <c r="F54" s="360"/>
      <c r="G54" s="360"/>
      <c r="H54" s="360"/>
      <c r="I54" s="360"/>
      <c r="J54" s="360"/>
      <c r="K54" s="360"/>
      <c r="L54" s="360"/>
    </row>
    <row r="55" spans="1:14">
      <c r="A55" s="7" t="s">
        <v>5539</v>
      </c>
      <c r="D55" s="359">
        <f t="shared" ref="D55:I55" si="105">D185</f>
        <v>85522</v>
      </c>
      <c r="E55" s="359">
        <f t="shared" si="105"/>
        <v>89519</v>
      </c>
      <c r="F55" s="359">
        <f t="shared" si="105"/>
        <v>91216</v>
      </c>
      <c r="G55" s="359">
        <f t="shared" si="105"/>
        <v>92334</v>
      </c>
      <c r="H55" s="359">
        <f t="shared" si="105"/>
        <v>95373</v>
      </c>
      <c r="I55" s="359">
        <f t="shared" si="105"/>
        <v>89845</v>
      </c>
      <c r="J55" s="359">
        <f t="shared" ref="J55:K55" si="106">J185</f>
        <v>87339</v>
      </c>
      <c r="K55" s="359">
        <f t="shared" si="106"/>
        <v>85370</v>
      </c>
      <c r="L55" s="359">
        <f t="shared" ref="L55" si="107">L185</f>
        <v>88488</v>
      </c>
      <c r="N55" s="7" t="s">
        <v>3838</v>
      </c>
    </row>
    <row r="56" spans="1:14">
      <c r="D56" s="360"/>
      <c r="E56" s="360"/>
      <c r="F56" s="360"/>
      <c r="G56" s="360"/>
      <c r="H56" s="360"/>
      <c r="I56" s="360"/>
      <c r="J56" s="360"/>
      <c r="K56" s="360"/>
      <c r="L56" s="360"/>
    </row>
    <row r="57" spans="1:14">
      <c r="A57" s="7" t="s">
        <v>5540</v>
      </c>
      <c r="D57" s="359">
        <f t="shared" ref="D57:I57" si="108">D186</f>
        <v>72535</v>
      </c>
      <c r="E57" s="359">
        <f t="shared" si="108"/>
        <v>74681</v>
      </c>
      <c r="F57" s="359">
        <f t="shared" si="108"/>
        <v>76497</v>
      </c>
      <c r="G57" s="359">
        <f t="shared" si="108"/>
        <v>76384</v>
      </c>
      <c r="H57" s="359">
        <f t="shared" si="108"/>
        <v>76807</v>
      </c>
      <c r="I57" s="359">
        <f t="shared" si="108"/>
        <v>72518</v>
      </c>
      <c r="J57" s="359">
        <f t="shared" ref="J57:K57" si="109">J186</f>
        <v>74227</v>
      </c>
      <c r="K57" s="359">
        <f t="shared" si="109"/>
        <v>70873</v>
      </c>
      <c r="L57" s="359">
        <f t="shared" ref="L57" si="110">L186</f>
        <v>73951</v>
      </c>
      <c r="N57" s="7" t="s">
        <v>3838</v>
      </c>
    </row>
    <row r="58" spans="1:14">
      <c r="D58" s="360"/>
      <c r="E58" s="360"/>
      <c r="F58" s="360"/>
      <c r="G58" s="360"/>
      <c r="H58" s="360"/>
      <c r="I58" s="360"/>
      <c r="J58" s="360"/>
      <c r="K58" s="360"/>
      <c r="L58" s="360"/>
    </row>
    <row r="59" spans="1:14">
      <c r="A59" s="7" t="s">
        <v>5541</v>
      </c>
      <c r="D59" s="359">
        <f t="shared" ref="D59:I59" si="111">D187</f>
        <v>72514</v>
      </c>
      <c r="E59" s="359">
        <f t="shared" si="111"/>
        <v>73656</v>
      </c>
      <c r="F59" s="359">
        <f t="shared" si="111"/>
        <v>74964</v>
      </c>
      <c r="G59" s="359">
        <f t="shared" si="111"/>
        <v>75170</v>
      </c>
      <c r="H59" s="359">
        <f t="shared" si="111"/>
        <v>75560</v>
      </c>
      <c r="I59" s="359">
        <f t="shared" si="111"/>
        <v>74396</v>
      </c>
      <c r="J59" s="359">
        <f t="shared" ref="J59:K59" si="112">J187</f>
        <v>74616</v>
      </c>
      <c r="K59" s="359">
        <f t="shared" si="112"/>
        <v>69707</v>
      </c>
      <c r="L59" s="359">
        <f t="shared" ref="L59" si="113">L187</f>
        <v>71330</v>
      </c>
      <c r="N59" s="7" t="s">
        <v>3838</v>
      </c>
    </row>
    <row r="60" spans="1:14">
      <c r="D60" s="360"/>
      <c r="E60" s="360"/>
      <c r="F60" s="360"/>
      <c r="G60" s="360"/>
      <c r="H60" s="360"/>
      <c r="I60" s="360"/>
      <c r="J60" s="360"/>
      <c r="K60" s="360"/>
      <c r="L60" s="360"/>
    </row>
    <row r="61" spans="1:14">
      <c r="A61" s="7" t="s">
        <v>7357</v>
      </c>
      <c r="D61" s="359">
        <f t="shared" ref="D61:I61" si="114">D218</f>
        <v>72307</v>
      </c>
      <c r="E61" s="359">
        <f t="shared" si="114"/>
        <v>72249</v>
      </c>
      <c r="F61" s="359">
        <f t="shared" si="114"/>
        <v>71211</v>
      </c>
      <c r="G61" s="359">
        <f t="shared" si="114"/>
        <v>72260</v>
      </c>
      <c r="H61" s="359">
        <f t="shared" si="114"/>
        <v>72168</v>
      </c>
      <c r="I61" s="359">
        <f t="shared" si="114"/>
        <v>70237</v>
      </c>
      <c r="J61" s="359">
        <f t="shared" ref="J61:K61" si="115">J218</f>
        <v>69222</v>
      </c>
      <c r="K61" s="359">
        <f t="shared" si="115"/>
        <v>70446</v>
      </c>
      <c r="L61" s="359">
        <f t="shared" ref="L61" si="116">L218</f>
        <v>70897</v>
      </c>
      <c r="N61" s="7" t="s">
        <v>3835</v>
      </c>
    </row>
    <row r="62" spans="1:14">
      <c r="D62" s="360"/>
      <c r="E62" s="360"/>
      <c r="F62" s="360"/>
      <c r="G62" s="360"/>
      <c r="H62" s="360"/>
      <c r="I62" s="360"/>
      <c r="J62" s="360"/>
      <c r="K62" s="360"/>
      <c r="L62" s="360"/>
    </row>
    <row r="63" spans="1:14">
      <c r="A63" s="7" t="s">
        <v>7358</v>
      </c>
      <c r="D63" s="359">
        <f t="shared" ref="D63:I63" si="117">D219</f>
        <v>72066</v>
      </c>
      <c r="E63" s="359">
        <f t="shared" si="117"/>
        <v>72402</v>
      </c>
      <c r="F63" s="359">
        <f t="shared" si="117"/>
        <v>71968</v>
      </c>
      <c r="G63" s="359">
        <f t="shared" si="117"/>
        <v>72544</v>
      </c>
      <c r="H63" s="359">
        <f t="shared" si="117"/>
        <v>72437</v>
      </c>
      <c r="I63" s="359">
        <f t="shared" si="117"/>
        <v>70440</v>
      </c>
      <c r="J63" s="359">
        <f t="shared" ref="J63:K63" si="118">J219</f>
        <v>69456</v>
      </c>
      <c r="K63" s="359">
        <f t="shared" si="118"/>
        <v>70917</v>
      </c>
      <c r="L63" s="359">
        <f t="shared" ref="L63" si="119">L219</f>
        <v>70945</v>
      </c>
      <c r="N63" s="7" t="s">
        <v>3835</v>
      </c>
    </row>
    <row r="64" spans="1:14">
      <c r="D64" s="360"/>
      <c r="E64" s="360"/>
      <c r="F64" s="360"/>
      <c r="G64" s="360"/>
      <c r="H64" s="360"/>
      <c r="I64" s="360"/>
      <c r="J64" s="360"/>
      <c r="K64" s="360"/>
      <c r="L64" s="360"/>
    </row>
    <row r="65" spans="1:14">
      <c r="A65" s="7" t="s">
        <v>7359</v>
      </c>
      <c r="D65" s="359">
        <f t="shared" ref="D65:I65" si="120">D249</f>
        <v>77471</v>
      </c>
      <c r="E65" s="359">
        <f t="shared" si="120"/>
        <v>77699</v>
      </c>
      <c r="F65" s="359">
        <f t="shared" si="120"/>
        <v>78035</v>
      </c>
      <c r="G65" s="359">
        <f t="shared" si="120"/>
        <v>78320</v>
      </c>
      <c r="H65" s="359">
        <f t="shared" si="120"/>
        <v>77397</v>
      </c>
      <c r="I65" s="359">
        <f t="shared" si="120"/>
        <v>77219</v>
      </c>
      <c r="J65" s="359">
        <f t="shared" ref="J65:K65" si="121">J249</f>
        <v>72530</v>
      </c>
      <c r="K65" s="359">
        <f t="shared" si="121"/>
        <v>76576</v>
      </c>
      <c r="L65" s="359">
        <f t="shared" ref="L65" si="122">L249</f>
        <v>78002</v>
      </c>
      <c r="N65" s="7" t="s">
        <v>5536</v>
      </c>
    </row>
    <row r="66" spans="1:14">
      <c r="D66" s="360"/>
      <c r="E66" s="360"/>
      <c r="F66" s="360"/>
      <c r="G66" s="360"/>
      <c r="H66" s="360"/>
      <c r="I66" s="360"/>
      <c r="J66" s="360"/>
      <c r="K66" s="360"/>
      <c r="L66" s="360"/>
    </row>
    <row r="67" spans="1:14">
      <c r="A67" s="7" t="s">
        <v>7360</v>
      </c>
      <c r="D67" s="359">
        <f t="shared" ref="D67:I67" si="123">D279</f>
        <v>74817</v>
      </c>
      <c r="E67" s="359">
        <f t="shared" si="123"/>
        <v>76863</v>
      </c>
      <c r="F67" s="359">
        <f t="shared" si="123"/>
        <v>78217</v>
      </c>
      <c r="G67" s="359">
        <f t="shared" si="123"/>
        <v>78545</v>
      </c>
      <c r="H67" s="359">
        <f t="shared" si="123"/>
        <v>78803</v>
      </c>
      <c r="I67" s="359">
        <f t="shared" si="123"/>
        <v>72464</v>
      </c>
      <c r="J67" s="359">
        <f t="shared" ref="J67:K67" si="124">J279</f>
        <v>74161</v>
      </c>
      <c r="K67" s="359">
        <f t="shared" si="124"/>
        <v>74300</v>
      </c>
      <c r="L67" s="359">
        <f t="shared" ref="L67" si="125">L279</f>
        <v>75775</v>
      </c>
      <c r="N67" s="7" t="s">
        <v>3839</v>
      </c>
    </row>
    <row r="68" spans="1:14">
      <c r="D68" s="360"/>
      <c r="E68" s="360"/>
      <c r="F68" s="360"/>
      <c r="G68" s="360"/>
      <c r="H68" s="360"/>
      <c r="I68" s="360"/>
      <c r="J68" s="360"/>
      <c r="K68" s="360"/>
      <c r="L68" s="360"/>
    </row>
    <row r="69" spans="1:14">
      <c r="A69" s="7" t="s">
        <v>7361</v>
      </c>
      <c r="D69" s="359">
        <f t="shared" ref="D69:I69" si="126">D343</f>
        <v>69058</v>
      </c>
      <c r="E69" s="359">
        <f t="shared" si="126"/>
        <v>70691</v>
      </c>
      <c r="F69" s="359">
        <f t="shared" si="126"/>
        <v>70003</v>
      </c>
      <c r="G69" s="359">
        <f t="shared" si="126"/>
        <v>70034</v>
      </c>
      <c r="H69" s="359">
        <f t="shared" si="126"/>
        <v>71513</v>
      </c>
      <c r="I69" s="359">
        <f t="shared" si="126"/>
        <v>70181</v>
      </c>
      <c r="J69" s="359">
        <f t="shared" ref="J69:K69" si="127">J343</f>
        <v>69177</v>
      </c>
      <c r="K69" s="359">
        <f t="shared" si="127"/>
        <v>70800</v>
      </c>
      <c r="L69" s="359">
        <f t="shared" ref="L69" si="128">L343</f>
        <v>71432</v>
      </c>
      <c r="N69" s="7" t="s">
        <v>3836</v>
      </c>
    </row>
    <row r="70" spans="1:14">
      <c r="D70" s="360"/>
      <c r="E70" s="360"/>
      <c r="F70" s="360"/>
      <c r="G70" s="360"/>
      <c r="H70" s="360"/>
      <c r="I70" s="360"/>
      <c r="J70" s="360"/>
      <c r="K70" s="360"/>
      <c r="L70" s="360"/>
    </row>
    <row r="71" spans="1:14">
      <c r="A71" s="7" t="s">
        <v>7362</v>
      </c>
      <c r="D71" s="359">
        <f t="shared" ref="D71:I71" si="129">D313</f>
        <v>62950</v>
      </c>
      <c r="E71" s="359">
        <f t="shared" si="129"/>
        <v>62764</v>
      </c>
      <c r="F71" s="359">
        <f t="shared" si="129"/>
        <v>63788</v>
      </c>
      <c r="G71" s="359">
        <f t="shared" si="129"/>
        <v>64310</v>
      </c>
      <c r="H71" s="359">
        <f t="shared" si="129"/>
        <v>63699</v>
      </c>
      <c r="I71" s="359">
        <f t="shared" si="129"/>
        <v>63648</v>
      </c>
      <c r="J71" s="359">
        <f t="shared" ref="J71:K71" si="130">J313</f>
        <v>60664</v>
      </c>
      <c r="K71" s="359">
        <f t="shared" si="130"/>
        <v>62255</v>
      </c>
      <c r="L71" s="359">
        <f t="shared" ref="L71" si="131">L313</f>
        <v>62906</v>
      </c>
      <c r="N71" s="7" t="s">
        <v>5532</v>
      </c>
    </row>
    <row r="72" spans="1:14">
      <c r="D72" s="360"/>
      <c r="E72" s="360"/>
      <c r="F72" s="360"/>
      <c r="G72" s="360"/>
      <c r="H72" s="360"/>
      <c r="I72" s="360"/>
      <c r="J72" s="360"/>
      <c r="K72" s="360"/>
      <c r="L72" s="360"/>
    </row>
    <row r="73" spans="1:14">
      <c r="A73" s="7" t="s">
        <v>7363</v>
      </c>
      <c r="D73" s="359">
        <f t="shared" ref="D73:I73" si="132">D374</f>
        <v>70056</v>
      </c>
      <c r="E73" s="359">
        <f t="shared" si="132"/>
        <v>70520</v>
      </c>
      <c r="F73" s="359">
        <f t="shared" si="132"/>
        <v>66507</v>
      </c>
      <c r="G73" s="359">
        <f t="shared" si="132"/>
        <v>66984</v>
      </c>
      <c r="H73" s="359">
        <f t="shared" si="132"/>
        <v>67417</v>
      </c>
      <c r="I73" s="359">
        <f t="shared" si="132"/>
        <v>66634</v>
      </c>
      <c r="J73" s="359">
        <f t="shared" ref="J73:K73" si="133">J374</f>
        <v>67424</v>
      </c>
      <c r="K73" s="359">
        <f t="shared" si="133"/>
        <v>69001</v>
      </c>
      <c r="L73" s="359">
        <f t="shared" ref="L73" si="134">L374</f>
        <v>70615</v>
      </c>
      <c r="N73" s="7" t="s">
        <v>2133</v>
      </c>
    </row>
    <row r="74" spans="1:14">
      <c r="D74" s="360"/>
      <c r="E74" s="360"/>
      <c r="F74" s="360"/>
      <c r="G74" s="360"/>
      <c r="H74" s="360"/>
      <c r="I74" s="360"/>
      <c r="J74" s="360"/>
      <c r="K74" s="360"/>
      <c r="L74" s="360"/>
    </row>
    <row r="75" spans="1:14">
      <c r="A75" s="7" t="s">
        <v>7364</v>
      </c>
      <c r="D75" s="359">
        <f t="shared" ref="D75:I75" si="135">D412</f>
        <v>75035</v>
      </c>
      <c r="E75" s="359">
        <f t="shared" si="135"/>
        <v>76779</v>
      </c>
      <c r="F75" s="359">
        <f t="shared" si="135"/>
        <v>77288</v>
      </c>
      <c r="G75" s="359">
        <f t="shared" si="135"/>
        <v>77675</v>
      </c>
      <c r="H75" s="359">
        <f t="shared" si="135"/>
        <v>77655</v>
      </c>
      <c r="I75" s="359">
        <f t="shared" si="135"/>
        <v>74621</v>
      </c>
      <c r="J75" s="359">
        <f t="shared" ref="J75:K75" si="136">J412</f>
        <v>72733</v>
      </c>
      <c r="K75" s="359">
        <f t="shared" si="136"/>
        <v>73656</v>
      </c>
      <c r="L75" s="359">
        <f t="shared" ref="L75" si="137">L412</f>
        <v>74241</v>
      </c>
      <c r="N75" s="7" t="s">
        <v>3829</v>
      </c>
    </row>
    <row r="76" spans="1:14">
      <c r="D76" s="360"/>
      <c r="E76" s="360"/>
      <c r="F76" s="360"/>
      <c r="G76" s="360"/>
      <c r="H76" s="360"/>
      <c r="I76" s="360"/>
      <c r="J76" s="360"/>
      <c r="K76" s="360"/>
      <c r="L76" s="360"/>
    </row>
    <row r="77" spans="1:14">
      <c r="A77" s="7" t="s">
        <v>7365</v>
      </c>
      <c r="D77" s="359">
        <f t="shared" ref="D77:I77" si="138">D280</f>
        <v>73019</v>
      </c>
      <c r="E77" s="359">
        <f t="shared" si="138"/>
        <v>73409</v>
      </c>
      <c r="F77" s="359">
        <f t="shared" si="138"/>
        <v>73458</v>
      </c>
      <c r="G77" s="359">
        <f t="shared" si="138"/>
        <v>73982</v>
      </c>
      <c r="H77" s="359">
        <f t="shared" si="138"/>
        <v>73975</v>
      </c>
      <c r="I77" s="359">
        <f t="shared" si="138"/>
        <v>71425</v>
      </c>
      <c r="J77" s="359">
        <f t="shared" ref="J77:K77" si="139">J280</f>
        <v>72316</v>
      </c>
      <c r="K77" s="359">
        <f t="shared" si="139"/>
        <v>71927</v>
      </c>
      <c r="L77" s="359">
        <f t="shared" ref="L77" si="140">L280</f>
        <v>73054</v>
      </c>
      <c r="N77" s="7" t="s">
        <v>3839</v>
      </c>
    </row>
    <row r="78" spans="1:14">
      <c r="D78" s="360"/>
      <c r="E78" s="360"/>
      <c r="F78" s="360"/>
      <c r="G78" s="360"/>
      <c r="H78" s="360"/>
      <c r="I78" s="360"/>
      <c r="J78" s="360"/>
      <c r="K78" s="360"/>
      <c r="L78" s="360"/>
    </row>
    <row r="79" spans="1:14">
      <c r="A79" s="7" t="s">
        <v>7366</v>
      </c>
      <c r="D79" s="359">
        <f t="shared" ref="D79:I79" si="141">D188</f>
        <v>52002</v>
      </c>
      <c r="E79" s="359">
        <f t="shared" si="141"/>
        <v>52444</v>
      </c>
      <c r="F79" s="359">
        <f t="shared" si="141"/>
        <v>53009</v>
      </c>
      <c r="G79" s="359">
        <f t="shared" si="141"/>
        <v>53349</v>
      </c>
      <c r="H79" s="359">
        <f t="shared" si="141"/>
        <v>53849</v>
      </c>
      <c r="I79" s="359">
        <f t="shared" si="141"/>
        <v>53363</v>
      </c>
      <c r="J79" s="359">
        <f t="shared" ref="J79:K79" si="142">J188</f>
        <v>53643</v>
      </c>
      <c r="K79" s="359">
        <f t="shared" si="142"/>
        <v>51880</v>
      </c>
      <c r="L79" s="359">
        <f t="shared" ref="L79" si="143">L188</f>
        <v>52353</v>
      </c>
      <c r="N79" s="7" t="s">
        <v>3838</v>
      </c>
    </row>
    <row r="80" spans="1:14" ht="15.75" thickBot="1">
      <c r="A80" s="7" t="s">
        <v>7367</v>
      </c>
      <c r="D80" s="363">
        <f t="shared" ref="D80:I80" si="144">D375</f>
        <v>23094</v>
      </c>
      <c r="E80" s="363">
        <f t="shared" si="144"/>
        <v>23158</v>
      </c>
      <c r="F80" s="363">
        <f t="shared" si="144"/>
        <v>22196</v>
      </c>
      <c r="G80" s="363">
        <f t="shared" si="144"/>
        <v>22249</v>
      </c>
      <c r="H80" s="363">
        <f t="shared" si="144"/>
        <v>22365</v>
      </c>
      <c r="I80" s="363">
        <f t="shared" si="144"/>
        <v>22409</v>
      </c>
      <c r="J80" s="363">
        <f t="shared" ref="J80:K80" si="145">J375</f>
        <v>22276</v>
      </c>
      <c r="K80" s="363">
        <f t="shared" si="145"/>
        <v>22793</v>
      </c>
      <c r="L80" s="363">
        <f t="shared" ref="L80" si="146">L375</f>
        <v>23020</v>
      </c>
      <c r="N80" s="7" t="s">
        <v>2133</v>
      </c>
    </row>
    <row r="81" spans="1:18" ht="15.75" thickBot="1">
      <c r="D81" s="363">
        <f t="shared" ref="D81:I81" si="147">D79+D80</f>
        <v>75096</v>
      </c>
      <c r="E81" s="363">
        <f t="shared" si="147"/>
        <v>75602</v>
      </c>
      <c r="F81" s="363">
        <f t="shared" si="147"/>
        <v>75205</v>
      </c>
      <c r="G81" s="363">
        <f t="shared" si="147"/>
        <v>75598</v>
      </c>
      <c r="H81" s="363">
        <f t="shared" si="147"/>
        <v>76214</v>
      </c>
      <c r="I81" s="363">
        <f t="shared" si="147"/>
        <v>75772</v>
      </c>
      <c r="J81" s="363">
        <f t="shared" ref="J81:K81" si="148">J79+J80</f>
        <v>75919</v>
      </c>
      <c r="K81" s="363">
        <f t="shared" si="148"/>
        <v>74673</v>
      </c>
      <c r="L81" s="363">
        <f t="shared" ref="L81" si="149">L79+L80</f>
        <v>75373</v>
      </c>
    </row>
    <row r="82" spans="1:18">
      <c r="D82" s="360"/>
      <c r="E82" s="360"/>
      <c r="F82" s="360"/>
      <c r="G82" s="360"/>
      <c r="H82" s="360"/>
      <c r="I82" s="360"/>
      <c r="J82" s="360"/>
      <c r="K82" s="360"/>
      <c r="L82" s="360"/>
    </row>
    <row r="83" spans="1:18">
      <c r="A83" s="7" t="s">
        <v>8697</v>
      </c>
      <c r="D83" s="359">
        <f t="shared" ref="D83:I83" si="150">D19+D23+D27+D29+D31+D35+D37+D39+D41+D45+D47+D49+D51+D53+D55+D57+D59+D61+D63+D65+D67+D69+D71+D73+D75+D77+D81</f>
        <v>1935913</v>
      </c>
      <c r="E83" s="359">
        <f t="shared" si="150"/>
        <v>1957990</v>
      </c>
      <c r="F83" s="359">
        <f t="shared" si="150"/>
        <v>1960361</v>
      </c>
      <c r="G83" s="359">
        <f t="shared" si="150"/>
        <v>1971447</v>
      </c>
      <c r="H83" s="359">
        <f t="shared" si="150"/>
        <v>1978050</v>
      </c>
      <c r="I83" s="359">
        <f t="shared" si="150"/>
        <v>1933630</v>
      </c>
      <c r="J83" s="359">
        <f t="shared" ref="J83:K83" si="151">J19+J23+J27+J29+J31+J35+J37+J39+J41+J45+J47+J49+J51+J53+J55+J57+J59+J61+J63+J65+J67+J69+J71+J73+J75+J77+J81</f>
        <v>1897229</v>
      </c>
      <c r="K83" s="359">
        <f t="shared" si="151"/>
        <v>1916189</v>
      </c>
      <c r="L83" s="359">
        <f t="shared" ref="L83" si="152">L19+L23+L27+L29+L31+L35+L37+L39+L41+L45+L47+L49+L51+L53+L55+L57+L59+L61+L63+L65+L67+L69+L71+L73+L75+L77+L81</f>
        <v>1940388</v>
      </c>
    </row>
    <row r="84" spans="1:18">
      <c r="D84" s="360"/>
      <c r="E84" s="360"/>
      <c r="F84" s="360"/>
      <c r="G84" s="360"/>
      <c r="H84" s="360"/>
      <c r="I84" s="360"/>
      <c r="J84" s="360"/>
      <c r="K84" s="360"/>
      <c r="L84" s="360"/>
    </row>
    <row r="85" spans="1:18">
      <c r="A85" s="7" t="s">
        <v>8698</v>
      </c>
      <c r="D85" s="359">
        <f t="shared" ref="D85:I85" si="153">MAX(D19:D81)-MIN(D19,D23,D27,D29,D35,D37,D39,D41,D45,D47,D49,D51,D53,D55,D57,D59,D61,D63,D65,D67,D69,D71,D73,D75,D77,D81)</f>
        <v>22857</v>
      </c>
      <c r="E85" s="359">
        <f t="shared" si="153"/>
        <v>27097</v>
      </c>
      <c r="F85" s="359">
        <f t="shared" si="153"/>
        <v>28302</v>
      </c>
      <c r="G85" s="359">
        <f t="shared" si="153"/>
        <v>29121</v>
      </c>
      <c r="H85" s="359">
        <f t="shared" si="153"/>
        <v>32463</v>
      </c>
      <c r="I85" s="359">
        <f t="shared" si="153"/>
        <v>26670</v>
      </c>
      <c r="J85" s="359">
        <f t="shared" ref="J85:K85" si="154">MAX(J19:J81)-MIN(J19,J23,J27,J29,J35,J37,J39,J41,J45,J47,J49,J51,J53,J55,J57,J59,J61,J63,J65,J67,J69,J71,J73,J75,J77,J81)</f>
        <v>26675</v>
      </c>
      <c r="K85" s="359">
        <f t="shared" si="154"/>
        <v>23411</v>
      </c>
      <c r="L85" s="359">
        <f t="shared" ref="L85" si="155">MAX(L19:L81)-MIN(L19,L23,L27,L29,L35,L37,L39,L41,L45,L47,L49,L51,L53,L55,L57,L59,L61,L63,L65,L67,L69,L71,L73,L75,L77,L81)</f>
        <v>26304</v>
      </c>
    </row>
    <row r="86" spans="1:18">
      <c r="D86" s="360"/>
      <c r="E86" s="360"/>
      <c r="F86" s="360"/>
      <c r="G86" s="360"/>
      <c r="H86" s="360"/>
      <c r="I86" s="360"/>
      <c r="J86" s="360"/>
      <c r="K86" s="360"/>
      <c r="L86" s="360"/>
    </row>
    <row r="87" spans="1:18">
      <c r="A87" s="365" t="s">
        <v>8701</v>
      </c>
      <c r="D87" s="359">
        <f t="shared" ref="D87:I87" si="156">STDEVP(D19,D23,D27,D29,D31,D35,D37,D39,D41,D45,D47,D49,D51,D53,D55,D57,D59,D61,D63,D65,D67,D69,D71,D73,D75,D77,D81)</f>
        <v>4821.9202519664022</v>
      </c>
      <c r="E87" s="359">
        <f t="shared" si="156"/>
        <v>5448.2865652029213</v>
      </c>
      <c r="F87" s="359">
        <f t="shared" si="156"/>
        <v>5827.6838324054706</v>
      </c>
      <c r="G87" s="359">
        <f t="shared" si="156"/>
        <v>5997.6212156915672</v>
      </c>
      <c r="H87" s="359">
        <f t="shared" si="156"/>
        <v>6295.8644176500566</v>
      </c>
      <c r="I87" s="359">
        <f t="shared" si="156"/>
        <v>5314.1850141751183</v>
      </c>
      <c r="J87" s="359">
        <f t="shared" ref="J87:K87" si="157">STDEVP(J19,J23,J27,J29,J31,J35,J37,J39,J41,J45,J47,J49,J51,J53,J55,J57,J59,J61,J63,J65,J67,J69,J71,J73,J75,J77,J81)</f>
        <v>5385.9870555371999</v>
      </c>
      <c r="K87" s="359">
        <f t="shared" si="157"/>
        <v>4805.9581037421203</v>
      </c>
      <c r="L87" s="359">
        <f t="shared" ref="L87" si="158">STDEVP(L19,L23,L27,L29,L31,L35,L37,L39,L41,L45,L47,L49,L51,L53,L55,L57,L59,L61,L63,L65,L67,L69,L71,L73,L75,L77,L81)</f>
        <v>5226.8221443239354</v>
      </c>
    </row>
    <row r="90" spans="1:18">
      <c r="E90" s="42" t="s">
        <v>2303</v>
      </c>
      <c r="F90" s="42"/>
      <c r="G90" s="42"/>
      <c r="H90" s="42"/>
      <c r="I90" s="42"/>
      <c r="J90" s="42"/>
      <c r="K90" s="42"/>
      <c r="L90" s="42"/>
      <c r="M90" s="65"/>
      <c r="N90" s="66" t="s">
        <v>13319</v>
      </c>
    </row>
    <row r="91" spans="1:18">
      <c r="D91" s="55">
        <v>2010</v>
      </c>
      <c r="E91" s="55">
        <v>2011</v>
      </c>
      <c r="F91" s="55">
        <v>2012</v>
      </c>
      <c r="G91" s="55">
        <v>2013</v>
      </c>
      <c r="H91" s="55">
        <v>2014</v>
      </c>
      <c r="I91" s="55">
        <v>2015</v>
      </c>
      <c r="J91" s="55">
        <v>2016</v>
      </c>
      <c r="K91" s="55">
        <v>2017</v>
      </c>
      <c r="L91" s="55">
        <v>2018</v>
      </c>
      <c r="N91" s="67" t="s">
        <v>2304</v>
      </c>
    </row>
    <row r="92" spans="1:18">
      <c r="A92" s="7" t="s">
        <v>7368</v>
      </c>
      <c r="C92" s="7"/>
      <c r="D92" s="359">
        <f t="shared" ref="D92:I92" si="159">SUM(D93:D112)</f>
        <v>196202</v>
      </c>
      <c r="E92" s="359">
        <f t="shared" si="159"/>
        <v>196180</v>
      </c>
      <c r="F92" s="359">
        <f t="shared" si="159"/>
        <v>195499</v>
      </c>
      <c r="G92" s="359">
        <f t="shared" si="159"/>
        <v>196620</v>
      </c>
      <c r="H92" s="359">
        <f t="shared" si="159"/>
        <v>196840</v>
      </c>
      <c r="I92" s="359">
        <f t="shared" si="159"/>
        <v>196320</v>
      </c>
      <c r="J92" s="359">
        <f t="shared" ref="J92:K92" si="160">SUM(J93:J112)</f>
        <v>188874</v>
      </c>
      <c r="K92" s="359">
        <f t="shared" si="160"/>
        <v>193297</v>
      </c>
      <c r="L92" s="359">
        <f t="shared" ref="L92" si="161">SUM(L93:L112)</f>
        <v>194950</v>
      </c>
    </row>
    <row r="93" spans="1:18">
      <c r="A93" s="7" t="s">
        <v>6957</v>
      </c>
      <c r="B93" s="7" t="s">
        <v>7369</v>
      </c>
      <c r="C93" s="4" t="s">
        <v>8978</v>
      </c>
      <c r="D93" s="359">
        <v>10035</v>
      </c>
      <c r="E93" s="359">
        <v>10109</v>
      </c>
      <c r="F93" s="359">
        <v>10123</v>
      </c>
      <c r="G93" s="359">
        <v>10271</v>
      </c>
      <c r="H93" s="48">
        <v>10412</v>
      </c>
      <c r="I93" s="48">
        <v>10383</v>
      </c>
      <c r="J93" s="30">
        <v>9911</v>
      </c>
      <c r="K93" s="30">
        <v>10147</v>
      </c>
      <c r="L93" s="30">
        <v>10253</v>
      </c>
      <c r="N93" s="7" t="s">
        <v>3825</v>
      </c>
      <c r="P93" s="4"/>
      <c r="R93" s="4"/>
    </row>
    <row r="94" spans="1:18">
      <c r="A94" s="7" t="s">
        <v>6959</v>
      </c>
      <c r="B94" s="7" t="s">
        <v>7370</v>
      </c>
      <c r="C94" s="4" t="s">
        <v>8979</v>
      </c>
      <c r="D94" s="359">
        <v>8974</v>
      </c>
      <c r="E94" s="359">
        <v>8853</v>
      </c>
      <c r="F94" s="359">
        <v>8806</v>
      </c>
      <c r="G94" s="359">
        <v>8881</v>
      </c>
      <c r="H94" s="48">
        <v>8805</v>
      </c>
      <c r="I94" s="48">
        <v>8820</v>
      </c>
      <c r="J94" s="30">
        <v>8589</v>
      </c>
      <c r="K94" s="30">
        <v>8785</v>
      </c>
      <c r="L94" s="30">
        <v>8863</v>
      </c>
      <c r="N94" s="7" t="s">
        <v>3825</v>
      </c>
      <c r="P94" s="4"/>
      <c r="R94" s="4"/>
    </row>
    <row r="95" spans="1:18">
      <c r="A95" s="7" t="s">
        <v>6961</v>
      </c>
      <c r="B95" s="7" t="s">
        <v>7371</v>
      </c>
      <c r="C95" s="4" t="s">
        <v>8980</v>
      </c>
      <c r="D95" s="359">
        <v>9479</v>
      </c>
      <c r="E95" s="359">
        <v>9462</v>
      </c>
      <c r="F95" s="359">
        <v>9351</v>
      </c>
      <c r="G95" s="359">
        <v>9429</v>
      </c>
      <c r="H95" s="48">
        <v>9330</v>
      </c>
      <c r="I95" s="48">
        <v>9338</v>
      </c>
      <c r="J95" s="30">
        <v>9027</v>
      </c>
      <c r="K95" s="30">
        <v>9261</v>
      </c>
      <c r="L95" s="30">
        <v>9331</v>
      </c>
      <c r="N95" s="7" t="s">
        <v>3825</v>
      </c>
      <c r="P95" s="4"/>
      <c r="R95" s="4"/>
    </row>
    <row r="96" spans="1:18">
      <c r="A96" s="7" t="s">
        <v>6963</v>
      </c>
      <c r="B96" s="7" t="s">
        <v>7372</v>
      </c>
      <c r="C96" s="4" t="s">
        <v>8981</v>
      </c>
      <c r="D96" s="359">
        <v>10484</v>
      </c>
      <c r="E96" s="359">
        <v>10587</v>
      </c>
      <c r="F96" s="359">
        <v>10592</v>
      </c>
      <c r="G96" s="359">
        <v>10579</v>
      </c>
      <c r="H96" s="48">
        <v>10559</v>
      </c>
      <c r="I96" s="48">
        <v>10519</v>
      </c>
      <c r="J96" s="30">
        <v>10217</v>
      </c>
      <c r="K96" s="30">
        <v>10500</v>
      </c>
      <c r="L96" s="30">
        <v>10463</v>
      </c>
      <c r="N96" s="7" t="s">
        <v>3825</v>
      </c>
      <c r="P96" s="4"/>
      <c r="R96" s="4"/>
    </row>
    <row r="97" spans="1:18">
      <c r="A97" s="7" t="s">
        <v>6965</v>
      </c>
      <c r="B97" s="7" t="s">
        <v>7373</v>
      </c>
      <c r="C97" s="4" t="s">
        <v>8982</v>
      </c>
      <c r="D97" s="359">
        <v>9939</v>
      </c>
      <c r="E97" s="359">
        <v>9921</v>
      </c>
      <c r="F97" s="359">
        <v>9873</v>
      </c>
      <c r="G97" s="359">
        <v>9861</v>
      </c>
      <c r="H97" s="48">
        <v>9946</v>
      </c>
      <c r="I97" s="48">
        <v>9931</v>
      </c>
      <c r="J97" s="30">
        <v>9659</v>
      </c>
      <c r="K97" s="30">
        <v>9982</v>
      </c>
      <c r="L97" s="30">
        <v>10319</v>
      </c>
      <c r="N97" s="7" t="s">
        <v>3825</v>
      </c>
      <c r="P97" s="4"/>
      <c r="R97" s="4"/>
    </row>
    <row r="98" spans="1:18">
      <c r="A98" s="7" t="s">
        <v>6997</v>
      </c>
      <c r="B98" s="7" t="s">
        <v>8562</v>
      </c>
      <c r="C98" s="4" t="s">
        <v>8983</v>
      </c>
      <c r="D98" s="359">
        <v>10708</v>
      </c>
      <c r="E98" s="359">
        <v>10657</v>
      </c>
      <c r="F98" s="359">
        <v>10498</v>
      </c>
      <c r="G98" s="359">
        <v>10582</v>
      </c>
      <c r="H98" s="48">
        <v>10710</v>
      </c>
      <c r="I98" s="48">
        <v>10625</v>
      </c>
      <c r="J98" s="30">
        <v>9838</v>
      </c>
      <c r="K98" s="30">
        <v>10074</v>
      </c>
      <c r="L98" s="30">
        <v>10153</v>
      </c>
      <c r="N98" s="7" t="s">
        <v>3827</v>
      </c>
      <c r="P98" s="4"/>
      <c r="R98" s="4"/>
    </row>
    <row r="99" spans="1:18">
      <c r="A99" s="7" t="s">
        <v>6999</v>
      </c>
      <c r="B99" s="7" t="s">
        <v>7374</v>
      </c>
      <c r="C99" s="4" t="s">
        <v>8984</v>
      </c>
      <c r="D99" s="359">
        <v>9223</v>
      </c>
      <c r="E99" s="359">
        <v>9318</v>
      </c>
      <c r="F99" s="359">
        <v>9418</v>
      </c>
      <c r="G99" s="359">
        <v>9310</v>
      </c>
      <c r="H99" s="48">
        <v>9211</v>
      </c>
      <c r="I99" s="48">
        <v>9136</v>
      </c>
      <c r="J99" s="30">
        <v>8722</v>
      </c>
      <c r="K99" s="30">
        <v>8919</v>
      </c>
      <c r="L99" s="30">
        <v>9051</v>
      </c>
      <c r="N99" s="7" t="s">
        <v>3827</v>
      </c>
      <c r="P99" s="4"/>
      <c r="R99" s="4"/>
    </row>
    <row r="100" spans="1:18">
      <c r="A100" s="7" t="s">
        <v>7001</v>
      </c>
      <c r="B100" s="7" t="s">
        <v>7375</v>
      </c>
      <c r="C100" s="4" t="s">
        <v>8985</v>
      </c>
      <c r="D100" s="359">
        <v>8827</v>
      </c>
      <c r="E100" s="359">
        <v>8811</v>
      </c>
      <c r="F100" s="359">
        <v>8687</v>
      </c>
      <c r="G100" s="359">
        <v>8691</v>
      </c>
      <c r="H100" s="48">
        <v>8566</v>
      </c>
      <c r="I100" s="48">
        <v>8506</v>
      </c>
      <c r="J100" s="30">
        <v>8078</v>
      </c>
      <c r="K100" s="30">
        <v>8170</v>
      </c>
      <c r="L100" s="30">
        <v>8265</v>
      </c>
      <c r="N100" s="7" t="s">
        <v>3825</v>
      </c>
      <c r="P100" s="4"/>
      <c r="R100" s="4"/>
    </row>
    <row r="101" spans="1:18">
      <c r="A101" s="7" t="s">
        <v>7003</v>
      </c>
      <c r="B101" s="7" t="s">
        <v>7376</v>
      </c>
      <c r="C101" s="4" t="s">
        <v>8986</v>
      </c>
      <c r="D101" s="359">
        <v>9506</v>
      </c>
      <c r="E101" s="359">
        <v>9503</v>
      </c>
      <c r="F101" s="359">
        <v>9501</v>
      </c>
      <c r="G101" s="359">
        <v>9604</v>
      </c>
      <c r="H101" s="48">
        <v>9707</v>
      </c>
      <c r="I101" s="48">
        <v>9689</v>
      </c>
      <c r="J101" s="30">
        <v>9160</v>
      </c>
      <c r="K101" s="30">
        <v>9336</v>
      </c>
      <c r="L101" s="30">
        <v>9508</v>
      </c>
      <c r="N101" s="7" t="s">
        <v>3827</v>
      </c>
      <c r="P101" s="4"/>
      <c r="R101" s="4"/>
    </row>
    <row r="102" spans="1:18">
      <c r="A102" s="7" t="s">
        <v>7005</v>
      </c>
      <c r="B102" s="7" t="s">
        <v>7377</v>
      </c>
      <c r="C102" s="4" t="s">
        <v>8987</v>
      </c>
      <c r="D102" s="359">
        <v>10639</v>
      </c>
      <c r="E102" s="359">
        <v>10683</v>
      </c>
      <c r="F102" s="359">
        <v>10610</v>
      </c>
      <c r="G102" s="359">
        <v>10660</v>
      </c>
      <c r="H102" s="48">
        <v>10670</v>
      </c>
      <c r="I102" s="48">
        <v>10622</v>
      </c>
      <c r="J102" s="30">
        <v>10303</v>
      </c>
      <c r="K102" s="30">
        <v>10503</v>
      </c>
      <c r="L102" s="30">
        <v>10630</v>
      </c>
      <c r="N102" s="7" t="s">
        <v>3828</v>
      </c>
      <c r="P102" s="4"/>
      <c r="R102" s="4"/>
    </row>
    <row r="103" spans="1:18">
      <c r="A103" s="7" t="s">
        <v>7007</v>
      </c>
      <c r="B103" s="7" t="s">
        <v>7378</v>
      </c>
      <c r="C103" s="4" t="s">
        <v>8988</v>
      </c>
      <c r="D103" s="359">
        <v>9629</v>
      </c>
      <c r="E103" s="359">
        <v>9586</v>
      </c>
      <c r="F103" s="359">
        <v>9718</v>
      </c>
      <c r="G103" s="359">
        <v>9923</v>
      </c>
      <c r="H103" s="48">
        <v>10093</v>
      </c>
      <c r="I103" s="48">
        <v>10080</v>
      </c>
      <c r="J103" s="31">
        <v>9765</v>
      </c>
      <c r="K103" s="31">
        <v>10162</v>
      </c>
      <c r="L103" s="31">
        <v>10305</v>
      </c>
      <c r="N103" s="7" t="s">
        <v>3828</v>
      </c>
      <c r="P103" s="4"/>
      <c r="R103" s="4"/>
    </row>
    <row r="104" spans="1:18">
      <c r="A104" s="7" t="s">
        <v>7009</v>
      </c>
      <c r="B104" s="7" t="s">
        <v>7379</v>
      </c>
      <c r="C104" s="4" t="s">
        <v>8989</v>
      </c>
      <c r="D104" s="359">
        <v>9760</v>
      </c>
      <c r="E104" s="359">
        <v>9772</v>
      </c>
      <c r="F104" s="359">
        <v>9820</v>
      </c>
      <c r="G104" s="359">
        <v>9964</v>
      </c>
      <c r="H104" s="48">
        <v>10040</v>
      </c>
      <c r="I104" s="48">
        <v>10010</v>
      </c>
      <c r="J104" s="31">
        <v>9590</v>
      </c>
      <c r="K104" s="31">
        <v>9737</v>
      </c>
      <c r="L104" s="31">
        <v>9738</v>
      </c>
      <c r="N104" s="7" t="s">
        <v>3828</v>
      </c>
      <c r="P104" s="4"/>
      <c r="R104" s="4"/>
    </row>
    <row r="105" spans="1:18">
      <c r="A105" s="7" t="s">
        <v>7011</v>
      </c>
      <c r="B105" s="7" t="s">
        <v>7380</v>
      </c>
      <c r="C105" s="4" t="s">
        <v>8990</v>
      </c>
      <c r="D105" s="359">
        <v>9777</v>
      </c>
      <c r="E105" s="359">
        <v>9756</v>
      </c>
      <c r="F105" s="359">
        <v>9703</v>
      </c>
      <c r="G105" s="359">
        <v>9687</v>
      </c>
      <c r="H105" s="48">
        <v>9667</v>
      </c>
      <c r="I105" s="48">
        <v>9679</v>
      </c>
      <c r="J105" s="30">
        <v>9480</v>
      </c>
      <c r="K105" s="30">
        <v>9678</v>
      </c>
      <c r="L105" s="30">
        <v>9846</v>
      </c>
      <c r="N105" s="7" t="s">
        <v>3827</v>
      </c>
      <c r="P105" s="4"/>
      <c r="R105" s="4"/>
    </row>
    <row r="106" spans="1:18">
      <c r="A106" s="7" t="s">
        <v>7013</v>
      </c>
      <c r="B106" s="7" t="s">
        <v>7381</v>
      </c>
      <c r="C106" s="4" t="s">
        <v>8991</v>
      </c>
      <c r="D106" s="359">
        <v>10345</v>
      </c>
      <c r="E106" s="359">
        <v>10398</v>
      </c>
      <c r="F106" s="359">
        <v>10349</v>
      </c>
      <c r="G106" s="359">
        <v>10286</v>
      </c>
      <c r="H106" s="48">
        <v>10319</v>
      </c>
      <c r="I106" s="48">
        <v>10229</v>
      </c>
      <c r="J106" s="30">
        <v>10005</v>
      </c>
      <c r="K106" s="30">
        <v>10232</v>
      </c>
      <c r="L106" s="30">
        <v>10256</v>
      </c>
      <c r="N106" s="7" t="s">
        <v>3827</v>
      </c>
      <c r="P106" s="4"/>
      <c r="R106" s="4"/>
    </row>
    <row r="107" spans="1:18">
      <c r="A107" s="7" t="s">
        <v>7015</v>
      </c>
      <c r="B107" s="7" t="s">
        <v>7382</v>
      </c>
      <c r="C107" s="4" t="s">
        <v>8992</v>
      </c>
      <c r="D107" s="366">
        <v>9776</v>
      </c>
      <c r="E107" s="366">
        <v>9702</v>
      </c>
      <c r="F107" s="366">
        <v>9567</v>
      </c>
      <c r="G107" s="366">
        <v>9735</v>
      </c>
      <c r="H107" s="48">
        <v>9714</v>
      </c>
      <c r="I107" s="48">
        <v>9689</v>
      </c>
      <c r="J107" s="30">
        <v>9320</v>
      </c>
      <c r="K107" s="30">
        <v>9581</v>
      </c>
      <c r="L107" s="30">
        <v>9566</v>
      </c>
      <c r="N107" s="7" t="s">
        <v>3827</v>
      </c>
      <c r="P107" s="4"/>
      <c r="R107" s="4"/>
    </row>
    <row r="108" spans="1:18">
      <c r="A108" s="7" t="s">
        <v>7017</v>
      </c>
      <c r="B108" s="7" t="s">
        <v>7383</v>
      </c>
      <c r="C108" s="4" t="s">
        <v>8993</v>
      </c>
      <c r="D108" s="359">
        <v>9742</v>
      </c>
      <c r="E108" s="359">
        <v>9754</v>
      </c>
      <c r="F108" s="359">
        <v>9707</v>
      </c>
      <c r="G108" s="359">
        <v>9449</v>
      </c>
      <c r="H108" s="48">
        <v>9391</v>
      </c>
      <c r="I108" s="48">
        <v>9376</v>
      </c>
      <c r="J108" s="30">
        <v>9085</v>
      </c>
      <c r="K108" s="30">
        <v>9289</v>
      </c>
      <c r="L108" s="30">
        <v>9302</v>
      </c>
      <c r="N108" s="7" t="s">
        <v>3827</v>
      </c>
      <c r="P108" s="4"/>
      <c r="R108" s="4"/>
    </row>
    <row r="109" spans="1:18">
      <c r="A109" s="7" t="s">
        <v>7019</v>
      </c>
      <c r="B109" s="7" t="s">
        <v>7384</v>
      </c>
      <c r="C109" s="4" t="s">
        <v>8994</v>
      </c>
      <c r="D109" s="366">
        <v>9902</v>
      </c>
      <c r="E109" s="366">
        <v>9903</v>
      </c>
      <c r="F109" s="366">
        <v>9769</v>
      </c>
      <c r="G109" s="366">
        <v>9930</v>
      </c>
      <c r="H109" s="48">
        <v>9920</v>
      </c>
      <c r="I109" s="48">
        <v>9979</v>
      </c>
      <c r="J109" s="31">
        <v>9758</v>
      </c>
      <c r="K109" s="31">
        <v>10038</v>
      </c>
      <c r="L109" s="31">
        <v>10122</v>
      </c>
      <c r="N109" s="7" t="s">
        <v>3828</v>
      </c>
      <c r="P109" s="4"/>
      <c r="R109" s="4"/>
    </row>
    <row r="110" spans="1:18">
      <c r="A110" s="7" t="s">
        <v>7021</v>
      </c>
      <c r="B110" s="7" t="s">
        <v>7385</v>
      </c>
      <c r="C110" s="4" t="s">
        <v>8995</v>
      </c>
      <c r="D110" s="359">
        <v>8944</v>
      </c>
      <c r="E110" s="359">
        <v>8857</v>
      </c>
      <c r="F110" s="359">
        <v>8852</v>
      </c>
      <c r="G110" s="359">
        <v>9183</v>
      </c>
      <c r="H110" s="48">
        <v>9176</v>
      </c>
      <c r="I110" s="48">
        <v>9100</v>
      </c>
      <c r="J110" s="30">
        <v>8400</v>
      </c>
      <c r="K110" s="30">
        <v>8530</v>
      </c>
      <c r="L110" s="30">
        <v>8479</v>
      </c>
      <c r="N110" s="7" t="s">
        <v>3825</v>
      </c>
      <c r="P110" s="4"/>
      <c r="R110" s="4"/>
    </row>
    <row r="111" spans="1:18">
      <c r="A111" s="7" t="s">
        <v>7023</v>
      </c>
      <c r="B111" s="7" t="s">
        <v>7386</v>
      </c>
      <c r="C111" s="4" t="s">
        <v>8996</v>
      </c>
      <c r="D111" s="360">
        <v>10932</v>
      </c>
      <c r="E111" s="360">
        <v>10956</v>
      </c>
      <c r="F111" s="360">
        <v>10978</v>
      </c>
      <c r="G111" s="360">
        <v>10977</v>
      </c>
      <c r="H111" s="48">
        <v>10981</v>
      </c>
      <c r="I111" s="48">
        <v>10944</v>
      </c>
      <c r="J111" s="31">
        <v>10550</v>
      </c>
      <c r="K111" s="31">
        <v>10713</v>
      </c>
      <c r="L111" s="31">
        <v>10763</v>
      </c>
      <c r="N111" s="7" t="s">
        <v>3828</v>
      </c>
      <c r="P111" s="4"/>
      <c r="R111" s="4"/>
    </row>
    <row r="112" spans="1:18">
      <c r="A112" s="7" t="s">
        <v>7025</v>
      </c>
      <c r="B112" s="7" t="s">
        <v>7387</v>
      </c>
      <c r="C112" s="4" t="s">
        <v>8997</v>
      </c>
      <c r="D112" s="360">
        <v>9581</v>
      </c>
      <c r="E112" s="360">
        <v>9592</v>
      </c>
      <c r="F112" s="360">
        <v>9577</v>
      </c>
      <c r="G112" s="360">
        <v>9618</v>
      </c>
      <c r="H112" s="48">
        <v>9623</v>
      </c>
      <c r="I112" s="48">
        <v>9665</v>
      </c>
      <c r="J112" s="31">
        <v>9417</v>
      </c>
      <c r="K112" s="31">
        <v>9660</v>
      </c>
      <c r="L112" s="31">
        <v>9737</v>
      </c>
      <c r="N112" s="7" t="s">
        <v>3828</v>
      </c>
      <c r="P112" s="4"/>
      <c r="R112" s="4"/>
    </row>
    <row r="113" spans="1:18">
      <c r="D113" s="360"/>
      <c r="E113" s="360"/>
      <c r="F113" s="360"/>
      <c r="G113" s="360"/>
      <c r="H113" s="360"/>
      <c r="I113" s="360"/>
      <c r="J113" s="360"/>
      <c r="K113" s="360"/>
      <c r="L113" s="360"/>
    </row>
    <row r="114" spans="1:18">
      <c r="A114" s="7" t="s">
        <v>3825</v>
      </c>
      <c r="D114" s="359">
        <f t="shared" ref="D114:I114" si="162">SUM(D93:D97)+D100+D110</f>
        <v>66682</v>
      </c>
      <c r="E114" s="359">
        <f t="shared" si="162"/>
        <v>66600</v>
      </c>
      <c r="F114" s="359">
        <f t="shared" si="162"/>
        <v>66284</v>
      </c>
      <c r="G114" s="359">
        <f t="shared" si="162"/>
        <v>66895</v>
      </c>
      <c r="H114" s="359">
        <f t="shared" si="162"/>
        <v>66794</v>
      </c>
      <c r="I114" s="359">
        <f t="shared" si="162"/>
        <v>66597</v>
      </c>
      <c r="J114" s="359">
        <f t="shared" ref="J114:K114" si="163">SUM(J93:J97)+J100+J110</f>
        <v>63881</v>
      </c>
      <c r="K114" s="359">
        <f t="shared" si="163"/>
        <v>65375</v>
      </c>
      <c r="L114" s="359">
        <f t="shared" ref="L114" si="164">SUM(L93:L97)+L100+L110</f>
        <v>65973</v>
      </c>
    </row>
    <row r="115" spans="1:18">
      <c r="A115" s="7" t="s">
        <v>3827</v>
      </c>
      <c r="D115" s="359">
        <f t="shared" ref="D115:I115" si="165">D98+D99+D101+SUM(D105:D108)</f>
        <v>69077</v>
      </c>
      <c r="E115" s="359">
        <f t="shared" si="165"/>
        <v>69088</v>
      </c>
      <c r="F115" s="359">
        <f t="shared" si="165"/>
        <v>68743</v>
      </c>
      <c r="G115" s="359">
        <f t="shared" si="165"/>
        <v>68653</v>
      </c>
      <c r="H115" s="359">
        <f t="shared" si="165"/>
        <v>68719</v>
      </c>
      <c r="I115" s="359">
        <f t="shared" si="165"/>
        <v>68423</v>
      </c>
      <c r="J115" s="359">
        <f t="shared" ref="J115:K115" si="166">J98+J99+J101+SUM(J105:J108)</f>
        <v>65610</v>
      </c>
      <c r="K115" s="359">
        <f t="shared" si="166"/>
        <v>67109</v>
      </c>
      <c r="L115" s="359">
        <f t="shared" ref="L115" si="167">L98+L99+L101+SUM(L105:L108)</f>
        <v>67682</v>
      </c>
    </row>
    <row r="116" spans="1:18">
      <c r="A116" s="7" t="s">
        <v>7388</v>
      </c>
      <c r="D116" s="359">
        <f t="shared" ref="D116:I116" si="168">SUM(D102:D104)+D109+D111+D112</f>
        <v>60443</v>
      </c>
      <c r="E116" s="359">
        <f t="shared" si="168"/>
        <v>60492</v>
      </c>
      <c r="F116" s="359">
        <f t="shared" si="168"/>
        <v>60472</v>
      </c>
      <c r="G116" s="359">
        <f t="shared" si="168"/>
        <v>61072</v>
      </c>
      <c r="H116" s="359">
        <f t="shared" si="168"/>
        <v>61327</v>
      </c>
      <c r="I116" s="359">
        <f t="shared" si="168"/>
        <v>61300</v>
      </c>
      <c r="J116" s="359">
        <f t="shared" ref="J116:K116" si="169">SUM(J102:J104)+J109+J111+J112</f>
        <v>59383</v>
      </c>
      <c r="K116" s="359">
        <f t="shared" si="169"/>
        <v>60813</v>
      </c>
      <c r="L116" s="359">
        <f t="shared" ref="L116" si="170">SUM(L102:L104)+L109+L111+L112</f>
        <v>61295</v>
      </c>
    </row>
    <row r="117" spans="1:18">
      <c r="A117" s="7"/>
      <c r="D117" s="359"/>
      <c r="E117" s="359"/>
      <c r="F117" s="359"/>
      <c r="G117" s="359"/>
      <c r="H117" s="359"/>
      <c r="I117" s="359"/>
      <c r="J117" s="359"/>
      <c r="K117" s="359"/>
      <c r="L117" s="359"/>
    </row>
    <row r="118" spans="1:18">
      <c r="A118" s="357" t="s">
        <v>5566</v>
      </c>
    </row>
    <row r="121" spans="1:18">
      <c r="E121" s="42" t="s">
        <v>2303</v>
      </c>
      <c r="F121" s="42"/>
      <c r="G121" s="42"/>
      <c r="H121" s="42"/>
      <c r="I121" s="42"/>
      <c r="J121" s="42"/>
      <c r="K121" s="42"/>
      <c r="L121" s="42"/>
      <c r="M121" s="65"/>
      <c r="N121" s="66" t="s">
        <v>13319</v>
      </c>
    </row>
    <row r="122" spans="1:18">
      <c r="D122" s="55">
        <v>2010</v>
      </c>
      <c r="E122" s="55">
        <v>2011</v>
      </c>
      <c r="F122" s="55">
        <v>2012</v>
      </c>
      <c r="G122" s="55">
        <v>2013</v>
      </c>
      <c r="H122" s="55">
        <v>2014</v>
      </c>
      <c r="I122" s="55">
        <v>2015</v>
      </c>
      <c r="J122" s="55">
        <v>2016</v>
      </c>
      <c r="K122" s="55">
        <v>2017</v>
      </c>
      <c r="L122" s="55">
        <v>2018</v>
      </c>
      <c r="N122" s="67" t="s">
        <v>2304</v>
      </c>
    </row>
    <row r="123" spans="1:18">
      <c r="A123" s="7" t="s">
        <v>5567</v>
      </c>
      <c r="D123" s="359">
        <f t="shared" ref="D123:I123" si="171">SUM(D124:D140)</f>
        <v>141734</v>
      </c>
      <c r="E123" s="359">
        <f t="shared" si="171"/>
        <v>143051</v>
      </c>
      <c r="F123" s="359">
        <f t="shared" si="171"/>
        <v>143109</v>
      </c>
      <c r="G123" s="359">
        <f t="shared" si="171"/>
        <v>143450</v>
      </c>
      <c r="H123" s="359">
        <f t="shared" si="171"/>
        <v>143181</v>
      </c>
      <c r="I123" s="359">
        <f t="shared" si="171"/>
        <v>140417</v>
      </c>
      <c r="J123" s="359">
        <f t="shared" ref="J123:K123" si="172">SUM(J124:J140)</f>
        <v>134649</v>
      </c>
      <c r="K123" s="359">
        <f t="shared" si="172"/>
        <v>138465</v>
      </c>
      <c r="L123" s="359">
        <f t="shared" ref="L123" si="173">SUM(L124:L140)</f>
        <v>139521</v>
      </c>
    </row>
    <row r="124" spans="1:18">
      <c r="A124" s="7" t="s">
        <v>6957</v>
      </c>
      <c r="B124" s="7" t="s">
        <v>8651</v>
      </c>
      <c r="C124" s="4" t="s">
        <v>8998</v>
      </c>
      <c r="D124" s="359">
        <v>8088</v>
      </c>
      <c r="E124" s="359">
        <v>8215</v>
      </c>
      <c r="F124" s="359">
        <v>8198</v>
      </c>
      <c r="G124" s="359">
        <v>8270</v>
      </c>
      <c r="H124" s="48">
        <v>8209</v>
      </c>
      <c r="I124" s="48">
        <v>8078</v>
      </c>
      <c r="J124" s="30">
        <v>7667</v>
      </c>
      <c r="K124" s="30">
        <v>7757</v>
      </c>
      <c r="L124" s="30">
        <v>7912</v>
      </c>
      <c r="N124" s="7" t="s">
        <v>3832</v>
      </c>
      <c r="P124" s="4"/>
      <c r="R124" s="4"/>
    </row>
    <row r="125" spans="1:18">
      <c r="A125" s="7" t="s">
        <v>6959</v>
      </c>
      <c r="B125" s="7" t="s">
        <v>2425</v>
      </c>
      <c r="C125" s="4" t="s">
        <v>8999</v>
      </c>
      <c r="D125" s="359">
        <v>8535</v>
      </c>
      <c r="E125" s="359">
        <v>8504</v>
      </c>
      <c r="F125" s="359">
        <v>8500</v>
      </c>
      <c r="G125" s="359">
        <v>8521</v>
      </c>
      <c r="H125" s="48">
        <v>8541</v>
      </c>
      <c r="I125" s="48">
        <v>8491</v>
      </c>
      <c r="J125" s="30">
        <v>8163</v>
      </c>
      <c r="K125" s="30">
        <v>8384</v>
      </c>
      <c r="L125" s="30">
        <v>8368</v>
      </c>
      <c r="N125" s="7" t="s">
        <v>3830</v>
      </c>
      <c r="P125" s="4"/>
      <c r="R125" s="4"/>
    </row>
    <row r="126" spans="1:18">
      <c r="A126" s="7" t="s">
        <v>6961</v>
      </c>
      <c r="B126" s="7" t="s">
        <v>2885</v>
      </c>
      <c r="C126" s="4" t="s">
        <v>9000</v>
      </c>
      <c r="D126" s="359">
        <v>7685</v>
      </c>
      <c r="E126" s="359">
        <v>7869</v>
      </c>
      <c r="F126" s="359">
        <v>7922</v>
      </c>
      <c r="G126" s="359">
        <v>7969</v>
      </c>
      <c r="H126" s="48">
        <v>8130</v>
      </c>
      <c r="I126" s="48">
        <v>7629</v>
      </c>
      <c r="J126" s="30">
        <v>7320</v>
      </c>
      <c r="K126" s="30">
        <v>7721</v>
      </c>
      <c r="L126" s="30">
        <v>7863</v>
      </c>
      <c r="N126" s="7" t="s">
        <v>3830</v>
      </c>
      <c r="P126" s="4"/>
      <c r="R126" s="4"/>
    </row>
    <row r="127" spans="1:18">
      <c r="A127" s="7" t="s">
        <v>6963</v>
      </c>
      <c r="B127" s="7" t="s">
        <v>6805</v>
      </c>
      <c r="C127" s="4" t="s">
        <v>9001</v>
      </c>
      <c r="D127" s="359">
        <v>8408</v>
      </c>
      <c r="E127" s="359">
        <v>8513</v>
      </c>
      <c r="F127" s="359">
        <v>8594</v>
      </c>
      <c r="G127" s="359">
        <v>8678</v>
      </c>
      <c r="H127" s="48">
        <v>8677</v>
      </c>
      <c r="I127" s="48">
        <v>8707</v>
      </c>
      <c r="J127" s="30">
        <v>8420</v>
      </c>
      <c r="K127" s="30">
        <v>8502</v>
      </c>
      <c r="L127" s="30">
        <v>8525</v>
      </c>
      <c r="N127" s="7" t="s">
        <v>3830</v>
      </c>
      <c r="P127" s="4"/>
      <c r="R127" s="4"/>
    </row>
    <row r="128" spans="1:18">
      <c r="A128" s="7" t="s">
        <v>6965</v>
      </c>
      <c r="B128" s="7" t="s">
        <v>6806</v>
      </c>
      <c r="C128" s="4" t="s">
        <v>9002</v>
      </c>
      <c r="D128" s="359">
        <v>8710</v>
      </c>
      <c r="E128" s="359">
        <v>8775</v>
      </c>
      <c r="F128" s="359">
        <v>8876</v>
      </c>
      <c r="G128" s="359">
        <v>8788</v>
      </c>
      <c r="H128" s="48">
        <v>8754</v>
      </c>
      <c r="I128" s="48">
        <v>8703</v>
      </c>
      <c r="J128" s="30">
        <v>8333</v>
      </c>
      <c r="K128" s="30">
        <v>8442</v>
      </c>
      <c r="L128" s="30">
        <v>8480</v>
      </c>
      <c r="N128" s="7" t="s">
        <v>3832</v>
      </c>
      <c r="P128" s="4"/>
      <c r="R128" s="4"/>
    </row>
    <row r="129" spans="1:18">
      <c r="A129" s="7" t="s">
        <v>6997</v>
      </c>
      <c r="B129" s="7" t="s">
        <v>3980</v>
      </c>
      <c r="C129" s="4" t="s">
        <v>9003</v>
      </c>
      <c r="D129" s="359">
        <v>8962</v>
      </c>
      <c r="E129" s="359">
        <v>8955</v>
      </c>
      <c r="F129" s="359">
        <v>9001</v>
      </c>
      <c r="G129" s="359">
        <v>9031</v>
      </c>
      <c r="H129" s="48">
        <v>9060</v>
      </c>
      <c r="I129" s="48">
        <v>8521</v>
      </c>
      <c r="J129" s="30">
        <v>8196</v>
      </c>
      <c r="K129" s="30">
        <v>8525</v>
      </c>
      <c r="L129" s="30">
        <v>8523</v>
      </c>
      <c r="N129" s="7" t="s">
        <v>3830</v>
      </c>
      <c r="P129" s="4"/>
      <c r="R129" s="4"/>
    </row>
    <row r="130" spans="1:18">
      <c r="A130" s="7" t="s">
        <v>6999</v>
      </c>
      <c r="B130" s="7" t="s">
        <v>6788</v>
      </c>
      <c r="C130" s="4" t="s">
        <v>9004</v>
      </c>
      <c r="D130" s="359">
        <v>8140</v>
      </c>
      <c r="E130" s="359">
        <v>8165</v>
      </c>
      <c r="F130" s="359">
        <v>8129</v>
      </c>
      <c r="G130" s="359">
        <v>8206</v>
      </c>
      <c r="H130" s="48">
        <v>8163</v>
      </c>
      <c r="I130" s="48">
        <v>8249</v>
      </c>
      <c r="J130" s="30">
        <v>7984</v>
      </c>
      <c r="K130" s="30">
        <v>8117</v>
      </c>
      <c r="L130" s="30">
        <v>8150</v>
      </c>
      <c r="N130" s="7" t="s">
        <v>3830</v>
      </c>
      <c r="P130" s="4"/>
      <c r="R130" s="4"/>
    </row>
    <row r="131" spans="1:18">
      <c r="A131" s="7" t="s">
        <v>7001</v>
      </c>
      <c r="B131" s="7" t="s">
        <v>6789</v>
      </c>
      <c r="C131" s="4" t="s">
        <v>9005</v>
      </c>
      <c r="D131" s="359">
        <v>7777</v>
      </c>
      <c r="E131" s="359">
        <v>7854</v>
      </c>
      <c r="F131" s="359">
        <v>7802</v>
      </c>
      <c r="G131" s="359">
        <v>7767</v>
      </c>
      <c r="H131" s="48">
        <v>7631</v>
      </c>
      <c r="I131" s="48">
        <v>7590</v>
      </c>
      <c r="J131" s="30">
        <v>7328</v>
      </c>
      <c r="K131" s="30">
        <v>7348</v>
      </c>
      <c r="L131" s="30">
        <v>7378</v>
      </c>
      <c r="N131" s="7" t="s">
        <v>3832</v>
      </c>
      <c r="P131" s="4"/>
      <c r="R131" s="4"/>
    </row>
    <row r="132" spans="1:18">
      <c r="A132" s="7" t="s">
        <v>7003</v>
      </c>
      <c r="B132" s="7" t="s">
        <v>6790</v>
      </c>
      <c r="C132" s="4" t="s">
        <v>9006</v>
      </c>
      <c r="D132" s="359">
        <v>8468</v>
      </c>
      <c r="E132" s="359">
        <v>8677</v>
      </c>
      <c r="F132" s="359">
        <v>8641</v>
      </c>
      <c r="G132" s="359">
        <v>8657</v>
      </c>
      <c r="H132" s="48">
        <v>8585</v>
      </c>
      <c r="I132" s="48">
        <v>8399</v>
      </c>
      <c r="J132" s="30">
        <v>8217</v>
      </c>
      <c r="K132" s="30">
        <v>8519</v>
      </c>
      <c r="L132" s="30">
        <v>8587</v>
      </c>
      <c r="N132" s="7" t="s">
        <v>3832</v>
      </c>
      <c r="P132" s="4"/>
      <c r="R132" s="4"/>
    </row>
    <row r="133" spans="1:18">
      <c r="A133" s="7" t="s">
        <v>7005</v>
      </c>
      <c r="B133" s="7" t="s">
        <v>6791</v>
      </c>
      <c r="C133" s="4" t="s">
        <v>9007</v>
      </c>
      <c r="D133" s="359">
        <v>8839</v>
      </c>
      <c r="E133" s="359">
        <v>8810</v>
      </c>
      <c r="F133" s="359">
        <v>8838</v>
      </c>
      <c r="G133" s="359">
        <v>8897</v>
      </c>
      <c r="H133" s="48">
        <v>8872</v>
      </c>
      <c r="I133" s="48">
        <v>8570</v>
      </c>
      <c r="J133" s="30">
        <v>8207</v>
      </c>
      <c r="K133" s="30">
        <v>8476</v>
      </c>
      <c r="L133" s="30">
        <v>8578</v>
      </c>
      <c r="N133" s="7" t="s">
        <v>3832</v>
      </c>
      <c r="P133" s="4"/>
      <c r="R133" s="4"/>
    </row>
    <row r="134" spans="1:18">
      <c r="A134" s="7" t="s">
        <v>7007</v>
      </c>
      <c r="B134" s="7" t="s">
        <v>6792</v>
      </c>
      <c r="C134" s="4" t="s">
        <v>9008</v>
      </c>
      <c r="D134" s="359">
        <v>8395</v>
      </c>
      <c r="E134" s="359">
        <v>8496</v>
      </c>
      <c r="F134" s="359">
        <v>8548</v>
      </c>
      <c r="G134" s="359">
        <v>8574</v>
      </c>
      <c r="H134" s="48">
        <v>8617</v>
      </c>
      <c r="I134" s="48">
        <v>8230</v>
      </c>
      <c r="J134" s="30">
        <v>7804</v>
      </c>
      <c r="K134" s="30">
        <v>8079</v>
      </c>
      <c r="L134" s="30">
        <v>8125</v>
      </c>
      <c r="N134" s="7" t="s">
        <v>3832</v>
      </c>
      <c r="P134" s="4"/>
      <c r="R134" s="4"/>
    </row>
    <row r="135" spans="1:18">
      <c r="A135" s="7" t="s">
        <v>7009</v>
      </c>
      <c r="B135" s="7" t="s">
        <v>6793</v>
      </c>
      <c r="C135" s="4" t="s">
        <v>9009</v>
      </c>
      <c r="D135" s="359">
        <v>8984</v>
      </c>
      <c r="E135" s="359">
        <v>9010</v>
      </c>
      <c r="F135" s="359">
        <v>9031</v>
      </c>
      <c r="G135" s="359">
        <v>9058</v>
      </c>
      <c r="H135" s="48">
        <v>9092</v>
      </c>
      <c r="I135" s="48">
        <v>8992</v>
      </c>
      <c r="J135" s="30">
        <v>8669</v>
      </c>
      <c r="K135" s="30">
        <v>8968</v>
      </c>
      <c r="L135" s="30">
        <v>8934</v>
      </c>
      <c r="N135" s="7" t="s">
        <v>3830</v>
      </c>
      <c r="P135" s="4"/>
      <c r="R135" s="4"/>
    </row>
    <row r="136" spans="1:18">
      <c r="A136" s="7" t="s">
        <v>7011</v>
      </c>
      <c r="B136" s="7" t="s">
        <v>6794</v>
      </c>
      <c r="C136" s="4" t="s">
        <v>9010</v>
      </c>
      <c r="D136" s="359">
        <v>8699</v>
      </c>
      <c r="E136" s="359">
        <v>8850</v>
      </c>
      <c r="F136" s="359">
        <v>8819</v>
      </c>
      <c r="G136" s="359">
        <v>8828</v>
      </c>
      <c r="H136" s="48">
        <v>8834</v>
      </c>
      <c r="I136" s="48">
        <v>8479</v>
      </c>
      <c r="J136" s="30">
        <v>8115</v>
      </c>
      <c r="K136" s="30">
        <v>8357</v>
      </c>
      <c r="L136" s="30">
        <v>8503</v>
      </c>
      <c r="N136" s="7" t="s">
        <v>3830</v>
      </c>
      <c r="P136" s="4"/>
      <c r="R136" s="4"/>
    </row>
    <row r="137" spans="1:18">
      <c r="A137" s="7" t="s">
        <v>7013</v>
      </c>
      <c r="B137" s="7" t="s">
        <v>8835</v>
      </c>
      <c r="C137" s="4" t="s">
        <v>9011</v>
      </c>
      <c r="D137" s="359">
        <v>8002</v>
      </c>
      <c r="E137" s="359">
        <v>8080</v>
      </c>
      <c r="F137" s="359">
        <v>8002</v>
      </c>
      <c r="G137" s="359">
        <v>7927</v>
      </c>
      <c r="H137" s="48">
        <v>7917</v>
      </c>
      <c r="I137" s="48">
        <v>7811</v>
      </c>
      <c r="J137" s="31">
        <v>7371</v>
      </c>
      <c r="K137" s="31">
        <v>7757</v>
      </c>
      <c r="L137" s="31">
        <v>7879</v>
      </c>
      <c r="N137" s="7" t="s">
        <v>3832</v>
      </c>
      <c r="P137" s="4"/>
      <c r="R137" s="4"/>
    </row>
    <row r="138" spans="1:18">
      <c r="A138" s="7" t="s">
        <v>7015</v>
      </c>
      <c r="B138" s="7" t="s">
        <v>6795</v>
      </c>
      <c r="C138" s="4" t="s">
        <v>9012</v>
      </c>
      <c r="D138" s="359">
        <v>8606</v>
      </c>
      <c r="E138" s="359">
        <v>8792</v>
      </c>
      <c r="F138" s="359">
        <v>8751</v>
      </c>
      <c r="G138" s="359">
        <v>8812</v>
      </c>
      <c r="H138" s="48">
        <v>8701</v>
      </c>
      <c r="I138" s="48">
        <v>8658</v>
      </c>
      <c r="J138" s="30">
        <v>8128</v>
      </c>
      <c r="K138" s="30">
        <v>8376</v>
      </c>
      <c r="L138" s="30">
        <v>8500</v>
      </c>
      <c r="N138" s="7" t="s">
        <v>3832</v>
      </c>
      <c r="P138" s="4"/>
      <c r="R138" s="4"/>
    </row>
    <row r="139" spans="1:18">
      <c r="A139" s="7" t="s">
        <v>7017</v>
      </c>
      <c r="B139" s="7" t="s">
        <v>5058</v>
      </c>
      <c r="C139" s="4" t="s">
        <v>9013</v>
      </c>
      <c r="D139" s="359">
        <v>8008</v>
      </c>
      <c r="E139" s="359">
        <v>8045</v>
      </c>
      <c r="F139" s="359">
        <v>8029</v>
      </c>
      <c r="G139" s="359">
        <v>8089</v>
      </c>
      <c r="H139" s="48">
        <v>8023</v>
      </c>
      <c r="I139" s="48">
        <v>7971</v>
      </c>
      <c r="J139" s="30">
        <v>7697</v>
      </c>
      <c r="K139" s="30">
        <v>7937</v>
      </c>
      <c r="L139" s="30">
        <v>7976</v>
      </c>
      <c r="N139" s="7" t="s">
        <v>3830</v>
      </c>
      <c r="P139" s="4"/>
      <c r="R139" s="4"/>
    </row>
    <row r="140" spans="1:18">
      <c r="A140" s="367">
        <v>17</v>
      </c>
      <c r="B140" s="7" t="s">
        <v>8545</v>
      </c>
      <c r="C140" s="4" t="s">
        <v>9014</v>
      </c>
      <c r="D140" s="366">
        <v>7428</v>
      </c>
      <c r="E140" s="366">
        <v>7441</v>
      </c>
      <c r="F140" s="366">
        <v>7428</v>
      </c>
      <c r="G140" s="366">
        <v>7378</v>
      </c>
      <c r="H140" s="48">
        <v>7375</v>
      </c>
      <c r="I140" s="48">
        <v>7339</v>
      </c>
      <c r="J140" s="31">
        <v>7030</v>
      </c>
      <c r="K140" s="31">
        <v>7200</v>
      </c>
      <c r="L140" s="31">
        <v>7240</v>
      </c>
      <c r="N140" s="7" t="s">
        <v>3832</v>
      </c>
      <c r="P140" s="4"/>
      <c r="R140" s="4"/>
    </row>
    <row r="141" spans="1:18">
      <c r="D141" s="360"/>
      <c r="E141" s="360"/>
      <c r="F141" s="360"/>
      <c r="G141" s="360"/>
      <c r="H141" s="360"/>
      <c r="I141" s="360"/>
      <c r="J141" s="360"/>
      <c r="K141" s="360"/>
      <c r="L141" s="360"/>
    </row>
    <row r="142" spans="1:18">
      <c r="A142" s="7" t="s">
        <v>3830</v>
      </c>
      <c r="D142" s="359">
        <f t="shared" ref="D142:I142" si="174">SUM(D125:D127)+D129+D130+D135+D136+D139</f>
        <v>67421</v>
      </c>
      <c r="E142" s="359">
        <f t="shared" si="174"/>
        <v>67911</v>
      </c>
      <c r="F142" s="359">
        <f t="shared" si="174"/>
        <v>68025</v>
      </c>
      <c r="G142" s="359">
        <f t="shared" si="174"/>
        <v>68380</v>
      </c>
      <c r="H142" s="359">
        <f t="shared" si="174"/>
        <v>68520</v>
      </c>
      <c r="I142" s="359">
        <f t="shared" si="174"/>
        <v>67039</v>
      </c>
      <c r="J142" s="359">
        <f t="shared" ref="J142:K142" si="175">SUM(J125:J127)+J129+J130+J135+J136+J139</f>
        <v>64564</v>
      </c>
      <c r="K142" s="359">
        <f t="shared" si="175"/>
        <v>66511</v>
      </c>
      <c r="L142" s="359">
        <f t="shared" ref="L142" si="176">SUM(L125:L127)+L129+L130+L135+L136+L139</f>
        <v>66842</v>
      </c>
    </row>
    <row r="143" spans="1:18">
      <c r="A143" s="7" t="s">
        <v>3832</v>
      </c>
      <c r="D143" s="359">
        <f t="shared" ref="D143:I143" si="177">D124+D128+SUM(D131:D134)+D137+D138+D140</f>
        <v>74313</v>
      </c>
      <c r="E143" s="359">
        <f t="shared" si="177"/>
        <v>75140</v>
      </c>
      <c r="F143" s="359">
        <f t="shared" si="177"/>
        <v>75084</v>
      </c>
      <c r="G143" s="359">
        <f t="shared" si="177"/>
        <v>75070</v>
      </c>
      <c r="H143" s="359">
        <f t="shared" si="177"/>
        <v>74661</v>
      </c>
      <c r="I143" s="359">
        <f t="shared" si="177"/>
        <v>73378</v>
      </c>
      <c r="J143" s="359">
        <f t="shared" ref="J143:K143" si="178">J124+J128+SUM(J131:J134)+J137+J138+J140</f>
        <v>70085</v>
      </c>
      <c r="K143" s="359">
        <f t="shared" si="178"/>
        <v>71954</v>
      </c>
      <c r="L143" s="359">
        <f t="shared" ref="L143" si="179">L124+L128+SUM(L131:L134)+L137+L138+L140</f>
        <v>72679</v>
      </c>
    </row>
    <row r="144" spans="1:18">
      <c r="A144" s="7"/>
      <c r="D144" s="359"/>
      <c r="E144" s="359"/>
      <c r="F144" s="359"/>
      <c r="G144" s="359"/>
      <c r="H144" s="359"/>
      <c r="I144" s="359"/>
      <c r="J144" s="359"/>
      <c r="K144" s="359"/>
      <c r="L144" s="359"/>
    </row>
    <row r="145" spans="1:18">
      <c r="A145" s="357" t="s">
        <v>8546</v>
      </c>
    </row>
    <row r="148" spans="1:18">
      <c r="E148" s="42" t="s">
        <v>2303</v>
      </c>
      <c r="F148" s="42"/>
      <c r="G148" s="42"/>
      <c r="H148" s="42"/>
      <c r="I148" s="42"/>
      <c r="J148" s="42"/>
      <c r="K148" s="42"/>
      <c r="L148" s="42"/>
      <c r="M148" s="65"/>
      <c r="N148" s="66" t="s">
        <v>13319</v>
      </c>
    </row>
    <row r="149" spans="1:18">
      <c r="D149" s="55">
        <v>2010</v>
      </c>
      <c r="E149" s="55">
        <v>2011</v>
      </c>
      <c r="F149" s="55">
        <v>2012</v>
      </c>
      <c r="G149" s="55">
        <v>2013</v>
      </c>
      <c r="H149" s="55">
        <v>2014</v>
      </c>
      <c r="I149" s="55">
        <v>2015</v>
      </c>
      <c r="J149" s="55">
        <v>2016</v>
      </c>
      <c r="K149" s="55">
        <v>2017</v>
      </c>
      <c r="L149" s="55">
        <v>2018</v>
      </c>
      <c r="N149" s="67" t="s">
        <v>2304</v>
      </c>
    </row>
    <row r="150" spans="1:18">
      <c r="A150" s="7" t="s">
        <v>8547</v>
      </c>
      <c r="D150" s="359">
        <f t="shared" ref="D150:I150" si="180">SUM(D151:D182)</f>
        <v>336366</v>
      </c>
      <c r="E150" s="359">
        <f t="shared" si="180"/>
        <v>343889</v>
      </c>
      <c r="F150" s="359">
        <f t="shared" si="180"/>
        <v>351324</v>
      </c>
      <c r="G150" s="359">
        <f t="shared" si="180"/>
        <v>353684</v>
      </c>
      <c r="H150" s="359">
        <f t="shared" si="180"/>
        <v>358357</v>
      </c>
      <c r="I150" s="359">
        <f t="shared" si="180"/>
        <v>346080</v>
      </c>
      <c r="J150" s="359">
        <f t="shared" ref="J150:K150" si="181">SUM(J151:J182)</f>
        <v>345660</v>
      </c>
      <c r="K150" s="359">
        <f t="shared" si="181"/>
        <v>332071</v>
      </c>
      <c r="L150" s="359">
        <f t="shared" ref="L150" si="182">SUM(L151:L182)</f>
        <v>340724</v>
      </c>
    </row>
    <row r="151" spans="1:18">
      <c r="A151" s="7" t="s">
        <v>6957</v>
      </c>
      <c r="B151" s="7" t="s">
        <v>7633</v>
      </c>
      <c r="C151" s="4" t="s">
        <v>9015</v>
      </c>
      <c r="D151" s="359">
        <v>10726</v>
      </c>
      <c r="E151" s="359">
        <v>11219</v>
      </c>
      <c r="F151" s="359">
        <v>11613</v>
      </c>
      <c r="G151" s="359">
        <v>11764</v>
      </c>
      <c r="H151" s="48">
        <v>12492</v>
      </c>
      <c r="I151" s="30">
        <v>12086</v>
      </c>
      <c r="J151" s="30">
        <v>12525</v>
      </c>
      <c r="K151" s="30">
        <v>12210</v>
      </c>
      <c r="L151" s="30">
        <v>12476</v>
      </c>
      <c r="N151" s="7" t="s">
        <v>5539</v>
      </c>
      <c r="P151" s="4"/>
      <c r="R151" s="4"/>
    </row>
    <row r="152" spans="1:18">
      <c r="A152" s="7" t="s">
        <v>6959</v>
      </c>
      <c r="B152" s="7" t="s">
        <v>7634</v>
      </c>
      <c r="C152" s="4" t="s">
        <v>9016</v>
      </c>
      <c r="D152" s="359">
        <v>10692</v>
      </c>
      <c r="E152" s="359">
        <v>11633</v>
      </c>
      <c r="F152" s="359">
        <v>11193</v>
      </c>
      <c r="G152" s="359">
        <v>11444</v>
      </c>
      <c r="H152" s="48">
        <v>12410</v>
      </c>
      <c r="I152" s="30">
        <v>10981</v>
      </c>
      <c r="J152" s="30">
        <v>9809</v>
      </c>
      <c r="K152" s="30">
        <v>9674</v>
      </c>
      <c r="L152" s="30">
        <v>9996</v>
      </c>
      <c r="N152" s="7" t="s">
        <v>5539</v>
      </c>
      <c r="P152" s="4"/>
      <c r="R152" s="4"/>
    </row>
    <row r="153" spans="1:18">
      <c r="A153" s="7" t="s">
        <v>6961</v>
      </c>
      <c r="B153" s="7" t="s">
        <v>7635</v>
      </c>
      <c r="C153" s="4" t="s">
        <v>9017</v>
      </c>
      <c r="D153" s="359">
        <v>10563</v>
      </c>
      <c r="E153" s="359">
        <v>10608</v>
      </c>
      <c r="F153" s="359">
        <v>10619</v>
      </c>
      <c r="G153" s="359">
        <v>10671</v>
      </c>
      <c r="H153" s="48">
        <v>10832</v>
      </c>
      <c r="I153" s="31">
        <v>10720</v>
      </c>
      <c r="J153" s="31">
        <v>10750</v>
      </c>
      <c r="K153" s="31">
        <v>10432</v>
      </c>
      <c r="L153" s="31">
        <v>10425</v>
      </c>
      <c r="N153" s="7" t="s">
        <v>7366</v>
      </c>
      <c r="P153" s="4"/>
      <c r="R153" s="4"/>
    </row>
    <row r="154" spans="1:18">
      <c r="A154" s="7" t="s">
        <v>6963</v>
      </c>
      <c r="B154" s="7" t="s">
        <v>7661</v>
      </c>
      <c r="C154" s="4" t="s">
        <v>9018</v>
      </c>
      <c r="D154" s="359">
        <v>10320</v>
      </c>
      <c r="E154" s="359">
        <v>10381</v>
      </c>
      <c r="F154" s="359">
        <v>10931</v>
      </c>
      <c r="G154" s="359">
        <v>11042</v>
      </c>
      <c r="H154" s="48">
        <v>11422</v>
      </c>
      <c r="I154" s="30">
        <v>11458</v>
      </c>
      <c r="J154" s="30">
        <v>11488</v>
      </c>
      <c r="K154" s="30">
        <v>11144</v>
      </c>
      <c r="L154" s="30">
        <v>11549</v>
      </c>
      <c r="N154" s="7" t="s">
        <v>5539</v>
      </c>
      <c r="P154" s="4"/>
      <c r="R154" s="4"/>
    </row>
    <row r="155" spans="1:18">
      <c r="A155" s="7" t="s">
        <v>6965</v>
      </c>
      <c r="B155" s="7" t="s">
        <v>2389</v>
      </c>
      <c r="C155" s="4" t="s">
        <v>9019</v>
      </c>
      <c r="D155" s="359">
        <v>10141</v>
      </c>
      <c r="E155" s="359">
        <v>10300</v>
      </c>
      <c r="F155" s="359">
        <v>10357</v>
      </c>
      <c r="G155" s="359">
        <v>10453</v>
      </c>
      <c r="H155" s="48">
        <v>10516</v>
      </c>
      <c r="I155" s="31">
        <v>10431</v>
      </c>
      <c r="J155" s="31">
        <v>10490</v>
      </c>
      <c r="K155" s="31">
        <v>10203</v>
      </c>
      <c r="L155" s="31">
        <v>10331</v>
      </c>
      <c r="N155" s="7" t="s">
        <v>7366</v>
      </c>
      <c r="P155" s="4"/>
      <c r="R155" s="4"/>
    </row>
    <row r="156" spans="1:18">
      <c r="A156" s="7" t="s">
        <v>6997</v>
      </c>
      <c r="B156" s="7" t="s">
        <v>7636</v>
      </c>
      <c r="C156" s="4" t="s">
        <v>9020</v>
      </c>
      <c r="D156" s="359">
        <v>10387</v>
      </c>
      <c r="E156" s="359">
        <v>10438</v>
      </c>
      <c r="F156" s="359">
        <v>10613</v>
      </c>
      <c r="G156" s="359">
        <v>10717</v>
      </c>
      <c r="H156" s="48">
        <v>10846</v>
      </c>
      <c r="I156" s="31">
        <v>10746</v>
      </c>
      <c r="J156" s="31">
        <v>10812</v>
      </c>
      <c r="K156" s="31">
        <v>10531</v>
      </c>
      <c r="L156" s="31">
        <v>10705</v>
      </c>
      <c r="N156" s="7" t="s">
        <v>5541</v>
      </c>
      <c r="P156" s="4"/>
      <c r="R156" s="4"/>
    </row>
    <row r="157" spans="1:18">
      <c r="A157" s="7" t="s">
        <v>6999</v>
      </c>
      <c r="B157" s="7" t="s">
        <v>7637</v>
      </c>
      <c r="C157" s="4" t="s">
        <v>9021</v>
      </c>
      <c r="D157" s="359">
        <v>9961</v>
      </c>
      <c r="E157" s="359">
        <v>10004</v>
      </c>
      <c r="F157" s="359">
        <v>10106</v>
      </c>
      <c r="G157" s="359">
        <v>10187</v>
      </c>
      <c r="H157" s="48">
        <v>10199</v>
      </c>
      <c r="I157" s="30">
        <v>10034</v>
      </c>
      <c r="J157" s="30">
        <v>10066</v>
      </c>
      <c r="K157" s="30">
        <v>10029</v>
      </c>
      <c r="L157" s="30">
        <v>10032</v>
      </c>
      <c r="N157" s="7" t="s">
        <v>3837</v>
      </c>
      <c r="P157" s="4"/>
      <c r="R157" s="4"/>
    </row>
    <row r="158" spans="1:18">
      <c r="A158" s="7" t="s">
        <v>7001</v>
      </c>
      <c r="B158" s="7" t="s">
        <v>7638</v>
      </c>
      <c r="C158" s="4" t="s">
        <v>9022</v>
      </c>
      <c r="D158" s="359">
        <v>12408</v>
      </c>
      <c r="E158" s="359">
        <v>13255</v>
      </c>
      <c r="F158" s="359">
        <v>13685</v>
      </c>
      <c r="G158" s="359">
        <v>13941</v>
      </c>
      <c r="H158" s="48">
        <v>14011</v>
      </c>
      <c r="I158" s="30">
        <v>13835</v>
      </c>
      <c r="J158" s="30">
        <v>13726</v>
      </c>
      <c r="K158" s="30">
        <v>13363</v>
      </c>
      <c r="L158" s="30">
        <v>13435</v>
      </c>
      <c r="N158" s="7" t="s">
        <v>3837</v>
      </c>
      <c r="P158" s="4"/>
      <c r="R158" s="4"/>
    </row>
    <row r="159" spans="1:18">
      <c r="A159" s="7" t="s">
        <v>7003</v>
      </c>
      <c r="B159" s="7" t="s">
        <v>8233</v>
      </c>
      <c r="C159" s="4" t="s">
        <v>9023</v>
      </c>
      <c r="D159" s="366">
        <v>10369</v>
      </c>
      <c r="E159" s="366">
        <v>10531</v>
      </c>
      <c r="F159" s="366">
        <v>10643</v>
      </c>
      <c r="G159" s="366">
        <v>10736</v>
      </c>
      <c r="H159" s="48">
        <v>10680</v>
      </c>
      <c r="I159" s="31">
        <v>10642</v>
      </c>
      <c r="J159" s="31">
        <v>10817</v>
      </c>
      <c r="K159" s="31">
        <v>10537</v>
      </c>
      <c r="L159" s="31">
        <v>10698</v>
      </c>
      <c r="N159" s="7" t="s">
        <v>5541</v>
      </c>
      <c r="P159" s="4"/>
      <c r="R159" s="4"/>
    </row>
    <row r="160" spans="1:18">
      <c r="A160" s="7" t="s">
        <v>7005</v>
      </c>
      <c r="B160" s="7" t="s">
        <v>8234</v>
      </c>
      <c r="C160" s="4" t="s">
        <v>9024</v>
      </c>
      <c r="D160" s="359">
        <v>10471</v>
      </c>
      <c r="E160" s="359">
        <v>10720</v>
      </c>
      <c r="F160" s="359">
        <v>11061</v>
      </c>
      <c r="G160" s="359">
        <v>11175</v>
      </c>
      <c r="H160" s="48">
        <v>11364</v>
      </c>
      <c r="I160" s="31">
        <v>11268</v>
      </c>
      <c r="J160" s="31">
        <v>11263</v>
      </c>
      <c r="K160" s="31">
        <v>10933</v>
      </c>
      <c r="L160" s="31">
        <v>11192</v>
      </c>
      <c r="N160" s="7" t="s">
        <v>5541</v>
      </c>
      <c r="P160" s="4"/>
      <c r="R160" s="4"/>
    </row>
    <row r="161" spans="1:18">
      <c r="A161" s="7" t="s">
        <v>7007</v>
      </c>
      <c r="B161" s="7" t="s">
        <v>3806</v>
      </c>
      <c r="C161" s="4" t="s">
        <v>9025</v>
      </c>
      <c r="D161" s="359">
        <v>11147</v>
      </c>
      <c r="E161" s="359">
        <v>12731</v>
      </c>
      <c r="F161" s="359">
        <v>12627</v>
      </c>
      <c r="G161" s="359">
        <v>12409</v>
      </c>
      <c r="H161" s="48">
        <v>12726</v>
      </c>
      <c r="I161" s="30">
        <v>11025</v>
      </c>
      <c r="J161" s="30">
        <v>9483</v>
      </c>
      <c r="K161" s="30">
        <v>9062</v>
      </c>
      <c r="L161" s="30">
        <v>9736</v>
      </c>
      <c r="N161" s="7" t="s">
        <v>5539</v>
      </c>
      <c r="P161" s="4"/>
      <c r="R161" s="4"/>
    </row>
    <row r="162" spans="1:18">
      <c r="A162" s="7" t="s">
        <v>7009</v>
      </c>
      <c r="B162" s="7" t="s">
        <v>3807</v>
      </c>
      <c r="C162" s="4" t="s">
        <v>9026</v>
      </c>
      <c r="D162" s="359">
        <v>9888</v>
      </c>
      <c r="E162" s="359">
        <v>9869</v>
      </c>
      <c r="F162" s="359">
        <v>10110</v>
      </c>
      <c r="G162" s="359">
        <v>10370</v>
      </c>
      <c r="H162" s="48">
        <v>10564</v>
      </c>
      <c r="I162" s="30">
        <v>10489</v>
      </c>
      <c r="J162" s="30">
        <v>10546</v>
      </c>
      <c r="K162" s="30">
        <v>10231</v>
      </c>
      <c r="L162" s="30">
        <v>10376</v>
      </c>
      <c r="N162" s="7" t="s">
        <v>3837</v>
      </c>
      <c r="P162" s="4"/>
      <c r="R162" s="4"/>
    </row>
    <row r="163" spans="1:18">
      <c r="A163" s="7" t="s">
        <v>7011</v>
      </c>
      <c r="B163" s="7" t="s">
        <v>3808</v>
      </c>
      <c r="C163" s="4" t="s">
        <v>9027</v>
      </c>
      <c r="D163" s="359">
        <v>10309</v>
      </c>
      <c r="E163" s="359">
        <v>10402</v>
      </c>
      <c r="F163" s="359">
        <v>10538</v>
      </c>
      <c r="G163" s="359">
        <v>10535</v>
      </c>
      <c r="H163" s="48">
        <v>10667</v>
      </c>
      <c r="I163" s="31">
        <v>10669</v>
      </c>
      <c r="J163" s="31">
        <v>10745</v>
      </c>
      <c r="K163" s="31">
        <v>10251</v>
      </c>
      <c r="L163" s="31">
        <v>10453</v>
      </c>
      <c r="N163" s="7" t="s">
        <v>5541</v>
      </c>
      <c r="P163" s="4"/>
      <c r="R163" s="4"/>
    </row>
    <row r="164" spans="1:18">
      <c r="A164" s="7" t="s">
        <v>7013</v>
      </c>
      <c r="B164" s="7" t="s">
        <v>3809</v>
      </c>
      <c r="C164" s="4" t="s">
        <v>9028</v>
      </c>
      <c r="D164" s="359">
        <v>9854</v>
      </c>
      <c r="E164" s="359">
        <v>9976</v>
      </c>
      <c r="F164" s="359">
        <v>10141</v>
      </c>
      <c r="G164" s="359">
        <v>10199</v>
      </c>
      <c r="H164" s="48">
        <v>10279</v>
      </c>
      <c r="I164" s="31">
        <v>9932</v>
      </c>
      <c r="J164" s="31">
        <v>9927</v>
      </c>
      <c r="K164" s="31">
        <v>9420</v>
      </c>
      <c r="L164" s="31">
        <v>9538</v>
      </c>
      <c r="N164" s="7" t="s">
        <v>5541</v>
      </c>
      <c r="P164" s="4"/>
      <c r="R164" s="4"/>
    </row>
    <row r="165" spans="1:18">
      <c r="A165" s="7" t="s">
        <v>7015</v>
      </c>
      <c r="B165" s="7" t="s">
        <v>3810</v>
      </c>
      <c r="C165" s="4" t="s">
        <v>9029</v>
      </c>
      <c r="D165" s="366">
        <v>10221</v>
      </c>
      <c r="E165" s="366">
        <v>10531</v>
      </c>
      <c r="F165" s="366">
        <v>11147</v>
      </c>
      <c r="G165" s="366">
        <v>10699</v>
      </c>
      <c r="H165" s="48">
        <v>11115</v>
      </c>
      <c r="I165" s="30">
        <v>9632</v>
      </c>
      <c r="J165" s="30">
        <v>10692</v>
      </c>
      <c r="K165" s="30">
        <v>10350</v>
      </c>
      <c r="L165" s="30">
        <v>11356</v>
      </c>
      <c r="N165" s="7" t="s">
        <v>5540</v>
      </c>
      <c r="P165" s="4"/>
      <c r="R165" s="4"/>
    </row>
    <row r="166" spans="1:18">
      <c r="A166" s="7" t="s">
        <v>7017</v>
      </c>
      <c r="B166" s="7" t="s">
        <v>3811</v>
      </c>
      <c r="C166" s="4" t="s">
        <v>9030</v>
      </c>
      <c r="D166" s="366">
        <v>10507</v>
      </c>
      <c r="E166" s="366">
        <v>10574</v>
      </c>
      <c r="F166" s="366">
        <v>10603</v>
      </c>
      <c r="G166" s="366">
        <v>10847</v>
      </c>
      <c r="H166" s="48">
        <v>10868</v>
      </c>
      <c r="I166" s="30">
        <v>10569</v>
      </c>
      <c r="J166" s="30">
        <v>10337</v>
      </c>
      <c r="K166" s="30">
        <v>10117</v>
      </c>
      <c r="L166" s="30">
        <v>10185</v>
      </c>
      <c r="N166" s="7" t="s">
        <v>5540</v>
      </c>
      <c r="P166" s="4"/>
      <c r="R166" s="4"/>
    </row>
    <row r="167" spans="1:18">
      <c r="A167" s="7" t="s">
        <v>7019</v>
      </c>
      <c r="B167" s="7" t="s">
        <v>3812</v>
      </c>
      <c r="C167" s="4" t="s">
        <v>9031</v>
      </c>
      <c r="D167" s="359">
        <v>11501</v>
      </c>
      <c r="E167" s="359">
        <v>11753</v>
      </c>
      <c r="F167" s="359">
        <v>12185</v>
      </c>
      <c r="G167" s="359">
        <v>12372</v>
      </c>
      <c r="H167" s="48">
        <v>12405</v>
      </c>
      <c r="I167" s="31">
        <v>12226</v>
      </c>
      <c r="J167" s="31">
        <v>12234</v>
      </c>
      <c r="K167" s="31">
        <v>11790</v>
      </c>
      <c r="L167" s="31">
        <v>12080</v>
      </c>
      <c r="N167" s="7" t="s">
        <v>5540</v>
      </c>
      <c r="P167" s="4"/>
      <c r="R167" s="4"/>
    </row>
    <row r="168" spans="1:18">
      <c r="A168" s="7" t="s">
        <v>7021</v>
      </c>
      <c r="B168" s="7" t="s">
        <v>3813</v>
      </c>
      <c r="C168" s="4" t="s">
        <v>9032</v>
      </c>
      <c r="D168" s="359">
        <v>11380</v>
      </c>
      <c r="E168" s="359">
        <v>11384</v>
      </c>
      <c r="F168" s="359">
        <v>11425</v>
      </c>
      <c r="G168" s="359">
        <v>11578</v>
      </c>
      <c r="H168" s="48">
        <v>11605</v>
      </c>
      <c r="I168" s="30">
        <v>11343</v>
      </c>
      <c r="J168" s="30">
        <v>11199</v>
      </c>
      <c r="K168" s="30">
        <v>10719</v>
      </c>
      <c r="L168" s="30">
        <v>10834</v>
      </c>
      <c r="N168" s="7" t="s">
        <v>3837</v>
      </c>
      <c r="P168" s="4"/>
      <c r="R168" s="4"/>
    </row>
    <row r="169" spans="1:18">
      <c r="A169" s="7" t="s">
        <v>7023</v>
      </c>
      <c r="B169" s="7" t="s">
        <v>3814</v>
      </c>
      <c r="C169" s="4" t="s">
        <v>9033</v>
      </c>
      <c r="D169" s="359">
        <v>10156</v>
      </c>
      <c r="E169" s="359">
        <v>9077</v>
      </c>
      <c r="F169" s="359">
        <v>10312</v>
      </c>
      <c r="G169" s="359">
        <v>10371</v>
      </c>
      <c r="H169" s="48">
        <v>10389</v>
      </c>
      <c r="I169" s="30">
        <v>10257</v>
      </c>
      <c r="J169" s="30">
        <v>10298</v>
      </c>
      <c r="K169" s="30">
        <v>9899</v>
      </c>
      <c r="L169" s="30">
        <v>9925</v>
      </c>
      <c r="N169" s="7" t="s">
        <v>3837</v>
      </c>
      <c r="P169" s="4"/>
      <c r="R169" s="4"/>
    </row>
    <row r="170" spans="1:18">
      <c r="A170" s="7" t="s">
        <v>7025</v>
      </c>
      <c r="B170" s="7" t="s">
        <v>3815</v>
      </c>
      <c r="C170" s="4" t="s">
        <v>9034</v>
      </c>
      <c r="D170" s="359">
        <v>10708</v>
      </c>
      <c r="E170" s="359">
        <v>11347</v>
      </c>
      <c r="F170" s="359">
        <v>11793</v>
      </c>
      <c r="G170" s="359">
        <v>11820</v>
      </c>
      <c r="H170" s="48">
        <v>11934</v>
      </c>
      <c r="I170" s="30">
        <v>11542</v>
      </c>
      <c r="J170" s="30">
        <v>10149</v>
      </c>
      <c r="K170" s="30">
        <v>9736</v>
      </c>
      <c r="L170" s="30">
        <v>10326</v>
      </c>
      <c r="N170" s="7" t="s">
        <v>5539</v>
      </c>
      <c r="P170" s="4"/>
      <c r="R170" s="4"/>
    </row>
    <row r="171" spans="1:18">
      <c r="A171" s="7" t="s">
        <v>7570</v>
      </c>
      <c r="B171" s="7" t="s">
        <v>3816</v>
      </c>
      <c r="C171" s="4" t="s">
        <v>9035</v>
      </c>
      <c r="D171" s="359">
        <v>10480</v>
      </c>
      <c r="E171" s="359">
        <v>10733</v>
      </c>
      <c r="F171" s="359">
        <v>10802</v>
      </c>
      <c r="G171" s="359">
        <v>10992</v>
      </c>
      <c r="H171" s="48">
        <v>10680</v>
      </c>
      <c r="I171" s="31">
        <v>10285</v>
      </c>
      <c r="J171" s="31">
        <v>10743</v>
      </c>
      <c r="K171" s="31">
        <v>10041</v>
      </c>
      <c r="L171" s="31">
        <v>10378</v>
      </c>
      <c r="N171" s="7" t="s">
        <v>5540</v>
      </c>
      <c r="P171" s="4"/>
      <c r="R171" s="4"/>
    </row>
    <row r="172" spans="1:18">
      <c r="A172" s="7" t="s">
        <v>7572</v>
      </c>
      <c r="B172" s="7" t="s">
        <v>3817</v>
      </c>
      <c r="C172" s="4" t="s">
        <v>9036</v>
      </c>
      <c r="D172" s="359">
        <v>9844</v>
      </c>
      <c r="E172" s="359">
        <v>10451</v>
      </c>
      <c r="F172" s="359">
        <v>10711</v>
      </c>
      <c r="G172" s="359">
        <v>10522</v>
      </c>
      <c r="H172" s="48">
        <v>10597</v>
      </c>
      <c r="I172" s="31">
        <v>10314</v>
      </c>
      <c r="J172" s="31">
        <v>9755</v>
      </c>
      <c r="K172" s="31">
        <v>9229</v>
      </c>
      <c r="L172" s="31">
        <v>9600</v>
      </c>
      <c r="N172" s="7" t="s">
        <v>5540</v>
      </c>
      <c r="P172" s="4"/>
      <c r="R172" s="4"/>
    </row>
    <row r="173" spans="1:18">
      <c r="A173" s="7" t="s">
        <v>7573</v>
      </c>
      <c r="B173" s="7" t="s">
        <v>3818</v>
      </c>
      <c r="C173" s="4" t="s">
        <v>9037</v>
      </c>
      <c r="D173" s="359">
        <v>10277</v>
      </c>
      <c r="E173" s="359">
        <v>10392</v>
      </c>
      <c r="F173" s="359">
        <v>10587</v>
      </c>
      <c r="G173" s="359">
        <v>10502</v>
      </c>
      <c r="H173" s="48">
        <v>10568</v>
      </c>
      <c r="I173" s="30">
        <v>10306</v>
      </c>
      <c r="J173" s="30">
        <v>10254</v>
      </c>
      <c r="K173" s="30">
        <v>10207</v>
      </c>
      <c r="L173" s="30">
        <v>10269</v>
      </c>
      <c r="N173" s="7" t="s">
        <v>5539</v>
      </c>
      <c r="P173" s="4"/>
      <c r="R173" s="4"/>
    </row>
    <row r="174" spans="1:18">
      <c r="A174" s="7" t="s">
        <v>5798</v>
      </c>
      <c r="B174" s="7" t="s">
        <v>1400</v>
      </c>
      <c r="C174" s="4" t="s">
        <v>9038</v>
      </c>
      <c r="D174" s="359">
        <v>10836</v>
      </c>
      <c r="E174" s="359">
        <v>10913</v>
      </c>
      <c r="F174" s="359">
        <v>11405</v>
      </c>
      <c r="G174" s="359">
        <v>12168</v>
      </c>
      <c r="H174" s="48">
        <v>12485</v>
      </c>
      <c r="I174" s="30">
        <v>11212</v>
      </c>
      <c r="J174" s="30">
        <v>12465</v>
      </c>
      <c r="K174" s="30">
        <v>12432</v>
      </c>
      <c r="L174" s="30">
        <v>13255</v>
      </c>
      <c r="N174" s="7" t="s">
        <v>5539</v>
      </c>
      <c r="P174" s="4"/>
      <c r="R174" s="4"/>
    </row>
    <row r="175" spans="1:18">
      <c r="A175" s="7" t="s">
        <v>5799</v>
      </c>
      <c r="B175" s="7" t="s">
        <v>3819</v>
      </c>
      <c r="C175" s="4" t="s">
        <v>9039</v>
      </c>
      <c r="D175" s="359">
        <v>10816</v>
      </c>
      <c r="E175" s="359">
        <v>10903</v>
      </c>
      <c r="F175" s="359">
        <v>11067</v>
      </c>
      <c r="G175" s="359">
        <v>11185</v>
      </c>
      <c r="H175" s="48">
        <v>11336</v>
      </c>
      <c r="I175" s="30">
        <v>11235</v>
      </c>
      <c r="J175" s="30">
        <v>11166</v>
      </c>
      <c r="K175" s="30">
        <v>10905</v>
      </c>
      <c r="L175" s="30">
        <v>10881</v>
      </c>
      <c r="N175" s="7" t="s">
        <v>5539</v>
      </c>
      <c r="P175" s="4"/>
      <c r="R175" s="4"/>
    </row>
    <row r="176" spans="1:18">
      <c r="A176" s="7" t="s">
        <v>5801</v>
      </c>
      <c r="B176" s="7" t="s">
        <v>8237</v>
      </c>
      <c r="C176" s="4" t="s">
        <v>9040</v>
      </c>
      <c r="D176" s="359">
        <v>10623</v>
      </c>
      <c r="E176" s="359">
        <v>10733</v>
      </c>
      <c r="F176" s="359">
        <v>10858</v>
      </c>
      <c r="G176" s="359">
        <v>10935</v>
      </c>
      <c r="H176" s="48">
        <v>11034</v>
      </c>
      <c r="I176" s="31">
        <v>10953</v>
      </c>
      <c r="J176" s="31">
        <v>11055</v>
      </c>
      <c r="K176" s="31">
        <v>10588</v>
      </c>
      <c r="L176" s="31">
        <v>10668</v>
      </c>
      <c r="N176" s="7" t="s">
        <v>7366</v>
      </c>
      <c r="P176" s="4"/>
      <c r="R176" s="4"/>
    </row>
    <row r="177" spans="1:18">
      <c r="A177" s="7" t="s">
        <v>5927</v>
      </c>
      <c r="B177" s="7" t="s">
        <v>8238</v>
      </c>
      <c r="C177" s="4" t="s">
        <v>9041</v>
      </c>
      <c r="D177" s="359">
        <v>10362</v>
      </c>
      <c r="E177" s="359">
        <v>10641</v>
      </c>
      <c r="F177" s="359">
        <v>10971</v>
      </c>
      <c r="G177" s="359">
        <v>10984</v>
      </c>
      <c r="H177" s="48">
        <v>11028</v>
      </c>
      <c r="I177" s="31">
        <v>10703</v>
      </c>
      <c r="J177" s="31">
        <v>11003</v>
      </c>
      <c r="K177" s="31">
        <v>9574</v>
      </c>
      <c r="L177" s="31">
        <v>9763</v>
      </c>
      <c r="N177" s="7" t="s">
        <v>5541</v>
      </c>
      <c r="P177" s="4"/>
      <c r="R177" s="4"/>
    </row>
    <row r="178" spans="1:18">
      <c r="A178" s="7" t="s">
        <v>5929</v>
      </c>
      <c r="B178" s="7" t="s">
        <v>8239</v>
      </c>
      <c r="C178" s="4" t="s">
        <v>9042</v>
      </c>
      <c r="D178" s="359">
        <v>9600</v>
      </c>
      <c r="E178" s="359">
        <v>10042</v>
      </c>
      <c r="F178" s="359">
        <v>10242</v>
      </c>
      <c r="G178" s="359">
        <v>10034</v>
      </c>
      <c r="H178" s="48">
        <v>10148</v>
      </c>
      <c r="I178" s="31">
        <v>8861</v>
      </c>
      <c r="J178" s="31">
        <v>9758</v>
      </c>
      <c r="K178" s="31">
        <v>8860</v>
      </c>
      <c r="L178" s="31">
        <v>9702</v>
      </c>
      <c r="N178" s="7" t="s">
        <v>5540</v>
      </c>
      <c r="P178" s="4"/>
      <c r="R178" s="4"/>
    </row>
    <row r="179" spans="1:18">
      <c r="A179" s="7" t="s">
        <v>5931</v>
      </c>
      <c r="B179" s="7" t="s">
        <v>8240</v>
      </c>
      <c r="C179" s="4" t="s">
        <v>9043</v>
      </c>
      <c r="D179" s="359">
        <v>11131</v>
      </c>
      <c r="E179" s="359">
        <v>11209</v>
      </c>
      <c r="F179" s="359">
        <v>11390</v>
      </c>
      <c r="G179" s="359">
        <v>11401</v>
      </c>
      <c r="H179" s="48">
        <v>11492</v>
      </c>
      <c r="I179" s="31">
        <v>11340</v>
      </c>
      <c r="J179" s="31">
        <v>11424</v>
      </c>
      <c r="K179" s="31">
        <v>11074</v>
      </c>
      <c r="L179" s="31">
        <v>11226</v>
      </c>
      <c r="N179" s="7" t="s">
        <v>7366</v>
      </c>
      <c r="P179" s="4"/>
      <c r="R179" s="4"/>
    </row>
    <row r="180" spans="1:18">
      <c r="A180" s="7" t="s">
        <v>5933</v>
      </c>
      <c r="B180" s="7" t="s">
        <v>8241</v>
      </c>
      <c r="C180" s="4" t="s">
        <v>9044</v>
      </c>
      <c r="D180" s="366">
        <v>10382</v>
      </c>
      <c r="E180" s="366">
        <v>10597</v>
      </c>
      <c r="F180" s="366">
        <v>10807</v>
      </c>
      <c r="G180" s="366">
        <v>10918</v>
      </c>
      <c r="H180" s="48">
        <v>10994</v>
      </c>
      <c r="I180" s="31">
        <v>10631</v>
      </c>
      <c r="J180" s="31">
        <v>10708</v>
      </c>
      <c r="K180" s="31">
        <v>10486</v>
      </c>
      <c r="L180" s="31">
        <v>10650</v>
      </c>
      <c r="N180" s="7" t="s">
        <v>5540</v>
      </c>
      <c r="P180" s="4"/>
      <c r="R180" s="4"/>
    </row>
    <row r="181" spans="1:18">
      <c r="A181" s="7" t="s">
        <v>7897</v>
      </c>
      <c r="B181" s="7" t="s">
        <v>8242</v>
      </c>
      <c r="C181" s="4" t="s">
        <v>9045</v>
      </c>
      <c r="D181" s="359">
        <v>10762</v>
      </c>
      <c r="E181" s="359">
        <v>10948</v>
      </c>
      <c r="F181" s="359">
        <v>10997</v>
      </c>
      <c r="G181" s="359">
        <v>10824</v>
      </c>
      <c r="H181" s="48">
        <v>10696</v>
      </c>
      <c r="I181" s="31">
        <v>10436</v>
      </c>
      <c r="J181" s="31">
        <v>10049</v>
      </c>
      <c r="K181" s="31">
        <v>8461</v>
      </c>
      <c r="L181" s="31">
        <v>8981</v>
      </c>
      <c r="N181" s="7" t="s">
        <v>5541</v>
      </c>
      <c r="P181" s="4"/>
      <c r="R181" s="4"/>
    </row>
    <row r="182" spans="1:18">
      <c r="A182" s="7" t="s">
        <v>7898</v>
      </c>
      <c r="B182" s="7" t="s">
        <v>7389</v>
      </c>
      <c r="C182" s="4" t="s">
        <v>9046</v>
      </c>
      <c r="D182" s="359">
        <v>9544</v>
      </c>
      <c r="E182" s="359">
        <v>9594</v>
      </c>
      <c r="F182" s="359">
        <v>9785</v>
      </c>
      <c r="G182" s="359">
        <v>9889</v>
      </c>
      <c r="H182" s="48">
        <v>9975</v>
      </c>
      <c r="I182" s="31">
        <v>9919</v>
      </c>
      <c r="J182" s="31">
        <v>9924</v>
      </c>
      <c r="K182" s="31">
        <v>9583</v>
      </c>
      <c r="L182" s="31">
        <v>9703</v>
      </c>
      <c r="N182" s="7" t="s">
        <v>7366</v>
      </c>
      <c r="P182" s="4"/>
      <c r="R182" s="4"/>
    </row>
    <row r="183" spans="1:18">
      <c r="D183" s="360"/>
      <c r="E183" s="360"/>
      <c r="F183" s="360"/>
      <c r="G183" s="360"/>
      <c r="H183" s="360"/>
      <c r="I183" s="360"/>
      <c r="J183" s="360"/>
      <c r="K183" s="360"/>
      <c r="L183" s="360"/>
    </row>
    <row r="184" spans="1:18">
      <c r="A184" s="7" t="s">
        <v>7390</v>
      </c>
      <c r="D184" s="359">
        <f t="shared" ref="D184:I184" si="183">D157+D158+D162+D168+D169</f>
        <v>53793</v>
      </c>
      <c r="E184" s="359">
        <f t="shared" si="183"/>
        <v>53589</v>
      </c>
      <c r="F184" s="359">
        <f t="shared" si="183"/>
        <v>55638</v>
      </c>
      <c r="G184" s="359">
        <f t="shared" si="183"/>
        <v>56447</v>
      </c>
      <c r="H184" s="359">
        <f t="shared" si="183"/>
        <v>56768</v>
      </c>
      <c r="I184" s="359">
        <f t="shared" si="183"/>
        <v>55958</v>
      </c>
      <c r="J184" s="359">
        <f t="shared" ref="J184:K184" si="184">J157+J158+J162+J168+J169</f>
        <v>55835</v>
      </c>
      <c r="K184" s="359">
        <f t="shared" si="184"/>
        <v>54241</v>
      </c>
      <c r="L184" s="359">
        <f t="shared" ref="L184" si="185">L157+L158+L162+L168+L169</f>
        <v>54602</v>
      </c>
    </row>
    <row r="185" spans="1:18">
      <c r="A185" s="7" t="s">
        <v>5539</v>
      </c>
      <c r="D185" s="359">
        <f t="shared" ref="D185:I185" si="186">D151+D152+D154+D161+D170+SUM(D173:D175)</f>
        <v>85522</v>
      </c>
      <c r="E185" s="359">
        <f t="shared" si="186"/>
        <v>89519</v>
      </c>
      <c r="F185" s="359">
        <f t="shared" si="186"/>
        <v>91216</v>
      </c>
      <c r="G185" s="359">
        <f t="shared" si="186"/>
        <v>92334</v>
      </c>
      <c r="H185" s="359">
        <f t="shared" si="186"/>
        <v>95373</v>
      </c>
      <c r="I185" s="359">
        <f t="shared" si="186"/>
        <v>89845</v>
      </c>
      <c r="J185" s="359">
        <f t="shared" ref="J185:K185" si="187">J151+J152+J154+J161+J170+SUM(J173:J175)</f>
        <v>87339</v>
      </c>
      <c r="K185" s="359">
        <f t="shared" si="187"/>
        <v>85370</v>
      </c>
      <c r="L185" s="359">
        <f t="shared" ref="L185" si="188">L151+L152+L154+L161+L170+SUM(L173:L175)</f>
        <v>88488</v>
      </c>
    </row>
    <row r="186" spans="1:18">
      <c r="A186" s="7" t="s">
        <v>5540</v>
      </c>
      <c r="D186" s="359">
        <f t="shared" ref="D186:I186" si="189">D165+D166+D167+D171+D172+D178+D180</f>
        <v>72535</v>
      </c>
      <c r="E186" s="359">
        <f t="shared" si="189"/>
        <v>74681</v>
      </c>
      <c r="F186" s="359">
        <f t="shared" si="189"/>
        <v>76497</v>
      </c>
      <c r="G186" s="359">
        <f t="shared" si="189"/>
        <v>76384</v>
      </c>
      <c r="H186" s="359">
        <f t="shared" si="189"/>
        <v>76807</v>
      </c>
      <c r="I186" s="359">
        <f t="shared" si="189"/>
        <v>72518</v>
      </c>
      <c r="J186" s="359">
        <f t="shared" ref="J186:K186" si="190">J165+J166+J167+J171+J172+J178+J180</f>
        <v>74227</v>
      </c>
      <c r="K186" s="359">
        <f t="shared" si="190"/>
        <v>70873</v>
      </c>
      <c r="L186" s="359">
        <f t="shared" ref="L186" si="191">L165+L166+L167+L171+L172+L178+L180</f>
        <v>73951</v>
      </c>
    </row>
    <row r="187" spans="1:18">
      <c r="A187" s="7" t="s">
        <v>5541</v>
      </c>
      <c r="D187" s="359">
        <f t="shared" ref="D187:I187" si="192">D156+D159+D160+D163+D164+D177+D181</f>
        <v>72514</v>
      </c>
      <c r="E187" s="359">
        <f t="shared" si="192"/>
        <v>73656</v>
      </c>
      <c r="F187" s="359">
        <f t="shared" si="192"/>
        <v>74964</v>
      </c>
      <c r="G187" s="359">
        <f t="shared" si="192"/>
        <v>75170</v>
      </c>
      <c r="H187" s="359">
        <f t="shared" si="192"/>
        <v>75560</v>
      </c>
      <c r="I187" s="359">
        <f t="shared" si="192"/>
        <v>74396</v>
      </c>
      <c r="J187" s="359">
        <f t="shared" ref="J187:K187" si="193">J156+J159+J160+J163+J164+J177+J181</f>
        <v>74616</v>
      </c>
      <c r="K187" s="359">
        <f t="shared" si="193"/>
        <v>69707</v>
      </c>
      <c r="L187" s="359">
        <f t="shared" ref="L187" si="194">L156+L159+L160+L163+L164+L177+L181</f>
        <v>71330</v>
      </c>
    </row>
    <row r="188" spans="1:18">
      <c r="A188" s="7" t="s">
        <v>7391</v>
      </c>
      <c r="D188" s="359">
        <f t="shared" ref="D188:I188" si="195">D153+D155+D176+D179+D182</f>
        <v>52002</v>
      </c>
      <c r="E188" s="359">
        <f t="shared" si="195"/>
        <v>52444</v>
      </c>
      <c r="F188" s="359">
        <f t="shared" si="195"/>
        <v>53009</v>
      </c>
      <c r="G188" s="359">
        <f t="shared" si="195"/>
        <v>53349</v>
      </c>
      <c r="H188" s="359">
        <f t="shared" si="195"/>
        <v>53849</v>
      </c>
      <c r="I188" s="359">
        <f t="shared" si="195"/>
        <v>53363</v>
      </c>
      <c r="J188" s="359">
        <f t="shared" ref="J188:K188" si="196">J153+J155+J176+J179+J182</f>
        <v>53643</v>
      </c>
      <c r="K188" s="359">
        <f t="shared" si="196"/>
        <v>51880</v>
      </c>
      <c r="L188" s="359">
        <f t="shared" ref="L188" si="197">L153+L155+L176+L179+L182</f>
        <v>52353</v>
      </c>
    </row>
    <row r="189" spans="1:18">
      <c r="A189" s="7"/>
      <c r="D189" s="359"/>
      <c r="E189" s="359"/>
      <c r="F189" s="359"/>
      <c r="G189" s="359"/>
      <c r="H189" s="359"/>
      <c r="I189" s="359"/>
      <c r="J189" s="359"/>
      <c r="K189" s="359"/>
      <c r="L189" s="359"/>
    </row>
    <row r="190" spans="1:18">
      <c r="A190" s="357" t="s">
        <v>7392</v>
      </c>
    </row>
    <row r="193" spans="1:18">
      <c r="E193" s="42" t="s">
        <v>2303</v>
      </c>
      <c r="F193" s="42"/>
      <c r="G193" s="42"/>
      <c r="H193" s="42"/>
      <c r="I193" s="42"/>
      <c r="J193" s="42"/>
      <c r="K193" s="42"/>
      <c r="L193" s="42"/>
      <c r="M193" s="65"/>
      <c r="N193" s="66" t="s">
        <v>13319</v>
      </c>
    </row>
    <row r="194" spans="1:18">
      <c r="D194" s="55">
        <v>2010</v>
      </c>
      <c r="E194" s="55">
        <v>2011</v>
      </c>
      <c r="F194" s="55">
        <v>2012</v>
      </c>
      <c r="G194" s="55">
        <v>2013</v>
      </c>
      <c r="H194" s="55">
        <v>2014</v>
      </c>
      <c r="I194" s="55">
        <v>2015</v>
      </c>
      <c r="J194" s="55">
        <v>2016</v>
      </c>
      <c r="K194" s="55">
        <v>2017</v>
      </c>
      <c r="L194" s="55">
        <v>2018</v>
      </c>
      <c r="N194" s="67" t="s">
        <v>2304</v>
      </c>
    </row>
    <row r="195" spans="1:18">
      <c r="A195" s="7" t="s">
        <v>7393</v>
      </c>
      <c r="D195" s="359">
        <f t="shared" ref="D195:I195" si="198">SUM(D196:D215)</f>
        <v>160184</v>
      </c>
      <c r="E195" s="359">
        <f t="shared" si="198"/>
        <v>160369</v>
      </c>
      <c r="F195" s="359">
        <f t="shared" si="198"/>
        <v>158724</v>
      </c>
      <c r="G195" s="359">
        <f t="shared" si="198"/>
        <v>160486</v>
      </c>
      <c r="H195" s="359">
        <f t="shared" si="198"/>
        <v>160329</v>
      </c>
      <c r="I195" s="359">
        <f t="shared" si="198"/>
        <v>155990</v>
      </c>
      <c r="J195" s="359">
        <f t="shared" ref="J195:K195" si="199">SUM(J196:J215)</f>
        <v>153751</v>
      </c>
      <c r="K195" s="359">
        <f t="shared" si="199"/>
        <v>156597</v>
      </c>
      <c r="L195" s="359">
        <f t="shared" ref="L195" si="200">SUM(L196:L215)</f>
        <v>157063</v>
      </c>
    </row>
    <row r="196" spans="1:18">
      <c r="A196" s="7" t="s">
        <v>6957</v>
      </c>
      <c r="B196" s="7" t="s">
        <v>7394</v>
      </c>
      <c r="C196" s="4" t="s">
        <v>9047</v>
      </c>
      <c r="D196" s="359">
        <v>7475</v>
      </c>
      <c r="E196" s="359">
        <v>7434</v>
      </c>
      <c r="F196" s="359">
        <v>7168</v>
      </c>
      <c r="G196" s="359">
        <v>7351</v>
      </c>
      <c r="H196" s="48">
        <v>7116</v>
      </c>
      <c r="I196" s="48">
        <v>6237</v>
      </c>
      <c r="J196" s="30">
        <v>6212</v>
      </c>
      <c r="K196" s="30">
        <v>6504</v>
      </c>
      <c r="L196" s="30">
        <v>6540</v>
      </c>
      <c r="N196" s="7" t="s">
        <v>7357</v>
      </c>
      <c r="P196" s="4"/>
      <c r="R196" s="4"/>
    </row>
    <row r="197" spans="1:18">
      <c r="A197" s="7" t="s">
        <v>6959</v>
      </c>
      <c r="B197" s="7" t="s">
        <v>7395</v>
      </c>
      <c r="C197" s="4" t="s">
        <v>9048</v>
      </c>
      <c r="D197" s="359">
        <v>7841</v>
      </c>
      <c r="E197" s="359">
        <v>7921</v>
      </c>
      <c r="F197" s="359">
        <v>7841</v>
      </c>
      <c r="G197" s="359">
        <v>7868</v>
      </c>
      <c r="H197" s="48">
        <v>7867</v>
      </c>
      <c r="I197" s="48">
        <v>7874</v>
      </c>
      <c r="J197" s="30">
        <v>7782</v>
      </c>
      <c r="K197" s="30">
        <v>7838</v>
      </c>
      <c r="L197" s="30">
        <v>7830</v>
      </c>
      <c r="N197" s="7" t="s">
        <v>7358</v>
      </c>
      <c r="P197" s="4"/>
      <c r="R197" s="4"/>
    </row>
    <row r="198" spans="1:18">
      <c r="A198" s="7" t="s">
        <v>6961</v>
      </c>
      <c r="B198" s="7" t="s">
        <v>7396</v>
      </c>
      <c r="C198" s="4" t="s">
        <v>9049</v>
      </c>
      <c r="D198" s="359">
        <v>8216</v>
      </c>
      <c r="E198" s="359">
        <v>8213</v>
      </c>
      <c r="F198" s="359">
        <v>8230</v>
      </c>
      <c r="G198" s="359">
        <v>8357</v>
      </c>
      <c r="H198" s="48">
        <v>8308</v>
      </c>
      <c r="I198" s="48">
        <v>8308</v>
      </c>
      <c r="J198" s="30">
        <v>8114</v>
      </c>
      <c r="K198" s="30">
        <v>8290</v>
      </c>
      <c r="L198" s="30">
        <v>8311</v>
      </c>
      <c r="N198" s="7" t="s">
        <v>7358</v>
      </c>
      <c r="P198" s="4"/>
      <c r="R198" s="4"/>
    </row>
    <row r="199" spans="1:18">
      <c r="A199" s="7" t="s">
        <v>6963</v>
      </c>
      <c r="B199" s="7" t="s">
        <v>7397</v>
      </c>
      <c r="C199" s="4" t="s">
        <v>9050</v>
      </c>
      <c r="D199" s="359">
        <v>8060</v>
      </c>
      <c r="E199" s="359">
        <v>8073</v>
      </c>
      <c r="F199" s="359">
        <v>8063</v>
      </c>
      <c r="G199" s="359">
        <v>8093</v>
      </c>
      <c r="H199" s="48">
        <v>8046</v>
      </c>
      <c r="I199" s="48">
        <v>7661</v>
      </c>
      <c r="J199" s="30">
        <v>7509</v>
      </c>
      <c r="K199" s="30">
        <v>7626</v>
      </c>
      <c r="L199" s="30">
        <v>7596</v>
      </c>
      <c r="N199" s="7" t="s">
        <v>7358</v>
      </c>
      <c r="P199" s="4"/>
      <c r="R199" s="4"/>
    </row>
    <row r="200" spans="1:18">
      <c r="A200" s="7" t="s">
        <v>6965</v>
      </c>
      <c r="B200" s="7" t="s">
        <v>7398</v>
      </c>
      <c r="C200" s="4" t="s">
        <v>9051</v>
      </c>
      <c r="D200" s="359">
        <v>8335</v>
      </c>
      <c r="E200" s="359">
        <v>8514</v>
      </c>
      <c r="F200" s="359">
        <v>8489</v>
      </c>
      <c r="G200" s="359">
        <v>8500</v>
      </c>
      <c r="H200" s="48">
        <v>8426</v>
      </c>
      <c r="I200" s="48">
        <v>8107</v>
      </c>
      <c r="J200" s="30">
        <v>7933</v>
      </c>
      <c r="K200" s="30">
        <v>8211</v>
      </c>
      <c r="L200" s="30">
        <v>8100</v>
      </c>
      <c r="N200" s="7" t="s">
        <v>7358</v>
      </c>
      <c r="P200" s="4"/>
      <c r="R200" s="4"/>
    </row>
    <row r="201" spans="1:18">
      <c r="A201" s="7" t="s">
        <v>6997</v>
      </c>
      <c r="B201" s="7" t="s">
        <v>7373</v>
      </c>
      <c r="C201" s="4" t="s">
        <v>9052</v>
      </c>
      <c r="D201" s="359">
        <v>8423</v>
      </c>
      <c r="E201" s="359">
        <v>8397</v>
      </c>
      <c r="F201" s="359">
        <v>8329</v>
      </c>
      <c r="G201" s="359">
        <v>8394</v>
      </c>
      <c r="H201" s="48">
        <v>8382</v>
      </c>
      <c r="I201" s="48">
        <v>8200</v>
      </c>
      <c r="J201" s="30">
        <v>8064</v>
      </c>
      <c r="K201" s="30">
        <v>8127</v>
      </c>
      <c r="L201" s="30">
        <v>8090</v>
      </c>
      <c r="N201" s="7" t="s">
        <v>7357</v>
      </c>
      <c r="P201" s="4"/>
      <c r="R201" s="4"/>
    </row>
    <row r="202" spans="1:18">
      <c r="A202" s="7" t="s">
        <v>6999</v>
      </c>
      <c r="B202" s="7" t="s">
        <v>7399</v>
      </c>
      <c r="C202" s="4" t="s">
        <v>9053</v>
      </c>
      <c r="D202" s="359">
        <v>7940</v>
      </c>
      <c r="E202" s="359">
        <v>7941</v>
      </c>
      <c r="F202" s="359">
        <v>7896</v>
      </c>
      <c r="G202" s="359">
        <v>7921</v>
      </c>
      <c r="H202" s="48">
        <v>7942</v>
      </c>
      <c r="I202" s="48">
        <v>7800</v>
      </c>
      <c r="J202" s="30">
        <v>7687</v>
      </c>
      <c r="K202" s="30">
        <v>7729</v>
      </c>
      <c r="L202" s="30">
        <v>7760</v>
      </c>
      <c r="N202" s="7" t="s">
        <v>3834</v>
      </c>
      <c r="P202" s="4"/>
      <c r="R202" s="4"/>
    </row>
    <row r="203" spans="1:18">
      <c r="A203" s="7" t="s">
        <v>7001</v>
      </c>
      <c r="B203" s="7" t="s">
        <v>5588</v>
      </c>
      <c r="C203" s="4" t="s">
        <v>9054</v>
      </c>
      <c r="D203" s="359">
        <v>7871</v>
      </c>
      <c r="E203" s="359">
        <v>7777</v>
      </c>
      <c r="F203" s="359">
        <v>7649</v>
      </c>
      <c r="G203" s="359">
        <v>7761</v>
      </c>
      <c r="H203" s="48">
        <v>7782</v>
      </c>
      <c r="I203" s="48">
        <v>7513</v>
      </c>
      <c r="J203" s="30">
        <v>7386</v>
      </c>
      <c r="K203" s="30">
        <v>7505</v>
      </c>
      <c r="L203" s="30">
        <v>7461</v>
      </c>
      <c r="N203" s="7" t="s">
        <v>3834</v>
      </c>
      <c r="P203" s="4"/>
      <c r="R203" s="4"/>
    </row>
    <row r="204" spans="1:18">
      <c r="A204" s="7" t="s">
        <v>7003</v>
      </c>
      <c r="B204" s="7" t="s">
        <v>5589</v>
      </c>
      <c r="C204" s="4" t="s">
        <v>9055</v>
      </c>
      <c r="D204" s="359">
        <v>7487</v>
      </c>
      <c r="E204" s="359">
        <v>7503</v>
      </c>
      <c r="F204" s="359">
        <v>7524</v>
      </c>
      <c r="G204" s="359">
        <v>7596</v>
      </c>
      <c r="H204" s="48">
        <v>7589</v>
      </c>
      <c r="I204" s="48">
        <v>7211</v>
      </c>
      <c r="J204" s="31">
        <v>7171</v>
      </c>
      <c r="K204" s="31">
        <v>7407</v>
      </c>
      <c r="L204" s="31">
        <v>7360</v>
      </c>
      <c r="N204" s="7" t="s">
        <v>7358</v>
      </c>
      <c r="P204" s="4"/>
      <c r="R204" s="4"/>
    </row>
    <row r="205" spans="1:18">
      <c r="A205" s="7" t="s">
        <v>7005</v>
      </c>
      <c r="B205" s="7" t="s">
        <v>5590</v>
      </c>
      <c r="C205" s="4" t="s">
        <v>9056</v>
      </c>
      <c r="D205" s="359">
        <v>8054</v>
      </c>
      <c r="E205" s="359">
        <v>8110</v>
      </c>
      <c r="F205" s="359">
        <v>7984</v>
      </c>
      <c r="G205" s="359">
        <v>8057</v>
      </c>
      <c r="H205" s="48">
        <v>8236</v>
      </c>
      <c r="I205" s="48">
        <v>7830</v>
      </c>
      <c r="J205" s="31">
        <v>7845</v>
      </c>
      <c r="K205" s="31">
        <v>8014</v>
      </c>
      <c r="L205" s="31">
        <v>8106</v>
      </c>
      <c r="N205" s="7" t="s">
        <v>7358</v>
      </c>
      <c r="P205" s="4"/>
      <c r="R205" s="4"/>
    </row>
    <row r="206" spans="1:18">
      <c r="A206" s="7" t="s">
        <v>7007</v>
      </c>
      <c r="B206" s="7" t="s">
        <v>5591</v>
      </c>
      <c r="C206" s="4" t="s">
        <v>9057</v>
      </c>
      <c r="D206" s="359">
        <v>8094</v>
      </c>
      <c r="E206" s="359">
        <v>8135</v>
      </c>
      <c r="F206" s="359">
        <v>8015</v>
      </c>
      <c r="G206" s="359">
        <v>8043</v>
      </c>
      <c r="H206" s="48">
        <v>8021</v>
      </c>
      <c r="I206" s="48">
        <v>7824</v>
      </c>
      <c r="J206" s="31">
        <v>7736</v>
      </c>
      <c r="K206" s="31">
        <v>7686</v>
      </c>
      <c r="L206" s="31">
        <v>7650</v>
      </c>
      <c r="N206" s="7" t="s">
        <v>7358</v>
      </c>
      <c r="P206" s="4"/>
      <c r="R206" s="4"/>
    </row>
    <row r="207" spans="1:18">
      <c r="A207" s="7" t="s">
        <v>7009</v>
      </c>
      <c r="B207" s="7" t="s">
        <v>5592</v>
      </c>
      <c r="C207" s="4" t="s">
        <v>9058</v>
      </c>
      <c r="D207" s="359">
        <v>8384</v>
      </c>
      <c r="E207" s="359">
        <v>8406</v>
      </c>
      <c r="F207" s="359">
        <v>8271</v>
      </c>
      <c r="G207" s="359">
        <v>8419</v>
      </c>
      <c r="H207" s="48">
        <v>8443</v>
      </c>
      <c r="I207" s="48">
        <v>8290</v>
      </c>
      <c r="J207" s="31">
        <v>8105</v>
      </c>
      <c r="K207" s="31">
        <v>8285</v>
      </c>
      <c r="L207" s="31">
        <v>8239</v>
      </c>
      <c r="N207" s="7" t="s">
        <v>7358</v>
      </c>
      <c r="P207" s="4"/>
      <c r="R207" s="4"/>
    </row>
    <row r="208" spans="1:18">
      <c r="A208" s="7" t="s">
        <v>7011</v>
      </c>
      <c r="B208" s="7" t="s">
        <v>5593</v>
      </c>
      <c r="C208" s="4" t="s">
        <v>9059</v>
      </c>
      <c r="D208" s="359">
        <v>7646</v>
      </c>
      <c r="E208" s="359">
        <v>7638</v>
      </c>
      <c r="F208" s="359">
        <v>7599</v>
      </c>
      <c r="G208" s="359">
        <v>7652</v>
      </c>
      <c r="H208" s="48">
        <v>7713</v>
      </c>
      <c r="I208" s="48">
        <v>7740</v>
      </c>
      <c r="J208" s="30">
        <v>7651</v>
      </c>
      <c r="K208" s="30">
        <v>7741</v>
      </c>
      <c r="L208" s="30">
        <v>7870</v>
      </c>
      <c r="N208" s="7" t="s">
        <v>7357</v>
      </c>
      <c r="P208" s="4"/>
      <c r="R208" s="4"/>
    </row>
    <row r="209" spans="1:18">
      <c r="A209" s="7" t="s">
        <v>7013</v>
      </c>
      <c r="B209" s="7" t="s">
        <v>5594</v>
      </c>
      <c r="C209" s="4" t="s">
        <v>9060</v>
      </c>
      <c r="D209" s="359">
        <v>7860</v>
      </c>
      <c r="E209" s="359">
        <v>7900</v>
      </c>
      <c r="F209" s="359">
        <v>7933</v>
      </c>
      <c r="G209" s="359">
        <v>7962</v>
      </c>
      <c r="H209" s="48">
        <v>8034</v>
      </c>
      <c r="I209" s="48">
        <v>8110</v>
      </c>
      <c r="J209" s="30">
        <v>8030</v>
      </c>
      <c r="K209" s="30">
        <v>8166</v>
      </c>
      <c r="L209" s="30">
        <v>8242</v>
      </c>
      <c r="N209" s="7" t="s">
        <v>7357</v>
      </c>
      <c r="P209" s="4"/>
      <c r="R209" s="4"/>
    </row>
    <row r="210" spans="1:18">
      <c r="A210" s="7" t="s">
        <v>7015</v>
      </c>
      <c r="B210" s="7" t="s">
        <v>5595</v>
      </c>
      <c r="C210" s="4" t="s">
        <v>9061</v>
      </c>
      <c r="D210" s="359">
        <v>8429</v>
      </c>
      <c r="E210" s="359">
        <v>8385</v>
      </c>
      <c r="F210" s="359">
        <v>8366</v>
      </c>
      <c r="G210" s="359">
        <v>8453</v>
      </c>
      <c r="H210" s="48">
        <v>8450</v>
      </c>
      <c r="I210" s="48">
        <v>8370</v>
      </c>
      <c r="J210" s="30">
        <v>8246</v>
      </c>
      <c r="K210" s="30">
        <v>8332</v>
      </c>
      <c r="L210" s="30">
        <v>8372</v>
      </c>
      <c r="N210" s="7" t="s">
        <v>7357</v>
      </c>
      <c r="P210" s="4"/>
      <c r="R210" s="4"/>
    </row>
    <row r="211" spans="1:18">
      <c r="A211" s="7" t="s">
        <v>7017</v>
      </c>
      <c r="B211" s="7" t="s">
        <v>5596</v>
      </c>
      <c r="C211" s="4" t="s">
        <v>9062</v>
      </c>
      <c r="D211" s="359">
        <v>7777</v>
      </c>
      <c r="E211" s="359">
        <v>7775</v>
      </c>
      <c r="F211" s="359">
        <v>7597</v>
      </c>
      <c r="G211" s="359">
        <v>7764</v>
      </c>
      <c r="H211" s="48">
        <v>7730</v>
      </c>
      <c r="I211" s="48">
        <v>7633</v>
      </c>
      <c r="J211" s="30">
        <v>7556</v>
      </c>
      <c r="K211" s="30">
        <v>7654</v>
      </c>
      <c r="L211" s="30">
        <v>7674</v>
      </c>
      <c r="N211" s="7" t="s">
        <v>7357</v>
      </c>
      <c r="P211" s="4"/>
      <c r="R211" s="4"/>
    </row>
    <row r="212" spans="1:18">
      <c r="A212" s="7" t="s">
        <v>7019</v>
      </c>
      <c r="B212" s="7" t="s">
        <v>8835</v>
      </c>
      <c r="C212" s="4" t="s">
        <v>9063</v>
      </c>
      <c r="D212" s="366">
        <v>8505</v>
      </c>
      <c r="E212" s="366">
        <v>8544</v>
      </c>
      <c r="F212" s="366">
        <v>8372</v>
      </c>
      <c r="G212" s="366">
        <v>8527</v>
      </c>
      <c r="H212" s="48">
        <v>8706</v>
      </c>
      <c r="I212" s="48">
        <v>8193</v>
      </c>
      <c r="J212" s="30">
        <v>8151</v>
      </c>
      <c r="K212" s="30">
        <v>8464</v>
      </c>
      <c r="L212" s="30">
        <v>8478</v>
      </c>
      <c r="N212" s="7" t="s">
        <v>7357</v>
      </c>
      <c r="P212" s="4"/>
      <c r="R212" s="4"/>
    </row>
    <row r="213" spans="1:18">
      <c r="A213" s="7" t="s">
        <v>7021</v>
      </c>
      <c r="B213" s="7" t="s">
        <v>5597</v>
      </c>
      <c r="C213" s="4" t="s">
        <v>9064</v>
      </c>
      <c r="D213" s="359">
        <v>7876</v>
      </c>
      <c r="E213" s="359">
        <v>7962</v>
      </c>
      <c r="F213" s="359">
        <v>7794</v>
      </c>
      <c r="G213" s="359">
        <v>7786</v>
      </c>
      <c r="H213" s="48">
        <v>7727</v>
      </c>
      <c r="I213" s="48">
        <v>7623</v>
      </c>
      <c r="J213" s="30">
        <v>7388</v>
      </c>
      <c r="K213" s="30">
        <v>7459</v>
      </c>
      <c r="L213" s="30">
        <v>7577</v>
      </c>
      <c r="N213" s="7" t="s">
        <v>7357</v>
      </c>
      <c r="P213" s="4"/>
      <c r="R213" s="4"/>
    </row>
    <row r="214" spans="1:18">
      <c r="A214" s="7" t="s">
        <v>7023</v>
      </c>
      <c r="B214" s="7" t="s">
        <v>5598</v>
      </c>
      <c r="C214" s="4" t="s">
        <v>9065</v>
      </c>
      <c r="D214" s="359">
        <v>8316</v>
      </c>
      <c r="E214" s="359">
        <v>8214</v>
      </c>
      <c r="F214" s="359">
        <v>8053</v>
      </c>
      <c r="G214" s="359">
        <v>8371</v>
      </c>
      <c r="H214" s="48">
        <v>8310</v>
      </c>
      <c r="I214" s="48">
        <v>8131</v>
      </c>
      <c r="J214" s="30">
        <v>7924</v>
      </c>
      <c r="K214" s="30">
        <v>7999</v>
      </c>
      <c r="L214" s="30">
        <v>8054</v>
      </c>
      <c r="N214" s="7" t="s">
        <v>7357</v>
      </c>
      <c r="P214" s="4"/>
      <c r="R214" s="4"/>
    </row>
    <row r="215" spans="1:18">
      <c r="A215" s="7" t="s">
        <v>7025</v>
      </c>
      <c r="B215" s="7" t="s">
        <v>5599</v>
      </c>
      <c r="C215" s="4" t="s">
        <v>9066</v>
      </c>
      <c r="D215" s="359">
        <v>7595</v>
      </c>
      <c r="E215" s="359">
        <v>7527</v>
      </c>
      <c r="F215" s="359">
        <v>7551</v>
      </c>
      <c r="G215" s="359">
        <v>7611</v>
      </c>
      <c r="H215" s="48">
        <v>7501</v>
      </c>
      <c r="I215" s="48">
        <v>7335</v>
      </c>
      <c r="J215" s="31">
        <v>7261</v>
      </c>
      <c r="K215" s="31">
        <v>7560</v>
      </c>
      <c r="L215" s="31">
        <v>7753</v>
      </c>
      <c r="N215" s="7" t="s">
        <v>7358</v>
      </c>
      <c r="P215" s="4"/>
      <c r="R215" s="4"/>
    </row>
    <row r="216" spans="1:18">
      <c r="D216" s="360"/>
      <c r="E216" s="360"/>
      <c r="F216" s="360"/>
      <c r="G216" s="360"/>
      <c r="H216" s="360"/>
      <c r="I216" s="360"/>
      <c r="J216" s="360"/>
      <c r="K216" s="360"/>
      <c r="L216" s="360"/>
    </row>
    <row r="217" spans="1:18">
      <c r="A217" s="7" t="s">
        <v>5600</v>
      </c>
      <c r="D217" s="359">
        <f t="shared" ref="D217:I217" si="201">D202+D203</f>
        <v>15811</v>
      </c>
      <c r="E217" s="359">
        <f t="shared" si="201"/>
        <v>15718</v>
      </c>
      <c r="F217" s="359">
        <f t="shared" si="201"/>
        <v>15545</v>
      </c>
      <c r="G217" s="359">
        <f t="shared" si="201"/>
        <v>15682</v>
      </c>
      <c r="H217" s="359">
        <f t="shared" si="201"/>
        <v>15724</v>
      </c>
      <c r="I217" s="359">
        <f t="shared" si="201"/>
        <v>15313</v>
      </c>
      <c r="J217" s="359">
        <f t="shared" ref="J217:K217" si="202">J202+J203</f>
        <v>15073</v>
      </c>
      <c r="K217" s="359">
        <f t="shared" si="202"/>
        <v>15234</v>
      </c>
      <c r="L217" s="359">
        <f t="shared" ref="L217" si="203">L202+L203</f>
        <v>15221</v>
      </c>
    </row>
    <row r="218" spans="1:18">
      <c r="A218" s="7" t="s">
        <v>5601</v>
      </c>
      <c r="D218" s="359">
        <f t="shared" ref="D218:I218" si="204">D196+D201+SUM(D208:D214)</f>
        <v>72307</v>
      </c>
      <c r="E218" s="359">
        <f t="shared" si="204"/>
        <v>72249</v>
      </c>
      <c r="F218" s="359">
        <f t="shared" si="204"/>
        <v>71211</v>
      </c>
      <c r="G218" s="359">
        <f t="shared" si="204"/>
        <v>72260</v>
      </c>
      <c r="H218" s="359">
        <f t="shared" si="204"/>
        <v>72168</v>
      </c>
      <c r="I218" s="359">
        <f t="shared" si="204"/>
        <v>70237</v>
      </c>
      <c r="J218" s="359">
        <f t="shared" ref="J218:K218" si="205">J196+J201+SUM(J208:J214)</f>
        <v>69222</v>
      </c>
      <c r="K218" s="359">
        <f t="shared" si="205"/>
        <v>70446</v>
      </c>
      <c r="L218" s="359">
        <f t="shared" ref="L218" si="206">L196+L201+SUM(L208:L214)</f>
        <v>70897</v>
      </c>
    </row>
    <row r="219" spans="1:18">
      <c r="A219" s="7" t="s">
        <v>7358</v>
      </c>
      <c r="D219" s="359">
        <f t="shared" ref="D219:I219" si="207">SUM(D197:D200)+SUM(D204:D207)+D215</f>
        <v>72066</v>
      </c>
      <c r="E219" s="359">
        <f t="shared" si="207"/>
        <v>72402</v>
      </c>
      <c r="F219" s="359">
        <f t="shared" si="207"/>
        <v>71968</v>
      </c>
      <c r="G219" s="359">
        <f t="shared" si="207"/>
        <v>72544</v>
      </c>
      <c r="H219" s="359">
        <f t="shared" si="207"/>
        <v>72437</v>
      </c>
      <c r="I219" s="359">
        <f t="shared" si="207"/>
        <v>70440</v>
      </c>
      <c r="J219" s="359">
        <f t="shared" ref="J219:K219" si="208">SUM(J197:J200)+SUM(J204:J207)+J215</f>
        <v>69456</v>
      </c>
      <c r="K219" s="359">
        <f t="shared" si="208"/>
        <v>70917</v>
      </c>
      <c r="L219" s="359">
        <f t="shared" ref="L219" si="209">SUM(L197:L200)+SUM(L204:L207)+L215</f>
        <v>70945</v>
      </c>
    </row>
    <row r="220" spans="1:18">
      <c r="A220" s="7"/>
      <c r="D220" s="359"/>
      <c r="E220" s="359"/>
      <c r="F220" s="359"/>
      <c r="G220" s="359"/>
      <c r="H220" s="359"/>
      <c r="I220" s="359"/>
      <c r="J220" s="359"/>
      <c r="K220" s="359"/>
      <c r="L220" s="359"/>
    </row>
    <row r="221" spans="1:18">
      <c r="A221" s="357" t="s">
        <v>8214</v>
      </c>
    </row>
    <row r="222" spans="1:18">
      <c r="A222" s="7"/>
      <c r="B222" s="7"/>
      <c r="D222" s="368"/>
      <c r="E222" s="368"/>
      <c r="F222" s="368"/>
      <c r="G222" s="368"/>
      <c r="H222" s="368"/>
      <c r="I222" s="368"/>
      <c r="J222" s="368"/>
      <c r="K222" s="368"/>
      <c r="L222" s="368"/>
    </row>
    <row r="223" spans="1:18">
      <c r="A223" s="7"/>
      <c r="B223" s="7"/>
      <c r="D223" s="368"/>
      <c r="E223" s="368"/>
      <c r="F223" s="368"/>
      <c r="G223" s="368"/>
      <c r="H223" s="368"/>
      <c r="I223" s="368"/>
      <c r="J223" s="368"/>
      <c r="K223" s="368"/>
      <c r="L223" s="368"/>
    </row>
    <row r="224" spans="1:18">
      <c r="E224" s="42" t="s">
        <v>2303</v>
      </c>
      <c r="F224" s="42"/>
      <c r="G224" s="42"/>
      <c r="H224" s="42"/>
      <c r="I224" s="42"/>
      <c r="J224" s="42"/>
      <c r="K224" s="42"/>
      <c r="L224" s="42"/>
      <c r="M224" s="65"/>
      <c r="N224" s="66" t="s">
        <v>13319</v>
      </c>
    </row>
    <row r="225" spans="1:18">
      <c r="D225" s="55">
        <v>2010</v>
      </c>
      <c r="E225" s="55">
        <v>2011</v>
      </c>
      <c r="F225" s="55">
        <v>2012</v>
      </c>
      <c r="G225" s="55">
        <v>2013</v>
      </c>
      <c r="H225" s="55">
        <v>2014</v>
      </c>
      <c r="I225" s="55">
        <v>2015</v>
      </c>
      <c r="J225" s="55">
        <v>2016</v>
      </c>
      <c r="K225" s="55">
        <v>2017</v>
      </c>
      <c r="L225" s="55">
        <v>2018</v>
      </c>
      <c r="N225" s="67" t="s">
        <v>2304</v>
      </c>
    </row>
    <row r="226" spans="1:18">
      <c r="A226" s="7" t="s">
        <v>8215</v>
      </c>
      <c r="D226" s="359">
        <f t="shared" ref="D226:I226" si="210">SUM(D227:D246)</f>
        <v>156502</v>
      </c>
      <c r="E226" s="359">
        <f t="shared" si="210"/>
        <v>157335</v>
      </c>
      <c r="F226" s="359">
        <f t="shared" si="210"/>
        <v>157055</v>
      </c>
      <c r="G226" s="359">
        <f t="shared" si="210"/>
        <v>158823</v>
      </c>
      <c r="H226" s="359">
        <f t="shared" si="210"/>
        <v>157282</v>
      </c>
      <c r="I226" s="359">
        <f t="shared" si="210"/>
        <v>157278</v>
      </c>
      <c r="J226" s="359">
        <f t="shared" ref="J226:K226" si="211">SUM(J227:J246)</f>
        <v>148410</v>
      </c>
      <c r="K226" s="359">
        <f t="shared" si="211"/>
        <v>155201</v>
      </c>
      <c r="L226" s="359">
        <f t="shared" ref="L226" si="212">SUM(L227:L246)</f>
        <v>157319</v>
      </c>
    </row>
    <row r="227" spans="1:18">
      <c r="A227" s="7" t="s">
        <v>6957</v>
      </c>
      <c r="B227" s="7" t="s">
        <v>8216</v>
      </c>
      <c r="C227" s="4" t="s">
        <v>9067</v>
      </c>
      <c r="D227" s="359">
        <v>7306</v>
      </c>
      <c r="E227" s="359">
        <v>7234</v>
      </c>
      <c r="F227" s="359">
        <v>7228</v>
      </c>
      <c r="G227" s="359">
        <v>7243</v>
      </c>
      <c r="H227" s="48">
        <v>7203</v>
      </c>
      <c r="I227" s="48">
        <v>7057</v>
      </c>
      <c r="J227" s="30">
        <v>6636</v>
      </c>
      <c r="K227" s="30">
        <v>6964</v>
      </c>
      <c r="L227" s="30">
        <v>7204</v>
      </c>
      <c r="N227" s="7" t="s">
        <v>7359</v>
      </c>
      <c r="P227" s="4"/>
      <c r="R227" s="4"/>
    </row>
    <row r="228" spans="1:18">
      <c r="A228" s="7" t="s">
        <v>6959</v>
      </c>
      <c r="B228" s="7" t="s">
        <v>8217</v>
      </c>
      <c r="C228" s="4" t="s">
        <v>9068</v>
      </c>
      <c r="D228" s="359">
        <v>7679</v>
      </c>
      <c r="E228" s="359">
        <v>7805</v>
      </c>
      <c r="F228" s="359">
        <v>7820</v>
      </c>
      <c r="G228" s="359">
        <v>7826</v>
      </c>
      <c r="H228" s="48">
        <v>7712</v>
      </c>
      <c r="I228" s="48">
        <v>7860</v>
      </c>
      <c r="J228" s="30">
        <v>7377</v>
      </c>
      <c r="K228" s="30">
        <v>7598</v>
      </c>
      <c r="L228" s="30">
        <v>7690</v>
      </c>
      <c r="N228" s="7" t="s">
        <v>5535</v>
      </c>
      <c r="P228" s="4"/>
      <c r="R228" s="4"/>
    </row>
    <row r="229" spans="1:18">
      <c r="A229" s="7" t="s">
        <v>6961</v>
      </c>
      <c r="B229" s="7" t="s">
        <v>8218</v>
      </c>
      <c r="C229" s="4" t="s">
        <v>9069</v>
      </c>
      <c r="D229" s="359">
        <v>7663</v>
      </c>
      <c r="E229" s="359">
        <v>7668</v>
      </c>
      <c r="F229" s="359">
        <v>7770</v>
      </c>
      <c r="G229" s="359">
        <v>7772</v>
      </c>
      <c r="H229" s="48">
        <v>7807</v>
      </c>
      <c r="I229" s="48">
        <v>7885</v>
      </c>
      <c r="J229" s="30">
        <v>7400</v>
      </c>
      <c r="K229" s="30">
        <v>7682</v>
      </c>
      <c r="L229" s="30">
        <v>7766</v>
      </c>
      <c r="N229" s="7" t="s">
        <v>5535</v>
      </c>
      <c r="P229" s="4"/>
      <c r="R229" s="4"/>
    </row>
    <row r="230" spans="1:18">
      <c r="A230" s="7" t="s">
        <v>6963</v>
      </c>
      <c r="B230" s="7" t="s">
        <v>8219</v>
      </c>
      <c r="C230" s="4" t="s">
        <v>9070</v>
      </c>
      <c r="D230" s="359">
        <v>7598</v>
      </c>
      <c r="E230" s="359">
        <v>7571</v>
      </c>
      <c r="F230" s="359">
        <v>7474</v>
      </c>
      <c r="G230" s="359">
        <v>7391</v>
      </c>
      <c r="H230" s="48">
        <v>7158</v>
      </c>
      <c r="I230" s="48">
        <v>7126</v>
      </c>
      <c r="J230" s="30">
        <v>6509</v>
      </c>
      <c r="K230" s="30">
        <v>7058</v>
      </c>
      <c r="L230" s="30">
        <v>7194</v>
      </c>
      <c r="N230" s="7" t="s">
        <v>7359</v>
      </c>
      <c r="P230" s="4"/>
      <c r="R230" s="4"/>
    </row>
    <row r="231" spans="1:18">
      <c r="A231" s="7" t="s">
        <v>6965</v>
      </c>
      <c r="B231" s="7" t="s">
        <v>8220</v>
      </c>
      <c r="C231" s="4" t="s">
        <v>9071</v>
      </c>
      <c r="D231" s="359">
        <v>7928</v>
      </c>
      <c r="E231" s="359">
        <v>7975</v>
      </c>
      <c r="F231" s="359">
        <v>8027</v>
      </c>
      <c r="G231" s="359">
        <v>8050</v>
      </c>
      <c r="H231" s="48">
        <v>7897</v>
      </c>
      <c r="I231" s="48">
        <v>7852</v>
      </c>
      <c r="J231" s="30">
        <v>7371</v>
      </c>
      <c r="K231" s="30">
        <v>7679</v>
      </c>
      <c r="L231" s="30">
        <v>7667</v>
      </c>
      <c r="N231" s="7" t="s">
        <v>5535</v>
      </c>
      <c r="P231" s="4"/>
      <c r="R231" s="4"/>
    </row>
    <row r="232" spans="1:18">
      <c r="A232" s="7" t="s">
        <v>6997</v>
      </c>
      <c r="B232" s="7" t="s">
        <v>8221</v>
      </c>
      <c r="C232" s="4" t="s">
        <v>9072</v>
      </c>
      <c r="D232" s="359">
        <v>7944</v>
      </c>
      <c r="E232" s="359">
        <v>8006</v>
      </c>
      <c r="F232" s="359">
        <v>8001</v>
      </c>
      <c r="G232" s="359">
        <v>8079</v>
      </c>
      <c r="H232" s="48">
        <v>8003</v>
      </c>
      <c r="I232" s="48">
        <v>7975</v>
      </c>
      <c r="J232" s="30">
        <v>7674</v>
      </c>
      <c r="K232" s="30">
        <v>7897</v>
      </c>
      <c r="L232" s="30">
        <v>8016</v>
      </c>
      <c r="N232" s="7" t="s">
        <v>7359</v>
      </c>
      <c r="P232" s="4"/>
      <c r="R232" s="4"/>
    </row>
    <row r="233" spans="1:18">
      <c r="A233" s="7" t="s">
        <v>6999</v>
      </c>
      <c r="B233" s="7" t="s">
        <v>8222</v>
      </c>
      <c r="C233" s="4" t="s">
        <v>9073</v>
      </c>
      <c r="D233" s="359">
        <v>8295</v>
      </c>
      <c r="E233" s="359">
        <v>8314</v>
      </c>
      <c r="F233" s="359">
        <v>8346</v>
      </c>
      <c r="G233" s="359">
        <v>8434</v>
      </c>
      <c r="H233" s="48">
        <v>8316</v>
      </c>
      <c r="I233" s="48">
        <v>8297</v>
      </c>
      <c r="J233" s="30">
        <v>7798</v>
      </c>
      <c r="K233" s="30">
        <v>8148</v>
      </c>
      <c r="L233" s="30">
        <v>8192</v>
      </c>
      <c r="N233" s="7" t="s">
        <v>5535</v>
      </c>
      <c r="P233" s="4"/>
      <c r="R233" s="4"/>
    </row>
    <row r="234" spans="1:18">
      <c r="A234" s="7" t="s">
        <v>7001</v>
      </c>
      <c r="B234" s="7" t="s">
        <v>8568</v>
      </c>
      <c r="C234" s="4" t="s">
        <v>9074</v>
      </c>
      <c r="D234" s="359">
        <v>8051</v>
      </c>
      <c r="E234" s="359">
        <v>8161</v>
      </c>
      <c r="F234" s="359">
        <v>8269</v>
      </c>
      <c r="G234" s="359">
        <v>8419</v>
      </c>
      <c r="H234" s="48">
        <v>8363</v>
      </c>
      <c r="I234" s="48">
        <v>8314</v>
      </c>
      <c r="J234" s="30">
        <v>7819</v>
      </c>
      <c r="K234" s="30">
        <v>8306</v>
      </c>
      <c r="L234" s="30">
        <v>8524</v>
      </c>
      <c r="N234" s="7" t="s">
        <v>7359</v>
      </c>
      <c r="P234" s="4"/>
      <c r="R234" s="4"/>
    </row>
    <row r="235" spans="1:18">
      <c r="A235" s="7" t="s">
        <v>7003</v>
      </c>
      <c r="B235" s="7" t="s">
        <v>8223</v>
      </c>
      <c r="C235" s="4" t="s">
        <v>9075</v>
      </c>
      <c r="D235" s="359">
        <v>7800</v>
      </c>
      <c r="E235" s="359">
        <v>7795</v>
      </c>
      <c r="F235" s="359">
        <v>7804</v>
      </c>
      <c r="G235" s="359">
        <v>7864</v>
      </c>
      <c r="H235" s="48">
        <v>7763</v>
      </c>
      <c r="I235" s="48">
        <v>7775</v>
      </c>
      <c r="J235" s="30">
        <v>7410</v>
      </c>
      <c r="K235" s="30">
        <v>7735</v>
      </c>
      <c r="L235" s="30">
        <v>7908</v>
      </c>
      <c r="N235" s="7" t="s">
        <v>7359</v>
      </c>
      <c r="P235" s="4"/>
      <c r="R235" s="4"/>
    </row>
    <row r="236" spans="1:18">
      <c r="A236" s="7" t="s">
        <v>7005</v>
      </c>
      <c r="B236" s="7" t="s">
        <v>8224</v>
      </c>
      <c r="C236" s="4" t="s">
        <v>9076</v>
      </c>
      <c r="D236" s="359">
        <v>7605</v>
      </c>
      <c r="E236" s="359">
        <v>7594</v>
      </c>
      <c r="F236" s="359">
        <v>7665</v>
      </c>
      <c r="G236" s="359">
        <v>7594</v>
      </c>
      <c r="H236" s="48">
        <v>7487</v>
      </c>
      <c r="I236" s="48">
        <v>7563</v>
      </c>
      <c r="J236" s="31">
        <v>6804</v>
      </c>
      <c r="K236" s="31">
        <v>7082</v>
      </c>
      <c r="L236" s="31">
        <v>7325</v>
      </c>
      <c r="N236" s="7" t="s">
        <v>7359</v>
      </c>
      <c r="P236" s="4"/>
      <c r="R236" s="4"/>
    </row>
    <row r="237" spans="1:18">
      <c r="A237" s="7" t="s">
        <v>7007</v>
      </c>
      <c r="B237" s="7" t="s">
        <v>8225</v>
      </c>
      <c r="C237" s="4" t="s">
        <v>9077</v>
      </c>
      <c r="D237" s="359">
        <v>7948</v>
      </c>
      <c r="E237" s="359">
        <v>7981</v>
      </c>
      <c r="F237" s="359">
        <v>7999</v>
      </c>
      <c r="G237" s="359">
        <v>7989</v>
      </c>
      <c r="H237" s="48">
        <v>7945</v>
      </c>
      <c r="I237" s="48">
        <v>7940</v>
      </c>
      <c r="J237" s="31">
        <v>7582</v>
      </c>
      <c r="K237" s="31">
        <v>7916</v>
      </c>
      <c r="L237" s="31">
        <v>7949</v>
      </c>
      <c r="N237" s="7" t="s">
        <v>7359</v>
      </c>
      <c r="P237" s="4"/>
      <c r="R237" s="4"/>
    </row>
    <row r="238" spans="1:18">
      <c r="A238" s="7" t="s">
        <v>7009</v>
      </c>
      <c r="B238" s="7" t="s">
        <v>8226</v>
      </c>
      <c r="C238" s="4" t="s">
        <v>9078</v>
      </c>
      <c r="D238" s="359">
        <v>7661</v>
      </c>
      <c r="E238" s="359">
        <v>7794</v>
      </c>
      <c r="F238" s="359">
        <v>7794</v>
      </c>
      <c r="G238" s="359">
        <v>7825</v>
      </c>
      <c r="H238" s="48">
        <v>7796</v>
      </c>
      <c r="I238" s="48">
        <v>7866</v>
      </c>
      <c r="J238" s="30">
        <v>7505</v>
      </c>
      <c r="K238" s="30">
        <v>7690</v>
      </c>
      <c r="L238" s="30">
        <v>7782</v>
      </c>
      <c r="N238" s="7" t="s">
        <v>5535</v>
      </c>
      <c r="P238" s="4"/>
      <c r="R238" s="4"/>
    </row>
    <row r="239" spans="1:18">
      <c r="A239" s="7" t="s">
        <v>7011</v>
      </c>
      <c r="B239" s="7" t="s">
        <v>8227</v>
      </c>
      <c r="C239" s="4" t="s">
        <v>9079</v>
      </c>
      <c r="D239" s="359">
        <v>7280</v>
      </c>
      <c r="E239" s="359">
        <v>7410</v>
      </c>
      <c r="F239" s="359">
        <v>7499</v>
      </c>
      <c r="G239" s="359">
        <v>7504</v>
      </c>
      <c r="H239" s="48">
        <v>7470</v>
      </c>
      <c r="I239" s="48">
        <v>7519</v>
      </c>
      <c r="J239" s="30">
        <v>7164</v>
      </c>
      <c r="K239" s="30">
        <v>7527</v>
      </c>
      <c r="L239" s="30">
        <v>7587</v>
      </c>
      <c r="N239" s="7" t="s">
        <v>5535</v>
      </c>
      <c r="P239" s="4"/>
      <c r="R239" s="4"/>
    </row>
    <row r="240" spans="1:18">
      <c r="A240" s="7" t="s">
        <v>7013</v>
      </c>
      <c r="B240" s="7" t="s">
        <v>8228</v>
      </c>
      <c r="C240" s="4" t="s">
        <v>9080</v>
      </c>
      <c r="D240" s="359">
        <v>7961</v>
      </c>
      <c r="E240" s="359">
        <v>7949</v>
      </c>
      <c r="F240" s="359">
        <v>7980</v>
      </c>
      <c r="G240" s="359">
        <v>7946</v>
      </c>
      <c r="H240" s="48">
        <v>7810</v>
      </c>
      <c r="I240" s="48">
        <v>7845</v>
      </c>
      <c r="J240" s="30">
        <v>7462</v>
      </c>
      <c r="K240" s="30">
        <v>7693</v>
      </c>
      <c r="L240" s="30">
        <v>7723</v>
      </c>
      <c r="N240" s="7" t="s">
        <v>5535</v>
      </c>
      <c r="P240" s="4"/>
      <c r="R240" s="4"/>
    </row>
    <row r="241" spans="1:18">
      <c r="A241" s="7" t="s">
        <v>7015</v>
      </c>
      <c r="B241" s="7" t="s">
        <v>8229</v>
      </c>
      <c r="C241" s="4" t="s">
        <v>9081</v>
      </c>
      <c r="D241" s="366">
        <v>7816</v>
      </c>
      <c r="E241" s="366">
        <v>7892</v>
      </c>
      <c r="F241" s="366">
        <v>8075</v>
      </c>
      <c r="G241" s="366">
        <v>8106</v>
      </c>
      <c r="H241" s="48">
        <v>7976</v>
      </c>
      <c r="I241" s="48">
        <v>7902</v>
      </c>
      <c r="J241" s="31">
        <v>7344</v>
      </c>
      <c r="K241" s="31">
        <v>7771</v>
      </c>
      <c r="L241" s="31">
        <v>7806</v>
      </c>
      <c r="N241" s="7" t="s">
        <v>7359</v>
      </c>
      <c r="P241" s="4"/>
      <c r="R241" s="4"/>
    </row>
    <row r="242" spans="1:18">
      <c r="A242" s="7" t="s">
        <v>7017</v>
      </c>
      <c r="B242" s="7" t="s">
        <v>8230</v>
      </c>
      <c r="C242" s="4" t="s">
        <v>9082</v>
      </c>
      <c r="D242" s="359">
        <v>7738</v>
      </c>
      <c r="E242" s="359">
        <v>7771</v>
      </c>
      <c r="F242" s="359">
        <v>7825</v>
      </c>
      <c r="G242" s="359">
        <v>7893</v>
      </c>
      <c r="H242" s="48">
        <v>7985</v>
      </c>
      <c r="I242" s="48">
        <v>7926</v>
      </c>
      <c r="J242" s="30">
        <v>7631</v>
      </c>
      <c r="K242" s="30">
        <v>7783</v>
      </c>
      <c r="L242" s="30">
        <v>7784</v>
      </c>
      <c r="N242" s="7" t="s">
        <v>5535</v>
      </c>
      <c r="P242" s="4"/>
      <c r="R242" s="4"/>
    </row>
    <row r="243" spans="1:18">
      <c r="A243" s="7" t="s">
        <v>7019</v>
      </c>
      <c r="B243" s="7" t="s">
        <v>6500</v>
      </c>
      <c r="C243" s="4" t="s">
        <v>9083</v>
      </c>
      <c r="D243" s="359">
        <v>8007</v>
      </c>
      <c r="E243" s="359">
        <v>8042</v>
      </c>
      <c r="F243" s="359">
        <v>8088</v>
      </c>
      <c r="G243" s="359">
        <v>8140</v>
      </c>
      <c r="H243" s="48">
        <v>7969</v>
      </c>
      <c r="I243" s="48">
        <v>7978</v>
      </c>
      <c r="J243" s="31">
        <v>7390</v>
      </c>
      <c r="K243" s="31">
        <v>8033</v>
      </c>
      <c r="L243" s="31">
        <v>8140</v>
      </c>
      <c r="N243" s="7" t="s">
        <v>7359</v>
      </c>
      <c r="P243" s="4"/>
      <c r="R243" s="4"/>
    </row>
    <row r="244" spans="1:18">
      <c r="A244" s="7" t="s">
        <v>7021</v>
      </c>
      <c r="B244" s="7" t="s">
        <v>6501</v>
      </c>
      <c r="C244" s="4" t="s">
        <v>9084</v>
      </c>
      <c r="D244" s="359">
        <v>7396</v>
      </c>
      <c r="E244" s="359">
        <v>7423</v>
      </c>
      <c r="F244" s="359">
        <v>7432</v>
      </c>
      <c r="G244" s="359">
        <v>7495</v>
      </c>
      <c r="H244" s="48">
        <v>7530</v>
      </c>
      <c r="I244" s="48">
        <v>7589</v>
      </c>
      <c r="J244" s="31">
        <v>7362</v>
      </c>
      <c r="K244" s="31">
        <v>7814</v>
      </c>
      <c r="L244" s="31">
        <v>7936</v>
      </c>
      <c r="N244" s="7" t="s">
        <v>7359</v>
      </c>
      <c r="P244" s="4"/>
      <c r="R244" s="4"/>
    </row>
    <row r="245" spans="1:18">
      <c r="A245" s="7" t="s">
        <v>7023</v>
      </c>
      <c r="B245" s="7" t="s">
        <v>6502</v>
      </c>
      <c r="C245" s="4" t="s">
        <v>9085</v>
      </c>
      <c r="D245" s="359">
        <v>8537</v>
      </c>
      <c r="E245" s="359">
        <v>8559</v>
      </c>
      <c r="F245" s="359">
        <v>8660</v>
      </c>
      <c r="G245" s="359">
        <v>8712</v>
      </c>
      <c r="H245" s="48">
        <v>8652</v>
      </c>
      <c r="I245" s="48">
        <v>8537</v>
      </c>
      <c r="J245" s="30">
        <v>8139</v>
      </c>
      <c r="K245" s="30">
        <v>8448</v>
      </c>
      <c r="L245" s="30">
        <v>8596</v>
      </c>
      <c r="N245" s="7" t="s">
        <v>5535</v>
      </c>
      <c r="P245" s="4"/>
      <c r="R245" s="4"/>
    </row>
    <row r="246" spans="1:18">
      <c r="A246" s="7" t="s">
        <v>7025</v>
      </c>
      <c r="B246" s="7" t="s">
        <v>6503</v>
      </c>
      <c r="C246" s="4" t="s">
        <v>9086</v>
      </c>
      <c r="D246" s="359">
        <v>8289</v>
      </c>
      <c r="E246" s="359">
        <v>8391</v>
      </c>
      <c r="F246" s="359">
        <v>7299</v>
      </c>
      <c r="G246" s="359">
        <v>8541</v>
      </c>
      <c r="H246" s="48">
        <v>8440</v>
      </c>
      <c r="I246" s="48">
        <v>8472</v>
      </c>
      <c r="J246" s="30">
        <v>8033</v>
      </c>
      <c r="K246" s="30">
        <v>8377</v>
      </c>
      <c r="L246" s="30">
        <v>8530</v>
      </c>
      <c r="N246" s="7" t="s">
        <v>5535</v>
      </c>
      <c r="P246" s="4"/>
      <c r="R246" s="4"/>
    </row>
    <row r="247" spans="1:18">
      <c r="D247" s="360"/>
      <c r="E247" s="360"/>
      <c r="F247" s="360"/>
      <c r="G247" s="360"/>
      <c r="H247" s="360"/>
      <c r="I247" s="360"/>
      <c r="J247" s="360"/>
      <c r="K247" s="360"/>
      <c r="L247" s="360"/>
    </row>
    <row r="248" spans="1:18">
      <c r="A248" s="7" t="s">
        <v>5535</v>
      </c>
      <c r="D248" s="359">
        <f t="shared" ref="D248:I248" si="213">D228+D229+D231+D233+SUM(D238:D240)+D242+D245+D246</f>
        <v>79031</v>
      </c>
      <c r="E248" s="359">
        <f t="shared" si="213"/>
        <v>79636</v>
      </c>
      <c r="F248" s="359">
        <f t="shared" si="213"/>
        <v>79020</v>
      </c>
      <c r="G248" s="359">
        <f t="shared" si="213"/>
        <v>80503</v>
      </c>
      <c r="H248" s="359">
        <f t="shared" si="213"/>
        <v>79885</v>
      </c>
      <c r="I248" s="359">
        <f t="shared" si="213"/>
        <v>80059</v>
      </c>
      <c r="J248" s="359">
        <f t="shared" ref="J248:K248" si="214">J228+J229+J231+J233+SUM(J238:J240)+J242+J245+J246</f>
        <v>75880</v>
      </c>
      <c r="K248" s="359">
        <f t="shared" si="214"/>
        <v>78625</v>
      </c>
      <c r="L248" s="359">
        <f t="shared" ref="L248" si="215">L228+L229+L231+L233+SUM(L238:L240)+L242+L245+L246</f>
        <v>79317</v>
      </c>
    </row>
    <row r="249" spans="1:18">
      <c r="A249" s="7" t="s">
        <v>7359</v>
      </c>
      <c r="D249" s="359">
        <f t="shared" ref="D249:I249" si="216">D227+D230+D232+SUM(D234:D237)+D241+D243+D244</f>
        <v>77471</v>
      </c>
      <c r="E249" s="359">
        <f t="shared" si="216"/>
        <v>77699</v>
      </c>
      <c r="F249" s="359">
        <f t="shared" si="216"/>
        <v>78035</v>
      </c>
      <c r="G249" s="359">
        <f t="shared" si="216"/>
        <v>78320</v>
      </c>
      <c r="H249" s="359">
        <f t="shared" si="216"/>
        <v>77397</v>
      </c>
      <c r="I249" s="359">
        <f t="shared" si="216"/>
        <v>77219</v>
      </c>
      <c r="J249" s="359">
        <f t="shared" ref="J249:K249" si="217">J227+J230+J232+SUM(J234:J237)+J241+J243+J244</f>
        <v>72530</v>
      </c>
      <c r="K249" s="359">
        <f t="shared" si="217"/>
        <v>76576</v>
      </c>
      <c r="L249" s="359">
        <f t="shared" ref="L249" si="218">L227+L230+L232+SUM(L234:L237)+L241+L243+L244</f>
        <v>78002</v>
      </c>
    </row>
    <row r="250" spans="1:18">
      <c r="A250" s="7"/>
      <c r="D250" s="359"/>
      <c r="E250" s="359"/>
      <c r="F250" s="359"/>
      <c r="G250" s="359"/>
      <c r="H250" s="359"/>
      <c r="I250" s="359"/>
      <c r="J250" s="359"/>
      <c r="K250" s="359"/>
      <c r="L250" s="359"/>
    </row>
    <row r="251" spans="1:18">
      <c r="A251" s="357" t="s">
        <v>6504</v>
      </c>
    </row>
    <row r="254" spans="1:18">
      <c r="E254" s="42" t="s">
        <v>2303</v>
      </c>
      <c r="F254" s="42"/>
      <c r="G254" s="42"/>
      <c r="H254" s="42"/>
      <c r="I254" s="42"/>
      <c r="J254" s="42"/>
      <c r="K254" s="42"/>
      <c r="L254" s="42"/>
      <c r="M254" s="65"/>
      <c r="N254" s="66" t="s">
        <v>13319</v>
      </c>
    </row>
    <row r="255" spans="1:18">
      <c r="D255" s="55">
        <v>2010</v>
      </c>
      <c r="E255" s="55">
        <v>2011</v>
      </c>
      <c r="F255" s="55">
        <v>2012</v>
      </c>
      <c r="G255" s="55">
        <v>2013</v>
      </c>
      <c r="H255" s="55">
        <v>2014</v>
      </c>
      <c r="I255" s="55">
        <v>2015</v>
      </c>
      <c r="J255" s="55">
        <v>2016</v>
      </c>
      <c r="K255" s="55">
        <v>2017</v>
      </c>
      <c r="L255" s="55">
        <v>2018</v>
      </c>
      <c r="N255" s="67" t="s">
        <v>2304</v>
      </c>
    </row>
    <row r="256" spans="1:18">
      <c r="A256" s="7" t="s">
        <v>6505</v>
      </c>
      <c r="D256" s="359">
        <f t="shared" ref="D256:I256" si="219">SUM(D257:D276)</f>
        <v>162868</v>
      </c>
      <c r="E256" s="359">
        <f t="shared" si="219"/>
        <v>165689</v>
      </c>
      <c r="F256" s="359">
        <f t="shared" si="219"/>
        <v>167566</v>
      </c>
      <c r="G256" s="359">
        <f t="shared" si="219"/>
        <v>168738</v>
      </c>
      <c r="H256" s="359">
        <f t="shared" si="219"/>
        <v>169093</v>
      </c>
      <c r="I256" s="359">
        <f t="shared" si="219"/>
        <v>159585</v>
      </c>
      <c r="J256" s="359">
        <f t="shared" ref="J256:K256" si="220">SUM(J257:J276)</f>
        <v>162645</v>
      </c>
      <c r="K256" s="359">
        <f t="shared" si="220"/>
        <v>162307</v>
      </c>
      <c r="L256" s="359">
        <f t="shared" ref="L256" si="221">SUM(L257:L276)</f>
        <v>165286</v>
      </c>
    </row>
    <row r="257" spans="1:18">
      <c r="A257" s="7" t="s">
        <v>6957</v>
      </c>
      <c r="B257" s="7" t="s">
        <v>5807</v>
      </c>
      <c r="C257" s="4" t="s">
        <v>9087</v>
      </c>
      <c r="D257" s="359">
        <v>8522</v>
      </c>
      <c r="E257" s="359">
        <v>8498</v>
      </c>
      <c r="F257" s="359">
        <v>8804</v>
      </c>
      <c r="G257" s="359">
        <v>8802</v>
      </c>
      <c r="H257" s="48">
        <v>8782</v>
      </c>
      <c r="I257" s="48">
        <v>8275</v>
      </c>
      <c r="J257" s="30">
        <v>8341</v>
      </c>
      <c r="K257" s="30">
        <v>8466</v>
      </c>
      <c r="L257" s="30">
        <v>8604</v>
      </c>
      <c r="N257" s="7" t="s">
        <v>7365</v>
      </c>
      <c r="P257" s="4"/>
      <c r="R257" s="4"/>
    </row>
    <row r="258" spans="1:18">
      <c r="A258" s="7" t="s">
        <v>6959</v>
      </c>
      <c r="B258" s="7" t="s">
        <v>4728</v>
      </c>
      <c r="C258" s="4" t="s">
        <v>9088</v>
      </c>
      <c r="D258" s="359">
        <v>7615</v>
      </c>
      <c r="E258" s="359">
        <v>7638</v>
      </c>
      <c r="F258" s="359">
        <v>7607</v>
      </c>
      <c r="G258" s="359">
        <v>7612</v>
      </c>
      <c r="H258" s="48">
        <v>7574</v>
      </c>
      <c r="I258" s="48">
        <v>7421</v>
      </c>
      <c r="J258" s="30">
        <v>7459</v>
      </c>
      <c r="K258" s="30">
        <v>7533</v>
      </c>
      <c r="L258" s="30">
        <v>7589</v>
      </c>
      <c r="N258" s="7" t="s">
        <v>7365</v>
      </c>
      <c r="P258" s="4"/>
      <c r="R258" s="4"/>
    </row>
    <row r="259" spans="1:18">
      <c r="A259" s="7" t="s">
        <v>6961</v>
      </c>
      <c r="B259" s="7" t="s">
        <v>6442</v>
      </c>
      <c r="C259" s="4" t="s">
        <v>9089</v>
      </c>
      <c r="D259" s="359">
        <v>7368</v>
      </c>
      <c r="E259" s="359">
        <v>7599</v>
      </c>
      <c r="F259" s="359">
        <v>8016</v>
      </c>
      <c r="G259" s="359">
        <v>8255</v>
      </c>
      <c r="H259" s="48">
        <v>8390</v>
      </c>
      <c r="I259" s="48">
        <v>8083</v>
      </c>
      <c r="J259" s="30">
        <v>8412</v>
      </c>
      <c r="K259" s="30">
        <v>8400</v>
      </c>
      <c r="L259" s="30">
        <v>8634</v>
      </c>
      <c r="N259" s="7" t="s">
        <v>3837</v>
      </c>
      <c r="P259" s="4"/>
      <c r="R259" s="4"/>
    </row>
    <row r="260" spans="1:18">
      <c r="A260" s="7" t="s">
        <v>6963</v>
      </c>
      <c r="B260" s="7" t="s">
        <v>4729</v>
      </c>
      <c r="C260" s="4" t="s">
        <v>9090</v>
      </c>
      <c r="D260" s="359">
        <v>7623</v>
      </c>
      <c r="E260" s="359">
        <v>7758</v>
      </c>
      <c r="F260" s="359">
        <v>7788</v>
      </c>
      <c r="G260" s="359">
        <v>8037</v>
      </c>
      <c r="H260" s="48">
        <v>8078</v>
      </c>
      <c r="I260" s="48">
        <v>7907</v>
      </c>
      <c r="J260" s="30">
        <v>8015</v>
      </c>
      <c r="K260" s="30">
        <v>7918</v>
      </c>
      <c r="L260" s="30">
        <v>7953</v>
      </c>
      <c r="N260" s="7" t="s">
        <v>7365</v>
      </c>
      <c r="P260" s="4"/>
      <c r="R260" s="4"/>
    </row>
    <row r="261" spans="1:18">
      <c r="A261" s="7" t="s">
        <v>6965</v>
      </c>
      <c r="B261" s="7" t="s">
        <v>1276</v>
      </c>
      <c r="C261" s="4" t="s">
        <v>9091</v>
      </c>
      <c r="D261" s="366">
        <v>8079</v>
      </c>
      <c r="E261" s="366">
        <v>8151</v>
      </c>
      <c r="F261" s="366">
        <v>8086</v>
      </c>
      <c r="G261" s="366">
        <v>8104</v>
      </c>
      <c r="H261" s="48">
        <v>8167</v>
      </c>
      <c r="I261" s="48">
        <v>7983</v>
      </c>
      <c r="J261" s="30">
        <v>8117</v>
      </c>
      <c r="K261" s="30">
        <v>8033</v>
      </c>
      <c r="L261" s="30">
        <v>8094</v>
      </c>
      <c r="N261" s="7" t="s">
        <v>7360</v>
      </c>
      <c r="P261" s="4"/>
      <c r="R261" s="4"/>
    </row>
    <row r="262" spans="1:18">
      <c r="A262" s="7" t="s">
        <v>6997</v>
      </c>
      <c r="B262" s="7" t="s">
        <v>4730</v>
      </c>
      <c r="C262" s="4" t="s">
        <v>9092</v>
      </c>
      <c r="D262" s="359">
        <v>8574</v>
      </c>
      <c r="E262" s="359">
        <v>8804</v>
      </c>
      <c r="F262" s="359">
        <v>8847</v>
      </c>
      <c r="G262" s="359">
        <v>8797</v>
      </c>
      <c r="H262" s="48">
        <v>8748</v>
      </c>
      <c r="I262" s="48">
        <v>8389</v>
      </c>
      <c r="J262" s="30">
        <v>8514</v>
      </c>
      <c r="K262" s="30">
        <v>8642</v>
      </c>
      <c r="L262" s="30">
        <v>8931</v>
      </c>
      <c r="N262" s="7" t="s">
        <v>7360</v>
      </c>
      <c r="P262" s="4"/>
      <c r="R262" s="4"/>
    </row>
    <row r="263" spans="1:18">
      <c r="A263" s="7" t="s">
        <v>6999</v>
      </c>
      <c r="B263" s="7" t="s">
        <v>4731</v>
      </c>
      <c r="C263" s="4" t="s">
        <v>9093</v>
      </c>
      <c r="D263" s="359">
        <v>7221</v>
      </c>
      <c r="E263" s="359">
        <v>7218</v>
      </c>
      <c r="F263" s="359">
        <v>7117</v>
      </c>
      <c r="G263" s="359">
        <v>7088</v>
      </c>
      <c r="H263" s="48">
        <v>7030</v>
      </c>
      <c r="I263" s="48">
        <v>6862</v>
      </c>
      <c r="J263" s="30">
        <v>6885</v>
      </c>
      <c r="K263" s="30">
        <v>6787</v>
      </c>
      <c r="L263" s="30">
        <v>6822</v>
      </c>
      <c r="N263" s="7" t="s">
        <v>7365</v>
      </c>
      <c r="P263" s="4"/>
      <c r="R263" s="4"/>
    </row>
    <row r="264" spans="1:18">
      <c r="A264" s="7" t="s">
        <v>7001</v>
      </c>
      <c r="B264" s="7" t="s">
        <v>7526</v>
      </c>
      <c r="C264" s="4" t="s">
        <v>9094</v>
      </c>
      <c r="D264" s="366">
        <v>8521</v>
      </c>
      <c r="E264" s="366">
        <v>8525</v>
      </c>
      <c r="F264" s="366">
        <v>8615</v>
      </c>
      <c r="G264" s="366">
        <v>8639</v>
      </c>
      <c r="H264" s="48">
        <v>8951</v>
      </c>
      <c r="I264" s="48">
        <v>6213</v>
      </c>
      <c r="J264" s="30">
        <v>6439</v>
      </c>
      <c r="K264" s="30">
        <v>6499</v>
      </c>
      <c r="L264" s="30">
        <v>6927</v>
      </c>
      <c r="N264" s="7" t="s">
        <v>7360</v>
      </c>
      <c r="P264" s="4"/>
      <c r="R264" s="4"/>
    </row>
    <row r="265" spans="1:18">
      <c r="A265" s="7" t="s">
        <v>7003</v>
      </c>
      <c r="B265" s="7" t="s">
        <v>7527</v>
      </c>
      <c r="C265" s="4" t="s">
        <v>9095</v>
      </c>
      <c r="D265" s="359">
        <v>7664</v>
      </c>
      <c r="E265" s="359">
        <v>7818</v>
      </c>
      <c r="F265" s="359">
        <v>7875</v>
      </c>
      <c r="G265" s="359">
        <v>7956</v>
      </c>
      <c r="H265" s="48">
        <v>7925</v>
      </c>
      <c r="I265" s="48">
        <v>7613</v>
      </c>
      <c r="J265" s="30">
        <v>7756</v>
      </c>
      <c r="K265" s="30">
        <v>7680</v>
      </c>
      <c r="L265" s="30">
        <v>7823</v>
      </c>
      <c r="N265" s="7" t="s">
        <v>3837</v>
      </c>
      <c r="P265" s="4"/>
      <c r="R265" s="4"/>
    </row>
    <row r="266" spans="1:18">
      <c r="A266" s="7" t="s">
        <v>7005</v>
      </c>
      <c r="B266" s="7" t="s">
        <v>8848</v>
      </c>
      <c r="C266" s="4" t="s">
        <v>9096</v>
      </c>
      <c r="D266" s="359">
        <v>8928</v>
      </c>
      <c r="E266" s="359">
        <v>8995</v>
      </c>
      <c r="F266" s="359">
        <v>9094</v>
      </c>
      <c r="G266" s="359">
        <v>9096</v>
      </c>
      <c r="H266" s="48">
        <v>8774</v>
      </c>
      <c r="I266" s="48">
        <v>7706</v>
      </c>
      <c r="J266" s="30">
        <v>8058</v>
      </c>
      <c r="K266" s="30">
        <v>7964</v>
      </c>
      <c r="L266" s="30">
        <v>8138</v>
      </c>
      <c r="N266" s="7" t="s">
        <v>7360</v>
      </c>
      <c r="P266" s="4"/>
      <c r="R266" s="4"/>
    </row>
    <row r="267" spans="1:18">
      <c r="A267" s="7" t="s">
        <v>7007</v>
      </c>
      <c r="B267" s="7" t="s">
        <v>8849</v>
      </c>
      <c r="C267" s="4" t="s">
        <v>9097</v>
      </c>
      <c r="D267" s="359">
        <v>8865</v>
      </c>
      <c r="E267" s="359">
        <v>8857</v>
      </c>
      <c r="F267" s="359">
        <v>8891</v>
      </c>
      <c r="G267" s="359">
        <v>8945</v>
      </c>
      <c r="H267" s="48">
        <v>9013</v>
      </c>
      <c r="I267" s="48">
        <v>8575</v>
      </c>
      <c r="J267" s="31">
        <v>8790</v>
      </c>
      <c r="K267" s="31">
        <v>8565</v>
      </c>
      <c r="L267" s="31">
        <v>8602</v>
      </c>
      <c r="N267" s="7" t="s">
        <v>7365</v>
      </c>
      <c r="P267" s="4"/>
      <c r="R267" s="4"/>
    </row>
    <row r="268" spans="1:18">
      <c r="A268" s="7" t="s">
        <v>7009</v>
      </c>
      <c r="B268" s="7" t="s">
        <v>5200</v>
      </c>
      <c r="C268" s="4" t="s">
        <v>9098</v>
      </c>
      <c r="D268" s="359">
        <v>7014</v>
      </c>
      <c r="E268" s="359">
        <v>8197</v>
      </c>
      <c r="F268" s="359">
        <v>9171</v>
      </c>
      <c r="G268" s="359">
        <v>9479</v>
      </c>
      <c r="H268" s="48">
        <v>9824</v>
      </c>
      <c r="I268" s="48">
        <v>9165</v>
      </c>
      <c r="J268" s="30">
        <v>9482</v>
      </c>
      <c r="K268" s="30">
        <v>9964</v>
      </c>
      <c r="L268" s="30">
        <v>10477</v>
      </c>
      <c r="N268" s="7" t="s">
        <v>7360</v>
      </c>
      <c r="P268" s="4"/>
      <c r="R268" s="4"/>
    </row>
    <row r="269" spans="1:18">
      <c r="A269" s="7" t="s">
        <v>7011</v>
      </c>
      <c r="B269" s="7" t="s">
        <v>5201</v>
      </c>
      <c r="C269" s="4" t="s">
        <v>9099</v>
      </c>
      <c r="D269" s="359">
        <v>8897</v>
      </c>
      <c r="E269" s="359">
        <v>9055</v>
      </c>
      <c r="F269" s="359">
        <v>9117</v>
      </c>
      <c r="G269" s="359">
        <v>9092</v>
      </c>
      <c r="H269" s="48">
        <v>9074</v>
      </c>
      <c r="I269" s="48">
        <v>8674</v>
      </c>
      <c r="J269" s="30">
        <v>8786</v>
      </c>
      <c r="K269" s="30">
        <v>8575</v>
      </c>
      <c r="L269" s="30">
        <v>8560</v>
      </c>
      <c r="N269" s="7" t="s">
        <v>7360</v>
      </c>
      <c r="P269" s="4"/>
      <c r="R269" s="4"/>
    </row>
    <row r="270" spans="1:18">
      <c r="A270" s="7" t="s">
        <v>7013</v>
      </c>
      <c r="B270" s="7" t="s">
        <v>3500</v>
      </c>
      <c r="C270" s="4" t="s">
        <v>9100</v>
      </c>
      <c r="D270" s="359">
        <v>8585</v>
      </c>
      <c r="E270" s="359">
        <v>8654</v>
      </c>
      <c r="F270" s="359">
        <v>8569</v>
      </c>
      <c r="G270" s="359">
        <v>8558</v>
      </c>
      <c r="H270" s="48">
        <v>8501</v>
      </c>
      <c r="I270" s="48">
        <v>8171</v>
      </c>
      <c r="J270" s="30">
        <v>8269</v>
      </c>
      <c r="K270" s="30">
        <v>8230</v>
      </c>
      <c r="L270" s="30">
        <v>8087</v>
      </c>
      <c r="N270" s="7" t="s">
        <v>7360</v>
      </c>
      <c r="P270" s="4"/>
      <c r="R270" s="4"/>
    </row>
    <row r="271" spans="1:18">
      <c r="A271" s="7" t="s">
        <v>7015</v>
      </c>
      <c r="B271" s="7" t="s">
        <v>3501</v>
      </c>
      <c r="C271" s="4" t="s">
        <v>9101</v>
      </c>
      <c r="D271" s="359">
        <v>8248</v>
      </c>
      <c r="E271" s="359">
        <v>8301</v>
      </c>
      <c r="F271" s="359">
        <v>8245</v>
      </c>
      <c r="G271" s="359">
        <v>8220</v>
      </c>
      <c r="H271" s="48">
        <v>8300</v>
      </c>
      <c r="I271" s="48">
        <v>8018</v>
      </c>
      <c r="J271" s="30">
        <v>8125</v>
      </c>
      <c r="K271" s="30">
        <v>8050</v>
      </c>
      <c r="L271" s="30">
        <v>8140</v>
      </c>
      <c r="N271" s="7" t="s">
        <v>7360</v>
      </c>
      <c r="P271" s="4"/>
      <c r="R271" s="4"/>
    </row>
    <row r="272" spans="1:18">
      <c r="A272" s="7" t="s">
        <v>7017</v>
      </c>
      <c r="B272" s="7" t="s">
        <v>3502</v>
      </c>
      <c r="C272" s="4" t="s">
        <v>9102</v>
      </c>
      <c r="D272" s="359">
        <v>8440</v>
      </c>
      <c r="E272" s="359">
        <v>8445</v>
      </c>
      <c r="F272" s="359">
        <v>8478</v>
      </c>
      <c r="G272" s="359">
        <v>8538</v>
      </c>
      <c r="H272" s="48">
        <v>8719</v>
      </c>
      <c r="I272" s="48">
        <v>8275</v>
      </c>
      <c r="J272" s="31">
        <v>8433</v>
      </c>
      <c r="K272" s="31">
        <v>8495</v>
      </c>
      <c r="L272" s="31">
        <v>8822</v>
      </c>
      <c r="N272" s="7" t="s">
        <v>7365</v>
      </c>
      <c r="P272" s="4"/>
      <c r="R272" s="4"/>
    </row>
    <row r="273" spans="1:18">
      <c r="A273" s="7" t="s">
        <v>7019</v>
      </c>
      <c r="B273" s="7" t="s">
        <v>3503</v>
      </c>
      <c r="C273" s="4" t="s">
        <v>9103</v>
      </c>
      <c r="D273" s="359">
        <v>8085</v>
      </c>
      <c r="E273" s="359">
        <v>8174</v>
      </c>
      <c r="F273" s="359">
        <v>8088</v>
      </c>
      <c r="G273" s="359">
        <v>8187</v>
      </c>
      <c r="H273" s="48">
        <v>8091</v>
      </c>
      <c r="I273" s="48">
        <v>7907</v>
      </c>
      <c r="J273" s="31">
        <v>7884</v>
      </c>
      <c r="K273" s="31">
        <v>7773</v>
      </c>
      <c r="L273" s="31">
        <v>8061</v>
      </c>
      <c r="N273" s="7" t="s">
        <v>7365</v>
      </c>
      <c r="P273" s="4"/>
      <c r="R273" s="4"/>
    </row>
    <row r="274" spans="1:18">
      <c r="A274" s="7" t="s">
        <v>7021</v>
      </c>
      <c r="B274" s="7" t="s">
        <v>3504</v>
      </c>
      <c r="C274" s="4" t="s">
        <v>9104</v>
      </c>
      <c r="D274" s="366">
        <v>7971</v>
      </c>
      <c r="E274" s="366">
        <v>8181</v>
      </c>
      <c r="F274" s="366">
        <v>8473</v>
      </c>
      <c r="G274" s="366">
        <v>8560</v>
      </c>
      <c r="H274" s="48">
        <v>8464</v>
      </c>
      <c r="I274" s="48">
        <v>8145</v>
      </c>
      <c r="J274" s="30">
        <v>8371</v>
      </c>
      <c r="K274" s="30">
        <v>8343</v>
      </c>
      <c r="L274" s="30">
        <v>8421</v>
      </c>
      <c r="N274" s="7" t="s">
        <v>7360</v>
      </c>
      <c r="P274" s="4"/>
      <c r="R274" s="4"/>
    </row>
    <row r="275" spans="1:18">
      <c r="A275" s="7" t="s">
        <v>7023</v>
      </c>
      <c r="B275" s="7" t="s">
        <v>3505</v>
      </c>
      <c r="C275" s="4" t="s">
        <v>9105</v>
      </c>
      <c r="D275" s="359">
        <v>8522</v>
      </c>
      <c r="E275" s="359">
        <v>8576</v>
      </c>
      <c r="F275" s="359">
        <v>8518</v>
      </c>
      <c r="G275" s="359">
        <v>8544</v>
      </c>
      <c r="H275" s="48">
        <v>8461</v>
      </c>
      <c r="I275" s="48">
        <v>8123</v>
      </c>
      <c r="J275" s="31">
        <v>8368</v>
      </c>
      <c r="K275" s="31">
        <v>8353</v>
      </c>
      <c r="L275" s="31">
        <v>8491</v>
      </c>
      <c r="N275" s="7" t="s">
        <v>7365</v>
      </c>
      <c r="P275" s="4"/>
      <c r="R275" s="4"/>
    </row>
    <row r="276" spans="1:18">
      <c r="A276" s="7" t="s">
        <v>7025</v>
      </c>
      <c r="B276" s="7" t="s">
        <v>4826</v>
      </c>
      <c r="C276" s="4" t="s">
        <v>9106</v>
      </c>
      <c r="D276" s="366">
        <v>8126</v>
      </c>
      <c r="E276" s="366">
        <v>8245</v>
      </c>
      <c r="F276" s="366">
        <v>8167</v>
      </c>
      <c r="G276" s="366">
        <v>8229</v>
      </c>
      <c r="H276" s="48">
        <v>8227</v>
      </c>
      <c r="I276" s="48">
        <v>8080</v>
      </c>
      <c r="J276" s="31">
        <v>8141</v>
      </c>
      <c r="K276" s="31">
        <v>8037</v>
      </c>
      <c r="L276" s="31">
        <v>8110</v>
      </c>
      <c r="N276" s="7" t="s">
        <v>7365</v>
      </c>
      <c r="P276" s="4"/>
      <c r="R276" s="4"/>
    </row>
    <row r="277" spans="1:18">
      <c r="D277" s="360"/>
      <c r="E277" s="360"/>
      <c r="F277" s="360"/>
      <c r="G277" s="360"/>
      <c r="H277" s="360"/>
      <c r="I277" s="360"/>
      <c r="J277" s="360"/>
      <c r="K277" s="360"/>
      <c r="L277" s="360"/>
    </row>
    <row r="278" spans="1:18">
      <c r="A278" s="7" t="s">
        <v>7390</v>
      </c>
      <c r="C278" s="368"/>
      <c r="D278" s="359">
        <f t="shared" ref="D278:I278" si="222">D259+D265</f>
        <v>15032</v>
      </c>
      <c r="E278" s="359">
        <f t="shared" si="222"/>
        <v>15417</v>
      </c>
      <c r="F278" s="359">
        <f t="shared" si="222"/>
        <v>15891</v>
      </c>
      <c r="G278" s="359">
        <f t="shared" si="222"/>
        <v>16211</v>
      </c>
      <c r="H278" s="359">
        <f t="shared" si="222"/>
        <v>16315</v>
      </c>
      <c r="I278" s="359">
        <f t="shared" si="222"/>
        <v>15696</v>
      </c>
      <c r="J278" s="359">
        <f t="shared" ref="J278:K278" si="223">J259+J265</f>
        <v>16168</v>
      </c>
      <c r="K278" s="359">
        <f t="shared" si="223"/>
        <v>16080</v>
      </c>
      <c r="L278" s="359">
        <f t="shared" ref="L278" si="224">L259+L265</f>
        <v>16457</v>
      </c>
      <c r="M278" s="368"/>
      <c r="N278" s="368"/>
      <c r="O278" s="368"/>
    </row>
    <row r="279" spans="1:18">
      <c r="A279" s="7" t="s">
        <v>7360</v>
      </c>
      <c r="C279" s="368"/>
      <c r="D279" s="359">
        <f t="shared" ref="D279:I279" si="225">D261+D262+D264+D266+SUM(D268:D271)+D274</f>
        <v>74817</v>
      </c>
      <c r="E279" s="359">
        <f t="shared" si="225"/>
        <v>76863</v>
      </c>
      <c r="F279" s="359">
        <f t="shared" si="225"/>
        <v>78217</v>
      </c>
      <c r="G279" s="359">
        <f t="shared" si="225"/>
        <v>78545</v>
      </c>
      <c r="H279" s="359">
        <f t="shared" si="225"/>
        <v>78803</v>
      </c>
      <c r="I279" s="359">
        <f t="shared" si="225"/>
        <v>72464</v>
      </c>
      <c r="J279" s="359">
        <f t="shared" ref="J279:K279" si="226">J261+J262+J264+J266+SUM(J268:J271)+J274</f>
        <v>74161</v>
      </c>
      <c r="K279" s="359">
        <f t="shared" si="226"/>
        <v>74300</v>
      </c>
      <c r="L279" s="359">
        <f t="shared" ref="L279" si="227">L261+L262+L264+L266+SUM(L268:L271)+L274</f>
        <v>75775</v>
      </c>
      <c r="M279" s="368"/>
      <c r="N279" s="368"/>
      <c r="O279" s="368"/>
    </row>
    <row r="280" spans="1:18">
      <c r="A280" s="7" t="s">
        <v>7365</v>
      </c>
      <c r="C280" s="368"/>
      <c r="D280" s="359">
        <f t="shared" ref="D280:I280" si="228">D257+D258+D260+D263+D267+D272+D273+D275+D276</f>
        <v>73019</v>
      </c>
      <c r="E280" s="359">
        <f t="shared" si="228"/>
        <v>73409</v>
      </c>
      <c r="F280" s="359">
        <f t="shared" si="228"/>
        <v>73458</v>
      </c>
      <c r="G280" s="359">
        <f t="shared" si="228"/>
        <v>73982</v>
      </c>
      <c r="H280" s="359">
        <f t="shared" si="228"/>
        <v>73975</v>
      </c>
      <c r="I280" s="359">
        <f t="shared" si="228"/>
        <v>71425</v>
      </c>
      <c r="J280" s="359">
        <f t="shared" ref="J280:K280" si="229">J257+J258+J260+J263+J267+J272+J273+J275+J276</f>
        <v>72316</v>
      </c>
      <c r="K280" s="359">
        <f t="shared" si="229"/>
        <v>71927</v>
      </c>
      <c r="L280" s="359">
        <f t="shared" ref="L280" si="230">L257+L258+L260+L263+L267+L272+L273+L275+L276</f>
        <v>73054</v>
      </c>
      <c r="M280" s="368"/>
      <c r="N280" s="368"/>
      <c r="O280" s="368"/>
    </row>
    <row r="281" spans="1:18">
      <c r="A281" s="7"/>
      <c r="C281" s="368"/>
      <c r="D281" s="359"/>
      <c r="E281" s="359"/>
      <c r="F281" s="359"/>
      <c r="G281" s="359"/>
      <c r="H281" s="359"/>
      <c r="I281" s="359"/>
      <c r="J281" s="359"/>
      <c r="K281" s="359"/>
      <c r="L281" s="359"/>
      <c r="M281" s="368"/>
      <c r="N281" s="368"/>
      <c r="O281" s="368"/>
    </row>
    <row r="282" spans="1:18">
      <c r="A282" s="357" t="s">
        <v>5192</v>
      </c>
      <c r="C282" s="368"/>
      <c r="M282" s="368"/>
      <c r="N282" s="368"/>
      <c r="O282" s="368"/>
    </row>
    <row r="285" spans="1:18">
      <c r="E285" s="42" t="s">
        <v>2303</v>
      </c>
      <c r="F285" s="42"/>
      <c r="G285" s="42"/>
      <c r="H285" s="42"/>
      <c r="I285" s="42"/>
      <c r="J285" s="42"/>
      <c r="K285" s="42"/>
      <c r="L285" s="42"/>
      <c r="M285" s="65"/>
      <c r="N285" s="66" t="s">
        <v>13319</v>
      </c>
    </row>
    <row r="286" spans="1:18">
      <c r="D286" s="55">
        <v>2010</v>
      </c>
      <c r="E286" s="55">
        <v>2011</v>
      </c>
      <c r="F286" s="55">
        <v>2012</v>
      </c>
      <c r="G286" s="55">
        <v>2013</v>
      </c>
      <c r="H286" s="55">
        <v>2014</v>
      </c>
      <c r="I286" s="55">
        <v>2015</v>
      </c>
      <c r="J286" s="55">
        <v>2016</v>
      </c>
      <c r="K286" s="55">
        <v>2017</v>
      </c>
      <c r="L286" s="55">
        <v>2018</v>
      </c>
      <c r="N286" s="67" t="s">
        <v>2304</v>
      </c>
    </row>
    <row r="287" spans="1:18">
      <c r="A287" s="7" t="s">
        <v>5193</v>
      </c>
      <c r="C287" s="368"/>
      <c r="D287" s="359">
        <f t="shared" ref="D287:I287" si="231">SUM(D288:D308)</f>
        <v>218383</v>
      </c>
      <c r="E287" s="359">
        <f t="shared" si="231"/>
        <v>217872</v>
      </c>
      <c r="F287" s="359">
        <f t="shared" si="231"/>
        <v>220277</v>
      </c>
      <c r="G287" s="359">
        <f t="shared" si="231"/>
        <v>221580</v>
      </c>
      <c r="H287" s="359">
        <f t="shared" si="231"/>
        <v>219880</v>
      </c>
      <c r="I287" s="359">
        <f t="shared" si="231"/>
        <v>220746</v>
      </c>
      <c r="J287" s="359">
        <f t="shared" ref="J287:K287" si="232">SUM(J288:J308)</f>
        <v>211848</v>
      </c>
      <c r="K287" s="359">
        <f t="shared" si="232"/>
        <v>216687</v>
      </c>
      <c r="L287" s="359">
        <f t="shared" ref="L287" si="233">SUM(L288:L308)</f>
        <v>218294</v>
      </c>
      <c r="M287" s="368"/>
      <c r="N287" s="368"/>
      <c r="O287" s="368"/>
    </row>
    <row r="288" spans="1:18">
      <c r="A288" s="7" t="s">
        <v>6957</v>
      </c>
      <c r="B288" s="7" t="s">
        <v>5194</v>
      </c>
      <c r="C288" s="4" t="s">
        <v>9107</v>
      </c>
      <c r="D288" s="359">
        <v>10599</v>
      </c>
      <c r="E288" s="359">
        <v>10542</v>
      </c>
      <c r="F288" s="359">
        <v>10665</v>
      </c>
      <c r="G288" s="359">
        <v>10685</v>
      </c>
      <c r="H288" s="48">
        <v>10593</v>
      </c>
      <c r="I288" s="48">
        <v>10701</v>
      </c>
      <c r="J288" s="30">
        <v>10263</v>
      </c>
      <c r="K288" s="30">
        <v>10442</v>
      </c>
      <c r="L288" s="30">
        <v>10491</v>
      </c>
      <c r="N288" s="7" t="s">
        <v>3833</v>
      </c>
      <c r="P288" s="4"/>
      <c r="R288" s="4"/>
    </row>
    <row r="289" spans="1:18">
      <c r="A289" s="7" t="s">
        <v>6959</v>
      </c>
      <c r="B289" s="7" t="s">
        <v>5195</v>
      </c>
      <c r="C289" s="4" t="s">
        <v>9108</v>
      </c>
      <c r="D289" s="359">
        <v>9848</v>
      </c>
      <c r="E289" s="359">
        <v>9831</v>
      </c>
      <c r="F289" s="359">
        <v>9834</v>
      </c>
      <c r="G289" s="359">
        <v>9895</v>
      </c>
      <c r="H289" s="48">
        <v>9770</v>
      </c>
      <c r="I289" s="48">
        <v>9827</v>
      </c>
      <c r="J289" s="30">
        <v>9589</v>
      </c>
      <c r="K289" s="30">
        <v>9755</v>
      </c>
      <c r="L289" s="30">
        <v>9777</v>
      </c>
      <c r="N289" s="7" t="s">
        <v>3833</v>
      </c>
      <c r="P289" s="4"/>
      <c r="R289" s="4"/>
    </row>
    <row r="290" spans="1:18">
      <c r="A290" s="7" t="s">
        <v>6961</v>
      </c>
      <c r="B290" s="7" t="s">
        <v>5196</v>
      </c>
      <c r="C290" s="4" t="s">
        <v>9109</v>
      </c>
      <c r="D290" s="359">
        <v>10898</v>
      </c>
      <c r="E290" s="359">
        <v>10843</v>
      </c>
      <c r="F290" s="359">
        <v>10922</v>
      </c>
      <c r="G290" s="359">
        <v>10931</v>
      </c>
      <c r="H290" s="48">
        <v>10824</v>
      </c>
      <c r="I290" s="48">
        <v>10864</v>
      </c>
      <c r="J290" s="30">
        <v>10358</v>
      </c>
      <c r="K290" s="30">
        <v>10584</v>
      </c>
      <c r="L290" s="30">
        <v>10590</v>
      </c>
      <c r="N290" s="7" t="s">
        <v>5534</v>
      </c>
      <c r="P290" s="4"/>
      <c r="R290" s="4"/>
    </row>
    <row r="291" spans="1:18">
      <c r="A291" s="7" t="s">
        <v>6963</v>
      </c>
      <c r="B291" s="7" t="s">
        <v>5197</v>
      </c>
      <c r="C291" s="4" t="s">
        <v>9110</v>
      </c>
      <c r="D291" s="359">
        <v>10855</v>
      </c>
      <c r="E291" s="359">
        <v>10891</v>
      </c>
      <c r="F291" s="359">
        <v>10938</v>
      </c>
      <c r="G291" s="359">
        <v>11008</v>
      </c>
      <c r="H291" s="48">
        <v>11015</v>
      </c>
      <c r="I291" s="48">
        <v>11068</v>
      </c>
      <c r="J291" s="30">
        <v>10615</v>
      </c>
      <c r="K291" s="30">
        <v>10879</v>
      </c>
      <c r="L291" s="30">
        <v>10958</v>
      </c>
      <c r="N291" s="7" t="s">
        <v>5534</v>
      </c>
      <c r="P291" s="4"/>
      <c r="R291" s="4"/>
    </row>
    <row r="292" spans="1:18">
      <c r="A292" s="7" t="s">
        <v>6965</v>
      </c>
      <c r="B292" s="7" t="s">
        <v>5198</v>
      </c>
      <c r="C292" s="4" t="s">
        <v>9111</v>
      </c>
      <c r="D292" s="366">
        <v>9877</v>
      </c>
      <c r="E292" s="366">
        <v>9934</v>
      </c>
      <c r="F292" s="366">
        <v>10235</v>
      </c>
      <c r="G292" s="366">
        <v>10360</v>
      </c>
      <c r="H292" s="48">
        <v>10422</v>
      </c>
      <c r="I292" s="48">
        <v>10209</v>
      </c>
      <c r="J292" s="31">
        <v>9611</v>
      </c>
      <c r="K292" s="31">
        <v>9994</v>
      </c>
      <c r="L292" s="31">
        <v>10077</v>
      </c>
      <c r="N292" s="7" t="s">
        <v>7362</v>
      </c>
      <c r="P292" s="4"/>
      <c r="R292" s="4"/>
    </row>
    <row r="293" spans="1:18">
      <c r="A293" s="7" t="s">
        <v>6997</v>
      </c>
      <c r="B293" s="7" t="s">
        <v>5199</v>
      </c>
      <c r="C293" s="4" t="s">
        <v>9112</v>
      </c>
      <c r="D293" s="359">
        <v>11331</v>
      </c>
      <c r="E293" s="359">
        <v>11402</v>
      </c>
      <c r="F293" s="359">
        <v>11544</v>
      </c>
      <c r="G293" s="359">
        <v>11665</v>
      </c>
      <c r="H293" s="48">
        <v>11663</v>
      </c>
      <c r="I293" s="48">
        <v>11847</v>
      </c>
      <c r="J293" s="30">
        <v>11434</v>
      </c>
      <c r="K293" s="30">
        <v>11642</v>
      </c>
      <c r="L293" s="30">
        <v>11761</v>
      </c>
      <c r="N293" s="7" t="s">
        <v>3833</v>
      </c>
      <c r="P293" s="4"/>
      <c r="R293" s="4"/>
    </row>
    <row r="294" spans="1:18">
      <c r="A294" s="7" t="s">
        <v>6999</v>
      </c>
      <c r="B294" s="7" t="s">
        <v>3508</v>
      </c>
      <c r="C294" s="4" t="s">
        <v>9113</v>
      </c>
      <c r="D294" s="359">
        <v>10047</v>
      </c>
      <c r="E294" s="359">
        <v>10013</v>
      </c>
      <c r="F294" s="359">
        <v>10124</v>
      </c>
      <c r="G294" s="359">
        <v>10202</v>
      </c>
      <c r="H294" s="48">
        <v>10098</v>
      </c>
      <c r="I294" s="48">
        <v>10106</v>
      </c>
      <c r="J294" s="30">
        <v>9682</v>
      </c>
      <c r="K294" s="30">
        <v>9947</v>
      </c>
      <c r="L294" s="30">
        <v>9986</v>
      </c>
      <c r="N294" s="7" t="s">
        <v>3833</v>
      </c>
      <c r="P294" s="4"/>
      <c r="R294" s="4"/>
    </row>
    <row r="295" spans="1:18">
      <c r="A295" s="7" t="s">
        <v>7001</v>
      </c>
      <c r="B295" s="7" t="s">
        <v>3509</v>
      </c>
      <c r="C295" s="4" t="s">
        <v>9114</v>
      </c>
      <c r="D295" s="359">
        <v>10389</v>
      </c>
      <c r="E295" s="359">
        <v>10469</v>
      </c>
      <c r="F295" s="359">
        <v>10607</v>
      </c>
      <c r="G295" s="359">
        <v>10648</v>
      </c>
      <c r="H295" s="48">
        <v>10599</v>
      </c>
      <c r="I295" s="48">
        <v>10656</v>
      </c>
      <c r="J295" s="30">
        <v>10256</v>
      </c>
      <c r="K295" s="30">
        <v>10522</v>
      </c>
      <c r="L295" s="30">
        <v>10616</v>
      </c>
      <c r="N295" s="7" t="s">
        <v>3833</v>
      </c>
      <c r="P295" s="4"/>
      <c r="R295" s="4"/>
    </row>
    <row r="296" spans="1:18">
      <c r="A296" s="7" t="s">
        <v>7003</v>
      </c>
      <c r="B296" s="7" t="s">
        <v>3510</v>
      </c>
      <c r="C296" s="4" t="s">
        <v>9115</v>
      </c>
      <c r="D296" s="359">
        <v>10813</v>
      </c>
      <c r="E296" s="359">
        <v>10736</v>
      </c>
      <c r="F296" s="359">
        <v>10948</v>
      </c>
      <c r="G296" s="359">
        <v>11050</v>
      </c>
      <c r="H296" s="48">
        <v>10887</v>
      </c>
      <c r="I296" s="48">
        <v>10855</v>
      </c>
      <c r="J296" s="31">
        <v>10249</v>
      </c>
      <c r="K296" s="31">
        <v>10514</v>
      </c>
      <c r="L296" s="31">
        <v>10711</v>
      </c>
      <c r="N296" s="7" t="s">
        <v>7362</v>
      </c>
      <c r="P296" s="4"/>
      <c r="R296" s="4"/>
    </row>
    <row r="297" spans="1:18">
      <c r="A297" s="7" t="s">
        <v>7005</v>
      </c>
      <c r="B297" s="7" t="s">
        <v>3511</v>
      </c>
      <c r="C297" s="4" t="s">
        <v>9116</v>
      </c>
      <c r="D297" s="359">
        <v>10565</v>
      </c>
      <c r="E297" s="359">
        <v>10478</v>
      </c>
      <c r="F297" s="359">
        <v>10625</v>
      </c>
      <c r="G297" s="359">
        <v>10709</v>
      </c>
      <c r="H297" s="48">
        <v>10599</v>
      </c>
      <c r="I297" s="48">
        <v>10559</v>
      </c>
      <c r="J297" s="31">
        <v>10005</v>
      </c>
      <c r="K297" s="31">
        <v>10129</v>
      </c>
      <c r="L297" s="31">
        <v>10302</v>
      </c>
      <c r="N297" s="7" t="s">
        <v>7362</v>
      </c>
      <c r="P297" s="4"/>
      <c r="R297" s="4"/>
    </row>
    <row r="298" spans="1:18">
      <c r="A298" s="7" t="s">
        <v>7007</v>
      </c>
      <c r="B298" s="7" t="s">
        <v>5231</v>
      </c>
      <c r="C298" s="4" t="s">
        <v>9117</v>
      </c>
      <c r="D298" s="366">
        <v>10958</v>
      </c>
      <c r="E298" s="366">
        <v>10921</v>
      </c>
      <c r="F298" s="366">
        <v>11024</v>
      </c>
      <c r="G298" s="366">
        <v>11015</v>
      </c>
      <c r="H298" s="48">
        <v>10935</v>
      </c>
      <c r="I298" s="48">
        <v>10987</v>
      </c>
      <c r="J298" s="30">
        <v>10488</v>
      </c>
      <c r="K298" s="30">
        <v>10679</v>
      </c>
      <c r="L298" s="30">
        <v>10785</v>
      </c>
      <c r="N298" s="7" t="s">
        <v>5534</v>
      </c>
      <c r="P298" s="4"/>
      <c r="R298" s="4"/>
    </row>
    <row r="299" spans="1:18">
      <c r="A299" s="7" t="s">
        <v>7009</v>
      </c>
      <c r="B299" s="7" t="s">
        <v>5232</v>
      </c>
      <c r="C299" s="4" t="s">
        <v>9118</v>
      </c>
      <c r="D299" s="359">
        <v>9933</v>
      </c>
      <c r="E299" s="359">
        <v>9833</v>
      </c>
      <c r="F299" s="359">
        <v>9905</v>
      </c>
      <c r="G299" s="359">
        <v>9943</v>
      </c>
      <c r="H299" s="48">
        <v>9932</v>
      </c>
      <c r="I299" s="48">
        <v>9982</v>
      </c>
      <c r="J299" s="30">
        <v>9664</v>
      </c>
      <c r="K299" s="30">
        <v>9822</v>
      </c>
      <c r="L299" s="30">
        <v>9871</v>
      </c>
      <c r="N299" s="7" t="s">
        <v>3833</v>
      </c>
      <c r="P299" s="4"/>
      <c r="R299" s="4"/>
    </row>
    <row r="300" spans="1:18">
      <c r="A300" s="7" t="s">
        <v>7011</v>
      </c>
      <c r="B300" s="7" t="s">
        <v>5233</v>
      </c>
      <c r="C300" s="4" t="s">
        <v>9119</v>
      </c>
      <c r="D300" s="366">
        <v>10414</v>
      </c>
      <c r="E300" s="366">
        <v>10401</v>
      </c>
      <c r="F300" s="366">
        <v>10468</v>
      </c>
      <c r="G300" s="366">
        <v>10523</v>
      </c>
      <c r="H300" s="48">
        <v>10446</v>
      </c>
      <c r="I300" s="48">
        <v>10575</v>
      </c>
      <c r="J300" s="31">
        <v>10269</v>
      </c>
      <c r="K300" s="31">
        <v>10656</v>
      </c>
      <c r="L300" s="31">
        <v>10793</v>
      </c>
      <c r="N300" s="7" t="s">
        <v>7362</v>
      </c>
      <c r="P300" s="4"/>
      <c r="R300" s="4"/>
    </row>
    <row r="301" spans="1:18">
      <c r="A301" s="7" t="s">
        <v>7013</v>
      </c>
      <c r="B301" s="7" t="s">
        <v>5234</v>
      </c>
      <c r="C301" s="4" t="s">
        <v>9120</v>
      </c>
      <c r="D301" s="366">
        <v>10796</v>
      </c>
      <c r="E301" s="366">
        <v>10755</v>
      </c>
      <c r="F301" s="366">
        <v>10924</v>
      </c>
      <c r="G301" s="366">
        <v>11004</v>
      </c>
      <c r="H301" s="48">
        <v>10810</v>
      </c>
      <c r="I301" s="48">
        <v>10930</v>
      </c>
      <c r="J301" s="31">
        <v>10551</v>
      </c>
      <c r="K301" s="31">
        <v>10766</v>
      </c>
      <c r="L301" s="31">
        <v>10774</v>
      </c>
      <c r="N301" s="7" t="s">
        <v>7362</v>
      </c>
      <c r="P301" s="4"/>
      <c r="R301" s="4"/>
    </row>
    <row r="302" spans="1:18">
      <c r="A302" s="7" t="s">
        <v>7015</v>
      </c>
      <c r="B302" s="7" t="s">
        <v>7605</v>
      </c>
      <c r="C302" s="4" t="s">
        <v>9121</v>
      </c>
      <c r="D302" s="366">
        <v>10485</v>
      </c>
      <c r="E302" s="366">
        <v>10460</v>
      </c>
      <c r="F302" s="366">
        <v>10588</v>
      </c>
      <c r="G302" s="366">
        <v>10664</v>
      </c>
      <c r="H302" s="48">
        <v>10535</v>
      </c>
      <c r="I302" s="48">
        <v>10520</v>
      </c>
      <c r="J302" s="31">
        <v>9979</v>
      </c>
      <c r="K302" s="31">
        <v>10196</v>
      </c>
      <c r="L302" s="31">
        <v>10249</v>
      </c>
      <c r="N302" s="7" t="s">
        <v>7362</v>
      </c>
      <c r="P302" s="4"/>
      <c r="R302" s="4"/>
    </row>
    <row r="303" spans="1:18">
      <c r="A303" s="7" t="s">
        <v>7017</v>
      </c>
      <c r="B303" s="7" t="s">
        <v>5235</v>
      </c>
      <c r="C303" s="4" t="s">
        <v>9122</v>
      </c>
      <c r="D303" s="359">
        <v>9815</v>
      </c>
      <c r="E303" s="359">
        <v>9818</v>
      </c>
      <c r="F303" s="359">
        <v>9856</v>
      </c>
      <c r="G303" s="359">
        <v>9917</v>
      </c>
      <c r="H303" s="48">
        <v>9897</v>
      </c>
      <c r="I303" s="48">
        <v>9866</v>
      </c>
      <c r="J303" s="30">
        <v>9622</v>
      </c>
      <c r="K303" s="30">
        <v>9763</v>
      </c>
      <c r="L303" s="30">
        <v>9766</v>
      </c>
      <c r="N303" s="7" t="s">
        <v>5534</v>
      </c>
      <c r="P303" s="4"/>
      <c r="R303" s="4"/>
    </row>
    <row r="304" spans="1:18">
      <c r="A304" s="7" t="s">
        <v>7019</v>
      </c>
      <c r="B304" s="7" t="s">
        <v>5236</v>
      </c>
      <c r="C304" s="4" t="s">
        <v>9123</v>
      </c>
      <c r="D304" s="359">
        <v>9678</v>
      </c>
      <c r="E304" s="359">
        <v>9584</v>
      </c>
      <c r="F304" s="359">
        <v>9675</v>
      </c>
      <c r="G304" s="359">
        <v>9736</v>
      </c>
      <c r="H304" s="48">
        <v>9773</v>
      </c>
      <c r="I304" s="48">
        <v>9837</v>
      </c>
      <c r="J304" s="30">
        <v>9619</v>
      </c>
      <c r="K304" s="30">
        <v>9838</v>
      </c>
      <c r="L304" s="30">
        <v>9825</v>
      </c>
      <c r="N304" s="7" t="s">
        <v>5534</v>
      </c>
      <c r="P304" s="4"/>
      <c r="R304" s="4"/>
    </row>
    <row r="305" spans="1:18">
      <c r="A305" s="7" t="s">
        <v>7021</v>
      </c>
      <c r="B305" s="7" t="s">
        <v>5237</v>
      </c>
      <c r="C305" s="4" t="s">
        <v>9124</v>
      </c>
      <c r="D305" s="359">
        <v>10461</v>
      </c>
      <c r="E305" s="359">
        <v>10365</v>
      </c>
      <c r="F305" s="359">
        <v>10499</v>
      </c>
      <c r="G305" s="359">
        <v>10606</v>
      </c>
      <c r="H305" s="48">
        <v>10466</v>
      </c>
      <c r="I305" s="48">
        <v>10553</v>
      </c>
      <c r="J305" s="30">
        <v>10016</v>
      </c>
      <c r="K305" s="30">
        <v>10216</v>
      </c>
      <c r="L305" s="30">
        <v>10260</v>
      </c>
      <c r="N305" s="7" t="s">
        <v>5534</v>
      </c>
      <c r="P305" s="4"/>
      <c r="R305" s="4"/>
    </row>
    <row r="306" spans="1:18">
      <c r="A306" s="7" t="s">
        <v>7023</v>
      </c>
      <c r="B306" s="7" t="s">
        <v>5238</v>
      </c>
      <c r="C306" s="4" t="s">
        <v>9125</v>
      </c>
      <c r="D306" s="359">
        <v>10614</v>
      </c>
      <c r="E306" s="359">
        <v>10555</v>
      </c>
      <c r="F306" s="359">
        <v>10761</v>
      </c>
      <c r="G306" s="359">
        <v>10784</v>
      </c>
      <c r="H306" s="48">
        <v>10551</v>
      </c>
      <c r="I306" s="48">
        <v>10548</v>
      </c>
      <c r="J306" s="30">
        <v>10018</v>
      </c>
      <c r="K306" s="30">
        <v>10279</v>
      </c>
      <c r="L306" s="30">
        <v>10401</v>
      </c>
      <c r="N306" s="7" t="s">
        <v>5533</v>
      </c>
      <c r="P306" s="4"/>
      <c r="R306" s="4"/>
    </row>
    <row r="307" spans="1:18">
      <c r="A307" s="7" t="s">
        <v>7025</v>
      </c>
      <c r="B307" s="7" t="s">
        <v>5239</v>
      </c>
      <c r="C307" s="4" t="s">
        <v>9126</v>
      </c>
      <c r="D307" s="366">
        <v>10227</v>
      </c>
      <c r="E307" s="366">
        <v>10334</v>
      </c>
      <c r="F307" s="366">
        <v>10392</v>
      </c>
      <c r="G307" s="366">
        <v>10496</v>
      </c>
      <c r="H307" s="48">
        <v>10352</v>
      </c>
      <c r="I307" s="48">
        <v>10439</v>
      </c>
      <c r="J307" s="30">
        <v>9919</v>
      </c>
      <c r="K307" s="30">
        <v>10155</v>
      </c>
      <c r="L307" s="30">
        <v>10235</v>
      </c>
      <c r="N307" s="7" t="s">
        <v>5533</v>
      </c>
      <c r="P307" s="4"/>
      <c r="R307" s="4"/>
    </row>
    <row r="308" spans="1:18">
      <c r="A308" s="7" t="s">
        <v>7570</v>
      </c>
      <c r="B308" s="7" t="s">
        <v>5240</v>
      </c>
      <c r="C308" s="4" t="s">
        <v>9127</v>
      </c>
      <c r="D308" s="359">
        <v>9780</v>
      </c>
      <c r="E308" s="359">
        <v>9707</v>
      </c>
      <c r="F308" s="359">
        <v>9743</v>
      </c>
      <c r="G308" s="359">
        <v>9739</v>
      </c>
      <c r="H308" s="48">
        <v>9713</v>
      </c>
      <c r="I308" s="48">
        <v>9817</v>
      </c>
      <c r="J308" s="30">
        <v>9641</v>
      </c>
      <c r="K308" s="30">
        <v>9909</v>
      </c>
      <c r="L308" s="30">
        <v>10066</v>
      </c>
      <c r="N308" s="7" t="s">
        <v>3833</v>
      </c>
      <c r="P308" s="4"/>
      <c r="R308" s="4"/>
    </row>
    <row r="309" spans="1:18">
      <c r="D309" s="360"/>
      <c r="E309" s="360"/>
      <c r="F309" s="360"/>
      <c r="G309" s="360"/>
      <c r="H309" s="360"/>
      <c r="I309" s="360"/>
      <c r="J309" s="360"/>
      <c r="K309" s="360"/>
      <c r="L309" s="360"/>
    </row>
    <row r="310" spans="1:18">
      <c r="A310" s="7" t="s">
        <v>3833</v>
      </c>
      <c r="D310" s="359">
        <f t="shared" ref="D310:I310" si="234">D288+D289+SUM(D293:D295)+D299+D308</f>
        <v>71927</v>
      </c>
      <c r="E310" s="359">
        <f t="shared" si="234"/>
        <v>71797</v>
      </c>
      <c r="F310" s="359">
        <f t="shared" si="234"/>
        <v>72422</v>
      </c>
      <c r="G310" s="359">
        <f t="shared" si="234"/>
        <v>72777</v>
      </c>
      <c r="H310" s="359">
        <f t="shared" si="234"/>
        <v>72368</v>
      </c>
      <c r="I310" s="359">
        <f t="shared" si="234"/>
        <v>72936</v>
      </c>
      <c r="J310" s="359">
        <f t="shared" ref="J310:K310" si="235">J288+J289+SUM(J293:J295)+J299+J308</f>
        <v>70529</v>
      </c>
      <c r="K310" s="359">
        <f t="shared" si="235"/>
        <v>72039</v>
      </c>
      <c r="L310" s="359">
        <f t="shared" ref="L310" si="236">L288+L289+SUM(L293:L295)+L299+L308</f>
        <v>72568</v>
      </c>
    </row>
    <row r="311" spans="1:18">
      <c r="A311" s="7" t="s">
        <v>5241</v>
      </c>
      <c r="D311" s="359">
        <f t="shared" ref="D311:I311" si="237">D306+D307</f>
        <v>20841</v>
      </c>
      <c r="E311" s="359">
        <f t="shared" si="237"/>
        <v>20889</v>
      </c>
      <c r="F311" s="359">
        <f t="shared" si="237"/>
        <v>21153</v>
      </c>
      <c r="G311" s="359">
        <f t="shared" si="237"/>
        <v>21280</v>
      </c>
      <c r="H311" s="359">
        <f t="shared" si="237"/>
        <v>20903</v>
      </c>
      <c r="I311" s="359">
        <f t="shared" si="237"/>
        <v>20987</v>
      </c>
      <c r="J311" s="359">
        <f t="shared" ref="J311:K311" si="238">J306+J307</f>
        <v>19937</v>
      </c>
      <c r="K311" s="359">
        <f t="shared" si="238"/>
        <v>20434</v>
      </c>
      <c r="L311" s="359">
        <f t="shared" ref="L311" si="239">L306+L307</f>
        <v>20636</v>
      </c>
    </row>
    <row r="312" spans="1:18">
      <c r="A312" s="7" t="s">
        <v>5534</v>
      </c>
      <c r="D312" s="359">
        <f t="shared" ref="D312:I312" si="240">D290+D291+D298+SUM(D303:D305)</f>
        <v>62665</v>
      </c>
      <c r="E312" s="359">
        <f t="shared" si="240"/>
        <v>62422</v>
      </c>
      <c r="F312" s="359">
        <f t="shared" si="240"/>
        <v>62914</v>
      </c>
      <c r="G312" s="359">
        <f t="shared" si="240"/>
        <v>63213</v>
      </c>
      <c r="H312" s="359">
        <f t="shared" si="240"/>
        <v>62910</v>
      </c>
      <c r="I312" s="359">
        <f t="shared" si="240"/>
        <v>63175</v>
      </c>
      <c r="J312" s="359">
        <f t="shared" ref="J312:K312" si="241">J290+J291+J298+SUM(J303:J305)</f>
        <v>60718</v>
      </c>
      <c r="K312" s="359">
        <f t="shared" si="241"/>
        <v>61959</v>
      </c>
      <c r="L312" s="359">
        <f t="shared" ref="L312" si="242">L290+L291+L298+SUM(L303:L305)</f>
        <v>62184</v>
      </c>
      <c r="M312" s="359"/>
    </row>
    <row r="313" spans="1:18">
      <c r="A313" s="7" t="s">
        <v>7362</v>
      </c>
      <c r="D313" s="359">
        <f t="shared" ref="D313:I313" si="243">D292+D296+D297+SUM(D300:D302)</f>
        <v>62950</v>
      </c>
      <c r="E313" s="359">
        <f t="shared" si="243"/>
        <v>62764</v>
      </c>
      <c r="F313" s="359">
        <f t="shared" si="243"/>
        <v>63788</v>
      </c>
      <c r="G313" s="359">
        <f t="shared" si="243"/>
        <v>64310</v>
      </c>
      <c r="H313" s="359">
        <f t="shared" si="243"/>
        <v>63699</v>
      </c>
      <c r="I313" s="359">
        <f t="shared" si="243"/>
        <v>63648</v>
      </c>
      <c r="J313" s="359">
        <f t="shared" ref="J313:K313" si="244">J292+J296+J297+SUM(J300:J302)</f>
        <v>60664</v>
      </c>
      <c r="K313" s="359">
        <f t="shared" si="244"/>
        <v>62255</v>
      </c>
      <c r="L313" s="359">
        <f t="shared" ref="L313" si="245">L292+L296+L297+SUM(L300:L302)</f>
        <v>62906</v>
      </c>
      <c r="M313" s="359"/>
    </row>
    <row r="314" spans="1:18">
      <c r="A314" s="7"/>
      <c r="D314" s="359"/>
      <c r="E314" s="359"/>
      <c r="F314" s="359"/>
      <c r="G314" s="359"/>
      <c r="H314" s="359"/>
      <c r="I314" s="359"/>
      <c r="J314" s="359"/>
      <c r="K314" s="359"/>
      <c r="L314" s="359"/>
    </row>
    <row r="315" spans="1:18">
      <c r="A315" s="357" t="s">
        <v>7040</v>
      </c>
    </row>
    <row r="316" spans="1:18">
      <c r="A316" s="7"/>
      <c r="B316" s="7"/>
      <c r="D316" s="368"/>
      <c r="E316" s="368"/>
      <c r="F316" s="368"/>
      <c r="G316" s="368"/>
      <c r="H316" s="368"/>
      <c r="I316" s="368"/>
      <c r="J316" s="368"/>
      <c r="K316" s="368"/>
      <c r="L316" s="368"/>
    </row>
    <row r="317" spans="1:18">
      <c r="A317" s="7"/>
      <c r="B317" s="7"/>
      <c r="D317" s="368"/>
      <c r="E317" s="368"/>
      <c r="F317" s="368"/>
      <c r="G317" s="368"/>
      <c r="H317" s="368"/>
      <c r="I317" s="368"/>
      <c r="J317" s="368"/>
      <c r="K317" s="368"/>
      <c r="L317" s="368"/>
    </row>
    <row r="318" spans="1:18">
      <c r="E318" s="42" t="s">
        <v>2303</v>
      </c>
      <c r="F318" s="42"/>
      <c r="G318" s="42"/>
      <c r="H318" s="42"/>
      <c r="I318" s="42"/>
      <c r="J318" s="42"/>
      <c r="K318" s="42"/>
      <c r="L318" s="42"/>
      <c r="M318" s="65"/>
      <c r="N318" s="66" t="s">
        <v>13319</v>
      </c>
    </row>
    <row r="319" spans="1:18">
      <c r="D319" s="55">
        <v>2010</v>
      </c>
      <c r="E319" s="55">
        <v>2011</v>
      </c>
      <c r="F319" s="55">
        <v>2012</v>
      </c>
      <c r="G319" s="55">
        <v>2013</v>
      </c>
      <c r="H319" s="55">
        <v>2014</v>
      </c>
      <c r="I319" s="55">
        <v>2015</v>
      </c>
      <c r="J319" s="55">
        <v>2016</v>
      </c>
      <c r="K319" s="55">
        <v>2017</v>
      </c>
      <c r="L319" s="55">
        <v>2018</v>
      </c>
      <c r="N319" s="67" t="s">
        <v>2304</v>
      </c>
    </row>
    <row r="320" spans="1:18">
      <c r="A320" s="7" t="s">
        <v>7041</v>
      </c>
      <c r="D320" s="359">
        <f t="shared" ref="D320:I320" si="246">SUM(D321:D339)</f>
        <v>164902</v>
      </c>
      <c r="E320" s="359">
        <f t="shared" si="246"/>
        <v>168321</v>
      </c>
      <c r="F320" s="359">
        <f t="shared" si="246"/>
        <v>166636</v>
      </c>
      <c r="G320" s="359">
        <f t="shared" si="246"/>
        <v>165961</v>
      </c>
      <c r="H320" s="359">
        <f t="shared" si="246"/>
        <v>169561</v>
      </c>
      <c r="I320" s="359">
        <f t="shared" si="246"/>
        <v>166761</v>
      </c>
      <c r="J320" s="359">
        <f t="shared" ref="J320:K320" si="247">SUM(J321:J339)</f>
        <v>163976</v>
      </c>
      <c r="K320" s="359">
        <f t="shared" si="247"/>
        <v>167545</v>
      </c>
      <c r="L320" s="359">
        <f t="shared" ref="L320" si="248">SUM(L321:L339)</f>
        <v>168472</v>
      </c>
    </row>
    <row r="321" spans="1:18">
      <c r="A321" s="7" t="s">
        <v>6957</v>
      </c>
      <c r="B321" s="7" t="s">
        <v>7042</v>
      </c>
      <c r="C321" s="4" t="s">
        <v>9128</v>
      </c>
      <c r="D321" s="359">
        <v>8824</v>
      </c>
      <c r="E321" s="359">
        <v>8853</v>
      </c>
      <c r="F321" s="359">
        <v>8730</v>
      </c>
      <c r="G321" s="30">
        <v>8701</v>
      </c>
      <c r="H321" s="30">
        <v>8868</v>
      </c>
      <c r="I321" s="30">
        <v>8736</v>
      </c>
      <c r="J321" s="30">
        <v>8561</v>
      </c>
      <c r="K321" s="30">
        <v>8687</v>
      </c>
      <c r="L321" s="30">
        <v>8708</v>
      </c>
      <c r="N321" s="7" t="s">
        <v>3834</v>
      </c>
      <c r="P321" s="4"/>
      <c r="R321" s="4"/>
    </row>
    <row r="322" spans="1:18">
      <c r="A322" s="7" t="s">
        <v>6959</v>
      </c>
      <c r="B322" s="7" t="s">
        <v>5242</v>
      </c>
      <c r="C322" s="4" t="s">
        <v>9129</v>
      </c>
      <c r="D322" s="359">
        <v>8284</v>
      </c>
      <c r="E322" s="359">
        <v>8566</v>
      </c>
      <c r="F322" s="359">
        <v>8497</v>
      </c>
      <c r="G322" s="30">
        <v>8316</v>
      </c>
      <c r="H322" s="30">
        <v>8585</v>
      </c>
      <c r="I322" s="30">
        <v>8444</v>
      </c>
      <c r="J322" s="30">
        <v>8157</v>
      </c>
      <c r="K322" s="30">
        <v>8328</v>
      </c>
      <c r="L322" s="30">
        <v>8438</v>
      </c>
      <c r="N322" s="7" t="s">
        <v>3834</v>
      </c>
      <c r="P322" s="4"/>
      <c r="R322" s="4"/>
    </row>
    <row r="323" spans="1:18">
      <c r="A323" s="7" t="s">
        <v>6961</v>
      </c>
      <c r="B323" s="7" t="s">
        <v>5243</v>
      </c>
      <c r="C323" s="4" t="s">
        <v>9130</v>
      </c>
      <c r="D323" s="359">
        <v>8507</v>
      </c>
      <c r="E323" s="359">
        <v>8604</v>
      </c>
      <c r="F323" s="359">
        <v>8619</v>
      </c>
      <c r="G323" s="30">
        <v>8497</v>
      </c>
      <c r="H323" s="30">
        <v>8652</v>
      </c>
      <c r="I323" s="30">
        <v>8510</v>
      </c>
      <c r="J323" s="30">
        <v>8338</v>
      </c>
      <c r="K323" s="30">
        <v>8508</v>
      </c>
      <c r="L323" s="30">
        <v>8580</v>
      </c>
      <c r="N323" s="7" t="s">
        <v>3834</v>
      </c>
      <c r="P323" s="4"/>
      <c r="R323" s="4"/>
    </row>
    <row r="324" spans="1:18">
      <c r="A324" s="7" t="s">
        <v>6963</v>
      </c>
      <c r="B324" s="7" t="s">
        <v>5244</v>
      </c>
      <c r="C324" s="4" t="s">
        <v>9131</v>
      </c>
      <c r="D324" s="359">
        <v>8623</v>
      </c>
      <c r="E324" s="359">
        <v>8794</v>
      </c>
      <c r="F324" s="359">
        <v>8836</v>
      </c>
      <c r="G324" s="30">
        <v>8885</v>
      </c>
      <c r="H324" s="30">
        <v>9165</v>
      </c>
      <c r="I324" s="30">
        <v>9121</v>
      </c>
      <c r="J324" s="30">
        <v>9165</v>
      </c>
      <c r="K324" s="30">
        <v>9441</v>
      </c>
      <c r="L324" s="30">
        <v>9439</v>
      </c>
      <c r="N324" s="7" t="s">
        <v>5533</v>
      </c>
      <c r="P324" s="4"/>
      <c r="R324" s="4"/>
    </row>
    <row r="325" spans="1:18">
      <c r="A325" s="7" t="s">
        <v>6965</v>
      </c>
      <c r="B325" s="7" t="s">
        <v>5245</v>
      </c>
      <c r="C325" s="4" t="s">
        <v>9132</v>
      </c>
      <c r="D325" s="359">
        <v>8446</v>
      </c>
      <c r="E325" s="359">
        <v>8604</v>
      </c>
      <c r="F325" s="359">
        <v>8539</v>
      </c>
      <c r="G325" s="30">
        <v>8531</v>
      </c>
      <c r="H325" s="30">
        <v>8672</v>
      </c>
      <c r="I325" s="30">
        <v>8561</v>
      </c>
      <c r="J325" s="30">
        <v>8325</v>
      </c>
      <c r="K325" s="30">
        <v>8537</v>
      </c>
      <c r="L325" s="30">
        <v>8470</v>
      </c>
      <c r="N325" s="7" t="s">
        <v>5533</v>
      </c>
      <c r="P325" s="4"/>
      <c r="R325" s="4"/>
    </row>
    <row r="326" spans="1:18">
      <c r="A326" s="7" t="s">
        <v>6997</v>
      </c>
      <c r="B326" s="7" t="s">
        <v>5246</v>
      </c>
      <c r="C326" s="4" t="s">
        <v>9133</v>
      </c>
      <c r="D326" s="359">
        <v>8423</v>
      </c>
      <c r="E326" s="359">
        <v>8582</v>
      </c>
      <c r="F326" s="359">
        <v>8420</v>
      </c>
      <c r="G326" s="30">
        <v>8334</v>
      </c>
      <c r="H326" s="30">
        <v>8461</v>
      </c>
      <c r="I326" s="30">
        <v>8325</v>
      </c>
      <c r="J326" s="30">
        <v>8156</v>
      </c>
      <c r="K326" s="30">
        <v>8277</v>
      </c>
      <c r="L326" s="30">
        <v>8236</v>
      </c>
      <c r="N326" s="7" t="s">
        <v>5533</v>
      </c>
      <c r="P326" s="4"/>
      <c r="R326" s="4"/>
    </row>
    <row r="327" spans="1:18">
      <c r="A327" s="7" t="s">
        <v>6999</v>
      </c>
      <c r="B327" s="7" t="s">
        <v>5247</v>
      </c>
      <c r="C327" s="4" t="s">
        <v>9134</v>
      </c>
      <c r="D327" s="359">
        <v>9227</v>
      </c>
      <c r="E327" s="359">
        <v>9329</v>
      </c>
      <c r="F327" s="359">
        <v>9273</v>
      </c>
      <c r="G327" s="30">
        <v>9166</v>
      </c>
      <c r="H327" s="30">
        <v>9383</v>
      </c>
      <c r="I327" s="30">
        <v>9281</v>
      </c>
      <c r="J327" s="30">
        <v>9239</v>
      </c>
      <c r="K327" s="30">
        <v>9396</v>
      </c>
      <c r="L327" s="30">
        <v>9402</v>
      </c>
      <c r="N327" s="7" t="s">
        <v>5533</v>
      </c>
      <c r="P327" s="4"/>
      <c r="R327" s="4"/>
    </row>
    <row r="328" spans="1:18">
      <c r="A328" s="7" t="s">
        <v>7001</v>
      </c>
      <c r="B328" s="7" t="s">
        <v>5248</v>
      </c>
      <c r="C328" s="4" t="s">
        <v>9135</v>
      </c>
      <c r="D328" s="359">
        <v>8765</v>
      </c>
      <c r="E328" s="359">
        <v>8962</v>
      </c>
      <c r="F328" s="359">
        <v>8820</v>
      </c>
      <c r="G328" s="30">
        <v>8826</v>
      </c>
      <c r="H328" s="30">
        <v>8961</v>
      </c>
      <c r="I328" s="30">
        <v>8854</v>
      </c>
      <c r="J328" s="30">
        <v>8705</v>
      </c>
      <c r="K328" s="30">
        <v>8874</v>
      </c>
      <c r="L328" s="30">
        <v>8860</v>
      </c>
      <c r="N328" s="7" t="s">
        <v>3834</v>
      </c>
      <c r="P328" s="4"/>
      <c r="R328" s="4"/>
    </row>
    <row r="329" spans="1:18">
      <c r="A329" s="7" t="s">
        <v>7003</v>
      </c>
      <c r="B329" s="7" t="s">
        <v>5249</v>
      </c>
      <c r="C329" s="4" t="s">
        <v>9136</v>
      </c>
      <c r="D329" s="359">
        <v>8935</v>
      </c>
      <c r="E329" s="359">
        <v>9063</v>
      </c>
      <c r="F329" s="359">
        <v>8949</v>
      </c>
      <c r="G329" s="30">
        <v>8916</v>
      </c>
      <c r="H329" s="30">
        <v>9024</v>
      </c>
      <c r="I329" s="30">
        <v>8914</v>
      </c>
      <c r="J329" s="30">
        <v>8824</v>
      </c>
      <c r="K329" s="30">
        <v>8896</v>
      </c>
      <c r="L329" s="30">
        <v>8956</v>
      </c>
      <c r="N329" s="7" t="s">
        <v>3834</v>
      </c>
      <c r="P329" s="4"/>
      <c r="R329" s="4"/>
    </row>
    <row r="330" spans="1:18">
      <c r="A330" s="7" t="s">
        <v>7005</v>
      </c>
      <c r="B330" s="7" t="s">
        <v>5250</v>
      </c>
      <c r="C330" s="4" t="s">
        <v>9137</v>
      </c>
      <c r="D330" s="359">
        <v>9279</v>
      </c>
      <c r="E330" s="359">
        <v>9486</v>
      </c>
      <c r="F330" s="359">
        <v>9362</v>
      </c>
      <c r="G330" s="30">
        <v>9249</v>
      </c>
      <c r="H330" s="30">
        <v>9443</v>
      </c>
      <c r="I330" s="30">
        <v>9249</v>
      </c>
      <c r="J330" s="30">
        <v>9046</v>
      </c>
      <c r="K330" s="30">
        <v>9282</v>
      </c>
      <c r="L330" s="30">
        <v>9350</v>
      </c>
      <c r="N330" s="7" t="s">
        <v>5533</v>
      </c>
      <c r="P330" s="4"/>
      <c r="R330" s="4"/>
    </row>
    <row r="331" spans="1:18">
      <c r="A331" s="7" t="s">
        <v>7007</v>
      </c>
      <c r="B331" s="7" t="s">
        <v>5251</v>
      </c>
      <c r="C331" s="4" t="s">
        <v>9138</v>
      </c>
      <c r="D331" s="366">
        <v>8602</v>
      </c>
      <c r="E331" s="366">
        <v>8737</v>
      </c>
      <c r="F331" s="366">
        <v>8730</v>
      </c>
      <c r="G331" s="30">
        <v>8692</v>
      </c>
      <c r="H331" s="30">
        <v>8894</v>
      </c>
      <c r="I331" s="30">
        <v>8736</v>
      </c>
      <c r="J331" s="30">
        <v>8596</v>
      </c>
      <c r="K331" s="30">
        <v>8753</v>
      </c>
      <c r="L331" s="30">
        <v>8791</v>
      </c>
      <c r="N331" s="7" t="s">
        <v>7361</v>
      </c>
      <c r="P331" s="4"/>
      <c r="R331" s="4"/>
    </row>
    <row r="332" spans="1:18">
      <c r="A332" s="7" t="s">
        <v>7009</v>
      </c>
      <c r="B332" s="7" t="s">
        <v>5252</v>
      </c>
      <c r="C332" s="4" t="s">
        <v>9139</v>
      </c>
      <c r="D332" s="359">
        <v>8181</v>
      </c>
      <c r="E332" s="359">
        <v>8485</v>
      </c>
      <c r="F332" s="359">
        <v>8380</v>
      </c>
      <c r="G332" s="30">
        <v>8483</v>
      </c>
      <c r="H332" s="30">
        <v>8684</v>
      </c>
      <c r="I332" s="30">
        <v>8551</v>
      </c>
      <c r="J332" s="30">
        <v>8436</v>
      </c>
      <c r="K332" s="30">
        <v>8766</v>
      </c>
      <c r="L332" s="30">
        <v>8952</v>
      </c>
      <c r="N332" s="7" t="s">
        <v>7361</v>
      </c>
      <c r="P332" s="4"/>
      <c r="R332" s="4"/>
    </row>
    <row r="333" spans="1:18">
      <c r="A333" s="7" t="s">
        <v>7011</v>
      </c>
      <c r="B333" s="7" t="s">
        <v>5253</v>
      </c>
      <c r="C333" s="4" t="s">
        <v>9140</v>
      </c>
      <c r="D333" s="360">
        <v>9582</v>
      </c>
      <c r="E333" s="360">
        <v>9974</v>
      </c>
      <c r="F333" s="360">
        <v>9886</v>
      </c>
      <c r="G333" s="30">
        <v>9887</v>
      </c>
      <c r="H333" s="30">
        <v>10180</v>
      </c>
      <c r="I333" s="30">
        <v>9984</v>
      </c>
      <c r="J333" s="30">
        <v>9989</v>
      </c>
      <c r="K333" s="30">
        <v>10165</v>
      </c>
      <c r="L333" s="30">
        <v>10321</v>
      </c>
      <c r="N333" s="7" t="s">
        <v>7361</v>
      </c>
      <c r="P333" s="4"/>
      <c r="R333" s="4"/>
    </row>
    <row r="334" spans="1:18">
      <c r="A334" s="7" t="s">
        <v>7013</v>
      </c>
      <c r="B334" s="7" t="s">
        <v>5254</v>
      </c>
      <c r="C334" s="4" t="s">
        <v>9141</v>
      </c>
      <c r="D334" s="360">
        <v>8657</v>
      </c>
      <c r="E334" s="360">
        <v>8850</v>
      </c>
      <c r="F334" s="360">
        <v>8777</v>
      </c>
      <c r="G334" s="30">
        <v>8791</v>
      </c>
      <c r="H334" s="30">
        <v>8883</v>
      </c>
      <c r="I334" s="30">
        <v>8681</v>
      </c>
      <c r="J334" s="30">
        <v>8514</v>
      </c>
      <c r="K334" s="30">
        <v>8815</v>
      </c>
      <c r="L334" s="30">
        <v>8942</v>
      </c>
      <c r="N334" s="7" t="s">
        <v>7361</v>
      </c>
      <c r="P334" s="4"/>
      <c r="R334" s="4"/>
    </row>
    <row r="335" spans="1:18">
      <c r="A335" s="7" t="s">
        <v>7015</v>
      </c>
      <c r="B335" s="7" t="s">
        <v>5255</v>
      </c>
      <c r="C335" s="4" t="s">
        <v>9142</v>
      </c>
      <c r="D335" s="360">
        <v>7766</v>
      </c>
      <c r="E335" s="360">
        <v>7864</v>
      </c>
      <c r="F335" s="360">
        <v>7812</v>
      </c>
      <c r="G335" s="31">
        <v>7733</v>
      </c>
      <c r="H335" s="31">
        <v>7907</v>
      </c>
      <c r="I335" s="31">
        <v>7773</v>
      </c>
      <c r="J335" s="31">
        <v>7754</v>
      </c>
      <c r="K335" s="31">
        <v>7770</v>
      </c>
      <c r="L335" s="31">
        <v>7847</v>
      </c>
      <c r="N335" s="7" t="s">
        <v>7361</v>
      </c>
      <c r="P335" s="4"/>
      <c r="R335" s="4"/>
    </row>
    <row r="336" spans="1:18">
      <c r="A336" s="7" t="s">
        <v>7017</v>
      </c>
      <c r="B336" s="7" t="s">
        <v>5256</v>
      </c>
      <c r="C336" s="4" t="s">
        <v>9143</v>
      </c>
      <c r="D336" s="366">
        <v>8399</v>
      </c>
      <c r="E336" s="366">
        <v>8665</v>
      </c>
      <c r="F336" s="366">
        <v>8576</v>
      </c>
      <c r="G336" s="31">
        <v>8580</v>
      </c>
      <c r="H336" s="31">
        <v>8774</v>
      </c>
      <c r="I336" s="31">
        <v>8533</v>
      </c>
      <c r="J336" s="31">
        <v>8485</v>
      </c>
      <c r="K336" s="31">
        <v>8720</v>
      </c>
      <c r="L336" s="31">
        <v>8787</v>
      </c>
      <c r="N336" s="7" t="s">
        <v>7361</v>
      </c>
      <c r="P336" s="4"/>
      <c r="R336" s="4"/>
    </row>
    <row r="337" spans="1:18">
      <c r="A337" s="7" t="s">
        <v>7019</v>
      </c>
      <c r="B337" s="7" t="s">
        <v>8607</v>
      </c>
      <c r="C337" s="4" t="s">
        <v>9144</v>
      </c>
      <c r="D337" s="366">
        <v>8531</v>
      </c>
      <c r="E337" s="366">
        <v>8787</v>
      </c>
      <c r="F337" s="366">
        <v>8588</v>
      </c>
      <c r="G337" s="30">
        <v>8506</v>
      </c>
      <c r="H337" s="30">
        <v>8834</v>
      </c>
      <c r="I337" s="30">
        <v>8585</v>
      </c>
      <c r="J337" s="30">
        <v>8283</v>
      </c>
      <c r="K337" s="30">
        <v>8519</v>
      </c>
      <c r="L337" s="30">
        <v>8601</v>
      </c>
      <c r="N337" s="7" t="s">
        <v>3834</v>
      </c>
      <c r="P337" s="4"/>
      <c r="R337" s="4"/>
    </row>
    <row r="338" spans="1:18">
      <c r="A338" s="7" t="s">
        <v>7021</v>
      </c>
      <c r="B338" s="7" t="s">
        <v>5257</v>
      </c>
      <c r="C338" s="4" t="s">
        <v>9145</v>
      </c>
      <c r="D338" s="360">
        <v>9399</v>
      </c>
      <c r="E338" s="360">
        <v>9565</v>
      </c>
      <c r="F338" s="360">
        <v>9313</v>
      </c>
      <c r="G338" s="31">
        <v>9330</v>
      </c>
      <c r="H338" s="31">
        <v>9555</v>
      </c>
      <c r="I338" s="31">
        <v>9417</v>
      </c>
      <c r="J338" s="31">
        <v>9086</v>
      </c>
      <c r="K338" s="31">
        <v>9260</v>
      </c>
      <c r="L338" s="31">
        <v>9245</v>
      </c>
      <c r="N338" s="7" t="s">
        <v>7361</v>
      </c>
      <c r="P338" s="4"/>
      <c r="R338" s="4"/>
    </row>
    <row r="339" spans="1:18">
      <c r="A339" s="7" t="s">
        <v>7023</v>
      </c>
      <c r="B339" s="7" t="s">
        <v>5258</v>
      </c>
      <c r="C339" s="4" t="s">
        <v>9146</v>
      </c>
      <c r="D339" s="360">
        <v>8472</v>
      </c>
      <c r="E339" s="360">
        <v>8551</v>
      </c>
      <c r="F339" s="360">
        <v>8529</v>
      </c>
      <c r="G339" s="31">
        <v>8538</v>
      </c>
      <c r="H339" s="31">
        <v>8636</v>
      </c>
      <c r="I339" s="31">
        <v>8506</v>
      </c>
      <c r="J339" s="31">
        <v>8317</v>
      </c>
      <c r="K339" s="31">
        <v>8551</v>
      </c>
      <c r="L339" s="31">
        <v>8547</v>
      </c>
      <c r="N339" s="7" t="s">
        <v>7361</v>
      </c>
      <c r="P339" s="4"/>
      <c r="R339" s="4"/>
    </row>
    <row r="340" spans="1:18">
      <c r="D340" s="360"/>
      <c r="E340" s="360"/>
      <c r="F340" s="360"/>
      <c r="G340" s="360"/>
      <c r="H340" s="360"/>
      <c r="I340" s="360"/>
      <c r="J340" s="360"/>
      <c r="K340" s="360"/>
      <c r="L340" s="360"/>
    </row>
    <row r="341" spans="1:18">
      <c r="A341" s="7" t="s">
        <v>5600</v>
      </c>
      <c r="D341" s="359">
        <f t="shared" ref="D341:I341" si="249">SUM(D321:D323)+D328+D329+D337</f>
        <v>51846</v>
      </c>
      <c r="E341" s="359">
        <f t="shared" si="249"/>
        <v>52835</v>
      </c>
      <c r="F341" s="359">
        <f t="shared" si="249"/>
        <v>52203</v>
      </c>
      <c r="G341" s="359">
        <f t="shared" si="249"/>
        <v>51762</v>
      </c>
      <c r="H341" s="359">
        <f t="shared" si="249"/>
        <v>52924</v>
      </c>
      <c r="I341" s="359">
        <f t="shared" si="249"/>
        <v>52043</v>
      </c>
      <c r="J341" s="359">
        <f t="shared" ref="J341:K341" si="250">SUM(J321:J323)+J328+J329+J337</f>
        <v>50868</v>
      </c>
      <c r="K341" s="359">
        <f t="shared" si="250"/>
        <v>51812</v>
      </c>
      <c r="L341" s="359">
        <f t="shared" ref="L341" si="251">SUM(L321:L323)+L328+L329+L337</f>
        <v>52143</v>
      </c>
    </row>
    <row r="342" spans="1:18">
      <c r="A342" s="7" t="s">
        <v>5241</v>
      </c>
      <c r="D342" s="359">
        <f t="shared" ref="D342:I342" si="252">SUM(D324:D327)+D330</f>
        <v>43998</v>
      </c>
      <c r="E342" s="359">
        <f t="shared" si="252"/>
        <v>44795</v>
      </c>
      <c r="F342" s="359">
        <f t="shared" si="252"/>
        <v>44430</v>
      </c>
      <c r="G342" s="359">
        <f t="shared" si="252"/>
        <v>44165</v>
      </c>
      <c r="H342" s="359">
        <f t="shared" si="252"/>
        <v>45124</v>
      </c>
      <c r="I342" s="359">
        <f t="shared" si="252"/>
        <v>44537</v>
      </c>
      <c r="J342" s="359">
        <f t="shared" ref="J342:K342" si="253">SUM(J324:J327)+J330</f>
        <v>43931</v>
      </c>
      <c r="K342" s="359">
        <f t="shared" si="253"/>
        <v>44933</v>
      </c>
      <c r="L342" s="359">
        <f t="shared" ref="L342" si="254">SUM(L324:L327)+L330</f>
        <v>44897</v>
      </c>
    </row>
    <row r="343" spans="1:18">
      <c r="A343" s="7" t="s">
        <v>7361</v>
      </c>
      <c r="D343" s="359">
        <f t="shared" ref="D343:I343" si="255">D331+D332+D333+D334+D335+D336+D338+D339</f>
        <v>69058</v>
      </c>
      <c r="E343" s="359">
        <f t="shared" si="255"/>
        <v>70691</v>
      </c>
      <c r="F343" s="359">
        <f t="shared" si="255"/>
        <v>70003</v>
      </c>
      <c r="G343" s="359">
        <f t="shared" si="255"/>
        <v>70034</v>
      </c>
      <c r="H343" s="359">
        <f t="shared" si="255"/>
        <v>71513</v>
      </c>
      <c r="I343" s="359">
        <f t="shared" si="255"/>
        <v>70181</v>
      </c>
      <c r="J343" s="359">
        <f t="shared" ref="J343:K343" si="256">J331+J332+J333+J334+J335+J336+J338+J339</f>
        <v>69177</v>
      </c>
      <c r="K343" s="359">
        <f t="shared" si="256"/>
        <v>70800</v>
      </c>
      <c r="L343" s="359">
        <f t="shared" ref="L343" si="257">L331+L332+L333+L334+L335+L336+L338+L339</f>
        <v>71432</v>
      </c>
    </row>
    <row r="344" spans="1:18">
      <c r="A344" s="7"/>
      <c r="B344" s="7"/>
      <c r="D344" s="359"/>
      <c r="E344" s="359"/>
      <c r="F344" s="359"/>
      <c r="G344" s="359"/>
      <c r="H344" s="359"/>
      <c r="I344" s="359"/>
      <c r="J344" s="359"/>
      <c r="K344" s="359"/>
      <c r="L344" s="359"/>
    </row>
    <row r="345" spans="1:18" ht="15" customHeight="1">
      <c r="A345" s="357" t="s">
        <v>7060</v>
      </c>
    </row>
    <row r="348" spans="1:18">
      <c r="E348" s="42" t="s">
        <v>2303</v>
      </c>
      <c r="F348" s="42"/>
      <c r="G348" s="42"/>
      <c r="H348" s="42"/>
      <c r="I348" s="42"/>
      <c r="J348" s="42"/>
      <c r="K348" s="42"/>
      <c r="L348" s="42"/>
      <c r="M348" s="65"/>
      <c r="N348" s="66" t="s">
        <v>13319</v>
      </c>
    </row>
    <row r="349" spans="1:18">
      <c r="D349" s="55">
        <v>2010</v>
      </c>
      <c r="E349" s="55">
        <v>2011</v>
      </c>
      <c r="F349" s="55">
        <v>2012</v>
      </c>
      <c r="G349" s="55">
        <v>2013</v>
      </c>
      <c r="H349" s="55">
        <v>2014</v>
      </c>
      <c r="I349" s="55">
        <v>2015</v>
      </c>
      <c r="J349" s="55">
        <v>2016</v>
      </c>
      <c r="K349" s="55">
        <v>2017</v>
      </c>
      <c r="L349" s="55">
        <v>2018</v>
      </c>
      <c r="N349" s="67" t="s">
        <v>2304</v>
      </c>
    </row>
    <row r="350" spans="1:18">
      <c r="A350" s="7" t="s">
        <v>7061</v>
      </c>
      <c r="D350" s="359">
        <f t="shared" ref="D350:I350" si="258">SUM(D351:D371)</f>
        <v>164342</v>
      </c>
      <c r="E350" s="359">
        <f t="shared" si="258"/>
        <v>165686</v>
      </c>
      <c r="F350" s="359">
        <f t="shared" si="258"/>
        <v>158458</v>
      </c>
      <c r="G350" s="359">
        <f t="shared" si="258"/>
        <v>158924</v>
      </c>
      <c r="H350" s="359">
        <f t="shared" si="258"/>
        <v>160141</v>
      </c>
      <c r="I350" s="359">
        <f t="shared" si="258"/>
        <v>158831</v>
      </c>
      <c r="J350" s="359">
        <f t="shared" ref="J350:K350" si="259">SUM(J351:J371)</f>
        <v>159419</v>
      </c>
      <c r="K350" s="359">
        <f t="shared" si="259"/>
        <v>162852</v>
      </c>
      <c r="L350" s="359">
        <f t="shared" ref="L350" si="260">SUM(L351:L371)</f>
        <v>165628</v>
      </c>
    </row>
    <row r="351" spans="1:18">
      <c r="A351" s="7" t="s">
        <v>6957</v>
      </c>
      <c r="B351" s="7" t="s">
        <v>7062</v>
      </c>
      <c r="C351" s="4" t="s">
        <v>9147</v>
      </c>
      <c r="D351" s="359">
        <v>8091</v>
      </c>
      <c r="E351" s="359">
        <v>8242</v>
      </c>
      <c r="F351" s="359">
        <v>7853</v>
      </c>
      <c r="G351" s="48">
        <v>7844</v>
      </c>
      <c r="H351" s="48">
        <v>8022</v>
      </c>
      <c r="I351" s="48">
        <v>8214</v>
      </c>
      <c r="J351" s="30">
        <v>8160</v>
      </c>
      <c r="K351" s="30">
        <v>8355</v>
      </c>
      <c r="L351" s="30">
        <v>8484</v>
      </c>
      <c r="N351" s="7" t="s">
        <v>2132</v>
      </c>
      <c r="P351" s="4"/>
      <c r="R351" s="4"/>
    </row>
    <row r="352" spans="1:18">
      <c r="A352" s="7" t="s">
        <v>6959</v>
      </c>
      <c r="B352" s="7" t="s">
        <v>5261</v>
      </c>
      <c r="C352" s="4" t="s">
        <v>9148</v>
      </c>
      <c r="D352" s="359">
        <v>7239</v>
      </c>
      <c r="E352" s="359">
        <v>7293</v>
      </c>
      <c r="F352" s="359">
        <v>7093</v>
      </c>
      <c r="G352" s="48">
        <v>7070</v>
      </c>
      <c r="H352" s="48">
        <v>7158</v>
      </c>
      <c r="I352" s="48">
        <v>7135</v>
      </c>
      <c r="J352" s="30">
        <v>7140</v>
      </c>
      <c r="K352" s="30">
        <v>7292</v>
      </c>
      <c r="L352" s="30">
        <v>7428</v>
      </c>
      <c r="N352" s="7" t="s">
        <v>2132</v>
      </c>
      <c r="P352" s="4"/>
      <c r="R352" s="4"/>
    </row>
    <row r="353" spans="1:18">
      <c r="A353" s="7" t="s">
        <v>6961</v>
      </c>
      <c r="B353" s="7" t="s">
        <v>5262</v>
      </c>
      <c r="C353" s="4" t="s">
        <v>9149</v>
      </c>
      <c r="D353" s="359">
        <v>7174</v>
      </c>
      <c r="E353" s="359">
        <v>7244</v>
      </c>
      <c r="F353" s="359">
        <v>7088</v>
      </c>
      <c r="G353" s="48">
        <v>7075</v>
      </c>
      <c r="H353" s="48">
        <v>7178</v>
      </c>
      <c r="I353" s="48">
        <v>7133</v>
      </c>
      <c r="J353" s="30">
        <v>7073</v>
      </c>
      <c r="K353" s="30">
        <v>7121</v>
      </c>
      <c r="L353" s="30">
        <v>7278</v>
      </c>
      <c r="N353" s="7" t="s">
        <v>2132</v>
      </c>
      <c r="P353" s="4"/>
      <c r="R353" s="4"/>
    </row>
    <row r="354" spans="1:18">
      <c r="A354" s="7" t="s">
        <v>6963</v>
      </c>
      <c r="B354" s="7" t="s">
        <v>8558</v>
      </c>
      <c r="C354" s="4" t="s">
        <v>9150</v>
      </c>
      <c r="D354" s="359">
        <v>9060</v>
      </c>
      <c r="E354" s="359">
        <v>9313</v>
      </c>
      <c r="F354" s="359">
        <v>9086</v>
      </c>
      <c r="G354" s="48">
        <v>9081</v>
      </c>
      <c r="H354" s="48">
        <v>9374</v>
      </c>
      <c r="I354" s="48">
        <v>9298</v>
      </c>
      <c r="J354" s="30">
        <v>9336</v>
      </c>
      <c r="K354" s="30">
        <v>9451</v>
      </c>
      <c r="L354" s="30">
        <v>9590</v>
      </c>
      <c r="N354" s="7" t="s">
        <v>2132</v>
      </c>
      <c r="P354" s="4"/>
      <c r="R354" s="4"/>
    </row>
    <row r="355" spans="1:18">
      <c r="A355" s="7" t="s">
        <v>6965</v>
      </c>
      <c r="B355" s="7" t="s">
        <v>2389</v>
      </c>
      <c r="C355" s="4" t="s">
        <v>9151</v>
      </c>
      <c r="D355" s="359">
        <v>7892</v>
      </c>
      <c r="E355" s="359">
        <v>7908</v>
      </c>
      <c r="F355" s="359">
        <v>7610</v>
      </c>
      <c r="G355" s="48">
        <v>7616</v>
      </c>
      <c r="H355" s="48">
        <v>7638</v>
      </c>
      <c r="I355" s="48">
        <v>7646</v>
      </c>
      <c r="J355" s="31">
        <v>7672</v>
      </c>
      <c r="K355" s="31">
        <v>7712</v>
      </c>
      <c r="L355" s="31">
        <v>7743</v>
      </c>
      <c r="N355" s="7" t="s">
        <v>7366</v>
      </c>
      <c r="P355" s="4"/>
      <c r="R355" s="4"/>
    </row>
    <row r="356" spans="1:18">
      <c r="A356" s="7" t="s">
        <v>6997</v>
      </c>
      <c r="B356" s="7" t="s">
        <v>3531</v>
      </c>
      <c r="C356" s="4" t="s">
        <v>9152</v>
      </c>
      <c r="D356" s="366">
        <v>7206</v>
      </c>
      <c r="E356" s="366">
        <v>7182</v>
      </c>
      <c r="F356" s="366">
        <v>6549</v>
      </c>
      <c r="G356" s="48">
        <v>6666</v>
      </c>
      <c r="H356" s="48">
        <v>6669</v>
      </c>
      <c r="I356" s="48">
        <v>6488</v>
      </c>
      <c r="J356" s="30">
        <v>6520</v>
      </c>
      <c r="K356" s="30">
        <v>6651</v>
      </c>
      <c r="L356" s="30">
        <v>6858</v>
      </c>
      <c r="N356" s="7" t="s">
        <v>7363</v>
      </c>
      <c r="P356" s="4"/>
      <c r="R356" s="4"/>
    </row>
    <row r="357" spans="1:18">
      <c r="A357" s="7" t="s">
        <v>6999</v>
      </c>
      <c r="B357" s="7" t="s">
        <v>3532</v>
      </c>
      <c r="C357" s="4" t="s">
        <v>9153</v>
      </c>
      <c r="D357" s="359">
        <v>7213</v>
      </c>
      <c r="E357" s="359">
        <v>7324</v>
      </c>
      <c r="F357" s="359">
        <v>6794</v>
      </c>
      <c r="G357" s="48">
        <v>6877</v>
      </c>
      <c r="H357" s="48">
        <v>6914</v>
      </c>
      <c r="I357" s="48">
        <v>6741</v>
      </c>
      <c r="J357" s="30">
        <v>7004</v>
      </c>
      <c r="K357" s="30">
        <v>7236</v>
      </c>
      <c r="L357" s="30">
        <v>7501</v>
      </c>
      <c r="N357" s="7" t="s">
        <v>7363</v>
      </c>
      <c r="P357" s="4"/>
      <c r="R357" s="4"/>
    </row>
    <row r="358" spans="1:18">
      <c r="A358" s="7" t="s">
        <v>7001</v>
      </c>
      <c r="B358" s="7" t="s">
        <v>3533</v>
      </c>
      <c r="C358" s="4" t="s">
        <v>9154</v>
      </c>
      <c r="D358" s="359">
        <v>7766</v>
      </c>
      <c r="E358" s="359">
        <v>7737</v>
      </c>
      <c r="F358" s="359">
        <v>7405</v>
      </c>
      <c r="G358" s="48">
        <v>7438</v>
      </c>
      <c r="H358" s="48">
        <v>7475</v>
      </c>
      <c r="I358" s="48">
        <v>7411</v>
      </c>
      <c r="J358" s="30">
        <v>7358</v>
      </c>
      <c r="K358" s="30">
        <v>7550</v>
      </c>
      <c r="L358" s="30">
        <v>7688</v>
      </c>
      <c r="N358" s="7" t="s">
        <v>7363</v>
      </c>
      <c r="P358" s="4"/>
      <c r="R358" s="4"/>
    </row>
    <row r="359" spans="1:18">
      <c r="A359" s="7" t="s">
        <v>7003</v>
      </c>
      <c r="B359" s="7" t="s">
        <v>3534</v>
      </c>
      <c r="C359" s="4" t="s">
        <v>9155</v>
      </c>
      <c r="D359" s="359">
        <v>7531</v>
      </c>
      <c r="E359" s="359">
        <v>7574</v>
      </c>
      <c r="F359" s="359">
        <v>7300</v>
      </c>
      <c r="G359" s="48">
        <v>7339</v>
      </c>
      <c r="H359" s="48">
        <v>7435</v>
      </c>
      <c r="I359" s="48">
        <v>7435</v>
      </c>
      <c r="J359" s="30">
        <v>7413</v>
      </c>
      <c r="K359" s="30">
        <v>7556</v>
      </c>
      <c r="L359" s="30">
        <v>7634</v>
      </c>
      <c r="N359" s="7" t="s">
        <v>7363</v>
      </c>
      <c r="P359" s="4"/>
      <c r="R359" s="4"/>
    </row>
    <row r="360" spans="1:18">
      <c r="A360" s="7" t="s">
        <v>7005</v>
      </c>
      <c r="B360" s="7" t="s">
        <v>3535</v>
      </c>
      <c r="C360" s="4" t="s">
        <v>9156</v>
      </c>
      <c r="D360" s="359">
        <v>8349</v>
      </c>
      <c r="E360" s="359">
        <v>8410</v>
      </c>
      <c r="F360" s="359">
        <v>8094</v>
      </c>
      <c r="G360" s="48">
        <v>8139</v>
      </c>
      <c r="H360" s="48">
        <v>8096</v>
      </c>
      <c r="I360" s="48">
        <v>8061</v>
      </c>
      <c r="J360" s="30">
        <v>8051</v>
      </c>
      <c r="K360" s="30">
        <v>8148</v>
      </c>
      <c r="L360" s="30">
        <v>8242</v>
      </c>
      <c r="N360" s="7" t="s">
        <v>7363</v>
      </c>
      <c r="P360" s="4"/>
      <c r="R360" s="4"/>
    </row>
    <row r="361" spans="1:18">
      <c r="A361" s="7" t="s">
        <v>7007</v>
      </c>
      <c r="B361" s="7" t="s">
        <v>5270</v>
      </c>
      <c r="C361" s="4" t="s">
        <v>9157</v>
      </c>
      <c r="D361" s="359">
        <v>7822</v>
      </c>
      <c r="E361" s="359">
        <v>7921</v>
      </c>
      <c r="F361" s="359">
        <v>7160</v>
      </c>
      <c r="G361" s="48">
        <v>7200</v>
      </c>
      <c r="H361" s="48">
        <v>7326</v>
      </c>
      <c r="I361" s="48">
        <v>7128</v>
      </c>
      <c r="J361" s="30">
        <v>7454</v>
      </c>
      <c r="K361" s="30">
        <v>7730</v>
      </c>
      <c r="L361" s="30">
        <v>7904</v>
      </c>
      <c r="N361" s="7" t="s">
        <v>7363</v>
      </c>
      <c r="P361" s="4"/>
      <c r="R361" s="4"/>
    </row>
    <row r="362" spans="1:18">
      <c r="A362" s="7" t="s">
        <v>7009</v>
      </c>
      <c r="B362" s="7" t="s">
        <v>5271</v>
      </c>
      <c r="C362" s="4" t="s">
        <v>9158</v>
      </c>
      <c r="D362" s="359">
        <v>7487</v>
      </c>
      <c r="E362" s="359">
        <v>7582</v>
      </c>
      <c r="F362" s="359">
        <v>7248</v>
      </c>
      <c r="G362" s="48">
        <v>7230</v>
      </c>
      <c r="H362" s="48">
        <v>7163</v>
      </c>
      <c r="I362" s="48">
        <v>6978</v>
      </c>
      <c r="J362" s="30">
        <v>7132</v>
      </c>
      <c r="K362" s="30">
        <v>7277</v>
      </c>
      <c r="L362" s="30">
        <v>7343</v>
      </c>
      <c r="N362" s="7" t="s">
        <v>2132</v>
      </c>
      <c r="P362" s="4"/>
      <c r="R362" s="4"/>
    </row>
    <row r="363" spans="1:18">
      <c r="A363" s="7" t="s">
        <v>7011</v>
      </c>
      <c r="B363" s="7" t="s">
        <v>5272</v>
      </c>
      <c r="C363" s="4" t="s">
        <v>9159</v>
      </c>
      <c r="D363" s="359">
        <v>7231</v>
      </c>
      <c r="E363" s="359">
        <v>7373</v>
      </c>
      <c r="F363" s="359">
        <v>7145</v>
      </c>
      <c r="G363" s="48">
        <v>7102</v>
      </c>
      <c r="H363" s="48">
        <v>7125</v>
      </c>
      <c r="I363" s="48">
        <v>7215</v>
      </c>
      <c r="J363" s="30">
        <v>7084</v>
      </c>
      <c r="K363" s="30">
        <v>7252</v>
      </c>
      <c r="L363" s="30">
        <v>7314</v>
      </c>
      <c r="N363" s="7" t="s">
        <v>2132</v>
      </c>
      <c r="P363" s="4"/>
      <c r="R363" s="4"/>
    </row>
    <row r="364" spans="1:18">
      <c r="A364" s="7" t="s">
        <v>7013</v>
      </c>
      <c r="B364" s="7" t="s">
        <v>5273</v>
      </c>
      <c r="C364" s="4" t="s">
        <v>9160</v>
      </c>
      <c r="D364" s="359">
        <v>8481</v>
      </c>
      <c r="E364" s="359">
        <v>8551</v>
      </c>
      <c r="F364" s="359">
        <v>8024</v>
      </c>
      <c r="G364" s="48">
        <v>8075</v>
      </c>
      <c r="H364" s="48">
        <v>8183</v>
      </c>
      <c r="I364" s="48">
        <v>8161</v>
      </c>
      <c r="J364" s="31">
        <v>8217</v>
      </c>
      <c r="K364" s="31">
        <v>8397</v>
      </c>
      <c r="L364" s="31">
        <v>8708</v>
      </c>
      <c r="N364" s="7" t="s">
        <v>7363</v>
      </c>
      <c r="P364" s="4"/>
      <c r="R364" s="4"/>
    </row>
    <row r="365" spans="1:18">
      <c r="A365" s="7" t="s">
        <v>7015</v>
      </c>
      <c r="B365" s="7" t="s">
        <v>4097</v>
      </c>
      <c r="C365" s="4" t="s">
        <v>9161</v>
      </c>
      <c r="D365" s="359">
        <v>7698</v>
      </c>
      <c r="E365" s="359">
        <v>7762</v>
      </c>
      <c r="F365" s="359">
        <v>7376</v>
      </c>
      <c r="G365" s="48">
        <v>7417</v>
      </c>
      <c r="H365" s="48">
        <v>7573</v>
      </c>
      <c r="I365" s="48">
        <v>7501</v>
      </c>
      <c r="J365" s="31">
        <v>7454</v>
      </c>
      <c r="K365" s="31">
        <v>7778</v>
      </c>
      <c r="L365" s="31">
        <v>7882</v>
      </c>
      <c r="N365" s="7" t="s">
        <v>7366</v>
      </c>
      <c r="P365" s="4"/>
      <c r="R365" s="4"/>
    </row>
    <row r="366" spans="1:18">
      <c r="A366" s="7" t="s">
        <v>7017</v>
      </c>
      <c r="B366" s="7" t="s">
        <v>8835</v>
      </c>
      <c r="C366" s="4" t="s">
        <v>9162</v>
      </c>
      <c r="D366" s="359">
        <v>8681</v>
      </c>
      <c r="E366" s="359">
        <v>8732</v>
      </c>
      <c r="F366" s="359">
        <v>8454</v>
      </c>
      <c r="G366" s="48">
        <v>8483</v>
      </c>
      <c r="H366" s="48">
        <v>8388</v>
      </c>
      <c r="I366" s="48">
        <v>7970</v>
      </c>
      <c r="J366" s="31">
        <v>8060</v>
      </c>
      <c r="K366" s="30">
        <v>8270</v>
      </c>
      <c r="L366" s="30">
        <v>8415</v>
      </c>
      <c r="N366" s="7" t="s">
        <v>2132</v>
      </c>
      <c r="P366" s="4"/>
      <c r="R366" s="4"/>
    </row>
    <row r="367" spans="1:18">
      <c r="A367" s="7" t="s">
        <v>7019</v>
      </c>
      <c r="B367" s="7" t="s">
        <v>5274</v>
      </c>
      <c r="C367" s="4" t="s">
        <v>9163</v>
      </c>
      <c r="D367" s="359">
        <v>7504</v>
      </c>
      <c r="E367" s="359">
        <v>7488</v>
      </c>
      <c r="F367" s="359">
        <v>7210</v>
      </c>
      <c r="G367" s="48">
        <v>7216</v>
      </c>
      <c r="H367" s="48">
        <v>7154</v>
      </c>
      <c r="I367" s="48">
        <v>7262</v>
      </c>
      <c r="J367" s="30">
        <v>7150</v>
      </c>
      <c r="K367" s="31">
        <v>7303</v>
      </c>
      <c r="L367" s="31">
        <v>7395</v>
      </c>
      <c r="N367" s="7" t="s">
        <v>7366</v>
      </c>
      <c r="P367" s="4"/>
      <c r="R367" s="4"/>
    </row>
    <row r="368" spans="1:18">
      <c r="A368" s="7" t="s">
        <v>7021</v>
      </c>
      <c r="B368" s="7" t="s">
        <v>5275</v>
      </c>
      <c r="C368" s="4" t="s">
        <v>9164</v>
      </c>
      <c r="D368" s="359">
        <v>7746</v>
      </c>
      <c r="E368" s="359">
        <v>7758</v>
      </c>
      <c r="F368" s="359">
        <v>7351</v>
      </c>
      <c r="G368" s="48">
        <v>7337</v>
      </c>
      <c r="H368" s="48">
        <v>7393</v>
      </c>
      <c r="I368" s="48">
        <v>7331</v>
      </c>
      <c r="J368" s="31">
        <v>7300</v>
      </c>
      <c r="K368" s="31">
        <v>7490</v>
      </c>
      <c r="L368" s="31">
        <v>7643</v>
      </c>
      <c r="N368" s="7" t="s">
        <v>7363</v>
      </c>
      <c r="P368" s="4"/>
      <c r="R368" s="4"/>
    </row>
    <row r="369" spans="1:18">
      <c r="A369" s="7" t="s">
        <v>7023</v>
      </c>
      <c r="B369" s="7" t="s">
        <v>5276</v>
      </c>
      <c r="C369" s="4" t="s">
        <v>9165</v>
      </c>
      <c r="D369" s="359">
        <v>8365</v>
      </c>
      <c r="E369" s="359">
        <v>8392</v>
      </c>
      <c r="F369" s="359">
        <v>8300</v>
      </c>
      <c r="G369" s="48">
        <v>8328</v>
      </c>
      <c r="H369" s="48">
        <v>8356</v>
      </c>
      <c r="I369" s="48">
        <v>8314</v>
      </c>
      <c r="J369" s="30">
        <v>8267</v>
      </c>
      <c r="K369" s="30">
        <v>8415</v>
      </c>
      <c r="L369" s="30">
        <v>8409</v>
      </c>
      <c r="N369" s="7" t="s">
        <v>2132</v>
      </c>
      <c r="P369" s="4"/>
      <c r="R369" s="4"/>
    </row>
    <row r="370" spans="1:18">
      <c r="A370" s="7" t="s">
        <v>7025</v>
      </c>
      <c r="B370" s="7" t="s">
        <v>5277</v>
      </c>
      <c r="C370" s="4" t="s">
        <v>9166</v>
      </c>
      <c r="D370" s="359">
        <v>7942</v>
      </c>
      <c r="E370" s="359">
        <v>8063</v>
      </c>
      <c r="F370" s="359">
        <v>7830</v>
      </c>
      <c r="G370" s="48">
        <v>7913</v>
      </c>
      <c r="H370" s="48">
        <v>7926</v>
      </c>
      <c r="I370" s="48">
        <v>7878</v>
      </c>
      <c r="J370" s="31">
        <v>8107</v>
      </c>
      <c r="K370" s="31">
        <v>8243</v>
      </c>
      <c r="L370" s="31">
        <v>8437</v>
      </c>
      <c r="N370" s="7" t="s">
        <v>7363</v>
      </c>
      <c r="P370" s="4"/>
      <c r="R370" s="4"/>
    </row>
    <row r="371" spans="1:18">
      <c r="A371" s="7" t="s">
        <v>7570</v>
      </c>
      <c r="B371" s="7" t="s">
        <v>5182</v>
      </c>
      <c r="C371" s="4" t="s">
        <v>9167</v>
      </c>
      <c r="D371" s="359">
        <v>7864</v>
      </c>
      <c r="E371" s="359">
        <v>7837</v>
      </c>
      <c r="F371" s="359">
        <v>7488</v>
      </c>
      <c r="G371" s="48">
        <v>7478</v>
      </c>
      <c r="H371" s="48">
        <v>7595</v>
      </c>
      <c r="I371" s="48">
        <v>7531</v>
      </c>
      <c r="J371" s="30">
        <v>7467</v>
      </c>
      <c r="K371" s="30">
        <v>7625</v>
      </c>
      <c r="L371" s="30">
        <v>7732</v>
      </c>
      <c r="N371" s="7" t="s">
        <v>2132</v>
      </c>
      <c r="P371" s="4"/>
      <c r="R371" s="4"/>
    </row>
    <row r="372" spans="1:18">
      <c r="D372" s="360"/>
      <c r="E372" s="360"/>
      <c r="F372" s="360"/>
      <c r="G372" s="360"/>
      <c r="H372" s="360"/>
      <c r="I372" s="360"/>
      <c r="J372" s="360"/>
      <c r="K372" s="360"/>
      <c r="L372" s="360"/>
    </row>
    <row r="373" spans="1:18">
      <c r="A373" s="7" t="s">
        <v>2132</v>
      </c>
      <c r="D373" s="359">
        <f t="shared" ref="D373:I373" si="261">SUM(D351:D354)+D362+D363+D366+D369+D371</f>
        <v>71192</v>
      </c>
      <c r="E373" s="359">
        <f t="shared" si="261"/>
        <v>72008</v>
      </c>
      <c r="F373" s="359">
        <f t="shared" si="261"/>
        <v>69755</v>
      </c>
      <c r="G373" s="359">
        <f t="shared" si="261"/>
        <v>69691</v>
      </c>
      <c r="H373" s="359">
        <f t="shared" si="261"/>
        <v>70359</v>
      </c>
      <c r="I373" s="359">
        <f t="shared" si="261"/>
        <v>69788</v>
      </c>
      <c r="J373" s="359">
        <f t="shared" ref="J373:K373" si="262">SUM(J351:J354)+J362+J363+J366+J369+J371</f>
        <v>69719</v>
      </c>
      <c r="K373" s="359">
        <f t="shared" si="262"/>
        <v>71058</v>
      </c>
      <c r="L373" s="359">
        <f t="shared" ref="L373" si="263">SUM(L351:L354)+L362+L363+L366+L369+L371</f>
        <v>71993</v>
      </c>
      <c r="M373" s="368"/>
    </row>
    <row r="374" spans="1:18">
      <c r="A374" s="7" t="s">
        <v>7363</v>
      </c>
      <c r="D374" s="359">
        <f t="shared" ref="D374:G374" si="264">SUM(D356:D361)+D364+D368+D370</f>
        <v>70056</v>
      </c>
      <c r="E374" s="359">
        <f t="shared" si="264"/>
        <v>70520</v>
      </c>
      <c r="F374" s="359">
        <f t="shared" si="264"/>
        <v>66507</v>
      </c>
      <c r="G374" s="359">
        <f t="shared" si="264"/>
        <v>66984</v>
      </c>
      <c r="H374" s="359">
        <f>SUM(H356:H361)+H364+H368+H370</f>
        <v>67417</v>
      </c>
      <c r="I374" s="359">
        <f>SUM(I356:I361)+I364+I368+I370</f>
        <v>66634</v>
      </c>
      <c r="J374" s="359">
        <f>SUM(J356:J361)+J364+J368+J370</f>
        <v>67424</v>
      </c>
      <c r="K374" s="359">
        <f>SUM(K356:K361)+K364+K368+K370</f>
        <v>69001</v>
      </c>
      <c r="L374" s="359">
        <f>SUM(L356:L361)+L364+L368+L370</f>
        <v>70615</v>
      </c>
      <c r="M374" s="368"/>
    </row>
    <row r="375" spans="1:18">
      <c r="A375" s="7" t="s">
        <v>7391</v>
      </c>
      <c r="D375" s="359">
        <f t="shared" ref="D375:I375" si="265">D355+D365+D367</f>
        <v>23094</v>
      </c>
      <c r="E375" s="359">
        <f t="shared" si="265"/>
        <v>23158</v>
      </c>
      <c r="F375" s="359">
        <f t="shared" si="265"/>
        <v>22196</v>
      </c>
      <c r="G375" s="359">
        <f t="shared" si="265"/>
        <v>22249</v>
      </c>
      <c r="H375" s="359">
        <f t="shared" si="265"/>
        <v>22365</v>
      </c>
      <c r="I375" s="359">
        <f t="shared" si="265"/>
        <v>22409</v>
      </c>
      <c r="J375" s="359">
        <f t="shared" ref="J375:K375" si="266">J355+J365+J367</f>
        <v>22276</v>
      </c>
      <c r="K375" s="359">
        <f t="shared" si="266"/>
        <v>22793</v>
      </c>
      <c r="L375" s="359">
        <f t="shared" ref="L375" si="267">L355+L365+L367</f>
        <v>23020</v>
      </c>
      <c r="M375" s="368"/>
    </row>
    <row r="376" spans="1:18">
      <c r="A376" s="7"/>
      <c r="D376" s="359"/>
      <c r="E376" s="359"/>
      <c r="F376" s="359"/>
      <c r="G376" s="359"/>
      <c r="H376" s="359"/>
      <c r="I376" s="359"/>
      <c r="J376" s="359"/>
      <c r="K376" s="359"/>
      <c r="L376" s="359"/>
      <c r="M376" s="368"/>
    </row>
    <row r="377" spans="1:18">
      <c r="A377" s="357" t="s">
        <v>5278</v>
      </c>
      <c r="M377" s="368"/>
    </row>
    <row r="378" spans="1:18">
      <c r="A378" s="7"/>
      <c r="B378" s="7"/>
      <c r="D378" s="368"/>
      <c r="E378" s="368"/>
      <c r="F378" s="368"/>
      <c r="G378" s="368"/>
      <c r="H378" s="368"/>
      <c r="I378" s="368"/>
      <c r="J378" s="368"/>
      <c r="K378" s="368"/>
      <c r="L378" s="368"/>
      <c r="M378" s="368"/>
    </row>
    <row r="379" spans="1:18">
      <c r="A379" s="7"/>
      <c r="B379" s="7"/>
      <c r="D379" s="368"/>
      <c r="E379" s="368"/>
      <c r="F379" s="368"/>
      <c r="G379" s="368"/>
      <c r="H379" s="368"/>
      <c r="I379" s="368"/>
      <c r="J379" s="368"/>
      <c r="K379" s="368"/>
      <c r="L379" s="368"/>
      <c r="M379" s="368"/>
    </row>
    <row r="380" spans="1:18">
      <c r="E380" s="42" t="s">
        <v>2303</v>
      </c>
      <c r="F380" s="42"/>
      <c r="G380" s="42"/>
      <c r="H380" s="42"/>
      <c r="I380" s="42"/>
      <c r="J380" s="42"/>
      <c r="K380" s="42"/>
      <c r="L380" s="42"/>
      <c r="M380" s="65"/>
      <c r="N380" s="66" t="s">
        <v>13319</v>
      </c>
    </row>
    <row r="381" spans="1:18">
      <c r="D381" s="55">
        <v>2010</v>
      </c>
      <c r="E381" s="55">
        <v>2011</v>
      </c>
      <c r="F381" s="55">
        <v>2012</v>
      </c>
      <c r="G381" s="55">
        <v>2013</v>
      </c>
      <c r="H381" s="55">
        <v>2014</v>
      </c>
      <c r="I381" s="55">
        <v>2015</v>
      </c>
      <c r="J381" s="55">
        <v>2016</v>
      </c>
      <c r="K381" s="55">
        <v>2017</v>
      </c>
      <c r="L381" s="55">
        <v>2018</v>
      </c>
      <c r="N381" s="67" t="s">
        <v>2304</v>
      </c>
    </row>
    <row r="382" spans="1:18">
      <c r="A382" s="7" t="s">
        <v>5279</v>
      </c>
      <c r="D382" s="359">
        <f t="shared" ref="D382:I382" si="268">SUM(D383:D407)</f>
        <v>234430</v>
      </c>
      <c r="E382" s="359">
        <f t="shared" si="268"/>
        <v>239598</v>
      </c>
      <c r="F382" s="359">
        <f t="shared" si="268"/>
        <v>241713</v>
      </c>
      <c r="G382" s="359">
        <f t="shared" si="268"/>
        <v>243181</v>
      </c>
      <c r="H382" s="359">
        <f t="shared" si="268"/>
        <v>243386</v>
      </c>
      <c r="I382" s="359">
        <f t="shared" si="268"/>
        <v>231622</v>
      </c>
      <c r="J382" s="359">
        <f t="shared" ref="J382:K382" si="269">SUM(J383:J407)</f>
        <v>227997</v>
      </c>
      <c r="K382" s="359">
        <f t="shared" si="269"/>
        <v>231167</v>
      </c>
      <c r="L382" s="359">
        <f t="shared" ref="L382" si="270">SUM(L383:L407)</f>
        <v>233131</v>
      </c>
      <c r="M382" s="368"/>
    </row>
    <row r="383" spans="1:18">
      <c r="A383" s="7" t="s">
        <v>6957</v>
      </c>
      <c r="B383" s="7" t="s">
        <v>5280</v>
      </c>
      <c r="C383" s="4" t="s">
        <v>9168</v>
      </c>
      <c r="D383" s="366">
        <v>10330</v>
      </c>
      <c r="E383" s="366">
        <v>10587</v>
      </c>
      <c r="F383" s="366">
        <v>10815</v>
      </c>
      <c r="G383" s="366">
        <v>10912</v>
      </c>
      <c r="H383" s="48">
        <v>10937</v>
      </c>
      <c r="I383" s="48">
        <v>10073</v>
      </c>
      <c r="J383" s="30">
        <v>9935</v>
      </c>
      <c r="K383" s="30">
        <v>9964</v>
      </c>
      <c r="L383" s="30">
        <v>10111</v>
      </c>
      <c r="N383" s="7" t="s">
        <v>5538</v>
      </c>
      <c r="P383" s="4"/>
      <c r="R383" s="4"/>
    </row>
    <row r="384" spans="1:18">
      <c r="A384" s="7" t="s">
        <v>6959</v>
      </c>
      <c r="B384" s="7" t="s">
        <v>3657</v>
      </c>
      <c r="C384" s="4" t="s">
        <v>9169</v>
      </c>
      <c r="D384" s="359">
        <v>8992</v>
      </c>
      <c r="E384" s="359">
        <v>9144</v>
      </c>
      <c r="F384" s="359">
        <v>9204</v>
      </c>
      <c r="G384" s="359">
        <v>9171</v>
      </c>
      <c r="H384" s="48">
        <v>9116</v>
      </c>
      <c r="I384" s="48">
        <v>8867</v>
      </c>
      <c r="J384" s="30">
        <v>8709</v>
      </c>
      <c r="K384" s="30">
        <v>8771</v>
      </c>
      <c r="L384" s="30">
        <v>8830</v>
      </c>
      <c r="N384" s="7" t="s">
        <v>5538</v>
      </c>
      <c r="P384" s="4"/>
      <c r="R384" s="4"/>
    </row>
    <row r="385" spans="1:18">
      <c r="A385" s="7" t="s">
        <v>6961</v>
      </c>
      <c r="B385" s="7" t="s">
        <v>5647</v>
      </c>
      <c r="C385" s="4" t="s">
        <v>9170</v>
      </c>
      <c r="D385" s="366">
        <v>9831</v>
      </c>
      <c r="E385" s="366">
        <v>10161</v>
      </c>
      <c r="F385" s="366">
        <v>10279</v>
      </c>
      <c r="G385" s="366">
        <v>10307</v>
      </c>
      <c r="H385" s="48">
        <v>10277</v>
      </c>
      <c r="I385" s="48">
        <v>9834</v>
      </c>
      <c r="J385" s="31">
        <v>9681</v>
      </c>
      <c r="K385" s="31">
        <v>9782</v>
      </c>
      <c r="L385" s="31">
        <v>9819</v>
      </c>
      <c r="N385" s="7" t="s">
        <v>7364</v>
      </c>
      <c r="P385" s="4"/>
      <c r="R385" s="4"/>
    </row>
    <row r="386" spans="1:18">
      <c r="A386" s="7" t="s">
        <v>6963</v>
      </c>
      <c r="B386" s="7" t="s">
        <v>5648</v>
      </c>
      <c r="C386" s="4" t="s">
        <v>9171</v>
      </c>
      <c r="D386" s="359">
        <v>9286</v>
      </c>
      <c r="E386" s="359">
        <v>9357</v>
      </c>
      <c r="F386" s="359">
        <v>9440</v>
      </c>
      <c r="G386" s="359">
        <v>9478</v>
      </c>
      <c r="H386" s="48">
        <v>9437</v>
      </c>
      <c r="I386" s="48">
        <v>8886</v>
      </c>
      <c r="J386" s="30">
        <v>9026</v>
      </c>
      <c r="K386" s="30">
        <v>9216</v>
      </c>
      <c r="L386" s="30">
        <v>9326</v>
      </c>
      <c r="N386" s="7" t="s">
        <v>5537</v>
      </c>
      <c r="P386" s="4"/>
      <c r="R386" s="4"/>
    </row>
    <row r="387" spans="1:18">
      <c r="A387" s="7" t="s">
        <v>6965</v>
      </c>
      <c r="B387" s="7" t="s">
        <v>5649</v>
      </c>
      <c r="C387" s="4" t="s">
        <v>9172</v>
      </c>
      <c r="D387" s="359">
        <v>8299</v>
      </c>
      <c r="E387" s="359">
        <v>8535</v>
      </c>
      <c r="F387" s="359">
        <v>8633</v>
      </c>
      <c r="G387" s="359">
        <v>8697</v>
      </c>
      <c r="H387" s="48">
        <v>8679</v>
      </c>
      <c r="I387" s="48">
        <v>8346</v>
      </c>
      <c r="J387" s="30">
        <v>8007</v>
      </c>
      <c r="K387" s="30">
        <v>8161</v>
      </c>
      <c r="L387" s="30">
        <v>8152</v>
      </c>
      <c r="N387" s="7" t="s">
        <v>5537</v>
      </c>
      <c r="P387" s="4"/>
      <c r="R387" s="4"/>
    </row>
    <row r="388" spans="1:18">
      <c r="A388" s="7" t="s">
        <v>6997</v>
      </c>
      <c r="B388" s="7" t="s">
        <v>5650</v>
      </c>
      <c r="C388" s="4" t="s">
        <v>9173</v>
      </c>
      <c r="D388" s="359">
        <v>10618</v>
      </c>
      <c r="E388" s="359">
        <v>10962</v>
      </c>
      <c r="F388" s="359">
        <v>11218</v>
      </c>
      <c r="G388" s="359">
        <v>11252</v>
      </c>
      <c r="H388" s="48">
        <v>11312</v>
      </c>
      <c r="I388" s="48">
        <v>10158</v>
      </c>
      <c r="J388" s="30">
        <v>10337</v>
      </c>
      <c r="K388" s="30">
        <v>10427</v>
      </c>
      <c r="L388" s="30">
        <v>10594</v>
      </c>
      <c r="N388" s="7" t="s">
        <v>3828</v>
      </c>
      <c r="P388" s="4"/>
      <c r="R388" s="4"/>
    </row>
    <row r="389" spans="1:18">
      <c r="A389" s="7" t="s">
        <v>6999</v>
      </c>
      <c r="B389" s="7" t="s">
        <v>5651</v>
      </c>
      <c r="C389" s="4" t="s">
        <v>9174</v>
      </c>
      <c r="D389" s="359">
        <v>9023</v>
      </c>
      <c r="E389" s="359">
        <v>9236</v>
      </c>
      <c r="F389" s="359">
        <v>9282</v>
      </c>
      <c r="G389" s="359">
        <v>9270</v>
      </c>
      <c r="H389" s="48">
        <v>9229</v>
      </c>
      <c r="I389" s="48">
        <v>8902</v>
      </c>
      <c r="J389" s="30">
        <v>8746</v>
      </c>
      <c r="K389" s="30">
        <v>8725</v>
      </c>
      <c r="L389" s="30">
        <v>8756</v>
      </c>
      <c r="N389" s="7" t="s">
        <v>5538</v>
      </c>
      <c r="P389" s="4"/>
      <c r="R389" s="4"/>
    </row>
    <row r="390" spans="1:18">
      <c r="A390" s="7" t="s">
        <v>7001</v>
      </c>
      <c r="B390" s="7" t="s">
        <v>5652</v>
      </c>
      <c r="C390" s="4" t="s">
        <v>9175</v>
      </c>
      <c r="D390" s="366">
        <v>9414</v>
      </c>
      <c r="E390" s="366">
        <v>9694</v>
      </c>
      <c r="F390" s="366">
        <v>9776</v>
      </c>
      <c r="G390" s="366">
        <v>9797</v>
      </c>
      <c r="H390" s="48">
        <v>9793</v>
      </c>
      <c r="I390" s="48">
        <v>9429</v>
      </c>
      <c r="J390" s="31">
        <v>9013</v>
      </c>
      <c r="K390" s="31">
        <v>9114</v>
      </c>
      <c r="L390" s="31">
        <v>9231</v>
      </c>
      <c r="N390" s="7" t="s">
        <v>7364</v>
      </c>
      <c r="P390" s="4"/>
      <c r="R390" s="4"/>
    </row>
    <row r="391" spans="1:18">
      <c r="A391" s="7" t="s">
        <v>7003</v>
      </c>
      <c r="B391" s="7" t="s">
        <v>5653</v>
      </c>
      <c r="C391" s="4" t="s">
        <v>9176</v>
      </c>
      <c r="D391" s="366">
        <v>8804</v>
      </c>
      <c r="E391" s="366">
        <v>8990</v>
      </c>
      <c r="F391" s="366">
        <v>9037</v>
      </c>
      <c r="G391" s="366">
        <v>9152</v>
      </c>
      <c r="H391" s="48">
        <v>9103</v>
      </c>
      <c r="I391" s="48">
        <v>8707</v>
      </c>
      <c r="J391" s="30">
        <v>8458</v>
      </c>
      <c r="K391" s="30">
        <v>8678</v>
      </c>
      <c r="L391" s="30">
        <v>8754</v>
      </c>
      <c r="N391" s="7" t="s">
        <v>5537</v>
      </c>
      <c r="P391" s="4"/>
      <c r="R391" s="4"/>
    </row>
    <row r="392" spans="1:18">
      <c r="A392" s="7" t="s">
        <v>7005</v>
      </c>
      <c r="B392" s="7" t="s">
        <v>5654</v>
      </c>
      <c r="C392" s="4" t="s">
        <v>9177</v>
      </c>
      <c r="D392" s="359">
        <v>9876</v>
      </c>
      <c r="E392" s="359">
        <v>10059</v>
      </c>
      <c r="F392" s="359">
        <v>10096</v>
      </c>
      <c r="G392" s="359">
        <v>10094</v>
      </c>
      <c r="H392" s="48">
        <v>10131</v>
      </c>
      <c r="I392" s="48">
        <v>9481</v>
      </c>
      <c r="J392" s="30">
        <v>9264</v>
      </c>
      <c r="K392" s="30">
        <v>9421</v>
      </c>
      <c r="L392" s="30">
        <v>9545</v>
      </c>
      <c r="N392" s="7" t="s">
        <v>5538</v>
      </c>
      <c r="P392" s="4"/>
      <c r="R392" s="4"/>
    </row>
    <row r="393" spans="1:18">
      <c r="A393" s="7" t="s">
        <v>7007</v>
      </c>
      <c r="B393" s="7" t="s">
        <v>7533</v>
      </c>
      <c r="C393" s="4" t="s">
        <v>9178</v>
      </c>
      <c r="D393" s="359">
        <v>8487</v>
      </c>
      <c r="E393" s="359">
        <v>8619</v>
      </c>
      <c r="F393" s="359">
        <v>8534</v>
      </c>
      <c r="G393" s="359">
        <v>8721</v>
      </c>
      <c r="H393" s="48">
        <v>8756</v>
      </c>
      <c r="I393" s="48">
        <v>8354</v>
      </c>
      <c r="J393" s="30">
        <v>8268</v>
      </c>
      <c r="K393" s="30">
        <v>8497</v>
      </c>
      <c r="L393" s="30">
        <v>8556</v>
      </c>
      <c r="N393" s="7" t="s">
        <v>5538</v>
      </c>
      <c r="P393" s="4"/>
      <c r="R393" s="4"/>
    </row>
    <row r="394" spans="1:18">
      <c r="A394" s="7" t="s">
        <v>7009</v>
      </c>
      <c r="B394" s="7" t="s">
        <v>7534</v>
      </c>
      <c r="C394" s="4" t="s">
        <v>9179</v>
      </c>
      <c r="D394" s="359">
        <v>8608</v>
      </c>
      <c r="E394" s="359">
        <v>8806</v>
      </c>
      <c r="F394" s="359">
        <v>8979</v>
      </c>
      <c r="G394" s="359">
        <v>9076</v>
      </c>
      <c r="H394" s="48">
        <v>9092</v>
      </c>
      <c r="I394" s="48">
        <v>8675</v>
      </c>
      <c r="J394" s="31">
        <v>8270</v>
      </c>
      <c r="K394" s="31">
        <v>8324</v>
      </c>
      <c r="L394" s="31">
        <v>8367</v>
      </c>
      <c r="N394" s="7" t="s">
        <v>7364</v>
      </c>
      <c r="P394" s="4"/>
      <c r="R394" s="4"/>
    </row>
    <row r="395" spans="1:18">
      <c r="A395" s="7" t="s">
        <v>7011</v>
      </c>
      <c r="B395" s="7" t="s">
        <v>7535</v>
      </c>
      <c r="C395" s="4" t="s">
        <v>9180</v>
      </c>
      <c r="D395" s="359">
        <v>8885</v>
      </c>
      <c r="E395" s="359">
        <v>9184</v>
      </c>
      <c r="F395" s="359">
        <v>9334</v>
      </c>
      <c r="G395" s="359">
        <v>9392</v>
      </c>
      <c r="H395" s="48">
        <v>9407</v>
      </c>
      <c r="I395" s="48">
        <v>8594</v>
      </c>
      <c r="J395" s="30">
        <v>8588</v>
      </c>
      <c r="K395" s="30">
        <v>8713</v>
      </c>
      <c r="L395" s="30">
        <v>8777</v>
      </c>
      <c r="N395" s="7" t="s">
        <v>5537</v>
      </c>
      <c r="P395" s="4"/>
      <c r="R395" s="4"/>
    </row>
    <row r="396" spans="1:18">
      <c r="A396" s="7" t="s">
        <v>7013</v>
      </c>
      <c r="B396" s="7" t="s">
        <v>7515</v>
      </c>
      <c r="C396" s="4" t="s">
        <v>9181</v>
      </c>
      <c r="D396" s="359">
        <v>10107</v>
      </c>
      <c r="E396" s="359">
        <v>10298</v>
      </c>
      <c r="F396" s="359">
        <v>10373</v>
      </c>
      <c r="G396" s="359">
        <v>10573</v>
      </c>
      <c r="H396" s="48">
        <v>10549</v>
      </c>
      <c r="I396" s="48">
        <v>10051</v>
      </c>
      <c r="J396" s="30">
        <v>9848</v>
      </c>
      <c r="K396" s="30">
        <v>10133</v>
      </c>
      <c r="L396" s="30">
        <v>10153</v>
      </c>
      <c r="N396" s="7" t="s">
        <v>5537</v>
      </c>
      <c r="P396" s="4"/>
      <c r="R396" s="4"/>
    </row>
    <row r="397" spans="1:18">
      <c r="A397" s="7" t="s">
        <v>7015</v>
      </c>
      <c r="B397" s="7" t="s">
        <v>7516</v>
      </c>
      <c r="C397" s="4" t="s">
        <v>9182</v>
      </c>
      <c r="D397" s="360">
        <v>10403</v>
      </c>
      <c r="E397" s="360">
        <v>10771</v>
      </c>
      <c r="F397" s="360">
        <v>10949</v>
      </c>
      <c r="G397" s="360">
        <v>10935</v>
      </c>
      <c r="H397" s="48">
        <v>11004</v>
      </c>
      <c r="I397" s="48">
        <v>9684</v>
      </c>
      <c r="J397" s="30">
        <v>9681</v>
      </c>
      <c r="K397" s="30">
        <v>9899</v>
      </c>
      <c r="L397" s="30">
        <v>10081</v>
      </c>
      <c r="N397" s="7" t="s">
        <v>5537</v>
      </c>
      <c r="P397" s="4"/>
      <c r="R397" s="4"/>
    </row>
    <row r="398" spans="1:18">
      <c r="A398" s="7" t="s">
        <v>7017</v>
      </c>
      <c r="B398" s="7" t="s">
        <v>5665</v>
      </c>
      <c r="C398" s="4" t="s">
        <v>9183</v>
      </c>
      <c r="D398" s="360">
        <v>9597</v>
      </c>
      <c r="E398" s="360">
        <v>9705</v>
      </c>
      <c r="F398" s="360">
        <v>9761</v>
      </c>
      <c r="G398" s="360">
        <v>9843</v>
      </c>
      <c r="H398" s="48">
        <v>9869</v>
      </c>
      <c r="I398" s="48">
        <v>9646</v>
      </c>
      <c r="J398" s="30">
        <v>9452</v>
      </c>
      <c r="K398" s="30">
        <v>9518</v>
      </c>
      <c r="L398" s="30">
        <v>9562</v>
      </c>
      <c r="N398" s="7" t="s">
        <v>5537</v>
      </c>
      <c r="P398" s="4"/>
      <c r="R398" s="4"/>
    </row>
    <row r="399" spans="1:18">
      <c r="A399" s="7" t="s">
        <v>7019</v>
      </c>
      <c r="B399" s="7" t="s">
        <v>5666</v>
      </c>
      <c r="C399" s="4" t="s">
        <v>9184</v>
      </c>
      <c r="D399" s="360">
        <v>9202</v>
      </c>
      <c r="E399" s="360">
        <v>9305</v>
      </c>
      <c r="F399" s="360">
        <v>9337</v>
      </c>
      <c r="G399" s="360">
        <v>9435</v>
      </c>
      <c r="H399" s="48">
        <v>9515</v>
      </c>
      <c r="I399" s="48">
        <v>9440</v>
      </c>
      <c r="J399" s="30">
        <v>9320</v>
      </c>
      <c r="K399" s="30">
        <v>9437</v>
      </c>
      <c r="L399" s="30">
        <v>9533</v>
      </c>
      <c r="N399" s="7" t="s">
        <v>5538</v>
      </c>
      <c r="P399" s="4"/>
      <c r="R399" s="4"/>
    </row>
    <row r="400" spans="1:18">
      <c r="A400" s="7" t="s">
        <v>7021</v>
      </c>
      <c r="B400" s="7" t="s">
        <v>5667</v>
      </c>
      <c r="C400" s="4" t="s">
        <v>9185</v>
      </c>
      <c r="D400" s="366">
        <v>9722</v>
      </c>
      <c r="E400" s="366">
        <v>9789</v>
      </c>
      <c r="F400" s="366">
        <v>9876</v>
      </c>
      <c r="G400" s="366">
        <v>10001</v>
      </c>
      <c r="H400" s="48">
        <v>10072</v>
      </c>
      <c r="I400" s="48">
        <v>9293</v>
      </c>
      <c r="J400" s="31">
        <v>9120</v>
      </c>
      <c r="K400" s="31">
        <v>9388</v>
      </c>
      <c r="L400" s="31">
        <v>9350</v>
      </c>
      <c r="N400" s="7" t="s">
        <v>7364</v>
      </c>
      <c r="P400" s="4"/>
      <c r="R400" s="4"/>
    </row>
    <row r="401" spans="1:18">
      <c r="A401" s="7" t="s">
        <v>7023</v>
      </c>
      <c r="B401" s="7" t="s">
        <v>5668</v>
      </c>
      <c r="C401" s="4" t="s">
        <v>9186</v>
      </c>
      <c r="D401" s="366">
        <v>9279</v>
      </c>
      <c r="E401" s="366">
        <v>9349</v>
      </c>
      <c r="F401" s="366">
        <v>9326</v>
      </c>
      <c r="G401" s="366">
        <v>9326</v>
      </c>
      <c r="H401" s="48">
        <v>9360</v>
      </c>
      <c r="I401" s="48">
        <v>9201</v>
      </c>
      <c r="J401" s="31">
        <v>8984</v>
      </c>
      <c r="K401" s="31">
        <v>9150</v>
      </c>
      <c r="L401" s="31">
        <v>9304</v>
      </c>
      <c r="N401" s="7" t="s">
        <v>7364</v>
      </c>
      <c r="P401" s="4"/>
      <c r="R401" s="4"/>
    </row>
    <row r="402" spans="1:18">
      <c r="A402" s="7" t="s">
        <v>7025</v>
      </c>
      <c r="B402" s="7" t="s">
        <v>5669</v>
      </c>
      <c r="C402" s="4" t="s">
        <v>9187</v>
      </c>
      <c r="D402" s="360">
        <v>9557</v>
      </c>
      <c r="E402" s="360">
        <v>9745</v>
      </c>
      <c r="F402" s="360">
        <v>9743</v>
      </c>
      <c r="G402" s="360">
        <v>9797</v>
      </c>
      <c r="H402" s="48">
        <v>9830</v>
      </c>
      <c r="I402" s="48">
        <v>9730</v>
      </c>
      <c r="J402" s="31">
        <v>9510</v>
      </c>
      <c r="K402" s="31">
        <v>9610</v>
      </c>
      <c r="L402" s="31">
        <v>9698</v>
      </c>
      <c r="N402" s="7" t="s">
        <v>7364</v>
      </c>
      <c r="P402" s="4"/>
      <c r="R402" s="4"/>
    </row>
    <row r="403" spans="1:18">
      <c r="A403" s="7" t="s">
        <v>7570</v>
      </c>
      <c r="B403" s="7" t="s">
        <v>1286</v>
      </c>
      <c r="C403" s="4" t="s">
        <v>9188</v>
      </c>
      <c r="D403" s="360">
        <v>9949</v>
      </c>
      <c r="E403" s="360">
        <v>10161</v>
      </c>
      <c r="F403" s="360">
        <v>10373</v>
      </c>
      <c r="G403" s="360">
        <v>10459</v>
      </c>
      <c r="H403" s="48">
        <v>10613</v>
      </c>
      <c r="I403" s="48">
        <v>10094</v>
      </c>
      <c r="J403" s="30">
        <v>10010</v>
      </c>
      <c r="K403" s="30">
        <v>10130</v>
      </c>
      <c r="L403" s="30">
        <v>10136</v>
      </c>
      <c r="N403" s="7" t="s">
        <v>5537</v>
      </c>
      <c r="P403" s="4"/>
      <c r="R403" s="4"/>
    </row>
    <row r="404" spans="1:18">
      <c r="A404" s="7" t="s">
        <v>7572</v>
      </c>
      <c r="B404" s="7" t="s">
        <v>5670</v>
      </c>
      <c r="C404" s="4" t="s">
        <v>9189</v>
      </c>
      <c r="D404" s="366">
        <v>9007</v>
      </c>
      <c r="E404" s="366">
        <v>9276</v>
      </c>
      <c r="F404" s="366">
        <v>9332</v>
      </c>
      <c r="G404" s="366">
        <v>9313</v>
      </c>
      <c r="H404" s="48">
        <v>9276</v>
      </c>
      <c r="I404" s="48">
        <v>8952</v>
      </c>
      <c r="J404" s="31">
        <v>8839</v>
      </c>
      <c r="K404" s="31">
        <v>8968</v>
      </c>
      <c r="L404" s="31">
        <v>9084</v>
      </c>
      <c r="N404" s="7" t="s">
        <v>7364</v>
      </c>
      <c r="P404" s="4"/>
      <c r="R404" s="4"/>
    </row>
    <row r="405" spans="1:18">
      <c r="A405" s="7" t="s">
        <v>7573</v>
      </c>
      <c r="B405" s="7" t="s">
        <v>5671</v>
      </c>
      <c r="C405" s="4" t="s">
        <v>9190</v>
      </c>
      <c r="D405" s="360">
        <v>9617</v>
      </c>
      <c r="E405" s="360">
        <v>9959</v>
      </c>
      <c r="F405" s="360">
        <v>9977</v>
      </c>
      <c r="G405" s="360">
        <v>10058</v>
      </c>
      <c r="H405" s="48">
        <v>9955</v>
      </c>
      <c r="I405" s="48">
        <v>9507</v>
      </c>
      <c r="J405" s="31">
        <v>9316</v>
      </c>
      <c r="K405" s="31">
        <v>9320</v>
      </c>
      <c r="L405" s="31">
        <v>9388</v>
      </c>
      <c r="N405" s="7" t="s">
        <v>7364</v>
      </c>
      <c r="P405" s="4"/>
      <c r="R405" s="4"/>
    </row>
    <row r="406" spans="1:18">
      <c r="A406" s="7" t="s">
        <v>5798</v>
      </c>
      <c r="B406" s="7" t="s">
        <v>5672</v>
      </c>
      <c r="C406" s="4" t="s">
        <v>9191</v>
      </c>
      <c r="D406" s="360">
        <v>8757</v>
      </c>
      <c r="E406" s="360">
        <v>8871</v>
      </c>
      <c r="F406" s="360">
        <v>8937</v>
      </c>
      <c r="G406" s="360">
        <v>8959</v>
      </c>
      <c r="H406" s="48">
        <v>9007</v>
      </c>
      <c r="I406" s="48">
        <v>8917</v>
      </c>
      <c r="J406" s="31">
        <v>8917</v>
      </c>
      <c r="K406" s="31">
        <v>9005</v>
      </c>
      <c r="L406" s="31">
        <v>9095</v>
      </c>
      <c r="N406" s="7" t="s">
        <v>5538</v>
      </c>
      <c r="P406" s="4"/>
      <c r="R406" s="4"/>
    </row>
    <row r="407" spans="1:18">
      <c r="A407" s="369">
        <v>25</v>
      </c>
      <c r="B407" s="7" t="s">
        <v>5673</v>
      </c>
      <c r="C407" s="4" t="s">
        <v>9192</v>
      </c>
      <c r="D407" s="360">
        <v>8780</v>
      </c>
      <c r="E407" s="360">
        <v>9035</v>
      </c>
      <c r="F407" s="360">
        <v>9102</v>
      </c>
      <c r="G407" s="360">
        <v>9163</v>
      </c>
      <c r="H407" s="48">
        <v>9067</v>
      </c>
      <c r="I407" s="48">
        <v>8801</v>
      </c>
      <c r="J407" s="31">
        <v>8698</v>
      </c>
      <c r="K407" s="31">
        <v>8816</v>
      </c>
      <c r="L407" s="31">
        <v>8929</v>
      </c>
      <c r="N407" s="7" t="s">
        <v>5538</v>
      </c>
      <c r="P407" s="4"/>
      <c r="R407" s="4"/>
    </row>
    <row r="408" spans="1:18">
      <c r="D408" s="360"/>
      <c r="E408" s="360"/>
      <c r="F408" s="360"/>
      <c r="G408" s="360"/>
      <c r="H408" s="360"/>
      <c r="I408" s="360"/>
      <c r="J408" s="360"/>
      <c r="K408" s="360"/>
      <c r="L408" s="360"/>
    </row>
    <row r="409" spans="1:18">
      <c r="A409" s="7" t="s">
        <v>3828</v>
      </c>
      <c r="D409" s="359">
        <f t="shared" ref="D409:I409" si="271">D388</f>
        <v>10618</v>
      </c>
      <c r="E409" s="359">
        <f t="shared" si="271"/>
        <v>10962</v>
      </c>
      <c r="F409" s="359">
        <f t="shared" si="271"/>
        <v>11218</v>
      </c>
      <c r="G409" s="359">
        <f t="shared" si="271"/>
        <v>11252</v>
      </c>
      <c r="H409" s="359">
        <f t="shared" si="271"/>
        <v>11312</v>
      </c>
      <c r="I409" s="359">
        <f t="shared" si="271"/>
        <v>10158</v>
      </c>
      <c r="J409" s="359">
        <f t="shared" ref="J409:K409" si="272">J388</f>
        <v>10337</v>
      </c>
      <c r="K409" s="359">
        <f t="shared" si="272"/>
        <v>10427</v>
      </c>
      <c r="L409" s="359">
        <f t="shared" ref="L409" si="273">L388</f>
        <v>10594</v>
      </c>
    </row>
    <row r="410" spans="1:18">
      <c r="A410" s="7" t="s">
        <v>5537</v>
      </c>
      <c r="D410" s="359">
        <f t="shared" ref="D410:I410" si="274">D386+D387+D391+SUM(D395:D398)+D403</f>
        <v>75330</v>
      </c>
      <c r="E410" s="359">
        <f t="shared" si="274"/>
        <v>77001</v>
      </c>
      <c r="F410" s="359">
        <f t="shared" si="274"/>
        <v>77900</v>
      </c>
      <c r="G410" s="359">
        <f t="shared" si="274"/>
        <v>78529</v>
      </c>
      <c r="H410" s="359">
        <f t="shared" si="274"/>
        <v>78661</v>
      </c>
      <c r="I410" s="359">
        <f t="shared" si="274"/>
        <v>74008</v>
      </c>
      <c r="J410" s="359">
        <f t="shared" ref="J410:K410" si="275">J386+J387+J391+SUM(J395:J398)+J403</f>
        <v>73070</v>
      </c>
      <c r="K410" s="359">
        <f t="shared" si="275"/>
        <v>74448</v>
      </c>
      <c r="L410" s="359">
        <f t="shared" ref="L410" si="276">L386+L387+L391+SUM(L395:L398)+L403</f>
        <v>74941</v>
      </c>
    </row>
    <row r="411" spans="1:18">
      <c r="A411" s="7" t="s">
        <v>5538</v>
      </c>
      <c r="D411" s="359">
        <f t="shared" ref="D411:I411" si="277">D383+D384+D389+D392+D393+D399+D406+D407</f>
        <v>73447</v>
      </c>
      <c r="E411" s="359">
        <f t="shared" si="277"/>
        <v>74856</v>
      </c>
      <c r="F411" s="359">
        <f t="shared" si="277"/>
        <v>75307</v>
      </c>
      <c r="G411" s="359">
        <f t="shared" si="277"/>
        <v>75725</v>
      </c>
      <c r="H411" s="359">
        <f t="shared" si="277"/>
        <v>75758</v>
      </c>
      <c r="I411" s="359">
        <f t="shared" si="277"/>
        <v>72835</v>
      </c>
      <c r="J411" s="359">
        <f t="shared" ref="J411:K411" si="278">J383+J384+J389+J392+J393+J399+J406+J407</f>
        <v>71857</v>
      </c>
      <c r="K411" s="359">
        <f t="shared" si="278"/>
        <v>72636</v>
      </c>
      <c r="L411" s="359">
        <f t="shared" ref="L411" si="279">L383+L384+L389+L392+L393+L399+L406+L407</f>
        <v>73355</v>
      </c>
    </row>
    <row r="412" spans="1:18">
      <c r="A412" s="7" t="s">
        <v>7364</v>
      </c>
      <c r="D412" s="359">
        <f t="shared" ref="D412:I412" si="280">D385+D390+D394+SUM(D400:D402)+D404+D405</f>
        <v>75035</v>
      </c>
      <c r="E412" s="359">
        <f t="shared" si="280"/>
        <v>76779</v>
      </c>
      <c r="F412" s="359">
        <f t="shared" si="280"/>
        <v>77288</v>
      </c>
      <c r="G412" s="359">
        <f t="shared" si="280"/>
        <v>77675</v>
      </c>
      <c r="H412" s="359">
        <f t="shared" si="280"/>
        <v>77655</v>
      </c>
      <c r="I412" s="359">
        <f t="shared" si="280"/>
        <v>74621</v>
      </c>
      <c r="J412" s="359">
        <f t="shared" ref="J412:K412" si="281">J385+J390+J394+SUM(J400:J402)+J404+J405</f>
        <v>72733</v>
      </c>
      <c r="K412" s="359">
        <f t="shared" si="281"/>
        <v>73656</v>
      </c>
      <c r="L412" s="359">
        <f t="shared" ref="L412" si="282">L385+L390+L394+SUM(L400:L402)+L404+L405</f>
        <v>74241</v>
      </c>
    </row>
    <row r="413" spans="1:18">
      <c r="A413" s="7"/>
      <c r="D413" s="359"/>
      <c r="E413" s="359"/>
      <c r="F413" s="359"/>
      <c r="G413" s="359"/>
      <c r="H413" s="359"/>
      <c r="I413" s="359"/>
      <c r="J413" s="359"/>
      <c r="K413" s="359"/>
      <c r="L413" s="359"/>
    </row>
    <row r="414" spans="1:18">
      <c r="A414" s="357" t="s">
        <v>5674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5" orientation="portrait" horizontalDpi="300" verticalDpi="300" r:id="rId1"/>
  <headerFooter alignWithMargins="0">
    <oddFooter>&amp;C&amp;"Times New Roman,Regular"&amp;8&amp;P of &amp;N</oddFooter>
  </headerFooter>
  <ignoredErrors>
    <ignoredError sqref="D195:K195 D256:K256 D92:K92 D382:K382 D123:K123 D350:K350 D150:K150 D287:K287 D320:K320 D226:K226 D409:G412 D278:G280 D114:G116 D184:G188 D142:G143 D217:G219 D248:G249 D310:G313 D375:G375 D341:G343 D3:G15 E18:G87 D18:D87 D16:G17 H114:H116 D373:G373 H373:H375 D374:G374 H341:H343 H278:H280 H310:H313 H142:H143 H184:H188 H248:H249 H217:H219 H3:H15 H409:H412 H16:H87 I142:I143 I278:I280 I341:I343 I184:I188 I310:I313 I409:I412 I217:I219 I114:I116 I373:I375 I248:I249 I3:I87 J278:J280 J310:J313 J341:J343 J142:J143 J409:J412 J248:J249 J373:J375 J114:J116 J184:J188 J217:J219 J3:J87 K114:K116 K278:K280 K341:K343 K142:K143 K184:K188 K217:K219 K248:K249 K310:K313 K373:K375 K409:K412 K3:K87 L3:L41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2"/>
  <sheetViews>
    <sheetView showGridLines="0" zoomScaleNormal="100" workbookViewId="0"/>
  </sheetViews>
  <sheetFormatPr defaultColWidth="12.5703125" defaultRowHeight="15"/>
  <cols>
    <col min="1" max="1" width="4.85546875" style="309" customWidth="1"/>
    <col min="2" max="2" width="40.7109375" style="309" customWidth="1"/>
    <col min="3" max="3" width="11.5703125" style="309" customWidth="1"/>
    <col min="4" max="12" width="10" style="309" customWidth="1"/>
    <col min="13" max="13" width="2.28515625" style="309" customWidth="1"/>
    <col min="14" max="14" width="25.5703125" style="309" customWidth="1"/>
    <col min="15" max="16384" width="12.5703125" style="309"/>
  </cols>
  <sheetData>
    <row r="1" spans="1:14">
      <c r="A1" s="308" t="s">
        <v>7342</v>
      </c>
      <c r="D1" s="310">
        <v>2010</v>
      </c>
      <c r="E1" s="310">
        <v>2011</v>
      </c>
      <c r="F1" s="310">
        <v>2012</v>
      </c>
      <c r="G1" s="310">
        <v>2013</v>
      </c>
      <c r="H1" s="310">
        <v>2014</v>
      </c>
      <c r="I1" s="310">
        <v>2015</v>
      </c>
      <c r="J1" s="310">
        <v>2016</v>
      </c>
      <c r="K1" s="310">
        <v>2017</v>
      </c>
      <c r="L1" s="310">
        <v>2018</v>
      </c>
    </row>
    <row r="3" spans="1:14">
      <c r="A3" s="308" t="s">
        <v>14007</v>
      </c>
      <c r="D3" s="311">
        <f t="shared" ref="D3:I3" si="0">SUM(D23:D39)</f>
        <v>114061</v>
      </c>
      <c r="E3" s="311">
        <f t="shared" si="0"/>
        <v>115215</v>
      </c>
      <c r="F3" s="311">
        <f t="shared" si="0"/>
        <v>116319</v>
      </c>
      <c r="G3" s="311">
        <f t="shared" si="0"/>
        <v>116582</v>
      </c>
      <c r="H3" s="311">
        <f t="shared" si="0"/>
        <v>116700</v>
      </c>
      <c r="I3" s="311">
        <f t="shared" si="0"/>
        <v>111352</v>
      </c>
      <c r="J3" s="311">
        <f t="shared" ref="J3:K3" si="1">SUM(J23:J39)</f>
        <v>111486</v>
      </c>
      <c r="K3" s="311">
        <f t="shared" si="1"/>
        <v>114577</v>
      </c>
      <c r="L3" s="311">
        <f t="shared" ref="L3" si="2">SUM(L23:L39)</f>
        <v>115885</v>
      </c>
    </row>
    <row r="4" spans="1:14">
      <c r="A4" s="308"/>
      <c r="D4" s="311"/>
      <c r="E4" s="311"/>
      <c r="F4" s="311"/>
      <c r="G4" s="311"/>
      <c r="H4" s="311"/>
      <c r="I4" s="311"/>
      <c r="J4" s="311"/>
      <c r="K4" s="311"/>
      <c r="L4" s="311"/>
      <c r="N4" s="312"/>
    </row>
    <row r="5" spans="1:14">
      <c r="A5" s="308" t="s">
        <v>7343</v>
      </c>
      <c r="D5" s="311">
        <f t="shared" ref="D5:I5" si="3">D3/2</f>
        <v>57030.5</v>
      </c>
      <c r="E5" s="311">
        <f t="shared" si="3"/>
        <v>57607.5</v>
      </c>
      <c r="F5" s="311">
        <f t="shared" si="3"/>
        <v>58159.5</v>
      </c>
      <c r="G5" s="311">
        <f t="shared" si="3"/>
        <v>58291</v>
      </c>
      <c r="H5" s="311">
        <f t="shared" si="3"/>
        <v>58350</v>
      </c>
      <c r="I5" s="311">
        <f t="shared" si="3"/>
        <v>55676</v>
      </c>
      <c r="J5" s="311">
        <f t="shared" ref="J5:K5" si="4">J3/2</f>
        <v>55743</v>
      </c>
      <c r="K5" s="311">
        <f t="shared" si="4"/>
        <v>57288.5</v>
      </c>
      <c r="L5" s="311">
        <f t="shared" ref="L5" si="5">L3/2</f>
        <v>57942.5</v>
      </c>
    </row>
    <row r="6" spans="1:14">
      <c r="D6" s="313"/>
      <c r="E6" s="313"/>
      <c r="F6" s="313"/>
      <c r="G6" s="313"/>
      <c r="H6" s="313"/>
      <c r="I6" s="313"/>
      <c r="J6" s="313"/>
      <c r="K6" s="313"/>
      <c r="L6" s="313"/>
    </row>
    <row r="7" spans="1:14">
      <c r="A7" s="308" t="s">
        <v>7344</v>
      </c>
      <c r="D7" s="311">
        <f t="shared" ref="D7:I7" si="6">SUM(D23:D25)+SUM(D28:D30)+SUM(D32:D34)+D36+D37</f>
        <v>73303</v>
      </c>
      <c r="E7" s="311">
        <f t="shared" si="6"/>
        <v>74027</v>
      </c>
      <c r="F7" s="311">
        <f t="shared" si="6"/>
        <v>74824</v>
      </c>
      <c r="G7" s="311">
        <f t="shared" si="6"/>
        <v>75037</v>
      </c>
      <c r="H7" s="311">
        <f t="shared" si="6"/>
        <v>75468</v>
      </c>
      <c r="I7" s="311">
        <f t="shared" si="6"/>
        <v>72011</v>
      </c>
      <c r="J7" s="311">
        <f t="shared" ref="J7:K7" si="7">SUM(J23:J25)+SUM(J28:J30)+SUM(J32:J34)+J36+J37</f>
        <v>72314</v>
      </c>
      <c r="K7" s="311">
        <f t="shared" si="7"/>
        <v>74447</v>
      </c>
      <c r="L7" s="311">
        <f t="shared" ref="L7" si="8">SUM(L23:L25)+SUM(L28:L30)+SUM(L32:L34)+L36+L37</f>
        <v>75267</v>
      </c>
      <c r="N7" s="308" t="s">
        <v>7345</v>
      </c>
    </row>
    <row r="8" spans="1:14">
      <c r="D8" s="313"/>
      <c r="E8" s="313"/>
      <c r="F8" s="313"/>
      <c r="G8" s="313"/>
      <c r="H8" s="313"/>
      <c r="I8" s="313"/>
      <c r="J8" s="313"/>
      <c r="K8" s="313"/>
      <c r="L8" s="313"/>
    </row>
    <row r="9" spans="1:14">
      <c r="A9" s="308" t="s">
        <v>7346</v>
      </c>
      <c r="D9" s="311">
        <f t="shared" ref="D9:I9" si="9">D26+D27+D31+D35+D38+D39</f>
        <v>40758</v>
      </c>
      <c r="E9" s="311">
        <f t="shared" si="9"/>
        <v>41188</v>
      </c>
      <c r="F9" s="311">
        <f t="shared" si="9"/>
        <v>41495</v>
      </c>
      <c r="G9" s="311">
        <f t="shared" si="9"/>
        <v>41545</v>
      </c>
      <c r="H9" s="311">
        <f t="shared" si="9"/>
        <v>41232</v>
      </c>
      <c r="I9" s="311">
        <f t="shared" si="9"/>
        <v>39341</v>
      </c>
      <c r="J9" s="311">
        <f t="shared" ref="J9:K9" si="10">J26+J27+J31+J35+J38+J39</f>
        <v>39172</v>
      </c>
      <c r="K9" s="311">
        <f t="shared" si="10"/>
        <v>40130</v>
      </c>
      <c r="L9" s="311">
        <f t="shared" ref="L9" si="11">L26+L27+L31+L35+L38+L39</f>
        <v>40618</v>
      </c>
      <c r="N9" s="308" t="s">
        <v>7345</v>
      </c>
    </row>
    <row r="10" spans="1:14" ht="15.75" thickBot="1">
      <c r="D10" s="314">
        <f>HAVERING!D12</f>
        <v>28841</v>
      </c>
      <c r="E10" s="314">
        <f>HAVERING!E12</f>
        <v>28999</v>
      </c>
      <c r="F10" s="314">
        <f>HAVERING!F12</f>
        <v>29252</v>
      </c>
      <c r="G10" s="314">
        <f>HAVERING!G12</f>
        <v>29232</v>
      </c>
      <c r="H10" s="314">
        <f>HAVERING!H12</f>
        <v>29191</v>
      </c>
      <c r="I10" s="314">
        <f>HAVERING!I12</f>
        <v>28826</v>
      </c>
      <c r="J10" s="314">
        <f>HAVERING!J12</f>
        <v>28383</v>
      </c>
      <c r="K10" s="314">
        <f>HAVERING!K12</f>
        <v>28711</v>
      </c>
      <c r="L10" s="314">
        <f>HAVERING!L12</f>
        <v>29140</v>
      </c>
      <c r="N10" s="309" t="s">
        <v>7347</v>
      </c>
    </row>
    <row r="11" spans="1:14" ht="15.75" thickBot="1">
      <c r="D11" s="315">
        <f t="shared" ref="D11:I11" si="12">D9+D10</f>
        <v>69599</v>
      </c>
      <c r="E11" s="315">
        <f t="shared" si="12"/>
        <v>70187</v>
      </c>
      <c r="F11" s="315">
        <f t="shared" si="12"/>
        <v>70747</v>
      </c>
      <c r="G11" s="315">
        <f t="shared" si="12"/>
        <v>70777</v>
      </c>
      <c r="H11" s="315">
        <f t="shared" si="12"/>
        <v>70423</v>
      </c>
      <c r="I11" s="315">
        <f t="shared" si="12"/>
        <v>68167</v>
      </c>
      <c r="J11" s="315">
        <f t="shared" ref="J11:K11" si="13">J9+J10</f>
        <v>67555</v>
      </c>
      <c r="K11" s="315">
        <f t="shared" si="13"/>
        <v>68841</v>
      </c>
      <c r="L11" s="315">
        <f t="shared" ref="L11" si="14">L9+L10</f>
        <v>69758</v>
      </c>
    </row>
    <row r="12" spans="1:14">
      <c r="D12" s="313"/>
      <c r="E12" s="313"/>
      <c r="F12" s="313"/>
      <c r="G12" s="313"/>
      <c r="H12" s="313"/>
      <c r="I12" s="313"/>
      <c r="J12" s="313"/>
      <c r="K12" s="313"/>
      <c r="L12" s="313"/>
    </row>
    <row r="13" spans="1:14">
      <c r="A13" s="316" t="s">
        <v>8197</v>
      </c>
      <c r="D13" s="313">
        <f>HAVERING!D7</f>
        <v>78913</v>
      </c>
      <c r="E13" s="313">
        <f>HAVERING!E7</f>
        <v>79568</v>
      </c>
      <c r="F13" s="313">
        <f>HAVERING!F7</f>
        <v>80364</v>
      </c>
      <c r="G13" s="313">
        <f>HAVERING!G7</f>
        <v>80415</v>
      </c>
      <c r="H13" s="313">
        <f>HAVERING!H7</f>
        <v>80252</v>
      </c>
      <c r="I13" s="313">
        <f>HAVERING!I7</f>
        <v>78714</v>
      </c>
      <c r="J13" s="313">
        <f>HAVERING!J7</f>
        <v>78064</v>
      </c>
      <c r="K13" s="313">
        <f>HAVERING!K7</f>
        <v>79806</v>
      </c>
      <c r="L13" s="313">
        <f>HAVERING!L7</f>
        <v>81200</v>
      </c>
      <c r="N13" s="309" t="s">
        <v>7347</v>
      </c>
    </row>
    <row r="14" spans="1:14">
      <c r="D14" s="313"/>
      <c r="E14" s="313"/>
      <c r="F14" s="313"/>
      <c r="G14" s="313"/>
      <c r="H14" s="313"/>
      <c r="I14" s="313"/>
      <c r="J14" s="313"/>
      <c r="K14" s="313"/>
      <c r="L14" s="313"/>
    </row>
    <row r="15" spans="1:14">
      <c r="A15" s="316" t="s">
        <v>8198</v>
      </c>
      <c r="D15" s="313">
        <f>HAVERING!D9</f>
        <v>71306</v>
      </c>
      <c r="E15" s="313">
        <f>HAVERING!E9</f>
        <v>71978</v>
      </c>
      <c r="F15" s="313">
        <f>HAVERING!F9</f>
        <v>72608</v>
      </c>
      <c r="G15" s="313">
        <f>HAVERING!G9</f>
        <v>73129</v>
      </c>
      <c r="H15" s="313">
        <f>HAVERING!H9</f>
        <v>73574</v>
      </c>
      <c r="I15" s="313">
        <f>HAVERING!I9</f>
        <v>71790</v>
      </c>
      <c r="J15" s="313">
        <f>HAVERING!J9</f>
        <v>70953</v>
      </c>
      <c r="K15" s="313">
        <f>HAVERING!K9</f>
        <v>72309</v>
      </c>
      <c r="L15" s="313">
        <f>HAVERING!L9</f>
        <v>73415</v>
      </c>
      <c r="N15" s="309" t="s">
        <v>7347</v>
      </c>
    </row>
    <row r="16" spans="1:14">
      <c r="D16" s="313"/>
      <c r="E16" s="313"/>
      <c r="F16" s="313"/>
      <c r="G16" s="313"/>
      <c r="H16" s="313"/>
      <c r="I16" s="313"/>
      <c r="J16" s="313"/>
      <c r="K16" s="313"/>
      <c r="L16" s="313"/>
    </row>
    <row r="17" spans="1:18">
      <c r="A17" s="308" t="s">
        <v>8697</v>
      </c>
      <c r="D17" s="311">
        <f t="shared" ref="D17:I17" si="15">D7+D9</f>
        <v>114061</v>
      </c>
      <c r="E17" s="311">
        <f t="shared" si="15"/>
        <v>115215</v>
      </c>
      <c r="F17" s="311">
        <f t="shared" si="15"/>
        <v>116319</v>
      </c>
      <c r="G17" s="311">
        <f t="shared" si="15"/>
        <v>116582</v>
      </c>
      <c r="H17" s="311">
        <f t="shared" si="15"/>
        <v>116700</v>
      </c>
      <c r="I17" s="311">
        <f t="shared" si="15"/>
        <v>111352</v>
      </c>
      <c r="J17" s="311">
        <f t="shared" ref="J17:K17" si="16">J7+J9</f>
        <v>111486</v>
      </c>
      <c r="K17" s="311">
        <f t="shared" si="16"/>
        <v>114577</v>
      </c>
      <c r="L17" s="311">
        <f t="shared" ref="L17" si="17">L7+L9</f>
        <v>115885</v>
      </c>
    </row>
    <row r="18" spans="1:18">
      <c r="D18" s="313"/>
      <c r="E18" s="313"/>
      <c r="F18" s="313"/>
      <c r="G18" s="313"/>
      <c r="H18" s="313"/>
      <c r="I18" s="313"/>
      <c r="J18" s="313"/>
      <c r="K18" s="313"/>
      <c r="L18" s="313"/>
    </row>
    <row r="19" spans="1:18">
      <c r="A19" s="308" t="s">
        <v>8698</v>
      </c>
      <c r="D19" s="311">
        <f t="shared" ref="D19:I19" si="18">MAX(D7,D11,D13,D15)-MIN(D7,D11,D13,D15)</f>
        <v>9314</v>
      </c>
      <c r="E19" s="311">
        <f t="shared" si="18"/>
        <v>9381</v>
      </c>
      <c r="F19" s="311">
        <f t="shared" si="18"/>
        <v>9617</v>
      </c>
      <c r="G19" s="311">
        <f t="shared" si="18"/>
        <v>9638</v>
      </c>
      <c r="H19" s="311">
        <f t="shared" si="18"/>
        <v>9829</v>
      </c>
      <c r="I19" s="311">
        <f t="shared" si="18"/>
        <v>10547</v>
      </c>
      <c r="J19" s="311">
        <f t="shared" ref="J19:K19" si="19">MAX(J7,J11,J13,J15)-MIN(J7,J11,J13,J15)</f>
        <v>10509</v>
      </c>
      <c r="K19" s="311">
        <f t="shared" si="19"/>
        <v>10965</v>
      </c>
      <c r="L19" s="311">
        <f t="shared" ref="L19" si="20">MAX(L7,L11,L13,L15)-MIN(L7,L11,L13,L15)</f>
        <v>11442</v>
      </c>
    </row>
    <row r="20" spans="1:18">
      <c r="D20" s="313"/>
      <c r="E20" s="313"/>
      <c r="F20" s="313"/>
      <c r="G20" s="313"/>
      <c r="H20" s="313"/>
      <c r="I20" s="313"/>
      <c r="J20" s="313"/>
      <c r="K20" s="313"/>
      <c r="L20" s="313"/>
    </row>
    <row r="21" spans="1:18">
      <c r="A21" s="308" t="s">
        <v>8701</v>
      </c>
      <c r="D21" s="311">
        <f t="shared" ref="D21:I21" si="21">STDEVP(D7,D11,D13,D15)</f>
        <v>3506.3390719523973</v>
      </c>
      <c r="E21" s="311">
        <f t="shared" si="21"/>
        <v>3521.9456980481682</v>
      </c>
      <c r="F21" s="311">
        <f t="shared" si="21"/>
        <v>3608.4079851785054</v>
      </c>
      <c r="G21" s="311">
        <f t="shared" si="21"/>
        <v>3555.0992602176384</v>
      </c>
      <c r="H21" s="311">
        <f t="shared" si="21"/>
        <v>3562.4749385083401</v>
      </c>
      <c r="I21" s="311">
        <f t="shared" si="21"/>
        <v>3808.3994341455309</v>
      </c>
      <c r="J21" s="311">
        <f t="shared" ref="J21:K21" si="22">STDEVP(J7,J11,J13,J15)</f>
        <v>3792.3830568654321</v>
      </c>
      <c r="K21" s="311">
        <f t="shared" si="22"/>
        <v>3977.9110331303286</v>
      </c>
      <c r="L21" s="311">
        <f t="shared" ref="L21" si="23">STDEVP(L7,L11,L13,L15)</f>
        <v>4137.3203284251513</v>
      </c>
    </row>
    <row r="22" spans="1:18">
      <c r="D22" s="313"/>
      <c r="E22" s="313"/>
      <c r="F22" s="313"/>
      <c r="G22" s="313"/>
      <c r="H22" s="313"/>
      <c r="I22" s="313"/>
      <c r="J22" s="313"/>
      <c r="K22" s="313"/>
      <c r="L22" s="313"/>
    </row>
    <row r="23" spans="1:18">
      <c r="A23" s="317">
        <v>1</v>
      </c>
      <c r="B23" s="308" t="s">
        <v>8199</v>
      </c>
      <c r="C23" s="4" t="s">
        <v>580</v>
      </c>
      <c r="D23" s="318">
        <v>6967</v>
      </c>
      <c r="E23" s="318">
        <v>7203</v>
      </c>
      <c r="F23" s="318">
        <v>7415</v>
      </c>
      <c r="G23" s="318">
        <v>7295</v>
      </c>
      <c r="H23" s="30">
        <v>7320</v>
      </c>
      <c r="I23" s="30">
        <v>6915</v>
      </c>
      <c r="J23" s="30">
        <v>7039</v>
      </c>
      <c r="K23" s="30">
        <v>7585</v>
      </c>
      <c r="L23" s="30">
        <v>7649</v>
      </c>
      <c r="N23" s="308" t="s">
        <v>7344</v>
      </c>
      <c r="O23" s="933"/>
      <c r="P23" s="934"/>
      <c r="Q23" s="935"/>
      <c r="R23" s="4"/>
    </row>
    <row r="24" spans="1:18">
      <c r="A24" s="317">
        <v>2</v>
      </c>
      <c r="B24" s="308" t="s">
        <v>8200</v>
      </c>
      <c r="C24" s="4" t="s">
        <v>581</v>
      </c>
      <c r="D24" s="318">
        <v>6560</v>
      </c>
      <c r="E24" s="318">
        <v>6538</v>
      </c>
      <c r="F24" s="318">
        <v>6534</v>
      </c>
      <c r="G24" s="318">
        <v>6523</v>
      </c>
      <c r="H24" s="30">
        <v>6519</v>
      </c>
      <c r="I24" s="30">
        <v>6174</v>
      </c>
      <c r="J24" s="30">
        <v>6150</v>
      </c>
      <c r="K24" s="30">
        <v>6201</v>
      </c>
      <c r="L24" s="30">
        <v>6252</v>
      </c>
      <c r="N24" s="308" t="s">
        <v>7344</v>
      </c>
      <c r="O24" s="933"/>
      <c r="P24" s="934"/>
      <c r="Q24" s="935"/>
      <c r="R24" s="4"/>
    </row>
    <row r="25" spans="1:18">
      <c r="A25" s="317">
        <v>3</v>
      </c>
      <c r="B25" s="308" t="s">
        <v>8201</v>
      </c>
      <c r="C25" s="4" t="s">
        <v>582</v>
      </c>
      <c r="D25" s="318">
        <v>7144</v>
      </c>
      <c r="E25" s="318">
        <v>7142</v>
      </c>
      <c r="F25" s="318">
        <v>7476</v>
      </c>
      <c r="G25" s="318">
        <v>7694</v>
      </c>
      <c r="H25" s="30">
        <v>7808</v>
      </c>
      <c r="I25" s="30">
        <v>7358</v>
      </c>
      <c r="J25" s="30">
        <v>7631</v>
      </c>
      <c r="K25" s="30">
        <v>8005</v>
      </c>
      <c r="L25" s="30">
        <v>8190</v>
      </c>
      <c r="N25" s="308" t="s">
        <v>7344</v>
      </c>
      <c r="O25" s="933"/>
      <c r="P25" s="934"/>
      <c r="Q25" s="935"/>
      <c r="R25" s="4"/>
    </row>
    <row r="26" spans="1:18">
      <c r="A26" s="317">
        <v>4</v>
      </c>
      <c r="B26" s="308" t="s">
        <v>8202</v>
      </c>
      <c r="C26" s="4" t="s">
        <v>583</v>
      </c>
      <c r="D26" s="318">
        <v>6641</v>
      </c>
      <c r="E26" s="318">
        <v>6717</v>
      </c>
      <c r="F26" s="318">
        <v>6747</v>
      </c>
      <c r="G26" s="318">
        <v>6825</v>
      </c>
      <c r="H26" s="30">
        <v>6759</v>
      </c>
      <c r="I26" s="30">
        <v>6334</v>
      </c>
      <c r="J26" s="30">
        <v>6376</v>
      </c>
      <c r="K26" s="30">
        <v>6686</v>
      </c>
      <c r="L26" s="30">
        <v>6768</v>
      </c>
      <c r="N26" s="308" t="s">
        <v>7346</v>
      </c>
      <c r="O26" s="933"/>
      <c r="P26" s="934"/>
      <c r="Q26" s="935"/>
      <c r="R26" s="4"/>
    </row>
    <row r="27" spans="1:18">
      <c r="A27" s="317">
        <v>5</v>
      </c>
      <c r="B27" s="308" t="s">
        <v>8203</v>
      </c>
      <c r="C27" s="4" t="s">
        <v>584</v>
      </c>
      <c r="D27" s="318">
        <v>7269</v>
      </c>
      <c r="E27" s="318">
        <v>7293</v>
      </c>
      <c r="F27" s="318">
        <v>7316</v>
      </c>
      <c r="G27" s="318">
        <v>7298</v>
      </c>
      <c r="H27" s="30">
        <v>7330</v>
      </c>
      <c r="I27" s="30">
        <v>7153</v>
      </c>
      <c r="J27" s="30">
        <v>7226</v>
      </c>
      <c r="K27" s="30">
        <v>7176</v>
      </c>
      <c r="L27" s="30">
        <v>7286</v>
      </c>
      <c r="N27" s="308" t="s">
        <v>7346</v>
      </c>
      <c r="O27" s="933"/>
      <c r="P27" s="934"/>
      <c r="Q27" s="935"/>
      <c r="R27" s="4"/>
    </row>
    <row r="28" spans="1:18">
      <c r="A28" s="317">
        <v>6</v>
      </c>
      <c r="B28" s="308" t="s">
        <v>8204</v>
      </c>
      <c r="C28" s="4" t="s">
        <v>585</v>
      </c>
      <c r="D28" s="318">
        <v>6817</v>
      </c>
      <c r="E28" s="318">
        <v>6895</v>
      </c>
      <c r="F28" s="318">
        <v>6995</v>
      </c>
      <c r="G28" s="318">
        <v>6973</v>
      </c>
      <c r="H28" s="30">
        <v>7026</v>
      </c>
      <c r="I28" s="30">
        <v>6735</v>
      </c>
      <c r="J28" s="30">
        <v>6652</v>
      </c>
      <c r="K28" s="30">
        <v>6733</v>
      </c>
      <c r="L28" s="30">
        <v>6761</v>
      </c>
      <c r="N28" s="308" t="s">
        <v>7344</v>
      </c>
      <c r="O28" s="933"/>
      <c r="P28" s="934"/>
      <c r="Q28" s="935"/>
      <c r="R28" s="4"/>
    </row>
    <row r="29" spans="1:18">
      <c r="A29" s="317">
        <v>7</v>
      </c>
      <c r="B29" s="308" t="s">
        <v>8205</v>
      </c>
      <c r="C29" s="4" t="s">
        <v>586</v>
      </c>
      <c r="D29" s="318">
        <v>6439</v>
      </c>
      <c r="E29" s="318">
        <v>6593</v>
      </c>
      <c r="F29" s="318">
        <v>6578</v>
      </c>
      <c r="G29" s="318">
        <v>6516</v>
      </c>
      <c r="H29" s="30">
        <v>6313</v>
      </c>
      <c r="I29" s="30">
        <v>5678</v>
      </c>
      <c r="J29" s="30">
        <v>5598</v>
      </c>
      <c r="K29" s="30">
        <v>5462</v>
      </c>
      <c r="L29" s="30">
        <v>5424</v>
      </c>
      <c r="N29" s="308" t="s">
        <v>7344</v>
      </c>
      <c r="O29" s="933"/>
      <c r="P29" s="934"/>
      <c r="Q29" s="935"/>
      <c r="R29" s="4"/>
    </row>
    <row r="30" spans="1:18">
      <c r="A30" s="317">
        <v>8</v>
      </c>
      <c r="B30" s="308" t="s">
        <v>8206</v>
      </c>
      <c r="C30" s="4" t="s">
        <v>587</v>
      </c>
      <c r="D30" s="318">
        <v>6991</v>
      </c>
      <c r="E30" s="318">
        <v>6972</v>
      </c>
      <c r="F30" s="318">
        <v>6996</v>
      </c>
      <c r="G30" s="318">
        <v>7044</v>
      </c>
      <c r="H30" s="30">
        <v>7039</v>
      </c>
      <c r="I30" s="30">
        <v>6648</v>
      </c>
      <c r="J30" s="30">
        <v>6637</v>
      </c>
      <c r="K30" s="30">
        <v>6724</v>
      </c>
      <c r="L30" s="30">
        <v>6816</v>
      </c>
      <c r="N30" s="308" t="s">
        <v>7344</v>
      </c>
      <c r="O30" s="933"/>
      <c r="P30" s="934"/>
      <c r="Q30" s="935"/>
      <c r="R30" s="4"/>
    </row>
    <row r="31" spans="1:18">
      <c r="A31" s="317">
        <v>9</v>
      </c>
      <c r="B31" s="308" t="s">
        <v>8207</v>
      </c>
      <c r="C31" s="4" t="s">
        <v>588</v>
      </c>
      <c r="D31" s="318">
        <v>6823</v>
      </c>
      <c r="E31" s="318">
        <v>6822</v>
      </c>
      <c r="F31" s="318">
        <v>6920</v>
      </c>
      <c r="G31" s="318">
        <v>7000</v>
      </c>
      <c r="H31" s="30">
        <v>6945</v>
      </c>
      <c r="I31" s="30">
        <v>6689</v>
      </c>
      <c r="J31" s="30">
        <v>6530</v>
      </c>
      <c r="K31" s="30">
        <v>6738</v>
      </c>
      <c r="L31" s="30">
        <v>6781</v>
      </c>
      <c r="N31" s="308" t="s">
        <v>7346</v>
      </c>
      <c r="O31" s="933"/>
      <c r="P31" s="934"/>
      <c r="Q31" s="935"/>
      <c r="R31" s="4"/>
    </row>
    <row r="32" spans="1:18">
      <c r="A32" s="317">
        <v>10</v>
      </c>
      <c r="B32" s="308" t="s">
        <v>8208</v>
      </c>
      <c r="C32" s="4" t="s">
        <v>589</v>
      </c>
      <c r="D32" s="318">
        <v>7604</v>
      </c>
      <c r="E32" s="318">
        <v>7689</v>
      </c>
      <c r="F32" s="318">
        <v>7750</v>
      </c>
      <c r="G32" s="318">
        <v>7761</v>
      </c>
      <c r="H32" s="30">
        <v>7820</v>
      </c>
      <c r="I32" s="30">
        <v>7663</v>
      </c>
      <c r="J32" s="30">
        <v>7599</v>
      </c>
      <c r="K32" s="30">
        <v>7858</v>
      </c>
      <c r="L32" s="30">
        <v>7962</v>
      </c>
      <c r="N32" s="308" t="s">
        <v>7344</v>
      </c>
      <c r="O32" s="933"/>
      <c r="P32" s="934"/>
      <c r="Q32" s="935"/>
      <c r="R32" s="4"/>
    </row>
    <row r="33" spans="1:18">
      <c r="A33" s="317">
        <v>11</v>
      </c>
      <c r="B33" s="308" t="s">
        <v>8209</v>
      </c>
      <c r="C33" s="4" t="s">
        <v>590</v>
      </c>
      <c r="D33" s="318">
        <v>6339</v>
      </c>
      <c r="E33" s="318">
        <v>6328</v>
      </c>
      <c r="F33" s="318">
        <v>6355</v>
      </c>
      <c r="G33" s="318">
        <v>6298</v>
      </c>
      <c r="H33" s="30">
        <v>6407</v>
      </c>
      <c r="I33" s="30">
        <v>6218</v>
      </c>
      <c r="J33" s="30">
        <v>6013</v>
      </c>
      <c r="K33" s="30">
        <v>6052</v>
      </c>
      <c r="L33" s="30">
        <v>6164</v>
      </c>
      <c r="N33" s="308" t="s">
        <v>7344</v>
      </c>
      <c r="O33" s="933"/>
      <c r="P33" s="934"/>
      <c r="Q33" s="935"/>
      <c r="R33" s="4"/>
    </row>
    <row r="34" spans="1:18">
      <c r="A34" s="317">
        <v>12</v>
      </c>
      <c r="B34" s="308" t="s">
        <v>8210</v>
      </c>
      <c r="C34" s="4" t="s">
        <v>591</v>
      </c>
      <c r="D34" s="311">
        <v>6351</v>
      </c>
      <c r="E34" s="311">
        <v>6361</v>
      </c>
      <c r="F34" s="311">
        <v>6301</v>
      </c>
      <c r="G34" s="311">
        <v>6279</v>
      </c>
      <c r="H34" s="30">
        <v>6245</v>
      </c>
      <c r="I34" s="30">
        <v>5819</v>
      </c>
      <c r="J34" s="30">
        <v>5836</v>
      </c>
      <c r="K34" s="30">
        <v>6094</v>
      </c>
      <c r="L34" s="30">
        <v>6036</v>
      </c>
      <c r="N34" s="308" t="s">
        <v>7344</v>
      </c>
      <c r="O34" s="933"/>
      <c r="P34" s="934"/>
      <c r="Q34" s="935"/>
      <c r="R34" s="4"/>
    </row>
    <row r="35" spans="1:18">
      <c r="A35" s="317">
        <v>13</v>
      </c>
      <c r="B35" s="308" t="s">
        <v>8211</v>
      </c>
      <c r="C35" s="4" t="s">
        <v>592</v>
      </c>
      <c r="D35" s="319">
        <v>6523</v>
      </c>
      <c r="E35" s="319">
        <v>6592</v>
      </c>
      <c r="F35" s="319">
        <v>6630</v>
      </c>
      <c r="G35" s="319">
        <v>6622</v>
      </c>
      <c r="H35" s="30">
        <v>6576</v>
      </c>
      <c r="I35" s="30">
        <v>6231</v>
      </c>
      <c r="J35" s="30">
        <v>6100</v>
      </c>
      <c r="K35" s="30">
        <v>6157</v>
      </c>
      <c r="L35" s="30">
        <v>6180</v>
      </c>
      <c r="N35" s="308" t="s">
        <v>7346</v>
      </c>
      <c r="O35" s="933"/>
      <c r="P35" s="934"/>
      <c r="Q35" s="935"/>
      <c r="R35" s="4"/>
    </row>
    <row r="36" spans="1:18" ht="14.25" customHeight="1">
      <c r="A36" s="317">
        <v>14</v>
      </c>
      <c r="B36" s="308" t="s">
        <v>8212</v>
      </c>
      <c r="C36" s="4" t="s">
        <v>593</v>
      </c>
      <c r="D36" s="318">
        <v>5730</v>
      </c>
      <c r="E36" s="318">
        <v>5858</v>
      </c>
      <c r="F36" s="318">
        <v>5853</v>
      </c>
      <c r="G36" s="318">
        <v>5912</v>
      </c>
      <c r="H36" s="30">
        <v>6204</v>
      </c>
      <c r="I36" s="30">
        <v>6208</v>
      </c>
      <c r="J36" s="30">
        <v>6625</v>
      </c>
      <c r="K36" s="30">
        <v>7053</v>
      </c>
      <c r="L36" s="30">
        <v>7342</v>
      </c>
      <c r="N36" s="308" t="s">
        <v>7344</v>
      </c>
      <c r="O36" s="933"/>
      <c r="P36" s="934"/>
      <c r="Q36" s="935"/>
      <c r="R36" s="4"/>
    </row>
    <row r="37" spans="1:18">
      <c r="A37" s="317">
        <v>15</v>
      </c>
      <c r="B37" s="308" t="s">
        <v>8213</v>
      </c>
      <c r="C37" s="4" t="s">
        <v>594</v>
      </c>
      <c r="D37" s="318">
        <v>6361</v>
      </c>
      <c r="E37" s="318">
        <v>6448</v>
      </c>
      <c r="F37" s="318">
        <v>6571</v>
      </c>
      <c r="G37" s="318">
        <v>6742</v>
      </c>
      <c r="H37" s="30">
        <v>6767</v>
      </c>
      <c r="I37" s="30">
        <v>6595</v>
      </c>
      <c r="J37" s="30">
        <v>6534</v>
      </c>
      <c r="K37" s="30">
        <v>6680</v>
      </c>
      <c r="L37" s="30">
        <v>6671</v>
      </c>
      <c r="N37" s="308" t="s">
        <v>7344</v>
      </c>
      <c r="O37" s="933"/>
      <c r="P37" s="934"/>
      <c r="Q37" s="935"/>
      <c r="R37" s="4"/>
    </row>
    <row r="38" spans="1:18">
      <c r="A38" s="317">
        <v>16</v>
      </c>
      <c r="B38" s="308" t="s">
        <v>5182</v>
      </c>
      <c r="C38" s="4" t="s">
        <v>595</v>
      </c>
      <c r="D38" s="318">
        <v>6777</v>
      </c>
      <c r="E38" s="318">
        <v>6891</v>
      </c>
      <c r="F38" s="318">
        <v>6954</v>
      </c>
      <c r="G38" s="318">
        <v>6894</v>
      </c>
      <c r="H38" s="31">
        <v>6776</v>
      </c>
      <c r="I38" s="31">
        <v>6523</v>
      </c>
      <c r="J38" s="31">
        <v>6453</v>
      </c>
      <c r="K38" s="31">
        <v>6590</v>
      </c>
      <c r="L38" s="31">
        <v>6610</v>
      </c>
      <c r="N38" s="308" t="s">
        <v>7346</v>
      </c>
      <c r="O38"/>
      <c r="P38" s="936"/>
      <c r="Q38" s="929"/>
      <c r="R38" s="4"/>
    </row>
    <row r="39" spans="1:18">
      <c r="A39" s="317">
        <v>17</v>
      </c>
      <c r="B39" s="308" t="s">
        <v>5183</v>
      </c>
      <c r="C39" s="4" t="s">
        <v>596</v>
      </c>
      <c r="D39" s="318">
        <v>6725</v>
      </c>
      <c r="E39" s="318">
        <v>6873</v>
      </c>
      <c r="F39" s="318">
        <v>6928</v>
      </c>
      <c r="G39" s="318">
        <v>6906</v>
      </c>
      <c r="H39" s="31">
        <v>6846</v>
      </c>
      <c r="I39" s="31">
        <v>6411</v>
      </c>
      <c r="J39" s="31">
        <v>6487</v>
      </c>
      <c r="K39" s="31">
        <v>6783</v>
      </c>
      <c r="L39" s="31">
        <v>6993</v>
      </c>
      <c r="N39" s="308" t="s">
        <v>7346</v>
      </c>
      <c r="O39"/>
      <c r="P39" s="936"/>
      <c r="Q39" s="929"/>
      <c r="R39" s="4"/>
    </row>
    <row r="41" spans="1:18">
      <c r="A41" s="309" t="s">
        <v>6949</v>
      </c>
    </row>
    <row r="42" spans="1:18">
      <c r="A42" s="309" t="s">
        <v>6950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7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1 E5:E21 F5:F21 G5:G21 H3:H4 H5:H21 I3:I21 J3:J21 K3:K21 L3:L21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4"/>
  <sheetViews>
    <sheetView showGridLines="0" zoomScaleNormal="100" workbookViewId="0"/>
  </sheetViews>
  <sheetFormatPr defaultColWidth="10" defaultRowHeight="15"/>
  <cols>
    <col min="1" max="1" width="4.85546875" style="878" customWidth="1"/>
    <col min="2" max="2" width="35.85546875" style="878" customWidth="1"/>
    <col min="3" max="3" width="11.5703125" style="878" customWidth="1"/>
    <col min="4" max="12" width="10" style="878" customWidth="1"/>
    <col min="13" max="13" width="2.28515625" style="878" customWidth="1"/>
    <col min="14" max="14" width="25.7109375" style="878" customWidth="1"/>
    <col min="15" max="16384" width="10" style="878"/>
  </cols>
  <sheetData>
    <row r="1" spans="1:14">
      <c r="A1" s="877" t="s">
        <v>7342</v>
      </c>
      <c r="D1" s="879">
        <v>2010</v>
      </c>
      <c r="E1" s="879">
        <v>2011</v>
      </c>
      <c r="F1" s="879">
        <v>2012</v>
      </c>
      <c r="G1" s="879">
        <v>2013</v>
      </c>
      <c r="H1" s="879">
        <v>2014</v>
      </c>
      <c r="I1" s="879">
        <v>2015</v>
      </c>
      <c r="J1" s="879">
        <v>2016</v>
      </c>
      <c r="K1" s="879">
        <v>2017</v>
      </c>
      <c r="L1" s="879">
        <v>2018</v>
      </c>
    </row>
    <row r="3" spans="1:14">
      <c r="A3" s="877" t="s">
        <v>8840</v>
      </c>
      <c r="D3" s="880">
        <f t="shared" ref="D3:I3" si="0">SUM(D25:D41)</f>
        <v>153230</v>
      </c>
      <c r="E3" s="880">
        <f t="shared" si="0"/>
        <v>159670</v>
      </c>
      <c r="F3" s="880">
        <f t="shared" si="0"/>
        <v>158771</v>
      </c>
      <c r="G3" s="880">
        <f t="shared" si="0"/>
        <v>159869</v>
      </c>
      <c r="H3" s="880">
        <f t="shared" si="0"/>
        <v>159889</v>
      </c>
      <c r="I3" s="880">
        <f t="shared" si="0"/>
        <v>161168</v>
      </c>
      <c r="J3" s="880">
        <f t="shared" ref="J3:K3" si="1">SUM(J25:J41)</f>
        <v>160503</v>
      </c>
      <c r="K3" s="880">
        <f t="shared" si="1"/>
        <v>164342</v>
      </c>
      <c r="L3" s="880">
        <f t="shared" ref="L3" si="2">SUM(L25:L41)</f>
        <v>165690</v>
      </c>
    </row>
    <row r="4" spans="1:14">
      <c r="A4" s="877"/>
      <c r="D4" s="880"/>
      <c r="E4" s="880"/>
      <c r="F4" s="880"/>
      <c r="G4" s="880"/>
      <c r="H4" s="880"/>
      <c r="I4" s="880"/>
      <c r="J4" s="880"/>
      <c r="K4" s="880"/>
      <c r="L4" s="880"/>
      <c r="N4" s="881"/>
    </row>
    <row r="5" spans="1:14">
      <c r="A5" s="877" t="s">
        <v>7343</v>
      </c>
      <c r="D5" s="880">
        <f t="shared" ref="D5:I5" si="3">D3/2</f>
        <v>76615</v>
      </c>
      <c r="E5" s="880">
        <f t="shared" si="3"/>
        <v>79835</v>
      </c>
      <c r="F5" s="880">
        <f t="shared" si="3"/>
        <v>79385.5</v>
      </c>
      <c r="G5" s="880">
        <f t="shared" si="3"/>
        <v>79934.5</v>
      </c>
      <c r="H5" s="880">
        <f t="shared" si="3"/>
        <v>79944.5</v>
      </c>
      <c r="I5" s="880">
        <f t="shared" si="3"/>
        <v>80584</v>
      </c>
      <c r="J5" s="880">
        <f t="shared" ref="J5:K5" si="4">J3/2</f>
        <v>80251.5</v>
      </c>
      <c r="K5" s="880">
        <f t="shared" si="4"/>
        <v>82171</v>
      </c>
      <c r="L5" s="880">
        <f t="shared" ref="L5" si="5">L3/2</f>
        <v>82845</v>
      </c>
    </row>
    <row r="6" spans="1:14">
      <c r="D6" s="882"/>
      <c r="E6" s="882"/>
      <c r="F6" s="882"/>
      <c r="G6" s="882"/>
      <c r="H6" s="882"/>
      <c r="I6" s="882"/>
      <c r="J6" s="882"/>
      <c r="K6" s="882"/>
      <c r="L6" s="882"/>
    </row>
    <row r="7" spans="1:14">
      <c r="A7" s="877" t="s">
        <v>6986</v>
      </c>
      <c r="D7" s="880">
        <f t="shared" ref="D7:I7" si="6">SUM(D28:D31)+D34+D35+D38</f>
        <v>62005</v>
      </c>
      <c r="E7" s="880">
        <f t="shared" si="6"/>
        <v>63059</v>
      </c>
      <c r="F7" s="880">
        <f t="shared" si="6"/>
        <v>61991</v>
      </c>
      <c r="G7" s="880">
        <f t="shared" si="6"/>
        <v>62204</v>
      </c>
      <c r="H7" s="880">
        <f t="shared" si="6"/>
        <v>61972</v>
      </c>
      <c r="I7" s="880">
        <f t="shared" si="6"/>
        <v>62156</v>
      </c>
      <c r="J7" s="880">
        <f t="shared" ref="J7:K7" si="7">SUM(J28:J31)+J34+J35+J38</f>
        <v>61794</v>
      </c>
      <c r="K7" s="880">
        <f t="shared" si="7"/>
        <v>62575</v>
      </c>
      <c r="L7" s="880">
        <f t="shared" ref="L7" si="8">SUM(L28:L31)+L34+L35+L38</f>
        <v>62325</v>
      </c>
      <c r="N7" s="877" t="s">
        <v>6984</v>
      </c>
    </row>
    <row r="8" spans="1:14">
      <c r="D8" s="882"/>
      <c r="E8" s="882"/>
      <c r="F8" s="882"/>
      <c r="G8" s="882"/>
      <c r="H8" s="882"/>
      <c r="I8" s="882"/>
      <c r="J8" s="882"/>
      <c r="K8" s="882"/>
      <c r="L8" s="882"/>
    </row>
    <row r="9" spans="1:14">
      <c r="A9" s="877" t="s">
        <v>6983</v>
      </c>
      <c r="D9" s="880">
        <f>BEXLEY!D9</f>
        <v>40735</v>
      </c>
      <c r="E9" s="880">
        <f>BEXLEY!E9</f>
        <v>40089</v>
      </c>
      <c r="F9" s="880">
        <f>BEXLEY!F9</f>
        <v>40875</v>
      </c>
      <c r="G9" s="880">
        <f>BEXLEY!G9</f>
        <v>40846</v>
      </c>
      <c r="H9" s="880">
        <f>BEXLEY!H9</f>
        <v>40891</v>
      </c>
      <c r="I9" s="880">
        <f>BEXLEY!I9</f>
        <v>39908</v>
      </c>
      <c r="J9" s="880">
        <f>BEXLEY!J9</f>
        <v>37799</v>
      </c>
      <c r="K9" s="880">
        <f>BEXLEY!K9</f>
        <v>38622</v>
      </c>
      <c r="L9" s="880">
        <f>BEXLEY!L9</f>
        <v>38687</v>
      </c>
      <c r="N9" s="877" t="s">
        <v>6982</v>
      </c>
    </row>
    <row r="10" spans="1:14" ht="15.75" thickBot="1">
      <c r="D10" s="883">
        <f t="shared" ref="D10:I10" si="9">D25+D37+D39</f>
        <v>28275</v>
      </c>
      <c r="E10" s="883">
        <f t="shared" si="9"/>
        <v>29629</v>
      </c>
      <c r="F10" s="883">
        <f t="shared" si="9"/>
        <v>29446</v>
      </c>
      <c r="G10" s="883">
        <f t="shared" si="9"/>
        <v>29462</v>
      </c>
      <c r="H10" s="883">
        <f t="shared" si="9"/>
        <v>29722</v>
      </c>
      <c r="I10" s="883">
        <f t="shared" si="9"/>
        <v>29892</v>
      </c>
      <c r="J10" s="883">
        <f t="shared" ref="J10:K10" si="10">J25+J37+J39</f>
        <v>28956</v>
      </c>
      <c r="K10" s="883">
        <f t="shared" si="10"/>
        <v>29355</v>
      </c>
      <c r="L10" s="883">
        <f t="shared" ref="L10" si="11">L25+L37+L39</f>
        <v>29694</v>
      </c>
      <c r="N10" s="877" t="s">
        <v>6984</v>
      </c>
    </row>
    <row r="11" spans="1:14" ht="15.75" thickBot="1">
      <c r="D11" s="883">
        <f t="shared" ref="D11:I11" si="12">D9+D10</f>
        <v>69010</v>
      </c>
      <c r="E11" s="883">
        <f t="shared" si="12"/>
        <v>69718</v>
      </c>
      <c r="F11" s="883">
        <f t="shared" si="12"/>
        <v>70321</v>
      </c>
      <c r="G11" s="883">
        <f t="shared" si="12"/>
        <v>70308</v>
      </c>
      <c r="H11" s="883">
        <f t="shared" si="12"/>
        <v>70613</v>
      </c>
      <c r="I11" s="883">
        <f t="shared" si="12"/>
        <v>69800</v>
      </c>
      <c r="J11" s="883">
        <f t="shared" ref="J11:K11" si="13">J9+J10</f>
        <v>66755</v>
      </c>
      <c r="K11" s="883">
        <f t="shared" si="13"/>
        <v>67977</v>
      </c>
      <c r="L11" s="883">
        <f t="shared" ref="L11" si="14">L9+L10</f>
        <v>68381</v>
      </c>
    </row>
    <row r="12" spans="1:14">
      <c r="D12" s="882"/>
      <c r="E12" s="882"/>
      <c r="F12" s="882"/>
      <c r="G12" s="882"/>
      <c r="H12" s="882"/>
      <c r="I12" s="882"/>
      <c r="J12" s="882"/>
      <c r="K12" s="882"/>
      <c r="L12" s="882"/>
    </row>
    <row r="13" spans="1:14">
      <c r="A13" s="877" t="s">
        <v>6987</v>
      </c>
      <c r="D13" s="880">
        <f t="shared" ref="D13:I13" si="15">D26+D27+D32+D33+D36+D40+D41</f>
        <v>62950</v>
      </c>
      <c r="E13" s="880">
        <f t="shared" si="15"/>
        <v>66982</v>
      </c>
      <c r="F13" s="880">
        <f t="shared" si="15"/>
        <v>67334</v>
      </c>
      <c r="G13" s="880">
        <f t="shared" si="15"/>
        <v>68203</v>
      </c>
      <c r="H13" s="880">
        <f t="shared" si="15"/>
        <v>68195</v>
      </c>
      <c r="I13" s="880">
        <f t="shared" si="15"/>
        <v>69120</v>
      </c>
      <c r="J13" s="880">
        <f t="shared" ref="J13:K13" si="16">J26+J27+J32+J33+J36+J40+J41</f>
        <v>69753</v>
      </c>
      <c r="K13" s="880">
        <f t="shared" si="16"/>
        <v>72412</v>
      </c>
      <c r="L13" s="880">
        <f t="shared" ref="L13" si="17">L26+L27+L32+L33+L36+L40+L41</f>
        <v>73671</v>
      </c>
      <c r="N13" s="877" t="s">
        <v>6984</v>
      </c>
    </row>
    <row r="14" spans="1:14">
      <c r="A14" s="877"/>
      <c r="D14" s="880"/>
      <c r="E14" s="880"/>
      <c r="F14" s="880"/>
      <c r="G14" s="880"/>
      <c r="H14" s="880"/>
      <c r="I14" s="880"/>
      <c r="J14" s="880"/>
      <c r="K14" s="880"/>
      <c r="L14" s="880"/>
      <c r="N14" s="877"/>
    </row>
    <row r="15" spans="1:14">
      <c r="A15" s="877" t="s">
        <v>6278</v>
      </c>
      <c r="D15" s="880">
        <f>BEXLEY!D7</f>
        <v>64791</v>
      </c>
      <c r="E15" s="880">
        <f>BEXLEY!E7</f>
        <v>64144</v>
      </c>
      <c r="F15" s="880">
        <f>BEXLEY!F7</f>
        <v>65252</v>
      </c>
      <c r="G15" s="880">
        <f>BEXLEY!G7</f>
        <v>65515</v>
      </c>
      <c r="H15" s="880">
        <f>BEXLEY!H7</f>
        <v>65942</v>
      </c>
      <c r="I15" s="880">
        <f>BEXLEY!I7</f>
        <v>65029</v>
      </c>
      <c r="J15" s="880">
        <f>BEXLEY!J7</f>
        <v>63243</v>
      </c>
      <c r="K15" s="880">
        <f>BEXLEY!K7</f>
        <v>64731</v>
      </c>
      <c r="L15" s="880">
        <f>BEXLEY!L7</f>
        <v>65015</v>
      </c>
      <c r="N15" s="877" t="s">
        <v>6982</v>
      </c>
    </row>
    <row r="16" spans="1:14">
      <c r="D16" s="882"/>
      <c r="E16" s="882"/>
      <c r="F16" s="882"/>
      <c r="G16" s="882"/>
      <c r="H16" s="882"/>
      <c r="I16" s="882"/>
      <c r="J16" s="882"/>
      <c r="K16" s="882"/>
      <c r="L16" s="882"/>
    </row>
    <row r="17" spans="1:19">
      <c r="A17" s="877" t="s">
        <v>6985</v>
      </c>
      <c r="D17" s="880">
        <f>BEXLEY!D13</f>
        <v>65379</v>
      </c>
      <c r="E17" s="880">
        <f>BEXLEY!E13</f>
        <v>65161</v>
      </c>
      <c r="F17" s="880">
        <f>BEXLEY!F13</f>
        <v>66371</v>
      </c>
      <c r="G17" s="880">
        <f>BEXLEY!G13</f>
        <v>66801</v>
      </c>
      <c r="H17" s="880">
        <f>BEXLEY!H13</f>
        <v>67254</v>
      </c>
      <c r="I17" s="880">
        <f>BEXLEY!I13</f>
        <v>66142</v>
      </c>
      <c r="J17" s="880">
        <f>BEXLEY!J13</f>
        <v>64196</v>
      </c>
      <c r="K17" s="880">
        <f>BEXLEY!K13</f>
        <v>65285</v>
      </c>
      <c r="L17" s="880">
        <f>BEXLEY!L13</f>
        <v>65559</v>
      </c>
      <c r="N17" s="877" t="s">
        <v>6982</v>
      </c>
    </row>
    <row r="18" spans="1:19">
      <c r="D18" s="882"/>
      <c r="E18" s="882"/>
      <c r="F18" s="882"/>
      <c r="G18" s="882"/>
      <c r="H18" s="882"/>
      <c r="I18" s="882"/>
      <c r="J18" s="882"/>
      <c r="K18" s="882"/>
      <c r="L18" s="882"/>
    </row>
    <row r="19" spans="1:19">
      <c r="A19" s="877" t="s">
        <v>8697</v>
      </c>
      <c r="D19" s="880">
        <f t="shared" ref="D19:I19" si="18">D7+D10+D13</f>
        <v>153230</v>
      </c>
      <c r="E19" s="880">
        <f t="shared" si="18"/>
        <v>159670</v>
      </c>
      <c r="F19" s="880">
        <f t="shared" si="18"/>
        <v>158771</v>
      </c>
      <c r="G19" s="880">
        <f t="shared" si="18"/>
        <v>159869</v>
      </c>
      <c r="H19" s="880">
        <f t="shared" si="18"/>
        <v>159889</v>
      </c>
      <c r="I19" s="880">
        <f t="shared" si="18"/>
        <v>161168</v>
      </c>
      <c r="J19" s="880">
        <f t="shared" ref="J19:K19" si="19">J7+J10+J13</f>
        <v>160503</v>
      </c>
      <c r="K19" s="880">
        <f t="shared" si="19"/>
        <v>164342</v>
      </c>
      <c r="L19" s="880">
        <f t="shared" ref="L19" si="20">L7+L10+L13</f>
        <v>165690</v>
      </c>
    </row>
    <row r="20" spans="1:19">
      <c r="D20" s="882"/>
      <c r="E20" s="882"/>
      <c r="F20" s="882"/>
      <c r="G20" s="882"/>
      <c r="H20" s="882"/>
      <c r="I20" s="882"/>
      <c r="J20" s="882"/>
      <c r="K20" s="882"/>
      <c r="L20" s="882"/>
    </row>
    <row r="21" spans="1:19">
      <c r="A21" s="877" t="s">
        <v>8698</v>
      </c>
      <c r="D21" s="880">
        <f t="shared" ref="D21:I21" si="21">MAX(D7,D11,D13,D15,D17)-MIN(D7,D11,D13,D15,D17)</f>
        <v>7005</v>
      </c>
      <c r="E21" s="880">
        <f t="shared" si="21"/>
        <v>6659</v>
      </c>
      <c r="F21" s="880">
        <f t="shared" si="21"/>
        <v>8330</v>
      </c>
      <c r="G21" s="880">
        <f t="shared" si="21"/>
        <v>8104</v>
      </c>
      <c r="H21" s="880">
        <f t="shared" si="21"/>
        <v>8641</v>
      </c>
      <c r="I21" s="880">
        <f t="shared" si="21"/>
        <v>7644</v>
      </c>
      <c r="J21" s="880">
        <f t="shared" ref="J21:K21" si="22">MAX(J7,J11,J13,J15,J17)-MIN(J7,J11,J13,J15,J17)</f>
        <v>7959</v>
      </c>
      <c r="K21" s="880">
        <f t="shared" si="22"/>
        <v>9837</v>
      </c>
      <c r="L21" s="880">
        <f t="shared" ref="L21" si="23">MAX(L7,L11,L13,L15,L17)-MIN(L7,L11,L13,L15,L17)</f>
        <v>11346</v>
      </c>
    </row>
    <row r="22" spans="1:19">
      <c r="D22" s="882"/>
      <c r="E22" s="882"/>
      <c r="F22" s="882"/>
      <c r="G22" s="882"/>
      <c r="H22" s="882"/>
      <c r="I22" s="882"/>
      <c r="J22" s="882"/>
      <c r="K22" s="882"/>
      <c r="L22" s="882"/>
    </row>
    <row r="23" spans="1:19">
      <c r="A23" s="877" t="s">
        <v>8701</v>
      </c>
      <c r="D23" s="880">
        <f t="shared" ref="D23:I23" si="24">STDEVP(D7,D11,D13,D15,D17)</f>
        <v>2420.3430335388412</v>
      </c>
      <c r="E23" s="880">
        <f t="shared" si="24"/>
        <v>2341.3998718715261</v>
      </c>
      <c r="F23" s="880">
        <f t="shared" si="24"/>
        <v>2716.5327459833793</v>
      </c>
      <c r="G23" s="880">
        <f t="shared" si="24"/>
        <v>2715.1840747912465</v>
      </c>
      <c r="H23" s="880">
        <f t="shared" si="24"/>
        <v>2854.3560674870259</v>
      </c>
      <c r="I23" s="880">
        <f t="shared" si="24"/>
        <v>2789.4063597833856</v>
      </c>
      <c r="J23" s="880">
        <f t="shared" ref="J23:K23" si="25">STDEVP(J7,J11,J13,J15,J17)</f>
        <v>2813.2941118908989</v>
      </c>
      <c r="K23" s="880">
        <f t="shared" si="25"/>
        <v>3379.3018213826358</v>
      </c>
      <c r="L23" s="880">
        <f t="shared" ref="L23" si="26">STDEVP(L7,L11,L13,L15,L17)</f>
        <v>3854.380697336474</v>
      </c>
    </row>
    <row r="24" spans="1:19">
      <c r="D24" s="882"/>
      <c r="E24" s="882"/>
      <c r="F24" s="882"/>
      <c r="G24" s="882"/>
      <c r="H24" s="882"/>
      <c r="I24" s="882"/>
      <c r="J24" s="882"/>
      <c r="K24" s="882"/>
      <c r="L24" s="882"/>
    </row>
    <row r="25" spans="1:19">
      <c r="A25" s="877" t="s">
        <v>6957</v>
      </c>
      <c r="B25" s="877" t="s">
        <v>8841</v>
      </c>
      <c r="C25" s="4" t="s">
        <v>747</v>
      </c>
      <c r="D25" s="884">
        <v>9299</v>
      </c>
      <c r="E25" s="884">
        <v>9763</v>
      </c>
      <c r="F25" s="884">
        <v>9775</v>
      </c>
      <c r="G25" s="884">
        <v>9771</v>
      </c>
      <c r="H25" s="48">
        <v>9764</v>
      </c>
      <c r="I25" s="910">
        <v>9789</v>
      </c>
      <c r="J25" s="48">
        <v>9505</v>
      </c>
      <c r="K25" s="48">
        <v>9547</v>
      </c>
      <c r="L25" s="48">
        <v>9605</v>
      </c>
      <c r="N25" s="877" t="s">
        <v>6983</v>
      </c>
      <c r="Q25" s="4"/>
      <c r="S25" s="4"/>
    </row>
    <row r="26" spans="1:19">
      <c r="A26" s="877" t="s">
        <v>6959</v>
      </c>
      <c r="B26" s="877" t="s">
        <v>8842</v>
      </c>
      <c r="C26" s="4" t="s">
        <v>748</v>
      </c>
      <c r="D26" s="884">
        <v>8522</v>
      </c>
      <c r="E26" s="884">
        <v>9135</v>
      </c>
      <c r="F26" s="884">
        <v>9111</v>
      </c>
      <c r="G26" s="884">
        <v>9118</v>
      </c>
      <c r="H26" s="48">
        <v>9096</v>
      </c>
      <c r="I26" s="910">
        <v>9101</v>
      </c>
      <c r="J26" s="48">
        <v>9103</v>
      </c>
      <c r="K26" s="48">
        <v>9152</v>
      </c>
      <c r="L26" s="48">
        <v>9072</v>
      </c>
      <c r="N26" s="877" t="s">
        <v>6987</v>
      </c>
      <c r="Q26" s="4"/>
      <c r="S26" s="4"/>
    </row>
    <row r="27" spans="1:19">
      <c r="A27" s="877" t="s">
        <v>6961</v>
      </c>
      <c r="B27" s="877" t="s">
        <v>8843</v>
      </c>
      <c r="C27" s="4" t="s">
        <v>749</v>
      </c>
      <c r="D27" s="884">
        <v>8918</v>
      </c>
      <c r="E27" s="884">
        <v>9194</v>
      </c>
      <c r="F27" s="884">
        <v>9105</v>
      </c>
      <c r="G27" s="884">
        <v>9177</v>
      </c>
      <c r="H27" s="48">
        <v>9262</v>
      </c>
      <c r="I27" s="910">
        <v>9330</v>
      </c>
      <c r="J27" s="48">
        <v>9235</v>
      </c>
      <c r="K27" s="48">
        <v>9313</v>
      </c>
      <c r="L27" s="48">
        <v>9361</v>
      </c>
      <c r="N27" s="877" t="s">
        <v>6987</v>
      </c>
      <c r="Q27" s="4"/>
      <c r="S27" s="4"/>
    </row>
    <row r="28" spans="1:19">
      <c r="A28" s="877" t="s">
        <v>6963</v>
      </c>
      <c r="B28" s="877" t="s">
        <v>8844</v>
      </c>
      <c r="C28" s="4" t="s">
        <v>750</v>
      </c>
      <c r="D28" s="884">
        <v>9423</v>
      </c>
      <c r="E28" s="884">
        <v>9595</v>
      </c>
      <c r="F28" s="884">
        <v>9478</v>
      </c>
      <c r="G28" s="884">
        <v>9396</v>
      </c>
      <c r="H28" s="48">
        <v>9388</v>
      </c>
      <c r="I28" s="910">
        <v>9416</v>
      </c>
      <c r="J28" s="48">
        <v>9407</v>
      </c>
      <c r="K28" s="48">
        <v>9354</v>
      </c>
      <c r="L28" s="48">
        <v>9336</v>
      </c>
      <c r="N28" s="877" t="s">
        <v>6986</v>
      </c>
      <c r="Q28" s="4"/>
      <c r="S28" s="4"/>
    </row>
    <row r="29" spans="1:19">
      <c r="A29" s="877" t="s">
        <v>6965</v>
      </c>
      <c r="B29" s="877" t="s">
        <v>8845</v>
      </c>
      <c r="C29" s="4" t="s">
        <v>751</v>
      </c>
      <c r="D29" s="884">
        <v>9208</v>
      </c>
      <c r="E29" s="884">
        <v>9330</v>
      </c>
      <c r="F29" s="884">
        <v>9267</v>
      </c>
      <c r="G29" s="884">
        <v>9386</v>
      </c>
      <c r="H29" s="48">
        <v>9349</v>
      </c>
      <c r="I29" s="910">
        <v>9340</v>
      </c>
      <c r="J29" s="48">
        <v>9306</v>
      </c>
      <c r="K29" s="48">
        <v>9402</v>
      </c>
      <c r="L29" s="48">
        <v>9294</v>
      </c>
      <c r="N29" s="877" t="s">
        <v>6986</v>
      </c>
      <c r="Q29" s="4"/>
      <c r="S29" s="4"/>
    </row>
    <row r="30" spans="1:19">
      <c r="A30" s="877" t="s">
        <v>6997</v>
      </c>
      <c r="B30" s="877" t="s">
        <v>6150</v>
      </c>
      <c r="C30" s="4" t="s">
        <v>752</v>
      </c>
      <c r="D30" s="884">
        <v>8849</v>
      </c>
      <c r="E30" s="884">
        <v>9191</v>
      </c>
      <c r="F30" s="884">
        <v>9062</v>
      </c>
      <c r="G30" s="884">
        <v>8927</v>
      </c>
      <c r="H30" s="48">
        <v>8327</v>
      </c>
      <c r="I30" s="910">
        <v>8251</v>
      </c>
      <c r="J30" s="48">
        <v>8252</v>
      </c>
      <c r="K30" s="48">
        <v>8415</v>
      </c>
      <c r="L30" s="48">
        <v>8141</v>
      </c>
      <c r="N30" s="877" t="s">
        <v>6986</v>
      </c>
      <c r="Q30" s="4"/>
      <c r="S30" s="4"/>
    </row>
    <row r="31" spans="1:19">
      <c r="A31" s="877" t="s">
        <v>6999</v>
      </c>
      <c r="B31" s="877" t="s">
        <v>6151</v>
      </c>
      <c r="C31" s="4" t="s">
        <v>753</v>
      </c>
      <c r="D31" s="880">
        <v>7304</v>
      </c>
      <c r="E31" s="880">
        <v>7082</v>
      </c>
      <c r="F31" s="880">
        <v>6754</v>
      </c>
      <c r="G31" s="880">
        <v>7037</v>
      </c>
      <c r="H31" s="48">
        <v>7408</v>
      </c>
      <c r="I31" s="910">
        <v>7550</v>
      </c>
      <c r="J31" s="48">
        <v>7750</v>
      </c>
      <c r="K31" s="48">
        <v>8009</v>
      </c>
      <c r="L31" s="48">
        <v>8161</v>
      </c>
      <c r="N31" s="877" t="s">
        <v>6986</v>
      </c>
      <c r="Q31" s="4"/>
      <c r="S31" s="4"/>
    </row>
    <row r="32" spans="1:19">
      <c r="A32" s="877" t="s">
        <v>7001</v>
      </c>
      <c r="B32" s="877" t="s">
        <v>6152</v>
      </c>
      <c r="C32" s="4" t="s">
        <v>754</v>
      </c>
      <c r="D32" s="885">
        <v>9600</v>
      </c>
      <c r="E32" s="885">
        <v>10054</v>
      </c>
      <c r="F32" s="885">
        <v>9947</v>
      </c>
      <c r="G32" s="885">
        <v>9956</v>
      </c>
      <c r="H32" s="48">
        <v>9937</v>
      </c>
      <c r="I32" s="910">
        <v>10023</v>
      </c>
      <c r="J32" s="48">
        <v>9788</v>
      </c>
      <c r="K32" s="48">
        <v>9787</v>
      </c>
      <c r="L32" s="48">
        <v>9805</v>
      </c>
      <c r="N32" s="877" t="s">
        <v>6987</v>
      </c>
      <c r="Q32" s="4"/>
      <c r="S32" s="4"/>
    </row>
    <row r="33" spans="1:19">
      <c r="A33" s="877" t="s">
        <v>7003</v>
      </c>
      <c r="B33" s="877" t="s">
        <v>6153</v>
      </c>
      <c r="C33" s="4" t="s">
        <v>755</v>
      </c>
      <c r="D33" s="884">
        <v>9316</v>
      </c>
      <c r="E33" s="884">
        <v>9992</v>
      </c>
      <c r="F33" s="884">
        <v>9936</v>
      </c>
      <c r="G33" s="884">
        <v>10494</v>
      </c>
      <c r="H33" s="48">
        <v>10530</v>
      </c>
      <c r="I33" s="910">
        <v>11017</v>
      </c>
      <c r="J33" s="48">
        <v>11499</v>
      </c>
      <c r="K33" s="48">
        <v>12111</v>
      </c>
      <c r="L33" s="48">
        <v>12004</v>
      </c>
      <c r="N33" s="877" t="s">
        <v>6987</v>
      </c>
      <c r="Q33" s="4"/>
      <c r="S33" s="4"/>
    </row>
    <row r="34" spans="1:19">
      <c r="A34" s="877" t="s">
        <v>7005</v>
      </c>
      <c r="B34" s="877" t="s">
        <v>6154</v>
      </c>
      <c r="C34" s="4" t="s">
        <v>756</v>
      </c>
      <c r="D34" s="880">
        <v>9137</v>
      </c>
      <c r="E34" s="880">
        <v>9408</v>
      </c>
      <c r="F34" s="880">
        <v>9263</v>
      </c>
      <c r="G34" s="880">
        <v>9301</v>
      </c>
      <c r="H34" s="48">
        <v>9273</v>
      </c>
      <c r="I34" s="910">
        <v>9348</v>
      </c>
      <c r="J34" s="48">
        <v>9180</v>
      </c>
      <c r="K34" s="48">
        <v>9277</v>
      </c>
      <c r="L34" s="48">
        <v>9300</v>
      </c>
      <c r="N34" s="877" t="s">
        <v>6986</v>
      </c>
      <c r="Q34" s="4"/>
      <c r="S34" s="4"/>
    </row>
    <row r="35" spans="1:19">
      <c r="A35" s="877" t="s">
        <v>7007</v>
      </c>
      <c r="B35" s="877" t="s">
        <v>6155</v>
      </c>
      <c r="C35" s="4" t="s">
        <v>757</v>
      </c>
      <c r="D35" s="880">
        <v>8943</v>
      </c>
      <c r="E35" s="880">
        <v>9219</v>
      </c>
      <c r="F35" s="880">
        <v>9068</v>
      </c>
      <c r="G35" s="880">
        <v>9082</v>
      </c>
      <c r="H35" s="48">
        <v>9088</v>
      </c>
      <c r="I35" s="910">
        <v>9080</v>
      </c>
      <c r="J35" s="48">
        <v>8920</v>
      </c>
      <c r="K35" s="48">
        <v>9037</v>
      </c>
      <c r="L35" s="48">
        <v>9056</v>
      </c>
      <c r="N35" s="877" t="s">
        <v>6986</v>
      </c>
      <c r="Q35" s="4"/>
      <c r="S35" s="4"/>
    </row>
    <row r="36" spans="1:19">
      <c r="A36" s="877" t="s">
        <v>7009</v>
      </c>
      <c r="B36" s="877" t="s">
        <v>6156</v>
      </c>
      <c r="C36" s="4" t="s">
        <v>758</v>
      </c>
      <c r="D36" s="884">
        <v>8334</v>
      </c>
      <c r="E36" s="884">
        <v>8837</v>
      </c>
      <c r="F36" s="884">
        <v>9149</v>
      </c>
      <c r="G36" s="884">
        <v>9186</v>
      </c>
      <c r="H36" s="48">
        <v>9219</v>
      </c>
      <c r="I36" s="910">
        <v>9397</v>
      </c>
      <c r="J36" s="48">
        <v>10036</v>
      </c>
      <c r="K36" s="48">
        <v>11354</v>
      </c>
      <c r="L36" s="48">
        <v>12266</v>
      </c>
      <c r="N36" s="877" t="s">
        <v>6987</v>
      </c>
      <c r="Q36" s="4"/>
      <c r="S36" s="4"/>
    </row>
    <row r="37" spans="1:19">
      <c r="A37" s="877" t="s">
        <v>7011</v>
      </c>
      <c r="B37" s="877" t="s">
        <v>6157</v>
      </c>
      <c r="C37" s="4" t="s">
        <v>759</v>
      </c>
      <c r="D37" s="885">
        <v>9219</v>
      </c>
      <c r="E37" s="885">
        <v>9467</v>
      </c>
      <c r="F37" s="885">
        <v>9422</v>
      </c>
      <c r="G37" s="885">
        <v>9419</v>
      </c>
      <c r="H37" s="48">
        <v>9570</v>
      </c>
      <c r="I37" s="910">
        <v>9677</v>
      </c>
      <c r="J37" s="48">
        <v>9485</v>
      </c>
      <c r="K37" s="48">
        <v>9700</v>
      </c>
      <c r="L37" s="48">
        <v>9806</v>
      </c>
      <c r="N37" s="877" t="s">
        <v>6983</v>
      </c>
      <c r="Q37" s="4"/>
      <c r="S37" s="4"/>
    </row>
    <row r="38" spans="1:19">
      <c r="A38" s="877" t="s">
        <v>7013</v>
      </c>
      <c r="B38" s="877" t="s">
        <v>6158</v>
      </c>
      <c r="C38" s="4" t="s">
        <v>760</v>
      </c>
      <c r="D38" s="885">
        <v>9141</v>
      </c>
      <c r="E38" s="885">
        <v>9234</v>
      </c>
      <c r="F38" s="885">
        <v>9099</v>
      </c>
      <c r="G38" s="885">
        <v>9075</v>
      </c>
      <c r="H38" s="48">
        <v>9139</v>
      </c>
      <c r="I38" s="910">
        <v>9171</v>
      </c>
      <c r="J38" s="48">
        <v>8979</v>
      </c>
      <c r="K38" s="48">
        <v>9081</v>
      </c>
      <c r="L38" s="48">
        <v>9037</v>
      </c>
      <c r="N38" s="877" t="s">
        <v>6986</v>
      </c>
      <c r="Q38" s="4"/>
      <c r="S38" s="4"/>
    </row>
    <row r="39" spans="1:19">
      <c r="A39" s="877" t="s">
        <v>7015</v>
      </c>
      <c r="B39" s="877" t="s">
        <v>6159</v>
      </c>
      <c r="C39" s="4" t="s">
        <v>761</v>
      </c>
      <c r="D39" s="884">
        <v>9757</v>
      </c>
      <c r="E39" s="884">
        <v>10399</v>
      </c>
      <c r="F39" s="884">
        <v>10249</v>
      </c>
      <c r="G39" s="884">
        <v>10272</v>
      </c>
      <c r="H39" s="48">
        <v>10388</v>
      </c>
      <c r="I39" s="910">
        <v>10426</v>
      </c>
      <c r="J39" s="48">
        <v>9966</v>
      </c>
      <c r="K39" s="48">
        <v>10108</v>
      </c>
      <c r="L39" s="48">
        <v>10283</v>
      </c>
      <c r="N39" s="877" t="s">
        <v>6983</v>
      </c>
      <c r="Q39" s="4"/>
      <c r="S39" s="4"/>
    </row>
    <row r="40" spans="1:19">
      <c r="A40" s="877" t="s">
        <v>7017</v>
      </c>
      <c r="B40" s="877" t="s">
        <v>6160</v>
      </c>
      <c r="C40" s="4" t="s">
        <v>762</v>
      </c>
      <c r="D40" s="885">
        <v>8749</v>
      </c>
      <c r="E40" s="885">
        <v>9248</v>
      </c>
      <c r="F40" s="885">
        <v>9431</v>
      </c>
      <c r="G40" s="885">
        <v>9371</v>
      </c>
      <c r="H40" s="48">
        <v>9238</v>
      </c>
      <c r="I40" s="910">
        <v>9341</v>
      </c>
      <c r="J40" s="48">
        <v>9328</v>
      </c>
      <c r="K40" s="48">
        <v>9510</v>
      </c>
      <c r="L40" s="48">
        <v>9709</v>
      </c>
      <c r="N40" s="877" t="s">
        <v>6987</v>
      </c>
      <c r="Q40" s="4"/>
      <c r="S40" s="4"/>
    </row>
    <row r="41" spans="1:19">
      <c r="A41" s="877" t="s">
        <v>7019</v>
      </c>
      <c r="B41" s="877" t="s">
        <v>6161</v>
      </c>
      <c r="C41" s="4" t="s">
        <v>763</v>
      </c>
      <c r="D41" s="884">
        <v>9511</v>
      </c>
      <c r="E41" s="884">
        <v>10522</v>
      </c>
      <c r="F41" s="884">
        <v>10655</v>
      </c>
      <c r="G41" s="884">
        <v>10901</v>
      </c>
      <c r="H41" s="48">
        <v>10913</v>
      </c>
      <c r="I41" s="910">
        <v>10911</v>
      </c>
      <c r="J41" s="48">
        <v>10764</v>
      </c>
      <c r="K41" s="48">
        <v>11185</v>
      </c>
      <c r="L41" s="48">
        <v>11454</v>
      </c>
      <c r="N41" s="877" t="s">
        <v>6987</v>
      </c>
      <c r="Q41" s="4"/>
      <c r="S41" s="4"/>
    </row>
    <row r="42" spans="1:19">
      <c r="A42" s="877"/>
      <c r="B42" s="877"/>
      <c r="C42" s="877"/>
      <c r="D42" s="880"/>
      <c r="E42" s="880"/>
      <c r="F42" s="880"/>
      <c r="G42" s="880"/>
      <c r="H42" s="72"/>
      <c r="I42" s="72"/>
      <c r="J42" s="72"/>
      <c r="K42" s="72"/>
      <c r="L42" s="72"/>
      <c r="N42" s="877"/>
    </row>
    <row r="43" spans="1:19">
      <c r="A43" s="878" t="s">
        <v>6162</v>
      </c>
    </row>
    <row r="44" spans="1:19">
      <c r="A44" s="878" t="s">
        <v>6163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&amp;C&amp;8&amp;P of &amp;N</oddFooter>
  </headerFooter>
  <ignoredErrors>
    <ignoredError sqref="D3:D4 D5:D23 E3:E4 F3:F4 G3:G4 E5:E23 F5:F23 G5:G23 H3:H4 H5:H23 I3:I23 J3:J23 K3:K23 L3:L23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5"/>
  <sheetViews>
    <sheetView showGridLines="0" zoomScaleNormal="100" workbookViewId="0"/>
  </sheetViews>
  <sheetFormatPr defaultColWidth="12.5703125" defaultRowHeight="15"/>
  <cols>
    <col min="1" max="1" width="4.85546875" style="3" customWidth="1"/>
    <col min="2" max="2" width="35.140625" style="3" customWidth="1"/>
    <col min="3" max="3" width="11.5703125" style="3" customWidth="1"/>
    <col min="4" max="12" width="10" style="3" customWidth="1"/>
    <col min="13" max="13" width="2.28515625" style="3" customWidth="1"/>
    <col min="14" max="14" width="38.140625" style="3" customWidth="1"/>
    <col min="15" max="16384" width="12.5703125" style="3"/>
  </cols>
  <sheetData>
    <row r="1" spans="1:14">
      <c r="A1" s="2" t="s">
        <v>7342</v>
      </c>
      <c r="D1" s="9">
        <v>2010</v>
      </c>
      <c r="E1" s="9">
        <v>2011</v>
      </c>
      <c r="F1" s="9">
        <v>2012</v>
      </c>
      <c r="G1" s="9">
        <v>2013</v>
      </c>
      <c r="H1" s="9">
        <v>2014</v>
      </c>
      <c r="I1" s="9">
        <v>2015</v>
      </c>
      <c r="J1" s="9">
        <v>2016</v>
      </c>
      <c r="K1" s="9">
        <v>2017</v>
      </c>
      <c r="L1" s="9">
        <v>2018</v>
      </c>
    </row>
    <row r="3" spans="1:14">
      <c r="A3" s="2" t="s">
        <v>5675</v>
      </c>
      <c r="D3" s="5">
        <f t="shared" ref="D3:H3" si="0">SUM(D17:D23)+SUM(D25:D33)+D35+D36+SUM(D38:D43)</f>
        <v>143600</v>
      </c>
      <c r="E3" s="5">
        <f t="shared" si="0"/>
        <v>148558</v>
      </c>
      <c r="F3" s="5">
        <f t="shared" si="0"/>
        <v>150032</v>
      </c>
      <c r="G3" s="5">
        <f t="shared" si="0"/>
        <v>153853</v>
      </c>
      <c r="H3" s="5">
        <f t="shared" si="0"/>
        <v>155431</v>
      </c>
      <c r="I3" s="5">
        <f>SUM(I17:I23)+SUM(I25:I33)+I35+I36+SUM(I38:I43)</f>
        <v>156155</v>
      </c>
      <c r="J3" s="5">
        <f>SUM(J17:J23)+SUM(J25:J33)+J35+J36+SUM(J38:J43)</f>
        <v>148344</v>
      </c>
      <c r="K3" s="5">
        <f>SUM(K17:K23)+SUM(K25:K33)+K35+K36+SUM(K38:K43)</f>
        <v>153283</v>
      </c>
      <c r="L3" s="5">
        <f>SUM(L17:L23)+SUM(L25:L33)+L35+L36+SUM(L38:L43)</f>
        <v>158451</v>
      </c>
    </row>
    <row r="4" spans="1:14">
      <c r="A4" s="2"/>
      <c r="D4" s="5"/>
      <c r="E4" s="5"/>
      <c r="F4" s="5"/>
      <c r="G4" s="5"/>
      <c r="H4" s="5"/>
      <c r="I4" s="5"/>
      <c r="J4" s="5"/>
      <c r="K4" s="5"/>
      <c r="L4" s="5"/>
      <c r="N4" s="10"/>
    </row>
    <row r="5" spans="1:14">
      <c r="A5" s="2" t="s">
        <v>7343</v>
      </c>
      <c r="D5" s="5">
        <f t="shared" ref="D5:I5" si="1">D3/2</f>
        <v>71800</v>
      </c>
      <c r="E5" s="5">
        <f t="shared" si="1"/>
        <v>74279</v>
      </c>
      <c r="F5" s="5">
        <f t="shared" si="1"/>
        <v>75016</v>
      </c>
      <c r="G5" s="5">
        <f t="shared" si="1"/>
        <v>76926.5</v>
      </c>
      <c r="H5" s="5">
        <f t="shared" si="1"/>
        <v>77715.5</v>
      </c>
      <c r="I5" s="5">
        <f t="shared" si="1"/>
        <v>78077.5</v>
      </c>
      <c r="J5" s="5">
        <f t="shared" ref="J5:K5" si="2">J3/2</f>
        <v>74172</v>
      </c>
      <c r="K5" s="5">
        <f t="shared" si="2"/>
        <v>76641.5</v>
      </c>
      <c r="L5" s="5">
        <f t="shared" ref="L5" si="3">L3/2</f>
        <v>79225.5</v>
      </c>
    </row>
    <row r="6" spans="1:14">
      <c r="D6" s="8"/>
      <c r="E6" s="8"/>
      <c r="F6" s="8"/>
      <c r="G6" s="8"/>
      <c r="H6" s="8"/>
      <c r="I6" s="8"/>
      <c r="J6" s="8"/>
      <c r="K6" s="8"/>
      <c r="L6" s="8"/>
    </row>
    <row r="7" spans="1:14">
      <c r="A7" s="2" t="s">
        <v>5676</v>
      </c>
      <c r="D7" s="5">
        <f t="shared" ref="D7:H7" si="4">SUM(D17:D20)+D22+D25+D32+D35+SUM(D38:D41)+D43</f>
        <v>72355</v>
      </c>
      <c r="E7" s="5">
        <f t="shared" si="4"/>
        <v>74780</v>
      </c>
      <c r="F7" s="5">
        <f t="shared" si="4"/>
        <v>76077</v>
      </c>
      <c r="G7" s="5">
        <f t="shared" si="4"/>
        <v>77972</v>
      </c>
      <c r="H7" s="5">
        <f t="shared" si="4"/>
        <v>78823</v>
      </c>
      <c r="I7" s="5">
        <f>SUM(I17:I20)+I22+I25+I32+I35+SUM(I38:I41)+I43</f>
        <v>79334</v>
      </c>
      <c r="J7" s="5">
        <f>SUM(J17:J20)+J22+J25+J32+J35+SUM(J38:J41)+J43</f>
        <v>75758</v>
      </c>
      <c r="K7" s="5">
        <f>SUM(K17:K20)+K22+K25+K32+K35+SUM(K38:K41)+K43</f>
        <v>77806</v>
      </c>
      <c r="L7" s="5">
        <f>SUM(L17:L20)+L22+L25+L32+L35+SUM(L38:L41)+L43</f>
        <v>80424</v>
      </c>
      <c r="N7" s="2" t="s">
        <v>5677</v>
      </c>
    </row>
    <row r="8" spans="1:14">
      <c r="D8" s="8"/>
      <c r="E8" s="8"/>
      <c r="F8" s="8"/>
      <c r="G8" s="8"/>
      <c r="H8" s="8"/>
      <c r="I8" s="8"/>
      <c r="J8" s="8"/>
      <c r="K8" s="8"/>
      <c r="L8" s="8"/>
    </row>
    <row r="9" spans="1:14">
      <c r="A9" s="2" t="s">
        <v>5678</v>
      </c>
      <c r="D9" s="5">
        <f t="shared" ref="D9:H9" si="5">D21+D23+SUM(D26:D31)+D33+D36+D42</f>
        <v>71245</v>
      </c>
      <c r="E9" s="5">
        <f t="shared" si="5"/>
        <v>73778</v>
      </c>
      <c r="F9" s="5">
        <f t="shared" si="5"/>
        <v>73955</v>
      </c>
      <c r="G9" s="5">
        <f t="shared" si="5"/>
        <v>75881</v>
      </c>
      <c r="H9" s="5">
        <f t="shared" si="5"/>
        <v>76608</v>
      </c>
      <c r="I9" s="5">
        <f>I21+I23+SUM(I26:I31)+I33+I36+I42</f>
        <v>76821</v>
      </c>
      <c r="J9" s="5">
        <f>J21+J23+SUM(J26:J31)+J33+J36+J42</f>
        <v>72586</v>
      </c>
      <c r="K9" s="5">
        <f>K21+K23+SUM(K26:K31)+K33+K36+K42</f>
        <v>75477</v>
      </c>
      <c r="L9" s="5">
        <f>L21+L23+SUM(L26:L31)+L33+L36+L42</f>
        <v>78027</v>
      </c>
      <c r="N9" s="2" t="s">
        <v>5677</v>
      </c>
    </row>
    <row r="10" spans="1:14">
      <c r="D10" s="8"/>
      <c r="E10" s="8"/>
      <c r="F10" s="8"/>
      <c r="G10" s="8"/>
      <c r="H10" s="8"/>
      <c r="I10" s="8"/>
      <c r="J10" s="8"/>
      <c r="K10" s="8"/>
      <c r="L10" s="8"/>
    </row>
    <row r="11" spans="1:14">
      <c r="A11" s="2" t="s">
        <v>8697</v>
      </c>
      <c r="D11" s="5">
        <f t="shared" ref="D11:G11" si="6">D7+D9</f>
        <v>143600</v>
      </c>
      <c r="E11" s="5">
        <f t="shared" si="6"/>
        <v>148558</v>
      </c>
      <c r="F11" s="5">
        <f t="shared" si="6"/>
        <v>150032</v>
      </c>
      <c r="G11" s="5">
        <f t="shared" si="6"/>
        <v>153853</v>
      </c>
      <c r="H11" s="5">
        <f t="shared" ref="H11:I11" si="7">H7+H9</f>
        <v>155431</v>
      </c>
      <c r="I11" s="5">
        <f t="shared" si="7"/>
        <v>156155</v>
      </c>
      <c r="J11" s="5">
        <f t="shared" ref="J11:K11" si="8">J7+J9</f>
        <v>148344</v>
      </c>
      <c r="K11" s="5">
        <f t="shared" si="8"/>
        <v>153283</v>
      </c>
      <c r="L11" s="5">
        <f t="shared" ref="L11" si="9">L7+L9</f>
        <v>158451</v>
      </c>
    </row>
    <row r="12" spans="1:14">
      <c r="D12" s="8"/>
      <c r="E12" s="8"/>
      <c r="F12" s="8"/>
      <c r="G12" s="8"/>
      <c r="H12" s="8"/>
      <c r="I12" s="8"/>
      <c r="J12" s="8"/>
      <c r="K12" s="8"/>
      <c r="L12" s="8"/>
    </row>
    <row r="13" spans="1:14">
      <c r="A13" s="2" t="s">
        <v>8698</v>
      </c>
      <c r="D13" s="5">
        <f t="shared" ref="D13:G13" si="10">MAXA(D7,D9)-MINA(D7,D9)</f>
        <v>1110</v>
      </c>
      <c r="E13" s="5">
        <f t="shared" si="10"/>
        <v>1002</v>
      </c>
      <c r="F13" s="5">
        <f t="shared" si="10"/>
        <v>2122</v>
      </c>
      <c r="G13" s="5">
        <f t="shared" si="10"/>
        <v>2091</v>
      </c>
      <c r="H13" s="5">
        <f t="shared" ref="H13:I13" si="11">MAXA(H7,H9)-MINA(H7,H9)</f>
        <v>2215</v>
      </c>
      <c r="I13" s="5">
        <f t="shared" si="11"/>
        <v>2513</v>
      </c>
      <c r="J13" s="5">
        <f t="shared" ref="J13:K13" si="12">MAXA(J7,J9)-MINA(J7,J9)</f>
        <v>3172</v>
      </c>
      <c r="K13" s="5">
        <f t="shared" si="12"/>
        <v>2329</v>
      </c>
      <c r="L13" s="5">
        <f t="shared" ref="L13" si="13">MAXA(L7,L9)-MINA(L7,L9)</f>
        <v>2397</v>
      </c>
    </row>
    <row r="14" spans="1:14">
      <c r="D14" s="8"/>
      <c r="E14" s="8"/>
      <c r="F14" s="8"/>
      <c r="G14" s="8"/>
      <c r="H14" s="8"/>
      <c r="I14" s="8"/>
      <c r="J14" s="8"/>
      <c r="K14" s="8"/>
      <c r="L14" s="8"/>
    </row>
    <row r="15" spans="1:14">
      <c r="A15" s="2" t="s">
        <v>8701</v>
      </c>
      <c r="D15" s="5">
        <f t="shared" ref="D15:G15" si="14">STDEVPA(D7,D9)</f>
        <v>555</v>
      </c>
      <c r="E15" s="5">
        <f t="shared" si="14"/>
        <v>501</v>
      </c>
      <c r="F15" s="5">
        <f t="shared" si="14"/>
        <v>1061</v>
      </c>
      <c r="G15" s="5">
        <f t="shared" si="14"/>
        <v>1045.5</v>
      </c>
      <c r="H15" s="5">
        <f t="shared" ref="H15:I15" si="15">STDEVPA(H7,H9)</f>
        <v>1107.5</v>
      </c>
      <c r="I15" s="5">
        <f t="shared" si="15"/>
        <v>1256.5</v>
      </c>
      <c r="J15" s="5">
        <f t="shared" ref="J15:K15" si="16">STDEVPA(J7,J9)</f>
        <v>1586</v>
      </c>
      <c r="K15" s="5">
        <f t="shared" si="16"/>
        <v>1164.5</v>
      </c>
      <c r="L15" s="5">
        <f t="shared" ref="L15" si="17">STDEVPA(L7,L9)</f>
        <v>1198.5</v>
      </c>
    </row>
    <row r="16" spans="1:14">
      <c r="D16" s="8"/>
      <c r="E16" s="8"/>
      <c r="F16" s="8"/>
      <c r="G16" s="8"/>
      <c r="H16" s="8"/>
      <c r="I16" s="8"/>
      <c r="J16" s="8"/>
      <c r="K16" s="8"/>
      <c r="L16" s="8"/>
    </row>
    <row r="17" spans="1:18">
      <c r="A17" s="2" t="s">
        <v>6957</v>
      </c>
      <c r="B17" s="2" t="s">
        <v>5679</v>
      </c>
      <c r="C17" s="72" t="s">
        <v>13655</v>
      </c>
      <c r="D17" s="11">
        <v>72355</v>
      </c>
      <c r="E17" s="11">
        <v>74780</v>
      </c>
      <c r="F17" s="11">
        <v>76077</v>
      </c>
      <c r="G17" s="11">
        <v>77972</v>
      </c>
      <c r="H17" s="48">
        <v>78823</v>
      </c>
      <c r="I17" s="48">
        <v>5339</v>
      </c>
      <c r="J17" s="30">
        <v>5233</v>
      </c>
      <c r="K17" s="30">
        <v>5428</v>
      </c>
      <c r="L17" s="30">
        <v>5531</v>
      </c>
      <c r="N17" s="2" t="s">
        <v>5676</v>
      </c>
      <c r="O17" s="11"/>
      <c r="Q17" s="1"/>
      <c r="R17" s="2"/>
    </row>
    <row r="18" spans="1:18">
      <c r="A18" s="2" t="s">
        <v>6959</v>
      </c>
      <c r="B18" s="2" t="s">
        <v>5680</v>
      </c>
      <c r="C18" s="72" t="s">
        <v>13656</v>
      </c>
      <c r="D18" s="11">
        <v>0</v>
      </c>
      <c r="E18" s="11">
        <v>0</v>
      </c>
      <c r="F18" s="11">
        <v>0</v>
      </c>
      <c r="G18" s="11">
        <v>0</v>
      </c>
      <c r="H18" s="48">
        <v>0</v>
      </c>
      <c r="I18" s="48">
        <v>8245</v>
      </c>
      <c r="J18" s="30">
        <v>7737</v>
      </c>
      <c r="K18" s="30">
        <v>7954</v>
      </c>
      <c r="L18" s="30">
        <v>8218</v>
      </c>
      <c r="N18" s="2" t="s">
        <v>5676</v>
      </c>
      <c r="O18" s="11"/>
      <c r="Q18" s="1"/>
      <c r="R18" s="2"/>
    </row>
    <row r="19" spans="1:18">
      <c r="A19" s="2" t="s">
        <v>6961</v>
      </c>
      <c r="B19" s="2" t="s">
        <v>5681</v>
      </c>
      <c r="C19" s="72" t="s">
        <v>13657</v>
      </c>
      <c r="D19" s="11">
        <v>0</v>
      </c>
      <c r="E19" s="11">
        <v>0</v>
      </c>
      <c r="F19" s="11">
        <v>0</v>
      </c>
      <c r="G19" s="11">
        <v>0</v>
      </c>
      <c r="H19" s="48">
        <v>0</v>
      </c>
      <c r="I19" s="48">
        <v>8611</v>
      </c>
      <c r="J19" s="30">
        <v>8255</v>
      </c>
      <c r="K19" s="30">
        <v>8601</v>
      </c>
      <c r="L19" s="30">
        <v>8707</v>
      </c>
      <c r="N19" s="2" t="s">
        <v>5676</v>
      </c>
      <c r="O19" s="11"/>
      <c r="Q19" s="1"/>
      <c r="R19" s="2"/>
    </row>
    <row r="20" spans="1:18">
      <c r="A20" s="2" t="s">
        <v>6963</v>
      </c>
      <c r="B20" s="2" t="s">
        <v>3037</v>
      </c>
      <c r="C20" s="72" t="s">
        <v>13658</v>
      </c>
      <c r="D20" s="11">
        <v>0</v>
      </c>
      <c r="E20" s="11">
        <v>0</v>
      </c>
      <c r="F20" s="11">
        <v>0</v>
      </c>
      <c r="G20" s="11">
        <v>0</v>
      </c>
      <c r="H20" s="48">
        <v>0</v>
      </c>
      <c r="I20" s="48">
        <v>5424</v>
      </c>
      <c r="J20" s="30">
        <v>5215</v>
      </c>
      <c r="K20" s="30">
        <v>5329</v>
      </c>
      <c r="L20" s="30">
        <v>5675</v>
      </c>
      <c r="N20" s="2" t="s">
        <v>5676</v>
      </c>
      <c r="O20" s="11"/>
      <c r="Q20" s="1"/>
      <c r="R20" s="2"/>
    </row>
    <row r="21" spans="1:18">
      <c r="A21" s="2" t="s">
        <v>6965</v>
      </c>
      <c r="B21" s="2" t="s">
        <v>5682</v>
      </c>
      <c r="C21" s="72" t="s">
        <v>13659</v>
      </c>
      <c r="D21" s="6">
        <v>71245</v>
      </c>
      <c r="E21" s="6">
        <v>73778</v>
      </c>
      <c r="F21" s="6">
        <v>73955</v>
      </c>
      <c r="G21" s="6">
        <v>75881</v>
      </c>
      <c r="H21" s="48">
        <v>76608</v>
      </c>
      <c r="I21" s="48">
        <v>5779</v>
      </c>
      <c r="J21" s="30">
        <v>5668</v>
      </c>
      <c r="K21" s="30">
        <v>5894</v>
      </c>
      <c r="L21" s="30">
        <v>6005</v>
      </c>
      <c r="N21" s="2" t="s">
        <v>5678</v>
      </c>
      <c r="O21" s="6"/>
      <c r="Q21" s="1"/>
      <c r="R21" s="2"/>
    </row>
    <row r="22" spans="1:18">
      <c r="A22" s="2" t="s">
        <v>6997</v>
      </c>
      <c r="B22" s="2" t="s">
        <v>5683</v>
      </c>
      <c r="C22" s="72" t="s">
        <v>13660</v>
      </c>
      <c r="D22" s="11">
        <v>0</v>
      </c>
      <c r="E22" s="11">
        <v>0</v>
      </c>
      <c r="F22" s="11">
        <v>0</v>
      </c>
      <c r="G22" s="11">
        <v>0</v>
      </c>
      <c r="H22" s="48">
        <v>0</v>
      </c>
      <c r="I22" s="5">
        <v>0</v>
      </c>
      <c r="J22" s="30">
        <v>0</v>
      </c>
      <c r="K22" s="30">
        <v>0</v>
      </c>
      <c r="L22" s="30">
        <v>0</v>
      </c>
      <c r="N22" s="2" t="s">
        <v>5676</v>
      </c>
      <c r="O22" s="11"/>
      <c r="Q22" s="1"/>
      <c r="R22" s="2"/>
    </row>
    <row r="23" spans="1:18" ht="15.75" thickBot="1">
      <c r="A23" s="2"/>
      <c r="B23" s="2"/>
      <c r="C23" s="72" t="s">
        <v>13660</v>
      </c>
      <c r="D23" s="6">
        <v>0</v>
      </c>
      <c r="E23" s="6">
        <v>0</v>
      </c>
      <c r="F23" s="6">
        <v>0</v>
      </c>
      <c r="G23" s="6">
        <v>0</v>
      </c>
      <c r="H23" s="48">
        <v>0</v>
      </c>
      <c r="I23" s="895">
        <v>8392</v>
      </c>
      <c r="J23" s="6">
        <v>8046</v>
      </c>
      <c r="K23" s="6">
        <v>8427</v>
      </c>
      <c r="L23" s="6">
        <v>8525</v>
      </c>
      <c r="N23" s="2" t="s">
        <v>5678</v>
      </c>
      <c r="O23" s="6"/>
      <c r="P23" s="72"/>
      <c r="Q23" s="1"/>
      <c r="R23" s="2"/>
    </row>
    <row r="24" spans="1:18" ht="15.75" thickBot="1">
      <c r="A24" s="2"/>
      <c r="B24" s="2"/>
      <c r="C24" s="72" t="s">
        <v>13660</v>
      </c>
      <c r="D24" s="896">
        <f t="shared" ref="D24:H24" si="18">D22+D23</f>
        <v>0</v>
      </c>
      <c r="E24" s="896">
        <f t="shared" si="18"/>
        <v>0</v>
      </c>
      <c r="F24" s="896">
        <f t="shared" si="18"/>
        <v>0</v>
      </c>
      <c r="G24" s="896">
        <f t="shared" si="18"/>
        <v>0</v>
      </c>
      <c r="H24" s="896">
        <f t="shared" si="18"/>
        <v>0</v>
      </c>
      <c r="I24" s="896">
        <f>I22+I23</f>
        <v>8392</v>
      </c>
      <c r="J24" s="896">
        <f>J22+J23</f>
        <v>8046</v>
      </c>
      <c r="K24" s="896">
        <f>K22+K23</f>
        <v>8427</v>
      </c>
      <c r="L24" s="896">
        <f>L22+L23</f>
        <v>8525</v>
      </c>
      <c r="N24" s="2"/>
      <c r="O24" s="11"/>
      <c r="P24" s="72"/>
      <c r="Q24" s="1"/>
      <c r="R24" s="2"/>
    </row>
    <row r="25" spans="1:18">
      <c r="A25" s="2" t="s">
        <v>6999</v>
      </c>
      <c r="B25" s="2" t="s">
        <v>5684</v>
      </c>
      <c r="C25" s="72" t="s">
        <v>13661</v>
      </c>
      <c r="D25" s="11">
        <v>0</v>
      </c>
      <c r="E25" s="11">
        <v>0</v>
      </c>
      <c r="F25" s="11">
        <v>0</v>
      </c>
      <c r="G25" s="11">
        <v>0</v>
      </c>
      <c r="H25" s="48">
        <v>0</v>
      </c>
      <c r="I25" s="48">
        <v>8639</v>
      </c>
      <c r="J25" s="30">
        <v>8078</v>
      </c>
      <c r="K25" s="30">
        <v>8056</v>
      </c>
      <c r="L25" s="30">
        <v>8400</v>
      </c>
      <c r="N25" s="2" t="s">
        <v>5676</v>
      </c>
      <c r="O25" s="11"/>
      <c r="P25" s="72"/>
      <c r="Q25" s="1"/>
      <c r="R25" s="2"/>
    </row>
    <row r="26" spans="1:18">
      <c r="A26" s="2" t="s">
        <v>7001</v>
      </c>
      <c r="B26" s="2" t="s">
        <v>13645</v>
      </c>
      <c r="C26" s="72" t="s">
        <v>13662</v>
      </c>
      <c r="D26" s="11">
        <v>0</v>
      </c>
      <c r="E26" s="11">
        <v>0</v>
      </c>
      <c r="F26" s="11">
        <v>0</v>
      </c>
      <c r="G26" s="11">
        <v>0</v>
      </c>
      <c r="H26" s="48">
        <v>0</v>
      </c>
      <c r="I26" s="48">
        <v>7739</v>
      </c>
      <c r="J26" s="30">
        <v>7443</v>
      </c>
      <c r="K26" s="30">
        <v>7604</v>
      </c>
      <c r="L26" s="30">
        <v>7988</v>
      </c>
      <c r="N26" s="2" t="s">
        <v>5678</v>
      </c>
      <c r="O26" s="11"/>
      <c r="P26" s="72"/>
      <c r="Q26" s="1"/>
      <c r="R26" s="2"/>
    </row>
    <row r="27" spans="1:18">
      <c r="A27" s="2" t="s">
        <v>7003</v>
      </c>
      <c r="B27" s="2" t="s">
        <v>5685</v>
      </c>
      <c r="C27" s="72" t="s">
        <v>13663</v>
      </c>
      <c r="D27" s="11">
        <v>0</v>
      </c>
      <c r="E27" s="11">
        <v>0</v>
      </c>
      <c r="F27" s="11">
        <v>0</v>
      </c>
      <c r="G27" s="11">
        <v>0</v>
      </c>
      <c r="H27" s="48">
        <v>0</v>
      </c>
      <c r="I27" s="48">
        <v>8311</v>
      </c>
      <c r="J27" s="31">
        <v>7821</v>
      </c>
      <c r="K27" s="31">
        <v>8108</v>
      </c>
      <c r="L27" s="31">
        <v>8551</v>
      </c>
      <c r="N27" s="2" t="s">
        <v>5678</v>
      </c>
      <c r="O27" s="11"/>
      <c r="P27" s="72"/>
      <c r="Q27" s="1"/>
      <c r="R27" s="2"/>
    </row>
    <row r="28" spans="1:18">
      <c r="A28" s="2" t="s">
        <v>7005</v>
      </c>
      <c r="B28" s="2" t="s">
        <v>13646</v>
      </c>
      <c r="C28" s="72" t="s">
        <v>13664</v>
      </c>
      <c r="D28" s="5">
        <v>0</v>
      </c>
      <c r="E28" s="5">
        <v>0</v>
      </c>
      <c r="F28" s="5">
        <v>0</v>
      </c>
      <c r="G28" s="5">
        <v>0</v>
      </c>
      <c r="H28" s="48">
        <v>0</v>
      </c>
      <c r="I28" s="48">
        <v>7680</v>
      </c>
      <c r="J28" s="31">
        <v>7498</v>
      </c>
      <c r="K28" s="31">
        <v>7787</v>
      </c>
      <c r="L28" s="31">
        <v>8046</v>
      </c>
      <c r="N28" s="2" t="s">
        <v>5678</v>
      </c>
      <c r="O28" s="5"/>
      <c r="P28" s="72"/>
      <c r="Q28" s="1"/>
      <c r="R28" s="2"/>
    </row>
    <row r="29" spans="1:18">
      <c r="A29" s="2" t="s">
        <v>7007</v>
      </c>
      <c r="B29" s="2" t="s">
        <v>13647</v>
      </c>
      <c r="C29" s="72" t="s">
        <v>13665</v>
      </c>
      <c r="D29" s="11">
        <v>0</v>
      </c>
      <c r="E29" s="11">
        <v>0</v>
      </c>
      <c r="F29" s="11">
        <v>0</v>
      </c>
      <c r="G29" s="11">
        <v>0</v>
      </c>
      <c r="H29" s="48">
        <v>0</v>
      </c>
      <c r="I29" s="48">
        <v>6952</v>
      </c>
      <c r="J29" s="31">
        <v>6205</v>
      </c>
      <c r="K29" s="31">
        <v>6413</v>
      </c>
      <c r="L29" s="31">
        <v>6752</v>
      </c>
      <c r="N29" s="2" t="s">
        <v>5678</v>
      </c>
      <c r="O29" s="11"/>
      <c r="P29" s="72"/>
      <c r="Q29" s="1"/>
      <c r="R29" s="2"/>
    </row>
    <row r="30" spans="1:18">
      <c r="A30" s="2" t="s">
        <v>7009</v>
      </c>
      <c r="B30" s="2" t="s">
        <v>13648</v>
      </c>
      <c r="C30" s="72" t="s">
        <v>13666</v>
      </c>
      <c r="D30" s="11">
        <v>0</v>
      </c>
      <c r="E30" s="11">
        <v>0</v>
      </c>
      <c r="F30" s="11">
        <v>0</v>
      </c>
      <c r="G30" s="11">
        <v>0</v>
      </c>
      <c r="H30" s="48">
        <v>0</v>
      </c>
      <c r="I30" s="48">
        <v>7634</v>
      </c>
      <c r="J30" s="31">
        <v>6951</v>
      </c>
      <c r="K30" s="31">
        <v>7460</v>
      </c>
      <c r="L30" s="31">
        <v>7856</v>
      </c>
      <c r="N30" s="2" t="s">
        <v>5678</v>
      </c>
      <c r="O30" s="11"/>
      <c r="P30" s="72"/>
      <c r="Q30" s="1"/>
      <c r="R30" s="2"/>
    </row>
    <row r="31" spans="1:18">
      <c r="A31" s="2" t="s">
        <v>7011</v>
      </c>
      <c r="B31" s="2" t="s">
        <v>5686</v>
      </c>
      <c r="C31" s="72" t="s">
        <v>13667</v>
      </c>
      <c r="D31" s="11">
        <v>0</v>
      </c>
      <c r="E31" s="11">
        <v>0</v>
      </c>
      <c r="F31" s="11">
        <v>0</v>
      </c>
      <c r="G31" s="11">
        <v>0</v>
      </c>
      <c r="H31" s="48">
        <v>0</v>
      </c>
      <c r="I31" s="48">
        <v>8251</v>
      </c>
      <c r="J31" s="31">
        <v>7906</v>
      </c>
      <c r="K31" s="31">
        <v>8033</v>
      </c>
      <c r="L31" s="31">
        <v>8382</v>
      </c>
      <c r="N31" s="2" t="s">
        <v>5678</v>
      </c>
      <c r="O31" s="11"/>
      <c r="Q31" s="1"/>
      <c r="R31" s="2"/>
    </row>
    <row r="32" spans="1:18">
      <c r="A32" s="2" t="s">
        <v>7013</v>
      </c>
      <c r="B32" s="2" t="s">
        <v>2455</v>
      </c>
      <c r="C32" s="72" t="s">
        <v>13668</v>
      </c>
      <c r="D32" s="11">
        <v>0</v>
      </c>
      <c r="E32" s="11">
        <v>0</v>
      </c>
      <c r="F32" s="11">
        <v>0</v>
      </c>
      <c r="G32" s="11">
        <v>0</v>
      </c>
      <c r="H32" s="48">
        <v>0</v>
      </c>
      <c r="I32" s="5">
        <v>8725</v>
      </c>
      <c r="J32" s="30">
        <v>7964</v>
      </c>
      <c r="K32" s="30">
        <v>8305</v>
      </c>
      <c r="L32" s="30">
        <v>8555</v>
      </c>
      <c r="N32" s="2" t="s">
        <v>5676</v>
      </c>
      <c r="O32" s="11"/>
      <c r="Q32" s="1"/>
      <c r="R32" s="2"/>
    </row>
    <row r="33" spans="1:18" ht="15.75" thickBot="1">
      <c r="A33" s="2"/>
      <c r="B33" s="2"/>
      <c r="C33" s="72" t="s">
        <v>13668</v>
      </c>
      <c r="D33" s="11">
        <v>0</v>
      </c>
      <c r="E33" s="11">
        <v>0</v>
      </c>
      <c r="F33" s="11">
        <v>0</v>
      </c>
      <c r="G33" s="11">
        <v>0</v>
      </c>
      <c r="H33" s="48">
        <v>0</v>
      </c>
      <c r="I33" s="5">
        <v>0</v>
      </c>
      <c r="J33" s="31">
        <v>401</v>
      </c>
      <c r="K33" s="31">
        <v>429</v>
      </c>
      <c r="L33" s="31">
        <v>451</v>
      </c>
      <c r="N33" s="2" t="s">
        <v>5678</v>
      </c>
      <c r="O33" s="11"/>
      <c r="Q33" s="1"/>
      <c r="R33" s="2"/>
    </row>
    <row r="34" spans="1:18" ht="15.75" thickBot="1">
      <c r="A34" s="2"/>
      <c r="B34" s="2"/>
      <c r="C34" s="72" t="s">
        <v>13668</v>
      </c>
      <c r="D34" s="896">
        <f t="shared" ref="D34:H34" si="19">D32+D33</f>
        <v>0</v>
      </c>
      <c r="E34" s="896">
        <f t="shared" si="19"/>
        <v>0</v>
      </c>
      <c r="F34" s="896">
        <f t="shared" si="19"/>
        <v>0</v>
      </c>
      <c r="G34" s="896">
        <f t="shared" si="19"/>
        <v>0</v>
      </c>
      <c r="H34" s="896">
        <f t="shared" si="19"/>
        <v>0</v>
      </c>
      <c r="I34" s="896">
        <f>I32+I33</f>
        <v>8725</v>
      </c>
      <c r="J34" s="896">
        <f>J32+J33</f>
        <v>8365</v>
      </c>
      <c r="K34" s="896">
        <f>K32+K33</f>
        <v>8734</v>
      </c>
      <c r="L34" s="896">
        <f>L32+L33</f>
        <v>9006</v>
      </c>
      <c r="N34" s="2"/>
      <c r="O34" s="11"/>
      <c r="Q34" s="1"/>
      <c r="R34" s="2"/>
    </row>
    <row r="35" spans="1:18">
      <c r="A35" s="2" t="s">
        <v>7015</v>
      </c>
      <c r="B35" s="2" t="s">
        <v>13649</v>
      </c>
      <c r="C35" s="72" t="s">
        <v>13669</v>
      </c>
      <c r="D35" s="11">
        <v>0</v>
      </c>
      <c r="E35" s="11">
        <v>0</v>
      </c>
      <c r="F35" s="11">
        <v>0</v>
      </c>
      <c r="G35" s="11">
        <v>0</v>
      </c>
      <c r="H35" s="48">
        <v>0</v>
      </c>
      <c r="I35" s="5">
        <v>0</v>
      </c>
      <c r="J35" s="30">
        <v>841</v>
      </c>
      <c r="K35" s="30">
        <v>860</v>
      </c>
      <c r="L35" s="30">
        <v>914</v>
      </c>
      <c r="N35" s="2" t="s">
        <v>5676</v>
      </c>
      <c r="O35" s="11"/>
      <c r="Q35" s="1"/>
      <c r="R35" s="2"/>
    </row>
    <row r="36" spans="1:18" ht="15.75" thickBot="1">
      <c r="A36" s="2"/>
      <c r="B36" s="2"/>
      <c r="C36" s="72" t="s">
        <v>13669</v>
      </c>
      <c r="D36" s="799">
        <v>0</v>
      </c>
      <c r="E36" s="799">
        <v>0</v>
      </c>
      <c r="F36" s="799">
        <v>0</v>
      </c>
      <c r="G36" s="799">
        <v>0</v>
      </c>
      <c r="H36" s="6">
        <v>0</v>
      </c>
      <c r="I36" s="5">
        <v>7864</v>
      </c>
      <c r="J36" s="31">
        <v>6872</v>
      </c>
      <c r="K36" s="31">
        <v>7294</v>
      </c>
      <c r="L36" s="31">
        <v>7327</v>
      </c>
      <c r="N36" s="2" t="s">
        <v>5678</v>
      </c>
      <c r="Q36" s="1"/>
    </row>
    <row r="37" spans="1:18" ht="15.75" thickBot="1">
      <c r="A37" s="2"/>
      <c r="B37" s="2"/>
      <c r="C37" s="72" t="s">
        <v>13669</v>
      </c>
      <c r="D37" s="896">
        <f t="shared" ref="D37:H37" si="20">D35+D36</f>
        <v>0</v>
      </c>
      <c r="E37" s="896">
        <f t="shared" si="20"/>
        <v>0</v>
      </c>
      <c r="F37" s="896">
        <f t="shared" si="20"/>
        <v>0</v>
      </c>
      <c r="G37" s="896">
        <f t="shared" si="20"/>
        <v>0</v>
      </c>
      <c r="H37" s="896">
        <f t="shared" si="20"/>
        <v>0</v>
      </c>
      <c r="I37" s="896">
        <f>I35+I36</f>
        <v>7864</v>
      </c>
      <c r="J37" s="896">
        <f>J35+J36</f>
        <v>7713</v>
      </c>
      <c r="K37" s="896">
        <f>K35+K36</f>
        <v>8154</v>
      </c>
      <c r="L37" s="896">
        <f>L35+L36</f>
        <v>8241</v>
      </c>
      <c r="N37" s="2"/>
      <c r="Q37" s="1"/>
    </row>
    <row r="38" spans="1:18">
      <c r="A38" s="2" t="s">
        <v>7017</v>
      </c>
      <c r="B38" s="2" t="s">
        <v>13650</v>
      </c>
      <c r="C38" s="72" t="s">
        <v>13670</v>
      </c>
      <c r="D38" s="8">
        <v>0</v>
      </c>
      <c r="E38" s="8">
        <v>0</v>
      </c>
      <c r="F38" s="8">
        <v>0</v>
      </c>
      <c r="G38" s="8">
        <v>0</v>
      </c>
      <c r="H38" s="5">
        <v>0</v>
      </c>
      <c r="I38" s="48">
        <v>5582</v>
      </c>
      <c r="J38" s="30">
        <v>5290</v>
      </c>
      <c r="K38" s="30">
        <v>5436</v>
      </c>
      <c r="L38" s="30">
        <v>5634</v>
      </c>
      <c r="N38" s="2" t="s">
        <v>5676</v>
      </c>
    </row>
    <row r="39" spans="1:18">
      <c r="A39" s="2" t="s">
        <v>7019</v>
      </c>
      <c r="B39" s="2" t="s">
        <v>5687</v>
      </c>
      <c r="C39" s="72" t="s">
        <v>13671</v>
      </c>
      <c r="D39" s="8">
        <v>0</v>
      </c>
      <c r="E39" s="8">
        <v>0</v>
      </c>
      <c r="F39" s="8">
        <v>0</v>
      </c>
      <c r="G39" s="8">
        <v>0</v>
      </c>
      <c r="H39" s="5">
        <v>0</v>
      </c>
      <c r="I39" s="48">
        <v>8457</v>
      </c>
      <c r="J39" s="30">
        <v>7686</v>
      </c>
      <c r="K39" s="30">
        <v>7855</v>
      </c>
      <c r="L39" s="30">
        <v>8098</v>
      </c>
      <c r="N39" s="2" t="s">
        <v>5676</v>
      </c>
    </row>
    <row r="40" spans="1:18">
      <c r="A40" s="2" t="s">
        <v>7021</v>
      </c>
      <c r="B40" s="2" t="s">
        <v>13651</v>
      </c>
      <c r="C40" s="72" t="s">
        <v>13672</v>
      </c>
      <c r="D40" s="8">
        <v>0</v>
      </c>
      <c r="E40" s="8">
        <v>0</v>
      </c>
      <c r="F40" s="8">
        <v>0</v>
      </c>
      <c r="G40" s="8">
        <v>0</v>
      </c>
      <c r="H40" s="5">
        <v>0</v>
      </c>
      <c r="I40" s="48">
        <v>5469</v>
      </c>
      <c r="J40" s="30">
        <v>5114</v>
      </c>
      <c r="K40" s="30">
        <v>5173</v>
      </c>
      <c r="L40" s="30">
        <v>5284</v>
      </c>
      <c r="N40" s="2" t="s">
        <v>5676</v>
      </c>
    </row>
    <row r="41" spans="1:18">
      <c r="A41" s="2" t="s">
        <v>7023</v>
      </c>
      <c r="B41" s="2" t="s">
        <v>13652</v>
      </c>
      <c r="C41" s="72" t="s">
        <v>13673</v>
      </c>
      <c r="D41" s="8">
        <v>0</v>
      </c>
      <c r="E41" s="8">
        <v>0</v>
      </c>
      <c r="F41" s="8">
        <v>0</v>
      </c>
      <c r="G41" s="8">
        <v>0</v>
      </c>
      <c r="H41" s="5">
        <v>0</v>
      </c>
      <c r="I41" s="48">
        <v>9187</v>
      </c>
      <c r="J41" s="30">
        <v>8967</v>
      </c>
      <c r="K41" s="30">
        <v>9204</v>
      </c>
      <c r="L41" s="30">
        <v>9405</v>
      </c>
      <c r="N41" s="2" t="s">
        <v>5676</v>
      </c>
    </row>
    <row r="42" spans="1:18">
      <c r="A42" s="7" t="s">
        <v>7025</v>
      </c>
      <c r="B42" s="2" t="s">
        <v>5932</v>
      </c>
      <c r="C42" s="72" t="s">
        <v>13674</v>
      </c>
      <c r="D42" s="8">
        <v>0</v>
      </c>
      <c r="E42" s="8">
        <v>0</v>
      </c>
      <c r="F42" s="8">
        <v>0</v>
      </c>
      <c r="G42" s="8">
        <v>0</v>
      </c>
      <c r="H42" s="5">
        <v>0</v>
      </c>
      <c r="I42" s="48">
        <v>8219</v>
      </c>
      <c r="J42" s="31">
        <v>7775</v>
      </c>
      <c r="K42" s="31">
        <v>8028</v>
      </c>
      <c r="L42" s="31">
        <v>8144</v>
      </c>
      <c r="N42" s="2" t="s">
        <v>5678</v>
      </c>
    </row>
    <row r="43" spans="1:18">
      <c r="A43" s="7" t="s">
        <v>7570</v>
      </c>
      <c r="B43" s="2" t="s">
        <v>13653</v>
      </c>
      <c r="C43" s="72" t="s">
        <v>13675</v>
      </c>
      <c r="D43" s="8">
        <v>0</v>
      </c>
      <c r="E43" s="8">
        <v>0</v>
      </c>
      <c r="F43" s="8">
        <v>0</v>
      </c>
      <c r="G43" s="8">
        <v>0</v>
      </c>
      <c r="H43" s="5">
        <v>0</v>
      </c>
      <c r="I43" s="48">
        <v>5656</v>
      </c>
      <c r="J43" s="30">
        <v>5378</v>
      </c>
      <c r="K43" s="30">
        <v>5605</v>
      </c>
      <c r="L43" s="30">
        <v>6003</v>
      </c>
      <c r="N43" s="2" t="s">
        <v>5676</v>
      </c>
    </row>
    <row r="45" spans="1:18">
      <c r="A45" s="3" t="s">
        <v>13654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4" orientation="portrait" horizontalDpi="300" verticalDpi="300" r:id="rId1"/>
  <headerFooter alignWithMargins="0">
    <oddFooter>&amp;C&amp;"Times New Roman,Regular"&amp;8&amp;P of &amp;N</oddFooter>
  </headerFooter>
  <ignoredErrors>
    <ignoredError sqref="F16 G4 F4 E4 D4 D5:G6 D10:G15 H4 H10:H15 D24:K24 D34:H37 D7:H9 D3:H3 H5:H6 I34 I37 I3:I15 J34:J37 J3:J15 K34 K37 K3:K15 L3:L15 L24:L37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0"/>
  <sheetViews>
    <sheetView showGridLines="0" zoomScaleNormal="100" workbookViewId="0"/>
  </sheetViews>
  <sheetFormatPr defaultColWidth="12.5703125" defaultRowHeight="15"/>
  <cols>
    <col min="1" max="1" width="4.85546875" style="855" customWidth="1"/>
    <col min="2" max="2" width="40.5703125" style="855" customWidth="1"/>
    <col min="3" max="3" width="11.5703125" style="855" customWidth="1"/>
    <col min="4" max="12" width="10" style="855" customWidth="1"/>
    <col min="13" max="13" width="2.28515625" style="855" customWidth="1"/>
    <col min="14" max="14" width="35.85546875" style="855" customWidth="1"/>
    <col min="15" max="16384" width="12.5703125" style="855"/>
  </cols>
  <sheetData>
    <row r="1" spans="1:14">
      <c r="A1" s="854" t="s">
        <v>7342</v>
      </c>
      <c r="D1" s="856">
        <v>2010</v>
      </c>
      <c r="E1" s="856">
        <v>2011</v>
      </c>
      <c r="F1" s="856">
        <v>2012</v>
      </c>
      <c r="G1" s="856">
        <v>2013</v>
      </c>
      <c r="H1" s="856">
        <v>2014</v>
      </c>
      <c r="I1" s="856">
        <v>2015</v>
      </c>
      <c r="J1" s="856">
        <v>2016</v>
      </c>
      <c r="K1" s="856">
        <v>2017</v>
      </c>
      <c r="L1" s="856">
        <v>2018</v>
      </c>
    </row>
    <row r="3" spans="1:14">
      <c r="A3" s="854" t="s">
        <v>5688</v>
      </c>
      <c r="D3" s="857">
        <f t="shared" ref="D3:I3" si="0">SUM(D21:D36)</f>
        <v>109316</v>
      </c>
      <c r="E3" s="857">
        <f t="shared" si="0"/>
        <v>109338</v>
      </c>
      <c r="F3" s="857">
        <f t="shared" si="0"/>
        <v>110271</v>
      </c>
      <c r="G3" s="857">
        <f t="shared" si="0"/>
        <v>110308</v>
      </c>
      <c r="H3" s="857">
        <f t="shared" si="0"/>
        <v>110756</v>
      </c>
      <c r="I3" s="857">
        <f t="shared" si="0"/>
        <v>108186</v>
      </c>
      <c r="J3" s="857">
        <f t="shared" ref="J3:K3" si="1">SUM(J21:J36)</f>
        <v>105431</v>
      </c>
      <c r="K3" s="857">
        <f t="shared" si="1"/>
        <v>109806</v>
      </c>
      <c r="L3" s="857">
        <f t="shared" ref="L3" si="2">SUM(L21:L36)</f>
        <v>109945</v>
      </c>
    </row>
    <row r="5" spans="1:14">
      <c r="A5" s="854" t="s">
        <v>7343</v>
      </c>
      <c r="D5" s="857">
        <f t="shared" ref="D5:I5" si="3">D3/2</f>
        <v>54658</v>
      </c>
      <c r="E5" s="857">
        <f t="shared" si="3"/>
        <v>54669</v>
      </c>
      <c r="F5" s="857">
        <f t="shared" si="3"/>
        <v>55135.5</v>
      </c>
      <c r="G5" s="857">
        <f t="shared" si="3"/>
        <v>55154</v>
      </c>
      <c r="H5" s="857">
        <f t="shared" si="3"/>
        <v>55378</v>
      </c>
      <c r="I5" s="857">
        <f t="shared" si="3"/>
        <v>54093</v>
      </c>
      <c r="J5" s="857">
        <f t="shared" ref="J5:K5" si="4">J3/2</f>
        <v>52715.5</v>
      </c>
      <c r="K5" s="857">
        <f t="shared" si="4"/>
        <v>54903</v>
      </c>
      <c r="L5" s="857">
        <f t="shared" ref="L5" si="5">L3/2</f>
        <v>54972.5</v>
      </c>
    </row>
    <row r="6" spans="1:14">
      <c r="D6" s="858"/>
      <c r="E6" s="858"/>
      <c r="F6" s="858"/>
      <c r="G6" s="858"/>
      <c r="H6" s="858"/>
      <c r="I6" s="858"/>
      <c r="J6" s="858"/>
      <c r="K6" s="858"/>
      <c r="L6" s="858"/>
    </row>
    <row r="7" spans="1:14">
      <c r="A7" s="854" t="s">
        <v>5689</v>
      </c>
      <c r="D7" s="857">
        <f t="shared" ref="D7:I7" si="6">D25+D28+D30+D31+D33+D35</f>
        <v>39542</v>
      </c>
      <c r="E7" s="857">
        <f t="shared" si="6"/>
        <v>39330</v>
      </c>
      <c r="F7" s="857">
        <f t="shared" si="6"/>
        <v>39502</v>
      </c>
      <c r="G7" s="857">
        <f t="shared" si="6"/>
        <v>39494</v>
      </c>
      <c r="H7" s="857">
        <f t="shared" si="6"/>
        <v>39896</v>
      </c>
      <c r="I7" s="857">
        <f t="shared" si="6"/>
        <v>38737</v>
      </c>
      <c r="J7" s="857">
        <f t="shared" ref="J7:K7" si="7">J25+J28+J30+J31+J33+J35</f>
        <v>37905</v>
      </c>
      <c r="K7" s="857">
        <f t="shared" si="7"/>
        <v>39529</v>
      </c>
      <c r="L7" s="857">
        <f t="shared" ref="L7" si="8">L25+L28+L30+L31+L33+L35</f>
        <v>39712</v>
      </c>
      <c r="N7" s="854" t="s">
        <v>5690</v>
      </c>
    </row>
    <row r="8" spans="1:14" ht="15.75" thickBot="1">
      <c r="D8" s="859">
        <f>KENSINGTON!D8</f>
        <v>24165</v>
      </c>
      <c r="E8" s="859">
        <f>KENSINGTON!E8</f>
        <v>23628</v>
      </c>
      <c r="F8" s="859">
        <f>KENSINGTON!F8</f>
        <v>23327</v>
      </c>
      <c r="G8" s="859">
        <f>KENSINGTON!G8</f>
        <v>23260</v>
      </c>
      <c r="H8" s="859">
        <f>KENSINGTON!H8</f>
        <v>23167</v>
      </c>
      <c r="I8" s="859">
        <f>KENSINGTON!I8</f>
        <v>21866</v>
      </c>
      <c r="J8" s="859">
        <f>KENSINGTON!J8</f>
        <v>21022</v>
      </c>
      <c r="K8" s="859">
        <f>KENSINGTON!K8</f>
        <v>21608</v>
      </c>
      <c r="L8" s="859">
        <f>KENSINGTON!L8</f>
        <v>22736</v>
      </c>
      <c r="N8" s="854" t="s">
        <v>5691</v>
      </c>
    </row>
    <row r="9" spans="1:14" ht="15.75" thickBot="1">
      <c r="D9" s="859">
        <f t="shared" ref="D9:I9" si="9">SUM(D7:D8)</f>
        <v>63707</v>
      </c>
      <c r="E9" s="859">
        <f t="shared" si="9"/>
        <v>62958</v>
      </c>
      <c r="F9" s="859">
        <f t="shared" si="9"/>
        <v>62829</v>
      </c>
      <c r="G9" s="859">
        <f t="shared" si="9"/>
        <v>62754</v>
      </c>
      <c r="H9" s="859">
        <f t="shared" si="9"/>
        <v>63063</v>
      </c>
      <c r="I9" s="859">
        <f t="shared" si="9"/>
        <v>60603</v>
      </c>
      <c r="J9" s="859">
        <f t="shared" ref="J9:K9" si="10">SUM(J7:J8)</f>
        <v>58927</v>
      </c>
      <c r="K9" s="859">
        <f t="shared" si="10"/>
        <v>61137</v>
      </c>
      <c r="L9" s="859">
        <f t="shared" ref="L9" si="11">SUM(L7:L8)</f>
        <v>62448</v>
      </c>
    </row>
    <row r="10" spans="1:14">
      <c r="D10" s="858"/>
      <c r="E10" s="858"/>
      <c r="F10" s="858"/>
      <c r="G10" s="858"/>
      <c r="H10" s="858"/>
      <c r="I10" s="858"/>
      <c r="J10" s="858"/>
      <c r="K10" s="858"/>
      <c r="L10" s="858"/>
    </row>
    <row r="11" spans="1:14">
      <c r="A11" s="854" t="s">
        <v>5692</v>
      </c>
      <c r="D11" s="857">
        <f t="shared" ref="D11:I11" si="12">SUM(D21:D24)+D26+D27+D29+D32+D34+D36</f>
        <v>69774</v>
      </c>
      <c r="E11" s="857">
        <f t="shared" si="12"/>
        <v>70008</v>
      </c>
      <c r="F11" s="857">
        <f t="shared" si="12"/>
        <v>70769</v>
      </c>
      <c r="G11" s="857">
        <f t="shared" si="12"/>
        <v>70814</v>
      </c>
      <c r="H11" s="857">
        <f t="shared" si="12"/>
        <v>70860</v>
      </c>
      <c r="I11" s="857">
        <f t="shared" si="12"/>
        <v>69449</v>
      </c>
      <c r="J11" s="857">
        <f t="shared" ref="J11:K11" si="13">SUM(J21:J24)+J26+J27+J29+J32+J34+J36</f>
        <v>67526</v>
      </c>
      <c r="K11" s="857">
        <f t="shared" si="13"/>
        <v>70277</v>
      </c>
      <c r="L11" s="857">
        <f t="shared" ref="L11" si="14">SUM(L21:L24)+L26+L27+L29+L32+L34+L36</f>
        <v>70233</v>
      </c>
      <c r="N11" s="854" t="s">
        <v>5690</v>
      </c>
    </row>
    <row r="12" spans="1:14" s="20" customFormat="1">
      <c r="D12" s="21"/>
      <c r="E12" s="21"/>
      <c r="F12" s="21"/>
      <c r="G12" s="21"/>
      <c r="H12" s="21"/>
      <c r="I12" s="21"/>
      <c r="J12" s="21"/>
      <c r="K12" s="21"/>
      <c r="L12" s="21"/>
    </row>
    <row r="13" spans="1:14">
      <c r="A13" s="854" t="s">
        <v>5693</v>
      </c>
      <c r="D13" s="857">
        <f>KENSINGTON!D11</f>
        <v>63134</v>
      </c>
      <c r="E13" s="857">
        <f>KENSINGTON!E11</f>
        <v>62784</v>
      </c>
      <c r="F13" s="857">
        <f>KENSINGTON!F11</f>
        <v>62346</v>
      </c>
      <c r="G13" s="857">
        <f>KENSINGTON!G11</f>
        <v>61803</v>
      </c>
      <c r="H13" s="857">
        <f>KENSINGTON!H11</f>
        <v>61507</v>
      </c>
      <c r="I13" s="857">
        <f>KENSINGTON!I11</f>
        <v>58316</v>
      </c>
      <c r="J13" s="857">
        <f>KENSINGTON!J11</f>
        <v>55432</v>
      </c>
      <c r="K13" s="857">
        <f>KENSINGTON!K11</f>
        <v>57221</v>
      </c>
      <c r="L13" s="857">
        <f>KENSINGTON!L11</f>
        <v>60674</v>
      </c>
      <c r="N13" s="854" t="s">
        <v>5691</v>
      </c>
    </row>
    <row r="14" spans="1:14">
      <c r="D14" s="858"/>
      <c r="E14" s="858"/>
      <c r="F14" s="858"/>
      <c r="G14" s="858"/>
      <c r="H14" s="858"/>
      <c r="I14" s="858"/>
      <c r="J14" s="858"/>
      <c r="K14" s="858"/>
      <c r="L14" s="858"/>
    </row>
    <row r="15" spans="1:14">
      <c r="A15" s="854" t="s">
        <v>8697</v>
      </c>
      <c r="D15" s="857">
        <f t="shared" ref="D15:I15" si="15">D7+D11</f>
        <v>109316</v>
      </c>
      <c r="E15" s="857">
        <f t="shared" si="15"/>
        <v>109338</v>
      </c>
      <c r="F15" s="857">
        <f t="shared" si="15"/>
        <v>110271</v>
      </c>
      <c r="G15" s="857">
        <f t="shared" si="15"/>
        <v>110308</v>
      </c>
      <c r="H15" s="857">
        <f t="shared" si="15"/>
        <v>110756</v>
      </c>
      <c r="I15" s="857">
        <f t="shared" si="15"/>
        <v>108186</v>
      </c>
      <c r="J15" s="857">
        <f t="shared" ref="J15:K15" si="16">J7+J11</f>
        <v>105431</v>
      </c>
      <c r="K15" s="857">
        <f t="shared" si="16"/>
        <v>109806</v>
      </c>
      <c r="L15" s="857">
        <f t="shared" ref="L15" si="17">L7+L11</f>
        <v>109945</v>
      </c>
    </row>
    <row r="16" spans="1:14">
      <c r="D16" s="858"/>
      <c r="E16" s="858"/>
      <c r="F16" s="858"/>
      <c r="G16" s="858"/>
      <c r="H16" s="858"/>
      <c r="I16" s="858"/>
      <c r="J16" s="858"/>
      <c r="K16" s="858"/>
      <c r="L16" s="858"/>
    </row>
    <row r="17" spans="1:18">
      <c r="A17" s="854" t="s">
        <v>8698</v>
      </c>
      <c r="D17" s="857">
        <f t="shared" ref="D17:I17" si="18">MAX(D9,D11,D13)-MIN(D9,D11,D13)</f>
        <v>6640</v>
      </c>
      <c r="E17" s="857">
        <f t="shared" si="18"/>
        <v>7224</v>
      </c>
      <c r="F17" s="857">
        <f t="shared" si="18"/>
        <v>8423</v>
      </c>
      <c r="G17" s="857">
        <f t="shared" si="18"/>
        <v>9011</v>
      </c>
      <c r="H17" s="857">
        <f t="shared" si="18"/>
        <v>9353</v>
      </c>
      <c r="I17" s="857">
        <f t="shared" si="18"/>
        <v>11133</v>
      </c>
      <c r="J17" s="857">
        <f t="shared" ref="J17:K17" si="19">MAX(J9,J11,J13)-MIN(J9,J11,J13)</f>
        <v>12094</v>
      </c>
      <c r="K17" s="857">
        <f t="shared" si="19"/>
        <v>13056</v>
      </c>
      <c r="L17" s="857">
        <f t="shared" ref="L17" si="20">MAX(L9,L11,L13)-MIN(L9,L11,L13)</f>
        <v>9559</v>
      </c>
    </row>
    <row r="18" spans="1:18">
      <c r="D18" s="858"/>
      <c r="E18" s="858"/>
      <c r="F18" s="858"/>
      <c r="G18" s="858"/>
      <c r="H18" s="858"/>
      <c r="I18" s="858"/>
      <c r="J18" s="858"/>
      <c r="K18" s="858"/>
      <c r="L18" s="858"/>
    </row>
    <row r="19" spans="1:18">
      <c r="A19" s="860" t="s">
        <v>8701</v>
      </c>
      <c r="D19" s="857">
        <f t="shared" ref="D19:I19" si="21">STDEVP(D9,D11,D13)</f>
        <v>3004.1899999093857</v>
      </c>
      <c r="E19" s="857">
        <f t="shared" si="21"/>
        <v>3365.1638890253175</v>
      </c>
      <c r="F19" s="857">
        <f t="shared" si="21"/>
        <v>3861.8334448232686</v>
      </c>
      <c r="G19" s="857">
        <f t="shared" si="21"/>
        <v>4042.3607239114899</v>
      </c>
      <c r="H19" s="857">
        <f t="shared" si="21"/>
        <v>4091.9019484288178</v>
      </c>
      <c r="I19" s="857">
        <f t="shared" si="21"/>
        <v>4800.7612127893035</v>
      </c>
      <c r="J19" s="857">
        <f t="shared" ref="J19:K19" si="22">STDEVP(J9,J11,J13)</f>
        <v>5081.8048193749264</v>
      </c>
      <c r="K19" s="857">
        <f t="shared" si="22"/>
        <v>5470.4640469423512</v>
      </c>
      <c r="L19" s="857">
        <f t="shared" ref="L19" si="23">STDEVP(L9,L11,L13)</f>
        <v>4151.6767964549235</v>
      </c>
    </row>
    <row r="20" spans="1:18">
      <c r="D20" s="858"/>
      <c r="E20" s="858"/>
      <c r="F20" s="858"/>
      <c r="G20" s="858"/>
      <c r="H20" s="858"/>
      <c r="I20" s="858"/>
      <c r="J20" s="858"/>
      <c r="K20" s="858"/>
      <c r="L20" s="858"/>
    </row>
    <row r="21" spans="1:18">
      <c r="A21" s="854" t="s">
        <v>6957</v>
      </c>
      <c r="B21" s="854" t="s">
        <v>8398</v>
      </c>
      <c r="C21" s="4" t="s">
        <v>764</v>
      </c>
      <c r="D21" s="861">
        <v>7121</v>
      </c>
      <c r="E21" s="861">
        <v>7111</v>
      </c>
      <c r="F21" s="861">
        <v>7131</v>
      </c>
      <c r="G21" s="861">
        <v>7096</v>
      </c>
      <c r="H21" s="48">
        <v>6973</v>
      </c>
      <c r="I21" s="48">
        <v>6876</v>
      </c>
      <c r="J21" s="48">
        <v>6616</v>
      </c>
      <c r="K21" s="48">
        <v>6976</v>
      </c>
      <c r="L21" s="48">
        <v>6925</v>
      </c>
      <c r="N21" s="854" t="s">
        <v>5692</v>
      </c>
      <c r="P21" s="4"/>
      <c r="R21" s="4"/>
    </row>
    <row r="22" spans="1:18">
      <c r="A22" s="854" t="s">
        <v>6959</v>
      </c>
      <c r="B22" s="854" t="s">
        <v>6443</v>
      </c>
      <c r="C22" s="4" t="s">
        <v>765</v>
      </c>
      <c r="D22" s="861">
        <v>8032</v>
      </c>
      <c r="E22" s="861">
        <v>8208</v>
      </c>
      <c r="F22" s="861">
        <v>8449</v>
      </c>
      <c r="G22" s="861">
        <v>8575</v>
      </c>
      <c r="H22" s="48">
        <v>8642</v>
      </c>
      <c r="I22" s="48">
        <v>8444</v>
      </c>
      <c r="J22" s="48">
        <v>8162</v>
      </c>
      <c r="K22" s="48">
        <v>8641</v>
      </c>
      <c r="L22" s="48">
        <v>8702</v>
      </c>
      <c r="N22" s="854" t="s">
        <v>5692</v>
      </c>
      <c r="P22" s="4"/>
      <c r="R22" s="4"/>
    </row>
    <row r="23" spans="1:18">
      <c r="A23" s="854" t="s">
        <v>6961</v>
      </c>
      <c r="B23" s="854" t="s">
        <v>8243</v>
      </c>
      <c r="C23" s="4" t="s">
        <v>766</v>
      </c>
      <c r="D23" s="861">
        <v>7130</v>
      </c>
      <c r="E23" s="861">
        <v>6996</v>
      </c>
      <c r="F23" s="861">
        <v>7070</v>
      </c>
      <c r="G23" s="861">
        <v>6966</v>
      </c>
      <c r="H23" s="48">
        <v>6933</v>
      </c>
      <c r="I23" s="48">
        <v>6818</v>
      </c>
      <c r="J23" s="48">
        <v>6509</v>
      </c>
      <c r="K23" s="48">
        <v>6806</v>
      </c>
      <c r="L23" s="48">
        <v>6602</v>
      </c>
      <c r="N23" s="854" t="s">
        <v>5692</v>
      </c>
      <c r="P23" s="4"/>
      <c r="R23" s="4"/>
    </row>
    <row r="24" spans="1:18">
      <c r="A24" s="854" t="s">
        <v>6963</v>
      </c>
      <c r="B24" s="854" t="s">
        <v>8244</v>
      </c>
      <c r="C24" s="4" t="s">
        <v>767</v>
      </c>
      <c r="D24" s="861">
        <v>4784</v>
      </c>
      <c r="E24" s="861">
        <v>4894</v>
      </c>
      <c r="F24" s="861">
        <v>4919</v>
      </c>
      <c r="G24" s="861">
        <v>5131</v>
      </c>
      <c r="H24" s="48">
        <v>5262</v>
      </c>
      <c r="I24" s="48">
        <v>5070</v>
      </c>
      <c r="J24" s="48">
        <v>4930</v>
      </c>
      <c r="K24" s="48">
        <v>5064</v>
      </c>
      <c r="L24" s="48">
        <v>5115</v>
      </c>
      <c r="N24" s="854" t="s">
        <v>5692</v>
      </c>
      <c r="P24" s="4"/>
      <c r="R24" s="4"/>
    </row>
    <row r="25" spans="1:18">
      <c r="A25" s="854" t="s">
        <v>6965</v>
      </c>
      <c r="B25" s="854" t="s">
        <v>7109</v>
      </c>
      <c r="C25" s="4" t="s">
        <v>768</v>
      </c>
      <c r="D25" s="861">
        <v>6788</v>
      </c>
      <c r="E25" s="861">
        <v>6756</v>
      </c>
      <c r="F25" s="861">
        <v>6732</v>
      </c>
      <c r="G25" s="861">
        <v>6673</v>
      </c>
      <c r="H25" s="48">
        <v>6783</v>
      </c>
      <c r="I25" s="48">
        <v>6568</v>
      </c>
      <c r="J25" s="48">
        <v>6394</v>
      </c>
      <c r="K25" s="48">
        <v>6636</v>
      </c>
      <c r="L25" s="48">
        <v>6706</v>
      </c>
      <c r="N25" s="854" t="s">
        <v>5689</v>
      </c>
      <c r="P25" s="4"/>
      <c r="R25" s="4"/>
    </row>
    <row r="26" spans="1:18">
      <c r="A26" s="854" t="s">
        <v>6997</v>
      </c>
      <c r="B26" s="855" t="s">
        <v>7110</v>
      </c>
      <c r="C26" s="4" t="s">
        <v>769</v>
      </c>
      <c r="D26" s="861">
        <v>6964</v>
      </c>
      <c r="E26" s="861">
        <v>6991</v>
      </c>
      <c r="F26" s="861">
        <v>7113</v>
      </c>
      <c r="G26" s="861">
        <v>7173</v>
      </c>
      <c r="H26" s="48">
        <v>7092</v>
      </c>
      <c r="I26" s="48">
        <v>6956</v>
      </c>
      <c r="J26" s="48">
        <v>6651</v>
      </c>
      <c r="K26" s="48">
        <v>6804</v>
      </c>
      <c r="L26" s="48">
        <v>6882</v>
      </c>
      <c r="N26" s="854" t="s">
        <v>5692</v>
      </c>
      <c r="P26" s="4"/>
      <c r="R26" s="4"/>
    </row>
    <row r="27" spans="1:18">
      <c r="A27" s="854" t="s">
        <v>6999</v>
      </c>
      <c r="B27" s="854" t="s">
        <v>7111</v>
      </c>
      <c r="C27" s="4" t="s">
        <v>770</v>
      </c>
      <c r="D27" s="861">
        <v>7148</v>
      </c>
      <c r="E27" s="861">
        <v>7170</v>
      </c>
      <c r="F27" s="861">
        <v>7310</v>
      </c>
      <c r="G27" s="861">
        <v>7229</v>
      </c>
      <c r="H27" s="48">
        <v>7418</v>
      </c>
      <c r="I27" s="48">
        <v>7228</v>
      </c>
      <c r="J27" s="48">
        <v>6935</v>
      </c>
      <c r="K27" s="48">
        <v>7124</v>
      </c>
      <c r="L27" s="48">
        <v>7228</v>
      </c>
      <c r="N27" s="854" t="s">
        <v>5692</v>
      </c>
      <c r="P27" s="4"/>
      <c r="R27" s="4"/>
    </row>
    <row r="28" spans="1:18">
      <c r="A28" s="854" t="s">
        <v>7001</v>
      </c>
      <c r="B28" s="854" t="s">
        <v>7112</v>
      </c>
      <c r="C28" s="4" t="s">
        <v>771</v>
      </c>
      <c r="D28" s="861">
        <v>6864</v>
      </c>
      <c r="E28" s="861">
        <v>6706</v>
      </c>
      <c r="F28" s="861">
        <v>6809</v>
      </c>
      <c r="G28" s="861">
        <v>6724</v>
      </c>
      <c r="H28" s="48">
        <v>6871</v>
      </c>
      <c r="I28" s="48">
        <v>6577</v>
      </c>
      <c r="J28" s="48">
        <v>6323</v>
      </c>
      <c r="K28" s="48">
        <v>6602</v>
      </c>
      <c r="L28" s="48">
        <v>6592</v>
      </c>
      <c r="N28" s="854" t="s">
        <v>5689</v>
      </c>
      <c r="P28" s="4"/>
      <c r="R28" s="4"/>
    </row>
    <row r="29" spans="1:18">
      <c r="A29" s="854" t="s">
        <v>7003</v>
      </c>
      <c r="B29" s="854" t="s">
        <v>8833</v>
      </c>
      <c r="C29" s="4" t="s">
        <v>772</v>
      </c>
      <c r="D29" s="861">
        <v>6639</v>
      </c>
      <c r="E29" s="861">
        <v>6649</v>
      </c>
      <c r="F29" s="861">
        <v>6700</v>
      </c>
      <c r="G29" s="861">
        <v>6780</v>
      </c>
      <c r="H29" s="48">
        <v>6727</v>
      </c>
      <c r="I29" s="48">
        <v>6499</v>
      </c>
      <c r="J29" s="48">
        <v>6477</v>
      </c>
      <c r="K29" s="48">
        <v>6628</v>
      </c>
      <c r="L29" s="48">
        <v>6479</v>
      </c>
      <c r="N29" s="854" t="s">
        <v>5692</v>
      </c>
      <c r="P29" s="4"/>
      <c r="R29" s="4"/>
    </row>
    <row r="30" spans="1:18">
      <c r="A30" s="854" t="s">
        <v>7005</v>
      </c>
      <c r="B30" s="854" t="s">
        <v>7113</v>
      </c>
      <c r="C30" s="4" t="s">
        <v>773</v>
      </c>
      <c r="D30" s="861">
        <v>5021</v>
      </c>
      <c r="E30" s="861">
        <v>4994</v>
      </c>
      <c r="F30" s="861">
        <v>4958</v>
      </c>
      <c r="G30" s="861">
        <v>4994</v>
      </c>
      <c r="H30" s="48">
        <v>4940</v>
      </c>
      <c r="I30" s="48">
        <v>4830</v>
      </c>
      <c r="J30" s="48">
        <v>4765</v>
      </c>
      <c r="K30" s="48">
        <v>4943</v>
      </c>
      <c r="L30" s="48">
        <v>4900</v>
      </c>
      <c r="N30" s="854" t="s">
        <v>5689</v>
      </c>
      <c r="P30" s="4"/>
      <c r="R30" s="4"/>
    </row>
    <row r="31" spans="1:18">
      <c r="A31" s="854" t="s">
        <v>7007</v>
      </c>
      <c r="B31" s="854" t="s">
        <v>7114</v>
      </c>
      <c r="C31" s="4" t="s">
        <v>774</v>
      </c>
      <c r="D31" s="861">
        <v>6713</v>
      </c>
      <c r="E31" s="861">
        <v>6562</v>
      </c>
      <c r="F31" s="861">
        <v>6549</v>
      </c>
      <c r="G31" s="861">
        <v>6550</v>
      </c>
      <c r="H31" s="48">
        <v>6570</v>
      </c>
      <c r="I31" s="48">
        <v>6392</v>
      </c>
      <c r="J31" s="48">
        <v>6218</v>
      </c>
      <c r="K31" s="48">
        <v>6452</v>
      </c>
      <c r="L31" s="48">
        <v>6488</v>
      </c>
      <c r="N31" s="854" t="s">
        <v>5689</v>
      </c>
      <c r="P31" s="4"/>
      <c r="R31" s="4"/>
    </row>
    <row r="32" spans="1:18">
      <c r="A32" s="854" t="s">
        <v>7009</v>
      </c>
      <c r="B32" s="854" t="s">
        <v>7115</v>
      </c>
      <c r="C32" s="4" t="s">
        <v>775</v>
      </c>
      <c r="D32" s="857">
        <v>6939</v>
      </c>
      <c r="E32" s="857">
        <v>6931</v>
      </c>
      <c r="F32" s="857">
        <v>6885</v>
      </c>
      <c r="G32" s="857">
        <v>6878</v>
      </c>
      <c r="H32" s="48">
        <v>6833</v>
      </c>
      <c r="I32" s="48">
        <v>6725</v>
      </c>
      <c r="J32" s="48">
        <v>6632</v>
      </c>
      <c r="K32" s="48">
        <v>6959</v>
      </c>
      <c r="L32" s="48">
        <v>7032</v>
      </c>
      <c r="N32" s="854" t="s">
        <v>5692</v>
      </c>
      <c r="P32" s="4"/>
      <c r="R32" s="4"/>
    </row>
    <row r="33" spans="1:18">
      <c r="A33" s="854" t="s">
        <v>7011</v>
      </c>
      <c r="B33" s="854" t="s">
        <v>7116</v>
      </c>
      <c r="C33" s="4" t="s">
        <v>776</v>
      </c>
      <c r="D33" s="861">
        <v>7595</v>
      </c>
      <c r="E33" s="861">
        <v>7707</v>
      </c>
      <c r="F33" s="861">
        <v>7797</v>
      </c>
      <c r="G33" s="861">
        <v>7837</v>
      </c>
      <c r="H33" s="48">
        <v>7988</v>
      </c>
      <c r="I33" s="48">
        <v>7839</v>
      </c>
      <c r="J33" s="48">
        <v>7808</v>
      </c>
      <c r="K33" s="48">
        <v>8209</v>
      </c>
      <c r="L33" s="48">
        <v>8333</v>
      </c>
      <c r="N33" s="854" t="s">
        <v>5689</v>
      </c>
      <c r="P33" s="4"/>
      <c r="R33" s="4"/>
    </row>
    <row r="34" spans="1:18">
      <c r="A34" s="854" t="s">
        <v>7013</v>
      </c>
      <c r="B34" s="854" t="s">
        <v>7117</v>
      </c>
      <c r="C34" s="4" t="s">
        <v>777</v>
      </c>
      <c r="D34" s="857">
        <v>7325</v>
      </c>
      <c r="E34" s="857">
        <v>7278</v>
      </c>
      <c r="F34" s="857">
        <v>7382</v>
      </c>
      <c r="G34" s="857">
        <v>7253</v>
      </c>
      <c r="H34" s="48">
        <v>7199</v>
      </c>
      <c r="I34" s="48">
        <v>7018</v>
      </c>
      <c r="J34" s="48">
        <v>6837</v>
      </c>
      <c r="K34" s="48">
        <v>7179</v>
      </c>
      <c r="L34" s="48">
        <v>7143</v>
      </c>
      <c r="N34" s="854" t="s">
        <v>5692</v>
      </c>
      <c r="P34" s="4"/>
      <c r="R34" s="4"/>
    </row>
    <row r="35" spans="1:18">
      <c r="A35" s="854" t="s">
        <v>7015</v>
      </c>
      <c r="B35" s="854" t="s">
        <v>4381</v>
      </c>
      <c r="C35" s="4" t="s">
        <v>778</v>
      </c>
      <c r="D35" s="861">
        <v>6561</v>
      </c>
      <c r="E35" s="861">
        <v>6605</v>
      </c>
      <c r="F35" s="861">
        <v>6657</v>
      </c>
      <c r="G35" s="861">
        <v>6716</v>
      </c>
      <c r="H35" s="48">
        <v>6744</v>
      </c>
      <c r="I35" s="48">
        <v>6531</v>
      </c>
      <c r="J35" s="48">
        <v>6397</v>
      </c>
      <c r="K35" s="48">
        <v>6687</v>
      </c>
      <c r="L35" s="48">
        <v>6693</v>
      </c>
      <c r="N35" s="854" t="s">
        <v>5689</v>
      </c>
      <c r="P35" s="4"/>
      <c r="R35" s="4"/>
    </row>
    <row r="36" spans="1:18">
      <c r="A36" s="854" t="s">
        <v>7017</v>
      </c>
      <c r="B36" s="854" t="s">
        <v>7118</v>
      </c>
      <c r="C36" s="4" t="s">
        <v>779</v>
      </c>
      <c r="D36" s="861">
        <v>7692</v>
      </c>
      <c r="E36" s="861">
        <v>7780</v>
      </c>
      <c r="F36" s="861">
        <v>7810</v>
      </c>
      <c r="G36" s="861">
        <v>7733</v>
      </c>
      <c r="H36" s="48">
        <v>7781</v>
      </c>
      <c r="I36" s="48">
        <v>7815</v>
      </c>
      <c r="J36" s="48">
        <v>7777</v>
      </c>
      <c r="K36" s="48">
        <v>8096</v>
      </c>
      <c r="L36" s="48">
        <v>8125</v>
      </c>
      <c r="N36" s="854" t="s">
        <v>5692</v>
      </c>
      <c r="P36" s="4"/>
      <c r="R36" s="4"/>
    </row>
    <row r="37" spans="1:18">
      <c r="A37" s="854"/>
      <c r="B37" s="854"/>
      <c r="C37" s="854"/>
      <c r="D37" s="857"/>
      <c r="E37" s="857"/>
      <c r="F37" s="857"/>
      <c r="G37" s="857"/>
      <c r="H37" s="857"/>
      <c r="I37" s="857"/>
      <c r="J37" s="857"/>
      <c r="K37" s="857"/>
      <c r="L37" s="857"/>
      <c r="N37" s="854"/>
    </row>
    <row r="38" spans="1:18">
      <c r="A38" s="854" t="s">
        <v>1893</v>
      </c>
    </row>
    <row r="39" spans="1:18">
      <c r="A39" s="855" t="s">
        <v>1894</v>
      </c>
    </row>
    <row r="40" spans="1:18">
      <c r="A40" s="862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9 E5:E19 F5:F19 G5:G19 H3:H4 H5:H19 I3:I19 J3:J19 K3:K19 L3:L19" unlocked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46"/>
  <sheetViews>
    <sheetView showGridLines="0" zoomScaleNormal="100" workbookViewId="0"/>
  </sheetViews>
  <sheetFormatPr defaultColWidth="12.5703125" defaultRowHeight="15"/>
  <cols>
    <col min="1" max="1" width="5" style="73" customWidth="1"/>
    <col min="2" max="2" width="43.5703125" style="73" customWidth="1"/>
    <col min="3" max="3" width="11.28515625" style="73" customWidth="1"/>
    <col min="4" max="12" width="10" style="73" customWidth="1"/>
    <col min="13" max="13" width="2.28515625" style="73" customWidth="1"/>
    <col min="14" max="14" width="31.5703125" style="73" customWidth="1"/>
    <col min="15" max="15" width="12.5703125" style="73"/>
    <col min="16" max="16" width="12.5703125" style="74"/>
    <col min="17" max="16384" width="12.5703125" style="73"/>
  </cols>
  <sheetData>
    <row r="1" spans="1:16" s="53" customFormat="1">
      <c r="A1" s="54" t="s">
        <v>8847</v>
      </c>
      <c r="D1" s="55">
        <v>2010</v>
      </c>
      <c r="E1" s="55">
        <v>2011</v>
      </c>
      <c r="F1" s="55">
        <v>2012</v>
      </c>
      <c r="G1" s="55">
        <v>2013</v>
      </c>
      <c r="H1" s="55">
        <v>2014</v>
      </c>
      <c r="I1" s="55">
        <v>2015</v>
      </c>
      <c r="J1" s="55">
        <v>2016</v>
      </c>
      <c r="K1" s="55">
        <v>2017</v>
      </c>
      <c r="L1" s="55">
        <v>2018</v>
      </c>
      <c r="P1" s="52"/>
    </row>
    <row r="2" spans="1:16" s="53" customFormat="1">
      <c r="P2" s="52"/>
    </row>
    <row r="3" spans="1:16" s="53" customFormat="1">
      <c r="A3" s="51" t="s">
        <v>1908</v>
      </c>
      <c r="C3" s="51"/>
      <c r="D3" s="56">
        <f t="shared" ref="D3:I3" si="0">SUM(D7:D17)</f>
        <v>994119</v>
      </c>
      <c r="E3" s="56">
        <f t="shared" si="0"/>
        <v>1003482</v>
      </c>
      <c r="F3" s="56">
        <f t="shared" si="0"/>
        <v>1009878</v>
      </c>
      <c r="G3" s="56">
        <f t="shared" si="0"/>
        <v>1017084</v>
      </c>
      <c r="H3" s="56">
        <f t="shared" si="0"/>
        <v>1022701</v>
      </c>
      <c r="I3" s="56">
        <f t="shared" si="0"/>
        <v>1008191</v>
      </c>
      <c r="J3" s="56">
        <f t="shared" ref="J3:K3" si="1">SUM(J7:J17)</f>
        <v>990435</v>
      </c>
      <c r="K3" s="56">
        <f t="shared" si="1"/>
        <v>1015196</v>
      </c>
      <c r="L3" s="56">
        <f t="shared" ref="L3" si="2">SUM(L7:L17)</f>
        <v>1021243</v>
      </c>
      <c r="P3" s="52"/>
    </row>
    <row r="4" spans="1:16" s="53" customFormat="1" ht="15.75" thickBot="1">
      <c r="A4" s="51" t="s">
        <v>1909</v>
      </c>
      <c r="C4" s="51"/>
      <c r="D4" s="57">
        <f t="shared" ref="D4:I4" si="3">D81</f>
        <v>166253</v>
      </c>
      <c r="E4" s="57">
        <f t="shared" si="3"/>
        <v>165725</v>
      </c>
      <c r="F4" s="57">
        <f t="shared" si="3"/>
        <v>164387</v>
      </c>
      <c r="G4" s="57">
        <f t="shared" si="3"/>
        <v>162415</v>
      </c>
      <c r="H4" s="57">
        <f t="shared" si="3"/>
        <v>164847</v>
      </c>
      <c r="I4" s="57">
        <f t="shared" si="3"/>
        <v>153712</v>
      </c>
      <c r="J4" s="57">
        <f t="shared" ref="J4:K4" si="4">J81</f>
        <v>148179</v>
      </c>
      <c r="K4" s="57">
        <f t="shared" si="4"/>
        <v>150842</v>
      </c>
      <c r="L4" s="57">
        <f t="shared" ref="L4" si="5">L81</f>
        <v>152503</v>
      </c>
      <c r="P4" s="52"/>
    </row>
    <row r="5" spans="1:16" s="53" customFormat="1" ht="15.75" thickBot="1">
      <c r="D5" s="57">
        <f t="shared" ref="D5:I5" si="6">SUM(D3:D4)</f>
        <v>1160372</v>
      </c>
      <c r="E5" s="57">
        <f t="shared" si="6"/>
        <v>1169207</v>
      </c>
      <c r="F5" s="57">
        <f t="shared" si="6"/>
        <v>1174265</v>
      </c>
      <c r="G5" s="57">
        <f t="shared" si="6"/>
        <v>1179499</v>
      </c>
      <c r="H5" s="57">
        <f t="shared" si="6"/>
        <v>1187548</v>
      </c>
      <c r="I5" s="57">
        <f t="shared" si="6"/>
        <v>1161903</v>
      </c>
      <c r="J5" s="57">
        <f t="shared" ref="J5:K5" si="7">SUM(J3:J4)</f>
        <v>1138614</v>
      </c>
      <c r="K5" s="57">
        <f t="shared" si="7"/>
        <v>1166038</v>
      </c>
      <c r="L5" s="57">
        <f t="shared" ref="L5" si="8">SUM(L3:L4)</f>
        <v>1173746</v>
      </c>
      <c r="P5" s="52"/>
    </row>
    <row r="6" spans="1:16" s="53" customFormat="1">
      <c r="D6" s="58"/>
      <c r="E6" s="58"/>
      <c r="F6" s="58"/>
      <c r="G6" s="58"/>
      <c r="H6" s="58"/>
      <c r="I6" s="58"/>
      <c r="J6" s="58"/>
      <c r="K6" s="58"/>
      <c r="L6" s="58"/>
      <c r="P6" s="52"/>
    </row>
    <row r="7" spans="1:16" s="53" customFormat="1">
      <c r="A7" s="51" t="s">
        <v>1910</v>
      </c>
      <c r="C7" s="51"/>
      <c r="D7" s="56">
        <f t="shared" ref="D7:I7" si="9">D108</f>
        <v>121140</v>
      </c>
      <c r="E7" s="56">
        <f t="shared" si="9"/>
        <v>122037</v>
      </c>
      <c r="F7" s="56">
        <f t="shared" si="9"/>
        <v>122819</v>
      </c>
      <c r="G7" s="56">
        <f t="shared" si="9"/>
        <v>125592</v>
      </c>
      <c r="H7" s="56">
        <f t="shared" si="9"/>
        <v>129203</v>
      </c>
      <c r="I7" s="56">
        <f t="shared" si="9"/>
        <v>127353</v>
      </c>
      <c r="J7" s="56">
        <f t="shared" ref="J7:K7" si="10">J108</f>
        <v>124473</v>
      </c>
      <c r="K7" s="56">
        <f t="shared" si="10"/>
        <v>128131</v>
      </c>
      <c r="L7" s="56">
        <f t="shared" ref="L7" si="11">L108</f>
        <v>129390</v>
      </c>
      <c r="N7" s="59"/>
      <c r="P7" s="52"/>
    </row>
    <row r="8" spans="1:16" s="53" customFormat="1">
      <c r="A8" s="51" t="s">
        <v>3626</v>
      </c>
      <c r="C8" s="51"/>
      <c r="D8" s="56">
        <f t="shared" ref="D8:I8" si="12">D150</f>
        <v>88153</v>
      </c>
      <c r="E8" s="56">
        <f t="shared" si="12"/>
        <v>89153</v>
      </c>
      <c r="F8" s="56">
        <f t="shared" si="12"/>
        <v>89448</v>
      </c>
      <c r="G8" s="56">
        <f t="shared" si="12"/>
        <v>89482</v>
      </c>
      <c r="H8" s="56">
        <f t="shared" si="12"/>
        <v>87332</v>
      </c>
      <c r="I8" s="56">
        <f t="shared" si="12"/>
        <v>87590</v>
      </c>
      <c r="J8" s="56">
        <f t="shared" ref="J8:K8" si="13">J150</f>
        <v>86488</v>
      </c>
      <c r="K8" s="56">
        <f t="shared" si="13"/>
        <v>89919</v>
      </c>
      <c r="L8" s="56">
        <f t="shared" ref="L8" si="14">L150</f>
        <v>90765</v>
      </c>
      <c r="N8" s="59"/>
      <c r="P8" s="52"/>
    </row>
    <row r="9" spans="1:16" s="53" customFormat="1">
      <c r="A9" s="51" t="s">
        <v>3627</v>
      </c>
      <c r="C9" s="51"/>
      <c r="D9" s="56">
        <f t="shared" ref="D9:I9" si="15">D198</f>
        <v>93921</v>
      </c>
      <c r="E9" s="56">
        <f t="shared" si="15"/>
        <v>94971</v>
      </c>
      <c r="F9" s="56">
        <f t="shared" si="15"/>
        <v>96084</v>
      </c>
      <c r="G9" s="56">
        <f t="shared" si="15"/>
        <v>96605</v>
      </c>
      <c r="H9" s="56">
        <f t="shared" si="15"/>
        <v>97603</v>
      </c>
      <c r="I9" s="56">
        <f t="shared" si="15"/>
        <v>95729</v>
      </c>
      <c r="J9" s="56">
        <f t="shared" ref="J9:K9" si="16">J198</f>
        <v>94165</v>
      </c>
      <c r="K9" s="56">
        <f t="shared" si="16"/>
        <v>95523</v>
      </c>
      <c r="L9" s="56">
        <f t="shared" ref="L9" si="17">L198</f>
        <v>97119</v>
      </c>
      <c r="N9" s="59"/>
      <c r="P9" s="52"/>
    </row>
    <row r="10" spans="1:16" s="53" customFormat="1">
      <c r="A10" s="51" t="s">
        <v>3628</v>
      </c>
      <c r="C10" s="51"/>
      <c r="D10" s="56">
        <f t="shared" ref="D10:I10" si="18">D222</f>
        <v>87507</v>
      </c>
      <c r="E10" s="56">
        <f t="shared" si="18"/>
        <v>88149</v>
      </c>
      <c r="F10" s="56">
        <f t="shared" si="18"/>
        <v>88814</v>
      </c>
      <c r="G10" s="56">
        <f t="shared" si="18"/>
        <v>89310</v>
      </c>
      <c r="H10" s="56">
        <f t="shared" si="18"/>
        <v>89834</v>
      </c>
      <c r="I10" s="56">
        <f t="shared" si="18"/>
        <v>88502</v>
      </c>
      <c r="J10" s="56">
        <f t="shared" ref="J10:K10" si="19">J222</f>
        <v>87138</v>
      </c>
      <c r="K10" s="56">
        <f t="shared" si="19"/>
        <v>88532</v>
      </c>
      <c r="L10" s="56">
        <f t="shared" ref="L10" si="20">L222</f>
        <v>89417</v>
      </c>
      <c r="N10" s="59"/>
      <c r="P10" s="52"/>
    </row>
    <row r="11" spans="1:16" s="53" customFormat="1">
      <c r="A11" s="51" t="s">
        <v>3629</v>
      </c>
      <c r="C11" s="51"/>
      <c r="D11" s="56">
        <f t="shared" ref="D11:I11" si="21">D247</f>
        <v>61202</v>
      </c>
      <c r="E11" s="56">
        <f t="shared" si="21"/>
        <v>61153</v>
      </c>
      <c r="F11" s="56">
        <f t="shared" si="21"/>
        <v>61856</v>
      </c>
      <c r="G11" s="56">
        <f t="shared" si="21"/>
        <v>62526</v>
      </c>
      <c r="H11" s="56">
        <f t="shared" si="21"/>
        <v>62965</v>
      </c>
      <c r="I11" s="56">
        <f t="shared" si="21"/>
        <v>61777</v>
      </c>
      <c r="J11" s="56">
        <f t="shared" ref="J11:K11" si="22">J247</f>
        <v>60943</v>
      </c>
      <c r="K11" s="56">
        <f t="shared" si="22"/>
        <v>62217</v>
      </c>
      <c r="L11" s="56">
        <f t="shared" ref="L11" si="23">L247</f>
        <v>62155</v>
      </c>
      <c r="N11" s="59"/>
      <c r="P11" s="52"/>
    </row>
    <row r="12" spans="1:16" s="53" customFormat="1">
      <c r="A12" s="51" t="s">
        <v>3630</v>
      </c>
      <c r="C12" s="51"/>
      <c r="D12" s="56">
        <f t="shared" ref="D12:I12" si="24">D273</f>
        <v>67750</v>
      </c>
      <c r="E12" s="56">
        <f t="shared" si="24"/>
        <v>68308</v>
      </c>
      <c r="F12" s="56">
        <f t="shared" si="24"/>
        <v>69160</v>
      </c>
      <c r="G12" s="56">
        <f t="shared" si="24"/>
        <v>69781</v>
      </c>
      <c r="H12" s="56">
        <f t="shared" si="24"/>
        <v>69049</v>
      </c>
      <c r="I12" s="56">
        <f t="shared" si="24"/>
        <v>69113</v>
      </c>
      <c r="J12" s="56">
        <f t="shared" ref="J12:K12" si="25">J273</f>
        <v>67763</v>
      </c>
      <c r="K12" s="56">
        <f t="shared" si="25"/>
        <v>69456</v>
      </c>
      <c r="L12" s="56">
        <f t="shared" ref="L12" si="26">L273</f>
        <v>70392</v>
      </c>
      <c r="N12" s="59"/>
      <c r="P12" s="52"/>
    </row>
    <row r="13" spans="1:16" s="53" customFormat="1">
      <c r="A13" s="51" t="s">
        <v>3631</v>
      </c>
      <c r="C13" s="51"/>
      <c r="D13" s="56">
        <f t="shared" ref="D13:I13" si="27">D296</f>
        <v>92494</v>
      </c>
      <c r="E13" s="56">
        <f t="shared" si="27"/>
        <v>93260</v>
      </c>
      <c r="F13" s="56">
        <f t="shared" si="27"/>
        <v>93423</v>
      </c>
      <c r="G13" s="56">
        <f t="shared" si="27"/>
        <v>94029</v>
      </c>
      <c r="H13" s="56">
        <f t="shared" si="27"/>
        <v>94362</v>
      </c>
      <c r="I13" s="56">
        <f t="shared" si="27"/>
        <v>93180</v>
      </c>
      <c r="J13" s="56">
        <f t="shared" ref="J13:K13" si="28">J296</f>
        <v>92313</v>
      </c>
      <c r="K13" s="56">
        <f t="shared" si="28"/>
        <v>94390</v>
      </c>
      <c r="L13" s="56">
        <f t="shared" ref="L13" si="29">L296</f>
        <v>95026</v>
      </c>
      <c r="N13" s="59"/>
      <c r="P13" s="52"/>
    </row>
    <row r="14" spans="1:16" s="53" customFormat="1">
      <c r="A14" s="51" t="s">
        <v>3622</v>
      </c>
      <c r="C14" s="51"/>
      <c r="D14" s="56">
        <f t="shared" ref="D14:I14" si="30">D320</f>
        <v>141194</v>
      </c>
      <c r="E14" s="56">
        <f t="shared" si="30"/>
        <v>142529</v>
      </c>
      <c r="F14" s="56">
        <f t="shared" si="30"/>
        <v>142229</v>
      </c>
      <c r="G14" s="56">
        <f t="shared" si="30"/>
        <v>142509</v>
      </c>
      <c r="H14" s="56">
        <f t="shared" si="30"/>
        <v>142854</v>
      </c>
      <c r="I14" s="56">
        <f t="shared" si="30"/>
        <v>140768</v>
      </c>
      <c r="J14" s="56">
        <f t="shared" ref="J14:K14" si="31">J320</f>
        <v>137973</v>
      </c>
      <c r="K14" s="56">
        <f t="shared" si="31"/>
        <v>140440</v>
      </c>
      <c r="L14" s="56">
        <f t="shared" ref="L14" si="32">L320</f>
        <v>140815</v>
      </c>
      <c r="N14" s="59"/>
      <c r="P14" s="52"/>
    </row>
    <row r="15" spans="1:16" s="53" customFormat="1">
      <c r="A15" s="51" t="s">
        <v>3623</v>
      </c>
      <c r="C15" s="51"/>
      <c r="D15" s="56">
        <f t="shared" ref="D15:I15" si="33">D365</f>
        <v>63054</v>
      </c>
      <c r="E15" s="56">
        <f t="shared" si="33"/>
        <v>64410</v>
      </c>
      <c r="F15" s="56">
        <f t="shared" si="33"/>
        <v>64751</v>
      </c>
      <c r="G15" s="56">
        <f t="shared" si="33"/>
        <v>64847</v>
      </c>
      <c r="H15" s="56">
        <f t="shared" si="33"/>
        <v>65082</v>
      </c>
      <c r="I15" s="56">
        <f t="shared" si="33"/>
        <v>63659</v>
      </c>
      <c r="J15" s="56">
        <f t="shared" ref="J15:K15" si="34">J365</f>
        <v>62487</v>
      </c>
      <c r="K15" s="56">
        <f t="shared" si="34"/>
        <v>65196</v>
      </c>
      <c r="L15" s="56">
        <f t="shared" ref="L15" si="35">L365</f>
        <v>64491</v>
      </c>
      <c r="N15" s="59"/>
      <c r="P15" s="52"/>
    </row>
    <row r="16" spans="1:16" s="53" customFormat="1">
      <c r="A16" s="51" t="s">
        <v>3624</v>
      </c>
      <c r="C16" s="51"/>
      <c r="D16" s="56">
        <f t="shared" ref="D16:I16" si="36">D387</f>
        <v>89524</v>
      </c>
      <c r="E16" s="56">
        <f t="shared" si="36"/>
        <v>89938</v>
      </c>
      <c r="F16" s="56">
        <f t="shared" si="36"/>
        <v>90838</v>
      </c>
      <c r="G16" s="56">
        <f t="shared" si="36"/>
        <v>91291</v>
      </c>
      <c r="H16" s="56">
        <f t="shared" si="36"/>
        <v>92465</v>
      </c>
      <c r="I16" s="56">
        <f t="shared" si="36"/>
        <v>91017</v>
      </c>
      <c r="J16" s="56">
        <f t="shared" ref="J16:K16" si="37">J387</f>
        <v>90897</v>
      </c>
      <c r="K16" s="56">
        <f t="shared" si="37"/>
        <v>93863</v>
      </c>
      <c r="L16" s="56">
        <f t="shared" ref="L16" si="38">L387</f>
        <v>93794</v>
      </c>
      <c r="N16" s="59"/>
      <c r="P16" s="52"/>
    </row>
    <row r="17" spans="1:16" s="53" customFormat="1">
      <c r="A17" s="51" t="s">
        <v>3625</v>
      </c>
      <c r="C17" s="51"/>
      <c r="D17" s="56">
        <f t="shared" ref="D17:I17" si="39">D421</f>
        <v>88180</v>
      </c>
      <c r="E17" s="56">
        <f t="shared" si="39"/>
        <v>89574</v>
      </c>
      <c r="F17" s="56">
        <f t="shared" si="39"/>
        <v>90456</v>
      </c>
      <c r="G17" s="56">
        <f t="shared" si="39"/>
        <v>91112</v>
      </c>
      <c r="H17" s="56">
        <f t="shared" si="39"/>
        <v>91952</v>
      </c>
      <c r="I17" s="56">
        <f t="shared" si="39"/>
        <v>89503</v>
      </c>
      <c r="J17" s="56">
        <f t="shared" ref="J17:K17" si="40">J421</f>
        <v>85795</v>
      </c>
      <c r="K17" s="56">
        <f t="shared" si="40"/>
        <v>87529</v>
      </c>
      <c r="L17" s="56">
        <f t="shared" ref="L17" si="41">L421</f>
        <v>87879</v>
      </c>
      <c r="N17" s="59"/>
      <c r="P17" s="52"/>
    </row>
    <row r="18" spans="1:16" s="53" customFormat="1">
      <c r="P18" s="52"/>
    </row>
    <row r="19" spans="1:16" s="53" customFormat="1">
      <c r="A19" s="53" t="s">
        <v>13399</v>
      </c>
      <c r="D19" s="58">
        <f t="shared" ref="D19:I19" si="42">D3/13</f>
        <v>76470.692307692312</v>
      </c>
      <c r="E19" s="58">
        <f t="shared" si="42"/>
        <v>77190.923076923078</v>
      </c>
      <c r="F19" s="58">
        <f t="shared" si="42"/>
        <v>77682.923076923078</v>
      </c>
      <c r="G19" s="58">
        <f t="shared" si="42"/>
        <v>78237.230769230766</v>
      </c>
      <c r="H19" s="58">
        <f t="shared" si="42"/>
        <v>78669.307692307688</v>
      </c>
      <c r="I19" s="58">
        <f t="shared" si="42"/>
        <v>77553.153846153844</v>
      </c>
      <c r="J19" s="58">
        <f t="shared" ref="J19:K19" si="43">J3/13</f>
        <v>76187.307692307688</v>
      </c>
      <c r="K19" s="58">
        <f t="shared" si="43"/>
        <v>78092</v>
      </c>
      <c r="L19" s="58">
        <f t="shared" ref="L19" si="44">L3/13</f>
        <v>78557.153846153844</v>
      </c>
      <c r="P19" s="52"/>
    </row>
    <row r="20" spans="1:16" s="53" customFormat="1">
      <c r="A20" s="51" t="s">
        <v>5338</v>
      </c>
      <c r="D20" s="56">
        <f t="shared" ref="D20:I20" si="45">D4/2</f>
        <v>83126.5</v>
      </c>
      <c r="E20" s="56">
        <f t="shared" si="45"/>
        <v>82862.5</v>
      </c>
      <c r="F20" s="56">
        <f t="shared" si="45"/>
        <v>82193.5</v>
      </c>
      <c r="G20" s="56">
        <f t="shared" si="45"/>
        <v>81207.5</v>
      </c>
      <c r="H20" s="56">
        <f t="shared" si="45"/>
        <v>82423.5</v>
      </c>
      <c r="I20" s="56">
        <f t="shared" si="45"/>
        <v>76856</v>
      </c>
      <c r="J20" s="56">
        <f t="shared" ref="J20:K20" si="46">J4/2</f>
        <v>74089.5</v>
      </c>
      <c r="K20" s="56">
        <f t="shared" si="46"/>
        <v>75421</v>
      </c>
      <c r="L20" s="56">
        <f t="shared" ref="L20" si="47">L4/2</f>
        <v>76251.5</v>
      </c>
      <c r="P20" s="52"/>
    </row>
    <row r="21" spans="1:16" s="53" customFormat="1">
      <c r="A21" s="51" t="s">
        <v>13400</v>
      </c>
      <c r="D21" s="56">
        <f t="shared" ref="D21:I21" si="48">D5/15</f>
        <v>77358.133333333331</v>
      </c>
      <c r="E21" s="56">
        <f t="shared" si="48"/>
        <v>77947.133333333331</v>
      </c>
      <c r="F21" s="56">
        <f t="shared" si="48"/>
        <v>78284.333333333328</v>
      </c>
      <c r="G21" s="56">
        <f t="shared" si="48"/>
        <v>78633.266666666663</v>
      </c>
      <c r="H21" s="56">
        <f t="shared" si="48"/>
        <v>79169.866666666669</v>
      </c>
      <c r="I21" s="56">
        <f t="shared" si="48"/>
        <v>77460.2</v>
      </c>
      <c r="J21" s="56">
        <f t="shared" ref="J21:K21" si="49">J5/15</f>
        <v>75907.600000000006</v>
      </c>
      <c r="K21" s="56">
        <f t="shared" si="49"/>
        <v>77735.866666666669</v>
      </c>
      <c r="L21" s="56">
        <f t="shared" ref="L21" si="50">L5/15</f>
        <v>78249.733333333337</v>
      </c>
      <c r="P21" s="52"/>
    </row>
    <row r="22" spans="1:16" s="53" customFormat="1">
      <c r="A22" s="51"/>
      <c r="D22" s="60"/>
      <c r="E22" s="60"/>
      <c r="F22" s="60"/>
      <c r="G22" s="60"/>
      <c r="H22" s="60"/>
      <c r="I22" s="60"/>
      <c r="J22" s="60"/>
      <c r="K22" s="60"/>
      <c r="L22" s="60"/>
      <c r="P22" s="52"/>
    </row>
    <row r="23" spans="1:16" s="53" customFormat="1">
      <c r="A23" s="51" t="s">
        <v>7158</v>
      </c>
      <c r="D23" s="56">
        <f t="shared" ref="D23:I23" si="51">D288</f>
        <v>7542</v>
      </c>
      <c r="E23" s="56">
        <f t="shared" si="51"/>
        <v>7498</v>
      </c>
      <c r="F23" s="56">
        <f t="shared" si="51"/>
        <v>7574</v>
      </c>
      <c r="G23" s="56">
        <f t="shared" si="51"/>
        <v>7556</v>
      </c>
      <c r="H23" s="56">
        <f t="shared" si="51"/>
        <v>7558</v>
      </c>
      <c r="I23" s="56">
        <f t="shared" si="51"/>
        <v>7633</v>
      </c>
      <c r="J23" s="56">
        <f t="shared" ref="J23:K23" si="52">J288</f>
        <v>7416</v>
      </c>
      <c r="K23" s="56">
        <f t="shared" si="52"/>
        <v>7573</v>
      </c>
      <c r="L23" s="56">
        <f t="shared" ref="L23" si="53">L288</f>
        <v>7647</v>
      </c>
      <c r="N23" s="51" t="s">
        <v>7159</v>
      </c>
      <c r="P23" s="52"/>
    </row>
    <row r="24" spans="1:16" s="53" customFormat="1" ht="15.75" thickBot="1">
      <c r="D24" s="57">
        <f t="shared" ref="D24:I24" si="54">D380</f>
        <v>63054</v>
      </c>
      <c r="E24" s="57">
        <f t="shared" si="54"/>
        <v>64410</v>
      </c>
      <c r="F24" s="57">
        <f t="shared" si="54"/>
        <v>64751</v>
      </c>
      <c r="G24" s="57">
        <f t="shared" si="54"/>
        <v>64847</v>
      </c>
      <c r="H24" s="57">
        <f t="shared" si="54"/>
        <v>65082</v>
      </c>
      <c r="I24" s="57">
        <f t="shared" si="54"/>
        <v>63659</v>
      </c>
      <c r="J24" s="57">
        <f t="shared" ref="J24:K24" si="55">J380</f>
        <v>62487</v>
      </c>
      <c r="K24" s="57">
        <f t="shared" si="55"/>
        <v>65196</v>
      </c>
      <c r="L24" s="57">
        <f t="shared" ref="L24" si="56">L380</f>
        <v>64491</v>
      </c>
      <c r="N24" s="51" t="s">
        <v>3375</v>
      </c>
      <c r="P24" s="52"/>
    </row>
    <row r="25" spans="1:16" s="53" customFormat="1" ht="15.75" thickBot="1">
      <c r="D25" s="57">
        <f t="shared" ref="D25:I25" si="57">D23+D24</f>
        <v>70596</v>
      </c>
      <c r="E25" s="57">
        <f t="shared" si="57"/>
        <v>71908</v>
      </c>
      <c r="F25" s="57">
        <f t="shared" si="57"/>
        <v>72325</v>
      </c>
      <c r="G25" s="57">
        <f t="shared" si="57"/>
        <v>72403</v>
      </c>
      <c r="H25" s="57">
        <f t="shared" si="57"/>
        <v>72640</v>
      </c>
      <c r="I25" s="57">
        <f t="shared" si="57"/>
        <v>71292</v>
      </c>
      <c r="J25" s="57">
        <f t="shared" ref="J25:K25" si="58">J23+J24</f>
        <v>69903</v>
      </c>
      <c r="K25" s="57">
        <f t="shared" si="58"/>
        <v>72769</v>
      </c>
      <c r="L25" s="57">
        <f t="shared" ref="L25" si="59">L23+L24</f>
        <v>72138</v>
      </c>
      <c r="P25" s="52"/>
    </row>
    <row r="26" spans="1:16" s="53" customFormat="1">
      <c r="D26" s="58"/>
      <c r="E26" s="58"/>
      <c r="F26" s="58"/>
      <c r="G26" s="58"/>
      <c r="H26" s="58"/>
      <c r="I26" s="58"/>
      <c r="J26" s="58"/>
      <c r="K26" s="58"/>
      <c r="L26" s="58"/>
      <c r="P26" s="52"/>
    </row>
    <row r="27" spans="1:16" s="53" customFormat="1">
      <c r="A27" s="51" t="s">
        <v>7160</v>
      </c>
      <c r="D27" s="56">
        <f t="shared" ref="D27:I27" si="60">D141</f>
        <v>75108</v>
      </c>
      <c r="E27" s="56">
        <f t="shared" si="60"/>
        <v>75470</v>
      </c>
      <c r="F27" s="56">
        <f t="shared" si="60"/>
        <v>76355</v>
      </c>
      <c r="G27" s="56">
        <f t="shared" si="60"/>
        <v>78429</v>
      </c>
      <c r="H27" s="56">
        <f t="shared" si="60"/>
        <v>81277</v>
      </c>
      <c r="I27" s="56">
        <f t="shared" si="60"/>
        <v>79893</v>
      </c>
      <c r="J27" s="56">
        <f t="shared" ref="J27:K27" si="61">J141</f>
        <v>78026</v>
      </c>
      <c r="K27" s="56">
        <f t="shared" si="61"/>
        <v>80559</v>
      </c>
      <c r="L27" s="56">
        <f t="shared" ref="L27" si="62">L141</f>
        <v>81401</v>
      </c>
      <c r="N27" s="51" t="s">
        <v>7161</v>
      </c>
      <c r="P27" s="52"/>
    </row>
    <row r="28" spans="1:16" s="53" customFormat="1">
      <c r="D28" s="58"/>
      <c r="E28" s="58"/>
      <c r="F28" s="58"/>
      <c r="G28" s="58"/>
      <c r="H28" s="58"/>
      <c r="I28" s="58"/>
      <c r="J28" s="58"/>
      <c r="K28" s="58"/>
      <c r="L28" s="58"/>
      <c r="P28" s="52"/>
    </row>
    <row r="29" spans="1:16" s="53" customFormat="1">
      <c r="A29" s="51" t="s">
        <v>7162</v>
      </c>
      <c r="D29" s="56">
        <f t="shared" ref="D29:I29" si="63">D190</f>
        <v>71779</v>
      </c>
      <c r="E29" s="56">
        <f t="shared" si="63"/>
        <v>72648</v>
      </c>
      <c r="F29" s="56">
        <f t="shared" si="63"/>
        <v>72833</v>
      </c>
      <c r="G29" s="56">
        <f t="shared" si="63"/>
        <v>72951</v>
      </c>
      <c r="H29" s="56">
        <f t="shared" si="63"/>
        <v>71145</v>
      </c>
      <c r="I29" s="56">
        <f t="shared" si="63"/>
        <v>71316</v>
      </c>
      <c r="J29" s="56">
        <f t="shared" ref="J29:K29" si="64">J190</f>
        <v>70063</v>
      </c>
      <c r="K29" s="56">
        <f t="shared" si="64"/>
        <v>72808</v>
      </c>
      <c r="L29" s="56">
        <f t="shared" ref="L29" si="65">L190</f>
        <v>73450</v>
      </c>
      <c r="N29" s="51" t="s">
        <v>7163</v>
      </c>
      <c r="P29" s="52"/>
    </row>
    <row r="30" spans="1:16" s="53" customFormat="1">
      <c r="D30" s="58"/>
      <c r="E30" s="58"/>
      <c r="F30" s="58"/>
      <c r="G30" s="58"/>
      <c r="H30" s="58"/>
      <c r="I30" s="58"/>
      <c r="J30" s="58"/>
      <c r="K30" s="58"/>
      <c r="L30" s="58"/>
      <c r="P30" s="52"/>
    </row>
    <row r="31" spans="1:16" s="53" customFormat="1">
      <c r="A31" s="51" t="s">
        <v>7164</v>
      </c>
      <c r="D31" s="56">
        <f t="shared" ref="D31:I31" si="66">D214</f>
        <v>77320</v>
      </c>
      <c r="E31" s="56">
        <f t="shared" si="66"/>
        <v>78313</v>
      </c>
      <c r="F31" s="56">
        <f t="shared" si="66"/>
        <v>79272</v>
      </c>
      <c r="G31" s="56">
        <f t="shared" si="66"/>
        <v>79719</v>
      </c>
      <c r="H31" s="56">
        <f t="shared" si="66"/>
        <v>80686</v>
      </c>
      <c r="I31" s="56">
        <f t="shared" si="66"/>
        <v>79100</v>
      </c>
      <c r="J31" s="56">
        <f t="shared" ref="J31:K31" si="67">J214</f>
        <v>77814</v>
      </c>
      <c r="K31" s="56">
        <f t="shared" si="67"/>
        <v>78989</v>
      </c>
      <c r="L31" s="56">
        <f t="shared" ref="L31" si="68">L214</f>
        <v>80559</v>
      </c>
      <c r="N31" s="51" t="s">
        <v>7165</v>
      </c>
      <c r="P31" s="52"/>
    </row>
    <row r="32" spans="1:16" s="53" customFormat="1">
      <c r="D32" s="58"/>
      <c r="E32" s="58"/>
      <c r="F32" s="58"/>
      <c r="G32" s="58"/>
      <c r="H32" s="58"/>
      <c r="I32" s="58"/>
      <c r="J32" s="58"/>
      <c r="K32" s="58"/>
      <c r="L32" s="58"/>
      <c r="P32" s="52"/>
    </row>
    <row r="33" spans="1:16" s="53" customFormat="1">
      <c r="A33" s="51" t="s">
        <v>7166</v>
      </c>
      <c r="D33" s="56">
        <f t="shared" ref="D33:I33" si="69">D239</f>
        <v>75829</v>
      </c>
      <c r="E33" s="56">
        <f t="shared" si="69"/>
        <v>76457</v>
      </c>
      <c r="F33" s="56">
        <f t="shared" si="69"/>
        <v>77029</v>
      </c>
      <c r="G33" s="56">
        <f t="shared" si="69"/>
        <v>77463</v>
      </c>
      <c r="H33" s="56">
        <f t="shared" si="69"/>
        <v>78036</v>
      </c>
      <c r="I33" s="56">
        <f t="shared" si="69"/>
        <v>76831</v>
      </c>
      <c r="J33" s="56">
        <f t="shared" ref="J33:K33" si="70">J239</f>
        <v>75724</v>
      </c>
      <c r="K33" s="56">
        <f t="shared" si="70"/>
        <v>77012</v>
      </c>
      <c r="L33" s="56">
        <f t="shared" ref="L33" si="71">L239</f>
        <v>77881</v>
      </c>
      <c r="N33" s="51" t="s">
        <v>7167</v>
      </c>
      <c r="P33" s="52"/>
    </row>
    <row r="34" spans="1:16" s="53" customFormat="1" ht="15" customHeight="1">
      <c r="D34" s="58"/>
      <c r="E34" s="58"/>
      <c r="F34" s="58"/>
      <c r="G34" s="58"/>
      <c r="H34" s="58"/>
      <c r="I34" s="58"/>
      <c r="J34" s="58"/>
      <c r="K34" s="58"/>
      <c r="L34" s="58"/>
      <c r="P34" s="52"/>
    </row>
    <row r="35" spans="1:16" s="53" customFormat="1" ht="15" customHeight="1">
      <c r="A35" s="51" t="s">
        <v>7168</v>
      </c>
      <c r="D35" s="56">
        <f t="shared" ref="D35:I35" si="72">D240</f>
        <v>11678</v>
      </c>
      <c r="E35" s="56">
        <f t="shared" si="72"/>
        <v>11692</v>
      </c>
      <c r="F35" s="56">
        <f t="shared" si="72"/>
        <v>11785</v>
      </c>
      <c r="G35" s="56">
        <f t="shared" si="72"/>
        <v>11847</v>
      </c>
      <c r="H35" s="56">
        <f t="shared" si="72"/>
        <v>11798</v>
      </c>
      <c r="I35" s="56">
        <f t="shared" si="72"/>
        <v>11671</v>
      </c>
      <c r="J35" s="56">
        <f t="shared" ref="J35:K35" si="73">J240</f>
        <v>11414</v>
      </c>
      <c r="K35" s="56">
        <f t="shared" si="73"/>
        <v>11520</v>
      </c>
      <c r="L35" s="56">
        <f t="shared" ref="L35" si="74">L240</f>
        <v>11536</v>
      </c>
      <c r="N35" s="51" t="s">
        <v>7167</v>
      </c>
      <c r="P35" s="52"/>
    </row>
    <row r="36" spans="1:16" s="53" customFormat="1" ht="15.75" thickBot="1">
      <c r="D36" s="57">
        <f t="shared" ref="D36:I36" si="75">D266</f>
        <v>61202</v>
      </c>
      <c r="E36" s="57">
        <f t="shared" si="75"/>
        <v>61153</v>
      </c>
      <c r="F36" s="57">
        <f t="shared" si="75"/>
        <v>61856</v>
      </c>
      <c r="G36" s="57">
        <f t="shared" si="75"/>
        <v>62526</v>
      </c>
      <c r="H36" s="57">
        <f t="shared" si="75"/>
        <v>62965</v>
      </c>
      <c r="I36" s="57">
        <f t="shared" si="75"/>
        <v>61777</v>
      </c>
      <c r="J36" s="57">
        <f t="shared" ref="J36:K36" si="76">J266</f>
        <v>60943</v>
      </c>
      <c r="K36" s="57">
        <f t="shared" si="76"/>
        <v>62217</v>
      </c>
      <c r="L36" s="57">
        <f t="shared" ref="L36" si="77">L266</f>
        <v>62155</v>
      </c>
      <c r="N36" s="51" t="s">
        <v>5052</v>
      </c>
      <c r="P36" s="52"/>
    </row>
    <row r="37" spans="1:16" s="53" customFormat="1" ht="15.75" thickBot="1">
      <c r="D37" s="57">
        <f t="shared" ref="D37:I37" si="78">D35+D36</f>
        <v>72880</v>
      </c>
      <c r="E37" s="57">
        <f t="shared" si="78"/>
        <v>72845</v>
      </c>
      <c r="F37" s="57">
        <f t="shared" si="78"/>
        <v>73641</v>
      </c>
      <c r="G37" s="57">
        <f t="shared" si="78"/>
        <v>74373</v>
      </c>
      <c r="H37" s="57">
        <f t="shared" si="78"/>
        <v>74763</v>
      </c>
      <c r="I37" s="57">
        <f t="shared" si="78"/>
        <v>73448</v>
      </c>
      <c r="J37" s="57">
        <f t="shared" ref="J37:K37" si="79">J35+J36</f>
        <v>72357</v>
      </c>
      <c r="K37" s="57">
        <f t="shared" si="79"/>
        <v>73737</v>
      </c>
      <c r="L37" s="57">
        <f t="shared" ref="L37" si="80">L35+L36</f>
        <v>73691</v>
      </c>
      <c r="P37" s="52"/>
    </row>
    <row r="38" spans="1:16" s="53" customFormat="1">
      <c r="D38" s="58"/>
      <c r="E38" s="58"/>
      <c r="F38" s="58"/>
      <c r="G38" s="58"/>
      <c r="H38" s="58"/>
      <c r="I38" s="58"/>
      <c r="J38" s="58"/>
      <c r="K38" s="58"/>
      <c r="L38" s="58"/>
      <c r="P38" s="52"/>
    </row>
    <row r="39" spans="1:16" s="53" customFormat="1">
      <c r="A39" s="51" t="s">
        <v>7169</v>
      </c>
      <c r="D39" s="56">
        <f t="shared" ref="D39:I39" si="81">D312</f>
        <v>70004</v>
      </c>
      <c r="E39" s="56">
        <f t="shared" si="81"/>
        <v>70568</v>
      </c>
      <c r="F39" s="56">
        <f t="shared" si="81"/>
        <v>70748</v>
      </c>
      <c r="G39" s="56">
        <f t="shared" si="81"/>
        <v>71137</v>
      </c>
      <c r="H39" s="56">
        <f t="shared" si="81"/>
        <v>71276</v>
      </c>
      <c r="I39" s="56">
        <f t="shared" si="81"/>
        <v>70371</v>
      </c>
      <c r="J39" s="56">
        <f t="shared" ref="J39:K39" si="82">J312</f>
        <v>69712</v>
      </c>
      <c r="K39" s="56">
        <f t="shared" si="82"/>
        <v>71493</v>
      </c>
      <c r="L39" s="56">
        <f t="shared" ref="L39" si="83">L312</f>
        <v>71961</v>
      </c>
      <c r="N39" s="51" t="s">
        <v>7170</v>
      </c>
      <c r="P39" s="52"/>
    </row>
    <row r="40" spans="1:16" s="53" customFormat="1">
      <c r="D40" s="58"/>
      <c r="E40" s="58"/>
      <c r="F40" s="58"/>
      <c r="G40" s="58"/>
      <c r="H40" s="58"/>
      <c r="I40" s="58"/>
      <c r="J40" s="58"/>
      <c r="K40" s="58"/>
      <c r="L40" s="58"/>
      <c r="P40" s="52"/>
    </row>
    <row r="41" spans="1:16" s="53" customFormat="1">
      <c r="A41" s="53" t="s">
        <v>7171</v>
      </c>
      <c r="D41" s="58">
        <f t="shared" ref="D41:I41" si="84">D191</f>
        <v>16374</v>
      </c>
      <c r="E41" s="58">
        <f t="shared" si="84"/>
        <v>16505</v>
      </c>
      <c r="F41" s="58">
        <f t="shared" si="84"/>
        <v>16615</v>
      </c>
      <c r="G41" s="58">
        <f t="shared" si="84"/>
        <v>16531</v>
      </c>
      <c r="H41" s="58">
        <f t="shared" si="84"/>
        <v>16187</v>
      </c>
      <c r="I41" s="58">
        <f t="shared" si="84"/>
        <v>16274</v>
      </c>
      <c r="J41" s="58">
        <f t="shared" ref="J41:K41" si="85">J191</f>
        <v>16425</v>
      </c>
      <c r="K41" s="58">
        <f t="shared" si="85"/>
        <v>17111</v>
      </c>
      <c r="L41" s="58">
        <f t="shared" ref="L41" si="86">L191</f>
        <v>17315</v>
      </c>
      <c r="N41" s="51" t="s">
        <v>7163</v>
      </c>
      <c r="P41" s="52"/>
    </row>
    <row r="42" spans="1:16" s="53" customFormat="1">
      <c r="D42" s="56">
        <f t="shared" ref="D42:I42" si="87">D313</f>
        <v>22490</v>
      </c>
      <c r="E42" s="56">
        <f t="shared" si="87"/>
        <v>22692</v>
      </c>
      <c r="F42" s="56">
        <f t="shared" si="87"/>
        <v>22675</v>
      </c>
      <c r="G42" s="56">
        <f t="shared" si="87"/>
        <v>22892</v>
      </c>
      <c r="H42" s="56">
        <f t="shared" si="87"/>
        <v>23086</v>
      </c>
      <c r="I42" s="56">
        <f t="shared" si="87"/>
        <v>22809</v>
      </c>
      <c r="J42" s="56">
        <f t="shared" ref="J42:K42" si="88">J313</f>
        <v>22601</v>
      </c>
      <c r="K42" s="56">
        <f t="shared" si="88"/>
        <v>22897</v>
      </c>
      <c r="L42" s="56">
        <f t="shared" ref="L42" si="89">L313</f>
        <v>23065</v>
      </c>
      <c r="N42" s="51" t="s">
        <v>7170</v>
      </c>
      <c r="P42" s="52"/>
    </row>
    <row r="43" spans="1:16" s="53" customFormat="1" ht="15.75" thickBot="1">
      <c r="D43" s="61">
        <f t="shared" ref="D43:I43" si="90">D443</f>
        <v>31442</v>
      </c>
      <c r="E43" s="61">
        <f t="shared" si="90"/>
        <v>32094</v>
      </c>
      <c r="F43" s="61">
        <f t="shared" si="90"/>
        <v>32269</v>
      </c>
      <c r="G43" s="61">
        <f t="shared" si="90"/>
        <v>32554</v>
      </c>
      <c r="H43" s="61">
        <f t="shared" si="90"/>
        <v>32963</v>
      </c>
      <c r="I43" s="61">
        <f t="shared" si="90"/>
        <v>32635</v>
      </c>
      <c r="J43" s="61">
        <f t="shared" ref="J43:K43" si="91">J443</f>
        <v>32105</v>
      </c>
      <c r="K43" s="61">
        <f t="shared" si="91"/>
        <v>32927</v>
      </c>
      <c r="L43" s="61">
        <f t="shared" ref="L43" si="92">L443</f>
        <v>33111</v>
      </c>
      <c r="N43" s="53" t="s">
        <v>7172</v>
      </c>
      <c r="P43" s="52"/>
    </row>
    <row r="44" spans="1:16" s="53" customFormat="1" ht="15.75" thickBot="1">
      <c r="D44" s="62">
        <f t="shared" ref="D44:I44" si="93">SUM(D41:D43)</f>
        <v>70306</v>
      </c>
      <c r="E44" s="62">
        <f t="shared" si="93"/>
        <v>71291</v>
      </c>
      <c r="F44" s="62">
        <f t="shared" si="93"/>
        <v>71559</v>
      </c>
      <c r="G44" s="62">
        <f t="shared" si="93"/>
        <v>71977</v>
      </c>
      <c r="H44" s="62">
        <f t="shared" si="93"/>
        <v>72236</v>
      </c>
      <c r="I44" s="62">
        <f t="shared" si="93"/>
        <v>71718</v>
      </c>
      <c r="J44" s="62">
        <f t="shared" ref="J44:K44" si="94">SUM(J41:J43)</f>
        <v>71131</v>
      </c>
      <c r="K44" s="62">
        <f t="shared" si="94"/>
        <v>72935</v>
      </c>
      <c r="L44" s="62">
        <f t="shared" ref="L44" si="95">SUM(L41:L43)</f>
        <v>73491</v>
      </c>
      <c r="P44" s="52"/>
    </row>
    <row r="45" spans="1:16" s="53" customFormat="1">
      <c r="D45" s="58"/>
      <c r="E45" s="58"/>
      <c r="F45" s="58"/>
      <c r="G45" s="58"/>
      <c r="H45" s="58"/>
      <c r="I45" s="58"/>
      <c r="J45" s="58"/>
      <c r="K45" s="58"/>
      <c r="L45" s="58"/>
      <c r="P45" s="52"/>
    </row>
    <row r="46" spans="1:16" s="53" customFormat="1">
      <c r="A46" s="51" t="s">
        <v>7173</v>
      </c>
      <c r="D46" s="56">
        <f t="shared" ref="D46:I46" si="96">D356</f>
        <v>72955</v>
      </c>
      <c r="E46" s="56">
        <f t="shared" si="96"/>
        <v>73542</v>
      </c>
      <c r="F46" s="56">
        <f t="shared" si="96"/>
        <v>73362</v>
      </c>
      <c r="G46" s="56">
        <f t="shared" si="96"/>
        <v>73437</v>
      </c>
      <c r="H46" s="56">
        <f t="shared" si="96"/>
        <v>73690</v>
      </c>
      <c r="I46" s="56">
        <f t="shared" si="96"/>
        <v>72552</v>
      </c>
      <c r="J46" s="56">
        <f t="shared" ref="J46:K46" si="97">J356</f>
        <v>71102</v>
      </c>
      <c r="K46" s="56">
        <f t="shared" si="97"/>
        <v>72274</v>
      </c>
      <c r="L46" s="56">
        <f t="shared" ref="L46" si="98">L356</f>
        <v>72256</v>
      </c>
      <c r="N46" s="51" t="s">
        <v>7174</v>
      </c>
      <c r="P46" s="52"/>
    </row>
    <row r="47" spans="1:16" s="53" customFormat="1">
      <c r="D47" s="58"/>
      <c r="E47" s="58"/>
      <c r="F47" s="58"/>
      <c r="G47" s="58"/>
      <c r="H47" s="58"/>
      <c r="I47" s="58"/>
      <c r="J47" s="58"/>
      <c r="K47" s="58"/>
      <c r="L47" s="58"/>
      <c r="P47" s="52"/>
    </row>
    <row r="48" spans="1:16" s="53" customFormat="1">
      <c r="A48" s="51" t="s">
        <v>7175</v>
      </c>
      <c r="D48" s="56">
        <f t="shared" ref="D48:I48" si="99">D357</f>
        <v>68239</v>
      </c>
      <c r="E48" s="56">
        <f t="shared" si="99"/>
        <v>68987</v>
      </c>
      <c r="F48" s="56">
        <f t="shared" si="99"/>
        <v>68867</v>
      </c>
      <c r="G48" s="56">
        <f t="shared" si="99"/>
        <v>69072</v>
      </c>
      <c r="H48" s="56">
        <f t="shared" si="99"/>
        <v>69164</v>
      </c>
      <c r="I48" s="56">
        <f t="shared" si="99"/>
        <v>68216</v>
      </c>
      <c r="J48" s="56">
        <f t="shared" ref="J48:K48" si="100">J357</f>
        <v>66871</v>
      </c>
      <c r="K48" s="56">
        <f t="shared" si="100"/>
        <v>68166</v>
      </c>
      <c r="L48" s="56">
        <f t="shared" ref="L48" si="101">L357</f>
        <v>68559</v>
      </c>
      <c r="N48" s="51" t="s">
        <v>7174</v>
      </c>
      <c r="P48" s="52"/>
    </row>
    <row r="49" spans="1:16" s="53" customFormat="1">
      <c r="D49" s="58"/>
      <c r="E49" s="58"/>
      <c r="F49" s="58"/>
      <c r="G49" s="58"/>
      <c r="H49" s="58"/>
      <c r="I49" s="58"/>
      <c r="J49" s="58"/>
      <c r="K49" s="58"/>
      <c r="L49" s="58"/>
      <c r="P49" s="52"/>
    </row>
    <row r="50" spans="1:16" s="53" customFormat="1">
      <c r="A50" s="51" t="s">
        <v>7176</v>
      </c>
      <c r="D50" s="56">
        <f t="shared" ref="D50:I50" si="102">D142</f>
        <v>11372</v>
      </c>
      <c r="E50" s="56">
        <f t="shared" si="102"/>
        <v>11738</v>
      </c>
      <c r="F50" s="56">
        <f t="shared" si="102"/>
        <v>11863</v>
      </c>
      <c r="G50" s="56">
        <f t="shared" si="102"/>
        <v>11966</v>
      </c>
      <c r="H50" s="56">
        <f t="shared" si="102"/>
        <v>12052</v>
      </c>
      <c r="I50" s="56">
        <f t="shared" si="102"/>
        <v>11882</v>
      </c>
      <c r="J50" s="56">
        <f t="shared" ref="J50:K50" si="103">J142</f>
        <v>11699</v>
      </c>
      <c r="K50" s="56">
        <f t="shared" si="103"/>
        <v>12082</v>
      </c>
      <c r="L50" s="56">
        <f t="shared" ref="L50" si="104">L142</f>
        <v>12167</v>
      </c>
      <c r="N50" s="51" t="s">
        <v>7161</v>
      </c>
      <c r="P50" s="52"/>
    </row>
    <row r="51" spans="1:16" s="53" customFormat="1" ht="15.75" thickBot="1">
      <c r="D51" s="57">
        <f t="shared" ref="D51:I51" si="105">D289</f>
        <v>60208</v>
      </c>
      <c r="E51" s="57">
        <f t="shared" si="105"/>
        <v>60810</v>
      </c>
      <c r="F51" s="57">
        <f t="shared" si="105"/>
        <v>61586</v>
      </c>
      <c r="G51" s="57">
        <f t="shared" si="105"/>
        <v>62225</v>
      </c>
      <c r="H51" s="57">
        <f t="shared" si="105"/>
        <v>61491</v>
      </c>
      <c r="I51" s="57">
        <f t="shared" si="105"/>
        <v>61480</v>
      </c>
      <c r="J51" s="57">
        <f t="shared" ref="J51:K51" si="106">J289</f>
        <v>60347</v>
      </c>
      <c r="K51" s="57">
        <f t="shared" si="106"/>
        <v>61883</v>
      </c>
      <c r="L51" s="57">
        <f t="shared" ref="L51" si="107">L289</f>
        <v>62745</v>
      </c>
      <c r="N51" s="51" t="s">
        <v>7159</v>
      </c>
      <c r="P51" s="52"/>
    </row>
    <row r="52" spans="1:16" s="53" customFormat="1" ht="15.75" thickBot="1">
      <c r="D52" s="57">
        <f t="shared" ref="D52:I52" si="108">D50+D51</f>
        <v>71580</v>
      </c>
      <c r="E52" s="57">
        <f t="shared" si="108"/>
        <v>72548</v>
      </c>
      <c r="F52" s="57">
        <f t="shared" si="108"/>
        <v>73449</v>
      </c>
      <c r="G52" s="57">
        <f t="shared" si="108"/>
        <v>74191</v>
      </c>
      <c r="H52" s="57">
        <f t="shared" si="108"/>
        <v>73543</v>
      </c>
      <c r="I52" s="57">
        <f t="shared" si="108"/>
        <v>73362</v>
      </c>
      <c r="J52" s="57">
        <f t="shared" ref="J52:K52" si="109">J50+J51</f>
        <v>72046</v>
      </c>
      <c r="K52" s="57">
        <f t="shared" si="109"/>
        <v>73965</v>
      </c>
      <c r="L52" s="57">
        <f t="shared" ref="L52" si="110">L50+L51</f>
        <v>74912</v>
      </c>
      <c r="P52" s="52"/>
    </row>
    <row r="53" spans="1:16" s="53" customFormat="1">
      <c r="D53" s="58"/>
      <c r="E53" s="58"/>
      <c r="F53" s="58"/>
      <c r="G53" s="58"/>
      <c r="H53" s="58"/>
      <c r="I53" s="58"/>
      <c r="J53" s="58"/>
      <c r="K53" s="58"/>
      <c r="L53" s="58"/>
      <c r="P53" s="52"/>
    </row>
    <row r="54" spans="1:16" s="53" customFormat="1">
      <c r="A54" s="51" t="s">
        <v>7177</v>
      </c>
      <c r="D54" s="56">
        <f t="shared" ref="D54:I54" si="111">D143</f>
        <v>34660</v>
      </c>
      <c r="E54" s="56">
        <f t="shared" si="111"/>
        <v>34829</v>
      </c>
      <c r="F54" s="56">
        <f t="shared" si="111"/>
        <v>34601</v>
      </c>
      <c r="G54" s="56">
        <f t="shared" si="111"/>
        <v>35197</v>
      </c>
      <c r="H54" s="56">
        <f t="shared" si="111"/>
        <v>35874</v>
      </c>
      <c r="I54" s="56">
        <f t="shared" si="111"/>
        <v>35578</v>
      </c>
      <c r="J54" s="56">
        <f t="shared" ref="J54:K54" si="112">J143</f>
        <v>34748</v>
      </c>
      <c r="K54" s="56">
        <f t="shared" si="112"/>
        <v>35490</v>
      </c>
      <c r="L54" s="56">
        <f t="shared" ref="L54" si="113">L143</f>
        <v>35822</v>
      </c>
      <c r="N54" s="51" t="s">
        <v>7161</v>
      </c>
      <c r="P54" s="52"/>
    </row>
    <row r="55" spans="1:16" s="53" customFormat="1" ht="15.75" thickBot="1">
      <c r="D55" s="57">
        <f t="shared" ref="D55:I55" si="114">D413</f>
        <v>41948</v>
      </c>
      <c r="E55" s="57">
        <f t="shared" si="114"/>
        <v>42191</v>
      </c>
      <c r="F55" s="57">
        <f t="shared" si="114"/>
        <v>42834</v>
      </c>
      <c r="G55" s="57">
        <f t="shared" si="114"/>
        <v>43190</v>
      </c>
      <c r="H55" s="57">
        <f t="shared" si="114"/>
        <v>43895</v>
      </c>
      <c r="I55" s="57">
        <f t="shared" si="114"/>
        <v>42997</v>
      </c>
      <c r="J55" s="57">
        <f t="shared" ref="J55:K55" si="115">J413</f>
        <v>43271</v>
      </c>
      <c r="K55" s="57">
        <f t="shared" si="115"/>
        <v>44957</v>
      </c>
      <c r="L55" s="57">
        <f t="shared" ref="L55" si="116">L413</f>
        <v>45080</v>
      </c>
      <c r="N55" s="51" t="s">
        <v>7178</v>
      </c>
      <c r="P55" s="52"/>
    </row>
    <row r="56" spans="1:16" s="53" customFormat="1" ht="15.75" thickBot="1">
      <c r="D56" s="57">
        <f t="shared" ref="D56:I56" si="117">D54+D55</f>
        <v>76608</v>
      </c>
      <c r="E56" s="57">
        <f t="shared" si="117"/>
        <v>77020</v>
      </c>
      <c r="F56" s="57">
        <f t="shared" si="117"/>
        <v>77435</v>
      </c>
      <c r="G56" s="57">
        <f t="shared" si="117"/>
        <v>78387</v>
      </c>
      <c r="H56" s="57">
        <f t="shared" si="117"/>
        <v>79769</v>
      </c>
      <c r="I56" s="57">
        <f t="shared" si="117"/>
        <v>78575</v>
      </c>
      <c r="J56" s="57">
        <f t="shared" ref="J56:K56" si="118">J54+J55</f>
        <v>78019</v>
      </c>
      <c r="K56" s="57">
        <f t="shared" si="118"/>
        <v>80447</v>
      </c>
      <c r="L56" s="57">
        <f t="shared" ref="L56" si="119">L54+L55</f>
        <v>80902</v>
      </c>
      <c r="P56" s="52"/>
    </row>
    <row r="57" spans="1:16" s="53" customFormat="1">
      <c r="D57" s="58"/>
      <c r="E57" s="58"/>
      <c r="F57" s="58"/>
      <c r="G57" s="58"/>
      <c r="H57" s="58"/>
      <c r="I57" s="58"/>
      <c r="J57" s="58"/>
      <c r="K57" s="58"/>
      <c r="L57" s="58"/>
      <c r="P57" s="52"/>
    </row>
    <row r="58" spans="1:16" s="53" customFormat="1">
      <c r="A58" s="51" t="s">
        <v>7179</v>
      </c>
      <c r="D58" s="56">
        <f t="shared" ref="D58:I58" si="120">D99</f>
        <v>19821</v>
      </c>
      <c r="E58" s="56">
        <f t="shared" si="120"/>
        <v>19949</v>
      </c>
      <c r="F58" s="56">
        <f t="shared" si="120"/>
        <v>19720</v>
      </c>
      <c r="G58" s="56">
        <f t="shared" si="120"/>
        <v>19318</v>
      </c>
      <c r="H58" s="56">
        <f t="shared" si="120"/>
        <v>19748</v>
      </c>
      <c r="I58" s="56">
        <f t="shared" si="120"/>
        <v>16560</v>
      </c>
      <c r="J58" s="56">
        <f t="shared" ref="J58:K58" si="121">J99</f>
        <v>16275</v>
      </c>
      <c r="K58" s="56">
        <f t="shared" si="121"/>
        <v>16210</v>
      </c>
      <c r="L58" s="56">
        <f t="shared" ref="L58" si="122">L99</f>
        <v>16575</v>
      </c>
      <c r="N58" s="51" t="s">
        <v>7180</v>
      </c>
      <c r="P58" s="52"/>
    </row>
    <row r="59" spans="1:16" s="53" customFormat="1" ht="15.75" thickBot="1">
      <c r="D59" s="57">
        <f t="shared" ref="D59:I59" si="123">D414</f>
        <v>47576</v>
      </c>
      <c r="E59" s="57">
        <f t="shared" si="123"/>
        <v>47747</v>
      </c>
      <c r="F59" s="57">
        <f t="shared" si="123"/>
        <v>48004</v>
      </c>
      <c r="G59" s="57">
        <f t="shared" si="123"/>
        <v>48101</v>
      </c>
      <c r="H59" s="57">
        <f t="shared" si="123"/>
        <v>48570</v>
      </c>
      <c r="I59" s="57">
        <f t="shared" si="123"/>
        <v>48020</v>
      </c>
      <c r="J59" s="57">
        <f t="shared" ref="J59:K59" si="124">J414</f>
        <v>47626</v>
      </c>
      <c r="K59" s="57">
        <f t="shared" si="124"/>
        <v>48906</v>
      </c>
      <c r="L59" s="57">
        <f t="shared" ref="L59" si="125">L414</f>
        <v>48714</v>
      </c>
      <c r="N59" s="51" t="s">
        <v>7178</v>
      </c>
      <c r="P59" s="52"/>
    </row>
    <row r="60" spans="1:16" s="53" customFormat="1" ht="15.75" thickBot="1">
      <c r="D60" s="57">
        <f t="shared" ref="D60:I60" si="126">D58+D59</f>
        <v>67397</v>
      </c>
      <c r="E60" s="57">
        <f t="shared" si="126"/>
        <v>67696</v>
      </c>
      <c r="F60" s="57">
        <f t="shared" si="126"/>
        <v>67724</v>
      </c>
      <c r="G60" s="57">
        <f t="shared" si="126"/>
        <v>67419</v>
      </c>
      <c r="H60" s="57">
        <f t="shared" si="126"/>
        <v>68318</v>
      </c>
      <c r="I60" s="57">
        <f t="shared" si="126"/>
        <v>64580</v>
      </c>
      <c r="J60" s="57">
        <f t="shared" ref="J60:K60" si="127">J58+J59</f>
        <v>63901</v>
      </c>
      <c r="K60" s="57">
        <f t="shared" si="127"/>
        <v>65116</v>
      </c>
      <c r="L60" s="57">
        <f t="shared" ref="L60" si="128">L58+L59</f>
        <v>65289</v>
      </c>
      <c r="P60" s="52"/>
    </row>
    <row r="61" spans="1:16" s="53" customFormat="1">
      <c r="D61" s="58"/>
      <c r="E61" s="58"/>
      <c r="F61" s="58"/>
      <c r="G61" s="58"/>
      <c r="H61" s="58"/>
      <c r="I61" s="58"/>
      <c r="J61" s="58"/>
      <c r="K61" s="58"/>
      <c r="L61" s="58"/>
      <c r="P61" s="52"/>
    </row>
    <row r="62" spans="1:16" s="53" customFormat="1">
      <c r="A62" s="51" t="s">
        <v>7181</v>
      </c>
      <c r="D62" s="56">
        <f t="shared" ref="D62:I62" si="129">D100</f>
        <v>74720</v>
      </c>
      <c r="E62" s="56">
        <f t="shared" si="129"/>
        <v>74513</v>
      </c>
      <c r="F62" s="56">
        <f t="shared" si="129"/>
        <v>73911</v>
      </c>
      <c r="G62" s="56">
        <f t="shared" si="129"/>
        <v>73405</v>
      </c>
      <c r="H62" s="56">
        <f t="shared" si="129"/>
        <v>74712</v>
      </c>
      <c r="I62" s="56">
        <f t="shared" si="129"/>
        <v>70173</v>
      </c>
      <c r="J62" s="56">
        <f t="shared" ref="J62:K62" si="130">J100</f>
        <v>67131</v>
      </c>
      <c r="K62" s="56">
        <f t="shared" si="130"/>
        <v>68696</v>
      </c>
      <c r="L62" s="56">
        <f t="shared" ref="L62" si="131">L100</f>
        <v>69071</v>
      </c>
      <c r="N62" s="51" t="s">
        <v>7180</v>
      </c>
      <c r="P62" s="52"/>
    </row>
    <row r="63" spans="1:16" s="53" customFormat="1">
      <c r="D63" s="58"/>
      <c r="E63" s="58"/>
      <c r="F63" s="58"/>
      <c r="G63" s="58"/>
      <c r="H63" s="58"/>
      <c r="I63" s="58"/>
      <c r="J63" s="58"/>
      <c r="K63" s="58"/>
      <c r="L63" s="58"/>
      <c r="P63" s="52"/>
    </row>
    <row r="64" spans="1:16" s="53" customFormat="1">
      <c r="A64" s="51" t="s">
        <v>7182</v>
      </c>
      <c r="D64" s="56">
        <f t="shared" ref="D64:I64" si="132">D101</f>
        <v>71712</v>
      </c>
      <c r="E64" s="56">
        <f t="shared" si="132"/>
        <v>71263</v>
      </c>
      <c r="F64" s="56">
        <f t="shared" si="132"/>
        <v>70756</v>
      </c>
      <c r="G64" s="56">
        <f t="shared" si="132"/>
        <v>69692</v>
      </c>
      <c r="H64" s="56">
        <f t="shared" si="132"/>
        <v>70387</v>
      </c>
      <c r="I64" s="56">
        <f t="shared" si="132"/>
        <v>66979</v>
      </c>
      <c r="J64" s="56">
        <f t="shared" ref="J64:K64" si="133">J101</f>
        <v>64773</v>
      </c>
      <c r="K64" s="56">
        <f t="shared" si="133"/>
        <v>65936</v>
      </c>
      <c r="L64" s="56">
        <f t="shared" ref="L64" si="134">L101</f>
        <v>66857</v>
      </c>
      <c r="N64" s="51" t="s">
        <v>7180</v>
      </c>
      <c r="P64" s="52"/>
    </row>
    <row r="65" spans="1:16" s="53" customFormat="1">
      <c r="D65" s="58"/>
      <c r="E65" s="58"/>
      <c r="F65" s="58"/>
      <c r="G65" s="58"/>
      <c r="H65" s="58"/>
      <c r="I65" s="58"/>
      <c r="J65" s="58"/>
      <c r="K65" s="58"/>
      <c r="L65" s="58"/>
      <c r="P65" s="52"/>
    </row>
    <row r="66" spans="1:16" s="53" customFormat="1">
      <c r="A66" s="51" t="s">
        <v>6507</v>
      </c>
      <c r="D66" s="56">
        <f t="shared" ref="D66:I66" si="135">D215</f>
        <v>16601</v>
      </c>
      <c r="E66" s="56">
        <f t="shared" si="135"/>
        <v>16658</v>
      </c>
      <c r="F66" s="56">
        <f t="shared" si="135"/>
        <v>16812</v>
      </c>
      <c r="G66" s="56">
        <f t="shared" si="135"/>
        <v>16886</v>
      </c>
      <c r="H66" s="56">
        <f t="shared" si="135"/>
        <v>16917</v>
      </c>
      <c r="I66" s="56">
        <f t="shared" si="135"/>
        <v>16629</v>
      </c>
      <c r="J66" s="56">
        <f t="shared" ref="J66:K66" si="136">J215</f>
        <v>16351</v>
      </c>
      <c r="K66" s="56">
        <f t="shared" si="136"/>
        <v>16534</v>
      </c>
      <c r="L66" s="56">
        <f t="shared" ref="L66" si="137">L215</f>
        <v>16560</v>
      </c>
      <c r="N66" s="51" t="s">
        <v>7165</v>
      </c>
      <c r="P66" s="52"/>
    </row>
    <row r="67" spans="1:16" s="53" customFormat="1" ht="15.75" thickBot="1">
      <c r="A67" s="51"/>
      <c r="D67" s="57">
        <f t="shared" ref="D67:I67" si="138">D444</f>
        <v>56738</v>
      </c>
      <c r="E67" s="57">
        <f t="shared" si="138"/>
        <v>57480</v>
      </c>
      <c r="F67" s="57">
        <f t="shared" si="138"/>
        <v>58187</v>
      </c>
      <c r="G67" s="57">
        <f t="shared" si="138"/>
        <v>58558</v>
      </c>
      <c r="H67" s="57">
        <f t="shared" si="138"/>
        <v>58989</v>
      </c>
      <c r="I67" s="57">
        <f t="shared" si="138"/>
        <v>56868</v>
      </c>
      <c r="J67" s="57">
        <f t="shared" ref="J67:K67" si="139">J444</f>
        <v>53690</v>
      </c>
      <c r="K67" s="57">
        <f t="shared" si="139"/>
        <v>54602</v>
      </c>
      <c r="L67" s="57">
        <f t="shared" ref="L67" si="140">L444</f>
        <v>54768</v>
      </c>
      <c r="N67" s="51" t="s">
        <v>7172</v>
      </c>
      <c r="P67" s="52"/>
    </row>
    <row r="68" spans="1:16" s="53" customFormat="1" ht="15.75" thickBot="1">
      <c r="A68" s="51"/>
      <c r="D68" s="63">
        <f t="shared" ref="D68:I68" si="141">D66+D67</f>
        <v>73339</v>
      </c>
      <c r="E68" s="63">
        <f t="shared" si="141"/>
        <v>74138</v>
      </c>
      <c r="F68" s="63">
        <f t="shared" si="141"/>
        <v>74999</v>
      </c>
      <c r="G68" s="63">
        <f t="shared" si="141"/>
        <v>75444</v>
      </c>
      <c r="H68" s="63">
        <f t="shared" si="141"/>
        <v>75906</v>
      </c>
      <c r="I68" s="63">
        <f t="shared" si="141"/>
        <v>73497</v>
      </c>
      <c r="J68" s="63">
        <f t="shared" ref="J68:K68" si="142">J66+J67</f>
        <v>70041</v>
      </c>
      <c r="K68" s="63">
        <f t="shared" si="142"/>
        <v>71136</v>
      </c>
      <c r="L68" s="63">
        <f t="shared" ref="L68" si="143">L66+L67</f>
        <v>71328</v>
      </c>
      <c r="N68" s="51"/>
      <c r="P68" s="52"/>
    </row>
    <row r="69" spans="1:16" s="53" customFormat="1">
      <c r="D69" s="58"/>
      <c r="E69" s="58"/>
      <c r="F69" s="58"/>
      <c r="G69" s="58"/>
      <c r="H69" s="58"/>
      <c r="I69" s="58"/>
      <c r="J69" s="58"/>
      <c r="K69" s="58"/>
      <c r="L69" s="58"/>
      <c r="P69" s="52"/>
    </row>
    <row r="70" spans="1:16" s="53" customFormat="1">
      <c r="A70" s="51" t="s">
        <v>8697</v>
      </c>
      <c r="D70" s="56">
        <f t="shared" ref="D70:I70" si="144">D25+D27+D29+D31+D33+D37+D39+D44+D46+D48+D52+D56+D60+D62+D64+D68</f>
        <v>1160372</v>
      </c>
      <c r="E70" s="56">
        <f t="shared" si="144"/>
        <v>1169207</v>
      </c>
      <c r="F70" s="56">
        <f t="shared" si="144"/>
        <v>1174265</v>
      </c>
      <c r="G70" s="56">
        <f t="shared" si="144"/>
        <v>1179499</v>
      </c>
      <c r="H70" s="56">
        <f t="shared" si="144"/>
        <v>1187548</v>
      </c>
      <c r="I70" s="56">
        <f t="shared" si="144"/>
        <v>1161903</v>
      </c>
      <c r="J70" s="56">
        <f t="shared" ref="J70:K70" si="145">J25+J27+J29+J31+J33+J37+J39+J44+J46+J48+J52+J56+J60+J62+J64+J68</f>
        <v>1138614</v>
      </c>
      <c r="K70" s="56">
        <f t="shared" si="145"/>
        <v>1166038</v>
      </c>
      <c r="L70" s="56">
        <f t="shared" ref="L70" si="146">L25+L27+L29+L31+L33+L37+L39+L44+L46+L48+L52+L56+L60+L62+L64+L68</f>
        <v>1173746</v>
      </c>
      <c r="P70" s="52"/>
    </row>
    <row r="71" spans="1:16" s="53" customFormat="1">
      <c r="D71" s="58"/>
      <c r="E71" s="58"/>
      <c r="F71" s="58"/>
      <c r="G71" s="58"/>
      <c r="H71" s="58"/>
      <c r="I71" s="58"/>
      <c r="J71" s="58"/>
      <c r="K71" s="58"/>
      <c r="L71" s="58"/>
      <c r="P71" s="52"/>
    </row>
    <row r="72" spans="1:16" s="53" customFormat="1">
      <c r="A72" s="51" t="s">
        <v>8698</v>
      </c>
      <c r="D72" s="56">
        <f t="shared" ref="D72:I72" si="147">MAX(D25,D27,D29,D31,D33,D37,D39,D44,D46,D48,D52,D56,D60,D62,D64,D68)-MIN(D25,D27,D29,D31,D33,D37,D39,D44,D46,D48,D52,D56,D60,D62,D64,D68)</f>
        <v>9923</v>
      </c>
      <c r="E72" s="56">
        <f t="shared" si="147"/>
        <v>10617</v>
      </c>
      <c r="F72" s="56">
        <f t="shared" si="147"/>
        <v>11548</v>
      </c>
      <c r="G72" s="56">
        <f t="shared" si="147"/>
        <v>12300</v>
      </c>
      <c r="H72" s="56">
        <f t="shared" si="147"/>
        <v>12959</v>
      </c>
      <c r="I72" s="56">
        <f t="shared" si="147"/>
        <v>15313</v>
      </c>
      <c r="J72" s="56">
        <f t="shared" ref="J72:K72" si="148">MAX(J25,J27,J29,J31,J33,J37,J39,J44,J46,J48,J52,J56,J60,J62,J64,J68)-MIN(J25,J27,J29,J31,J33,J37,J39,J44,J46,J48,J52,J56,J60,J62,J64,J68)</f>
        <v>14125</v>
      </c>
      <c r="K72" s="56">
        <f t="shared" si="148"/>
        <v>15443</v>
      </c>
      <c r="L72" s="56">
        <f t="shared" ref="L72" si="149">MAX(L25,L27,L29,L31,L33,L37,L39,L44,L46,L48,L52,L56,L60,L62,L64,L68)-MIN(L25,L27,L29,L31,L33,L37,L39,L44,L46,L48,L52,L56,L60,L62,L64,L68)</f>
        <v>16112</v>
      </c>
      <c r="P72" s="52"/>
    </row>
    <row r="73" spans="1:16" s="53" customFormat="1">
      <c r="D73" s="58"/>
      <c r="E73" s="58"/>
      <c r="F73" s="58"/>
      <c r="G73" s="58"/>
      <c r="H73" s="58"/>
      <c r="I73" s="58"/>
      <c r="J73" s="58"/>
      <c r="K73" s="58"/>
      <c r="L73" s="58"/>
      <c r="P73" s="52"/>
    </row>
    <row r="74" spans="1:16" s="53" customFormat="1">
      <c r="A74" s="51" t="s">
        <v>8701</v>
      </c>
      <c r="D74" s="56">
        <f t="shared" ref="D74:I74" si="150">STDEVP(D25,D27,D29,D31,D33,D37,D39,D44,D46,D48,D52,D56,D60,D62,D64,D68)</f>
        <v>2793.0700962381879</v>
      </c>
      <c r="E74" s="56">
        <f t="shared" si="150"/>
        <v>2782.3191533491895</v>
      </c>
      <c r="F74" s="56">
        <f t="shared" si="150"/>
        <v>3033.1221943887704</v>
      </c>
      <c r="G74" s="56">
        <f t="shared" si="150"/>
        <v>3421.6261616143502</v>
      </c>
      <c r="H74" s="56">
        <f t="shared" si="150"/>
        <v>3878.840008623712</v>
      </c>
      <c r="I74" s="56">
        <f t="shared" si="150"/>
        <v>4192.7949280394996</v>
      </c>
      <c r="J74" s="56">
        <f t="shared" ref="J74:K74" si="151">STDEVP(J25,J27,J29,J31,J33,J37,J39,J44,J46,J48,J52,J56,J60,J62,J64,J68)</f>
        <v>4299.4404559634268</v>
      </c>
      <c r="K74" s="56">
        <f t="shared" si="151"/>
        <v>4514.6356009510891</v>
      </c>
      <c r="L74" s="56">
        <f t="shared" ref="L74" si="152">STDEVP(L25,L27,L29,L31,L33,L37,L39,L44,L46,L48,L52,L56,L60,L62,L64,L68)</f>
        <v>4703.8647524535609</v>
      </c>
      <c r="P74" s="52"/>
    </row>
    <row r="75" spans="1:16" s="53" customFormat="1">
      <c r="A75" s="51"/>
      <c r="D75" s="56"/>
      <c r="E75" s="56"/>
      <c r="F75" s="56"/>
      <c r="G75" s="56"/>
      <c r="H75" s="56"/>
      <c r="I75" s="56"/>
      <c r="J75" s="56"/>
      <c r="K75" s="56"/>
      <c r="L75" s="56"/>
      <c r="P75" s="52"/>
    </row>
    <row r="76" spans="1:16" s="53" customFormat="1">
      <c r="A76" s="51" t="s">
        <v>7157</v>
      </c>
      <c r="D76" s="56"/>
      <c r="E76" s="56"/>
      <c r="F76" s="56"/>
      <c r="G76" s="56"/>
      <c r="H76" s="56"/>
      <c r="I76" s="56"/>
      <c r="J76" s="56"/>
      <c r="K76" s="56"/>
      <c r="L76" s="56"/>
      <c r="P76" s="52"/>
    </row>
    <row r="77" spans="1:16" s="53" customFormat="1">
      <c r="P77" s="52"/>
    </row>
    <row r="78" spans="1:16" s="53" customFormat="1">
      <c r="A78" s="64"/>
      <c r="P78" s="52"/>
    </row>
    <row r="79" spans="1:16" s="53" customFormat="1">
      <c r="E79" s="42" t="s">
        <v>2303</v>
      </c>
      <c r="F79" s="42"/>
      <c r="G79" s="42"/>
      <c r="H79" s="42"/>
      <c r="I79" s="42"/>
      <c r="J79" s="42"/>
      <c r="K79" s="42"/>
      <c r="L79" s="42"/>
      <c r="M79" s="65"/>
      <c r="N79" s="66" t="s">
        <v>13319</v>
      </c>
      <c r="P79" s="52"/>
    </row>
    <row r="80" spans="1:16" s="53" customFormat="1">
      <c r="D80" s="55">
        <v>2010</v>
      </c>
      <c r="E80" s="55">
        <v>2011</v>
      </c>
      <c r="F80" s="55">
        <v>2012</v>
      </c>
      <c r="G80" s="55">
        <v>2013</v>
      </c>
      <c r="H80" s="55">
        <v>2014</v>
      </c>
      <c r="I80" s="55">
        <v>2015</v>
      </c>
      <c r="J80" s="55">
        <v>2016</v>
      </c>
      <c r="K80" s="55">
        <v>2017</v>
      </c>
      <c r="L80" s="55">
        <v>2018</v>
      </c>
      <c r="M80" s="65"/>
      <c r="N80" s="67" t="s">
        <v>2304</v>
      </c>
      <c r="P80" s="52"/>
    </row>
    <row r="81" spans="1:19" s="53" customFormat="1">
      <c r="A81" s="51" t="s">
        <v>1909</v>
      </c>
      <c r="C81" s="51"/>
      <c r="D81" s="56">
        <f t="shared" ref="D81:I81" si="153">SUM(D82:D97)</f>
        <v>166253</v>
      </c>
      <c r="E81" s="56">
        <f t="shared" si="153"/>
        <v>165725</v>
      </c>
      <c r="F81" s="56">
        <f t="shared" si="153"/>
        <v>164387</v>
      </c>
      <c r="G81" s="56">
        <f t="shared" si="153"/>
        <v>162415</v>
      </c>
      <c r="H81" s="56">
        <f t="shared" si="153"/>
        <v>164847</v>
      </c>
      <c r="I81" s="56">
        <f t="shared" si="153"/>
        <v>153712</v>
      </c>
      <c r="J81" s="56">
        <f t="shared" ref="J81:K81" si="154">SUM(J82:J97)</f>
        <v>148179</v>
      </c>
      <c r="K81" s="56">
        <f t="shared" si="154"/>
        <v>150842</v>
      </c>
      <c r="L81" s="56">
        <f t="shared" ref="L81" si="155">SUM(L82:L97)</f>
        <v>152503</v>
      </c>
      <c r="P81" s="52"/>
    </row>
    <row r="82" spans="1:19" s="53" customFormat="1">
      <c r="A82" s="51" t="s">
        <v>6957</v>
      </c>
      <c r="B82" s="51" t="s">
        <v>6508</v>
      </c>
      <c r="C82" s="4" t="s">
        <v>271</v>
      </c>
      <c r="D82" s="56">
        <v>13098</v>
      </c>
      <c r="E82" s="56">
        <v>13025</v>
      </c>
      <c r="F82" s="56">
        <v>12466</v>
      </c>
      <c r="G82" s="30">
        <v>11952</v>
      </c>
      <c r="H82" s="30">
        <v>12415</v>
      </c>
      <c r="I82" s="30">
        <v>9024</v>
      </c>
      <c r="J82" s="30">
        <v>8571</v>
      </c>
      <c r="K82" s="30">
        <v>9192</v>
      </c>
      <c r="L82" s="30">
        <v>9554</v>
      </c>
      <c r="N82" s="51" t="s">
        <v>7181</v>
      </c>
      <c r="O82" s="4"/>
      <c r="P82" s="4"/>
      <c r="Q82" s="4"/>
      <c r="S82" s="4"/>
    </row>
    <row r="83" spans="1:19" s="53" customFormat="1">
      <c r="A83" s="51" t="s">
        <v>6959</v>
      </c>
      <c r="B83" s="51" t="s">
        <v>6509</v>
      </c>
      <c r="C83" s="4" t="s">
        <v>272</v>
      </c>
      <c r="D83" s="56">
        <v>10681</v>
      </c>
      <c r="E83" s="56">
        <v>10771</v>
      </c>
      <c r="F83" s="56">
        <v>10580</v>
      </c>
      <c r="G83" s="30">
        <v>10392</v>
      </c>
      <c r="H83" s="30">
        <v>10666</v>
      </c>
      <c r="I83" s="30">
        <v>9123</v>
      </c>
      <c r="J83" s="30">
        <v>8890</v>
      </c>
      <c r="K83" s="30">
        <v>8863</v>
      </c>
      <c r="L83" s="30">
        <v>9067</v>
      </c>
      <c r="N83" s="51" t="s">
        <v>7179</v>
      </c>
      <c r="O83" s="4"/>
      <c r="P83" s="4"/>
      <c r="Q83" s="4"/>
      <c r="S83" s="4"/>
    </row>
    <row r="84" spans="1:19" s="53" customFormat="1">
      <c r="A84" s="51" t="s">
        <v>6961</v>
      </c>
      <c r="B84" s="51" t="s">
        <v>6510</v>
      </c>
      <c r="C84" s="4" t="s">
        <v>273</v>
      </c>
      <c r="D84" s="68">
        <v>9718</v>
      </c>
      <c r="E84" s="68">
        <v>9901</v>
      </c>
      <c r="F84" s="68">
        <v>10062</v>
      </c>
      <c r="G84" s="30">
        <v>9750</v>
      </c>
      <c r="H84" s="30">
        <v>9508</v>
      </c>
      <c r="I84" s="30">
        <v>8400</v>
      </c>
      <c r="J84" s="30">
        <v>8343</v>
      </c>
      <c r="K84" s="30">
        <v>8518</v>
      </c>
      <c r="L84" s="30">
        <v>8690</v>
      </c>
      <c r="N84" s="51" t="s">
        <v>7182</v>
      </c>
      <c r="O84" s="4"/>
      <c r="P84" s="4"/>
      <c r="Q84" s="4"/>
      <c r="S84" s="4"/>
    </row>
    <row r="85" spans="1:19" s="53" customFormat="1">
      <c r="A85" s="51" t="s">
        <v>6963</v>
      </c>
      <c r="B85" s="51" t="s">
        <v>6511</v>
      </c>
      <c r="C85" s="4" t="s">
        <v>274</v>
      </c>
      <c r="D85" s="56">
        <v>9920</v>
      </c>
      <c r="E85" s="56">
        <v>9873</v>
      </c>
      <c r="F85" s="56">
        <v>9972</v>
      </c>
      <c r="G85" s="30">
        <v>10036</v>
      </c>
      <c r="H85" s="30">
        <v>10277</v>
      </c>
      <c r="I85" s="30">
        <v>10076</v>
      </c>
      <c r="J85" s="30">
        <v>9573</v>
      </c>
      <c r="K85" s="30">
        <v>9564</v>
      </c>
      <c r="L85" s="30">
        <v>9527</v>
      </c>
      <c r="N85" s="51" t="s">
        <v>7181</v>
      </c>
      <c r="O85" s="4"/>
      <c r="P85" s="4"/>
      <c r="Q85" s="4"/>
      <c r="S85" s="4"/>
    </row>
    <row r="86" spans="1:19" s="53" customFormat="1">
      <c r="A86" s="51" t="s">
        <v>6965</v>
      </c>
      <c r="B86" s="51" t="s">
        <v>6512</v>
      </c>
      <c r="C86" s="4" t="s">
        <v>275</v>
      </c>
      <c r="D86" s="56">
        <v>10267</v>
      </c>
      <c r="E86" s="56">
        <v>10232</v>
      </c>
      <c r="F86" s="56">
        <v>10278</v>
      </c>
      <c r="G86" s="30">
        <v>10244</v>
      </c>
      <c r="H86" s="30">
        <v>10398</v>
      </c>
      <c r="I86" s="30">
        <v>10157</v>
      </c>
      <c r="J86" s="30">
        <v>9747</v>
      </c>
      <c r="K86" s="30">
        <v>9924</v>
      </c>
      <c r="L86" s="30">
        <v>9807</v>
      </c>
      <c r="N86" s="51" t="s">
        <v>7181</v>
      </c>
      <c r="O86" s="4"/>
      <c r="P86" s="4"/>
      <c r="Q86" s="4"/>
      <c r="S86" s="4"/>
    </row>
    <row r="87" spans="1:19" s="53" customFormat="1">
      <c r="A87" s="51" t="s">
        <v>6997</v>
      </c>
      <c r="B87" s="51" t="s">
        <v>6513</v>
      </c>
      <c r="C87" s="4" t="s">
        <v>276</v>
      </c>
      <c r="D87" s="56">
        <v>10240</v>
      </c>
      <c r="E87" s="56">
        <v>10120</v>
      </c>
      <c r="F87" s="56">
        <v>10218</v>
      </c>
      <c r="G87" s="30">
        <v>10230</v>
      </c>
      <c r="H87" s="30">
        <v>10348</v>
      </c>
      <c r="I87" s="30">
        <v>10240</v>
      </c>
      <c r="J87" s="30">
        <v>9843</v>
      </c>
      <c r="K87" s="30">
        <v>9879</v>
      </c>
      <c r="L87" s="30">
        <v>9826</v>
      </c>
      <c r="N87" s="51" t="s">
        <v>7182</v>
      </c>
      <c r="O87" s="4"/>
      <c r="P87" s="4"/>
      <c r="Q87" s="4"/>
      <c r="S87" s="4"/>
    </row>
    <row r="88" spans="1:19" s="53" customFormat="1">
      <c r="A88" s="51" t="s">
        <v>6999</v>
      </c>
      <c r="B88" s="51" t="s">
        <v>6514</v>
      </c>
      <c r="C88" s="4" t="s">
        <v>277</v>
      </c>
      <c r="D88" s="68">
        <v>10370</v>
      </c>
      <c r="E88" s="68">
        <v>10139</v>
      </c>
      <c r="F88" s="68">
        <v>9923</v>
      </c>
      <c r="G88" s="30">
        <v>9682</v>
      </c>
      <c r="H88" s="30">
        <v>9883</v>
      </c>
      <c r="I88" s="30">
        <v>9031</v>
      </c>
      <c r="J88" s="30">
        <v>8673</v>
      </c>
      <c r="K88" s="30">
        <v>8987</v>
      </c>
      <c r="L88" s="30">
        <v>9259</v>
      </c>
      <c r="N88" s="51" t="s">
        <v>7182</v>
      </c>
      <c r="O88" s="4"/>
      <c r="P88" s="4"/>
      <c r="Q88" s="4"/>
      <c r="S88" s="4"/>
    </row>
    <row r="89" spans="1:19" s="53" customFormat="1">
      <c r="A89" s="51" t="s">
        <v>7001</v>
      </c>
      <c r="B89" s="51" t="s">
        <v>6515</v>
      </c>
      <c r="C89" s="4" t="s">
        <v>278</v>
      </c>
      <c r="D89" s="56">
        <v>10567</v>
      </c>
      <c r="E89" s="56">
        <v>10463</v>
      </c>
      <c r="F89" s="56">
        <v>10377</v>
      </c>
      <c r="G89" s="30">
        <v>10327</v>
      </c>
      <c r="H89" s="30">
        <v>10312</v>
      </c>
      <c r="I89" s="30">
        <v>10193</v>
      </c>
      <c r="J89" s="30">
        <v>9698</v>
      </c>
      <c r="K89" s="30">
        <v>9900</v>
      </c>
      <c r="L89" s="30">
        <v>9953</v>
      </c>
      <c r="N89" s="51" t="s">
        <v>7181</v>
      </c>
      <c r="O89" s="4"/>
      <c r="P89" s="4"/>
      <c r="Q89" s="4"/>
      <c r="S89" s="4"/>
    </row>
    <row r="90" spans="1:19" s="53" customFormat="1">
      <c r="A90" s="51" t="s">
        <v>7003</v>
      </c>
      <c r="B90" s="51" t="s">
        <v>6516</v>
      </c>
      <c r="C90" s="4" t="s">
        <v>279</v>
      </c>
      <c r="D90" s="56">
        <v>10610</v>
      </c>
      <c r="E90" s="56">
        <v>10573</v>
      </c>
      <c r="F90" s="56">
        <v>10576</v>
      </c>
      <c r="G90" s="30">
        <v>10420</v>
      </c>
      <c r="H90" s="30">
        <v>10586</v>
      </c>
      <c r="I90" s="30">
        <v>10266</v>
      </c>
      <c r="J90" s="30">
        <v>9954</v>
      </c>
      <c r="K90" s="30">
        <v>10050</v>
      </c>
      <c r="L90" s="30">
        <v>10109</v>
      </c>
      <c r="N90" s="51" t="s">
        <v>7182</v>
      </c>
      <c r="O90" s="4"/>
      <c r="P90" s="4"/>
      <c r="Q90" s="4"/>
      <c r="S90" s="4"/>
    </row>
    <row r="91" spans="1:19" s="53" customFormat="1">
      <c r="A91" s="51" t="s">
        <v>7005</v>
      </c>
      <c r="B91" s="51" t="s">
        <v>6517</v>
      </c>
      <c r="C91" s="4" t="s">
        <v>280</v>
      </c>
      <c r="D91" s="56">
        <v>10270</v>
      </c>
      <c r="E91" s="56">
        <v>10366</v>
      </c>
      <c r="F91" s="56">
        <v>10380</v>
      </c>
      <c r="G91" s="30">
        <v>10348</v>
      </c>
      <c r="H91" s="30">
        <v>10494</v>
      </c>
      <c r="I91" s="30">
        <v>10318</v>
      </c>
      <c r="J91" s="30">
        <v>9850</v>
      </c>
      <c r="K91" s="30">
        <v>9951</v>
      </c>
      <c r="L91" s="30">
        <v>9969</v>
      </c>
      <c r="N91" s="51" t="s">
        <v>7181</v>
      </c>
      <c r="O91" s="4"/>
      <c r="P91" s="4"/>
      <c r="Q91" s="4"/>
      <c r="S91" s="4"/>
    </row>
    <row r="92" spans="1:19" s="53" customFormat="1">
      <c r="A92" s="51" t="s">
        <v>7007</v>
      </c>
      <c r="B92" s="51" t="s">
        <v>6518</v>
      </c>
      <c r="C92" s="4" t="s">
        <v>281</v>
      </c>
      <c r="D92" s="56">
        <v>10323</v>
      </c>
      <c r="E92" s="56">
        <v>10280</v>
      </c>
      <c r="F92" s="56">
        <v>9917</v>
      </c>
      <c r="G92" s="30">
        <v>9664</v>
      </c>
      <c r="H92" s="30">
        <v>9745</v>
      </c>
      <c r="I92" s="30">
        <v>8978</v>
      </c>
      <c r="J92" s="30">
        <v>8877</v>
      </c>
      <c r="K92" s="30">
        <v>8999</v>
      </c>
      <c r="L92" s="30">
        <v>9403</v>
      </c>
      <c r="N92" s="51" t="s">
        <v>7182</v>
      </c>
      <c r="O92" s="4"/>
      <c r="P92" s="4"/>
      <c r="Q92" s="4"/>
      <c r="S92" s="4"/>
    </row>
    <row r="93" spans="1:19" s="53" customFormat="1">
      <c r="A93" s="51" t="s">
        <v>7009</v>
      </c>
      <c r="B93" s="51" t="s">
        <v>8808</v>
      </c>
      <c r="C93" s="4" t="s">
        <v>282</v>
      </c>
      <c r="D93" s="56">
        <v>10456</v>
      </c>
      <c r="E93" s="56">
        <v>10305</v>
      </c>
      <c r="F93" s="56">
        <v>10188</v>
      </c>
      <c r="G93" s="30">
        <v>10139</v>
      </c>
      <c r="H93" s="30">
        <v>10425</v>
      </c>
      <c r="I93" s="30">
        <v>10313</v>
      </c>
      <c r="J93" s="30">
        <v>9871</v>
      </c>
      <c r="K93" s="30">
        <v>10152</v>
      </c>
      <c r="L93" s="30">
        <v>10193</v>
      </c>
      <c r="N93" s="51" t="s">
        <v>7182</v>
      </c>
      <c r="O93" s="4"/>
      <c r="P93" s="4"/>
      <c r="Q93" s="4"/>
      <c r="S93" s="4"/>
    </row>
    <row r="94" spans="1:19" s="53" customFormat="1">
      <c r="A94" s="51" t="s">
        <v>7011</v>
      </c>
      <c r="B94" s="51" t="s">
        <v>8196</v>
      </c>
      <c r="C94" s="4" t="s">
        <v>283</v>
      </c>
      <c r="D94" s="56">
        <v>9995</v>
      </c>
      <c r="E94" s="56">
        <v>9945</v>
      </c>
      <c r="F94" s="56">
        <v>9872</v>
      </c>
      <c r="G94" s="31">
        <v>9807</v>
      </c>
      <c r="H94" s="31">
        <v>9892</v>
      </c>
      <c r="I94" s="31">
        <v>9751</v>
      </c>
      <c r="J94" s="31">
        <v>9212</v>
      </c>
      <c r="K94" s="31">
        <v>9351</v>
      </c>
      <c r="L94" s="31">
        <v>9377</v>
      </c>
      <c r="N94" s="51" t="s">
        <v>7182</v>
      </c>
      <c r="O94" s="4"/>
      <c r="P94" s="4"/>
      <c r="Q94" s="4"/>
      <c r="S94" s="4"/>
    </row>
    <row r="95" spans="1:19" s="53" customFormat="1">
      <c r="A95" s="51" t="s">
        <v>7013</v>
      </c>
      <c r="B95" s="51" t="s">
        <v>6519</v>
      </c>
      <c r="C95" s="4" t="s">
        <v>284</v>
      </c>
      <c r="D95" s="56">
        <v>10789</v>
      </c>
      <c r="E95" s="56">
        <v>10763</v>
      </c>
      <c r="F95" s="56">
        <v>10715</v>
      </c>
      <c r="G95" s="30">
        <v>10670</v>
      </c>
      <c r="H95" s="30">
        <v>10761</v>
      </c>
      <c r="I95" s="30">
        <v>10590</v>
      </c>
      <c r="J95" s="30">
        <v>10291</v>
      </c>
      <c r="K95" s="30">
        <v>10411</v>
      </c>
      <c r="L95" s="30">
        <v>10383</v>
      </c>
      <c r="N95" s="51" t="s">
        <v>7181</v>
      </c>
      <c r="O95" s="4"/>
      <c r="P95" s="4"/>
      <c r="Q95" s="4"/>
      <c r="S95" s="4"/>
    </row>
    <row r="96" spans="1:19" s="53" customFormat="1">
      <c r="A96" s="51" t="s">
        <v>7015</v>
      </c>
      <c r="B96" s="51" t="s">
        <v>6520</v>
      </c>
      <c r="C96" s="4" t="s">
        <v>285</v>
      </c>
      <c r="D96" s="56">
        <v>9140</v>
      </c>
      <c r="E96" s="56">
        <v>9178</v>
      </c>
      <c r="F96" s="56">
        <v>9140</v>
      </c>
      <c r="G96" s="30">
        <v>8926</v>
      </c>
      <c r="H96" s="30">
        <v>9082</v>
      </c>
      <c r="I96" s="30">
        <v>7437</v>
      </c>
      <c r="J96" s="30">
        <v>7385</v>
      </c>
      <c r="K96" s="30">
        <v>7347</v>
      </c>
      <c r="L96" s="30">
        <v>7508</v>
      </c>
      <c r="N96" s="51" t="s">
        <v>7179</v>
      </c>
      <c r="O96" s="4"/>
      <c r="P96" s="4"/>
      <c r="Q96" s="4"/>
      <c r="S96" s="4"/>
    </row>
    <row r="97" spans="1:19" s="53" customFormat="1">
      <c r="A97" s="50">
        <v>16</v>
      </c>
      <c r="B97" s="51" t="s">
        <v>6521</v>
      </c>
      <c r="C97" s="4" t="s">
        <v>286</v>
      </c>
      <c r="D97" s="56">
        <v>9809</v>
      </c>
      <c r="E97" s="56">
        <v>9791</v>
      </c>
      <c r="F97" s="56">
        <v>9723</v>
      </c>
      <c r="G97" s="30">
        <v>9828</v>
      </c>
      <c r="H97" s="30">
        <v>10055</v>
      </c>
      <c r="I97" s="30">
        <v>9815</v>
      </c>
      <c r="J97" s="30">
        <v>9401</v>
      </c>
      <c r="K97" s="30">
        <v>9754</v>
      </c>
      <c r="L97" s="30">
        <v>9878</v>
      </c>
      <c r="N97" s="51" t="s">
        <v>7181</v>
      </c>
      <c r="O97" s="4"/>
      <c r="P97" s="4"/>
      <c r="Q97" s="4"/>
      <c r="S97" s="4"/>
    </row>
    <row r="98" spans="1:19" s="53" customFormat="1">
      <c r="C98" s="52"/>
      <c r="D98" s="58"/>
      <c r="E98" s="58"/>
      <c r="F98" s="58"/>
      <c r="G98" s="58"/>
      <c r="H98" s="58"/>
      <c r="I98" s="58"/>
      <c r="J98" s="58"/>
      <c r="K98" s="58"/>
      <c r="L98" s="58"/>
    </row>
    <row r="99" spans="1:19" s="53" customFormat="1">
      <c r="A99" s="51" t="s">
        <v>6555</v>
      </c>
      <c r="C99" s="52"/>
      <c r="D99" s="56">
        <f t="shared" ref="D99:I99" si="156">D83+D96</f>
        <v>19821</v>
      </c>
      <c r="E99" s="56">
        <f t="shared" si="156"/>
        <v>19949</v>
      </c>
      <c r="F99" s="56">
        <f t="shared" si="156"/>
        <v>19720</v>
      </c>
      <c r="G99" s="56">
        <f t="shared" si="156"/>
        <v>19318</v>
      </c>
      <c r="H99" s="56">
        <f t="shared" si="156"/>
        <v>19748</v>
      </c>
      <c r="I99" s="56">
        <f t="shared" si="156"/>
        <v>16560</v>
      </c>
      <c r="J99" s="56">
        <f t="shared" ref="J99:K99" si="157">J83+J96</f>
        <v>16275</v>
      </c>
      <c r="K99" s="56">
        <f t="shared" si="157"/>
        <v>16210</v>
      </c>
      <c r="L99" s="56">
        <f t="shared" ref="L99" si="158">L83+L96</f>
        <v>16575</v>
      </c>
    </row>
    <row r="100" spans="1:19" s="53" customFormat="1">
      <c r="A100" s="51" t="s">
        <v>7181</v>
      </c>
      <c r="C100" s="52"/>
      <c r="D100" s="56">
        <f t="shared" ref="D100:I100" si="159">D82+D85+D86+D89+D91+D95+D97</f>
        <v>74720</v>
      </c>
      <c r="E100" s="56">
        <f t="shared" si="159"/>
        <v>74513</v>
      </c>
      <c r="F100" s="56">
        <f t="shared" si="159"/>
        <v>73911</v>
      </c>
      <c r="G100" s="56">
        <f t="shared" si="159"/>
        <v>73405</v>
      </c>
      <c r="H100" s="56">
        <f t="shared" si="159"/>
        <v>74712</v>
      </c>
      <c r="I100" s="56">
        <f t="shared" si="159"/>
        <v>70173</v>
      </c>
      <c r="J100" s="56">
        <f t="shared" ref="J100:K100" si="160">J82+J85+J86+J89+J91+J95+J97</f>
        <v>67131</v>
      </c>
      <c r="K100" s="56">
        <f t="shared" si="160"/>
        <v>68696</v>
      </c>
      <c r="L100" s="56">
        <f t="shared" ref="L100" si="161">L82+L85+L86+L89+L91+L95+L97</f>
        <v>69071</v>
      </c>
    </row>
    <row r="101" spans="1:19" s="53" customFormat="1">
      <c r="A101" s="51" t="s">
        <v>7182</v>
      </c>
      <c r="C101" s="52"/>
      <c r="D101" s="56">
        <f t="shared" ref="D101:I101" si="162">D84+D87+D88+D90+SUM(D92:D94)</f>
        <v>71712</v>
      </c>
      <c r="E101" s="56">
        <f t="shared" si="162"/>
        <v>71263</v>
      </c>
      <c r="F101" s="56">
        <f t="shared" si="162"/>
        <v>70756</v>
      </c>
      <c r="G101" s="56">
        <f t="shared" si="162"/>
        <v>69692</v>
      </c>
      <c r="H101" s="56">
        <f t="shared" si="162"/>
        <v>70387</v>
      </c>
      <c r="I101" s="56">
        <f t="shared" si="162"/>
        <v>66979</v>
      </c>
      <c r="J101" s="56">
        <f t="shared" ref="J101:K101" si="163">J84+J87+J88+J90+SUM(J92:J94)</f>
        <v>64773</v>
      </c>
      <c r="K101" s="56">
        <f t="shared" si="163"/>
        <v>65936</v>
      </c>
      <c r="L101" s="56">
        <f t="shared" ref="L101" si="164">L84+L87+L88+L90+SUM(L92:L94)</f>
        <v>66857</v>
      </c>
    </row>
    <row r="102" spans="1:19" s="53" customFormat="1">
      <c r="C102" s="52"/>
    </row>
    <row r="103" spans="1:19" s="53" customFormat="1">
      <c r="A103" s="51" t="s">
        <v>6556</v>
      </c>
      <c r="C103" s="52"/>
    </row>
    <row r="104" spans="1:19" s="53" customFormat="1">
      <c r="A104" s="51"/>
      <c r="C104" s="52"/>
    </row>
    <row r="105" spans="1:19" s="53" customFormat="1">
      <c r="A105" s="51"/>
      <c r="C105" s="52"/>
    </row>
    <row r="106" spans="1:19" s="53" customFormat="1">
      <c r="C106" s="52"/>
      <c r="E106" s="42" t="s">
        <v>2303</v>
      </c>
      <c r="F106" s="42"/>
      <c r="G106" s="42"/>
      <c r="H106" s="42"/>
      <c r="I106" s="42"/>
      <c r="J106" s="42"/>
      <c r="K106" s="42"/>
      <c r="L106" s="42"/>
      <c r="M106" s="65"/>
      <c r="N106" s="66" t="s">
        <v>13319</v>
      </c>
    </row>
    <row r="107" spans="1:19" s="53" customFormat="1">
      <c r="C107" s="52"/>
      <c r="D107" s="55">
        <v>2010</v>
      </c>
      <c r="E107" s="55">
        <v>2011</v>
      </c>
      <c r="F107" s="55">
        <v>2012</v>
      </c>
      <c r="G107" s="55">
        <v>2013</v>
      </c>
      <c r="H107" s="55">
        <v>2014</v>
      </c>
      <c r="I107" s="55">
        <v>2015</v>
      </c>
      <c r="J107" s="55">
        <v>2016</v>
      </c>
      <c r="K107" s="55">
        <v>2017</v>
      </c>
      <c r="L107" s="55">
        <v>2018</v>
      </c>
      <c r="M107" s="65"/>
      <c r="N107" s="67" t="s">
        <v>2304</v>
      </c>
    </row>
    <row r="108" spans="1:19" s="53" customFormat="1">
      <c r="A108" s="51" t="s">
        <v>6557</v>
      </c>
      <c r="C108" s="52"/>
      <c r="D108" s="56">
        <f t="shared" ref="D108:I108" si="165">SUM(D109:D132)+SUM(D134:D139)</f>
        <v>121140</v>
      </c>
      <c r="E108" s="56">
        <f t="shared" si="165"/>
        <v>122037</v>
      </c>
      <c r="F108" s="56">
        <f t="shared" si="165"/>
        <v>122819</v>
      </c>
      <c r="G108" s="56">
        <f t="shared" si="165"/>
        <v>125592</v>
      </c>
      <c r="H108" s="56">
        <f t="shared" si="165"/>
        <v>129203</v>
      </c>
      <c r="I108" s="56">
        <f t="shared" si="165"/>
        <v>127353</v>
      </c>
      <c r="J108" s="56">
        <f t="shared" ref="J108:L108" si="166">SUM(J109:J132)+SUM(J134:J139)</f>
        <v>124473</v>
      </c>
      <c r="K108" s="56">
        <f t="shared" si="166"/>
        <v>128131</v>
      </c>
      <c r="L108" s="56">
        <f t="shared" si="166"/>
        <v>129390</v>
      </c>
    </row>
    <row r="109" spans="1:19" s="53" customFormat="1">
      <c r="A109" s="51" t="s">
        <v>6957</v>
      </c>
      <c r="B109" s="51" t="s">
        <v>6558</v>
      </c>
      <c r="C109" s="4" t="s">
        <v>287</v>
      </c>
      <c r="D109" s="56">
        <v>6641</v>
      </c>
      <c r="E109" s="56">
        <v>6643</v>
      </c>
      <c r="F109" s="56">
        <v>6556</v>
      </c>
      <c r="G109" s="30">
        <v>6718</v>
      </c>
      <c r="H109" s="30">
        <v>6754</v>
      </c>
      <c r="I109" s="30">
        <v>6714</v>
      </c>
      <c r="J109" s="30">
        <v>6624</v>
      </c>
      <c r="K109" s="30">
        <v>6705</v>
      </c>
      <c r="L109" s="30">
        <v>6757</v>
      </c>
      <c r="N109" s="51" t="s">
        <v>7160</v>
      </c>
      <c r="Q109" s="4"/>
      <c r="S109" s="4"/>
    </row>
    <row r="110" spans="1:19" s="53" customFormat="1">
      <c r="A110" s="51" t="s">
        <v>6959</v>
      </c>
      <c r="B110" s="51" t="s">
        <v>6559</v>
      </c>
      <c r="C110" s="4" t="s">
        <v>288</v>
      </c>
      <c r="D110" s="56">
        <v>4181</v>
      </c>
      <c r="E110" s="56">
        <v>4142</v>
      </c>
      <c r="F110" s="56">
        <v>4122</v>
      </c>
      <c r="G110" s="31">
        <v>4203</v>
      </c>
      <c r="H110" s="31">
        <v>4386</v>
      </c>
      <c r="I110" s="31">
        <v>4435</v>
      </c>
      <c r="J110" s="31">
        <v>4353</v>
      </c>
      <c r="K110" s="31">
        <v>4421</v>
      </c>
      <c r="L110" s="31">
        <v>4471</v>
      </c>
      <c r="N110" s="51" t="s">
        <v>7177</v>
      </c>
      <c r="Q110" s="4"/>
      <c r="S110" s="4"/>
    </row>
    <row r="111" spans="1:19" s="53" customFormat="1">
      <c r="A111" s="51" t="s">
        <v>6961</v>
      </c>
      <c r="B111" s="51" t="s">
        <v>6560</v>
      </c>
      <c r="C111" s="4" t="s">
        <v>294</v>
      </c>
      <c r="D111" s="56">
        <v>3912</v>
      </c>
      <c r="E111" s="56">
        <v>4210</v>
      </c>
      <c r="F111" s="56">
        <v>4310</v>
      </c>
      <c r="G111" s="31">
        <v>4383</v>
      </c>
      <c r="H111" s="31">
        <v>4392</v>
      </c>
      <c r="I111" s="31">
        <v>4329</v>
      </c>
      <c r="J111" s="31">
        <v>4261</v>
      </c>
      <c r="K111" s="31">
        <v>4431</v>
      </c>
      <c r="L111" s="31">
        <v>4434</v>
      </c>
      <c r="N111" s="51" t="s">
        <v>6561</v>
      </c>
      <c r="Q111" s="4"/>
      <c r="S111" s="4"/>
    </row>
    <row r="112" spans="1:19" s="53" customFormat="1">
      <c r="A112" s="51" t="s">
        <v>6963</v>
      </c>
      <c r="B112" s="51" t="s">
        <v>6562</v>
      </c>
      <c r="C112" s="4" t="s">
        <v>289</v>
      </c>
      <c r="D112" s="56">
        <v>3869</v>
      </c>
      <c r="E112" s="56">
        <v>3826</v>
      </c>
      <c r="F112" s="56">
        <v>3820</v>
      </c>
      <c r="G112" s="30">
        <v>3925</v>
      </c>
      <c r="H112" s="30">
        <v>4033</v>
      </c>
      <c r="I112" s="30">
        <v>4018</v>
      </c>
      <c r="J112" s="30">
        <v>3936</v>
      </c>
      <c r="K112" s="30">
        <v>4024</v>
      </c>
      <c r="L112" s="30">
        <v>4024</v>
      </c>
      <c r="N112" s="51" t="s">
        <v>7160</v>
      </c>
      <c r="Q112" s="4"/>
      <c r="S112" s="4"/>
    </row>
    <row r="113" spans="1:19" s="53" customFormat="1">
      <c r="A113" s="51" t="s">
        <v>6965</v>
      </c>
      <c r="B113" s="51" t="s">
        <v>6563</v>
      </c>
      <c r="C113" s="4" t="s">
        <v>290</v>
      </c>
      <c r="D113" s="56">
        <v>3879</v>
      </c>
      <c r="E113" s="56">
        <v>3819</v>
      </c>
      <c r="F113" s="56">
        <v>3759</v>
      </c>
      <c r="G113" s="30">
        <v>3821</v>
      </c>
      <c r="H113" s="30">
        <v>3988</v>
      </c>
      <c r="I113" s="30">
        <v>3908</v>
      </c>
      <c r="J113" s="30">
        <v>3798</v>
      </c>
      <c r="K113" s="30">
        <v>3868</v>
      </c>
      <c r="L113" s="30">
        <v>3872</v>
      </c>
      <c r="N113" s="51" t="s">
        <v>7160</v>
      </c>
      <c r="Q113" s="4"/>
      <c r="S113" s="4"/>
    </row>
    <row r="114" spans="1:19" s="53" customFormat="1">
      <c r="A114" s="51" t="s">
        <v>6997</v>
      </c>
      <c r="B114" s="51" t="s">
        <v>6564</v>
      </c>
      <c r="C114" s="4" t="s">
        <v>291</v>
      </c>
      <c r="D114" s="56">
        <v>4001</v>
      </c>
      <c r="E114" s="56">
        <v>4114</v>
      </c>
      <c r="F114" s="56">
        <v>4311</v>
      </c>
      <c r="G114" s="30">
        <v>4395</v>
      </c>
      <c r="H114" s="30">
        <v>4571</v>
      </c>
      <c r="I114" s="30">
        <v>4460</v>
      </c>
      <c r="J114" s="30">
        <v>4321</v>
      </c>
      <c r="K114" s="30">
        <v>4446</v>
      </c>
      <c r="L114" s="30">
        <v>4468</v>
      </c>
      <c r="N114" s="51" t="s">
        <v>7160</v>
      </c>
      <c r="Q114" s="4"/>
      <c r="S114" s="4"/>
    </row>
    <row r="115" spans="1:19" s="53" customFormat="1">
      <c r="A115" s="51" t="s">
        <v>6999</v>
      </c>
      <c r="B115" s="51" t="s">
        <v>6565</v>
      </c>
      <c r="C115" s="4" t="s">
        <v>292</v>
      </c>
      <c r="D115" s="56">
        <v>4438</v>
      </c>
      <c r="E115" s="56">
        <v>4439</v>
      </c>
      <c r="F115" s="56">
        <v>4421</v>
      </c>
      <c r="G115" s="30">
        <v>4466</v>
      </c>
      <c r="H115" s="30">
        <v>4688</v>
      </c>
      <c r="I115" s="30">
        <v>4571</v>
      </c>
      <c r="J115" s="30">
        <v>4335</v>
      </c>
      <c r="K115" s="30">
        <v>4502</v>
      </c>
      <c r="L115" s="30">
        <v>4593</v>
      </c>
      <c r="N115" s="51" t="s">
        <v>7160</v>
      </c>
      <c r="Q115" s="4"/>
      <c r="S115" s="4"/>
    </row>
    <row r="116" spans="1:19" s="53" customFormat="1">
      <c r="A116" s="51" t="s">
        <v>7001</v>
      </c>
      <c r="B116" s="51" t="s">
        <v>6566</v>
      </c>
      <c r="C116" s="4" t="s">
        <v>293</v>
      </c>
      <c r="D116" s="56">
        <v>4354</v>
      </c>
      <c r="E116" s="56">
        <v>4370</v>
      </c>
      <c r="F116" s="56">
        <v>4428</v>
      </c>
      <c r="G116" s="31">
        <v>4613</v>
      </c>
      <c r="H116" s="31">
        <v>4748</v>
      </c>
      <c r="I116" s="31">
        <v>4711</v>
      </c>
      <c r="J116" s="31">
        <v>4556</v>
      </c>
      <c r="K116" s="31">
        <v>4636</v>
      </c>
      <c r="L116" s="31">
        <v>4697</v>
      </c>
      <c r="N116" s="51" t="s">
        <v>6567</v>
      </c>
      <c r="Q116" s="4"/>
      <c r="S116" s="4"/>
    </row>
    <row r="117" spans="1:19" s="53" customFormat="1">
      <c r="A117" s="51" t="s">
        <v>7003</v>
      </c>
      <c r="B117" s="51" t="s">
        <v>6568</v>
      </c>
      <c r="C117" s="4" t="s">
        <v>295</v>
      </c>
      <c r="D117" s="56">
        <v>6511</v>
      </c>
      <c r="E117" s="56">
        <v>6563</v>
      </c>
      <c r="F117" s="56">
        <v>6769</v>
      </c>
      <c r="G117" s="30">
        <v>7132</v>
      </c>
      <c r="H117" s="30">
        <v>7433</v>
      </c>
      <c r="I117" s="30">
        <v>7371</v>
      </c>
      <c r="J117" s="30">
        <v>7340</v>
      </c>
      <c r="K117" s="30">
        <v>7571</v>
      </c>
      <c r="L117" s="30">
        <v>7591</v>
      </c>
      <c r="N117" s="51" t="s">
        <v>7160</v>
      </c>
      <c r="Q117" s="4"/>
      <c r="S117" s="4"/>
    </row>
    <row r="118" spans="1:19" s="53" customFormat="1">
      <c r="A118" s="51" t="s">
        <v>7005</v>
      </c>
      <c r="B118" s="51" t="s">
        <v>6569</v>
      </c>
      <c r="C118" s="4" t="s">
        <v>296</v>
      </c>
      <c r="D118" s="56">
        <v>2241</v>
      </c>
      <c r="E118" s="56">
        <v>2234</v>
      </c>
      <c r="F118" s="56">
        <v>2252</v>
      </c>
      <c r="G118" s="31">
        <v>2259</v>
      </c>
      <c r="H118" s="31">
        <v>2294</v>
      </c>
      <c r="I118" s="31">
        <v>2290</v>
      </c>
      <c r="J118" s="31">
        <v>2221</v>
      </c>
      <c r="K118" s="31">
        <v>2283</v>
      </c>
      <c r="L118" s="31">
        <v>2328</v>
      </c>
      <c r="N118" s="51" t="s">
        <v>7177</v>
      </c>
      <c r="Q118" s="4"/>
      <c r="S118" s="4"/>
    </row>
    <row r="119" spans="1:19" s="53" customFormat="1">
      <c r="A119" s="51" t="s">
        <v>7007</v>
      </c>
      <c r="B119" s="51" t="s">
        <v>6570</v>
      </c>
      <c r="C119" s="4" t="s">
        <v>297</v>
      </c>
      <c r="D119" s="56">
        <v>3523</v>
      </c>
      <c r="E119" s="56">
        <v>3633</v>
      </c>
      <c r="F119" s="56">
        <v>3737</v>
      </c>
      <c r="G119" s="30">
        <v>3902</v>
      </c>
      <c r="H119" s="30">
        <v>4072</v>
      </c>
      <c r="I119" s="30">
        <v>3873</v>
      </c>
      <c r="J119" s="30">
        <v>3821</v>
      </c>
      <c r="K119" s="30">
        <v>4006</v>
      </c>
      <c r="L119" s="30">
        <v>4085</v>
      </c>
      <c r="N119" s="51" t="s">
        <v>7160</v>
      </c>
      <c r="Q119" s="4"/>
      <c r="S119" s="4"/>
    </row>
    <row r="120" spans="1:19" s="53" customFormat="1" ht="15" customHeight="1">
      <c r="A120" s="51" t="s">
        <v>7009</v>
      </c>
      <c r="B120" s="51" t="s">
        <v>6571</v>
      </c>
      <c r="C120" s="4" t="s">
        <v>298</v>
      </c>
      <c r="D120" s="56">
        <v>4536</v>
      </c>
      <c r="E120" s="56">
        <v>4499</v>
      </c>
      <c r="F120" s="56">
        <v>4551</v>
      </c>
      <c r="G120" s="30">
        <v>4615</v>
      </c>
      <c r="H120" s="30">
        <v>4759</v>
      </c>
      <c r="I120" s="30">
        <v>4715</v>
      </c>
      <c r="J120" s="30">
        <v>4636</v>
      </c>
      <c r="K120" s="30">
        <v>4786</v>
      </c>
      <c r="L120" s="30">
        <v>4842</v>
      </c>
      <c r="N120" s="51" t="s">
        <v>7160</v>
      </c>
      <c r="Q120" s="4"/>
      <c r="S120" s="4"/>
    </row>
    <row r="121" spans="1:19" s="53" customFormat="1" ht="15" customHeight="1">
      <c r="A121" s="51" t="s">
        <v>7011</v>
      </c>
      <c r="B121" s="51" t="s">
        <v>6572</v>
      </c>
      <c r="C121" s="4" t="s">
        <v>299</v>
      </c>
      <c r="D121" s="56">
        <v>6496</v>
      </c>
      <c r="E121" s="56">
        <v>6514</v>
      </c>
      <c r="F121" s="56">
        <v>6478</v>
      </c>
      <c r="G121" s="30">
        <v>6586</v>
      </c>
      <c r="H121" s="30">
        <v>6664</v>
      </c>
      <c r="I121" s="30">
        <v>6572</v>
      </c>
      <c r="J121" s="30">
        <v>6406</v>
      </c>
      <c r="K121" s="30">
        <v>6516</v>
      </c>
      <c r="L121" s="30">
        <v>6633</v>
      </c>
      <c r="N121" s="51" t="s">
        <v>7160</v>
      </c>
      <c r="Q121" s="4"/>
      <c r="S121" s="4"/>
    </row>
    <row r="122" spans="1:19" s="53" customFormat="1">
      <c r="A122" s="51" t="s">
        <v>7013</v>
      </c>
      <c r="B122" s="51" t="s">
        <v>6573</v>
      </c>
      <c r="C122" s="4" t="s">
        <v>300</v>
      </c>
      <c r="D122" s="56">
        <v>5753</v>
      </c>
      <c r="E122" s="56">
        <v>5670</v>
      </c>
      <c r="F122" s="56">
        <v>5709</v>
      </c>
      <c r="G122" s="30">
        <v>5714</v>
      </c>
      <c r="H122" s="30">
        <v>5814</v>
      </c>
      <c r="I122" s="30">
        <v>5762</v>
      </c>
      <c r="J122" s="30">
        <v>5634</v>
      </c>
      <c r="K122" s="30">
        <v>5743</v>
      </c>
      <c r="L122" s="30">
        <v>5700</v>
      </c>
      <c r="N122" s="51" t="s">
        <v>7160</v>
      </c>
      <c r="Q122" s="4"/>
      <c r="S122" s="4"/>
    </row>
    <row r="123" spans="1:19" s="53" customFormat="1">
      <c r="A123" s="51" t="s">
        <v>7015</v>
      </c>
      <c r="B123" s="51" t="s">
        <v>6574</v>
      </c>
      <c r="C123" s="4" t="s">
        <v>301</v>
      </c>
      <c r="D123" s="56">
        <v>3873</v>
      </c>
      <c r="E123" s="56">
        <v>3921</v>
      </c>
      <c r="F123" s="56">
        <v>3877</v>
      </c>
      <c r="G123" s="31">
        <v>3941</v>
      </c>
      <c r="H123" s="31">
        <v>4006</v>
      </c>
      <c r="I123" s="31">
        <v>3969</v>
      </c>
      <c r="J123" s="31">
        <v>3860</v>
      </c>
      <c r="K123" s="31">
        <v>3960</v>
      </c>
      <c r="L123" s="31">
        <v>3961</v>
      </c>
      <c r="N123" s="51" t="s">
        <v>6567</v>
      </c>
      <c r="Q123" s="4"/>
      <c r="S123" s="4"/>
    </row>
    <row r="124" spans="1:19" s="53" customFormat="1">
      <c r="A124" s="51" t="s">
        <v>7017</v>
      </c>
      <c r="B124" s="51" t="s">
        <v>8226</v>
      </c>
      <c r="C124" s="4" t="s">
        <v>302</v>
      </c>
      <c r="D124" s="56">
        <v>5981</v>
      </c>
      <c r="E124" s="56">
        <v>5935</v>
      </c>
      <c r="F124" s="56">
        <v>5943</v>
      </c>
      <c r="G124" s="30">
        <v>5988</v>
      </c>
      <c r="H124" s="30">
        <v>6184</v>
      </c>
      <c r="I124" s="30">
        <v>5996</v>
      </c>
      <c r="J124" s="30">
        <v>5770</v>
      </c>
      <c r="K124" s="30">
        <v>6270</v>
      </c>
      <c r="L124" s="30">
        <v>6305</v>
      </c>
      <c r="N124" s="51" t="s">
        <v>7160</v>
      </c>
      <c r="Q124" s="4"/>
      <c r="S124" s="4"/>
    </row>
    <row r="125" spans="1:19" s="53" customFormat="1">
      <c r="A125" s="51" t="s">
        <v>7019</v>
      </c>
      <c r="B125" s="51" t="s">
        <v>6575</v>
      </c>
      <c r="C125" s="4" t="s">
        <v>303</v>
      </c>
      <c r="D125" s="56">
        <v>5520</v>
      </c>
      <c r="E125" s="56">
        <v>5508</v>
      </c>
      <c r="F125" s="56">
        <v>5436</v>
      </c>
      <c r="G125" s="31">
        <v>5498</v>
      </c>
      <c r="H125" s="31">
        <v>5542</v>
      </c>
      <c r="I125" s="31">
        <v>5489</v>
      </c>
      <c r="J125" s="31">
        <v>5388</v>
      </c>
      <c r="K125" s="31">
        <v>5534</v>
      </c>
      <c r="L125" s="31">
        <v>5672</v>
      </c>
      <c r="N125" s="51" t="s">
        <v>7177</v>
      </c>
      <c r="Q125" s="4"/>
      <c r="S125" s="4"/>
    </row>
    <row r="126" spans="1:19" s="53" customFormat="1">
      <c r="A126" s="51" t="s">
        <v>7021</v>
      </c>
      <c r="B126" s="51" t="s">
        <v>6576</v>
      </c>
      <c r="C126" s="4" t="s">
        <v>304</v>
      </c>
      <c r="D126" s="56">
        <v>3712</v>
      </c>
      <c r="E126" s="56">
        <v>3866</v>
      </c>
      <c r="F126" s="56">
        <v>3841</v>
      </c>
      <c r="G126" s="31">
        <v>3867</v>
      </c>
      <c r="H126" s="31">
        <v>3952</v>
      </c>
      <c r="I126" s="31">
        <v>3887</v>
      </c>
      <c r="J126" s="31">
        <v>3795</v>
      </c>
      <c r="K126" s="31">
        <v>3872</v>
      </c>
      <c r="L126" s="31">
        <v>3885</v>
      </c>
      <c r="N126" s="51" t="s">
        <v>7177</v>
      </c>
      <c r="Q126" s="4"/>
      <c r="S126" s="4"/>
    </row>
    <row r="127" spans="1:19" s="53" customFormat="1">
      <c r="A127" s="51" t="s">
        <v>7023</v>
      </c>
      <c r="B127" s="51" t="s">
        <v>6577</v>
      </c>
      <c r="C127" s="4" t="s">
        <v>305</v>
      </c>
      <c r="D127" s="56">
        <v>3641</v>
      </c>
      <c r="E127" s="56">
        <v>3658</v>
      </c>
      <c r="F127" s="56">
        <v>3638</v>
      </c>
      <c r="G127" s="31">
        <v>3660</v>
      </c>
      <c r="H127" s="31">
        <v>3689</v>
      </c>
      <c r="I127" s="31">
        <v>3643</v>
      </c>
      <c r="J127" s="31">
        <v>3598</v>
      </c>
      <c r="K127" s="31">
        <v>3730</v>
      </c>
      <c r="L127" s="31">
        <v>3739</v>
      </c>
      <c r="N127" s="51" t="s">
        <v>7176</v>
      </c>
      <c r="Q127" s="4"/>
      <c r="S127" s="4"/>
    </row>
    <row r="128" spans="1:19" s="53" customFormat="1">
      <c r="A128" s="51" t="s">
        <v>7025</v>
      </c>
      <c r="B128" s="51" t="s">
        <v>6578</v>
      </c>
      <c r="C128" s="4" t="s">
        <v>306</v>
      </c>
      <c r="D128" s="56">
        <v>3596</v>
      </c>
      <c r="E128" s="56">
        <v>3515</v>
      </c>
      <c r="F128" s="56">
        <v>3669</v>
      </c>
      <c r="G128" s="30">
        <v>4055</v>
      </c>
      <c r="H128" s="30">
        <v>4582</v>
      </c>
      <c r="I128" s="30">
        <v>4510</v>
      </c>
      <c r="J128" s="30">
        <v>4373</v>
      </c>
      <c r="K128" s="30">
        <v>4480</v>
      </c>
      <c r="L128" s="30">
        <v>4559</v>
      </c>
      <c r="N128" s="51" t="s">
        <v>7160</v>
      </c>
      <c r="Q128" s="4"/>
      <c r="S128" s="4"/>
    </row>
    <row r="129" spans="1:19" s="53" customFormat="1">
      <c r="A129" s="51" t="s">
        <v>7570</v>
      </c>
      <c r="B129" s="51" t="s">
        <v>6579</v>
      </c>
      <c r="C129" s="4" t="s">
        <v>307</v>
      </c>
      <c r="D129" s="56">
        <v>3045</v>
      </c>
      <c r="E129" s="56">
        <v>3340</v>
      </c>
      <c r="F129" s="56">
        <v>3530</v>
      </c>
      <c r="G129" s="30">
        <v>3678</v>
      </c>
      <c r="H129" s="30">
        <v>3809</v>
      </c>
      <c r="I129" s="30">
        <v>3670</v>
      </c>
      <c r="J129" s="30">
        <v>3551</v>
      </c>
      <c r="K129" s="30">
        <v>3787</v>
      </c>
      <c r="L129" s="30">
        <v>3957</v>
      </c>
      <c r="N129" s="51" t="s">
        <v>7160</v>
      </c>
      <c r="Q129" s="4"/>
      <c r="S129" s="4"/>
    </row>
    <row r="130" spans="1:19" s="53" customFormat="1">
      <c r="A130" s="51" t="s">
        <v>7572</v>
      </c>
      <c r="B130" s="51" t="s">
        <v>6580</v>
      </c>
      <c r="C130" s="4" t="s">
        <v>308</v>
      </c>
      <c r="D130" s="68">
        <v>1665</v>
      </c>
      <c r="E130" s="68">
        <v>1999</v>
      </c>
      <c r="F130" s="68">
        <v>2237</v>
      </c>
      <c r="G130" s="30">
        <v>2448</v>
      </c>
      <c r="H130" s="30">
        <v>2626</v>
      </c>
      <c r="I130" s="30">
        <v>2603</v>
      </c>
      <c r="J130" s="30">
        <v>2671</v>
      </c>
      <c r="K130" s="30">
        <v>2910</v>
      </c>
      <c r="L130" s="30">
        <v>3018</v>
      </c>
      <c r="N130" s="51" t="s">
        <v>7160</v>
      </c>
      <c r="Q130" s="4"/>
      <c r="S130" s="4"/>
    </row>
    <row r="131" spans="1:19" s="53" customFormat="1">
      <c r="A131" s="51" t="s">
        <v>7573</v>
      </c>
      <c r="B131" s="51" t="s">
        <v>6581</v>
      </c>
      <c r="C131" s="4" t="s">
        <v>309</v>
      </c>
      <c r="D131" s="68">
        <v>1621</v>
      </c>
      <c r="E131" s="68">
        <v>1637</v>
      </c>
      <c r="F131" s="68">
        <v>1629</v>
      </c>
      <c r="G131" s="31">
        <v>1650</v>
      </c>
      <c r="H131" s="31">
        <v>1649</v>
      </c>
      <c r="I131" s="31">
        <v>1610</v>
      </c>
      <c r="J131" s="31">
        <v>1600</v>
      </c>
      <c r="K131" s="31">
        <v>1638</v>
      </c>
      <c r="L131" s="31">
        <v>1715</v>
      </c>
      <c r="N131" s="51" t="s">
        <v>7176</v>
      </c>
      <c r="Q131" s="4"/>
      <c r="S131" s="4"/>
    </row>
    <row r="132" spans="1:19" s="53" customFormat="1" ht="15.75" thickBot="1">
      <c r="A132" s="51"/>
      <c r="B132" s="51"/>
      <c r="C132" s="4" t="s">
        <v>309</v>
      </c>
      <c r="D132" s="57">
        <v>138</v>
      </c>
      <c r="E132" s="68">
        <v>138</v>
      </c>
      <c r="F132" s="68">
        <v>142</v>
      </c>
      <c r="G132" s="31">
        <v>138</v>
      </c>
      <c r="H132" s="31">
        <v>141</v>
      </c>
      <c r="I132" s="31">
        <v>130</v>
      </c>
      <c r="J132" s="31">
        <v>127</v>
      </c>
      <c r="K132" s="31">
        <v>145</v>
      </c>
      <c r="L132" s="31">
        <v>137</v>
      </c>
      <c r="N132" s="51" t="s">
        <v>7177</v>
      </c>
    </row>
    <row r="133" spans="1:19" s="53" customFormat="1" ht="15.75" thickBot="1">
      <c r="A133" s="51"/>
      <c r="B133" s="51"/>
      <c r="C133" s="4" t="s">
        <v>309</v>
      </c>
      <c r="D133" s="63">
        <f t="shared" ref="D133:L133" si="167">D131+D132</f>
        <v>1759</v>
      </c>
      <c r="E133" s="63">
        <f t="shared" si="167"/>
        <v>1775</v>
      </c>
      <c r="F133" s="63">
        <f t="shared" si="167"/>
        <v>1771</v>
      </c>
      <c r="G133" s="63">
        <f t="shared" si="167"/>
        <v>1788</v>
      </c>
      <c r="H133" s="63">
        <f t="shared" si="167"/>
        <v>1790</v>
      </c>
      <c r="I133" s="63">
        <f t="shared" si="167"/>
        <v>1740</v>
      </c>
      <c r="J133" s="63">
        <f t="shared" si="167"/>
        <v>1727</v>
      </c>
      <c r="K133" s="63">
        <f t="shared" si="167"/>
        <v>1783</v>
      </c>
      <c r="L133" s="63">
        <f t="shared" si="167"/>
        <v>1852</v>
      </c>
      <c r="N133" s="51"/>
    </row>
    <row r="134" spans="1:19" s="53" customFormat="1">
      <c r="A134" s="51" t="s">
        <v>5798</v>
      </c>
      <c r="B134" s="51" t="s">
        <v>6582</v>
      </c>
      <c r="C134" s="4" t="s">
        <v>310</v>
      </c>
      <c r="D134" s="56">
        <v>6503</v>
      </c>
      <c r="E134" s="56">
        <v>6341</v>
      </c>
      <c r="F134" s="56">
        <v>6279</v>
      </c>
      <c r="G134" s="30">
        <v>6336</v>
      </c>
      <c r="H134" s="30">
        <v>6571</v>
      </c>
      <c r="I134" s="30">
        <v>6420</v>
      </c>
      <c r="J134" s="30">
        <v>6220</v>
      </c>
      <c r="K134" s="30">
        <v>6335</v>
      </c>
      <c r="L134" s="30">
        <v>6376</v>
      </c>
      <c r="N134" s="51" t="s">
        <v>7160</v>
      </c>
      <c r="Q134" s="4"/>
      <c r="S134" s="4"/>
    </row>
    <row r="135" spans="1:19" s="53" customFormat="1">
      <c r="A135" s="51" t="s">
        <v>5799</v>
      </c>
      <c r="B135" s="51" t="s">
        <v>8414</v>
      </c>
      <c r="C135" s="4" t="s">
        <v>311</v>
      </c>
      <c r="D135" s="56">
        <v>2132</v>
      </c>
      <c r="E135" s="56">
        <v>2124</v>
      </c>
      <c r="F135" s="56">
        <v>2083</v>
      </c>
      <c r="G135" s="31">
        <v>2082</v>
      </c>
      <c r="H135" s="31">
        <v>2132</v>
      </c>
      <c r="I135" s="31">
        <v>2104</v>
      </c>
      <c r="J135" s="31">
        <v>2067</v>
      </c>
      <c r="K135" s="31">
        <v>2095</v>
      </c>
      <c r="L135" s="31">
        <v>2113</v>
      </c>
      <c r="N135" s="51" t="s">
        <v>7177</v>
      </c>
      <c r="Q135" s="4"/>
      <c r="S135" s="4"/>
    </row>
    <row r="136" spans="1:19" s="53" customFormat="1">
      <c r="A136" s="50">
        <v>26</v>
      </c>
      <c r="B136" s="51" t="s">
        <v>8415</v>
      </c>
      <c r="C136" s="4" t="s">
        <v>312</v>
      </c>
      <c r="D136" s="56">
        <v>4433</v>
      </c>
      <c r="E136" s="56">
        <v>4429</v>
      </c>
      <c r="F136" s="56">
        <v>4367</v>
      </c>
      <c r="G136" s="31">
        <v>4487</v>
      </c>
      <c r="H136" s="31">
        <v>4519</v>
      </c>
      <c r="I136" s="31">
        <v>4469</v>
      </c>
      <c r="J136" s="31">
        <v>4374</v>
      </c>
      <c r="K136" s="31">
        <v>4451</v>
      </c>
      <c r="L136" s="31">
        <v>4420</v>
      </c>
      <c r="N136" s="51" t="s">
        <v>7177</v>
      </c>
      <c r="Q136" s="4"/>
      <c r="S136" s="4"/>
    </row>
    <row r="137" spans="1:19" s="53" customFormat="1">
      <c r="A137" s="50">
        <v>27</v>
      </c>
      <c r="B137" s="51" t="s">
        <v>8416</v>
      </c>
      <c r="C137" s="4" t="s">
        <v>313</v>
      </c>
      <c r="D137" s="58">
        <v>2198</v>
      </c>
      <c r="E137" s="58">
        <v>2233</v>
      </c>
      <c r="F137" s="58">
        <v>2286</v>
      </c>
      <c r="G137" s="31">
        <v>2273</v>
      </c>
      <c r="H137" s="31">
        <v>2322</v>
      </c>
      <c r="I137" s="31">
        <v>2300</v>
      </c>
      <c r="J137" s="31">
        <v>2240</v>
      </c>
      <c r="K137" s="31">
        <v>2283</v>
      </c>
      <c r="L137" s="31">
        <v>2279</v>
      </c>
      <c r="N137" s="51" t="s">
        <v>7176</v>
      </c>
      <c r="Q137" s="4"/>
      <c r="S137" s="4"/>
    </row>
    <row r="138" spans="1:19" s="53" customFormat="1">
      <c r="A138" s="50">
        <v>28</v>
      </c>
      <c r="B138" s="51" t="s">
        <v>8417</v>
      </c>
      <c r="C138" s="4" t="s">
        <v>314</v>
      </c>
      <c r="D138" s="56">
        <v>4076</v>
      </c>
      <c r="E138" s="56">
        <v>4097</v>
      </c>
      <c r="F138" s="56">
        <v>4053</v>
      </c>
      <c r="G138" s="31">
        <v>4109</v>
      </c>
      <c r="H138" s="31">
        <v>4154</v>
      </c>
      <c r="I138" s="31">
        <v>4094</v>
      </c>
      <c r="J138" s="31">
        <v>4007</v>
      </c>
      <c r="K138" s="31">
        <v>4093</v>
      </c>
      <c r="L138" s="31">
        <v>4138</v>
      </c>
      <c r="N138" s="51" t="s">
        <v>6567</v>
      </c>
      <c r="Q138" s="4"/>
      <c r="S138" s="4"/>
    </row>
    <row r="139" spans="1:19" s="53" customFormat="1">
      <c r="A139" s="50">
        <v>29</v>
      </c>
      <c r="B139" s="51" t="s">
        <v>8418</v>
      </c>
      <c r="C139" s="4" t="s">
        <v>315</v>
      </c>
      <c r="D139" s="56">
        <v>4671</v>
      </c>
      <c r="E139" s="56">
        <v>4620</v>
      </c>
      <c r="F139" s="56">
        <v>4586</v>
      </c>
      <c r="G139" s="31">
        <v>4650</v>
      </c>
      <c r="H139" s="31">
        <v>4729</v>
      </c>
      <c r="I139" s="31">
        <v>4730</v>
      </c>
      <c r="J139" s="31">
        <v>4590</v>
      </c>
      <c r="K139" s="31">
        <v>4610</v>
      </c>
      <c r="L139" s="31">
        <v>4621</v>
      </c>
      <c r="N139" s="51" t="s">
        <v>7160</v>
      </c>
      <c r="Q139" s="4"/>
      <c r="S139" s="4"/>
    </row>
    <row r="140" spans="1:19" s="53" customFormat="1">
      <c r="C140" s="52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9" s="53" customFormat="1">
      <c r="A141" s="51" t="s">
        <v>7160</v>
      </c>
      <c r="C141" s="52"/>
      <c r="D141" s="56">
        <f t="shared" ref="D141:I141" si="168">D109+SUM(D112:D115)+D117+SUM(D119:D122)+D124+SUM(D128:D130)+D134+D139</f>
        <v>75108</v>
      </c>
      <c r="E141" s="56">
        <f t="shared" si="168"/>
        <v>75470</v>
      </c>
      <c r="F141" s="56">
        <f t="shared" si="168"/>
        <v>76355</v>
      </c>
      <c r="G141" s="56">
        <f t="shared" si="168"/>
        <v>78429</v>
      </c>
      <c r="H141" s="56">
        <f t="shared" si="168"/>
        <v>81277</v>
      </c>
      <c r="I141" s="56">
        <f t="shared" si="168"/>
        <v>79893</v>
      </c>
      <c r="J141" s="56">
        <f t="shared" ref="J141:K141" si="169">J109+SUM(J112:J115)+J117+SUM(J119:J122)+J124+SUM(J128:J130)+J134+J139</f>
        <v>78026</v>
      </c>
      <c r="K141" s="56">
        <f t="shared" si="169"/>
        <v>80559</v>
      </c>
      <c r="L141" s="56">
        <f t="shared" ref="L141" si="170">L109+SUM(L112:L115)+L117+SUM(L119:L122)+L124+SUM(L128:L130)+L134+L139</f>
        <v>81401</v>
      </c>
    </row>
    <row r="142" spans="1:19" s="53" customFormat="1">
      <c r="A142" s="51" t="s">
        <v>8419</v>
      </c>
      <c r="C142" s="52"/>
      <c r="D142" s="56">
        <f t="shared" ref="D142:I142" si="171">D111+D127+D131+D137</f>
        <v>11372</v>
      </c>
      <c r="E142" s="56">
        <f t="shared" si="171"/>
        <v>11738</v>
      </c>
      <c r="F142" s="56">
        <f t="shared" si="171"/>
        <v>11863</v>
      </c>
      <c r="G142" s="56">
        <f t="shared" si="171"/>
        <v>11966</v>
      </c>
      <c r="H142" s="56">
        <f t="shared" si="171"/>
        <v>12052</v>
      </c>
      <c r="I142" s="56">
        <f t="shared" si="171"/>
        <v>11882</v>
      </c>
      <c r="J142" s="56">
        <f t="shared" ref="J142:K142" si="172">J111+J127+J131+J137</f>
        <v>11699</v>
      </c>
      <c r="K142" s="56">
        <f t="shared" si="172"/>
        <v>12082</v>
      </c>
      <c r="L142" s="56">
        <f t="shared" ref="L142" si="173">L111+L127+L131+L137</f>
        <v>12167</v>
      </c>
    </row>
    <row r="143" spans="1:19" s="53" customFormat="1">
      <c r="A143" s="51" t="s">
        <v>8420</v>
      </c>
      <c r="C143" s="52"/>
      <c r="D143" s="56">
        <f t="shared" ref="D143:I143" si="174">D110+D116+D118+D123+D125+D126+D132+D135+D136+D138</f>
        <v>34660</v>
      </c>
      <c r="E143" s="56">
        <f t="shared" si="174"/>
        <v>34829</v>
      </c>
      <c r="F143" s="56">
        <f t="shared" si="174"/>
        <v>34601</v>
      </c>
      <c r="G143" s="56">
        <f t="shared" si="174"/>
        <v>35197</v>
      </c>
      <c r="H143" s="56">
        <f t="shared" si="174"/>
        <v>35874</v>
      </c>
      <c r="I143" s="56">
        <f t="shared" si="174"/>
        <v>35578</v>
      </c>
      <c r="J143" s="56">
        <f t="shared" ref="J143:K143" si="175">J110+J116+J118+J123+J125+J126+J132+J135+J136+J138</f>
        <v>34748</v>
      </c>
      <c r="K143" s="56">
        <f t="shared" si="175"/>
        <v>35490</v>
      </c>
      <c r="L143" s="56">
        <f t="shared" ref="L143" si="176">L110+L116+L118+L123+L125+L126+L132+L135+L136+L138</f>
        <v>35822</v>
      </c>
    </row>
    <row r="144" spans="1:19" s="53" customFormat="1">
      <c r="A144" s="51"/>
      <c r="B144" s="51"/>
      <c r="C144" s="52"/>
      <c r="D144" s="69"/>
      <c r="E144" s="69"/>
      <c r="F144" s="69"/>
      <c r="G144" s="69"/>
      <c r="H144" s="69"/>
      <c r="I144" s="69"/>
      <c r="J144" s="69"/>
      <c r="K144" s="69"/>
      <c r="L144" s="69"/>
    </row>
    <row r="145" spans="1:19" s="53" customFormat="1">
      <c r="A145" s="51" t="s">
        <v>7536</v>
      </c>
      <c r="B145" s="51"/>
      <c r="C145" s="52"/>
      <c r="D145" s="69"/>
      <c r="E145" s="69"/>
      <c r="F145" s="69"/>
      <c r="G145" s="69"/>
      <c r="H145" s="69"/>
      <c r="I145" s="69"/>
      <c r="J145" s="69"/>
      <c r="K145" s="69"/>
      <c r="L145" s="69"/>
    </row>
    <row r="146" spans="1:19" s="53" customFormat="1">
      <c r="A146" s="51"/>
      <c r="B146" s="51"/>
      <c r="C146" s="52"/>
      <c r="D146" s="69"/>
      <c r="E146" s="69"/>
      <c r="F146" s="69"/>
      <c r="G146" s="69"/>
      <c r="H146" s="69"/>
      <c r="I146" s="69"/>
      <c r="J146" s="69"/>
      <c r="K146" s="69"/>
      <c r="L146" s="69"/>
    </row>
    <row r="147" spans="1:19" s="53" customFormat="1">
      <c r="A147" s="51"/>
      <c r="B147" s="51"/>
      <c r="C147" s="52"/>
      <c r="D147" s="69"/>
      <c r="E147" s="69"/>
      <c r="F147" s="69"/>
      <c r="G147" s="69"/>
      <c r="H147" s="69"/>
      <c r="I147" s="69"/>
      <c r="J147" s="69"/>
      <c r="K147" s="69"/>
      <c r="L147" s="69"/>
    </row>
    <row r="148" spans="1:19" s="53" customFormat="1">
      <c r="C148" s="52"/>
      <c r="E148" s="42" t="s">
        <v>2303</v>
      </c>
      <c r="F148" s="42"/>
      <c r="G148" s="42"/>
      <c r="H148" s="42"/>
      <c r="I148" s="42"/>
      <c r="J148" s="42"/>
      <c r="K148" s="42"/>
      <c r="L148" s="42"/>
      <c r="M148" s="65"/>
      <c r="N148" s="66" t="s">
        <v>13319</v>
      </c>
    </row>
    <row r="149" spans="1:19" s="53" customFormat="1">
      <c r="C149" s="52"/>
      <c r="D149" s="55">
        <v>2010</v>
      </c>
      <c r="E149" s="55">
        <v>2011</v>
      </c>
      <c r="F149" s="55">
        <v>2012</v>
      </c>
      <c r="G149" s="55">
        <v>2013</v>
      </c>
      <c r="H149" s="55">
        <v>2014</v>
      </c>
      <c r="I149" s="55">
        <v>2015</v>
      </c>
      <c r="J149" s="55">
        <v>2016</v>
      </c>
      <c r="K149" s="55">
        <v>2017</v>
      </c>
      <c r="L149" s="55">
        <v>2018</v>
      </c>
      <c r="M149" s="65"/>
      <c r="N149" s="67" t="s">
        <v>2304</v>
      </c>
    </row>
    <row r="150" spans="1:19" s="53" customFormat="1">
      <c r="A150" s="51" t="s">
        <v>7537</v>
      </c>
      <c r="C150" s="52"/>
      <c r="D150" s="56">
        <f t="shared" ref="D150:I150" si="177">SUM(D151:D188)</f>
        <v>88153</v>
      </c>
      <c r="E150" s="56">
        <f t="shared" si="177"/>
        <v>89153</v>
      </c>
      <c r="F150" s="56">
        <f t="shared" si="177"/>
        <v>89448</v>
      </c>
      <c r="G150" s="56">
        <f t="shared" si="177"/>
        <v>89482</v>
      </c>
      <c r="H150" s="56">
        <f t="shared" si="177"/>
        <v>87332</v>
      </c>
      <c r="I150" s="56">
        <f t="shared" si="177"/>
        <v>87590</v>
      </c>
      <c r="J150" s="56">
        <f t="shared" ref="J150:K150" si="178">SUM(J151:J188)</f>
        <v>86488</v>
      </c>
      <c r="K150" s="56">
        <f t="shared" si="178"/>
        <v>89919</v>
      </c>
      <c r="L150" s="56">
        <f t="shared" ref="L150" si="179">SUM(L151:L188)</f>
        <v>90765</v>
      </c>
    </row>
    <row r="151" spans="1:19" s="53" customFormat="1">
      <c r="A151" s="51" t="s">
        <v>6957</v>
      </c>
      <c r="B151" s="51" t="s">
        <v>7538</v>
      </c>
      <c r="C151" s="4" t="s">
        <v>316</v>
      </c>
      <c r="D151" s="56">
        <v>1881</v>
      </c>
      <c r="E151" s="56">
        <v>1887</v>
      </c>
      <c r="F151" s="56">
        <v>1895</v>
      </c>
      <c r="G151" s="30">
        <v>1876</v>
      </c>
      <c r="H151" s="30">
        <v>1820</v>
      </c>
      <c r="I151" s="30">
        <v>1827</v>
      </c>
      <c r="J151" s="30">
        <v>1762</v>
      </c>
      <c r="K151" s="30">
        <v>1811</v>
      </c>
      <c r="L151" s="30">
        <v>1801</v>
      </c>
      <c r="N151" s="51" t="s">
        <v>7162</v>
      </c>
      <c r="O151" s="930"/>
      <c r="Q151" s="4"/>
      <c r="S151" s="4"/>
    </row>
    <row r="152" spans="1:19" s="53" customFormat="1">
      <c r="A152" s="51" t="s">
        <v>6959</v>
      </c>
      <c r="B152" s="51" t="s">
        <v>7539</v>
      </c>
      <c r="C152" s="4" t="s">
        <v>317</v>
      </c>
      <c r="D152" s="56">
        <v>1874</v>
      </c>
      <c r="E152" s="56">
        <v>1906</v>
      </c>
      <c r="F152" s="56">
        <v>1879</v>
      </c>
      <c r="G152" s="30">
        <v>1907</v>
      </c>
      <c r="H152" s="30">
        <v>1873</v>
      </c>
      <c r="I152" s="30">
        <v>1875</v>
      </c>
      <c r="J152" s="30">
        <v>1891</v>
      </c>
      <c r="K152" s="30">
        <v>1925</v>
      </c>
      <c r="L152" s="30">
        <v>1923</v>
      </c>
      <c r="N152" s="51" t="s">
        <v>7162</v>
      </c>
      <c r="O152" s="930"/>
      <c r="Q152" s="4"/>
      <c r="S152" s="4"/>
    </row>
    <row r="153" spans="1:19" s="53" customFormat="1">
      <c r="A153" s="51" t="s">
        <v>6961</v>
      </c>
      <c r="B153" s="51" t="s">
        <v>7542</v>
      </c>
      <c r="C153" s="4" t="s">
        <v>318</v>
      </c>
      <c r="D153" s="56">
        <v>2018</v>
      </c>
      <c r="E153" s="56">
        <v>1982</v>
      </c>
      <c r="F153" s="56">
        <v>1942</v>
      </c>
      <c r="G153" s="30">
        <v>2034</v>
      </c>
      <c r="H153" s="30">
        <v>2028</v>
      </c>
      <c r="I153" s="30">
        <v>2009</v>
      </c>
      <c r="J153" s="30">
        <v>1941</v>
      </c>
      <c r="K153" s="30">
        <v>2031</v>
      </c>
      <c r="L153" s="30">
        <v>2086</v>
      </c>
      <c r="N153" s="51" t="s">
        <v>7162</v>
      </c>
      <c r="O153" s="930"/>
      <c r="Q153" s="4"/>
      <c r="S153" s="4"/>
    </row>
    <row r="154" spans="1:19" s="53" customFormat="1">
      <c r="A154" s="51" t="s">
        <v>6963</v>
      </c>
      <c r="B154" s="51" t="s">
        <v>8368</v>
      </c>
      <c r="C154" s="4" t="s">
        <v>319</v>
      </c>
      <c r="D154" s="56">
        <v>2161</v>
      </c>
      <c r="E154" s="56">
        <v>2190</v>
      </c>
      <c r="F154" s="56">
        <v>2264</v>
      </c>
      <c r="G154" s="30">
        <v>2248</v>
      </c>
      <c r="H154" s="30">
        <v>2186</v>
      </c>
      <c r="I154" s="30">
        <v>2185</v>
      </c>
      <c r="J154" s="30">
        <v>2179</v>
      </c>
      <c r="K154" s="30">
        <v>2319</v>
      </c>
      <c r="L154" s="30">
        <v>2330</v>
      </c>
      <c r="N154" s="51" t="s">
        <v>7162</v>
      </c>
      <c r="O154" s="930"/>
      <c r="Q154" s="4"/>
      <c r="S154" s="4"/>
    </row>
    <row r="155" spans="1:19" s="53" customFormat="1">
      <c r="A155" s="51" t="s">
        <v>6965</v>
      </c>
      <c r="B155" s="51" t="s">
        <v>8369</v>
      </c>
      <c r="C155" s="4" t="s">
        <v>320</v>
      </c>
      <c r="D155" s="56">
        <v>2268</v>
      </c>
      <c r="E155" s="56">
        <v>2290</v>
      </c>
      <c r="F155" s="56">
        <v>2270</v>
      </c>
      <c r="G155" s="30">
        <v>2361</v>
      </c>
      <c r="H155" s="30">
        <v>2348</v>
      </c>
      <c r="I155" s="30">
        <v>2360</v>
      </c>
      <c r="J155" s="30">
        <v>2310</v>
      </c>
      <c r="K155" s="30">
        <v>2389</v>
      </c>
      <c r="L155" s="30">
        <v>2427</v>
      </c>
      <c r="N155" s="51" t="s">
        <v>7162</v>
      </c>
      <c r="O155" s="930"/>
      <c r="Q155" s="4"/>
      <c r="S155" s="4"/>
    </row>
    <row r="156" spans="1:19" s="53" customFormat="1">
      <c r="A156" s="51" t="s">
        <v>6997</v>
      </c>
      <c r="B156" s="51" t="s">
        <v>8370</v>
      </c>
      <c r="C156" s="4" t="s">
        <v>321</v>
      </c>
      <c r="D156" s="56">
        <v>1825</v>
      </c>
      <c r="E156" s="56">
        <v>1822</v>
      </c>
      <c r="F156" s="56">
        <v>1781</v>
      </c>
      <c r="G156" s="30">
        <v>1806</v>
      </c>
      <c r="H156" s="30">
        <v>1742</v>
      </c>
      <c r="I156" s="30">
        <v>1741</v>
      </c>
      <c r="J156" s="30">
        <v>1670</v>
      </c>
      <c r="K156" s="30">
        <v>1752</v>
      </c>
      <c r="L156" s="30">
        <v>1744</v>
      </c>
      <c r="N156" s="51" t="s">
        <v>7162</v>
      </c>
      <c r="O156" s="930"/>
      <c r="Q156" s="4"/>
      <c r="S156" s="4"/>
    </row>
    <row r="157" spans="1:19" s="53" customFormat="1">
      <c r="A157" s="51" t="s">
        <v>6999</v>
      </c>
      <c r="B157" s="51" t="s">
        <v>8371</v>
      </c>
      <c r="C157" s="4" t="s">
        <v>322</v>
      </c>
      <c r="D157" s="56">
        <v>2276</v>
      </c>
      <c r="E157" s="56">
        <v>2306</v>
      </c>
      <c r="F157" s="56">
        <v>2335</v>
      </c>
      <c r="G157" s="30">
        <v>2318</v>
      </c>
      <c r="H157" s="30">
        <v>2386</v>
      </c>
      <c r="I157" s="30">
        <v>2370</v>
      </c>
      <c r="J157" s="30">
        <v>2272</v>
      </c>
      <c r="K157" s="30">
        <v>2322</v>
      </c>
      <c r="L157" s="30">
        <v>2314</v>
      </c>
      <c r="N157" s="51" t="s">
        <v>7162</v>
      </c>
      <c r="O157" s="930"/>
      <c r="Q157" s="4"/>
      <c r="S157" s="4"/>
    </row>
    <row r="158" spans="1:19" s="53" customFormat="1">
      <c r="A158" s="51" t="s">
        <v>7001</v>
      </c>
      <c r="B158" s="51" t="s">
        <v>8372</v>
      </c>
      <c r="C158" s="4" t="s">
        <v>323</v>
      </c>
      <c r="D158" s="56">
        <v>6391</v>
      </c>
      <c r="E158" s="56">
        <v>6514</v>
      </c>
      <c r="F158" s="56">
        <v>6569</v>
      </c>
      <c r="G158" s="30">
        <v>6591</v>
      </c>
      <c r="H158" s="30">
        <v>6541</v>
      </c>
      <c r="I158" s="30">
        <v>6553</v>
      </c>
      <c r="J158" s="30">
        <v>6472</v>
      </c>
      <c r="K158" s="30">
        <v>6677</v>
      </c>
      <c r="L158" s="30">
        <v>6703</v>
      </c>
      <c r="N158" s="51" t="s">
        <v>7162</v>
      </c>
      <c r="O158" s="930"/>
      <c r="Q158" s="4"/>
      <c r="S158" s="4"/>
    </row>
    <row r="159" spans="1:19" s="53" customFormat="1">
      <c r="A159" s="51" t="s">
        <v>7003</v>
      </c>
      <c r="B159" s="51" t="s">
        <v>8373</v>
      </c>
      <c r="C159" s="4" t="s">
        <v>324</v>
      </c>
      <c r="D159" s="56">
        <v>3868</v>
      </c>
      <c r="E159" s="56">
        <v>3917</v>
      </c>
      <c r="F159" s="56">
        <v>3951</v>
      </c>
      <c r="G159" s="31">
        <v>3929</v>
      </c>
      <c r="H159" s="31">
        <v>4093</v>
      </c>
      <c r="I159" s="31">
        <v>4147</v>
      </c>
      <c r="J159" s="31">
        <v>4252</v>
      </c>
      <c r="K159" s="31">
        <v>4501</v>
      </c>
      <c r="L159" s="31">
        <v>4684</v>
      </c>
      <c r="N159" s="51" t="s">
        <v>7171</v>
      </c>
      <c r="O159" s="946"/>
      <c r="Q159" s="4"/>
      <c r="S159" s="4"/>
    </row>
    <row r="160" spans="1:19" s="53" customFormat="1">
      <c r="A160" s="51" t="s">
        <v>7005</v>
      </c>
      <c r="B160" s="51" t="s">
        <v>4013</v>
      </c>
      <c r="C160" s="4" t="s">
        <v>325</v>
      </c>
      <c r="D160" s="56">
        <v>1980</v>
      </c>
      <c r="E160" s="56">
        <v>1991</v>
      </c>
      <c r="F160" s="56">
        <v>2011</v>
      </c>
      <c r="G160" s="30">
        <v>2007</v>
      </c>
      <c r="H160" s="30">
        <v>1998</v>
      </c>
      <c r="I160" s="30">
        <v>2003</v>
      </c>
      <c r="J160" s="30">
        <v>2019</v>
      </c>
      <c r="K160" s="30">
        <v>2075</v>
      </c>
      <c r="L160" s="30">
        <v>2111</v>
      </c>
      <c r="N160" s="51" t="s">
        <v>7162</v>
      </c>
      <c r="O160" s="930"/>
      <c r="Q160" s="4"/>
      <c r="S160" s="4"/>
    </row>
    <row r="161" spans="1:19" s="53" customFormat="1">
      <c r="A161" s="51" t="s">
        <v>7007</v>
      </c>
      <c r="B161" s="51" t="s">
        <v>4014</v>
      </c>
      <c r="C161" s="4" t="s">
        <v>326</v>
      </c>
      <c r="D161" s="56">
        <v>1836</v>
      </c>
      <c r="E161" s="56">
        <v>1872</v>
      </c>
      <c r="F161" s="56">
        <v>1853</v>
      </c>
      <c r="G161" s="30">
        <v>1854</v>
      </c>
      <c r="H161" s="30">
        <v>1813</v>
      </c>
      <c r="I161" s="30">
        <v>1816</v>
      </c>
      <c r="J161" s="30">
        <v>1768</v>
      </c>
      <c r="K161" s="30">
        <v>1856</v>
      </c>
      <c r="L161" s="30">
        <v>1860</v>
      </c>
      <c r="N161" s="51" t="s">
        <v>7162</v>
      </c>
      <c r="O161" s="930"/>
      <c r="Q161" s="4"/>
      <c r="S161" s="4"/>
    </row>
    <row r="162" spans="1:19" s="53" customFormat="1">
      <c r="A162" s="50">
        <v>12</v>
      </c>
      <c r="B162" s="51" t="s">
        <v>5421</v>
      </c>
      <c r="C162" s="4" t="s">
        <v>327</v>
      </c>
      <c r="D162" s="56">
        <v>4676</v>
      </c>
      <c r="E162" s="56">
        <v>4846</v>
      </c>
      <c r="F162" s="56">
        <v>4896</v>
      </c>
      <c r="G162" s="30">
        <v>4986</v>
      </c>
      <c r="H162" s="30">
        <v>5008</v>
      </c>
      <c r="I162" s="30">
        <v>5031</v>
      </c>
      <c r="J162" s="30">
        <v>5045</v>
      </c>
      <c r="K162" s="30">
        <v>5341</v>
      </c>
      <c r="L162" s="30">
        <v>5490</v>
      </c>
      <c r="N162" s="51" t="s">
        <v>7162</v>
      </c>
      <c r="O162" s="930"/>
      <c r="Q162" s="4"/>
      <c r="S162" s="4"/>
    </row>
    <row r="163" spans="1:19" s="53" customFormat="1">
      <c r="A163" s="50">
        <v>13</v>
      </c>
      <c r="B163" s="51" t="s">
        <v>5422</v>
      </c>
      <c r="C163" s="4" t="s">
        <v>328</v>
      </c>
      <c r="D163" s="56">
        <v>1979</v>
      </c>
      <c r="E163" s="56">
        <v>1978</v>
      </c>
      <c r="F163" s="56">
        <v>1977</v>
      </c>
      <c r="G163" s="30">
        <v>1964</v>
      </c>
      <c r="H163" s="30">
        <v>1932</v>
      </c>
      <c r="I163" s="30">
        <v>1923</v>
      </c>
      <c r="J163" s="30">
        <v>1887</v>
      </c>
      <c r="K163" s="30">
        <v>1941</v>
      </c>
      <c r="L163" s="30">
        <v>1923</v>
      </c>
      <c r="N163" s="51" t="s">
        <v>7162</v>
      </c>
      <c r="O163" s="930"/>
      <c r="Q163" s="4"/>
      <c r="S163" s="4"/>
    </row>
    <row r="164" spans="1:19" s="53" customFormat="1">
      <c r="A164" s="51" t="s">
        <v>7013</v>
      </c>
      <c r="B164" s="51" t="s">
        <v>5423</v>
      </c>
      <c r="C164" s="4" t="s">
        <v>329</v>
      </c>
      <c r="D164" s="56">
        <v>1859</v>
      </c>
      <c r="E164" s="56">
        <v>1878</v>
      </c>
      <c r="F164" s="56">
        <v>1895</v>
      </c>
      <c r="G164" s="30">
        <v>1908</v>
      </c>
      <c r="H164" s="30">
        <v>1851</v>
      </c>
      <c r="I164" s="30">
        <v>1861</v>
      </c>
      <c r="J164" s="30">
        <v>1812</v>
      </c>
      <c r="K164" s="30">
        <v>1918</v>
      </c>
      <c r="L164" s="30">
        <v>1905</v>
      </c>
      <c r="N164" s="51" t="s">
        <v>7162</v>
      </c>
      <c r="O164" s="930"/>
      <c r="Q164" s="4"/>
      <c r="S164" s="4"/>
    </row>
    <row r="165" spans="1:19" s="53" customFormat="1">
      <c r="A165" s="51" t="s">
        <v>7015</v>
      </c>
      <c r="B165" s="51" t="s">
        <v>5424</v>
      </c>
      <c r="C165" s="4" t="s">
        <v>330</v>
      </c>
      <c r="D165" s="56">
        <v>4395</v>
      </c>
      <c r="E165" s="56">
        <v>4471</v>
      </c>
      <c r="F165" s="56">
        <v>4478</v>
      </c>
      <c r="G165" s="30">
        <v>4426</v>
      </c>
      <c r="H165" s="30">
        <v>4280</v>
      </c>
      <c r="I165" s="30">
        <v>4308</v>
      </c>
      <c r="J165" s="30">
        <v>4324</v>
      </c>
      <c r="K165" s="30">
        <v>4459</v>
      </c>
      <c r="L165" s="30">
        <v>4444</v>
      </c>
      <c r="N165" s="51" t="s">
        <v>7162</v>
      </c>
      <c r="O165" s="930"/>
      <c r="Q165" s="4"/>
      <c r="S165" s="4"/>
    </row>
    <row r="166" spans="1:19" s="53" customFormat="1">
      <c r="A166" s="51" t="s">
        <v>7017</v>
      </c>
      <c r="B166" s="51" t="s">
        <v>5425</v>
      </c>
      <c r="C166" s="4" t="s">
        <v>331</v>
      </c>
      <c r="D166" s="56">
        <v>2081</v>
      </c>
      <c r="E166" s="56">
        <v>2091</v>
      </c>
      <c r="F166" s="56">
        <v>2108</v>
      </c>
      <c r="G166" s="30">
        <v>2123</v>
      </c>
      <c r="H166" s="30">
        <v>2243</v>
      </c>
      <c r="I166" s="30">
        <v>2283</v>
      </c>
      <c r="J166" s="30">
        <v>2421</v>
      </c>
      <c r="K166" s="30">
        <v>2574</v>
      </c>
      <c r="L166" s="30">
        <v>2576</v>
      </c>
      <c r="N166" s="51" t="s">
        <v>7162</v>
      </c>
      <c r="O166" s="930"/>
      <c r="Q166" s="4"/>
      <c r="S166" s="4"/>
    </row>
    <row r="167" spans="1:19" s="53" customFormat="1">
      <c r="A167" s="51" t="s">
        <v>7019</v>
      </c>
      <c r="B167" s="51" t="s">
        <v>5426</v>
      </c>
      <c r="C167" s="4" t="s">
        <v>332</v>
      </c>
      <c r="D167" s="56">
        <v>1943</v>
      </c>
      <c r="E167" s="56">
        <v>1975</v>
      </c>
      <c r="F167" s="56">
        <v>1999</v>
      </c>
      <c r="G167" s="31">
        <v>1951</v>
      </c>
      <c r="H167" s="31">
        <v>1867</v>
      </c>
      <c r="I167" s="31">
        <v>1862</v>
      </c>
      <c r="J167" s="31">
        <v>1848</v>
      </c>
      <c r="K167" s="31">
        <v>1918</v>
      </c>
      <c r="L167" s="31">
        <v>1908</v>
      </c>
      <c r="N167" s="51" t="s">
        <v>7171</v>
      </c>
      <c r="O167" s="946"/>
      <c r="Q167" s="4"/>
      <c r="S167" s="4"/>
    </row>
    <row r="168" spans="1:19" s="53" customFormat="1">
      <c r="A168" s="51" t="s">
        <v>7021</v>
      </c>
      <c r="B168" s="51" t="s">
        <v>5427</v>
      </c>
      <c r="C168" s="4" t="s">
        <v>333</v>
      </c>
      <c r="D168" s="56">
        <v>1997</v>
      </c>
      <c r="E168" s="56">
        <v>2005</v>
      </c>
      <c r="F168" s="56">
        <v>2028</v>
      </c>
      <c r="G168" s="31">
        <v>2014</v>
      </c>
      <c r="H168" s="31">
        <v>1865</v>
      </c>
      <c r="I168" s="31">
        <v>1859</v>
      </c>
      <c r="J168" s="31">
        <v>1904</v>
      </c>
      <c r="K168" s="31">
        <v>2001</v>
      </c>
      <c r="L168" s="31">
        <v>1975</v>
      </c>
      <c r="N168" s="51" t="s">
        <v>7171</v>
      </c>
      <c r="O168" s="946"/>
      <c r="Q168" s="4"/>
      <c r="S168" s="4"/>
    </row>
    <row r="169" spans="1:19" s="53" customFormat="1">
      <c r="A169" s="51" t="s">
        <v>7023</v>
      </c>
      <c r="B169" s="51" t="s">
        <v>5428</v>
      </c>
      <c r="C169" s="4" t="s">
        <v>334</v>
      </c>
      <c r="D169" s="56">
        <v>2030</v>
      </c>
      <c r="E169" s="56">
        <v>2024</v>
      </c>
      <c r="F169" s="56">
        <v>2013</v>
      </c>
      <c r="G169" s="31">
        <v>1991</v>
      </c>
      <c r="H169" s="31">
        <v>1966</v>
      </c>
      <c r="I169" s="31">
        <v>1976</v>
      </c>
      <c r="J169" s="31">
        <v>2066</v>
      </c>
      <c r="K169" s="31">
        <v>2192</v>
      </c>
      <c r="L169" s="31">
        <v>2279</v>
      </c>
      <c r="N169" s="51" t="s">
        <v>7171</v>
      </c>
      <c r="O169" s="946"/>
      <c r="Q169" s="4"/>
      <c r="S169" s="4"/>
    </row>
    <row r="170" spans="1:19" s="53" customFormat="1">
      <c r="A170" s="51" t="s">
        <v>7025</v>
      </c>
      <c r="B170" s="51" t="s">
        <v>5440</v>
      </c>
      <c r="C170" s="4" t="s">
        <v>335</v>
      </c>
      <c r="D170" s="56">
        <v>2502</v>
      </c>
      <c r="E170" s="56">
        <v>2515</v>
      </c>
      <c r="F170" s="56">
        <v>2499</v>
      </c>
      <c r="G170" s="31">
        <v>2510</v>
      </c>
      <c r="H170" s="31">
        <v>2363</v>
      </c>
      <c r="I170" s="31">
        <v>2372</v>
      </c>
      <c r="J170" s="31">
        <v>2378</v>
      </c>
      <c r="K170" s="31">
        <v>2467</v>
      </c>
      <c r="L170" s="31">
        <v>2435</v>
      </c>
      <c r="N170" s="51" t="s">
        <v>7171</v>
      </c>
      <c r="O170" s="946"/>
      <c r="Q170" s="4"/>
      <c r="S170" s="4"/>
    </row>
    <row r="171" spans="1:19" s="53" customFormat="1">
      <c r="A171" s="51" t="s">
        <v>7570</v>
      </c>
      <c r="B171" s="51" t="s">
        <v>5441</v>
      </c>
      <c r="C171" s="4" t="s">
        <v>336</v>
      </c>
      <c r="D171" s="56">
        <v>1911</v>
      </c>
      <c r="E171" s="56">
        <v>1936</v>
      </c>
      <c r="F171" s="56">
        <v>1957</v>
      </c>
      <c r="G171" s="31">
        <v>1968</v>
      </c>
      <c r="H171" s="31">
        <v>1945</v>
      </c>
      <c r="I171" s="31">
        <v>1952</v>
      </c>
      <c r="J171" s="31">
        <v>1869</v>
      </c>
      <c r="K171" s="31">
        <v>1929</v>
      </c>
      <c r="L171" s="31">
        <v>1930</v>
      </c>
      <c r="N171" s="51" t="s">
        <v>7171</v>
      </c>
      <c r="O171" s="946"/>
      <c r="Q171" s="4"/>
      <c r="S171" s="4"/>
    </row>
    <row r="172" spans="1:19" s="53" customFormat="1">
      <c r="A172" s="51" t="s">
        <v>7572</v>
      </c>
      <c r="B172" s="51" t="s">
        <v>5442</v>
      </c>
      <c r="C172" s="4" t="s">
        <v>337</v>
      </c>
      <c r="D172" s="56">
        <v>2081</v>
      </c>
      <c r="E172" s="56">
        <v>2106</v>
      </c>
      <c r="F172" s="56">
        <v>2166</v>
      </c>
      <c r="G172" s="31">
        <v>2205</v>
      </c>
      <c r="H172" s="31">
        <v>2055</v>
      </c>
      <c r="I172" s="31">
        <v>2072</v>
      </c>
      <c r="J172" s="31">
        <v>2026</v>
      </c>
      <c r="K172" s="31">
        <v>2076</v>
      </c>
      <c r="L172" s="31">
        <v>2138</v>
      </c>
      <c r="N172" s="51" t="s">
        <v>7162</v>
      </c>
      <c r="O172" s="946"/>
      <c r="Q172" s="4"/>
      <c r="S172" s="4"/>
    </row>
    <row r="173" spans="1:19" s="53" customFormat="1">
      <c r="A173" s="51" t="s">
        <v>7573</v>
      </c>
      <c r="B173" s="51" t="s">
        <v>5443</v>
      </c>
      <c r="C173" s="4" t="s">
        <v>338</v>
      </c>
      <c r="D173" s="56">
        <v>3928</v>
      </c>
      <c r="E173" s="56">
        <v>3969</v>
      </c>
      <c r="F173" s="56">
        <v>3901</v>
      </c>
      <c r="G173" s="31">
        <v>3895</v>
      </c>
      <c r="H173" s="31">
        <v>3756</v>
      </c>
      <c r="I173" s="31">
        <v>3745</v>
      </c>
      <c r="J173" s="31">
        <v>3695</v>
      </c>
      <c r="K173" s="31">
        <v>3829</v>
      </c>
      <c r="L173" s="31">
        <v>3820</v>
      </c>
      <c r="N173" s="51" t="s">
        <v>7162</v>
      </c>
      <c r="O173" s="946"/>
      <c r="Q173" s="4"/>
      <c r="S173" s="4"/>
    </row>
    <row r="174" spans="1:19" s="53" customFormat="1">
      <c r="A174" s="51" t="s">
        <v>5798</v>
      </c>
      <c r="B174" s="51" t="s">
        <v>5444</v>
      </c>
      <c r="C174" s="4" t="s">
        <v>339</v>
      </c>
      <c r="D174" s="56">
        <v>1908</v>
      </c>
      <c r="E174" s="56">
        <v>1942</v>
      </c>
      <c r="F174" s="56">
        <v>1946</v>
      </c>
      <c r="G174" s="31">
        <v>1915</v>
      </c>
      <c r="H174" s="31">
        <v>1773</v>
      </c>
      <c r="I174" s="31">
        <v>1781</v>
      </c>
      <c r="J174" s="31">
        <v>1737</v>
      </c>
      <c r="K174" s="31">
        <v>1779</v>
      </c>
      <c r="L174" s="31">
        <v>1790</v>
      </c>
      <c r="N174" s="51" t="s">
        <v>7162</v>
      </c>
      <c r="O174" s="946"/>
      <c r="Q174" s="4"/>
      <c r="S174" s="4"/>
    </row>
    <row r="175" spans="1:19" s="53" customFormat="1">
      <c r="A175" s="51" t="s">
        <v>5799</v>
      </c>
      <c r="B175" s="51" t="s">
        <v>5445</v>
      </c>
      <c r="C175" s="4" t="s">
        <v>340</v>
      </c>
      <c r="D175" s="56">
        <v>1976</v>
      </c>
      <c r="E175" s="56">
        <v>2035</v>
      </c>
      <c r="F175" s="56">
        <v>2022</v>
      </c>
      <c r="G175" s="31">
        <v>2003</v>
      </c>
      <c r="H175" s="31">
        <v>1937</v>
      </c>
      <c r="I175" s="31">
        <v>1943</v>
      </c>
      <c r="J175" s="31">
        <v>1918</v>
      </c>
      <c r="K175" s="31">
        <v>2066</v>
      </c>
      <c r="L175" s="31">
        <v>2223</v>
      </c>
      <c r="N175" s="51" t="s">
        <v>7162</v>
      </c>
      <c r="O175" s="946"/>
      <c r="Q175" s="4"/>
      <c r="S175" s="4"/>
    </row>
    <row r="176" spans="1:19" s="53" customFormat="1">
      <c r="A176" s="51" t="s">
        <v>5801</v>
      </c>
      <c r="B176" s="51" t="s">
        <v>5446</v>
      </c>
      <c r="C176" s="4" t="s">
        <v>341</v>
      </c>
      <c r="D176" s="56">
        <v>1652</v>
      </c>
      <c r="E176" s="56">
        <v>1660</v>
      </c>
      <c r="F176" s="56">
        <v>1676</v>
      </c>
      <c r="G176" s="31">
        <v>1666</v>
      </c>
      <c r="H176" s="31">
        <v>1600</v>
      </c>
      <c r="I176" s="31">
        <v>1598</v>
      </c>
      <c r="J176" s="31">
        <v>1542</v>
      </c>
      <c r="K176" s="31">
        <v>1656</v>
      </c>
      <c r="L176" s="31">
        <v>1635</v>
      </c>
      <c r="N176" s="51" t="s">
        <v>7162</v>
      </c>
      <c r="O176" s="946"/>
      <c r="Q176" s="4"/>
      <c r="S176" s="4"/>
    </row>
    <row r="177" spans="1:19" s="53" customFormat="1">
      <c r="A177" s="51" t="s">
        <v>5927</v>
      </c>
      <c r="B177" s="51" t="s">
        <v>5447</v>
      </c>
      <c r="C177" s="4" t="s">
        <v>342</v>
      </c>
      <c r="D177" s="56">
        <v>1928</v>
      </c>
      <c r="E177" s="56">
        <v>1940</v>
      </c>
      <c r="F177" s="56">
        <v>1938</v>
      </c>
      <c r="G177" s="31">
        <v>1911</v>
      </c>
      <c r="H177" s="31">
        <v>1887</v>
      </c>
      <c r="I177" s="31">
        <v>1910</v>
      </c>
      <c r="J177" s="31">
        <v>1897</v>
      </c>
      <c r="K177" s="31">
        <v>1900</v>
      </c>
      <c r="L177" s="31">
        <v>1906</v>
      </c>
      <c r="N177" s="51" t="s">
        <v>7162</v>
      </c>
      <c r="O177" s="946"/>
      <c r="Q177" s="4"/>
      <c r="S177" s="4"/>
    </row>
    <row r="178" spans="1:19" s="53" customFormat="1">
      <c r="A178" s="51" t="s">
        <v>5929</v>
      </c>
      <c r="B178" s="51" t="s">
        <v>5448</v>
      </c>
      <c r="C178" s="4" t="s">
        <v>343</v>
      </c>
      <c r="D178" s="56">
        <v>2078</v>
      </c>
      <c r="E178" s="56">
        <v>2093</v>
      </c>
      <c r="F178" s="56">
        <v>2085</v>
      </c>
      <c r="G178" s="31">
        <v>2085</v>
      </c>
      <c r="H178" s="31">
        <v>2025</v>
      </c>
      <c r="I178" s="31">
        <v>2006</v>
      </c>
      <c r="J178" s="31">
        <v>1990</v>
      </c>
      <c r="K178" s="31">
        <v>2089</v>
      </c>
      <c r="L178" s="31">
        <v>2103</v>
      </c>
      <c r="N178" s="51" t="s">
        <v>7162</v>
      </c>
      <c r="O178" s="946"/>
      <c r="Q178" s="4"/>
      <c r="S178" s="4"/>
    </row>
    <row r="179" spans="1:19" s="53" customFormat="1">
      <c r="A179" s="51" t="s">
        <v>5931</v>
      </c>
      <c r="B179" s="51" t="s">
        <v>5449</v>
      </c>
      <c r="C179" s="4" t="s">
        <v>344</v>
      </c>
      <c r="D179" s="56">
        <v>1786</v>
      </c>
      <c r="E179" s="56">
        <v>1819</v>
      </c>
      <c r="F179" s="56">
        <v>1798</v>
      </c>
      <c r="G179" s="31">
        <v>1800</v>
      </c>
      <c r="H179" s="31">
        <v>1744</v>
      </c>
      <c r="I179" s="31">
        <v>1772</v>
      </c>
      <c r="J179" s="31">
        <v>1778</v>
      </c>
      <c r="K179" s="31">
        <v>1824</v>
      </c>
      <c r="L179" s="31">
        <v>1852</v>
      </c>
      <c r="N179" s="51" t="s">
        <v>7162</v>
      </c>
      <c r="O179" s="946"/>
      <c r="Q179" s="4"/>
      <c r="S179" s="4"/>
    </row>
    <row r="180" spans="1:19" s="53" customFormat="1">
      <c r="A180" s="51" t="s">
        <v>5933</v>
      </c>
      <c r="B180" s="51" t="s">
        <v>5451</v>
      </c>
      <c r="C180" s="4" t="s">
        <v>345</v>
      </c>
      <c r="D180" s="58">
        <v>1732</v>
      </c>
      <c r="E180" s="58">
        <v>1763</v>
      </c>
      <c r="F180" s="58">
        <v>1780</v>
      </c>
      <c r="G180" s="31">
        <v>1801</v>
      </c>
      <c r="H180" s="31">
        <v>1784</v>
      </c>
      <c r="I180" s="31">
        <v>1785</v>
      </c>
      <c r="J180" s="31">
        <v>1764</v>
      </c>
      <c r="K180" s="31">
        <v>1846</v>
      </c>
      <c r="L180" s="31">
        <v>1833</v>
      </c>
      <c r="N180" s="51" t="s">
        <v>7162</v>
      </c>
      <c r="O180" s="946"/>
      <c r="Q180" s="4"/>
      <c r="S180" s="4"/>
    </row>
    <row r="181" spans="1:19" s="53" customFormat="1">
      <c r="A181" s="51" t="s">
        <v>7897</v>
      </c>
      <c r="B181" s="51" t="s">
        <v>5450</v>
      </c>
      <c r="C181" s="4" t="s">
        <v>346</v>
      </c>
      <c r="D181" s="58">
        <v>2123</v>
      </c>
      <c r="E181" s="58">
        <v>2133</v>
      </c>
      <c r="F181" s="58">
        <v>2168</v>
      </c>
      <c r="G181" s="31">
        <v>2168</v>
      </c>
      <c r="H181" s="31">
        <v>2088</v>
      </c>
      <c r="I181" s="31">
        <v>2106</v>
      </c>
      <c r="J181" s="31">
        <v>2108</v>
      </c>
      <c r="K181" s="31">
        <v>2103</v>
      </c>
      <c r="L181" s="31">
        <v>2104</v>
      </c>
      <c r="N181" s="51" t="s">
        <v>7171</v>
      </c>
      <c r="O181" s="946"/>
      <c r="Q181" s="4"/>
      <c r="S181" s="4"/>
    </row>
    <row r="182" spans="1:19" s="53" customFormat="1">
      <c r="A182" s="50">
        <v>32</v>
      </c>
      <c r="B182" s="51" t="s">
        <v>5452</v>
      </c>
      <c r="C182" s="4" t="s">
        <v>347</v>
      </c>
      <c r="D182" s="58">
        <v>1773</v>
      </c>
      <c r="E182" s="58">
        <v>1811</v>
      </c>
      <c r="F182" s="58">
        <v>1814</v>
      </c>
      <c r="G182" s="31">
        <v>1831</v>
      </c>
      <c r="H182" s="31">
        <v>1781</v>
      </c>
      <c r="I182" s="31">
        <v>1807</v>
      </c>
      <c r="J182" s="31">
        <v>1799</v>
      </c>
      <c r="K182" s="31">
        <v>1835</v>
      </c>
      <c r="L182" s="31">
        <v>1836</v>
      </c>
      <c r="N182" s="51" t="s">
        <v>7162</v>
      </c>
      <c r="O182" s="946"/>
      <c r="Q182" s="4"/>
      <c r="S182" s="4"/>
    </row>
    <row r="183" spans="1:19" s="53" customFormat="1">
      <c r="A183" s="50">
        <v>33</v>
      </c>
      <c r="B183" s="51" t="s">
        <v>5453</v>
      </c>
      <c r="C183" s="4" t="s">
        <v>348</v>
      </c>
      <c r="D183" s="56">
        <v>1886</v>
      </c>
      <c r="E183" s="56">
        <v>1959</v>
      </c>
      <c r="F183" s="56">
        <v>1931</v>
      </c>
      <c r="G183" s="31">
        <v>1908</v>
      </c>
      <c r="H183" s="31">
        <v>1883</v>
      </c>
      <c r="I183" s="31">
        <v>1884</v>
      </c>
      <c r="J183" s="31">
        <v>1849</v>
      </c>
      <c r="K183" s="31">
        <v>1917</v>
      </c>
      <c r="L183" s="31">
        <v>1890</v>
      </c>
      <c r="N183" s="51" t="s">
        <v>7162</v>
      </c>
      <c r="O183" s="946"/>
      <c r="Q183" s="4"/>
      <c r="S183" s="4"/>
    </row>
    <row r="184" spans="1:19" s="53" customFormat="1">
      <c r="A184" s="50">
        <v>34</v>
      </c>
      <c r="B184" s="51" t="s">
        <v>5454</v>
      </c>
      <c r="C184" s="4" t="s">
        <v>349</v>
      </c>
      <c r="D184" s="56">
        <v>1764</v>
      </c>
      <c r="E184" s="56">
        <v>1785</v>
      </c>
      <c r="F184" s="56">
        <v>1802</v>
      </c>
      <c r="G184" s="31">
        <v>1821</v>
      </c>
      <c r="H184" s="31">
        <v>1716</v>
      </c>
      <c r="I184" s="31">
        <v>1722</v>
      </c>
      <c r="J184" s="31">
        <v>1603</v>
      </c>
      <c r="K184" s="31">
        <v>1728</v>
      </c>
      <c r="L184" s="31">
        <v>1772</v>
      </c>
      <c r="N184" s="51" t="s">
        <v>7162</v>
      </c>
      <c r="O184" s="946"/>
      <c r="Q184" s="4"/>
      <c r="S184" s="4"/>
    </row>
    <row r="185" spans="1:19" s="53" customFormat="1">
      <c r="A185" s="50">
        <v>35</v>
      </c>
      <c r="B185" s="51" t="s">
        <v>5455</v>
      </c>
      <c r="C185" s="4" t="s">
        <v>350</v>
      </c>
      <c r="D185" s="56">
        <v>1979</v>
      </c>
      <c r="E185" s="56">
        <v>1980</v>
      </c>
      <c r="F185" s="56">
        <v>2005</v>
      </c>
      <c r="G185" s="31">
        <v>2030</v>
      </c>
      <c r="H185" s="31">
        <v>1928</v>
      </c>
      <c r="I185" s="31">
        <v>1937</v>
      </c>
      <c r="J185" s="31">
        <v>1725</v>
      </c>
      <c r="K185" s="31">
        <v>1884</v>
      </c>
      <c r="L185" s="31">
        <v>1917</v>
      </c>
      <c r="N185" s="51" t="s">
        <v>7162</v>
      </c>
      <c r="O185" s="946"/>
      <c r="Q185" s="4"/>
      <c r="S185" s="4"/>
    </row>
    <row r="186" spans="1:19" s="53" customFormat="1">
      <c r="A186" s="50">
        <v>36</v>
      </c>
      <c r="B186" s="51" t="s">
        <v>2038</v>
      </c>
      <c r="C186" s="4" t="s">
        <v>351</v>
      </c>
      <c r="D186" s="56">
        <v>1903</v>
      </c>
      <c r="E186" s="56">
        <v>1965</v>
      </c>
      <c r="F186" s="56">
        <v>1995</v>
      </c>
      <c r="G186" s="31">
        <v>1981</v>
      </c>
      <c r="H186" s="31">
        <v>1697</v>
      </c>
      <c r="I186" s="31">
        <v>1676</v>
      </c>
      <c r="J186" s="31">
        <v>1617</v>
      </c>
      <c r="K186" s="31">
        <v>1690</v>
      </c>
      <c r="L186" s="31">
        <v>1715</v>
      </c>
      <c r="N186" s="51" t="s">
        <v>7162</v>
      </c>
      <c r="O186" s="946"/>
      <c r="Q186" s="4"/>
      <c r="S186" s="4"/>
    </row>
    <row r="187" spans="1:19" s="53" customFormat="1">
      <c r="A187" s="50">
        <v>37</v>
      </c>
      <c r="B187" s="51" t="s">
        <v>2039</v>
      </c>
      <c r="C187" s="4" t="s">
        <v>352</v>
      </c>
      <c r="D187" s="56">
        <v>2136</v>
      </c>
      <c r="E187" s="56">
        <v>2028</v>
      </c>
      <c r="F187" s="56">
        <v>2050</v>
      </c>
      <c r="G187" s="31">
        <v>1950</v>
      </c>
      <c r="H187" s="31">
        <v>1843</v>
      </c>
      <c r="I187" s="31">
        <v>1850</v>
      </c>
      <c r="J187" s="31">
        <v>1727</v>
      </c>
      <c r="K187" s="31">
        <v>1606</v>
      </c>
      <c r="L187" s="31">
        <v>1700</v>
      </c>
      <c r="N187" s="51" t="s">
        <v>7162</v>
      </c>
      <c r="O187" s="946"/>
      <c r="Q187" s="4"/>
      <c r="S187" s="4"/>
    </row>
    <row r="188" spans="1:19" s="53" customFormat="1">
      <c r="A188" s="50">
        <v>38</v>
      </c>
      <c r="B188" s="51" t="s">
        <v>2040</v>
      </c>
      <c r="C188" s="4" t="s">
        <v>353</v>
      </c>
      <c r="D188" s="56">
        <v>1769</v>
      </c>
      <c r="E188" s="56">
        <v>1769</v>
      </c>
      <c r="F188" s="56">
        <v>1771</v>
      </c>
      <c r="G188" s="31">
        <v>1740</v>
      </c>
      <c r="H188" s="31">
        <v>1687</v>
      </c>
      <c r="I188" s="31">
        <v>1683</v>
      </c>
      <c r="J188" s="31">
        <v>1623</v>
      </c>
      <c r="K188" s="31">
        <v>1693</v>
      </c>
      <c r="L188" s="31">
        <v>1683</v>
      </c>
      <c r="N188" s="51" t="s">
        <v>7162</v>
      </c>
      <c r="O188" s="946"/>
      <c r="Q188" s="4"/>
      <c r="S188" s="4"/>
    </row>
    <row r="189" spans="1:19" s="53" customFormat="1">
      <c r="C189" s="52"/>
      <c r="D189" s="58"/>
      <c r="E189" s="58"/>
      <c r="F189" s="58"/>
      <c r="G189" s="58"/>
      <c r="H189" s="58"/>
      <c r="I189" s="58"/>
      <c r="J189" s="58"/>
      <c r="K189" s="58"/>
      <c r="L189" s="58"/>
    </row>
    <row r="190" spans="1:19" s="53" customFormat="1">
      <c r="A190" s="51" t="s">
        <v>7162</v>
      </c>
      <c r="C190" s="52"/>
      <c r="D190" s="56">
        <f t="shared" ref="D190:I190" si="180">SUM(D151:D158)+SUM(D160:D166)+SUM(D172:D180)+SUM(D182:D188)</f>
        <v>71779</v>
      </c>
      <c r="E190" s="56">
        <f t="shared" si="180"/>
        <v>72648</v>
      </c>
      <c r="F190" s="56">
        <f t="shared" si="180"/>
        <v>72833</v>
      </c>
      <c r="G190" s="56">
        <f t="shared" si="180"/>
        <v>72951</v>
      </c>
      <c r="H190" s="56">
        <f t="shared" si="180"/>
        <v>71145</v>
      </c>
      <c r="I190" s="56">
        <f t="shared" si="180"/>
        <v>71316</v>
      </c>
      <c r="J190" s="56">
        <f t="shared" ref="J190:K190" si="181">SUM(J151:J158)+SUM(J160:J166)+SUM(J172:J180)+SUM(J182:J188)</f>
        <v>70063</v>
      </c>
      <c r="K190" s="56">
        <f t="shared" si="181"/>
        <v>72808</v>
      </c>
      <c r="L190" s="56">
        <f>SUM(L151:L158)+SUM(L160:L166)+SUM(L172:L180)+SUM(L182:L188)</f>
        <v>73450</v>
      </c>
    </row>
    <row r="191" spans="1:19" s="53" customFormat="1">
      <c r="A191" s="51" t="s">
        <v>2041</v>
      </c>
      <c r="C191" s="52"/>
      <c r="D191" s="56">
        <f t="shared" ref="D191:I191" si="182">D159+SUM(D167:D171)+D181</f>
        <v>16374</v>
      </c>
      <c r="E191" s="56">
        <f t="shared" si="182"/>
        <v>16505</v>
      </c>
      <c r="F191" s="56">
        <f t="shared" si="182"/>
        <v>16615</v>
      </c>
      <c r="G191" s="56">
        <f t="shared" si="182"/>
        <v>16531</v>
      </c>
      <c r="H191" s="56">
        <f t="shared" si="182"/>
        <v>16187</v>
      </c>
      <c r="I191" s="56">
        <f t="shared" si="182"/>
        <v>16274</v>
      </c>
      <c r="J191" s="56">
        <f t="shared" ref="J191:K191" si="183">J159+SUM(J167:J171)+J181</f>
        <v>16425</v>
      </c>
      <c r="K191" s="56">
        <f t="shared" si="183"/>
        <v>17111</v>
      </c>
      <c r="L191" s="56">
        <f t="shared" ref="L191" si="184">L159+SUM(L167:L171)+L181</f>
        <v>17315</v>
      </c>
    </row>
    <row r="192" spans="1:19" s="53" customFormat="1">
      <c r="A192" s="51"/>
      <c r="B192" s="51"/>
      <c r="C192" s="52"/>
      <c r="D192" s="69"/>
      <c r="E192" s="69"/>
      <c r="F192" s="69"/>
      <c r="G192" s="69"/>
      <c r="H192" s="69"/>
      <c r="I192" s="69"/>
      <c r="J192" s="69"/>
      <c r="K192" s="69"/>
      <c r="L192" s="69"/>
    </row>
    <row r="193" spans="1:19" s="53" customFormat="1">
      <c r="A193" s="51" t="s">
        <v>2042</v>
      </c>
      <c r="B193" s="51"/>
      <c r="C193" s="52"/>
      <c r="D193" s="69"/>
      <c r="E193" s="69"/>
      <c r="F193" s="69"/>
      <c r="G193" s="69"/>
      <c r="H193" s="69"/>
      <c r="I193" s="69"/>
      <c r="J193" s="69"/>
      <c r="K193" s="69"/>
      <c r="L193" s="69"/>
    </row>
    <row r="194" spans="1:19" s="53" customFormat="1">
      <c r="A194" s="51"/>
      <c r="B194" s="51"/>
      <c r="C194" s="52"/>
      <c r="D194" s="69"/>
      <c r="E194" s="69"/>
      <c r="F194" s="69"/>
      <c r="G194" s="69"/>
      <c r="H194" s="69"/>
      <c r="I194" s="69"/>
      <c r="J194" s="69"/>
      <c r="K194" s="69"/>
      <c r="L194" s="69"/>
    </row>
    <row r="195" spans="1:19" s="53" customFormat="1">
      <c r="A195" s="51"/>
      <c r="B195" s="51"/>
      <c r="C195" s="52"/>
      <c r="D195" s="69"/>
      <c r="E195" s="69"/>
      <c r="F195" s="69"/>
      <c r="G195" s="69"/>
      <c r="H195" s="69"/>
      <c r="I195" s="69"/>
      <c r="J195" s="69"/>
      <c r="K195" s="69"/>
      <c r="L195" s="69"/>
    </row>
    <row r="196" spans="1:19" s="53" customFormat="1">
      <c r="C196" s="52"/>
      <c r="E196" s="42" t="s">
        <v>2303</v>
      </c>
      <c r="F196" s="42"/>
      <c r="G196" s="42"/>
      <c r="H196" s="42"/>
      <c r="I196" s="42"/>
      <c r="J196" s="42"/>
      <c r="K196" s="42"/>
      <c r="L196" s="42"/>
      <c r="M196" s="65"/>
      <c r="N196" s="66" t="s">
        <v>13319</v>
      </c>
    </row>
    <row r="197" spans="1:19" s="53" customFormat="1">
      <c r="C197" s="52"/>
      <c r="D197" s="55">
        <v>2010</v>
      </c>
      <c r="E197" s="55">
        <v>2011</v>
      </c>
      <c r="F197" s="55">
        <v>2012</v>
      </c>
      <c r="G197" s="55">
        <v>2013</v>
      </c>
      <c r="H197" s="55">
        <v>2014</v>
      </c>
      <c r="I197" s="55">
        <v>2015</v>
      </c>
      <c r="J197" s="55">
        <v>2016</v>
      </c>
      <c r="K197" s="55">
        <v>2017</v>
      </c>
      <c r="L197" s="55">
        <v>2018</v>
      </c>
      <c r="M197" s="65"/>
      <c r="N197" s="67" t="s">
        <v>2304</v>
      </c>
    </row>
    <row r="198" spans="1:19" s="53" customFormat="1">
      <c r="A198" s="51" t="s">
        <v>2043</v>
      </c>
      <c r="C198" s="52"/>
      <c r="D198" s="56">
        <f t="shared" ref="D198:L198" si="185">SUM(D199:D212)</f>
        <v>93921</v>
      </c>
      <c r="E198" s="56">
        <f t="shared" si="185"/>
        <v>94971</v>
      </c>
      <c r="F198" s="56">
        <f t="shared" si="185"/>
        <v>96084</v>
      </c>
      <c r="G198" s="56">
        <f t="shared" si="185"/>
        <v>96605</v>
      </c>
      <c r="H198" s="56">
        <f t="shared" si="185"/>
        <v>97603</v>
      </c>
      <c r="I198" s="56">
        <f t="shared" si="185"/>
        <v>95729</v>
      </c>
      <c r="J198" s="56">
        <f t="shared" si="185"/>
        <v>94165</v>
      </c>
      <c r="K198" s="56">
        <f t="shared" si="185"/>
        <v>95523</v>
      </c>
      <c r="L198" s="56">
        <f t="shared" si="185"/>
        <v>97119</v>
      </c>
    </row>
    <row r="199" spans="1:19" s="53" customFormat="1">
      <c r="A199" s="51" t="s">
        <v>6957</v>
      </c>
      <c r="B199" s="51" t="s">
        <v>16389</v>
      </c>
      <c r="C199" s="4" t="s">
        <v>16390</v>
      </c>
      <c r="D199" s="56">
        <v>77320</v>
      </c>
      <c r="E199" s="56">
        <v>78313</v>
      </c>
      <c r="F199" s="56">
        <v>79272</v>
      </c>
      <c r="G199" s="30">
        <v>79719</v>
      </c>
      <c r="H199" s="30">
        <v>80686</v>
      </c>
      <c r="I199" s="30">
        <v>79100</v>
      </c>
      <c r="J199" s="30">
        <v>77814</v>
      </c>
      <c r="K199" s="30">
        <v>78989</v>
      </c>
      <c r="L199" s="30">
        <v>8154</v>
      </c>
      <c r="N199" s="51" t="s">
        <v>7164</v>
      </c>
      <c r="O199" s="70"/>
      <c r="Q199" s="4"/>
      <c r="S199" s="4"/>
    </row>
    <row r="200" spans="1:19" s="53" customFormat="1">
      <c r="A200" s="51" t="s">
        <v>6959</v>
      </c>
      <c r="B200" s="51" t="s">
        <v>5483</v>
      </c>
      <c r="C200" s="4" t="s">
        <v>16391</v>
      </c>
      <c r="D200" s="56">
        <v>0</v>
      </c>
      <c r="E200" s="56">
        <v>0</v>
      </c>
      <c r="F200" s="56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4094</v>
      </c>
      <c r="N200" s="51" t="s">
        <v>7164</v>
      </c>
      <c r="O200" s="70"/>
      <c r="Q200" s="4"/>
      <c r="S200" s="4"/>
    </row>
    <row r="201" spans="1:19" s="53" customFormat="1">
      <c r="A201" s="51" t="s">
        <v>6961</v>
      </c>
      <c r="B201" s="51" t="s">
        <v>16392</v>
      </c>
      <c r="C201" s="4" t="s">
        <v>16393</v>
      </c>
      <c r="D201" s="56">
        <v>0</v>
      </c>
      <c r="E201" s="56">
        <v>0</v>
      </c>
      <c r="F201" s="56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6044</v>
      </c>
      <c r="N201" s="51" t="s">
        <v>7164</v>
      </c>
      <c r="O201" s="70"/>
      <c r="Q201" s="4"/>
      <c r="S201" s="4"/>
    </row>
    <row r="202" spans="1:19" s="53" customFormat="1">
      <c r="A202" s="51" t="s">
        <v>6963</v>
      </c>
      <c r="B202" s="51" t="s">
        <v>16394</v>
      </c>
      <c r="C202" s="4" t="s">
        <v>16395</v>
      </c>
      <c r="D202" s="56">
        <v>16601</v>
      </c>
      <c r="E202" s="56">
        <v>16658</v>
      </c>
      <c r="F202" s="56">
        <v>16812</v>
      </c>
      <c r="G202" s="30">
        <v>16886</v>
      </c>
      <c r="H202" s="30">
        <v>16917</v>
      </c>
      <c r="I202" s="30">
        <v>16629</v>
      </c>
      <c r="J202" s="30">
        <v>16351</v>
      </c>
      <c r="K202" s="30">
        <v>16534</v>
      </c>
      <c r="L202" s="30">
        <v>8350</v>
      </c>
      <c r="N202" s="51" t="s">
        <v>6507</v>
      </c>
      <c r="O202" s="70"/>
      <c r="Q202" s="4"/>
      <c r="S202" s="4"/>
    </row>
    <row r="203" spans="1:19" s="53" customFormat="1">
      <c r="A203" s="51" t="s">
        <v>6965</v>
      </c>
      <c r="B203" s="51" t="s">
        <v>5484</v>
      </c>
      <c r="C203" s="4" t="s">
        <v>16396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7212</v>
      </c>
      <c r="N203" s="51" t="s">
        <v>7164</v>
      </c>
      <c r="O203" s="71"/>
      <c r="Q203" s="4"/>
      <c r="S203" s="4"/>
    </row>
    <row r="204" spans="1:19" s="53" customFormat="1">
      <c r="A204" s="51" t="s">
        <v>6997</v>
      </c>
      <c r="B204" s="51" t="s">
        <v>5485</v>
      </c>
      <c r="C204" s="4" t="s">
        <v>16397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7232</v>
      </c>
      <c r="N204" s="51" t="s">
        <v>7164</v>
      </c>
      <c r="O204" s="71"/>
      <c r="Q204" s="4"/>
      <c r="S204" s="4"/>
    </row>
    <row r="205" spans="1:19" s="53" customFormat="1">
      <c r="A205" s="51" t="s">
        <v>6999</v>
      </c>
      <c r="B205" s="51" t="s">
        <v>5486</v>
      </c>
      <c r="C205" s="4" t="s">
        <v>16398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6987</v>
      </c>
      <c r="N205" s="51" t="s">
        <v>7164</v>
      </c>
      <c r="O205" s="70"/>
      <c r="Q205" s="4"/>
      <c r="S205" s="4"/>
    </row>
    <row r="206" spans="1:19" s="53" customFormat="1">
      <c r="A206" s="51" t="s">
        <v>7001</v>
      </c>
      <c r="B206" s="51" t="s">
        <v>16399</v>
      </c>
      <c r="C206" s="4" t="s">
        <v>16400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7583</v>
      </c>
      <c r="N206" s="51" t="s">
        <v>7164</v>
      </c>
      <c r="O206" s="70"/>
      <c r="Q206" s="4"/>
      <c r="S206" s="4"/>
    </row>
    <row r="207" spans="1:19" s="53" customFormat="1">
      <c r="A207" s="51" t="s">
        <v>7003</v>
      </c>
      <c r="B207" s="51" t="s">
        <v>16401</v>
      </c>
      <c r="C207" s="4" t="s">
        <v>16402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7915</v>
      </c>
      <c r="N207" s="51" t="s">
        <v>7164</v>
      </c>
      <c r="O207" s="70"/>
      <c r="Q207" s="4"/>
      <c r="S207" s="4"/>
    </row>
    <row r="208" spans="1:19" s="53" customFormat="1">
      <c r="A208" s="51" t="s">
        <v>7005</v>
      </c>
      <c r="B208" s="51" t="s">
        <v>16403</v>
      </c>
      <c r="C208" s="4" t="s">
        <v>16405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7500</v>
      </c>
      <c r="N208" s="51" t="s">
        <v>7164</v>
      </c>
      <c r="O208" s="70"/>
      <c r="Q208" s="4"/>
      <c r="S208" s="4"/>
    </row>
    <row r="209" spans="1:19" s="53" customFormat="1">
      <c r="A209" s="51" t="s">
        <v>7007</v>
      </c>
      <c r="B209" s="51" t="s">
        <v>16404</v>
      </c>
      <c r="C209" s="4" t="s">
        <v>16406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8660</v>
      </c>
      <c r="N209" s="51" t="s">
        <v>7164</v>
      </c>
      <c r="O209" s="70"/>
      <c r="Q209" s="4"/>
      <c r="S209" s="4"/>
    </row>
    <row r="210" spans="1:19" s="53" customFormat="1">
      <c r="A210" s="51" t="s">
        <v>7009</v>
      </c>
      <c r="B210" s="51" t="s">
        <v>16407</v>
      </c>
      <c r="C210" s="4" t="s">
        <v>16408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8210</v>
      </c>
      <c r="N210" s="51" t="s">
        <v>6507</v>
      </c>
      <c r="O210" s="70"/>
      <c r="Q210" s="4"/>
      <c r="S210" s="4"/>
    </row>
    <row r="211" spans="1:19" s="53" customFormat="1">
      <c r="A211" s="51" t="s">
        <v>7011</v>
      </c>
      <c r="B211" s="51" t="s">
        <v>7285</v>
      </c>
      <c r="C211" s="4" t="s">
        <v>16409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4281</v>
      </c>
      <c r="N211" s="51" t="s">
        <v>7164</v>
      </c>
      <c r="O211" s="70"/>
      <c r="Q211" s="4"/>
      <c r="S211" s="4"/>
    </row>
    <row r="212" spans="1:19" s="53" customFormat="1">
      <c r="A212" s="51" t="s">
        <v>7013</v>
      </c>
      <c r="B212" s="51" t="s">
        <v>7286</v>
      </c>
      <c r="C212" s="4" t="s">
        <v>16410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4897</v>
      </c>
      <c r="N212" s="51" t="s">
        <v>7164</v>
      </c>
      <c r="O212" s="70"/>
      <c r="Q212" s="4"/>
      <c r="S212" s="4"/>
    </row>
    <row r="213" spans="1:19" s="53" customFormat="1">
      <c r="C213" s="52"/>
      <c r="D213" s="58"/>
      <c r="E213" s="58"/>
      <c r="F213" s="58"/>
      <c r="G213" s="58"/>
      <c r="H213" s="58"/>
      <c r="I213" s="58"/>
      <c r="J213" s="58"/>
      <c r="K213" s="58"/>
      <c r="L213" s="58"/>
    </row>
    <row r="214" spans="1:19" s="53" customFormat="1">
      <c r="A214" s="51" t="s">
        <v>7164</v>
      </c>
      <c r="C214" s="52"/>
      <c r="D214" s="56">
        <f>SUM(D199:D201)+SUM(D203:D209)+D211+D212</f>
        <v>77320</v>
      </c>
      <c r="E214" s="56">
        <f t="shared" ref="E214:L214" si="186">SUM(E199:E201)+SUM(E203:E209)+E211+E212</f>
        <v>78313</v>
      </c>
      <c r="F214" s="56">
        <f t="shared" si="186"/>
        <v>79272</v>
      </c>
      <c r="G214" s="56">
        <f t="shared" si="186"/>
        <v>79719</v>
      </c>
      <c r="H214" s="56">
        <f t="shared" si="186"/>
        <v>80686</v>
      </c>
      <c r="I214" s="56">
        <f t="shared" si="186"/>
        <v>79100</v>
      </c>
      <c r="J214" s="56">
        <f t="shared" si="186"/>
        <v>77814</v>
      </c>
      <c r="K214" s="56">
        <f t="shared" si="186"/>
        <v>78989</v>
      </c>
      <c r="L214" s="56">
        <f t="shared" si="186"/>
        <v>80559</v>
      </c>
    </row>
    <row r="215" spans="1:19" s="53" customFormat="1">
      <c r="A215" s="51" t="s">
        <v>7287</v>
      </c>
      <c r="C215" s="52"/>
      <c r="D215" s="56">
        <f>D202+D210</f>
        <v>16601</v>
      </c>
      <c r="E215" s="56">
        <f t="shared" ref="E215:L215" si="187">E202+E210</f>
        <v>16658</v>
      </c>
      <c r="F215" s="56">
        <f t="shared" si="187"/>
        <v>16812</v>
      </c>
      <c r="G215" s="56">
        <f t="shared" si="187"/>
        <v>16886</v>
      </c>
      <c r="H215" s="56">
        <f t="shared" si="187"/>
        <v>16917</v>
      </c>
      <c r="I215" s="56">
        <f t="shared" si="187"/>
        <v>16629</v>
      </c>
      <c r="J215" s="56">
        <f t="shared" si="187"/>
        <v>16351</v>
      </c>
      <c r="K215" s="56">
        <f t="shared" si="187"/>
        <v>16534</v>
      </c>
      <c r="L215" s="56">
        <f t="shared" si="187"/>
        <v>16560</v>
      </c>
    </row>
    <row r="216" spans="1:19" s="53" customFormat="1">
      <c r="A216" s="51"/>
      <c r="C216" s="52"/>
      <c r="D216" s="56"/>
      <c r="E216" s="56"/>
      <c r="F216" s="56"/>
      <c r="G216" s="56"/>
      <c r="H216" s="56"/>
      <c r="I216" s="56"/>
      <c r="J216" s="56"/>
      <c r="K216" s="56"/>
      <c r="L216" s="56"/>
    </row>
    <row r="217" spans="1:19" s="53" customFormat="1">
      <c r="A217" s="51" t="s">
        <v>16388</v>
      </c>
      <c r="C217" s="52"/>
      <c r="D217" s="56"/>
      <c r="E217" s="56"/>
      <c r="F217" s="56"/>
      <c r="G217" s="56"/>
      <c r="H217" s="56"/>
      <c r="I217" s="56"/>
      <c r="J217" s="56"/>
      <c r="K217" s="56"/>
      <c r="L217" s="56"/>
    </row>
    <row r="218" spans="1:19" s="53" customFormat="1">
      <c r="A218" s="51"/>
      <c r="B218" s="51"/>
      <c r="C218" s="52"/>
      <c r="D218" s="69"/>
      <c r="E218" s="69"/>
      <c r="F218" s="69"/>
      <c r="G218" s="69"/>
      <c r="H218" s="69"/>
      <c r="I218" s="69"/>
      <c r="J218" s="69"/>
      <c r="K218" s="69"/>
      <c r="L218" s="69"/>
    </row>
    <row r="219" spans="1:19" s="53" customFormat="1">
      <c r="A219" s="51"/>
      <c r="B219" s="51"/>
      <c r="C219" s="52"/>
      <c r="D219" s="69"/>
      <c r="E219" s="69"/>
      <c r="F219" s="69"/>
      <c r="G219" s="69"/>
      <c r="H219" s="69"/>
      <c r="I219" s="69"/>
      <c r="J219" s="69"/>
      <c r="K219" s="69"/>
      <c r="L219" s="69"/>
    </row>
    <row r="220" spans="1:19" s="53" customFormat="1">
      <c r="C220" s="52"/>
      <c r="E220" s="42" t="s">
        <v>2303</v>
      </c>
      <c r="F220" s="42"/>
      <c r="G220" s="42"/>
      <c r="H220" s="42"/>
      <c r="I220" s="42"/>
      <c r="J220" s="42"/>
      <c r="K220" s="42"/>
      <c r="L220" s="42"/>
      <c r="M220" s="65"/>
      <c r="N220" s="66" t="s">
        <v>13319</v>
      </c>
    </row>
    <row r="221" spans="1:19" s="53" customFormat="1">
      <c r="C221" s="52"/>
      <c r="D221" s="55">
        <v>2010</v>
      </c>
      <c r="E221" s="55">
        <v>2011</v>
      </c>
      <c r="F221" s="55">
        <v>2012</v>
      </c>
      <c r="G221" s="55">
        <v>2013</v>
      </c>
      <c r="H221" s="55">
        <v>2014</v>
      </c>
      <c r="I221" s="55">
        <v>2015</v>
      </c>
      <c r="J221" s="55">
        <v>2016</v>
      </c>
      <c r="K221" s="55">
        <v>2017</v>
      </c>
      <c r="L221" s="55">
        <v>2018</v>
      </c>
      <c r="M221" s="65"/>
      <c r="N221" s="67" t="s">
        <v>2304</v>
      </c>
    </row>
    <row r="222" spans="1:19" s="53" customFormat="1">
      <c r="A222" s="51" t="s">
        <v>7288</v>
      </c>
      <c r="C222" s="52"/>
      <c r="D222" s="56">
        <f t="shared" ref="D222:I222" si="188">SUM(D223:D237)</f>
        <v>87507</v>
      </c>
      <c r="E222" s="56">
        <f t="shared" si="188"/>
        <v>88149</v>
      </c>
      <c r="F222" s="56">
        <f t="shared" si="188"/>
        <v>88814</v>
      </c>
      <c r="G222" s="56">
        <f t="shared" si="188"/>
        <v>89310</v>
      </c>
      <c r="H222" s="56">
        <f t="shared" si="188"/>
        <v>89834</v>
      </c>
      <c r="I222" s="56">
        <f t="shared" si="188"/>
        <v>88502</v>
      </c>
      <c r="J222" s="56">
        <f t="shared" ref="J222:K222" si="189">SUM(J223:J237)</f>
        <v>87138</v>
      </c>
      <c r="K222" s="56">
        <f t="shared" si="189"/>
        <v>88532</v>
      </c>
      <c r="L222" s="56">
        <f t="shared" ref="L222" si="190">SUM(L223:L237)</f>
        <v>89417</v>
      </c>
    </row>
    <row r="223" spans="1:19" s="53" customFormat="1">
      <c r="A223" s="51" t="s">
        <v>6957</v>
      </c>
      <c r="B223" s="51" t="s">
        <v>7289</v>
      </c>
      <c r="C223" s="4" t="s">
        <v>354</v>
      </c>
      <c r="D223" s="56">
        <v>5700</v>
      </c>
      <c r="E223" s="56">
        <v>5757</v>
      </c>
      <c r="F223" s="56">
        <v>5801</v>
      </c>
      <c r="G223" s="30">
        <v>5839</v>
      </c>
      <c r="H223" s="30">
        <v>5944</v>
      </c>
      <c r="I223" s="30">
        <v>5804</v>
      </c>
      <c r="J223" s="30">
        <v>5755</v>
      </c>
      <c r="K223" s="30">
        <v>5905</v>
      </c>
      <c r="L223" s="30">
        <v>5920</v>
      </c>
      <c r="N223" s="51" t="s">
        <v>7166</v>
      </c>
      <c r="Q223" s="4"/>
      <c r="S223" s="4"/>
    </row>
    <row r="224" spans="1:19" s="53" customFormat="1">
      <c r="A224" s="51" t="s">
        <v>6959</v>
      </c>
      <c r="B224" s="51" t="s">
        <v>7290</v>
      </c>
      <c r="C224" s="4" t="s">
        <v>355</v>
      </c>
      <c r="D224" s="56">
        <v>5720</v>
      </c>
      <c r="E224" s="56">
        <v>5706</v>
      </c>
      <c r="F224" s="56">
        <v>5696</v>
      </c>
      <c r="G224" s="30">
        <v>5699</v>
      </c>
      <c r="H224" s="30">
        <v>5678</v>
      </c>
      <c r="I224" s="30">
        <v>5559</v>
      </c>
      <c r="J224" s="30">
        <v>5421</v>
      </c>
      <c r="K224" s="30">
        <v>5467</v>
      </c>
      <c r="L224" s="30">
        <v>5591</v>
      </c>
      <c r="N224" s="51" t="s">
        <v>7166</v>
      </c>
      <c r="Q224" s="4"/>
      <c r="S224" s="4"/>
    </row>
    <row r="225" spans="1:19" s="53" customFormat="1">
      <c r="A225" s="51" t="s">
        <v>6961</v>
      </c>
      <c r="B225" s="51" t="s">
        <v>7291</v>
      </c>
      <c r="C225" s="4" t="s">
        <v>356</v>
      </c>
      <c r="D225" s="56">
        <v>5592</v>
      </c>
      <c r="E225" s="56">
        <v>5620</v>
      </c>
      <c r="F225" s="56">
        <v>5623</v>
      </c>
      <c r="G225" s="30">
        <v>5661</v>
      </c>
      <c r="H225" s="30">
        <v>5620</v>
      </c>
      <c r="I225" s="30">
        <v>5561</v>
      </c>
      <c r="J225" s="30">
        <v>5371</v>
      </c>
      <c r="K225" s="30">
        <v>5471</v>
      </c>
      <c r="L225" s="30">
        <v>5488</v>
      </c>
      <c r="N225" s="51" t="s">
        <v>7166</v>
      </c>
      <c r="Q225" s="4"/>
      <c r="S225" s="4"/>
    </row>
    <row r="226" spans="1:19" s="53" customFormat="1">
      <c r="A226" s="51" t="s">
        <v>6963</v>
      </c>
      <c r="B226" s="51" t="s">
        <v>7292</v>
      </c>
      <c r="C226" s="4" t="s">
        <v>357</v>
      </c>
      <c r="D226" s="56">
        <v>5223</v>
      </c>
      <c r="E226" s="56">
        <v>5334</v>
      </c>
      <c r="F226" s="56">
        <v>5420</v>
      </c>
      <c r="G226" s="30">
        <v>5434</v>
      </c>
      <c r="H226" s="30">
        <v>5449</v>
      </c>
      <c r="I226" s="30">
        <v>5375</v>
      </c>
      <c r="J226" s="30">
        <v>5210</v>
      </c>
      <c r="K226" s="30">
        <v>5296</v>
      </c>
      <c r="L226" s="30">
        <v>5355</v>
      </c>
      <c r="N226" s="51" t="s">
        <v>7166</v>
      </c>
      <c r="Q226" s="4"/>
      <c r="S226" s="4"/>
    </row>
    <row r="227" spans="1:19" s="53" customFormat="1">
      <c r="A227" s="51" t="s">
        <v>6965</v>
      </c>
      <c r="B227" s="51" t="s">
        <v>7293</v>
      </c>
      <c r="C227" s="4" t="s">
        <v>358</v>
      </c>
      <c r="D227" s="56">
        <v>5475</v>
      </c>
      <c r="E227" s="56">
        <v>5457</v>
      </c>
      <c r="F227" s="56">
        <v>5450</v>
      </c>
      <c r="G227" s="30">
        <v>5512</v>
      </c>
      <c r="H227" s="30">
        <v>5556</v>
      </c>
      <c r="I227" s="30">
        <v>5388</v>
      </c>
      <c r="J227" s="30">
        <v>5295</v>
      </c>
      <c r="K227" s="30">
        <v>5343</v>
      </c>
      <c r="L227" s="30">
        <v>5399</v>
      </c>
      <c r="N227" s="51" t="s">
        <v>7166</v>
      </c>
      <c r="Q227" s="4"/>
      <c r="S227" s="4"/>
    </row>
    <row r="228" spans="1:19" s="53" customFormat="1">
      <c r="A228" s="51" t="s">
        <v>6997</v>
      </c>
      <c r="B228" s="51" t="s">
        <v>7323</v>
      </c>
      <c r="C228" s="4" t="s">
        <v>359</v>
      </c>
      <c r="D228" s="56">
        <v>5981</v>
      </c>
      <c r="E228" s="56">
        <v>5982</v>
      </c>
      <c r="F228" s="56">
        <v>6073</v>
      </c>
      <c r="G228" s="30">
        <v>6092</v>
      </c>
      <c r="H228" s="30">
        <v>6120</v>
      </c>
      <c r="I228" s="30">
        <v>6079</v>
      </c>
      <c r="J228" s="30">
        <v>5923</v>
      </c>
      <c r="K228" s="30">
        <v>5989</v>
      </c>
      <c r="L228" s="30">
        <v>6014</v>
      </c>
      <c r="N228" s="51" t="s">
        <v>7168</v>
      </c>
      <c r="Q228" s="4"/>
      <c r="S228" s="4"/>
    </row>
    <row r="229" spans="1:19" s="53" customFormat="1">
      <c r="A229" s="51" t="s">
        <v>6999</v>
      </c>
      <c r="B229" s="51" t="s">
        <v>7324</v>
      </c>
      <c r="C229" s="4" t="s">
        <v>360</v>
      </c>
      <c r="D229" s="56">
        <v>5650</v>
      </c>
      <c r="E229" s="56">
        <v>5685</v>
      </c>
      <c r="F229" s="56">
        <v>5710</v>
      </c>
      <c r="G229" s="30">
        <v>5709</v>
      </c>
      <c r="H229" s="30">
        <v>5709</v>
      </c>
      <c r="I229" s="30">
        <v>5690</v>
      </c>
      <c r="J229" s="30">
        <v>5548</v>
      </c>
      <c r="K229" s="30">
        <v>5636</v>
      </c>
      <c r="L229" s="30">
        <v>5667</v>
      </c>
      <c r="N229" s="51" t="s">
        <v>7166</v>
      </c>
      <c r="Q229" s="4"/>
      <c r="S229" s="4"/>
    </row>
    <row r="230" spans="1:19" s="53" customFormat="1">
      <c r="A230" s="51" t="s">
        <v>7001</v>
      </c>
      <c r="B230" s="51" t="s">
        <v>7325</v>
      </c>
      <c r="C230" s="4" t="s">
        <v>361</v>
      </c>
      <c r="D230" s="56">
        <v>5888</v>
      </c>
      <c r="E230" s="56">
        <v>6036</v>
      </c>
      <c r="F230" s="56">
        <v>6038</v>
      </c>
      <c r="G230" s="30">
        <v>6015</v>
      </c>
      <c r="H230" s="30">
        <v>6180</v>
      </c>
      <c r="I230" s="30">
        <v>6128</v>
      </c>
      <c r="J230" s="30">
        <v>6185</v>
      </c>
      <c r="K230" s="30">
        <v>6498</v>
      </c>
      <c r="L230" s="30">
        <v>6908</v>
      </c>
      <c r="N230" s="51" t="s">
        <v>7166</v>
      </c>
      <c r="Q230" s="4"/>
      <c r="S230" s="4"/>
    </row>
    <row r="231" spans="1:19" s="53" customFormat="1">
      <c r="A231" s="51" t="s">
        <v>7003</v>
      </c>
      <c r="B231" s="51" t="s">
        <v>12507</v>
      </c>
      <c r="C231" s="4" t="s">
        <v>362</v>
      </c>
      <c r="D231" s="56">
        <v>8826</v>
      </c>
      <c r="E231" s="56">
        <v>8857</v>
      </c>
      <c r="F231" s="56">
        <v>8870</v>
      </c>
      <c r="G231" s="30">
        <v>8847</v>
      </c>
      <c r="H231" s="30">
        <v>8825</v>
      </c>
      <c r="I231" s="30">
        <v>8740</v>
      </c>
      <c r="J231" s="30">
        <v>8621</v>
      </c>
      <c r="K231" s="30">
        <v>8747</v>
      </c>
      <c r="L231" s="30">
        <v>8876</v>
      </c>
      <c r="N231" s="51" t="s">
        <v>7166</v>
      </c>
      <c r="Q231" s="4"/>
      <c r="S231" s="4"/>
    </row>
    <row r="232" spans="1:19" s="53" customFormat="1">
      <c r="A232" s="51" t="s">
        <v>7005</v>
      </c>
      <c r="B232" s="51" t="s">
        <v>12508</v>
      </c>
      <c r="C232" s="4" t="s">
        <v>363</v>
      </c>
      <c r="D232" s="56">
        <v>5813</v>
      </c>
      <c r="E232" s="56">
        <v>5800</v>
      </c>
      <c r="F232" s="56">
        <v>5788</v>
      </c>
      <c r="G232" s="30">
        <v>5812</v>
      </c>
      <c r="H232" s="30">
        <v>5769</v>
      </c>
      <c r="I232" s="30">
        <v>5657</v>
      </c>
      <c r="J232" s="30">
        <v>5612</v>
      </c>
      <c r="K232" s="30">
        <v>5623</v>
      </c>
      <c r="L232" s="30">
        <v>5549</v>
      </c>
      <c r="N232" s="51" t="s">
        <v>7166</v>
      </c>
      <c r="Q232" s="4"/>
      <c r="S232" s="4"/>
    </row>
    <row r="233" spans="1:19" s="53" customFormat="1">
      <c r="A233" s="51" t="s">
        <v>7007</v>
      </c>
      <c r="B233" s="51" t="s">
        <v>7326</v>
      </c>
      <c r="C233" s="4" t="s">
        <v>364</v>
      </c>
      <c r="D233" s="56">
        <v>5451</v>
      </c>
      <c r="E233" s="56">
        <v>5516</v>
      </c>
      <c r="F233" s="56">
        <v>5613</v>
      </c>
      <c r="G233" s="30">
        <v>5650</v>
      </c>
      <c r="H233" s="30">
        <v>5829</v>
      </c>
      <c r="I233" s="30">
        <v>5782</v>
      </c>
      <c r="J233" s="30">
        <v>5719</v>
      </c>
      <c r="K233" s="30">
        <v>5821</v>
      </c>
      <c r="L233" s="30">
        <v>5811</v>
      </c>
      <c r="N233" s="51" t="s">
        <v>7166</v>
      </c>
      <c r="Q233" s="4"/>
      <c r="S233" s="4"/>
    </row>
    <row r="234" spans="1:19" s="53" customFormat="1">
      <c r="A234" s="51" t="s">
        <v>7009</v>
      </c>
      <c r="B234" s="51" t="s">
        <v>7327</v>
      </c>
      <c r="C234" s="4" t="s">
        <v>365</v>
      </c>
      <c r="D234" s="56">
        <v>5697</v>
      </c>
      <c r="E234" s="56">
        <v>5710</v>
      </c>
      <c r="F234" s="56">
        <v>5712</v>
      </c>
      <c r="G234" s="30">
        <v>5755</v>
      </c>
      <c r="H234" s="30">
        <v>5678</v>
      </c>
      <c r="I234" s="30">
        <v>5592</v>
      </c>
      <c r="J234" s="30">
        <v>5491</v>
      </c>
      <c r="K234" s="30">
        <v>5531</v>
      </c>
      <c r="L234" s="30">
        <v>5522</v>
      </c>
      <c r="N234" s="51" t="s">
        <v>7168</v>
      </c>
      <c r="Q234" s="4"/>
      <c r="S234" s="4"/>
    </row>
    <row r="235" spans="1:19" s="53" customFormat="1">
      <c r="A235" s="51" t="s">
        <v>7011</v>
      </c>
      <c r="B235" s="51" t="s">
        <v>7328</v>
      </c>
      <c r="C235" s="4" t="s">
        <v>366</v>
      </c>
      <c r="D235" s="56">
        <v>5683</v>
      </c>
      <c r="E235" s="56">
        <v>5683</v>
      </c>
      <c r="F235" s="56">
        <v>5810</v>
      </c>
      <c r="G235" s="30">
        <v>5810</v>
      </c>
      <c r="H235" s="30">
        <v>5789</v>
      </c>
      <c r="I235" s="30">
        <v>5671</v>
      </c>
      <c r="J235" s="30">
        <v>5686</v>
      </c>
      <c r="K235" s="30">
        <v>5761</v>
      </c>
      <c r="L235" s="30">
        <v>5861</v>
      </c>
      <c r="N235" s="51" t="s">
        <v>7166</v>
      </c>
      <c r="Q235" s="4"/>
      <c r="S235" s="4"/>
    </row>
    <row r="236" spans="1:19" s="53" customFormat="1">
      <c r="A236" s="50">
        <v>14</v>
      </c>
      <c r="B236" s="51" t="s">
        <v>7329</v>
      </c>
      <c r="C236" s="4" t="s">
        <v>367</v>
      </c>
      <c r="D236" s="56">
        <v>5338</v>
      </c>
      <c r="E236" s="56">
        <v>5490</v>
      </c>
      <c r="F236" s="56">
        <v>5669</v>
      </c>
      <c r="G236" s="30">
        <v>5922</v>
      </c>
      <c r="H236" s="30">
        <v>6126</v>
      </c>
      <c r="I236" s="30">
        <v>6030</v>
      </c>
      <c r="J236" s="30">
        <v>5920</v>
      </c>
      <c r="K236" s="30">
        <v>5984</v>
      </c>
      <c r="L236" s="30">
        <v>5956</v>
      </c>
      <c r="N236" s="51" t="s">
        <v>7166</v>
      </c>
      <c r="Q236" s="4"/>
      <c r="S236" s="4"/>
    </row>
    <row r="237" spans="1:19" s="53" customFormat="1">
      <c r="A237" s="50">
        <v>15</v>
      </c>
      <c r="B237" s="51" t="s">
        <v>7330</v>
      </c>
      <c r="C237" s="4" t="s">
        <v>368</v>
      </c>
      <c r="D237" s="56">
        <v>5470</v>
      </c>
      <c r="E237" s="56">
        <v>5516</v>
      </c>
      <c r="F237" s="56">
        <v>5541</v>
      </c>
      <c r="G237" s="30">
        <v>5553</v>
      </c>
      <c r="H237" s="30">
        <v>5562</v>
      </c>
      <c r="I237" s="30">
        <v>5446</v>
      </c>
      <c r="J237" s="30">
        <v>5381</v>
      </c>
      <c r="K237" s="30">
        <v>5460</v>
      </c>
      <c r="L237" s="30">
        <v>5500</v>
      </c>
      <c r="N237" s="51" t="s">
        <v>7166</v>
      </c>
      <c r="Q237" s="4"/>
      <c r="S237" s="4"/>
    </row>
    <row r="238" spans="1:19" s="53" customFormat="1">
      <c r="C238" s="52"/>
      <c r="D238" s="58"/>
      <c r="E238" s="58"/>
      <c r="F238" s="58"/>
      <c r="G238" s="58"/>
      <c r="H238" s="58"/>
      <c r="I238" s="58"/>
      <c r="J238" s="58"/>
      <c r="K238" s="58"/>
      <c r="L238" s="58"/>
    </row>
    <row r="239" spans="1:19" s="53" customFormat="1">
      <c r="A239" s="51" t="s">
        <v>7166</v>
      </c>
      <c r="C239" s="52"/>
      <c r="D239" s="56">
        <f t="shared" ref="D239:I239" si="191">SUM(D223:D227)+SUM(D229:D233)+SUM(D235:D237)</f>
        <v>75829</v>
      </c>
      <c r="E239" s="56">
        <f t="shared" si="191"/>
        <v>76457</v>
      </c>
      <c r="F239" s="56">
        <f t="shared" si="191"/>
        <v>77029</v>
      </c>
      <c r="G239" s="56">
        <f t="shared" si="191"/>
        <v>77463</v>
      </c>
      <c r="H239" s="56">
        <f t="shared" si="191"/>
        <v>78036</v>
      </c>
      <c r="I239" s="56">
        <f t="shared" si="191"/>
        <v>76831</v>
      </c>
      <c r="J239" s="56">
        <f t="shared" ref="J239:K239" si="192">SUM(J223:J227)+SUM(J229:J233)+SUM(J235:J237)</f>
        <v>75724</v>
      </c>
      <c r="K239" s="56">
        <f t="shared" si="192"/>
        <v>77012</v>
      </c>
      <c r="L239" s="56">
        <f t="shared" ref="L239" si="193">SUM(L223:L227)+SUM(L229:L233)+SUM(L235:L237)</f>
        <v>77881</v>
      </c>
    </row>
    <row r="240" spans="1:19" s="53" customFormat="1">
      <c r="A240" s="51" t="s">
        <v>7331</v>
      </c>
      <c r="C240" s="52"/>
      <c r="D240" s="56">
        <f t="shared" ref="D240:I240" si="194">D228+D234</f>
        <v>11678</v>
      </c>
      <c r="E240" s="56">
        <f t="shared" si="194"/>
        <v>11692</v>
      </c>
      <c r="F240" s="56">
        <f t="shared" si="194"/>
        <v>11785</v>
      </c>
      <c r="G240" s="56">
        <f t="shared" si="194"/>
        <v>11847</v>
      </c>
      <c r="H240" s="56">
        <f t="shared" si="194"/>
        <v>11798</v>
      </c>
      <c r="I240" s="56">
        <f t="shared" si="194"/>
        <v>11671</v>
      </c>
      <c r="J240" s="56">
        <f t="shared" ref="J240:K240" si="195">J228+J234</f>
        <v>11414</v>
      </c>
      <c r="K240" s="56">
        <f t="shared" si="195"/>
        <v>11520</v>
      </c>
      <c r="L240" s="56">
        <f t="shared" ref="L240" si="196">L228+L234</f>
        <v>11536</v>
      </c>
    </row>
    <row r="241" spans="1:19" s="53" customFormat="1">
      <c r="A241" s="51"/>
      <c r="C241" s="52"/>
      <c r="D241" s="56"/>
      <c r="E241" s="56"/>
      <c r="F241" s="56"/>
      <c r="G241" s="56"/>
      <c r="H241" s="56"/>
      <c r="I241" s="56"/>
      <c r="J241" s="56"/>
      <c r="K241" s="56"/>
      <c r="L241" s="56"/>
    </row>
    <row r="242" spans="1:19" s="53" customFormat="1">
      <c r="A242" s="51" t="s">
        <v>7332</v>
      </c>
      <c r="C242" s="52"/>
      <c r="D242" s="56"/>
      <c r="E242" s="56"/>
      <c r="F242" s="56"/>
      <c r="G242" s="56"/>
      <c r="H242" s="56"/>
      <c r="I242" s="56"/>
      <c r="J242" s="56"/>
      <c r="K242" s="56"/>
      <c r="L242" s="56"/>
    </row>
    <row r="243" spans="1:19" s="53" customFormat="1">
      <c r="A243" s="51"/>
      <c r="B243" s="51"/>
      <c r="C243" s="52"/>
      <c r="D243" s="69"/>
      <c r="E243" s="69"/>
      <c r="F243" s="69"/>
      <c r="G243" s="69"/>
      <c r="H243" s="69"/>
      <c r="I243" s="69"/>
      <c r="J243" s="69"/>
      <c r="K243" s="69"/>
      <c r="L243" s="69"/>
    </row>
    <row r="244" spans="1:19" s="53" customFormat="1">
      <c r="A244" s="51"/>
      <c r="B244" s="51"/>
      <c r="C244" s="52"/>
      <c r="D244" s="69"/>
      <c r="E244" s="69"/>
      <c r="F244" s="69"/>
      <c r="G244" s="69"/>
      <c r="H244" s="69"/>
      <c r="I244" s="69"/>
      <c r="J244" s="69"/>
      <c r="K244" s="69"/>
      <c r="L244" s="69"/>
    </row>
    <row r="245" spans="1:19" s="53" customFormat="1">
      <c r="C245" s="52"/>
      <c r="E245" s="42" t="s">
        <v>2303</v>
      </c>
      <c r="F245" s="42"/>
      <c r="G245" s="42"/>
      <c r="H245" s="42"/>
      <c r="I245" s="42"/>
      <c r="J245" s="42"/>
      <c r="K245" s="42"/>
      <c r="L245" s="42"/>
      <c r="M245" s="65"/>
      <c r="N245" s="66" t="s">
        <v>13319</v>
      </c>
    </row>
    <row r="246" spans="1:19" s="53" customFormat="1">
      <c r="C246" s="52"/>
      <c r="D246" s="55">
        <v>2010</v>
      </c>
      <c r="E246" s="55">
        <v>2011</v>
      </c>
      <c r="F246" s="55">
        <v>2012</v>
      </c>
      <c r="G246" s="55">
        <v>2013</v>
      </c>
      <c r="H246" s="55">
        <v>2014</v>
      </c>
      <c r="I246" s="55">
        <v>2015</v>
      </c>
      <c r="J246" s="55">
        <v>2016</v>
      </c>
      <c r="K246" s="55">
        <v>2017</v>
      </c>
      <c r="L246" s="55">
        <v>2018</v>
      </c>
      <c r="M246" s="65"/>
      <c r="N246" s="67" t="s">
        <v>2304</v>
      </c>
    </row>
    <row r="247" spans="1:19" s="53" customFormat="1">
      <c r="A247" s="51" t="s">
        <v>7333</v>
      </c>
      <c r="C247" s="52"/>
      <c r="D247" s="56">
        <f t="shared" ref="D247:I247" si="197">SUM(D248:D264)</f>
        <v>61202</v>
      </c>
      <c r="E247" s="56">
        <f t="shared" si="197"/>
        <v>61153</v>
      </c>
      <c r="F247" s="56">
        <f t="shared" si="197"/>
        <v>61856</v>
      </c>
      <c r="G247" s="56">
        <f t="shared" si="197"/>
        <v>62526</v>
      </c>
      <c r="H247" s="56">
        <f t="shared" si="197"/>
        <v>62965</v>
      </c>
      <c r="I247" s="56">
        <f t="shared" si="197"/>
        <v>61777</v>
      </c>
      <c r="J247" s="56">
        <f t="shared" ref="J247:K247" si="198">SUM(J248:J264)</f>
        <v>60943</v>
      </c>
      <c r="K247" s="56">
        <f t="shared" si="198"/>
        <v>62217</v>
      </c>
      <c r="L247" s="56">
        <f t="shared" ref="L247" si="199">SUM(L248:L264)</f>
        <v>62155</v>
      </c>
    </row>
    <row r="248" spans="1:19" s="53" customFormat="1">
      <c r="A248" s="51" t="s">
        <v>6957</v>
      </c>
      <c r="B248" s="51" t="s">
        <v>7308</v>
      </c>
      <c r="C248" s="4" t="s">
        <v>369</v>
      </c>
      <c r="D248" s="56">
        <v>3445</v>
      </c>
      <c r="E248" s="56">
        <v>3467</v>
      </c>
      <c r="F248" s="56">
        <v>3467</v>
      </c>
      <c r="G248" s="30">
        <v>3488</v>
      </c>
      <c r="H248" s="30">
        <v>3557</v>
      </c>
      <c r="I248" s="30">
        <v>3477</v>
      </c>
      <c r="J248" s="30">
        <v>3510</v>
      </c>
      <c r="K248" s="30">
        <v>3574</v>
      </c>
      <c r="L248" s="30">
        <v>3559</v>
      </c>
      <c r="N248" s="51" t="s">
        <v>7168</v>
      </c>
      <c r="O248" s="70"/>
      <c r="Q248" s="4"/>
      <c r="S248" s="4"/>
    </row>
    <row r="249" spans="1:19" s="53" customFormat="1">
      <c r="A249" s="51" t="s">
        <v>6959</v>
      </c>
      <c r="B249" s="51" t="s">
        <v>7309</v>
      </c>
      <c r="C249" s="4" t="s">
        <v>370</v>
      </c>
      <c r="D249" s="56">
        <v>3036</v>
      </c>
      <c r="E249" s="56">
        <v>3039</v>
      </c>
      <c r="F249" s="56">
        <v>3023</v>
      </c>
      <c r="G249" s="30">
        <v>3051</v>
      </c>
      <c r="H249" s="30">
        <v>3048</v>
      </c>
      <c r="I249" s="30">
        <v>2984</v>
      </c>
      <c r="J249" s="30">
        <v>3007</v>
      </c>
      <c r="K249" s="30">
        <v>3081</v>
      </c>
      <c r="L249" s="30">
        <v>3022</v>
      </c>
      <c r="N249" s="51" t="s">
        <v>7168</v>
      </c>
      <c r="O249" s="70"/>
      <c r="Q249" s="4"/>
      <c r="S249" s="4"/>
    </row>
    <row r="250" spans="1:19" s="53" customFormat="1">
      <c r="A250" s="51" t="s">
        <v>6961</v>
      </c>
      <c r="B250" s="51" t="s">
        <v>7310</v>
      </c>
      <c r="C250" s="4" t="s">
        <v>371</v>
      </c>
      <c r="D250" s="56">
        <v>3526</v>
      </c>
      <c r="E250" s="56">
        <v>3494</v>
      </c>
      <c r="F250" s="56">
        <v>3505</v>
      </c>
      <c r="G250" s="30">
        <v>3542</v>
      </c>
      <c r="H250" s="30">
        <v>3541</v>
      </c>
      <c r="I250" s="30">
        <v>3502</v>
      </c>
      <c r="J250" s="30">
        <v>3440</v>
      </c>
      <c r="K250" s="30">
        <v>3486</v>
      </c>
      <c r="L250" s="30">
        <v>3500</v>
      </c>
      <c r="N250" s="51" t="s">
        <v>7168</v>
      </c>
      <c r="O250" s="70"/>
      <c r="Q250" s="4"/>
      <c r="S250" s="4"/>
    </row>
    <row r="251" spans="1:19" s="53" customFormat="1">
      <c r="A251" s="51" t="s">
        <v>6963</v>
      </c>
      <c r="B251" s="51" t="s">
        <v>7311</v>
      </c>
      <c r="C251" s="4" t="s">
        <v>372</v>
      </c>
      <c r="D251" s="56">
        <v>3597</v>
      </c>
      <c r="E251" s="56">
        <v>3605</v>
      </c>
      <c r="F251" s="56">
        <v>3634</v>
      </c>
      <c r="G251" s="30">
        <v>3652</v>
      </c>
      <c r="H251" s="30">
        <v>3658</v>
      </c>
      <c r="I251" s="30">
        <v>3574</v>
      </c>
      <c r="J251" s="30">
        <v>3486</v>
      </c>
      <c r="K251" s="30">
        <v>3572</v>
      </c>
      <c r="L251" s="30">
        <v>3582</v>
      </c>
      <c r="N251" s="51" t="s">
        <v>7168</v>
      </c>
      <c r="O251" s="70"/>
      <c r="Q251" s="4"/>
      <c r="S251" s="4"/>
    </row>
    <row r="252" spans="1:19" s="53" customFormat="1">
      <c r="A252" s="51" t="s">
        <v>6965</v>
      </c>
      <c r="B252" s="51" t="s">
        <v>7312</v>
      </c>
      <c r="C252" s="4" t="s">
        <v>373</v>
      </c>
      <c r="D252" s="56">
        <v>3741</v>
      </c>
      <c r="E252" s="56">
        <v>3806</v>
      </c>
      <c r="F252" s="56">
        <v>3844</v>
      </c>
      <c r="G252" s="30">
        <v>3873</v>
      </c>
      <c r="H252" s="30">
        <v>3875</v>
      </c>
      <c r="I252" s="30">
        <v>3779</v>
      </c>
      <c r="J252" s="30">
        <v>3716</v>
      </c>
      <c r="K252" s="30">
        <v>3732</v>
      </c>
      <c r="L252" s="30">
        <v>3722</v>
      </c>
      <c r="N252" s="51" t="s">
        <v>7168</v>
      </c>
      <c r="O252" s="70"/>
      <c r="Q252" s="4"/>
      <c r="S252" s="4"/>
    </row>
    <row r="253" spans="1:19" s="53" customFormat="1">
      <c r="A253" s="51" t="s">
        <v>6997</v>
      </c>
      <c r="B253" s="51" t="s">
        <v>5003</v>
      </c>
      <c r="C253" s="4" t="s">
        <v>374</v>
      </c>
      <c r="D253" s="56">
        <v>3544</v>
      </c>
      <c r="E253" s="56">
        <v>3563</v>
      </c>
      <c r="F253" s="56">
        <v>3705</v>
      </c>
      <c r="G253" s="30">
        <v>3913</v>
      </c>
      <c r="H253" s="30">
        <v>3927</v>
      </c>
      <c r="I253" s="30">
        <v>3875</v>
      </c>
      <c r="J253" s="30">
        <v>3707</v>
      </c>
      <c r="K253" s="30">
        <v>3827</v>
      </c>
      <c r="L253" s="30">
        <v>3884</v>
      </c>
      <c r="N253" s="51" t="s">
        <v>7168</v>
      </c>
      <c r="O253" s="70"/>
      <c r="Q253" s="4"/>
      <c r="S253" s="4"/>
    </row>
    <row r="254" spans="1:19" s="53" customFormat="1">
      <c r="A254" s="51" t="s">
        <v>6999</v>
      </c>
      <c r="B254" s="51" t="s">
        <v>7313</v>
      </c>
      <c r="C254" s="4" t="s">
        <v>375</v>
      </c>
      <c r="D254" s="56">
        <v>3519</v>
      </c>
      <c r="E254" s="56">
        <v>3553</v>
      </c>
      <c r="F254" s="56">
        <v>3582</v>
      </c>
      <c r="G254" s="30">
        <v>3559</v>
      </c>
      <c r="H254" s="30">
        <v>3582</v>
      </c>
      <c r="I254" s="30">
        <v>3529</v>
      </c>
      <c r="J254" s="30">
        <v>3428</v>
      </c>
      <c r="K254" s="30">
        <v>3519</v>
      </c>
      <c r="L254" s="30">
        <v>3536</v>
      </c>
      <c r="N254" s="51" t="s">
        <v>7168</v>
      </c>
      <c r="O254" s="70"/>
      <c r="Q254" s="4"/>
      <c r="S254" s="4"/>
    </row>
    <row r="255" spans="1:19" s="53" customFormat="1">
      <c r="A255" s="51" t="s">
        <v>7001</v>
      </c>
      <c r="B255" s="51" t="s">
        <v>7314</v>
      </c>
      <c r="C255" s="4" t="s">
        <v>376</v>
      </c>
      <c r="D255" s="56">
        <v>3424</v>
      </c>
      <c r="E255" s="56">
        <v>3436</v>
      </c>
      <c r="F255" s="56">
        <v>3406</v>
      </c>
      <c r="G255" s="30">
        <v>3438</v>
      </c>
      <c r="H255" s="30">
        <v>3429</v>
      </c>
      <c r="I255" s="30">
        <v>3324</v>
      </c>
      <c r="J255" s="30">
        <v>3307</v>
      </c>
      <c r="K255" s="30">
        <v>3418</v>
      </c>
      <c r="L255" s="30">
        <v>3351</v>
      </c>
      <c r="N255" s="51" t="s">
        <v>7168</v>
      </c>
      <c r="O255" s="70"/>
      <c r="Q255" s="4"/>
      <c r="S255" s="4"/>
    </row>
    <row r="256" spans="1:19" s="53" customFormat="1">
      <c r="A256" s="51" t="s">
        <v>7003</v>
      </c>
      <c r="B256" s="51" t="s">
        <v>8563</v>
      </c>
      <c r="C256" s="4" t="s">
        <v>377</v>
      </c>
      <c r="D256" s="56">
        <v>3400</v>
      </c>
      <c r="E256" s="56">
        <v>3239</v>
      </c>
      <c r="F256" s="56">
        <v>3375</v>
      </c>
      <c r="G256" s="30">
        <v>3430</v>
      </c>
      <c r="H256" s="30">
        <v>3516</v>
      </c>
      <c r="I256" s="30">
        <v>3476</v>
      </c>
      <c r="J256" s="30">
        <v>3551</v>
      </c>
      <c r="K256" s="30">
        <v>3740</v>
      </c>
      <c r="L256" s="30">
        <v>3804</v>
      </c>
      <c r="N256" s="51" t="s">
        <v>7168</v>
      </c>
      <c r="O256" s="70"/>
      <c r="Q256" s="4"/>
      <c r="S256" s="4"/>
    </row>
    <row r="257" spans="1:19" s="53" customFormat="1">
      <c r="A257" s="51" t="s">
        <v>7005</v>
      </c>
      <c r="B257" s="51" t="s">
        <v>7315</v>
      </c>
      <c r="C257" s="4" t="s">
        <v>378</v>
      </c>
      <c r="D257" s="56">
        <v>4209</v>
      </c>
      <c r="E257" s="56">
        <v>4224</v>
      </c>
      <c r="F257" s="56">
        <v>4345</v>
      </c>
      <c r="G257" s="30">
        <v>4345</v>
      </c>
      <c r="H257" s="30">
        <v>4368</v>
      </c>
      <c r="I257" s="30">
        <v>4291</v>
      </c>
      <c r="J257" s="30">
        <v>4187</v>
      </c>
      <c r="K257" s="30">
        <v>4216</v>
      </c>
      <c r="L257" s="30">
        <v>4276</v>
      </c>
      <c r="N257" s="51" t="s">
        <v>7168</v>
      </c>
      <c r="O257" s="70"/>
      <c r="Q257" s="4"/>
      <c r="S257" s="4"/>
    </row>
    <row r="258" spans="1:19" s="53" customFormat="1">
      <c r="A258" s="50">
        <v>11</v>
      </c>
      <c r="B258" s="51" t="s">
        <v>7316</v>
      </c>
      <c r="C258" s="4" t="s">
        <v>379</v>
      </c>
      <c r="D258" s="56">
        <v>4406</v>
      </c>
      <c r="E258" s="56">
        <v>4467</v>
      </c>
      <c r="F258" s="56">
        <v>4448</v>
      </c>
      <c r="G258" s="30">
        <v>4517</v>
      </c>
      <c r="H258" s="30">
        <v>4543</v>
      </c>
      <c r="I258" s="30">
        <v>4478</v>
      </c>
      <c r="J258" s="30">
        <v>4518</v>
      </c>
      <c r="K258" s="30">
        <v>4618</v>
      </c>
      <c r="L258" s="30">
        <v>4586</v>
      </c>
      <c r="N258" s="51" t="s">
        <v>7168</v>
      </c>
      <c r="O258" s="70"/>
      <c r="Q258" s="4"/>
      <c r="S258" s="4"/>
    </row>
    <row r="259" spans="1:19" s="53" customFormat="1">
      <c r="A259" s="50">
        <v>12</v>
      </c>
      <c r="B259" s="51" t="s">
        <v>7317</v>
      </c>
      <c r="C259" s="4" t="s">
        <v>380</v>
      </c>
      <c r="D259" s="56">
        <v>3926</v>
      </c>
      <c r="E259" s="56">
        <v>3911</v>
      </c>
      <c r="F259" s="56">
        <v>3942</v>
      </c>
      <c r="G259" s="30">
        <v>3895</v>
      </c>
      <c r="H259" s="30">
        <v>4028</v>
      </c>
      <c r="I259" s="30">
        <v>3982</v>
      </c>
      <c r="J259" s="30">
        <v>3980</v>
      </c>
      <c r="K259" s="30">
        <v>4130</v>
      </c>
      <c r="L259" s="30">
        <v>4124</v>
      </c>
      <c r="N259" s="51" t="s">
        <v>7168</v>
      </c>
      <c r="O259" s="70"/>
      <c r="Q259" s="4"/>
      <c r="S259" s="4"/>
    </row>
    <row r="260" spans="1:19" s="53" customFormat="1">
      <c r="A260" s="50">
        <v>13</v>
      </c>
      <c r="B260" s="51" t="s">
        <v>5510</v>
      </c>
      <c r="C260" s="4" t="s">
        <v>381</v>
      </c>
      <c r="D260" s="56">
        <v>3547</v>
      </c>
      <c r="E260" s="56">
        <v>3589</v>
      </c>
      <c r="F260" s="56">
        <v>3625</v>
      </c>
      <c r="G260" s="30">
        <v>3680</v>
      </c>
      <c r="H260" s="30">
        <v>3695</v>
      </c>
      <c r="I260" s="30">
        <v>3619</v>
      </c>
      <c r="J260" s="30">
        <v>3492</v>
      </c>
      <c r="K260" s="30">
        <v>3539</v>
      </c>
      <c r="L260" s="30">
        <v>3531</v>
      </c>
      <c r="N260" s="51" t="s">
        <v>7168</v>
      </c>
      <c r="O260" s="70"/>
      <c r="Q260" s="4"/>
      <c r="S260" s="4"/>
    </row>
    <row r="261" spans="1:19" s="53" customFormat="1">
      <c r="A261" s="50">
        <v>14</v>
      </c>
      <c r="B261" s="51" t="s">
        <v>5511</v>
      </c>
      <c r="C261" s="4" t="s">
        <v>382</v>
      </c>
      <c r="D261" s="56">
        <v>3358</v>
      </c>
      <c r="E261" s="56">
        <v>3422</v>
      </c>
      <c r="F261" s="56">
        <v>3436</v>
      </c>
      <c r="G261" s="30">
        <v>3466</v>
      </c>
      <c r="H261" s="30">
        <v>3447</v>
      </c>
      <c r="I261" s="30">
        <v>3398</v>
      </c>
      <c r="J261" s="30">
        <v>3355</v>
      </c>
      <c r="K261" s="30">
        <v>3400</v>
      </c>
      <c r="L261" s="30">
        <v>3375</v>
      </c>
      <c r="N261" s="51" t="s">
        <v>7168</v>
      </c>
      <c r="O261" s="70"/>
      <c r="Q261" s="4"/>
      <c r="S261" s="4"/>
    </row>
    <row r="262" spans="1:19" s="53" customFormat="1">
      <c r="A262" s="50">
        <v>15</v>
      </c>
      <c r="B262" s="51" t="s">
        <v>5512</v>
      </c>
      <c r="C262" s="4" t="s">
        <v>383</v>
      </c>
      <c r="D262" s="56">
        <v>3364</v>
      </c>
      <c r="E262" s="56">
        <v>3351</v>
      </c>
      <c r="F262" s="56">
        <v>3388</v>
      </c>
      <c r="G262" s="30">
        <v>3421</v>
      </c>
      <c r="H262" s="30">
        <v>3443</v>
      </c>
      <c r="I262" s="30">
        <v>3381</v>
      </c>
      <c r="J262" s="30">
        <v>3324</v>
      </c>
      <c r="K262" s="30">
        <v>3329</v>
      </c>
      <c r="L262" s="30">
        <v>3319</v>
      </c>
      <c r="N262" s="51" t="s">
        <v>7168</v>
      </c>
      <c r="O262" s="70"/>
      <c r="Q262" s="4"/>
      <c r="S262" s="4"/>
    </row>
    <row r="263" spans="1:19" s="53" customFormat="1">
      <c r="A263" s="50">
        <v>16</v>
      </c>
      <c r="B263" s="51" t="s">
        <v>5513</v>
      </c>
      <c r="C263" s="4" t="s">
        <v>384</v>
      </c>
      <c r="D263" s="56">
        <v>3336</v>
      </c>
      <c r="E263" s="56">
        <v>3222</v>
      </c>
      <c r="F263" s="56">
        <v>3323</v>
      </c>
      <c r="G263" s="31">
        <v>3375</v>
      </c>
      <c r="H263" s="31">
        <v>3501</v>
      </c>
      <c r="I263" s="31">
        <v>3352</v>
      </c>
      <c r="J263" s="31">
        <v>3264</v>
      </c>
      <c r="K263" s="31">
        <v>3230</v>
      </c>
      <c r="L263" s="31">
        <v>3195</v>
      </c>
      <c r="N263" s="51" t="s">
        <v>7168</v>
      </c>
      <c r="O263" s="71"/>
      <c r="Q263" s="4"/>
      <c r="S263" s="4"/>
    </row>
    <row r="264" spans="1:19" s="53" customFormat="1">
      <c r="A264" s="50">
        <v>17</v>
      </c>
      <c r="B264" s="51" t="s">
        <v>4381</v>
      </c>
      <c r="C264" s="4" t="s">
        <v>385</v>
      </c>
      <c r="D264" s="56">
        <v>3824</v>
      </c>
      <c r="E264" s="56">
        <v>3765</v>
      </c>
      <c r="F264" s="56">
        <v>3808</v>
      </c>
      <c r="G264" s="31">
        <v>3881</v>
      </c>
      <c r="H264" s="31">
        <v>3807</v>
      </c>
      <c r="I264" s="31">
        <v>3756</v>
      </c>
      <c r="J264" s="31">
        <v>3671</v>
      </c>
      <c r="K264" s="31">
        <v>3806</v>
      </c>
      <c r="L264" s="31">
        <v>3789</v>
      </c>
      <c r="N264" s="51" t="s">
        <v>7168</v>
      </c>
      <c r="O264" s="71"/>
      <c r="Q264" s="4"/>
      <c r="S264" s="4"/>
    </row>
    <row r="265" spans="1:19" s="53" customFormat="1">
      <c r="C265" s="52"/>
      <c r="D265" s="58"/>
      <c r="E265" s="58"/>
      <c r="F265" s="58"/>
      <c r="G265" s="58"/>
      <c r="H265" s="58"/>
      <c r="I265" s="58"/>
      <c r="J265" s="58"/>
      <c r="K265" s="58"/>
      <c r="L265" s="58"/>
    </row>
    <row r="266" spans="1:19" s="53" customFormat="1">
      <c r="A266" s="51" t="s">
        <v>7331</v>
      </c>
      <c r="C266" s="52"/>
      <c r="D266" s="56">
        <f t="shared" ref="D266:I266" si="200">SUM(D248:D264)</f>
        <v>61202</v>
      </c>
      <c r="E266" s="56">
        <f t="shared" si="200"/>
        <v>61153</v>
      </c>
      <c r="F266" s="56">
        <f t="shared" si="200"/>
        <v>61856</v>
      </c>
      <c r="G266" s="56">
        <f t="shared" si="200"/>
        <v>62526</v>
      </c>
      <c r="H266" s="56">
        <f t="shared" si="200"/>
        <v>62965</v>
      </c>
      <c r="I266" s="56">
        <f t="shared" si="200"/>
        <v>61777</v>
      </c>
      <c r="J266" s="56">
        <f t="shared" ref="J266:K266" si="201">SUM(J248:J264)</f>
        <v>60943</v>
      </c>
      <c r="K266" s="56">
        <f t="shared" si="201"/>
        <v>62217</v>
      </c>
      <c r="L266" s="56">
        <f t="shared" ref="L266" si="202">SUM(L248:L264)</f>
        <v>62155</v>
      </c>
    </row>
    <row r="267" spans="1:19" s="53" customFormat="1">
      <c r="A267" s="51"/>
      <c r="C267" s="52"/>
      <c r="D267" s="56"/>
      <c r="E267" s="56"/>
      <c r="F267" s="56"/>
      <c r="G267" s="56"/>
      <c r="H267" s="56"/>
      <c r="I267" s="56"/>
      <c r="J267" s="56"/>
      <c r="K267" s="56"/>
      <c r="L267" s="56"/>
    </row>
    <row r="268" spans="1:19" s="53" customFormat="1">
      <c r="A268" s="51" t="s">
        <v>5514</v>
      </c>
      <c r="C268" s="52"/>
      <c r="D268" s="56"/>
      <c r="E268" s="56"/>
      <c r="F268" s="56"/>
      <c r="G268" s="56"/>
      <c r="H268" s="56"/>
      <c r="I268" s="56"/>
      <c r="J268" s="56"/>
      <c r="K268" s="56"/>
      <c r="L268" s="56"/>
    </row>
    <row r="269" spans="1:19" s="53" customFormat="1">
      <c r="A269" s="51"/>
      <c r="B269" s="51"/>
      <c r="C269" s="52"/>
      <c r="D269" s="69"/>
      <c r="E269" s="69"/>
      <c r="F269" s="69"/>
      <c r="G269" s="69"/>
      <c r="H269" s="69"/>
      <c r="I269" s="69"/>
      <c r="J269" s="69"/>
      <c r="K269" s="69"/>
      <c r="L269" s="69"/>
    </row>
    <row r="270" spans="1:19" s="53" customFormat="1">
      <c r="A270" s="51"/>
      <c r="B270" s="51"/>
      <c r="C270" s="52"/>
      <c r="D270" s="69"/>
      <c r="E270" s="69"/>
      <c r="F270" s="69"/>
      <c r="G270" s="69"/>
      <c r="H270" s="69"/>
      <c r="I270" s="69"/>
      <c r="J270" s="69"/>
      <c r="K270" s="69"/>
      <c r="L270" s="69"/>
    </row>
    <row r="271" spans="1:19" s="53" customFormat="1">
      <c r="C271" s="52"/>
      <c r="E271" s="42" t="s">
        <v>2303</v>
      </c>
      <c r="F271" s="42"/>
      <c r="G271" s="42"/>
      <c r="H271" s="42"/>
      <c r="I271" s="42"/>
      <c r="J271" s="42"/>
      <c r="K271" s="42"/>
      <c r="L271" s="42"/>
      <c r="M271" s="65"/>
      <c r="N271" s="66" t="s">
        <v>13319</v>
      </c>
    </row>
    <row r="272" spans="1:19" s="53" customFormat="1">
      <c r="C272" s="52"/>
      <c r="D272" s="55">
        <v>2010</v>
      </c>
      <c r="E272" s="55">
        <v>2011</v>
      </c>
      <c r="F272" s="55">
        <v>2012</v>
      </c>
      <c r="G272" s="55">
        <v>2013</v>
      </c>
      <c r="H272" s="55">
        <v>2014</v>
      </c>
      <c r="I272" s="55">
        <v>2015</v>
      </c>
      <c r="J272" s="55">
        <v>2016</v>
      </c>
      <c r="K272" s="55">
        <v>2017</v>
      </c>
      <c r="L272" s="55">
        <v>2018</v>
      </c>
      <c r="M272" s="65"/>
      <c r="N272" s="67" t="s">
        <v>2304</v>
      </c>
    </row>
    <row r="273" spans="1:19" s="53" customFormat="1">
      <c r="A273" s="51" t="s">
        <v>5515</v>
      </c>
      <c r="C273" s="52"/>
      <c r="D273" s="56">
        <f t="shared" ref="D273:G273" si="203">SUM(D274:D284)+D286</f>
        <v>67750</v>
      </c>
      <c r="E273" s="56">
        <f t="shared" si="203"/>
        <v>68308</v>
      </c>
      <c r="F273" s="56">
        <f t="shared" si="203"/>
        <v>69160</v>
      </c>
      <c r="G273" s="56">
        <f t="shared" si="203"/>
        <v>69781</v>
      </c>
      <c r="H273" s="56">
        <f>SUM(H274:H284)+H286</f>
        <v>69049</v>
      </c>
      <c r="I273" s="56">
        <f>SUM(I274:I284)+I286</f>
        <v>69113</v>
      </c>
      <c r="J273" s="56">
        <f>SUM(J274:J284)+J286</f>
        <v>67763</v>
      </c>
      <c r="K273" s="56">
        <f>SUM(K274:K284)+K286</f>
        <v>69456</v>
      </c>
      <c r="L273" s="56">
        <f>SUM(L274:L284)+L286</f>
        <v>70392</v>
      </c>
    </row>
    <row r="274" spans="1:19" s="53" customFormat="1">
      <c r="A274" s="50">
        <v>1</v>
      </c>
      <c r="B274" s="51" t="s">
        <v>5516</v>
      </c>
      <c r="C274" s="72" t="s">
        <v>13428</v>
      </c>
      <c r="D274" s="56">
        <v>7542</v>
      </c>
      <c r="E274" s="56">
        <v>7498</v>
      </c>
      <c r="F274" s="56">
        <v>7574</v>
      </c>
      <c r="G274" s="56">
        <v>7556</v>
      </c>
      <c r="H274" s="48">
        <v>6038</v>
      </c>
      <c r="I274" s="30">
        <v>5716</v>
      </c>
      <c r="J274" s="30">
        <v>5460</v>
      </c>
      <c r="K274" s="30">
        <v>5568</v>
      </c>
      <c r="L274" s="30">
        <v>5649</v>
      </c>
      <c r="N274" s="51" t="s">
        <v>7158</v>
      </c>
      <c r="P274" s="72"/>
      <c r="Q274" s="4"/>
      <c r="S274" s="4"/>
    </row>
    <row r="275" spans="1:19" s="53" customFormat="1">
      <c r="A275" s="50">
        <v>2</v>
      </c>
      <c r="B275" s="51" t="s">
        <v>13405</v>
      </c>
      <c r="C275" s="72" t="s">
        <v>13429</v>
      </c>
      <c r="D275" s="56">
        <v>60208</v>
      </c>
      <c r="E275" s="56">
        <v>60810</v>
      </c>
      <c r="F275" s="56">
        <v>61586</v>
      </c>
      <c r="G275" s="56">
        <v>62225</v>
      </c>
      <c r="H275" s="48">
        <v>6006</v>
      </c>
      <c r="I275" s="30">
        <v>5963</v>
      </c>
      <c r="J275" s="30">
        <v>5834</v>
      </c>
      <c r="K275" s="30">
        <v>5928</v>
      </c>
      <c r="L275" s="30">
        <v>5891</v>
      </c>
      <c r="N275" s="51" t="s">
        <v>7176</v>
      </c>
      <c r="P275" s="72"/>
      <c r="Q275" s="4"/>
      <c r="S275" s="4"/>
    </row>
    <row r="276" spans="1:19" s="53" customFormat="1">
      <c r="A276" s="50">
        <v>3</v>
      </c>
      <c r="B276" s="51" t="s">
        <v>13406</v>
      </c>
      <c r="C276" s="72" t="s">
        <v>13430</v>
      </c>
      <c r="D276" s="56">
        <v>0</v>
      </c>
      <c r="E276" s="56">
        <v>0</v>
      </c>
      <c r="F276" s="56">
        <v>0</v>
      </c>
      <c r="G276" s="56">
        <v>0</v>
      </c>
      <c r="H276" s="48">
        <v>6340</v>
      </c>
      <c r="I276" s="30">
        <v>6314</v>
      </c>
      <c r="J276" s="30">
        <v>6394</v>
      </c>
      <c r="K276" s="30">
        <v>6790</v>
      </c>
      <c r="L276" s="30">
        <v>7252</v>
      </c>
      <c r="N276" s="51" t="s">
        <v>7176</v>
      </c>
      <c r="P276" s="72"/>
      <c r="Q276" s="4"/>
      <c r="S276" s="4"/>
    </row>
    <row r="277" spans="1:19" s="53" customFormat="1">
      <c r="A277" s="50">
        <v>4</v>
      </c>
      <c r="B277" s="51" t="s">
        <v>5517</v>
      </c>
      <c r="C277" s="72" t="s">
        <v>13431</v>
      </c>
      <c r="D277" s="56">
        <v>0</v>
      </c>
      <c r="E277" s="56">
        <v>0</v>
      </c>
      <c r="F277" s="56">
        <v>0</v>
      </c>
      <c r="G277" s="56">
        <v>0</v>
      </c>
      <c r="H277" s="48">
        <v>6489</v>
      </c>
      <c r="I277" s="30">
        <v>6558</v>
      </c>
      <c r="J277" s="30">
        <v>6374</v>
      </c>
      <c r="K277" s="30">
        <v>6492</v>
      </c>
      <c r="L277" s="30">
        <v>6574</v>
      </c>
      <c r="N277" s="51" t="s">
        <v>7176</v>
      </c>
      <c r="P277" s="72"/>
      <c r="Q277" s="4"/>
      <c r="S277" s="4"/>
    </row>
    <row r="278" spans="1:19" s="53" customFormat="1">
      <c r="A278" s="50">
        <v>5</v>
      </c>
      <c r="B278" s="51" t="s">
        <v>13407</v>
      </c>
      <c r="C278" s="72" t="s">
        <v>13432</v>
      </c>
      <c r="D278" s="56">
        <v>0</v>
      </c>
      <c r="E278" s="56">
        <v>0</v>
      </c>
      <c r="F278" s="56">
        <v>0</v>
      </c>
      <c r="G278" s="56">
        <v>0</v>
      </c>
      <c r="H278" s="48">
        <v>5830</v>
      </c>
      <c r="I278" s="30">
        <v>5757</v>
      </c>
      <c r="J278" s="30">
        <v>5670</v>
      </c>
      <c r="K278" s="30">
        <v>5792</v>
      </c>
      <c r="L278" s="30">
        <v>5788</v>
      </c>
      <c r="N278" s="51" t="s">
        <v>7176</v>
      </c>
      <c r="P278" s="72"/>
      <c r="Q278" s="4"/>
      <c r="S278" s="4"/>
    </row>
    <row r="279" spans="1:19" s="53" customFormat="1">
      <c r="A279" s="50">
        <v>6</v>
      </c>
      <c r="B279" s="51" t="s">
        <v>5518</v>
      </c>
      <c r="C279" s="72" t="s">
        <v>13433</v>
      </c>
      <c r="D279" s="56">
        <v>0</v>
      </c>
      <c r="E279" s="56">
        <v>0</v>
      </c>
      <c r="F279" s="56">
        <v>0</v>
      </c>
      <c r="G279" s="56">
        <v>0</v>
      </c>
      <c r="H279" s="48">
        <v>6068</v>
      </c>
      <c r="I279" s="30">
        <v>5954</v>
      </c>
      <c r="J279" s="30">
        <v>5820</v>
      </c>
      <c r="K279" s="30">
        <v>5989</v>
      </c>
      <c r="L279" s="30">
        <v>6106</v>
      </c>
      <c r="N279" s="51" t="s">
        <v>7176</v>
      </c>
      <c r="P279" s="72"/>
      <c r="Q279" s="4"/>
      <c r="S279" s="4"/>
    </row>
    <row r="280" spans="1:19" s="53" customFormat="1">
      <c r="A280" s="50">
        <v>7</v>
      </c>
      <c r="B280" s="51" t="s">
        <v>5519</v>
      </c>
      <c r="C280" s="72" t="s">
        <v>13434</v>
      </c>
      <c r="D280" s="56">
        <v>0</v>
      </c>
      <c r="E280" s="56">
        <v>0</v>
      </c>
      <c r="F280" s="56">
        <v>0</v>
      </c>
      <c r="G280" s="56">
        <v>0</v>
      </c>
      <c r="H280" s="48">
        <v>6738</v>
      </c>
      <c r="I280" s="30">
        <v>6776</v>
      </c>
      <c r="J280" s="30">
        <v>6713</v>
      </c>
      <c r="K280" s="30">
        <v>6963</v>
      </c>
      <c r="L280" s="30">
        <v>7141</v>
      </c>
      <c r="N280" s="51" t="s">
        <v>7176</v>
      </c>
      <c r="P280" s="72"/>
      <c r="Q280" s="4"/>
      <c r="S280" s="4"/>
    </row>
    <row r="281" spans="1:19" s="53" customFormat="1">
      <c r="A281" s="50">
        <v>8</v>
      </c>
      <c r="B281" s="51" t="s">
        <v>5520</v>
      </c>
      <c r="C281" s="72" t="s">
        <v>13435</v>
      </c>
      <c r="D281" s="68">
        <v>0</v>
      </c>
      <c r="E281" s="68">
        <v>0</v>
      </c>
      <c r="F281" s="68">
        <v>0</v>
      </c>
      <c r="G281" s="68">
        <v>0</v>
      </c>
      <c r="H281" s="48">
        <v>6341</v>
      </c>
      <c r="I281" s="30">
        <v>6340</v>
      </c>
      <c r="J281" s="30">
        <v>6123</v>
      </c>
      <c r="K281" s="30">
        <v>6204</v>
      </c>
      <c r="L281" s="30">
        <v>6156</v>
      </c>
      <c r="N281" s="51" t="s">
        <v>7176</v>
      </c>
      <c r="P281" s="72"/>
      <c r="Q281" s="4"/>
      <c r="S281" s="4"/>
    </row>
    <row r="282" spans="1:19" s="53" customFormat="1">
      <c r="A282" s="50">
        <v>9</v>
      </c>
      <c r="B282" s="51" t="s">
        <v>5522</v>
      </c>
      <c r="C282" s="72" t="s">
        <v>13436</v>
      </c>
      <c r="D282" s="56">
        <v>0</v>
      </c>
      <c r="E282" s="56">
        <v>0</v>
      </c>
      <c r="F282" s="56">
        <v>0</v>
      </c>
      <c r="G282" s="56">
        <v>0</v>
      </c>
      <c r="H282" s="48">
        <v>6403</v>
      </c>
      <c r="I282" s="30">
        <v>6461</v>
      </c>
      <c r="J282" s="30">
        <v>6302</v>
      </c>
      <c r="K282" s="30">
        <v>6372</v>
      </c>
      <c r="L282" s="30">
        <v>6427</v>
      </c>
      <c r="N282" s="51" t="s">
        <v>7176</v>
      </c>
      <c r="P282" s="72"/>
      <c r="Q282" s="4"/>
      <c r="S282" s="4"/>
    </row>
    <row r="283" spans="1:19" s="53" customFormat="1">
      <c r="A283" s="50">
        <v>10</v>
      </c>
      <c r="B283" s="51" t="s">
        <v>5523</v>
      </c>
      <c r="C283" s="72" t="s">
        <v>13437</v>
      </c>
      <c r="D283" s="56">
        <v>0</v>
      </c>
      <c r="E283" s="56">
        <v>0</v>
      </c>
      <c r="F283" s="56">
        <v>0</v>
      </c>
      <c r="G283" s="56">
        <v>0</v>
      </c>
      <c r="H283" s="48">
        <v>1520</v>
      </c>
      <c r="I283" s="30">
        <v>1917</v>
      </c>
      <c r="J283" s="30">
        <v>1956</v>
      </c>
      <c r="K283" s="30">
        <v>2005</v>
      </c>
      <c r="L283" s="30">
        <v>1998</v>
      </c>
      <c r="N283" s="51" t="s">
        <v>7158</v>
      </c>
      <c r="P283" s="72"/>
      <c r="Q283" s="4"/>
      <c r="S283" s="4"/>
    </row>
    <row r="284" spans="1:19" s="53" customFormat="1" ht="15.75" thickBot="1">
      <c r="B284" s="51"/>
      <c r="C284" s="72" t="s">
        <v>13437</v>
      </c>
      <c r="D284" s="56">
        <v>0</v>
      </c>
      <c r="E284" s="56">
        <v>0</v>
      </c>
      <c r="F284" s="56">
        <v>0</v>
      </c>
      <c r="G284" s="56">
        <v>0</v>
      </c>
      <c r="H284" s="48">
        <v>4690</v>
      </c>
      <c r="I284" s="30">
        <v>4724</v>
      </c>
      <c r="J284" s="30">
        <v>4635</v>
      </c>
      <c r="K284" s="30">
        <v>4818</v>
      </c>
      <c r="L284" s="30">
        <v>4853</v>
      </c>
      <c r="N284" s="51" t="s">
        <v>7176</v>
      </c>
      <c r="P284" s="72"/>
      <c r="Q284" s="4"/>
      <c r="S284" s="4"/>
    </row>
    <row r="285" spans="1:19" s="53" customFormat="1" ht="15.75" thickBot="1">
      <c r="B285" s="51"/>
      <c r="C285" s="72" t="s">
        <v>13437</v>
      </c>
      <c r="D285" s="63">
        <f t="shared" ref="D285:G285" si="204">D283+D284</f>
        <v>0</v>
      </c>
      <c r="E285" s="63">
        <f t="shared" si="204"/>
        <v>0</v>
      </c>
      <c r="F285" s="63">
        <f t="shared" si="204"/>
        <v>0</v>
      </c>
      <c r="G285" s="63">
        <f t="shared" si="204"/>
        <v>0</v>
      </c>
      <c r="H285" s="63">
        <f>H283+H284</f>
        <v>6210</v>
      </c>
      <c r="I285" s="63">
        <f>I283+I284</f>
        <v>6641</v>
      </c>
      <c r="J285" s="63">
        <f>J283+J284</f>
        <v>6591</v>
      </c>
      <c r="K285" s="63">
        <f>K283+K284</f>
        <v>6823</v>
      </c>
      <c r="L285" s="63">
        <f>L283+L284</f>
        <v>6851</v>
      </c>
      <c r="N285" s="51"/>
      <c r="Q285" s="4"/>
      <c r="S285" s="4"/>
    </row>
    <row r="286" spans="1:19" s="53" customFormat="1">
      <c r="A286" s="50">
        <v>11</v>
      </c>
      <c r="B286" s="51" t="s">
        <v>5524</v>
      </c>
      <c r="C286" s="72" t="s">
        <v>13438</v>
      </c>
      <c r="D286" s="56">
        <v>0</v>
      </c>
      <c r="E286" s="56">
        <v>0</v>
      </c>
      <c r="F286" s="56">
        <v>0</v>
      </c>
      <c r="G286" s="56">
        <v>0</v>
      </c>
      <c r="H286" s="48">
        <v>6586</v>
      </c>
      <c r="I286" s="30">
        <v>6633</v>
      </c>
      <c r="J286" s="30">
        <v>6482</v>
      </c>
      <c r="K286" s="30">
        <v>6535</v>
      </c>
      <c r="L286" s="30">
        <v>6557</v>
      </c>
      <c r="N286" s="51" t="s">
        <v>7176</v>
      </c>
      <c r="Q286" s="4"/>
      <c r="S286" s="4"/>
    </row>
    <row r="287" spans="1:19" s="53" customFormat="1">
      <c r="C287" s="52"/>
      <c r="D287" s="56"/>
      <c r="E287" s="56"/>
      <c r="F287" s="56"/>
      <c r="G287" s="56"/>
      <c r="H287" s="58"/>
      <c r="I287" s="58"/>
      <c r="J287" s="58"/>
      <c r="K287" s="58"/>
      <c r="L287" s="58"/>
      <c r="Q287" s="4"/>
      <c r="S287" s="4"/>
    </row>
    <row r="288" spans="1:19" s="53" customFormat="1">
      <c r="A288" s="51" t="s">
        <v>5525</v>
      </c>
      <c r="C288" s="52"/>
      <c r="D288" s="56">
        <f t="shared" ref="D288:G288" si="205">D274+D283</f>
        <v>7542</v>
      </c>
      <c r="E288" s="56">
        <f t="shared" si="205"/>
        <v>7498</v>
      </c>
      <c r="F288" s="56">
        <f t="shared" si="205"/>
        <v>7574</v>
      </c>
      <c r="G288" s="56">
        <f t="shared" si="205"/>
        <v>7556</v>
      </c>
      <c r="H288" s="56">
        <f>H274+H283</f>
        <v>7558</v>
      </c>
      <c r="I288" s="56">
        <f>I274+I283</f>
        <v>7633</v>
      </c>
      <c r="J288" s="56">
        <f>J274+J283</f>
        <v>7416</v>
      </c>
      <c r="K288" s="56">
        <f>K274+K283</f>
        <v>7573</v>
      </c>
      <c r="L288" s="56">
        <f>L274+L283</f>
        <v>7647</v>
      </c>
      <c r="Q288" s="4"/>
      <c r="S288" s="4"/>
    </row>
    <row r="289" spans="1:19" s="53" customFormat="1">
      <c r="A289" s="51" t="s">
        <v>8419</v>
      </c>
      <c r="C289" s="52"/>
      <c r="D289" s="56">
        <f t="shared" ref="D289:G289" si="206">SUM(D275:D282)+D284+D286</f>
        <v>60208</v>
      </c>
      <c r="E289" s="56">
        <f t="shared" si="206"/>
        <v>60810</v>
      </c>
      <c r="F289" s="56">
        <f t="shared" si="206"/>
        <v>61586</v>
      </c>
      <c r="G289" s="56">
        <f t="shared" si="206"/>
        <v>62225</v>
      </c>
      <c r="H289" s="56">
        <f>SUM(H275:H282)+H284+H286</f>
        <v>61491</v>
      </c>
      <c r="I289" s="56">
        <f>SUM(I275:I282)+I284+I286</f>
        <v>61480</v>
      </c>
      <c r="J289" s="56">
        <f>SUM(J275:J282)+J284+J286</f>
        <v>60347</v>
      </c>
      <c r="K289" s="56">
        <f>SUM(K275:K282)+K284+K286</f>
        <v>61883</v>
      </c>
      <c r="L289" s="56">
        <f>SUM(L275:L282)+L284+L286</f>
        <v>62745</v>
      </c>
      <c r="Q289" s="4"/>
      <c r="S289" s="4"/>
    </row>
    <row r="290" spans="1:19" s="53" customFormat="1">
      <c r="A290" s="51"/>
      <c r="C290" s="52"/>
      <c r="D290" s="56"/>
      <c r="E290" s="56"/>
      <c r="F290" s="56"/>
      <c r="G290" s="56"/>
      <c r="H290" s="56"/>
      <c r="I290" s="56"/>
      <c r="J290" s="56"/>
      <c r="K290" s="56"/>
      <c r="L290" s="56"/>
      <c r="N290" s="51"/>
      <c r="Q290" s="4"/>
      <c r="S290" s="4"/>
    </row>
    <row r="291" spans="1:19" s="53" customFormat="1">
      <c r="A291" s="51" t="s">
        <v>13408</v>
      </c>
      <c r="C291" s="52"/>
      <c r="D291" s="56"/>
      <c r="E291" s="56"/>
      <c r="F291" s="56"/>
      <c r="G291" s="56"/>
      <c r="H291" s="56"/>
      <c r="I291" s="56"/>
      <c r="J291" s="56"/>
      <c r="K291" s="56"/>
      <c r="L291" s="56"/>
      <c r="N291" s="51"/>
      <c r="Q291" s="4"/>
      <c r="S291" s="4"/>
    </row>
    <row r="292" spans="1:19" s="53" customFormat="1">
      <c r="C292" s="52"/>
      <c r="D292" s="58"/>
      <c r="E292" s="58"/>
      <c r="F292" s="58"/>
      <c r="G292" s="58"/>
      <c r="H292" s="58"/>
      <c r="I292" s="58"/>
      <c r="J292" s="58"/>
      <c r="K292" s="58"/>
      <c r="L292" s="58"/>
    </row>
    <row r="293" spans="1:19" s="53" customFormat="1">
      <c r="A293" s="51"/>
      <c r="B293" s="51"/>
      <c r="C293" s="52"/>
      <c r="D293" s="69"/>
      <c r="E293" s="69"/>
      <c r="F293" s="69"/>
      <c r="G293" s="69"/>
      <c r="H293" s="69"/>
      <c r="I293" s="69"/>
      <c r="J293" s="69"/>
      <c r="K293" s="69"/>
      <c r="L293" s="69"/>
    </row>
    <row r="294" spans="1:19" s="53" customFormat="1">
      <c r="C294" s="52"/>
      <c r="E294" s="42" t="s">
        <v>2303</v>
      </c>
      <c r="F294" s="42"/>
      <c r="G294" s="42"/>
      <c r="H294" s="42"/>
      <c r="I294" s="42"/>
      <c r="J294" s="42"/>
      <c r="K294" s="42"/>
      <c r="L294" s="42"/>
      <c r="M294" s="65"/>
      <c r="N294" s="66" t="s">
        <v>13319</v>
      </c>
    </row>
    <row r="295" spans="1:19" s="53" customFormat="1">
      <c r="C295" s="52"/>
      <c r="D295" s="55">
        <v>2010</v>
      </c>
      <c r="E295" s="55">
        <v>2011</v>
      </c>
      <c r="F295" s="55">
        <v>2012</v>
      </c>
      <c r="G295" s="55">
        <v>2013</v>
      </c>
      <c r="H295" s="55">
        <v>2014</v>
      </c>
      <c r="I295" s="55">
        <v>2015</v>
      </c>
      <c r="J295" s="55">
        <v>2016</v>
      </c>
      <c r="K295" s="55">
        <v>2017</v>
      </c>
      <c r="L295" s="55">
        <v>2018</v>
      </c>
      <c r="M295" s="65"/>
      <c r="N295" s="67" t="s">
        <v>2304</v>
      </c>
    </row>
    <row r="296" spans="1:19" s="53" customFormat="1">
      <c r="A296" s="51" t="s">
        <v>7302</v>
      </c>
      <c r="C296" s="52"/>
      <c r="D296" s="56">
        <f t="shared" ref="D296:I296" si="207">SUM(D297:D310)</f>
        <v>92494</v>
      </c>
      <c r="E296" s="56">
        <f t="shared" si="207"/>
        <v>93260</v>
      </c>
      <c r="F296" s="56">
        <f t="shared" si="207"/>
        <v>93423</v>
      </c>
      <c r="G296" s="56">
        <f t="shared" si="207"/>
        <v>94029</v>
      </c>
      <c r="H296" s="56">
        <f t="shared" si="207"/>
        <v>94362</v>
      </c>
      <c r="I296" s="56">
        <f t="shared" si="207"/>
        <v>93180</v>
      </c>
      <c r="J296" s="56">
        <f t="shared" ref="J296:K296" si="208">SUM(J297:J310)</f>
        <v>92313</v>
      </c>
      <c r="K296" s="56">
        <f t="shared" si="208"/>
        <v>94390</v>
      </c>
      <c r="L296" s="56">
        <f t="shared" ref="L296" si="209">SUM(L297:L310)</f>
        <v>95026</v>
      </c>
    </row>
    <row r="297" spans="1:19" s="53" customFormat="1">
      <c r="A297" s="50">
        <v>1</v>
      </c>
      <c r="B297" s="51" t="s">
        <v>7303</v>
      </c>
      <c r="C297" s="4" t="s">
        <v>386</v>
      </c>
      <c r="D297" s="56">
        <v>4403</v>
      </c>
      <c r="E297" s="56">
        <v>4520</v>
      </c>
      <c r="F297" s="56">
        <v>4590</v>
      </c>
      <c r="G297" s="30">
        <v>4656</v>
      </c>
      <c r="H297" s="30">
        <v>4671</v>
      </c>
      <c r="I297" s="30">
        <v>4601</v>
      </c>
      <c r="J297" s="30">
        <v>4438</v>
      </c>
      <c r="K297" s="30">
        <v>4573</v>
      </c>
      <c r="L297" s="30">
        <v>4537</v>
      </c>
      <c r="N297" s="51" t="s">
        <v>7169</v>
      </c>
      <c r="Q297" s="4"/>
      <c r="S297" s="4"/>
    </row>
    <row r="298" spans="1:19" s="53" customFormat="1">
      <c r="A298" s="50">
        <v>2</v>
      </c>
      <c r="B298" s="51" t="s">
        <v>7304</v>
      </c>
      <c r="C298" s="4" t="s">
        <v>387</v>
      </c>
      <c r="D298" s="56">
        <v>4852</v>
      </c>
      <c r="E298" s="56">
        <v>4918</v>
      </c>
      <c r="F298" s="56">
        <v>4931</v>
      </c>
      <c r="G298" s="30">
        <v>4987</v>
      </c>
      <c r="H298" s="30">
        <v>4936</v>
      </c>
      <c r="I298" s="30">
        <v>4790</v>
      </c>
      <c r="J298" s="30">
        <v>4679</v>
      </c>
      <c r="K298" s="30">
        <v>4749</v>
      </c>
      <c r="L298" s="30">
        <v>4781</v>
      </c>
      <c r="N298" s="51" t="s">
        <v>7169</v>
      </c>
      <c r="Q298" s="4"/>
      <c r="S298" s="4"/>
    </row>
    <row r="299" spans="1:19" s="53" customFormat="1">
      <c r="A299" s="50">
        <v>3</v>
      </c>
      <c r="B299" s="51" t="s">
        <v>7305</v>
      </c>
      <c r="C299" s="4" t="s">
        <v>388</v>
      </c>
      <c r="D299" s="56">
        <v>7074</v>
      </c>
      <c r="E299" s="56">
        <v>7161</v>
      </c>
      <c r="F299" s="56">
        <v>7152</v>
      </c>
      <c r="G299" s="30">
        <v>7140</v>
      </c>
      <c r="H299" s="30">
        <v>7201</v>
      </c>
      <c r="I299" s="30">
        <v>7130</v>
      </c>
      <c r="J299" s="30">
        <v>7091</v>
      </c>
      <c r="K299" s="30">
        <v>7365</v>
      </c>
      <c r="L299" s="30">
        <v>7436</v>
      </c>
      <c r="N299" s="51" t="s">
        <v>7169</v>
      </c>
      <c r="Q299" s="4"/>
      <c r="S299" s="4"/>
    </row>
    <row r="300" spans="1:19" s="53" customFormat="1">
      <c r="A300" s="50">
        <v>4</v>
      </c>
      <c r="B300" s="51" t="s">
        <v>7306</v>
      </c>
      <c r="C300" s="4" t="s">
        <v>389</v>
      </c>
      <c r="D300" s="56">
        <v>4997</v>
      </c>
      <c r="E300" s="56">
        <v>5042</v>
      </c>
      <c r="F300" s="56">
        <v>5029</v>
      </c>
      <c r="G300" s="30">
        <v>4999</v>
      </c>
      <c r="H300" s="30">
        <v>5020</v>
      </c>
      <c r="I300" s="30">
        <v>4909</v>
      </c>
      <c r="J300" s="30">
        <v>4844</v>
      </c>
      <c r="K300" s="30">
        <v>4902</v>
      </c>
      <c r="L300" s="30">
        <v>4925</v>
      </c>
      <c r="N300" s="51" t="s">
        <v>7169</v>
      </c>
      <c r="Q300" s="4"/>
      <c r="S300" s="4"/>
    </row>
    <row r="301" spans="1:19" s="53" customFormat="1">
      <c r="A301" s="50">
        <v>5</v>
      </c>
      <c r="B301" s="51" t="s">
        <v>7307</v>
      </c>
      <c r="C301" s="4" t="s">
        <v>390</v>
      </c>
      <c r="D301" s="56">
        <v>7354</v>
      </c>
      <c r="E301" s="56">
        <v>7411</v>
      </c>
      <c r="F301" s="56">
        <v>7423</v>
      </c>
      <c r="G301" s="30">
        <v>7484</v>
      </c>
      <c r="H301" s="30">
        <v>7488</v>
      </c>
      <c r="I301" s="30">
        <v>7340</v>
      </c>
      <c r="J301" s="30">
        <v>7272</v>
      </c>
      <c r="K301" s="30">
        <v>7373</v>
      </c>
      <c r="L301" s="30">
        <v>7356</v>
      </c>
      <c r="N301" s="51" t="s">
        <v>7171</v>
      </c>
      <c r="Q301" s="4"/>
      <c r="S301" s="4"/>
    </row>
    <row r="302" spans="1:19" s="53" customFormat="1">
      <c r="A302" s="50">
        <v>6</v>
      </c>
      <c r="B302" s="51" t="s">
        <v>5499</v>
      </c>
      <c r="C302" s="4" t="s">
        <v>391</v>
      </c>
      <c r="D302" s="56">
        <v>7776</v>
      </c>
      <c r="E302" s="56">
        <v>7860</v>
      </c>
      <c r="F302" s="56">
        <v>7820</v>
      </c>
      <c r="G302" s="30">
        <v>7880</v>
      </c>
      <c r="H302" s="30">
        <v>8050</v>
      </c>
      <c r="I302" s="30">
        <v>8007</v>
      </c>
      <c r="J302" s="30">
        <v>8093</v>
      </c>
      <c r="K302" s="30">
        <v>8127</v>
      </c>
      <c r="L302" s="30">
        <v>8079</v>
      </c>
      <c r="N302" s="51" t="s">
        <v>7169</v>
      </c>
      <c r="Q302" s="4"/>
      <c r="S302" s="4"/>
    </row>
    <row r="303" spans="1:19" s="53" customFormat="1">
      <c r="A303" s="50">
        <v>7</v>
      </c>
      <c r="B303" s="51" t="s">
        <v>5500</v>
      </c>
      <c r="C303" s="4" t="s">
        <v>392</v>
      </c>
      <c r="D303" s="56">
        <v>7486</v>
      </c>
      <c r="E303" s="56">
        <v>7529</v>
      </c>
      <c r="F303" s="56">
        <v>7515</v>
      </c>
      <c r="G303" s="30">
        <v>7587</v>
      </c>
      <c r="H303" s="30">
        <v>7678</v>
      </c>
      <c r="I303" s="30">
        <v>7563</v>
      </c>
      <c r="J303" s="30">
        <v>7402</v>
      </c>
      <c r="K303" s="30">
        <v>7497</v>
      </c>
      <c r="L303" s="30">
        <v>7548</v>
      </c>
      <c r="N303" s="51" t="s">
        <v>7171</v>
      </c>
      <c r="Q303" s="4"/>
      <c r="S303" s="4"/>
    </row>
    <row r="304" spans="1:19" s="53" customFormat="1">
      <c r="A304" s="50">
        <v>8</v>
      </c>
      <c r="B304" s="51" t="s">
        <v>5501</v>
      </c>
      <c r="C304" s="4" t="s">
        <v>393</v>
      </c>
      <c r="D304" s="56">
        <v>7277</v>
      </c>
      <c r="E304" s="56">
        <v>7313</v>
      </c>
      <c r="F304" s="56">
        <v>7341</v>
      </c>
      <c r="G304" s="30">
        <v>7382</v>
      </c>
      <c r="H304" s="30">
        <v>7334</v>
      </c>
      <c r="I304" s="30">
        <v>7258</v>
      </c>
      <c r="J304" s="30">
        <v>7118</v>
      </c>
      <c r="K304" s="30">
        <v>7411</v>
      </c>
      <c r="L304" s="30">
        <v>7518</v>
      </c>
      <c r="N304" s="51" t="s">
        <v>7169</v>
      </c>
      <c r="Q304" s="4"/>
      <c r="S304" s="4"/>
    </row>
    <row r="305" spans="1:19" s="53" customFormat="1">
      <c r="A305" s="50">
        <v>9</v>
      </c>
      <c r="B305" s="51" t="s">
        <v>5502</v>
      </c>
      <c r="C305" s="4" t="s">
        <v>394</v>
      </c>
      <c r="D305" s="56">
        <v>6855</v>
      </c>
      <c r="E305" s="56">
        <v>6901</v>
      </c>
      <c r="F305" s="56">
        <v>6878</v>
      </c>
      <c r="G305" s="30">
        <v>6923</v>
      </c>
      <c r="H305" s="30">
        <v>6890</v>
      </c>
      <c r="I305" s="30">
        <v>6867</v>
      </c>
      <c r="J305" s="30">
        <v>6799</v>
      </c>
      <c r="K305" s="30">
        <v>6850</v>
      </c>
      <c r="L305" s="30">
        <v>6930</v>
      </c>
      <c r="N305" s="51" t="s">
        <v>7169</v>
      </c>
      <c r="Q305" s="4"/>
      <c r="S305" s="4"/>
    </row>
    <row r="306" spans="1:19" s="53" customFormat="1">
      <c r="A306" s="50">
        <v>10</v>
      </c>
      <c r="B306" s="51" t="s">
        <v>5503</v>
      </c>
      <c r="C306" s="4" t="s">
        <v>395</v>
      </c>
      <c r="D306" s="56">
        <v>7242</v>
      </c>
      <c r="E306" s="56">
        <v>7297</v>
      </c>
      <c r="F306" s="56">
        <v>7383</v>
      </c>
      <c r="G306" s="30">
        <v>7405</v>
      </c>
      <c r="H306" s="30">
        <v>7415</v>
      </c>
      <c r="I306" s="30">
        <v>7390</v>
      </c>
      <c r="J306" s="30">
        <v>7340</v>
      </c>
      <c r="K306" s="30">
        <v>7458</v>
      </c>
      <c r="L306" s="30">
        <v>7488</v>
      </c>
      <c r="N306" s="51" t="s">
        <v>7169</v>
      </c>
      <c r="Q306" s="4"/>
      <c r="S306" s="4"/>
    </row>
    <row r="307" spans="1:19" s="53" customFormat="1">
      <c r="A307" s="50">
        <v>11</v>
      </c>
      <c r="B307" s="51" t="s">
        <v>5504</v>
      </c>
      <c r="C307" s="4" t="s">
        <v>396</v>
      </c>
      <c r="D307" s="56">
        <v>7109</v>
      </c>
      <c r="E307" s="56">
        <v>7076</v>
      </c>
      <c r="F307" s="56">
        <v>7125</v>
      </c>
      <c r="G307" s="30">
        <v>7186</v>
      </c>
      <c r="H307" s="30">
        <v>7161</v>
      </c>
      <c r="I307" s="30">
        <v>7088</v>
      </c>
      <c r="J307" s="30">
        <v>7231</v>
      </c>
      <c r="K307" s="30">
        <v>7626</v>
      </c>
      <c r="L307" s="30">
        <v>7671</v>
      </c>
      <c r="N307" s="51" t="s">
        <v>7169</v>
      </c>
      <c r="Q307" s="4"/>
      <c r="S307" s="4"/>
    </row>
    <row r="308" spans="1:19" s="53" customFormat="1">
      <c r="A308" s="50">
        <v>12</v>
      </c>
      <c r="B308" s="51" t="s">
        <v>5505</v>
      </c>
      <c r="C308" s="4" t="s">
        <v>397</v>
      </c>
      <c r="D308" s="56">
        <v>7430</v>
      </c>
      <c r="E308" s="56">
        <v>7412</v>
      </c>
      <c r="F308" s="56">
        <v>7448</v>
      </c>
      <c r="G308" s="30">
        <v>7444</v>
      </c>
      <c r="H308" s="30">
        <v>7504</v>
      </c>
      <c r="I308" s="30">
        <v>7413</v>
      </c>
      <c r="J308" s="30">
        <v>7234</v>
      </c>
      <c r="K308" s="30">
        <v>7472</v>
      </c>
      <c r="L308" s="30">
        <v>7601</v>
      </c>
      <c r="N308" s="51" t="s">
        <v>7169</v>
      </c>
      <c r="Q308" s="4"/>
      <c r="S308" s="4"/>
    </row>
    <row r="309" spans="1:19" s="53" customFormat="1">
      <c r="A309" s="50">
        <v>13</v>
      </c>
      <c r="B309" s="51" t="s">
        <v>5506</v>
      </c>
      <c r="C309" s="4" t="s">
        <v>398</v>
      </c>
      <c r="D309" s="56">
        <v>4989</v>
      </c>
      <c r="E309" s="56">
        <v>5068</v>
      </c>
      <c r="F309" s="56">
        <v>5051</v>
      </c>
      <c r="G309" s="30">
        <v>5135</v>
      </c>
      <c r="H309" s="30">
        <v>5094</v>
      </c>
      <c r="I309" s="30">
        <v>4918</v>
      </c>
      <c r="J309" s="30">
        <v>4845</v>
      </c>
      <c r="K309" s="30">
        <v>4960</v>
      </c>
      <c r="L309" s="30">
        <v>4995</v>
      </c>
      <c r="N309" s="51" t="s">
        <v>7169</v>
      </c>
      <c r="Q309" s="4"/>
      <c r="S309" s="4"/>
    </row>
    <row r="310" spans="1:19" s="53" customFormat="1">
      <c r="A310" s="50">
        <v>14</v>
      </c>
      <c r="B310" s="51" t="s">
        <v>1201</v>
      </c>
      <c r="C310" s="4" t="s">
        <v>399</v>
      </c>
      <c r="D310" s="56">
        <v>7650</v>
      </c>
      <c r="E310" s="56">
        <v>7752</v>
      </c>
      <c r="F310" s="56">
        <v>7737</v>
      </c>
      <c r="G310" s="30">
        <v>7821</v>
      </c>
      <c r="H310" s="30">
        <v>7920</v>
      </c>
      <c r="I310" s="30">
        <v>7906</v>
      </c>
      <c r="J310" s="30">
        <v>7927</v>
      </c>
      <c r="K310" s="30">
        <v>8027</v>
      </c>
      <c r="L310" s="30">
        <v>8161</v>
      </c>
      <c r="N310" s="51" t="s">
        <v>7171</v>
      </c>
      <c r="Q310" s="4"/>
      <c r="S310" s="4"/>
    </row>
    <row r="311" spans="1:19" s="53" customFormat="1">
      <c r="C311" s="52"/>
      <c r="D311" s="58"/>
      <c r="E311" s="58"/>
      <c r="F311" s="58"/>
      <c r="G311" s="58"/>
      <c r="H311" s="568"/>
      <c r="I311" s="568"/>
      <c r="J311" s="568"/>
      <c r="K311" s="568"/>
      <c r="L311" s="568"/>
    </row>
    <row r="312" spans="1:19" s="53" customFormat="1">
      <c r="A312" s="51" t="s">
        <v>7169</v>
      </c>
      <c r="C312" s="52"/>
      <c r="D312" s="56">
        <f t="shared" ref="D312:I312" si="210">SUM(D297:D300)+D302+SUM(D304:D309)</f>
        <v>70004</v>
      </c>
      <c r="E312" s="56">
        <f t="shared" si="210"/>
        <v>70568</v>
      </c>
      <c r="F312" s="56">
        <f t="shared" si="210"/>
        <v>70748</v>
      </c>
      <c r="G312" s="56">
        <f t="shared" si="210"/>
        <v>71137</v>
      </c>
      <c r="H312" s="56">
        <f t="shared" si="210"/>
        <v>71276</v>
      </c>
      <c r="I312" s="56">
        <f t="shared" si="210"/>
        <v>70371</v>
      </c>
      <c r="J312" s="56">
        <f t="shared" ref="J312:K312" si="211">SUM(J297:J300)+J302+SUM(J304:J309)</f>
        <v>69712</v>
      </c>
      <c r="K312" s="56">
        <f t="shared" si="211"/>
        <v>71493</v>
      </c>
      <c r="L312" s="56">
        <f t="shared" ref="L312" si="212">SUM(L297:L300)+L302+SUM(L304:L309)</f>
        <v>71961</v>
      </c>
    </row>
    <row r="313" spans="1:19" s="53" customFormat="1">
      <c r="A313" s="51" t="s">
        <v>2041</v>
      </c>
      <c r="C313" s="52"/>
      <c r="D313" s="56">
        <f t="shared" ref="D313:I313" si="213">D301+D303+D310</f>
        <v>22490</v>
      </c>
      <c r="E313" s="56">
        <f t="shared" si="213"/>
        <v>22692</v>
      </c>
      <c r="F313" s="56">
        <f t="shared" si="213"/>
        <v>22675</v>
      </c>
      <c r="G313" s="56">
        <f t="shared" si="213"/>
        <v>22892</v>
      </c>
      <c r="H313" s="56">
        <f t="shared" si="213"/>
        <v>23086</v>
      </c>
      <c r="I313" s="56">
        <f t="shared" si="213"/>
        <v>22809</v>
      </c>
      <c r="J313" s="56">
        <f t="shared" ref="J313:K313" si="214">J301+J303+J310</f>
        <v>22601</v>
      </c>
      <c r="K313" s="56">
        <f t="shared" si="214"/>
        <v>22897</v>
      </c>
      <c r="L313" s="56">
        <f t="shared" ref="L313" si="215">L301+L303+L310</f>
        <v>23065</v>
      </c>
    </row>
    <row r="314" spans="1:19" s="53" customFormat="1">
      <c r="A314" s="51"/>
      <c r="C314" s="52"/>
      <c r="D314" s="56"/>
      <c r="E314" s="56"/>
      <c r="F314" s="56"/>
      <c r="G314" s="56"/>
      <c r="H314" s="56"/>
      <c r="I314" s="56"/>
      <c r="J314" s="56"/>
      <c r="K314" s="56"/>
      <c r="L314" s="56"/>
    </row>
    <row r="315" spans="1:19" s="53" customFormat="1">
      <c r="A315" s="51" t="s">
        <v>5507</v>
      </c>
      <c r="C315" s="52"/>
      <c r="D315" s="56"/>
      <c r="E315" s="56"/>
      <c r="F315" s="56"/>
      <c r="G315" s="56"/>
      <c r="H315" s="56"/>
      <c r="I315" s="56"/>
      <c r="J315" s="56"/>
      <c r="K315" s="56"/>
      <c r="L315" s="56"/>
    </row>
    <row r="316" spans="1:19" s="53" customFormat="1">
      <c r="A316" s="51"/>
      <c r="B316" s="51"/>
      <c r="C316" s="52"/>
      <c r="D316" s="69"/>
      <c r="E316" s="69"/>
      <c r="F316" s="69"/>
      <c r="G316" s="69"/>
      <c r="H316" s="69"/>
      <c r="I316" s="69"/>
      <c r="J316" s="69"/>
      <c r="K316" s="69"/>
      <c r="L316" s="69"/>
    </row>
    <row r="317" spans="1:19" s="53" customFormat="1">
      <c r="A317" s="51"/>
      <c r="B317" s="51"/>
      <c r="C317" s="52"/>
      <c r="D317" s="69"/>
      <c r="E317" s="69"/>
      <c r="F317" s="69"/>
      <c r="G317" s="69"/>
      <c r="H317" s="69"/>
      <c r="I317" s="69"/>
      <c r="J317" s="69"/>
      <c r="K317" s="69"/>
      <c r="L317" s="69"/>
    </row>
    <row r="318" spans="1:19" s="53" customFormat="1">
      <c r="C318" s="52"/>
      <c r="E318" s="42" t="s">
        <v>2303</v>
      </c>
      <c r="F318" s="42"/>
      <c r="G318" s="42"/>
      <c r="H318" s="42"/>
      <c r="I318" s="42"/>
      <c r="J318" s="42"/>
      <c r="K318" s="42"/>
      <c r="L318" s="42"/>
      <c r="M318" s="65"/>
      <c r="N318" s="66" t="s">
        <v>13319</v>
      </c>
    </row>
    <row r="319" spans="1:19" s="53" customFormat="1">
      <c r="C319" s="52"/>
      <c r="D319" s="55">
        <v>2010</v>
      </c>
      <c r="E319" s="55">
        <v>2011</v>
      </c>
      <c r="F319" s="55">
        <v>2012</v>
      </c>
      <c r="G319" s="55">
        <v>2013</v>
      </c>
      <c r="H319" s="55">
        <v>2014</v>
      </c>
      <c r="I319" s="55">
        <v>2015</v>
      </c>
      <c r="J319" s="55">
        <v>2016</v>
      </c>
      <c r="K319" s="55">
        <v>2017</v>
      </c>
      <c r="L319" s="55">
        <v>2018</v>
      </c>
      <c r="M319" s="65"/>
      <c r="N319" s="67" t="s">
        <v>2304</v>
      </c>
    </row>
    <row r="320" spans="1:19" s="53" customFormat="1">
      <c r="A320" s="51" t="s">
        <v>5508</v>
      </c>
      <c r="C320" s="52"/>
      <c r="D320" s="56">
        <f t="shared" ref="D320:I320" si="216">SUM(D321:D354)</f>
        <v>141194</v>
      </c>
      <c r="E320" s="56">
        <f t="shared" si="216"/>
        <v>142529</v>
      </c>
      <c r="F320" s="56">
        <f t="shared" si="216"/>
        <v>142229</v>
      </c>
      <c r="G320" s="56">
        <f t="shared" si="216"/>
        <v>142509</v>
      </c>
      <c r="H320" s="56">
        <f t="shared" si="216"/>
        <v>142854</v>
      </c>
      <c r="I320" s="56">
        <f t="shared" si="216"/>
        <v>140768</v>
      </c>
      <c r="J320" s="56">
        <f t="shared" ref="J320:K320" si="217">SUM(J321:J354)</f>
        <v>137973</v>
      </c>
      <c r="K320" s="56">
        <f t="shared" si="217"/>
        <v>140440</v>
      </c>
      <c r="L320" s="56">
        <f t="shared" ref="L320" si="218">SUM(L321:L354)</f>
        <v>140815</v>
      </c>
      <c r="M320" s="69"/>
    </row>
    <row r="321" spans="1:19" s="53" customFormat="1">
      <c r="A321" s="51" t="s">
        <v>6957</v>
      </c>
      <c r="B321" s="51" t="s">
        <v>5509</v>
      </c>
      <c r="C321" s="4" t="s">
        <v>400</v>
      </c>
      <c r="D321" s="56">
        <v>4813</v>
      </c>
      <c r="E321" s="56">
        <v>4866</v>
      </c>
      <c r="F321" s="56">
        <v>4797</v>
      </c>
      <c r="G321" s="56">
        <v>4758</v>
      </c>
      <c r="H321" s="30">
        <v>4793</v>
      </c>
      <c r="I321" s="30">
        <v>4763</v>
      </c>
      <c r="J321" s="30">
        <v>4702</v>
      </c>
      <c r="K321" s="30">
        <v>4749</v>
      </c>
      <c r="L321" s="30">
        <v>4701</v>
      </c>
      <c r="N321" s="51" t="s">
        <v>7173</v>
      </c>
      <c r="O321" s="70"/>
      <c r="Q321" s="4"/>
      <c r="S321" s="4"/>
    </row>
    <row r="322" spans="1:19" s="53" customFormat="1">
      <c r="A322" s="51" t="s">
        <v>6959</v>
      </c>
      <c r="B322" s="51" t="s">
        <v>5807</v>
      </c>
      <c r="C322" s="4" t="s">
        <v>401</v>
      </c>
      <c r="D322" s="56">
        <v>4832</v>
      </c>
      <c r="E322" s="56">
        <v>4886</v>
      </c>
      <c r="F322" s="56">
        <v>4828</v>
      </c>
      <c r="G322" s="56">
        <v>4851</v>
      </c>
      <c r="H322" s="31">
        <v>4887</v>
      </c>
      <c r="I322" s="31">
        <v>4847</v>
      </c>
      <c r="J322" s="31">
        <v>4809</v>
      </c>
      <c r="K322" s="31">
        <v>4902</v>
      </c>
      <c r="L322" s="31">
        <v>4857</v>
      </c>
      <c r="N322" s="51" t="s">
        <v>7175</v>
      </c>
      <c r="O322" s="71"/>
      <c r="Q322" s="4"/>
      <c r="S322" s="4"/>
    </row>
    <row r="323" spans="1:19" s="53" customFormat="1">
      <c r="A323" s="51" t="s">
        <v>6961</v>
      </c>
      <c r="B323" s="51" t="s">
        <v>5557</v>
      </c>
      <c r="C323" s="4" t="s">
        <v>402</v>
      </c>
      <c r="D323" s="56">
        <v>2291</v>
      </c>
      <c r="E323" s="56">
        <v>2311</v>
      </c>
      <c r="F323" s="56">
        <v>2292</v>
      </c>
      <c r="G323" s="56">
        <v>2283</v>
      </c>
      <c r="H323" s="31">
        <v>2283</v>
      </c>
      <c r="I323" s="31">
        <v>2245</v>
      </c>
      <c r="J323" s="31">
        <v>2209</v>
      </c>
      <c r="K323" s="31">
        <v>2255</v>
      </c>
      <c r="L323" s="31">
        <v>2256</v>
      </c>
      <c r="N323" s="51" t="s">
        <v>7175</v>
      </c>
      <c r="O323" s="71"/>
      <c r="Q323" s="4"/>
      <c r="S323" s="4"/>
    </row>
    <row r="324" spans="1:19" s="53" customFormat="1">
      <c r="A324" s="51" t="s">
        <v>6963</v>
      </c>
      <c r="B324" s="51" t="s">
        <v>5558</v>
      </c>
      <c r="C324" s="4" t="s">
        <v>403</v>
      </c>
      <c r="D324" s="56">
        <v>4195</v>
      </c>
      <c r="E324" s="56">
        <v>4181</v>
      </c>
      <c r="F324" s="56">
        <v>4156</v>
      </c>
      <c r="G324" s="56">
        <v>4192</v>
      </c>
      <c r="H324" s="31">
        <v>4174</v>
      </c>
      <c r="I324" s="31">
        <v>4098</v>
      </c>
      <c r="J324" s="31">
        <v>3975</v>
      </c>
      <c r="K324" s="31">
        <v>4022</v>
      </c>
      <c r="L324" s="31">
        <v>4063</v>
      </c>
      <c r="N324" s="51" t="s">
        <v>7175</v>
      </c>
      <c r="O324" s="71"/>
      <c r="Q324" s="4"/>
      <c r="S324" s="4"/>
    </row>
    <row r="325" spans="1:19" s="53" customFormat="1">
      <c r="A325" s="50">
        <v>5</v>
      </c>
      <c r="B325" s="51" t="s">
        <v>5559</v>
      </c>
      <c r="C325" s="4" t="s">
        <v>404</v>
      </c>
      <c r="D325" s="68">
        <v>4363</v>
      </c>
      <c r="E325" s="68">
        <v>4398</v>
      </c>
      <c r="F325" s="68">
        <v>4429</v>
      </c>
      <c r="G325" s="68">
        <v>4472</v>
      </c>
      <c r="H325" s="30">
        <v>4515</v>
      </c>
      <c r="I325" s="30">
        <v>4475</v>
      </c>
      <c r="J325" s="30">
        <v>4418</v>
      </c>
      <c r="K325" s="30">
        <v>4472</v>
      </c>
      <c r="L325" s="30">
        <v>4514</v>
      </c>
      <c r="N325" s="51" t="s">
        <v>7173</v>
      </c>
      <c r="O325" s="70"/>
      <c r="Q325" s="4"/>
      <c r="S325" s="4"/>
    </row>
    <row r="326" spans="1:19" s="53" customFormat="1">
      <c r="A326" s="50">
        <v>6</v>
      </c>
      <c r="B326" s="51" t="s">
        <v>5560</v>
      </c>
      <c r="C326" s="4" t="s">
        <v>405</v>
      </c>
      <c r="D326" s="56">
        <v>2174</v>
      </c>
      <c r="E326" s="56">
        <v>2185</v>
      </c>
      <c r="F326" s="56">
        <v>2189</v>
      </c>
      <c r="G326" s="56">
        <v>2174</v>
      </c>
      <c r="H326" s="30">
        <v>2184</v>
      </c>
      <c r="I326" s="30">
        <v>2155</v>
      </c>
      <c r="J326" s="30">
        <v>2124</v>
      </c>
      <c r="K326" s="30">
        <v>2152</v>
      </c>
      <c r="L326" s="30">
        <v>2133</v>
      </c>
      <c r="N326" s="51" t="s">
        <v>7173</v>
      </c>
      <c r="O326" s="70"/>
      <c r="Q326" s="4"/>
      <c r="S326" s="4"/>
    </row>
    <row r="327" spans="1:19" s="53" customFormat="1">
      <c r="A327" s="50">
        <v>7</v>
      </c>
      <c r="B327" s="51" t="s">
        <v>13312</v>
      </c>
      <c r="C327" s="4" t="s">
        <v>406</v>
      </c>
      <c r="D327" s="56">
        <v>4655</v>
      </c>
      <c r="E327" s="56">
        <v>4647</v>
      </c>
      <c r="F327" s="56">
        <v>4688</v>
      </c>
      <c r="G327" s="56">
        <v>4645</v>
      </c>
      <c r="H327" s="31">
        <v>4639</v>
      </c>
      <c r="I327" s="31">
        <v>4547</v>
      </c>
      <c r="J327" s="31">
        <v>4470</v>
      </c>
      <c r="K327" s="31">
        <v>4506</v>
      </c>
      <c r="L327" s="31">
        <v>4515</v>
      </c>
      <c r="N327" s="51" t="s">
        <v>7175</v>
      </c>
      <c r="O327" s="71"/>
      <c r="Q327" s="4"/>
      <c r="S327" s="4"/>
    </row>
    <row r="328" spans="1:19" s="53" customFormat="1">
      <c r="A328" s="51" t="s">
        <v>7001</v>
      </c>
      <c r="B328" s="51" t="s">
        <v>5561</v>
      </c>
      <c r="C328" s="4" t="s">
        <v>407</v>
      </c>
      <c r="D328" s="56">
        <v>4642</v>
      </c>
      <c r="E328" s="56">
        <v>4687</v>
      </c>
      <c r="F328" s="56">
        <v>4655</v>
      </c>
      <c r="G328" s="56">
        <v>4606</v>
      </c>
      <c r="H328" s="30">
        <v>4624</v>
      </c>
      <c r="I328" s="30">
        <v>4558</v>
      </c>
      <c r="J328" s="30">
        <v>4404</v>
      </c>
      <c r="K328" s="30">
        <v>4507</v>
      </c>
      <c r="L328" s="30">
        <v>4470</v>
      </c>
      <c r="N328" s="51" t="s">
        <v>7173</v>
      </c>
      <c r="O328" s="70"/>
      <c r="Q328" s="4"/>
      <c r="S328" s="4"/>
    </row>
    <row r="329" spans="1:19" s="53" customFormat="1">
      <c r="A329" s="51" t="s">
        <v>7003</v>
      </c>
      <c r="B329" s="51" t="s">
        <v>5562</v>
      </c>
      <c r="C329" s="4" t="s">
        <v>408</v>
      </c>
      <c r="D329" s="56">
        <v>2642</v>
      </c>
      <c r="E329" s="56">
        <v>2679</v>
      </c>
      <c r="F329" s="56">
        <v>2671</v>
      </c>
      <c r="G329" s="56">
        <v>2704</v>
      </c>
      <c r="H329" s="31">
        <v>2711</v>
      </c>
      <c r="I329" s="31">
        <v>2650</v>
      </c>
      <c r="J329" s="31">
        <v>2579</v>
      </c>
      <c r="K329" s="31">
        <v>2627</v>
      </c>
      <c r="L329" s="31">
        <v>2575</v>
      </c>
      <c r="N329" s="51" t="s">
        <v>7175</v>
      </c>
      <c r="O329" s="71"/>
      <c r="Q329" s="4"/>
      <c r="S329" s="4"/>
    </row>
    <row r="330" spans="1:19" s="53" customFormat="1">
      <c r="A330" s="50">
        <v>10</v>
      </c>
      <c r="B330" s="51" t="s">
        <v>5563</v>
      </c>
      <c r="C330" s="4" t="s">
        <v>409</v>
      </c>
      <c r="D330" s="56">
        <v>5183</v>
      </c>
      <c r="E330" s="56">
        <v>5259</v>
      </c>
      <c r="F330" s="56">
        <v>5204</v>
      </c>
      <c r="G330" s="56">
        <v>5165</v>
      </c>
      <c r="H330" s="30">
        <v>5099</v>
      </c>
      <c r="I330" s="30">
        <v>5024</v>
      </c>
      <c r="J330" s="30">
        <v>4959</v>
      </c>
      <c r="K330" s="30">
        <v>5041</v>
      </c>
      <c r="L330" s="30">
        <v>5051</v>
      </c>
      <c r="N330" s="51" t="s">
        <v>7173</v>
      </c>
      <c r="O330" s="70"/>
      <c r="Q330" s="4"/>
      <c r="S330" s="4"/>
    </row>
    <row r="331" spans="1:19" s="53" customFormat="1">
      <c r="A331" s="50">
        <v>11</v>
      </c>
      <c r="B331" s="51" t="s">
        <v>5564</v>
      </c>
      <c r="C331" s="4" t="s">
        <v>410</v>
      </c>
      <c r="D331" s="56">
        <v>4538</v>
      </c>
      <c r="E331" s="56">
        <v>4565</v>
      </c>
      <c r="F331" s="56">
        <v>4558</v>
      </c>
      <c r="G331" s="56">
        <v>4625</v>
      </c>
      <c r="H331" s="30">
        <v>4637</v>
      </c>
      <c r="I331" s="30">
        <v>4568</v>
      </c>
      <c r="J331" s="30">
        <v>4496</v>
      </c>
      <c r="K331" s="30">
        <v>4558</v>
      </c>
      <c r="L331" s="30">
        <v>4566</v>
      </c>
      <c r="N331" s="51" t="s">
        <v>7173</v>
      </c>
      <c r="O331" s="70"/>
      <c r="Q331" s="4"/>
      <c r="S331" s="4"/>
    </row>
    <row r="332" spans="1:19" s="53" customFormat="1">
      <c r="A332" s="50">
        <v>12</v>
      </c>
      <c r="B332" s="51" t="s">
        <v>5565</v>
      </c>
      <c r="C332" s="4" t="s">
        <v>13043</v>
      </c>
      <c r="D332" s="56">
        <v>2387</v>
      </c>
      <c r="E332" s="56">
        <v>2387</v>
      </c>
      <c r="F332" s="56">
        <v>2380</v>
      </c>
      <c r="G332" s="56">
        <v>2416</v>
      </c>
      <c r="H332" s="31">
        <v>2443</v>
      </c>
      <c r="I332" s="31">
        <v>2409</v>
      </c>
      <c r="J332" s="31">
        <v>2350</v>
      </c>
      <c r="K332" s="31">
        <v>2410</v>
      </c>
      <c r="L332" s="31">
        <v>2429</v>
      </c>
      <c r="N332" s="51" t="s">
        <v>7175</v>
      </c>
      <c r="O332" s="71"/>
      <c r="Q332" s="4"/>
      <c r="S332" s="4"/>
    </row>
    <row r="333" spans="1:19" s="53" customFormat="1">
      <c r="A333" s="51" t="s">
        <v>7011</v>
      </c>
      <c r="B333" s="51" t="s">
        <v>2150</v>
      </c>
      <c r="C333" s="4" t="s">
        <v>411</v>
      </c>
      <c r="D333" s="56">
        <v>5000</v>
      </c>
      <c r="E333" s="56">
        <v>4992</v>
      </c>
      <c r="F333" s="56">
        <v>4974</v>
      </c>
      <c r="G333" s="56">
        <v>4919</v>
      </c>
      <c r="H333" s="30">
        <v>4923</v>
      </c>
      <c r="I333" s="30">
        <v>4843</v>
      </c>
      <c r="J333" s="30">
        <v>4772</v>
      </c>
      <c r="K333" s="30">
        <v>4831</v>
      </c>
      <c r="L333" s="30">
        <v>4831</v>
      </c>
      <c r="N333" s="51" t="s">
        <v>7173</v>
      </c>
      <c r="O333" s="70"/>
      <c r="Q333" s="4"/>
      <c r="S333" s="4"/>
    </row>
    <row r="334" spans="1:19" s="53" customFormat="1">
      <c r="A334" s="51" t="s">
        <v>7013</v>
      </c>
      <c r="B334" s="51" t="s">
        <v>2151</v>
      </c>
      <c r="C334" s="4" t="s">
        <v>412</v>
      </c>
      <c r="D334" s="56">
        <v>4797</v>
      </c>
      <c r="E334" s="56">
        <v>4920</v>
      </c>
      <c r="F334" s="56">
        <v>4918</v>
      </c>
      <c r="G334" s="56">
        <v>4906</v>
      </c>
      <c r="H334" s="31">
        <v>4957</v>
      </c>
      <c r="I334" s="31">
        <v>4846</v>
      </c>
      <c r="J334" s="31">
        <v>4720</v>
      </c>
      <c r="K334" s="31">
        <v>4845</v>
      </c>
      <c r="L334" s="31">
        <v>4860</v>
      </c>
      <c r="N334" s="51" t="s">
        <v>7175</v>
      </c>
      <c r="O334" s="71"/>
      <c r="Q334" s="4"/>
      <c r="S334" s="4"/>
    </row>
    <row r="335" spans="1:19" s="53" customFormat="1">
      <c r="A335" s="50">
        <v>15</v>
      </c>
      <c r="B335" s="51" t="s">
        <v>68</v>
      </c>
      <c r="C335" s="4" t="s">
        <v>13044</v>
      </c>
      <c r="D335" s="56">
        <v>5371</v>
      </c>
      <c r="E335" s="56">
        <v>5406</v>
      </c>
      <c r="F335" s="56">
        <v>5436</v>
      </c>
      <c r="G335" s="56">
        <v>5423</v>
      </c>
      <c r="H335" s="31">
        <v>5394</v>
      </c>
      <c r="I335" s="31">
        <v>5286</v>
      </c>
      <c r="J335" s="31">
        <v>5237</v>
      </c>
      <c r="K335" s="31">
        <v>5332</v>
      </c>
      <c r="L335" s="31">
        <v>5286</v>
      </c>
      <c r="N335" s="51" t="s">
        <v>7175</v>
      </c>
      <c r="O335" s="71"/>
      <c r="Q335" s="4"/>
      <c r="S335" s="4"/>
    </row>
    <row r="336" spans="1:19" s="53" customFormat="1">
      <c r="A336" s="50">
        <v>16</v>
      </c>
      <c r="B336" s="51" t="s">
        <v>69</v>
      </c>
      <c r="C336" s="4" t="s">
        <v>13045</v>
      </c>
      <c r="D336" s="56">
        <v>2124</v>
      </c>
      <c r="E336" s="56">
        <v>2100</v>
      </c>
      <c r="F336" s="56">
        <v>2154</v>
      </c>
      <c r="G336" s="56">
        <v>2127</v>
      </c>
      <c r="H336" s="31">
        <v>2134</v>
      </c>
      <c r="I336" s="31">
        <v>2096</v>
      </c>
      <c r="J336" s="31">
        <v>2055</v>
      </c>
      <c r="K336" s="31">
        <v>2107</v>
      </c>
      <c r="L336" s="31">
        <v>2114</v>
      </c>
      <c r="N336" s="51" t="s">
        <v>7175</v>
      </c>
      <c r="O336" s="71"/>
      <c r="Q336" s="4"/>
      <c r="S336" s="4"/>
    </row>
    <row r="337" spans="1:19" s="53" customFormat="1">
      <c r="A337" s="51" t="s">
        <v>7019</v>
      </c>
      <c r="B337" s="51" t="s">
        <v>70</v>
      </c>
      <c r="C337" s="4" t="s">
        <v>413</v>
      </c>
      <c r="D337" s="56">
        <v>2661</v>
      </c>
      <c r="E337" s="56">
        <v>2697</v>
      </c>
      <c r="F337" s="56">
        <v>2701</v>
      </c>
      <c r="G337" s="56">
        <v>2667</v>
      </c>
      <c r="H337" s="30">
        <v>2714</v>
      </c>
      <c r="I337" s="30">
        <v>2703</v>
      </c>
      <c r="J337" s="30">
        <v>2634</v>
      </c>
      <c r="K337" s="30">
        <v>2687</v>
      </c>
      <c r="L337" s="30">
        <v>2662</v>
      </c>
      <c r="N337" s="51" t="s">
        <v>7173</v>
      </c>
      <c r="O337" s="70"/>
      <c r="Q337" s="4"/>
      <c r="S337" s="4"/>
    </row>
    <row r="338" spans="1:19" s="53" customFormat="1">
      <c r="A338" s="51" t="s">
        <v>7021</v>
      </c>
      <c r="B338" s="51" t="s">
        <v>5569</v>
      </c>
      <c r="C338" s="4" t="s">
        <v>414</v>
      </c>
      <c r="D338" s="56">
        <v>5072</v>
      </c>
      <c r="E338" s="56">
        <v>5114</v>
      </c>
      <c r="F338" s="56">
        <v>5150</v>
      </c>
      <c r="G338" s="56">
        <v>5175</v>
      </c>
      <c r="H338" s="30">
        <v>5193</v>
      </c>
      <c r="I338" s="30">
        <v>5099</v>
      </c>
      <c r="J338" s="30">
        <v>4928</v>
      </c>
      <c r="K338" s="30">
        <v>5007</v>
      </c>
      <c r="L338" s="30">
        <v>5038</v>
      </c>
      <c r="N338" s="51" t="s">
        <v>7173</v>
      </c>
      <c r="O338" s="70"/>
      <c r="Q338" s="4"/>
      <c r="S338" s="4"/>
    </row>
    <row r="339" spans="1:19" s="53" customFormat="1">
      <c r="A339" s="51" t="s">
        <v>7023</v>
      </c>
      <c r="B339" s="51" t="s">
        <v>5570</v>
      </c>
      <c r="C339" s="4" t="s">
        <v>415</v>
      </c>
      <c r="D339" s="56">
        <v>4501</v>
      </c>
      <c r="E339" s="56">
        <v>4517</v>
      </c>
      <c r="F339" s="56">
        <v>4522</v>
      </c>
      <c r="G339" s="56">
        <v>4615</v>
      </c>
      <c r="H339" s="31">
        <v>4613</v>
      </c>
      <c r="I339" s="31">
        <v>4562</v>
      </c>
      <c r="J339" s="31">
        <v>4502</v>
      </c>
      <c r="K339" s="31">
        <v>4592</v>
      </c>
      <c r="L339" s="31">
        <v>4579</v>
      </c>
      <c r="N339" s="51" t="s">
        <v>7175</v>
      </c>
      <c r="O339" s="71"/>
      <c r="Q339" s="4"/>
      <c r="S339" s="4"/>
    </row>
    <row r="340" spans="1:19" s="53" customFormat="1">
      <c r="A340" s="51" t="s">
        <v>7025</v>
      </c>
      <c r="B340" s="51" t="s">
        <v>5571</v>
      </c>
      <c r="C340" s="4" t="s">
        <v>416</v>
      </c>
      <c r="D340" s="56">
        <v>5046</v>
      </c>
      <c r="E340" s="56">
        <v>5054</v>
      </c>
      <c r="F340" s="56">
        <v>5007</v>
      </c>
      <c r="G340" s="56">
        <v>4990</v>
      </c>
      <c r="H340" s="30">
        <v>5023</v>
      </c>
      <c r="I340" s="30">
        <v>4992</v>
      </c>
      <c r="J340" s="30">
        <v>4905</v>
      </c>
      <c r="K340" s="30">
        <v>5029</v>
      </c>
      <c r="L340" s="30">
        <v>5030</v>
      </c>
      <c r="N340" s="51" t="s">
        <v>7173</v>
      </c>
      <c r="O340" s="70"/>
      <c r="Q340" s="4"/>
      <c r="S340" s="4"/>
    </row>
    <row r="341" spans="1:19" s="53" customFormat="1">
      <c r="A341" s="51" t="s">
        <v>7570</v>
      </c>
      <c r="B341" s="51" t="s">
        <v>5572</v>
      </c>
      <c r="C341" s="4" t="s">
        <v>417</v>
      </c>
      <c r="D341" s="56">
        <v>4803</v>
      </c>
      <c r="E341" s="56">
        <v>4917</v>
      </c>
      <c r="F341" s="56">
        <v>4902</v>
      </c>
      <c r="G341" s="56">
        <v>4901</v>
      </c>
      <c r="H341" s="31">
        <v>4846</v>
      </c>
      <c r="I341" s="31">
        <v>4762</v>
      </c>
      <c r="J341" s="31">
        <v>4686</v>
      </c>
      <c r="K341" s="31">
        <v>4841</v>
      </c>
      <c r="L341" s="31">
        <v>4910</v>
      </c>
      <c r="N341" s="51" t="s">
        <v>7175</v>
      </c>
      <c r="O341" s="71"/>
      <c r="Q341" s="4"/>
      <c r="S341" s="4"/>
    </row>
    <row r="342" spans="1:19" s="53" customFormat="1">
      <c r="A342" s="51" t="s">
        <v>7572</v>
      </c>
      <c r="B342" s="51" t="s">
        <v>2152</v>
      </c>
      <c r="C342" s="4" t="s">
        <v>418</v>
      </c>
      <c r="D342" s="56">
        <v>2402</v>
      </c>
      <c r="E342" s="56">
        <v>2392</v>
      </c>
      <c r="F342" s="56">
        <v>2380</v>
      </c>
      <c r="G342" s="56">
        <v>2350</v>
      </c>
      <c r="H342" s="30">
        <v>2400</v>
      </c>
      <c r="I342" s="30">
        <v>2406</v>
      </c>
      <c r="J342" s="30">
        <v>2353</v>
      </c>
      <c r="K342" s="30">
        <v>2439</v>
      </c>
      <c r="L342" s="30">
        <v>2430</v>
      </c>
      <c r="N342" s="51" t="s">
        <v>7173</v>
      </c>
      <c r="O342" s="70"/>
      <c r="Q342" s="4"/>
      <c r="S342" s="4"/>
    </row>
    <row r="343" spans="1:19" s="53" customFormat="1">
      <c r="A343" s="51" t="s">
        <v>7573</v>
      </c>
      <c r="B343" s="51" t="s">
        <v>2153</v>
      </c>
      <c r="C343" s="4" t="s">
        <v>419</v>
      </c>
      <c r="D343" s="56">
        <v>4603</v>
      </c>
      <c r="E343" s="56">
        <v>4679</v>
      </c>
      <c r="F343" s="56">
        <v>4659</v>
      </c>
      <c r="G343" s="56">
        <v>4668</v>
      </c>
      <c r="H343" s="30">
        <v>4646</v>
      </c>
      <c r="I343" s="30">
        <v>4497</v>
      </c>
      <c r="J343" s="30">
        <v>4401</v>
      </c>
      <c r="K343" s="30">
        <v>4523</v>
      </c>
      <c r="L343" s="30">
        <v>4501</v>
      </c>
      <c r="N343" s="51" t="s">
        <v>7173</v>
      </c>
      <c r="O343" s="70"/>
      <c r="Q343" s="4"/>
      <c r="S343" s="4"/>
    </row>
    <row r="344" spans="1:19" s="53" customFormat="1">
      <c r="A344" s="51" t="s">
        <v>5798</v>
      </c>
      <c r="B344" s="51" t="s">
        <v>2154</v>
      </c>
      <c r="C344" s="4" t="s">
        <v>420</v>
      </c>
      <c r="D344" s="56">
        <v>4279</v>
      </c>
      <c r="E344" s="56">
        <v>4366</v>
      </c>
      <c r="F344" s="56">
        <v>4345</v>
      </c>
      <c r="G344" s="56">
        <v>4336</v>
      </c>
      <c r="H344" s="31">
        <v>4327</v>
      </c>
      <c r="I344" s="31">
        <v>4263</v>
      </c>
      <c r="J344" s="31">
        <v>4180</v>
      </c>
      <c r="K344" s="31">
        <v>4272</v>
      </c>
      <c r="L344" s="31">
        <v>4248</v>
      </c>
      <c r="N344" s="51" t="s">
        <v>7175</v>
      </c>
      <c r="O344" s="71"/>
      <c r="Q344" s="4"/>
      <c r="S344" s="4"/>
    </row>
    <row r="345" spans="1:19" s="53" customFormat="1">
      <c r="A345" s="51" t="s">
        <v>5799</v>
      </c>
      <c r="B345" s="51" t="s">
        <v>7893</v>
      </c>
      <c r="C345" s="4" t="s">
        <v>421</v>
      </c>
      <c r="D345" s="56">
        <v>4933</v>
      </c>
      <c r="E345" s="56">
        <v>5023</v>
      </c>
      <c r="F345" s="56">
        <v>4976</v>
      </c>
      <c r="G345" s="56">
        <v>5012</v>
      </c>
      <c r="H345" s="31">
        <v>5027</v>
      </c>
      <c r="I345" s="31">
        <v>4996</v>
      </c>
      <c r="J345" s="31">
        <v>4807</v>
      </c>
      <c r="K345" s="31">
        <v>4881</v>
      </c>
      <c r="L345" s="31">
        <v>4945</v>
      </c>
      <c r="N345" s="51" t="s">
        <v>7175</v>
      </c>
      <c r="O345" s="71"/>
      <c r="Q345" s="4"/>
      <c r="S345" s="4"/>
    </row>
    <row r="346" spans="1:19" s="53" customFormat="1">
      <c r="A346" s="51" t="s">
        <v>5801</v>
      </c>
      <c r="B346" s="51" t="s">
        <v>2155</v>
      </c>
      <c r="C346" s="4" t="s">
        <v>422</v>
      </c>
      <c r="D346" s="56">
        <v>4658</v>
      </c>
      <c r="E346" s="56">
        <v>4738</v>
      </c>
      <c r="F346" s="56">
        <v>4777</v>
      </c>
      <c r="G346" s="56">
        <v>4836</v>
      </c>
      <c r="H346" s="31">
        <v>4840</v>
      </c>
      <c r="I346" s="31">
        <v>4771</v>
      </c>
      <c r="J346" s="31">
        <v>4755</v>
      </c>
      <c r="K346" s="31">
        <v>4838</v>
      </c>
      <c r="L346" s="31">
        <v>4900</v>
      </c>
      <c r="N346" s="51" t="s">
        <v>7175</v>
      </c>
      <c r="O346" s="71"/>
      <c r="Q346" s="4"/>
      <c r="S346" s="4"/>
    </row>
    <row r="347" spans="1:19" s="53" customFormat="1">
      <c r="A347" s="51" t="s">
        <v>5927</v>
      </c>
      <c r="B347" s="51" t="s">
        <v>2156</v>
      </c>
      <c r="C347" s="4" t="s">
        <v>423</v>
      </c>
      <c r="D347" s="56">
        <v>2226</v>
      </c>
      <c r="E347" s="56">
        <v>2225</v>
      </c>
      <c r="F347" s="56">
        <v>2208</v>
      </c>
      <c r="G347" s="56">
        <v>2215</v>
      </c>
      <c r="H347" s="31">
        <v>2187</v>
      </c>
      <c r="I347" s="31">
        <v>2157</v>
      </c>
      <c r="J347" s="31">
        <v>2100</v>
      </c>
      <c r="K347" s="31">
        <v>2142</v>
      </c>
      <c r="L347" s="31">
        <v>2267</v>
      </c>
      <c r="N347" s="51" t="s">
        <v>7175</v>
      </c>
      <c r="O347" s="71"/>
      <c r="Q347" s="4"/>
      <c r="S347" s="4"/>
    </row>
    <row r="348" spans="1:19" s="53" customFormat="1">
      <c r="A348" s="51" t="s">
        <v>5929</v>
      </c>
      <c r="B348" s="51" t="s">
        <v>2157</v>
      </c>
      <c r="C348" s="4" t="s">
        <v>424</v>
      </c>
      <c r="D348" s="56">
        <v>4835</v>
      </c>
      <c r="E348" s="56">
        <v>4887</v>
      </c>
      <c r="F348" s="56">
        <v>4866</v>
      </c>
      <c r="G348" s="56">
        <v>4866</v>
      </c>
      <c r="H348" s="31">
        <v>4932</v>
      </c>
      <c r="I348" s="31">
        <v>4941</v>
      </c>
      <c r="J348" s="31">
        <v>4845</v>
      </c>
      <c r="K348" s="31">
        <v>4934</v>
      </c>
      <c r="L348" s="31">
        <v>4949</v>
      </c>
      <c r="N348" s="51" t="s">
        <v>7175</v>
      </c>
      <c r="O348" s="71"/>
      <c r="Q348" s="4"/>
      <c r="S348" s="4"/>
    </row>
    <row r="349" spans="1:19" s="53" customFormat="1">
      <c r="A349" s="51" t="s">
        <v>5931</v>
      </c>
      <c r="B349" s="51" t="s">
        <v>2158</v>
      </c>
      <c r="C349" s="4" t="s">
        <v>425</v>
      </c>
      <c r="D349" s="56">
        <v>4710</v>
      </c>
      <c r="E349" s="56">
        <v>4797</v>
      </c>
      <c r="F349" s="56">
        <v>4748</v>
      </c>
      <c r="G349" s="56">
        <v>4744</v>
      </c>
      <c r="H349" s="31">
        <v>4770</v>
      </c>
      <c r="I349" s="31">
        <v>4740</v>
      </c>
      <c r="J349" s="31">
        <v>4592</v>
      </c>
      <c r="K349" s="31">
        <v>4660</v>
      </c>
      <c r="L349" s="31">
        <v>4806</v>
      </c>
      <c r="N349" s="51" t="s">
        <v>7175</v>
      </c>
      <c r="O349" s="71"/>
      <c r="Q349" s="4"/>
      <c r="S349" s="4"/>
    </row>
    <row r="350" spans="1:19" s="53" customFormat="1">
      <c r="A350" s="51" t="s">
        <v>5933</v>
      </c>
      <c r="B350" s="51" t="s">
        <v>2159</v>
      </c>
      <c r="C350" s="4" t="s">
        <v>426</v>
      </c>
      <c r="D350" s="56">
        <v>4159</v>
      </c>
      <c r="E350" s="56">
        <v>4206</v>
      </c>
      <c r="F350" s="56">
        <v>4280</v>
      </c>
      <c r="G350" s="30">
        <v>4332</v>
      </c>
      <c r="H350" s="30">
        <v>4348</v>
      </c>
      <c r="I350" s="30">
        <v>4296</v>
      </c>
      <c r="J350" s="30">
        <v>4211</v>
      </c>
      <c r="K350" s="30">
        <v>4236</v>
      </c>
      <c r="L350" s="30">
        <v>4209</v>
      </c>
      <c r="N350" s="51" t="s">
        <v>7173</v>
      </c>
      <c r="O350" s="70"/>
      <c r="Q350" s="4"/>
      <c r="S350" s="4"/>
    </row>
    <row r="351" spans="1:19" s="53" customFormat="1">
      <c r="A351" s="51" t="s">
        <v>7898</v>
      </c>
      <c r="B351" s="51" t="s">
        <v>2160</v>
      </c>
      <c r="C351" s="4" t="s">
        <v>427</v>
      </c>
      <c r="D351" s="56">
        <v>4822</v>
      </c>
      <c r="E351" s="56">
        <v>4874</v>
      </c>
      <c r="F351" s="56">
        <v>4905</v>
      </c>
      <c r="G351" s="30">
        <v>4957</v>
      </c>
      <c r="H351" s="30">
        <v>5043</v>
      </c>
      <c r="I351" s="30">
        <v>4897</v>
      </c>
      <c r="J351" s="30">
        <v>4890</v>
      </c>
      <c r="K351" s="30">
        <v>4926</v>
      </c>
      <c r="L351" s="30">
        <v>4923</v>
      </c>
      <c r="N351" s="51" t="s">
        <v>7173</v>
      </c>
      <c r="O351" s="70"/>
      <c r="Q351" s="4"/>
      <c r="S351" s="4"/>
    </row>
    <row r="352" spans="1:19" s="53" customFormat="1">
      <c r="A352" s="51" t="s">
        <v>7897</v>
      </c>
      <c r="B352" s="51" t="s">
        <v>2161</v>
      </c>
      <c r="C352" s="4" t="s">
        <v>428</v>
      </c>
      <c r="D352" s="58">
        <v>4842</v>
      </c>
      <c r="E352" s="58">
        <v>4841</v>
      </c>
      <c r="F352" s="58">
        <v>4791</v>
      </c>
      <c r="G352" s="30">
        <v>4840</v>
      </c>
      <c r="H352" s="30">
        <v>4824</v>
      </c>
      <c r="I352" s="30">
        <v>4770</v>
      </c>
      <c r="J352" s="30">
        <v>4611</v>
      </c>
      <c r="K352" s="30">
        <v>4718</v>
      </c>
      <c r="L352" s="30">
        <v>4781</v>
      </c>
      <c r="N352" s="51" t="s">
        <v>7173</v>
      </c>
      <c r="O352" s="70"/>
      <c r="Q352" s="4"/>
      <c r="S352" s="4"/>
    </row>
    <row r="353" spans="1:19" s="53" customFormat="1">
      <c r="A353" s="51" t="s">
        <v>7899</v>
      </c>
      <c r="B353" s="51" t="s">
        <v>85</v>
      </c>
      <c r="C353" s="4" t="s">
        <v>429</v>
      </c>
      <c r="D353" s="58">
        <v>4739</v>
      </c>
      <c r="E353" s="58">
        <v>4776</v>
      </c>
      <c r="F353" s="58">
        <v>4758</v>
      </c>
      <c r="G353" s="31">
        <v>4802</v>
      </c>
      <c r="H353" s="31">
        <v>4775</v>
      </c>
      <c r="I353" s="31">
        <v>4676</v>
      </c>
      <c r="J353" s="31">
        <v>4569</v>
      </c>
      <c r="K353" s="31">
        <v>4644</v>
      </c>
      <c r="L353" s="31">
        <v>4637</v>
      </c>
      <c r="N353" s="51" t="s">
        <v>7173</v>
      </c>
      <c r="O353" s="71"/>
      <c r="Q353" s="4"/>
      <c r="S353" s="4"/>
    </row>
    <row r="354" spans="1:19" s="53" customFormat="1">
      <c r="A354" s="50">
        <v>34</v>
      </c>
      <c r="B354" s="51" t="s">
        <v>86</v>
      </c>
      <c r="C354" s="4" t="s">
        <v>430</v>
      </c>
      <c r="D354" s="58">
        <v>3896</v>
      </c>
      <c r="E354" s="58">
        <v>3957</v>
      </c>
      <c r="F354" s="58">
        <v>3925</v>
      </c>
      <c r="G354" s="31">
        <v>3937</v>
      </c>
      <c r="H354" s="31">
        <v>3949</v>
      </c>
      <c r="I354" s="31">
        <v>3830</v>
      </c>
      <c r="J354" s="31">
        <v>3725</v>
      </c>
      <c r="K354" s="31">
        <v>3755</v>
      </c>
      <c r="L354" s="31">
        <v>3779</v>
      </c>
      <c r="N354" s="51" t="s">
        <v>7173</v>
      </c>
      <c r="O354" s="71"/>
      <c r="Q354" s="4"/>
      <c r="S354" s="4"/>
    </row>
    <row r="355" spans="1:19" s="53" customFormat="1">
      <c r="C355" s="52"/>
      <c r="D355" s="58"/>
      <c r="E355" s="58"/>
      <c r="F355" s="58"/>
      <c r="G355" s="58"/>
      <c r="H355" s="58"/>
      <c r="I355" s="58"/>
      <c r="J355" s="58"/>
      <c r="K355" s="58"/>
      <c r="L355" s="58"/>
    </row>
    <row r="356" spans="1:19" s="53" customFormat="1">
      <c r="A356" s="51" t="s">
        <v>7173</v>
      </c>
      <c r="C356" s="52"/>
      <c r="D356" s="56">
        <f t="shared" ref="D356:I356" si="219">D321+D325+D326+D328+D330+D331+D333+D337+D338+D340+D342+D343+SUM(D350:D354)</f>
        <v>72955</v>
      </c>
      <c r="E356" s="56">
        <f t="shared" si="219"/>
        <v>73542</v>
      </c>
      <c r="F356" s="56">
        <f t="shared" si="219"/>
        <v>73362</v>
      </c>
      <c r="G356" s="56">
        <f t="shared" si="219"/>
        <v>73437</v>
      </c>
      <c r="H356" s="56">
        <f t="shared" si="219"/>
        <v>73690</v>
      </c>
      <c r="I356" s="56">
        <f t="shared" si="219"/>
        <v>72552</v>
      </c>
      <c r="J356" s="56">
        <f t="shared" ref="J356:K356" si="220">J321+J325+J326+J328+J330+J331+J333+J337+J338+J340+J342+J343+SUM(J350:J354)</f>
        <v>71102</v>
      </c>
      <c r="K356" s="56">
        <f t="shared" si="220"/>
        <v>72274</v>
      </c>
      <c r="L356" s="56">
        <f t="shared" ref="L356" si="221">L321+L325+L326+L328+L330+L331+L333+L337+L338+L340+L342+L343+SUM(L350:L354)</f>
        <v>72256</v>
      </c>
    </row>
    <row r="357" spans="1:19" s="53" customFormat="1">
      <c r="A357" s="51" t="s">
        <v>7175</v>
      </c>
      <c r="C357" s="52"/>
      <c r="D357" s="56">
        <f t="shared" ref="D357:I357" si="222">SUM(D322:D324)+D327+D329+D332+SUM(D334:D336)+D339+D341+SUM(D344:D349)</f>
        <v>68239</v>
      </c>
      <c r="E357" s="56">
        <f t="shared" si="222"/>
        <v>68987</v>
      </c>
      <c r="F357" s="56">
        <f t="shared" si="222"/>
        <v>68867</v>
      </c>
      <c r="G357" s="56">
        <f t="shared" si="222"/>
        <v>69072</v>
      </c>
      <c r="H357" s="56">
        <f t="shared" si="222"/>
        <v>69164</v>
      </c>
      <c r="I357" s="56">
        <f t="shared" si="222"/>
        <v>68216</v>
      </c>
      <c r="J357" s="56">
        <f t="shared" ref="J357:K357" si="223">SUM(J322:J324)+J327+J329+J332+SUM(J334:J336)+J339+J341+SUM(J344:J349)</f>
        <v>66871</v>
      </c>
      <c r="K357" s="56">
        <f t="shared" si="223"/>
        <v>68166</v>
      </c>
      <c r="L357" s="56">
        <f t="shared" ref="L357" si="224">SUM(L322:L324)+L327+L329+L332+SUM(L334:L336)+L339+L341+SUM(L344:L349)</f>
        <v>68559</v>
      </c>
    </row>
    <row r="358" spans="1:19" s="53" customFormat="1">
      <c r="A358" s="51"/>
      <c r="C358" s="52"/>
      <c r="D358" s="56"/>
      <c r="E358" s="56"/>
      <c r="F358" s="56"/>
      <c r="G358" s="56"/>
      <c r="H358" s="56"/>
      <c r="I358" s="56"/>
      <c r="J358" s="56"/>
      <c r="K358" s="56"/>
      <c r="L358" s="56"/>
    </row>
    <row r="359" spans="1:19" s="53" customFormat="1">
      <c r="A359" s="51" t="s">
        <v>13042</v>
      </c>
      <c r="C359" s="52"/>
      <c r="D359" s="56"/>
      <c r="E359" s="56"/>
      <c r="F359" s="56"/>
      <c r="G359" s="56"/>
      <c r="H359" s="56"/>
      <c r="I359" s="56"/>
      <c r="J359" s="56"/>
      <c r="K359" s="56"/>
      <c r="L359" s="56"/>
    </row>
    <row r="360" spans="1:19" s="53" customFormat="1">
      <c r="A360" s="51" t="s">
        <v>13091</v>
      </c>
      <c r="C360" s="52"/>
      <c r="D360" s="56"/>
      <c r="E360" s="56"/>
      <c r="F360" s="56"/>
      <c r="G360" s="56"/>
      <c r="H360" s="56"/>
      <c r="I360" s="56"/>
      <c r="J360" s="56"/>
      <c r="K360" s="56"/>
      <c r="L360" s="56"/>
    </row>
    <row r="361" spans="1:19" s="53" customFormat="1">
      <c r="A361" s="51"/>
      <c r="B361" s="51"/>
      <c r="C361" s="52"/>
      <c r="D361" s="69"/>
      <c r="E361" s="69"/>
      <c r="F361" s="69"/>
      <c r="G361" s="69"/>
      <c r="H361" s="69"/>
      <c r="I361" s="69"/>
      <c r="J361" s="69"/>
      <c r="K361" s="69"/>
      <c r="L361" s="69"/>
    </row>
    <row r="362" spans="1:19" s="53" customFormat="1">
      <c r="A362" s="51"/>
      <c r="B362" s="51"/>
      <c r="C362" s="52"/>
      <c r="D362" s="69"/>
      <c r="E362" s="69"/>
      <c r="F362" s="69"/>
      <c r="G362" s="69"/>
      <c r="H362" s="69"/>
      <c r="I362" s="69"/>
      <c r="J362" s="69"/>
      <c r="K362" s="69"/>
      <c r="L362" s="69"/>
    </row>
    <row r="363" spans="1:19" s="53" customFormat="1">
      <c r="C363" s="52"/>
      <c r="E363" s="42" t="s">
        <v>2303</v>
      </c>
      <c r="F363" s="42"/>
      <c r="G363" s="42"/>
      <c r="H363" s="42"/>
      <c r="I363" s="42"/>
      <c r="J363" s="42"/>
      <c r="K363" s="42"/>
      <c r="L363" s="42"/>
      <c r="M363" s="65"/>
      <c r="N363" s="66" t="s">
        <v>13319</v>
      </c>
    </row>
    <row r="364" spans="1:19" s="53" customFormat="1">
      <c r="C364" s="52"/>
      <c r="D364" s="55">
        <v>2010</v>
      </c>
      <c r="E364" s="55">
        <v>2011</v>
      </c>
      <c r="F364" s="55">
        <v>2012</v>
      </c>
      <c r="G364" s="55">
        <v>2013</v>
      </c>
      <c r="H364" s="55">
        <v>2014</v>
      </c>
      <c r="I364" s="55">
        <v>2015</v>
      </c>
      <c r="J364" s="55">
        <v>2016</v>
      </c>
      <c r="K364" s="55">
        <v>2017</v>
      </c>
      <c r="L364" s="55">
        <v>2018</v>
      </c>
      <c r="M364" s="65"/>
      <c r="N364" s="67" t="s">
        <v>2304</v>
      </c>
    </row>
    <row r="365" spans="1:19" s="53" customFormat="1">
      <c r="A365" s="51" t="s">
        <v>87</v>
      </c>
      <c r="C365" s="52"/>
      <c r="D365" s="56">
        <f t="shared" ref="D365:I365" si="225">SUM(D366:D378)</f>
        <v>63054</v>
      </c>
      <c r="E365" s="56">
        <f t="shared" si="225"/>
        <v>64410</v>
      </c>
      <c r="F365" s="56">
        <f t="shared" si="225"/>
        <v>64751</v>
      </c>
      <c r="G365" s="56">
        <f t="shared" si="225"/>
        <v>64847</v>
      </c>
      <c r="H365" s="56">
        <f t="shared" si="225"/>
        <v>65082</v>
      </c>
      <c r="I365" s="56">
        <f t="shared" si="225"/>
        <v>63659</v>
      </c>
      <c r="J365" s="56">
        <f t="shared" ref="J365" si="226">SUM(J366:J378)</f>
        <v>62487</v>
      </c>
      <c r="K365" s="56">
        <f>SUM(K366:K378)</f>
        <v>65196</v>
      </c>
      <c r="L365" s="56">
        <f>SUM(L366:L378)</f>
        <v>64491</v>
      </c>
    </row>
    <row r="366" spans="1:19" s="53" customFormat="1">
      <c r="A366" s="51" t="s">
        <v>6957</v>
      </c>
      <c r="B366" s="51" t="s">
        <v>13094</v>
      </c>
      <c r="C366" s="4" t="s">
        <v>13097</v>
      </c>
      <c r="D366" s="56">
        <v>63054</v>
      </c>
      <c r="E366" s="56">
        <v>64410</v>
      </c>
      <c r="F366" s="56">
        <v>64751</v>
      </c>
      <c r="G366" s="30">
        <v>5369</v>
      </c>
      <c r="H366" s="30">
        <v>5371</v>
      </c>
      <c r="I366" s="30">
        <v>5259</v>
      </c>
      <c r="J366" s="30">
        <v>5177</v>
      </c>
      <c r="K366" s="30">
        <v>5303</v>
      </c>
      <c r="L366" s="30">
        <v>5186</v>
      </c>
      <c r="N366" s="51" t="s">
        <v>7158</v>
      </c>
      <c r="Q366" s="4"/>
      <c r="S366" s="4"/>
    </row>
    <row r="367" spans="1:19" s="53" customFormat="1">
      <c r="A367" s="51" t="s">
        <v>6959</v>
      </c>
      <c r="B367" s="51" t="s">
        <v>13095</v>
      </c>
      <c r="C367" s="4" t="s">
        <v>13098</v>
      </c>
      <c r="D367" s="56">
        <v>0</v>
      </c>
      <c r="E367" s="56">
        <v>0</v>
      </c>
      <c r="F367" s="56">
        <v>0</v>
      </c>
      <c r="G367" s="30">
        <v>5097</v>
      </c>
      <c r="H367" s="30">
        <v>5162</v>
      </c>
      <c r="I367" s="30">
        <v>5112</v>
      </c>
      <c r="J367" s="30">
        <v>5057</v>
      </c>
      <c r="K367" s="30">
        <v>5307</v>
      </c>
      <c r="L367" s="30">
        <v>5242</v>
      </c>
      <c r="N367" s="51" t="s">
        <v>7158</v>
      </c>
      <c r="Q367" s="4"/>
      <c r="S367" s="4"/>
    </row>
    <row r="368" spans="1:19" s="53" customFormat="1">
      <c r="A368" s="51" t="s">
        <v>6961</v>
      </c>
      <c r="B368" s="51" t="s">
        <v>88</v>
      </c>
      <c r="C368" s="4" t="s">
        <v>13099</v>
      </c>
      <c r="D368" s="56">
        <v>0</v>
      </c>
      <c r="E368" s="56">
        <v>0</v>
      </c>
      <c r="F368" s="56">
        <v>0</v>
      </c>
      <c r="G368" s="30">
        <v>5501</v>
      </c>
      <c r="H368" s="30">
        <v>5486</v>
      </c>
      <c r="I368" s="30">
        <v>5329</v>
      </c>
      <c r="J368" s="30">
        <v>5276</v>
      </c>
      <c r="K368" s="30">
        <v>5443</v>
      </c>
      <c r="L368" s="30">
        <v>5389</v>
      </c>
      <c r="N368" s="51" t="s">
        <v>7158</v>
      </c>
      <c r="Q368" s="4"/>
      <c r="S368" s="4"/>
    </row>
    <row r="369" spans="1:19" s="53" customFormat="1">
      <c r="A369" s="51" t="s">
        <v>6963</v>
      </c>
      <c r="B369" s="51" t="s">
        <v>89</v>
      </c>
      <c r="C369" s="4" t="s">
        <v>13100</v>
      </c>
      <c r="D369" s="56">
        <v>0</v>
      </c>
      <c r="E369" s="56">
        <v>0</v>
      </c>
      <c r="F369" s="56">
        <v>0</v>
      </c>
      <c r="G369" s="30">
        <v>4379</v>
      </c>
      <c r="H369" s="30">
        <v>4446</v>
      </c>
      <c r="I369" s="30">
        <v>4334</v>
      </c>
      <c r="J369" s="30">
        <v>4259</v>
      </c>
      <c r="K369" s="30">
        <v>4412</v>
      </c>
      <c r="L369" s="30">
        <v>4357</v>
      </c>
      <c r="N369" s="51" t="s">
        <v>7158</v>
      </c>
      <c r="Q369" s="4"/>
      <c r="S369" s="4"/>
    </row>
    <row r="370" spans="1:19" s="53" customFormat="1">
      <c r="A370" s="51" t="s">
        <v>6965</v>
      </c>
      <c r="B370" s="51" t="s">
        <v>2151</v>
      </c>
      <c r="C370" s="4" t="s">
        <v>13101</v>
      </c>
      <c r="D370" s="56">
        <v>0</v>
      </c>
      <c r="E370" s="56">
        <v>0</v>
      </c>
      <c r="F370" s="56">
        <v>0</v>
      </c>
      <c r="G370" s="30">
        <v>5416</v>
      </c>
      <c r="H370" s="30">
        <v>5348</v>
      </c>
      <c r="I370" s="30">
        <v>5257</v>
      </c>
      <c r="J370" s="30">
        <v>5190</v>
      </c>
      <c r="K370" s="30">
        <v>5310</v>
      </c>
      <c r="L370" s="30">
        <v>5289</v>
      </c>
      <c r="N370" s="51" t="s">
        <v>7158</v>
      </c>
      <c r="Q370" s="4"/>
      <c r="S370" s="4"/>
    </row>
    <row r="371" spans="1:19" s="53" customFormat="1">
      <c r="A371" s="51" t="s">
        <v>6997</v>
      </c>
      <c r="B371" s="51" t="s">
        <v>90</v>
      </c>
      <c r="C371" s="4" t="s">
        <v>13102</v>
      </c>
      <c r="D371" s="56">
        <v>0</v>
      </c>
      <c r="E371" s="56">
        <v>0</v>
      </c>
      <c r="F371" s="56">
        <v>0</v>
      </c>
      <c r="G371" s="30">
        <v>5703</v>
      </c>
      <c r="H371" s="30">
        <v>5657</v>
      </c>
      <c r="I371" s="30">
        <v>5531</v>
      </c>
      <c r="J371" s="30">
        <v>5442</v>
      </c>
      <c r="K371" s="30">
        <v>5636</v>
      </c>
      <c r="L371" s="30">
        <v>5565</v>
      </c>
      <c r="N371" s="51" t="s">
        <v>7158</v>
      </c>
      <c r="Q371" s="4"/>
      <c r="S371" s="4"/>
    </row>
    <row r="372" spans="1:19" s="53" customFormat="1">
      <c r="A372" s="51" t="s">
        <v>6999</v>
      </c>
      <c r="B372" s="51" t="s">
        <v>91</v>
      </c>
      <c r="C372" s="4" t="s">
        <v>13103</v>
      </c>
      <c r="D372" s="56">
        <v>0</v>
      </c>
      <c r="E372" s="56">
        <v>0</v>
      </c>
      <c r="F372" s="56">
        <v>0</v>
      </c>
      <c r="G372" s="30">
        <v>5566</v>
      </c>
      <c r="H372" s="30">
        <v>5661</v>
      </c>
      <c r="I372" s="30">
        <v>5486</v>
      </c>
      <c r="J372" s="30">
        <v>5447</v>
      </c>
      <c r="K372" s="30">
        <v>5664</v>
      </c>
      <c r="L372" s="30">
        <v>5613</v>
      </c>
      <c r="N372" s="51" t="s">
        <v>7158</v>
      </c>
      <c r="Q372" s="4"/>
      <c r="S372" s="4"/>
    </row>
    <row r="373" spans="1:19" s="53" customFormat="1">
      <c r="A373" s="51" t="s">
        <v>7001</v>
      </c>
      <c r="B373" s="51" t="s">
        <v>92</v>
      </c>
      <c r="C373" s="4" t="s">
        <v>13104</v>
      </c>
      <c r="D373" s="56">
        <v>0</v>
      </c>
      <c r="E373" s="56">
        <v>0</v>
      </c>
      <c r="F373" s="56">
        <v>0</v>
      </c>
      <c r="G373" s="30">
        <v>4777</v>
      </c>
      <c r="H373" s="30">
        <v>4802</v>
      </c>
      <c r="I373" s="30">
        <v>4711</v>
      </c>
      <c r="J373" s="30">
        <v>4547</v>
      </c>
      <c r="K373" s="30">
        <v>4735</v>
      </c>
      <c r="L373" s="30">
        <v>4718</v>
      </c>
      <c r="N373" s="51" t="s">
        <v>7158</v>
      </c>
      <c r="Q373" s="4"/>
      <c r="S373" s="4"/>
    </row>
    <row r="374" spans="1:19" s="53" customFormat="1">
      <c r="A374" s="51" t="s">
        <v>7003</v>
      </c>
      <c r="B374" s="51" t="s">
        <v>93</v>
      </c>
      <c r="C374" s="4" t="s">
        <v>13105</v>
      </c>
      <c r="D374" s="56">
        <v>0</v>
      </c>
      <c r="E374" s="56">
        <v>0</v>
      </c>
      <c r="F374" s="56">
        <v>0</v>
      </c>
      <c r="G374" s="30">
        <v>5147</v>
      </c>
      <c r="H374" s="30">
        <v>5203</v>
      </c>
      <c r="I374" s="30">
        <v>5061</v>
      </c>
      <c r="J374" s="30">
        <v>4994</v>
      </c>
      <c r="K374" s="30">
        <v>5183</v>
      </c>
      <c r="L374" s="30">
        <v>5070</v>
      </c>
      <c r="N374" s="51" t="s">
        <v>7158</v>
      </c>
      <c r="Q374" s="4"/>
      <c r="S374" s="4"/>
    </row>
    <row r="375" spans="1:19" s="53" customFormat="1">
      <c r="A375" s="51" t="s">
        <v>7005</v>
      </c>
      <c r="B375" s="51" t="s">
        <v>6414</v>
      </c>
      <c r="C375" s="4" t="s">
        <v>13106</v>
      </c>
      <c r="D375" s="56">
        <v>0</v>
      </c>
      <c r="E375" s="56">
        <v>0</v>
      </c>
      <c r="F375" s="56">
        <v>0</v>
      </c>
      <c r="G375" s="30">
        <v>5149</v>
      </c>
      <c r="H375" s="30">
        <v>5175</v>
      </c>
      <c r="I375" s="30">
        <v>5112</v>
      </c>
      <c r="J375" s="30">
        <v>4966</v>
      </c>
      <c r="K375" s="30">
        <v>5247</v>
      </c>
      <c r="L375" s="30">
        <v>5148</v>
      </c>
      <c r="N375" s="51" t="s">
        <v>7158</v>
      </c>
      <c r="Q375" s="4"/>
      <c r="S375" s="4"/>
    </row>
    <row r="376" spans="1:19" s="53" customFormat="1">
      <c r="A376" s="51" t="s">
        <v>7007</v>
      </c>
      <c r="B376" s="51" t="s">
        <v>8605</v>
      </c>
      <c r="C376" s="4" t="s">
        <v>13107</v>
      </c>
      <c r="D376" s="56">
        <v>0</v>
      </c>
      <c r="E376" s="56">
        <v>0</v>
      </c>
      <c r="F376" s="56">
        <v>0</v>
      </c>
      <c r="G376" s="30">
        <v>4791</v>
      </c>
      <c r="H376" s="30">
        <v>4973</v>
      </c>
      <c r="I376" s="30">
        <v>4850</v>
      </c>
      <c r="J376" s="30">
        <v>4763</v>
      </c>
      <c r="K376" s="30">
        <v>5095</v>
      </c>
      <c r="L376" s="30">
        <v>4963</v>
      </c>
      <c r="N376" s="51" t="s">
        <v>7158</v>
      </c>
      <c r="Q376" s="4"/>
      <c r="S376" s="4"/>
    </row>
    <row r="377" spans="1:19" s="53" customFormat="1">
      <c r="A377" s="51" t="s">
        <v>7009</v>
      </c>
      <c r="B377" s="51" t="s">
        <v>3331</v>
      </c>
      <c r="C377" s="4" t="s">
        <v>13108</v>
      </c>
      <c r="D377" s="56">
        <v>0</v>
      </c>
      <c r="E377" s="56">
        <v>0</v>
      </c>
      <c r="F377" s="56">
        <v>0</v>
      </c>
      <c r="G377" s="30">
        <v>2897</v>
      </c>
      <c r="H377" s="30">
        <v>2722</v>
      </c>
      <c r="I377" s="30">
        <v>2596</v>
      </c>
      <c r="J377" s="30">
        <v>2471</v>
      </c>
      <c r="K377" s="30">
        <v>2818</v>
      </c>
      <c r="L377" s="30">
        <v>2928</v>
      </c>
      <c r="N377" s="51" t="s">
        <v>7158</v>
      </c>
      <c r="Q377" s="4"/>
      <c r="S377" s="4"/>
    </row>
    <row r="378" spans="1:19" s="53" customFormat="1">
      <c r="A378" s="51" t="s">
        <v>7011</v>
      </c>
      <c r="B378" s="51" t="s">
        <v>13096</v>
      </c>
      <c r="C378" s="4" t="s">
        <v>13109</v>
      </c>
      <c r="D378" s="56">
        <v>0</v>
      </c>
      <c r="E378" s="56">
        <v>0</v>
      </c>
      <c r="F378" s="56">
        <v>0</v>
      </c>
      <c r="G378" s="30">
        <v>5055</v>
      </c>
      <c r="H378" s="30">
        <v>5076</v>
      </c>
      <c r="I378" s="30">
        <v>5021</v>
      </c>
      <c r="J378" s="30">
        <v>4898</v>
      </c>
      <c r="K378" s="30">
        <v>5043</v>
      </c>
      <c r="L378" s="30">
        <v>5023</v>
      </c>
      <c r="N378" s="51" t="s">
        <v>7158</v>
      </c>
      <c r="Q378" s="4"/>
      <c r="S378" s="4"/>
    </row>
    <row r="379" spans="1:19" s="53" customFormat="1">
      <c r="C379" s="52"/>
      <c r="D379" s="58"/>
      <c r="E379" s="58"/>
      <c r="F379" s="58"/>
      <c r="G379" s="58"/>
      <c r="H379" s="58"/>
      <c r="I379" s="58"/>
      <c r="J379" s="58"/>
      <c r="K379" s="58"/>
      <c r="L379" s="58"/>
    </row>
    <row r="380" spans="1:19" s="53" customFormat="1">
      <c r="A380" s="51" t="s">
        <v>5525</v>
      </c>
      <c r="C380" s="52"/>
      <c r="D380" s="56">
        <f t="shared" ref="D380:I380" si="227">SUM(D366:D378)</f>
        <v>63054</v>
      </c>
      <c r="E380" s="56">
        <f t="shared" si="227"/>
        <v>64410</v>
      </c>
      <c r="F380" s="56">
        <f t="shared" si="227"/>
        <v>64751</v>
      </c>
      <c r="G380" s="56">
        <f t="shared" si="227"/>
        <v>64847</v>
      </c>
      <c r="H380" s="56">
        <f t="shared" si="227"/>
        <v>65082</v>
      </c>
      <c r="I380" s="56">
        <f t="shared" si="227"/>
        <v>63659</v>
      </c>
      <c r="J380" s="56">
        <f t="shared" ref="J380:K380" si="228">SUM(J366:J378)</f>
        <v>62487</v>
      </c>
      <c r="K380" s="56">
        <f t="shared" si="228"/>
        <v>65196</v>
      </c>
      <c r="L380" s="56">
        <f t="shared" ref="L380" si="229">SUM(L366:L378)</f>
        <v>64491</v>
      </c>
    </row>
    <row r="381" spans="1:19" s="53" customFormat="1">
      <c r="A381" s="51"/>
      <c r="C381" s="52"/>
      <c r="D381" s="56"/>
      <c r="E381" s="56"/>
      <c r="F381" s="56"/>
      <c r="G381" s="56"/>
      <c r="H381" s="56"/>
      <c r="I381" s="56"/>
      <c r="J381" s="56"/>
      <c r="K381" s="56"/>
      <c r="L381" s="56"/>
    </row>
    <row r="382" spans="1:19" s="53" customFormat="1">
      <c r="A382" s="51" t="s">
        <v>13093</v>
      </c>
      <c r="C382" s="52"/>
      <c r="D382" s="56"/>
      <c r="E382" s="56"/>
      <c r="F382" s="56"/>
      <c r="G382" s="56"/>
      <c r="H382" s="56"/>
      <c r="I382" s="56"/>
      <c r="J382" s="56"/>
      <c r="K382" s="56"/>
      <c r="L382" s="56"/>
    </row>
    <row r="383" spans="1:19" s="53" customFormat="1">
      <c r="A383" s="51"/>
      <c r="B383" s="51"/>
      <c r="C383" s="52"/>
      <c r="D383" s="69"/>
      <c r="E383" s="69"/>
      <c r="F383" s="69"/>
      <c r="G383" s="69"/>
      <c r="H383" s="69"/>
      <c r="I383" s="69"/>
      <c r="J383" s="69"/>
      <c r="K383" s="69"/>
      <c r="L383" s="69"/>
    </row>
    <row r="384" spans="1:19" s="53" customFormat="1">
      <c r="A384" s="51"/>
      <c r="B384" s="51"/>
      <c r="C384" s="52"/>
      <c r="D384" s="69"/>
      <c r="E384" s="69"/>
      <c r="F384" s="69"/>
      <c r="G384" s="69"/>
      <c r="H384" s="69"/>
      <c r="I384" s="69"/>
      <c r="J384" s="69"/>
      <c r="K384" s="69"/>
      <c r="L384" s="69"/>
    </row>
    <row r="385" spans="1:19" s="53" customFormat="1">
      <c r="C385" s="52"/>
      <c r="E385" s="42" t="s">
        <v>2303</v>
      </c>
      <c r="F385" s="42"/>
      <c r="G385" s="42"/>
      <c r="H385" s="42"/>
      <c r="I385" s="42"/>
      <c r="J385" s="42"/>
      <c r="K385" s="42"/>
      <c r="L385" s="42"/>
      <c r="M385" s="65"/>
      <c r="N385" s="66" t="s">
        <v>13319</v>
      </c>
    </row>
    <row r="386" spans="1:19" s="53" customFormat="1">
      <c r="C386" s="52"/>
      <c r="D386" s="55">
        <v>2010</v>
      </c>
      <c r="E386" s="55">
        <v>2011</v>
      </c>
      <c r="F386" s="55">
        <v>2012</v>
      </c>
      <c r="G386" s="55">
        <v>2013</v>
      </c>
      <c r="H386" s="55">
        <v>2014</v>
      </c>
      <c r="I386" s="55">
        <v>2015</v>
      </c>
      <c r="J386" s="55">
        <v>2016</v>
      </c>
      <c r="K386" s="55">
        <v>2017</v>
      </c>
      <c r="L386" s="55">
        <v>2018</v>
      </c>
      <c r="M386" s="65"/>
      <c r="N386" s="67" t="s">
        <v>2304</v>
      </c>
    </row>
    <row r="387" spans="1:19" s="53" customFormat="1">
      <c r="A387" s="51" t="s">
        <v>2184</v>
      </c>
      <c r="C387" s="52"/>
      <c r="D387" s="56">
        <f t="shared" ref="D387:I387" si="230">SUM(D388:D411)</f>
        <v>89524</v>
      </c>
      <c r="E387" s="56">
        <f t="shared" si="230"/>
        <v>89938</v>
      </c>
      <c r="F387" s="56">
        <f t="shared" si="230"/>
        <v>90838</v>
      </c>
      <c r="G387" s="56">
        <f t="shared" si="230"/>
        <v>91291</v>
      </c>
      <c r="H387" s="56">
        <f t="shared" si="230"/>
        <v>92465</v>
      </c>
      <c r="I387" s="56">
        <f t="shared" si="230"/>
        <v>91017</v>
      </c>
      <c r="J387" s="56">
        <f t="shared" ref="J387:K387" si="231">SUM(J388:J411)</f>
        <v>90897</v>
      </c>
      <c r="K387" s="56">
        <f t="shared" si="231"/>
        <v>93863</v>
      </c>
      <c r="L387" s="56">
        <f t="shared" ref="L387" si="232">SUM(L388:L411)</f>
        <v>93794</v>
      </c>
    </row>
    <row r="388" spans="1:19" s="53" customFormat="1">
      <c r="A388" s="51" t="s">
        <v>6957</v>
      </c>
      <c r="B388" s="51" t="s">
        <v>8199</v>
      </c>
      <c r="C388" s="4" t="s">
        <v>431</v>
      </c>
      <c r="D388" s="56">
        <v>3776</v>
      </c>
      <c r="E388" s="56">
        <v>3789</v>
      </c>
      <c r="F388" s="56">
        <v>3820</v>
      </c>
      <c r="G388" s="56">
        <v>3797</v>
      </c>
      <c r="H388" s="30">
        <v>3827</v>
      </c>
      <c r="I388" s="30">
        <v>3747</v>
      </c>
      <c r="J388" s="30">
        <v>3786</v>
      </c>
      <c r="K388" s="30">
        <v>3913</v>
      </c>
      <c r="L388" s="30">
        <v>3911</v>
      </c>
      <c r="N388" s="51" t="s">
        <v>7179</v>
      </c>
      <c r="Q388" s="4"/>
      <c r="S388" s="4"/>
    </row>
    <row r="389" spans="1:19" s="53" customFormat="1">
      <c r="A389" s="51" t="s">
        <v>6959</v>
      </c>
      <c r="B389" s="51" t="s">
        <v>2186</v>
      </c>
      <c r="C389" s="4" t="s">
        <v>432</v>
      </c>
      <c r="D389" s="56">
        <v>5631</v>
      </c>
      <c r="E389" s="56">
        <v>6014</v>
      </c>
      <c r="F389" s="56">
        <v>6388</v>
      </c>
      <c r="G389" s="56">
        <v>6482</v>
      </c>
      <c r="H389" s="30">
        <v>6776</v>
      </c>
      <c r="I389" s="30">
        <v>6687</v>
      </c>
      <c r="J389" s="30">
        <v>6818</v>
      </c>
      <c r="K389" s="30">
        <v>7266</v>
      </c>
      <c r="L389" s="30">
        <v>7380</v>
      </c>
      <c r="N389" s="51" t="s">
        <v>7177</v>
      </c>
      <c r="Q389" s="4"/>
      <c r="S389" s="4"/>
    </row>
    <row r="390" spans="1:19" s="53" customFormat="1">
      <c r="A390" s="50">
        <v>3</v>
      </c>
      <c r="B390" s="51" t="s">
        <v>2187</v>
      </c>
      <c r="C390" s="4" t="s">
        <v>433</v>
      </c>
      <c r="D390" s="56">
        <v>1835</v>
      </c>
      <c r="E390" s="56">
        <v>1841</v>
      </c>
      <c r="F390" s="56">
        <v>1839</v>
      </c>
      <c r="G390" s="56">
        <v>1859</v>
      </c>
      <c r="H390" s="30">
        <v>1833</v>
      </c>
      <c r="I390" s="30">
        <v>1819</v>
      </c>
      <c r="J390" s="30">
        <v>1803</v>
      </c>
      <c r="K390" s="30">
        <v>1906</v>
      </c>
      <c r="L390" s="30">
        <v>1932</v>
      </c>
      <c r="N390" s="51" t="s">
        <v>7179</v>
      </c>
      <c r="Q390" s="4"/>
      <c r="S390" s="4"/>
    </row>
    <row r="391" spans="1:19" s="53" customFormat="1">
      <c r="A391" s="50">
        <v>4</v>
      </c>
      <c r="B391" s="51" t="s">
        <v>2188</v>
      </c>
      <c r="C391" s="4" t="s">
        <v>434</v>
      </c>
      <c r="D391" s="56">
        <v>1876</v>
      </c>
      <c r="E391" s="56">
        <v>1860</v>
      </c>
      <c r="F391" s="56">
        <v>1871</v>
      </c>
      <c r="G391" s="56">
        <v>1861</v>
      </c>
      <c r="H391" s="30">
        <v>1878</v>
      </c>
      <c r="I391" s="30">
        <v>1839</v>
      </c>
      <c r="J391" s="30">
        <v>1820</v>
      </c>
      <c r="K391" s="30">
        <v>1869</v>
      </c>
      <c r="L391" s="30">
        <v>1862</v>
      </c>
      <c r="N391" s="51" t="s">
        <v>7177</v>
      </c>
      <c r="Q391" s="4"/>
      <c r="S391" s="4"/>
    </row>
    <row r="392" spans="1:19" s="53" customFormat="1">
      <c r="A392" s="50">
        <v>5</v>
      </c>
      <c r="B392" s="51" t="s">
        <v>2189</v>
      </c>
      <c r="C392" s="4" t="s">
        <v>435</v>
      </c>
      <c r="D392" s="56">
        <v>3807</v>
      </c>
      <c r="E392" s="56">
        <v>3770</v>
      </c>
      <c r="F392" s="56">
        <v>3845</v>
      </c>
      <c r="G392" s="56">
        <v>3830</v>
      </c>
      <c r="H392" s="30">
        <v>3845</v>
      </c>
      <c r="I392" s="30">
        <v>3739</v>
      </c>
      <c r="J392" s="30">
        <v>3740</v>
      </c>
      <c r="K392" s="30">
        <v>3805</v>
      </c>
      <c r="L392" s="30">
        <v>3757</v>
      </c>
      <c r="N392" s="51" t="s">
        <v>7177</v>
      </c>
      <c r="Q392" s="4"/>
      <c r="S392" s="4"/>
    </row>
    <row r="393" spans="1:19" s="53" customFormat="1">
      <c r="A393" s="50">
        <v>6</v>
      </c>
      <c r="B393" s="51" t="s">
        <v>3874</v>
      </c>
      <c r="C393" s="4" t="s">
        <v>436</v>
      </c>
      <c r="D393" s="56">
        <v>4134</v>
      </c>
      <c r="E393" s="56">
        <v>4133</v>
      </c>
      <c r="F393" s="56">
        <v>4143</v>
      </c>
      <c r="G393" s="56">
        <v>4162</v>
      </c>
      <c r="H393" s="30">
        <v>4202</v>
      </c>
      <c r="I393" s="30">
        <v>4151</v>
      </c>
      <c r="J393" s="30">
        <v>4103</v>
      </c>
      <c r="K393" s="30">
        <v>4119</v>
      </c>
      <c r="L393" s="30">
        <v>4094</v>
      </c>
      <c r="N393" s="51" t="s">
        <v>7179</v>
      </c>
      <c r="Q393" s="4"/>
      <c r="S393" s="4"/>
    </row>
    <row r="394" spans="1:19" s="53" customFormat="1">
      <c r="A394" s="50">
        <v>7</v>
      </c>
      <c r="B394" s="51" t="s">
        <v>3875</v>
      </c>
      <c r="C394" s="4" t="s">
        <v>437</v>
      </c>
      <c r="D394" s="56">
        <v>1668</v>
      </c>
      <c r="E394" s="56">
        <v>1668</v>
      </c>
      <c r="F394" s="56">
        <v>1682</v>
      </c>
      <c r="G394" s="56">
        <v>1685</v>
      </c>
      <c r="H394" s="30">
        <v>1691</v>
      </c>
      <c r="I394" s="30">
        <v>1642</v>
      </c>
      <c r="J394" s="30">
        <v>1641</v>
      </c>
      <c r="K394" s="30">
        <v>1699</v>
      </c>
      <c r="L394" s="30">
        <v>1682</v>
      </c>
      <c r="N394" s="51" t="s">
        <v>7177</v>
      </c>
      <c r="Q394" s="4"/>
      <c r="S394" s="4"/>
    </row>
    <row r="395" spans="1:19" s="53" customFormat="1">
      <c r="A395" s="50">
        <v>8</v>
      </c>
      <c r="B395" s="51" t="s">
        <v>2162</v>
      </c>
      <c r="C395" s="4" t="s">
        <v>438</v>
      </c>
      <c r="D395" s="56">
        <v>3786</v>
      </c>
      <c r="E395" s="56">
        <v>3844</v>
      </c>
      <c r="F395" s="56">
        <v>3809</v>
      </c>
      <c r="G395" s="56">
        <v>3769</v>
      </c>
      <c r="H395" s="30">
        <v>3763</v>
      </c>
      <c r="I395" s="30">
        <v>3725</v>
      </c>
      <c r="J395" s="30">
        <v>3582</v>
      </c>
      <c r="K395" s="30">
        <v>3667</v>
      </c>
      <c r="L395" s="30">
        <v>3653</v>
      </c>
      <c r="N395" s="51" t="s">
        <v>7179</v>
      </c>
      <c r="Q395" s="4"/>
      <c r="S395" s="4"/>
    </row>
    <row r="396" spans="1:19" s="53" customFormat="1">
      <c r="A396" s="50">
        <v>9</v>
      </c>
      <c r="B396" s="51" t="s">
        <v>8843</v>
      </c>
      <c r="C396" s="4" t="s">
        <v>439</v>
      </c>
      <c r="D396" s="56">
        <v>1624</v>
      </c>
      <c r="E396" s="56">
        <v>1618</v>
      </c>
      <c r="F396" s="56">
        <v>1614</v>
      </c>
      <c r="G396" s="56">
        <v>1567</v>
      </c>
      <c r="H396" s="30">
        <v>1564</v>
      </c>
      <c r="I396" s="30">
        <v>1545</v>
      </c>
      <c r="J396" s="30">
        <v>1520</v>
      </c>
      <c r="K396" s="30">
        <v>1559</v>
      </c>
      <c r="L396" s="30">
        <v>1573</v>
      </c>
      <c r="N396" s="51" t="s">
        <v>7177</v>
      </c>
      <c r="Q396" s="4"/>
      <c r="S396" s="4"/>
    </row>
    <row r="397" spans="1:19" s="53" customFormat="1">
      <c r="A397" s="50">
        <v>10</v>
      </c>
      <c r="B397" s="51" t="s">
        <v>2163</v>
      </c>
      <c r="C397" s="4" t="s">
        <v>440</v>
      </c>
      <c r="D397" s="56">
        <v>5224</v>
      </c>
      <c r="E397" s="56">
        <v>5266</v>
      </c>
      <c r="F397" s="56">
        <v>5269</v>
      </c>
      <c r="G397" s="56">
        <v>5358</v>
      </c>
      <c r="H397" s="30">
        <v>5414</v>
      </c>
      <c r="I397" s="30">
        <v>5316</v>
      </c>
      <c r="J397" s="30">
        <v>5160</v>
      </c>
      <c r="K397" s="30">
        <v>5210</v>
      </c>
      <c r="L397" s="30">
        <v>5223</v>
      </c>
      <c r="N397" s="51" t="s">
        <v>7179</v>
      </c>
      <c r="Q397" s="4"/>
      <c r="S397" s="4"/>
    </row>
    <row r="398" spans="1:19" s="53" customFormat="1">
      <c r="A398" s="50">
        <v>11</v>
      </c>
      <c r="B398" s="51" t="s">
        <v>2164</v>
      </c>
      <c r="C398" s="4" t="s">
        <v>441</v>
      </c>
      <c r="D398" s="56">
        <v>4012</v>
      </c>
      <c r="E398" s="56">
        <v>4030</v>
      </c>
      <c r="F398" s="56">
        <v>4078</v>
      </c>
      <c r="G398" s="56">
        <v>4035</v>
      </c>
      <c r="H398" s="31">
        <v>3982</v>
      </c>
      <c r="I398" s="31">
        <v>3912</v>
      </c>
      <c r="J398" s="31">
        <v>3895</v>
      </c>
      <c r="K398" s="31">
        <v>3922</v>
      </c>
      <c r="L398" s="31">
        <v>3869</v>
      </c>
      <c r="N398" s="51" t="s">
        <v>7179</v>
      </c>
      <c r="Q398" s="4"/>
      <c r="S398" s="4"/>
    </row>
    <row r="399" spans="1:19" s="53" customFormat="1">
      <c r="A399" s="50">
        <v>12</v>
      </c>
      <c r="B399" s="51" t="s">
        <v>2165</v>
      </c>
      <c r="C399" s="4" t="s">
        <v>442</v>
      </c>
      <c r="D399" s="56">
        <v>1705</v>
      </c>
      <c r="E399" s="56">
        <v>1705</v>
      </c>
      <c r="F399" s="56">
        <v>1718</v>
      </c>
      <c r="G399" s="56">
        <v>1704</v>
      </c>
      <c r="H399" s="31">
        <v>1728</v>
      </c>
      <c r="I399" s="31">
        <v>1711</v>
      </c>
      <c r="J399" s="31">
        <v>1733</v>
      </c>
      <c r="K399" s="31">
        <v>1762</v>
      </c>
      <c r="L399" s="31">
        <v>1721</v>
      </c>
      <c r="N399" s="51" t="s">
        <v>7179</v>
      </c>
      <c r="Q399" s="4"/>
      <c r="S399" s="4"/>
    </row>
    <row r="400" spans="1:19" s="53" customFormat="1">
      <c r="A400" s="50">
        <v>13</v>
      </c>
      <c r="B400" s="51" t="s">
        <v>2166</v>
      </c>
      <c r="C400" s="4" t="s">
        <v>443</v>
      </c>
      <c r="D400" s="56">
        <v>1782</v>
      </c>
      <c r="E400" s="56">
        <v>1802</v>
      </c>
      <c r="F400" s="56">
        <v>1811</v>
      </c>
      <c r="G400" s="56">
        <v>1799</v>
      </c>
      <c r="H400" s="31">
        <v>1817</v>
      </c>
      <c r="I400" s="31">
        <v>1774</v>
      </c>
      <c r="J400" s="31">
        <v>1748</v>
      </c>
      <c r="K400" s="31">
        <v>1812</v>
      </c>
      <c r="L400" s="31">
        <v>1776</v>
      </c>
      <c r="N400" s="51" t="s">
        <v>7179</v>
      </c>
      <c r="Q400" s="4"/>
      <c r="S400" s="4"/>
    </row>
    <row r="401" spans="1:19" s="53" customFormat="1">
      <c r="A401" s="50">
        <v>14</v>
      </c>
      <c r="B401" s="51" t="s">
        <v>2167</v>
      </c>
      <c r="C401" s="4" t="s">
        <v>444</v>
      </c>
      <c r="D401" s="56">
        <v>5922</v>
      </c>
      <c r="E401" s="56">
        <v>5870</v>
      </c>
      <c r="F401" s="56">
        <v>5895</v>
      </c>
      <c r="G401" s="56">
        <v>5879</v>
      </c>
      <c r="H401" s="30">
        <v>5933</v>
      </c>
      <c r="I401" s="30">
        <v>5774</v>
      </c>
      <c r="J401" s="30">
        <v>5740</v>
      </c>
      <c r="K401" s="30">
        <v>5845</v>
      </c>
      <c r="L401" s="30">
        <v>5745</v>
      </c>
      <c r="N401" s="51" t="s">
        <v>7177</v>
      </c>
      <c r="Q401" s="4"/>
      <c r="S401" s="4"/>
    </row>
    <row r="402" spans="1:19" s="53" customFormat="1">
      <c r="A402" s="50">
        <v>15</v>
      </c>
      <c r="B402" s="51" t="s">
        <v>2168</v>
      </c>
      <c r="C402" s="4" t="s">
        <v>445</v>
      </c>
      <c r="D402" s="56">
        <v>2001</v>
      </c>
      <c r="E402" s="56">
        <v>2036</v>
      </c>
      <c r="F402" s="56">
        <v>2084</v>
      </c>
      <c r="G402" s="56">
        <v>2095</v>
      </c>
      <c r="H402" s="31">
        <v>2171</v>
      </c>
      <c r="I402" s="31">
        <v>2133</v>
      </c>
      <c r="J402" s="31">
        <v>2106</v>
      </c>
      <c r="K402" s="31">
        <v>2162</v>
      </c>
      <c r="L402" s="31">
        <v>2152</v>
      </c>
      <c r="N402" s="51" t="s">
        <v>7179</v>
      </c>
      <c r="Q402" s="4"/>
      <c r="S402" s="4"/>
    </row>
    <row r="403" spans="1:19" s="53" customFormat="1">
      <c r="A403" s="51" t="s">
        <v>7017</v>
      </c>
      <c r="B403" s="51" t="s">
        <v>2169</v>
      </c>
      <c r="C403" s="4" t="s">
        <v>446</v>
      </c>
      <c r="D403" s="56">
        <v>5743</v>
      </c>
      <c r="E403" s="56">
        <v>5769</v>
      </c>
      <c r="F403" s="56">
        <v>5742</v>
      </c>
      <c r="G403" s="56">
        <v>5724</v>
      </c>
      <c r="H403" s="30">
        <v>5747</v>
      </c>
      <c r="I403" s="30">
        <v>5653</v>
      </c>
      <c r="J403" s="30">
        <v>5512</v>
      </c>
      <c r="K403" s="30">
        <v>5569</v>
      </c>
      <c r="L403" s="30">
        <v>5558</v>
      </c>
      <c r="N403" s="51" t="s">
        <v>7177</v>
      </c>
      <c r="Q403" s="4"/>
      <c r="S403" s="4"/>
    </row>
    <row r="404" spans="1:19" s="53" customFormat="1">
      <c r="A404" s="51" t="s">
        <v>7019</v>
      </c>
      <c r="B404" s="51" t="s">
        <v>2170</v>
      </c>
      <c r="C404" s="4" t="s">
        <v>447</v>
      </c>
      <c r="D404" s="56">
        <v>5518</v>
      </c>
      <c r="E404" s="56">
        <v>5507</v>
      </c>
      <c r="F404" s="56">
        <v>5517</v>
      </c>
      <c r="G404" s="56">
        <v>5503</v>
      </c>
      <c r="H404" s="31">
        <v>5485</v>
      </c>
      <c r="I404" s="31">
        <v>5387</v>
      </c>
      <c r="J404" s="31">
        <v>5382</v>
      </c>
      <c r="K404" s="31">
        <v>5585</v>
      </c>
      <c r="L404" s="31">
        <v>5510</v>
      </c>
      <c r="N404" s="51" t="s">
        <v>7179</v>
      </c>
      <c r="Q404" s="4"/>
      <c r="S404" s="4"/>
    </row>
    <row r="405" spans="1:19" s="53" customFormat="1">
      <c r="A405" s="51" t="s">
        <v>7021</v>
      </c>
      <c r="B405" s="51" t="s">
        <v>2171</v>
      </c>
      <c r="C405" s="4" t="s">
        <v>448</v>
      </c>
      <c r="D405" s="56">
        <v>1386</v>
      </c>
      <c r="E405" s="56">
        <v>1404</v>
      </c>
      <c r="F405" s="56">
        <v>1418</v>
      </c>
      <c r="G405" s="56">
        <v>1403</v>
      </c>
      <c r="H405" s="31">
        <v>1431</v>
      </c>
      <c r="I405" s="31">
        <v>1363</v>
      </c>
      <c r="J405" s="31">
        <v>1369</v>
      </c>
      <c r="K405" s="31">
        <v>1441</v>
      </c>
      <c r="L405" s="31">
        <v>1410</v>
      </c>
      <c r="N405" s="51" t="s">
        <v>7179</v>
      </c>
      <c r="Q405" s="4"/>
      <c r="S405" s="4"/>
    </row>
    <row r="406" spans="1:19" s="53" customFormat="1">
      <c r="A406" s="51" t="s">
        <v>7023</v>
      </c>
      <c r="B406" s="51" t="s">
        <v>3872</v>
      </c>
      <c r="C406" s="4" t="s">
        <v>449</v>
      </c>
      <c r="D406" s="56">
        <v>3672</v>
      </c>
      <c r="E406" s="56">
        <v>3682</v>
      </c>
      <c r="F406" s="56">
        <v>3697</v>
      </c>
      <c r="G406" s="56">
        <v>3714</v>
      </c>
      <c r="H406" s="30">
        <v>3716</v>
      </c>
      <c r="I406" s="30">
        <v>3609</v>
      </c>
      <c r="J406" s="30">
        <v>3601</v>
      </c>
      <c r="K406" s="30">
        <v>3655</v>
      </c>
      <c r="L406" s="30">
        <v>3511</v>
      </c>
      <c r="N406" s="51" t="s">
        <v>7177</v>
      </c>
      <c r="Q406" s="4"/>
      <c r="S406" s="4"/>
    </row>
    <row r="407" spans="1:19" s="53" customFormat="1">
      <c r="A407" s="51" t="s">
        <v>7025</v>
      </c>
      <c r="B407" s="51" t="s">
        <v>3873</v>
      </c>
      <c r="C407" s="4" t="s">
        <v>450</v>
      </c>
      <c r="D407" s="56">
        <v>2558</v>
      </c>
      <c r="E407" s="56">
        <v>2535</v>
      </c>
      <c r="F407" s="56">
        <v>2533</v>
      </c>
      <c r="G407" s="56">
        <v>2656</v>
      </c>
      <c r="H407" s="31">
        <v>3034</v>
      </c>
      <c r="I407" s="31">
        <v>3169</v>
      </c>
      <c r="J407" s="31">
        <v>3395</v>
      </c>
      <c r="K407" s="31">
        <v>3671</v>
      </c>
      <c r="L407" s="31">
        <v>3780</v>
      </c>
      <c r="N407" s="51" t="s">
        <v>7179</v>
      </c>
      <c r="Q407" s="4"/>
      <c r="S407" s="4"/>
    </row>
    <row r="408" spans="1:19" s="53" customFormat="1">
      <c r="A408" s="51" t="s">
        <v>7570</v>
      </c>
      <c r="B408" s="51" t="s">
        <v>8835</v>
      </c>
      <c r="C408" s="4" t="s">
        <v>451</v>
      </c>
      <c r="D408" s="56">
        <v>5934</v>
      </c>
      <c r="E408" s="56">
        <v>5857</v>
      </c>
      <c r="F408" s="56">
        <v>5869</v>
      </c>
      <c r="G408" s="56">
        <v>6133</v>
      </c>
      <c r="H408" s="30">
        <v>6460</v>
      </c>
      <c r="I408" s="30">
        <v>6362</v>
      </c>
      <c r="J408" s="30">
        <v>6804</v>
      </c>
      <c r="K408" s="30">
        <v>7479</v>
      </c>
      <c r="L408" s="30">
        <v>7894</v>
      </c>
      <c r="N408" s="51" t="s">
        <v>7177</v>
      </c>
      <c r="Q408" s="4"/>
      <c r="S408" s="4"/>
    </row>
    <row r="409" spans="1:19" s="53" customFormat="1">
      <c r="A409" s="51" t="s">
        <v>7572</v>
      </c>
      <c r="B409" s="51" t="s">
        <v>3881</v>
      </c>
      <c r="C409" s="4" t="s">
        <v>452</v>
      </c>
      <c r="D409" s="56">
        <v>4135</v>
      </c>
      <c r="E409" s="56">
        <v>4124</v>
      </c>
      <c r="F409" s="56">
        <v>4165</v>
      </c>
      <c r="G409" s="56">
        <v>4147</v>
      </c>
      <c r="H409" s="31">
        <v>4097</v>
      </c>
      <c r="I409" s="31">
        <v>4057</v>
      </c>
      <c r="J409" s="31">
        <v>3989</v>
      </c>
      <c r="K409" s="31">
        <v>4090</v>
      </c>
      <c r="L409" s="31">
        <v>4075</v>
      </c>
      <c r="N409" s="51" t="s">
        <v>7179</v>
      </c>
      <c r="Q409" s="4"/>
      <c r="S409" s="4"/>
    </row>
    <row r="410" spans="1:19" s="53" customFormat="1">
      <c r="A410" s="51" t="s">
        <v>7573</v>
      </c>
      <c r="B410" s="51" t="s">
        <v>3882</v>
      </c>
      <c r="C410" s="4" t="s">
        <v>453</v>
      </c>
      <c r="D410" s="56">
        <v>5724</v>
      </c>
      <c r="E410" s="56">
        <v>5731</v>
      </c>
      <c r="F410" s="56">
        <v>5800</v>
      </c>
      <c r="G410" s="56">
        <v>5814</v>
      </c>
      <c r="H410" s="31">
        <v>5786</v>
      </c>
      <c r="I410" s="31">
        <v>5756</v>
      </c>
      <c r="J410" s="31">
        <v>5575</v>
      </c>
      <c r="K410" s="31">
        <v>5646</v>
      </c>
      <c r="L410" s="31">
        <v>5608</v>
      </c>
      <c r="N410" s="51" t="s">
        <v>7179</v>
      </c>
      <c r="Q410" s="4"/>
      <c r="S410" s="4"/>
    </row>
    <row r="411" spans="1:19" s="53" customFormat="1">
      <c r="A411" s="50">
        <v>24</v>
      </c>
      <c r="B411" s="51" t="s">
        <v>3505</v>
      </c>
      <c r="C411" s="4" t="s">
        <v>454</v>
      </c>
      <c r="D411" s="56">
        <v>6071</v>
      </c>
      <c r="E411" s="56">
        <v>6083</v>
      </c>
      <c r="F411" s="56">
        <v>6231</v>
      </c>
      <c r="G411" s="56">
        <v>6315</v>
      </c>
      <c r="H411" s="30">
        <v>6285</v>
      </c>
      <c r="I411" s="30">
        <v>6147</v>
      </c>
      <c r="J411" s="30">
        <v>6075</v>
      </c>
      <c r="K411" s="30">
        <v>6211</v>
      </c>
      <c r="L411" s="30">
        <v>6118</v>
      </c>
      <c r="N411" s="51" t="s">
        <v>7177</v>
      </c>
      <c r="Q411" s="4"/>
      <c r="S411" s="4"/>
    </row>
    <row r="412" spans="1:19" s="53" customFormat="1">
      <c r="C412" s="52"/>
      <c r="D412" s="58"/>
      <c r="E412" s="58"/>
      <c r="F412" s="58"/>
      <c r="G412" s="58"/>
      <c r="H412" s="58"/>
      <c r="I412" s="58"/>
      <c r="J412" s="58"/>
      <c r="K412" s="58"/>
      <c r="L412" s="58"/>
    </row>
    <row r="413" spans="1:19" s="53" customFormat="1">
      <c r="A413" s="51" t="s">
        <v>8420</v>
      </c>
      <c r="C413" s="52"/>
      <c r="D413" s="56">
        <f t="shared" ref="D413:I413" si="233">D389+D391+D392+D394+D396+D401+D403+D406+D408+D411</f>
        <v>41948</v>
      </c>
      <c r="E413" s="56">
        <f t="shared" si="233"/>
        <v>42191</v>
      </c>
      <c r="F413" s="56">
        <f t="shared" si="233"/>
        <v>42834</v>
      </c>
      <c r="G413" s="56">
        <f t="shared" si="233"/>
        <v>43190</v>
      </c>
      <c r="H413" s="56">
        <f t="shared" si="233"/>
        <v>43895</v>
      </c>
      <c r="I413" s="56">
        <f t="shared" si="233"/>
        <v>42997</v>
      </c>
      <c r="J413" s="56">
        <f t="shared" ref="J413:K413" si="234">J389+J391+J392+J394+J396+J401+J403+J406+J408+J411</f>
        <v>43271</v>
      </c>
      <c r="K413" s="56">
        <f t="shared" si="234"/>
        <v>44957</v>
      </c>
      <c r="L413" s="56">
        <f t="shared" ref="L413" si="235">L389+L391+L392+L394+L396+L401+L403+L406+L408+L411</f>
        <v>45080</v>
      </c>
    </row>
    <row r="414" spans="1:19" s="53" customFormat="1">
      <c r="A414" s="51" t="s">
        <v>6555</v>
      </c>
      <c r="C414" s="52"/>
      <c r="D414" s="56">
        <f t="shared" ref="D414:I414" si="236">D388+D390+D393+D395+SUM(D397:D400)+D402+D404+D405+D407+D409+D410</f>
        <v>47576</v>
      </c>
      <c r="E414" s="56">
        <f t="shared" si="236"/>
        <v>47747</v>
      </c>
      <c r="F414" s="56">
        <f t="shared" si="236"/>
        <v>48004</v>
      </c>
      <c r="G414" s="56">
        <f t="shared" si="236"/>
        <v>48101</v>
      </c>
      <c r="H414" s="56">
        <f t="shared" si="236"/>
        <v>48570</v>
      </c>
      <c r="I414" s="56">
        <f t="shared" si="236"/>
        <v>48020</v>
      </c>
      <c r="J414" s="56">
        <f t="shared" ref="J414:K414" si="237">J388+J390+J393+J395+SUM(J397:J400)+J402+J404+J405+J407+J409+J410</f>
        <v>47626</v>
      </c>
      <c r="K414" s="56">
        <f t="shared" si="237"/>
        <v>48906</v>
      </c>
      <c r="L414" s="56">
        <f t="shared" ref="L414" si="238">L388+L390+L393+L395+SUM(L397:L400)+L402+L404+L405+L407+L409+L410</f>
        <v>48714</v>
      </c>
    </row>
    <row r="415" spans="1:19" s="53" customFormat="1">
      <c r="A415" s="51"/>
      <c r="C415" s="52"/>
      <c r="D415" s="56"/>
      <c r="E415" s="56"/>
      <c r="F415" s="56"/>
      <c r="G415" s="56"/>
      <c r="H415" s="56"/>
      <c r="I415" s="56"/>
      <c r="J415" s="56"/>
      <c r="K415" s="56"/>
      <c r="L415" s="56"/>
    </row>
    <row r="416" spans="1:19" s="53" customFormat="1">
      <c r="A416" s="51" t="s">
        <v>3883</v>
      </c>
      <c r="C416" s="52"/>
      <c r="D416" s="56"/>
      <c r="E416" s="56"/>
      <c r="F416" s="56"/>
      <c r="G416" s="56"/>
      <c r="H416" s="56"/>
      <c r="I416" s="56"/>
      <c r="J416" s="56"/>
      <c r="K416" s="56"/>
      <c r="L416" s="56"/>
    </row>
    <row r="417" spans="1:19" s="53" customFormat="1">
      <c r="A417" s="51"/>
      <c r="B417" s="51"/>
      <c r="C417" s="52"/>
      <c r="D417" s="69"/>
      <c r="E417" s="69"/>
      <c r="F417" s="69"/>
      <c r="G417" s="69"/>
      <c r="H417" s="69"/>
      <c r="I417" s="69"/>
      <c r="J417" s="69"/>
      <c r="K417" s="69"/>
      <c r="L417" s="69"/>
    </row>
    <row r="418" spans="1:19" s="53" customFormat="1">
      <c r="A418" s="51"/>
      <c r="B418" s="51"/>
      <c r="C418" s="52"/>
      <c r="D418" s="69"/>
      <c r="E418" s="69"/>
      <c r="F418" s="69"/>
      <c r="G418" s="69"/>
      <c r="H418" s="69"/>
      <c r="I418" s="69"/>
      <c r="J418" s="69"/>
      <c r="K418" s="69"/>
      <c r="L418" s="69"/>
    </row>
    <row r="419" spans="1:19" s="53" customFormat="1">
      <c r="C419" s="52"/>
      <c r="E419" s="42" t="s">
        <v>2303</v>
      </c>
      <c r="F419" s="42"/>
      <c r="G419" s="42"/>
      <c r="H419" s="42"/>
      <c r="I419" s="42"/>
      <c r="J419" s="42"/>
      <c r="K419" s="42"/>
      <c r="L419" s="42"/>
      <c r="M419" s="65"/>
      <c r="N419" s="66" t="s">
        <v>13319</v>
      </c>
    </row>
    <row r="420" spans="1:19" s="53" customFormat="1">
      <c r="C420" s="52"/>
      <c r="D420" s="55">
        <v>2010</v>
      </c>
      <c r="E420" s="55">
        <v>2011</v>
      </c>
      <c r="F420" s="55">
        <v>2012</v>
      </c>
      <c r="G420" s="55">
        <v>2013</v>
      </c>
      <c r="H420" s="55">
        <v>2014</v>
      </c>
      <c r="I420" s="55">
        <v>2015</v>
      </c>
      <c r="J420" s="55">
        <v>2016</v>
      </c>
      <c r="K420" s="55">
        <v>2017</v>
      </c>
      <c r="L420" s="55">
        <v>2018</v>
      </c>
      <c r="M420" s="65"/>
      <c r="N420" s="67" t="s">
        <v>2304</v>
      </c>
    </row>
    <row r="421" spans="1:19" s="53" customFormat="1">
      <c r="A421" s="51" t="s">
        <v>3884</v>
      </c>
      <c r="C421" s="52"/>
      <c r="D421" s="56">
        <f>D422+D423+SUM(D425:D438)+D440+D441</f>
        <v>88180</v>
      </c>
      <c r="E421" s="56">
        <f t="shared" ref="E421:K421" si="239">E422+E423+SUM(E425:E438)+E440+E441</f>
        <v>89574</v>
      </c>
      <c r="F421" s="56">
        <f t="shared" si="239"/>
        <v>90456</v>
      </c>
      <c r="G421" s="56">
        <f t="shared" si="239"/>
        <v>91112</v>
      </c>
      <c r="H421" s="56">
        <f t="shared" si="239"/>
        <v>91952</v>
      </c>
      <c r="I421" s="56">
        <f t="shared" si="239"/>
        <v>89503</v>
      </c>
      <c r="J421" s="56">
        <f t="shared" si="239"/>
        <v>85795</v>
      </c>
      <c r="K421" s="56">
        <f t="shared" si="239"/>
        <v>87529</v>
      </c>
      <c r="L421" s="56">
        <f t="shared" ref="L421" si="240">L422+L423+SUM(L425:L438)+L440+L441</f>
        <v>87879</v>
      </c>
    </row>
    <row r="422" spans="1:19" s="53" customFormat="1">
      <c r="A422" s="51" t="s">
        <v>6957</v>
      </c>
      <c r="B422" s="51" t="s">
        <v>16158</v>
      </c>
      <c r="C422" s="4" t="s">
        <v>16143</v>
      </c>
      <c r="D422" s="56">
        <v>0</v>
      </c>
      <c r="E422" s="56">
        <v>0</v>
      </c>
      <c r="F422" s="56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351</v>
      </c>
      <c r="L422" s="30">
        <v>346</v>
      </c>
      <c r="N422" s="51" t="s">
        <v>7171</v>
      </c>
      <c r="Q422" s="4"/>
      <c r="S422" s="4"/>
    </row>
    <row r="423" spans="1:19" s="53" customFormat="1" ht="15.75" thickBot="1">
      <c r="A423" s="51"/>
      <c r="B423" s="51"/>
      <c r="C423" s="4" t="s">
        <v>16143</v>
      </c>
      <c r="D423" s="56">
        <v>0</v>
      </c>
      <c r="E423" s="56">
        <v>0</v>
      </c>
      <c r="F423" s="56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6484</v>
      </c>
      <c r="L423" s="30">
        <v>6503</v>
      </c>
      <c r="N423" s="51" t="s">
        <v>6507</v>
      </c>
      <c r="Q423" s="4"/>
      <c r="S423" s="4"/>
    </row>
    <row r="424" spans="1:19" s="53" customFormat="1" ht="15.75" thickBot="1">
      <c r="A424" s="51"/>
      <c r="B424" s="51"/>
      <c r="C424" s="4" t="s">
        <v>16143</v>
      </c>
      <c r="D424" s="63">
        <f t="shared" ref="D424:G424" si="241">D422+D423</f>
        <v>0</v>
      </c>
      <c r="E424" s="63">
        <f t="shared" si="241"/>
        <v>0</v>
      </c>
      <c r="F424" s="63">
        <f t="shared" si="241"/>
        <v>0</v>
      </c>
      <c r="G424" s="63">
        <f t="shared" si="241"/>
        <v>0</v>
      </c>
      <c r="H424" s="63">
        <f>H422+H423</f>
        <v>0</v>
      </c>
      <c r="I424" s="63">
        <f>I422+I423</f>
        <v>0</v>
      </c>
      <c r="J424" s="63">
        <f>J422+J423</f>
        <v>0</v>
      </c>
      <c r="K424" s="63">
        <f>K422+K423</f>
        <v>6835</v>
      </c>
      <c r="L424" s="63">
        <f>L422+L423</f>
        <v>6849</v>
      </c>
      <c r="N424" s="51"/>
      <c r="Q424" s="4"/>
      <c r="S424" s="4"/>
    </row>
    <row r="425" spans="1:19" s="53" customFormat="1">
      <c r="A425" s="51" t="s">
        <v>6959</v>
      </c>
      <c r="B425" s="51" t="s">
        <v>16160</v>
      </c>
      <c r="C425" s="4" t="s">
        <v>16144</v>
      </c>
      <c r="D425" s="56">
        <v>56738</v>
      </c>
      <c r="E425" s="56">
        <v>57480</v>
      </c>
      <c r="F425" s="56">
        <v>58187</v>
      </c>
      <c r="G425" s="56">
        <v>58558</v>
      </c>
      <c r="H425" s="56">
        <v>58989</v>
      </c>
      <c r="I425" s="56">
        <v>56868</v>
      </c>
      <c r="J425" s="56">
        <v>53690</v>
      </c>
      <c r="K425" s="30">
        <v>6363</v>
      </c>
      <c r="L425" s="30">
        <v>6335</v>
      </c>
      <c r="N425" s="51" t="s">
        <v>6507</v>
      </c>
      <c r="Q425" s="4"/>
      <c r="S425" s="4"/>
    </row>
    <row r="426" spans="1:19" s="53" customFormat="1">
      <c r="A426" s="51" t="s">
        <v>6961</v>
      </c>
      <c r="B426" s="51" t="s">
        <v>16161</v>
      </c>
      <c r="C426" s="4" t="s">
        <v>16145</v>
      </c>
      <c r="D426" s="56">
        <v>31442</v>
      </c>
      <c r="E426" s="56">
        <v>32094</v>
      </c>
      <c r="F426" s="56">
        <v>32269</v>
      </c>
      <c r="G426" s="56">
        <v>32554</v>
      </c>
      <c r="H426" s="56">
        <v>32963</v>
      </c>
      <c r="I426" s="56">
        <v>32635</v>
      </c>
      <c r="J426" s="56">
        <v>32105</v>
      </c>
      <c r="K426" s="30">
        <v>6188</v>
      </c>
      <c r="L426" s="30">
        <v>6139</v>
      </c>
      <c r="N426" s="51" t="s">
        <v>7171</v>
      </c>
      <c r="Q426" s="4"/>
      <c r="S426" s="4"/>
    </row>
    <row r="427" spans="1:19" s="53" customFormat="1">
      <c r="A427" s="51" t="s">
        <v>6963</v>
      </c>
      <c r="B427" s="51" t="s">
        <v>16162</v>
      </c>
      <c r="C427" s="4" t="s">
        <v>16146</v>
      </c>
      <c r="D427" s="56">
        <v>0</v>
      </c>
      <c r="E427" s="56">
        <v>0</v>
      </c>
      <c r="F427" s="56">
        <v>0</v>
      </c>
      <c r="G427" s="56">
        <v>0</v>
      </c>
      <c r="H427" s="56">
        <v>0</v>
      </c>
      <c r="I427" s="56">
        <v>0</v>
      </c>
      <c r="J427" s="56">
        <v>0</v>
      </c>
      <c r="K427" s="30">
        <v>7101</v>
      </c>
      <c r="L427" s="30">
        <v>7157</v>
      </c>
      <c r="N427" s="51" t="s">
        <v>7171</v>
      </c>
      <c r="Q427" s="4"/>
      <c r="S427" s="4"/>
    </row>
    <row r="428" spans="1:19" s="53" customFormat="1">
      <c r="A428" s="51" t="s">
        <v>6965</v>
      </c>
      <c r="B428" s="51" t="s">
        <v>16163</v>
      </c>
      <c r="C428" s="4" t="s">
        <v>16147</v>
      </c>
      <c r="D428" s="56">
        <v>0</v>
      </c>
      <c r="E428" s="56">
        <v>0</v>
      </c>
      <c r="F428" s="56">
        <v>0</v>
      </c>
      <c r="G428" s="56">
        <v>0</v>
      </c>
      <c r="H428" s="56">
        <v>0</v>
      </c>
      <c r="I428" s="56">
        <v>0</v>
      </c>
      <c r="J428" s="56">
        <v>0</v>
      </c>
      <c r="K428" s="30">
        <v>4312</v>
      </c>
      <c r="L428" s="30">
        <v>4333</v>
      </c>
      <c r="N428" s="51" t="s">
        <v>6507</v>
      </c>
      <c r="Q428" s="4"/>
      <c r="S428" s="4"/>
    </row>
    <row r="429" spans="1:19" s="53" customFormat="1">
      <c r="A429" s="51" t="s">
        <v>6997</v>
      </c>
      <c r="B429" s="51" t="s">
        <v>6522</v>
      </c>
      <c r="C429" s="4" t="s">
        <v>16148</v>
      </c>
      <c r="D429" s="56">
        <v>0</v>
      </c>
      <c r="E429" s="56">
        <v>0</v>
      </c>
      <c r="F429" s="56">
        <v>0</v>
      </c>
      <c r="G429" s="56">
        <v>0</v>
      </c>
      <c r="H429" s="56">
        <v>0</v>
      </c>
      <c r="I429" s="56">
        <v>0</v>
      </c>
      <c r="J429" s="56">
        <v>0</v>
      </c>
      <c r="K429" s="30">
        <v>6062</v>
      </c>
      <c r="L429" s="30">
        <v>6225</v>
      </c>
      <c r="N429" s="51" t="s">
        <v>7171</v>
      </c>
      <c r="Q429" s="4"/>
      <c r="S429" s="4"/>
    </row>
    <row r="430" spans="1:19" s="53" customFormat="1">
      <c r="A430" s="51" t="s">
        <v>6999</v>
      </c>
      <c r="B430" s="51" t="s">
        <v>4291</v>
      </c>
      <c r="C430" s="4" t="s">
        <v>16149</v>
      </c>
      <c r="D430" s="56">
        <v>0</v>
      </c>
      <c r="E430" s="56">
        <v>0</v>
      </c>
      <c r="F430" s="56">
        <v>0</v>
      </c>
      <c r="G430" s="56">
        <v>0</v>
      </c>
      <c r="H430" s="56">
        <v>0</v>
      </c>
      <c r="I430" s="56">
        <v>0</v>
      </c>
      <c r="J430" s="56">
        <v>0</v>
      </c>
      <c r="K430" s="30">
        <v>6647</v>
      </c>
      <c r="L430" s="30">
        <v>6703</v>
      </c>
      <c r="N430" s="51" t="s">
        <v>6507</v>
      </c>
      <c r="Q430" s="4"/>
      <c r="S430" s="4"/>
    </row>
    <row r="431" spans="1:19" s="53" customFormat="1">
      <c r="A431" s="51" t="s">
        <v>7001</v>
      </c>
      <c r="B431" s="51" t="s">
        <v>7743</v>
      </c>
      <c r="C431" s="4" t="s">
        <v>16150</v>
      </c>
      <c r="D431" s="56">
        <v>0</v>
      </c>
      <c r="E431" s="56">
        <v>0</v>
      </c>
      <c r="F431" s="56">
        <v>0</v>
      </c>
      <c r="G431" s="56">
        <v>0</v>
      </c>
      <c r="H431" s="56">
        <v>0</v>
      </c>
      <c r="I431" s="56">
        <v>0</v>
      </c>
      <c r="J431" s="56">
        <v>0</v>
      </c>
      <c r="K431" s="30">
        <v>5996</v>
      </c>
      <c r="L431" s="30">
        <v>5965</v>
      </c>
      <c r="N431" s="51" t="s">
        <v>6507</v>
      </c>
      <c r="Q431" s="4"/>
      <c r="S431" s="4"/>
    </row>
    <row r="432" spans="1:19" s="53" customFormat="1">
      <c r="A432" s="51" t="s">
        <v>7003</v>
      </c>
      <c r="B432" s="51" t="s">
        <v>7744</v>
      </c>
      <c r="C432" s="4" t="s">
        <v>16151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0</v>
      </c>
      <c r="J432" s="56">
        <v>0</v>
      </c>
      <c r="K432" s="30">
        <v>3098</v>
      </c>
      <c r="L432" s="30">
        <v>3224</v>
      </c>
      <c r="N432" s="51" t="s">
        <v>6507</v>
      </c>
      <c r="Q432" s="4"/>
      <c r="S432" s="4"/>
    </row>
    <row r="433" spans="1:19" s="53" customFormat="1">
      <c r="A433" s="51" t="s">
        <v>7005</v>
      </c>
      <c r="B433" s="51" t="s">
        <v>7745</v>
      </c>
      <c r="C433" s="4" t="s">
        <v>16152</v>
      </c>
      <c r="D433" s="56">
        <v>0</v>
      </c>
      <c r="E433" s="56">
        <v>0</v>
      </c>
      <c r="F433" s="56">
        <v>0</v>
      </c>
      <c r="G433" s="56">
        <v>0</v>
      </c>
      <c r="H433" s="56">
        <v>0</v>
      </c>
      <c r="I433" s="56">
        <v>0</v>
      </c>
      <c r="J433" s="56">
        <v>0</v>
      </c>
      <c r="K433" s="30">
        <v>6118</v>
      </c>
      <c r="L433" s="30">
        <v>6108</v>
      </c>
      <c r="N433" s="51" t="s">
        <v>6507</v>
      </c>
      <c r="Q433" s="4"/>
      <c r="S433" s="4"/>
    </row>
    <row r="434" spans="1:19" s="53" customFormat="1">
      <c r="A434" s="51" t="s">
        <v>7007</v>
      </c>
      <c r="B434" s="51" t="s">
        <v>7746</v>
      </c>
      <c r="C434" s="4" t="s">
        <v>16153</v>
      </c>
      <c r="D434" s="56">
        <v>0</v>
      </c>
      <c r="E434" s="56">
        <v>0</v>
      </c>
      <c r="F434" s="56">
        <v>0</v>
      </c>
      <c r="G434" s="56">
        <v>0</v>
      </c>
      <c r="H434" s="56">
        <v>0</v>
      </c>
      <c r="I434" s="56">
        <v>0</v>
      </c>
      <c r="J434" s="56">
        <v>0</v>
      </c>
      <c r="K434" s="30">
        <v>5378</v>
      </c>
      <c r="L434" s="30">
        <v>5391</v>
      </c>
      <c r="N434" s="51" t="s">
        <v>6507</v>
      </c>
      <c r="Q434" s="4"/>
      <c r="S434" s="4"/>
    </row>
    <row r="435" spans="1:19" s="53" customFormat="1">
      <c r="A435" s="51" t="s">
        <v>7009</v>
      </c>
      <c r="B435" s="51" t="s">
        <v>16164</v>
      </c>
      <c r="C435" s="4" t="s">
        <v>16154</v>
      </c>
      <c r="D435" s="56">
        <v>0</v>
      </c>
      <c r="E435" s="56">
        <v>0</v>
      </c>
      <c r="F435" s="56">
        <v>0</v>
      </c>
      <c r="G435" s="56">
        <v>0</v>
      </c>
      <c r="H435" s="56">
        <v>0</v>
      </c>
      <c r="I435" s="56">
        <v>0</v>
      </c>
      <c r="J435" s="56">
        <v>0</v>
      </c>
      <c r="K435" s="30">
        <v>4274</v>
      </c>
      <c r="L435" s="30">
        <v>4353</v>
      </c>
      <c r="N435" s="51" t="s">
        <v>7171</v>
      </c>
      <c r="Q435" s="4"/>
      <c r="S435" s="4"/>
    </row>
    <row r="436" spans="1:19" s="53" customFormat="1">
      <c r="A436" s="51" t="s">
        <v>7011</v>
      </c>
      <c r="B436" s="51" t="s">
        <v>16165</v>
      </c>
      <c r="C436" s="4" t="s">
        <v>16155</v>
      </c>
      <c r="D436" s="56">
        <v>0</v>
      </c>
      <c r="E436" s="56">
        <v>0</v>
      </c>
      <c r="F436" s="56">
        <v>0</v>
      </c>
      <c r="G436" s="56">
        <v>0</v>
      </c>
      <c r="H436" s="56">
        <v>0</v>
      </c>
      <c r="I436" s="56">
        <v>0</v>
      </c>
      <c r="J436" s="56">
        <v>0</v>
      </c>
      <c r="K436" s="31">
        <v>4355</v>
      </c>
      <c r="L436" s="31">
        <v>4359</v>
      </c>
      <c r="N436" s="51" t="s">
        <v>6507</v>
      </c>
      <c r="Q436" s="4"/>
      <c r="S436" s="4"/>
    </row>
    <row r="437" spans="1:19" s="53" customFormat="1">
      <c r="A437" s="51" t="s">
        <v>7013</v>
      </c>
      <c r="B437" s="51" t="s">
        <v>6624</v>
      </c>
      <c r="C437" s="4" t="s">
        <v>16156</v>
      </c>
      <c r="D437" s="56">
        <v>0</v>
      </c>
      <c r="E437" s="56">
        <v>0</v>
      </c>
      <c r="F437" s="56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4300</v>
      </c>
      <c r="L437" s="30">
        <v>4260</v>
      </c>
      <c r="N437" s="51" t="s">
        <v>7171</v>
      </c>
      <c r="Q437" s="4"/>
      <c r="S437" s="4"/>
    </row>
    <row r="438" spans="1:19" s="53" customFormat="1" ht="15.75" thickBot="1">
      <c r="A438" s="51"/>
      <c r="B438" s="51"/>
      <c r="C438" s="4" t="s">
        <v>16156</v>
      </c>
      <c r="D438" s="56">
        <v>0</v>
      </c>
      <c r="E438" s="56">
        <v>0</v>
      </c>
      <c r="F438" s="56">
        <v>0</v>
      </c>
      <c r="G438" s="30">
        <v>0</v>
      </c>
      <c r="H438" s="30">
        <v>0</v>
      </c>
      <c r="I438" s="30">
        <v>0</v>
      </c>
      <c r="J438" s="30">
        <v>0</v>
      </c>
      <c r="K438" s="31">
        <v>99</v>
      </c>
      <c r="L438" s="31">
        <v>101</v>
      </c>
      <c r="N438" s="51" t="s">
        <v>6507</v>
      </c>
      <c r="Q438" s="4"/>
      <c r="S438" s="4"/>
    </row>
    <row r="439" spans="1:19" s="53" customFormat="1" ht="15.75" thickBot="1">
      <c r="A439" s="51"/>
      <c r="B439" s="51"/>
      <c r="C439" s="4" t="s">
        <v>16156</v>
      </c>
      <c r="D439" s="63">
        <f t="shared" ref="D439:G439" si="242">D437+D438</f>
        <v>0</v>
      </c>
      <c r="E439" s="63">
        <f t="shared" si="242"/>
        <v>0</v>
      </c>
      <c r="F439" s="63">
        <f t="shared" si="242"/>
        <v>0</v>
      </c>
      <c r="G439" s="63">
        <f t="shared" si="242"/>
        <v>0</v>
      </c>
      <c r="H439" s="63">
        <f>H437+H438</f>
        <v>0</v>
      </c>
      <c r="I439" s="63">
        <f>I437+I438</f>
        <v>0</v>
      </c>
      <c r="J439" s="63">
        <f>J437+J438</f>
        <v>0</v>
      </c>
      <c r="K439" s="63">
        <f>K437+K438</f>
        <v>4399</v>
      </c>
      <c r="L439" s="63">
        <f>L437+L438</f>
        <v>4361</v>
      </c>
      <c r="N439" s="51"/>
      <c r="Q439" s="4"/>
      <c r="S439" s="4"/>
    </row>
    <row r="440" spans="1:19" s="53" customFormat="1">
      <c r="A440" s="51" t="s">
        <v>7015</v>
      </c>
      <c r="B440" s="51" t="s">
        <v>16166</v>
      </c>
      <c r="C440" s="4" t="s">
        <v>16157</v>
      </c>
      <c r="D440" s="56">
        <v>0</v>
      </c>
      <c r="E440" s="56">
        <v>0</v>
      </c>
      <c r="F440" s="56">
        <v>0</v>
      </c>
      <c r="G440" s="56">
        <v>0</v>
      </c>
      <c r="H440" s="56">
        <v>0</v>
      </c>
      <c r="I440" s="56">
        <v>0</v>
      </c>
      <c r="J440" s="56">
        <v>0</v>
      </c>
      <c r="K440" s="30">
        <v>4651</v>
      </c>
      <c r="L440" s="30">
        <v>4631</v>
      </c>
      <c r="N440" s="51" t="s">
        <v>7171</v>
      </c>
      <c r="Q440" s="4"/>
      <c r="S440" s="4"/>
    </row>
    <row r="441" spans="1:19" s="53" customFormat="1">
      <c r="A441" s="51" t="s">
        <v>7017</v>
      </c>
      <c r="B441" s="51" t="s">
        <v>16167</v>
      </c>
      <c r="C441" s="4" t="s">
        <v>16168</v>
      </c>
      <c r="D441" s="56">
        <v>0</v>
      </c>
      <c r="E441" s="56">
        <v>0</v>
      </c>
      <c r="F441" s="56">
        <v>0</v>
      </c>
      <c r="G441" s="56">
        <v>0</v>
      </c>
      <c r="H441" s="56">
        <v>0</v>
      </c>
      <c r="I441" s="56">
        <v>0</v>
      </c>
      <c r="J441" s="56">
        <v>0</v>
      </c>
      <c r="K441" s="31">
        <v>5752</v>
      </c>
      <c r="L441" s="31">
        <v>5746</v>
      </c>
      <c r="N441" s="51" t="s">
        <v>6507</v>
      </c>
      <c r="S441" s="4"/>
    </row>
    <row r="442" spans="1:19" s="53" customFormat="1">
      <c r="D442" s="58"/>
      <c r="E442" s="58"/>
      <c r="F442" s="58"/>
      <c r="G442" s="58"/>
      <c r="H442" s="58"/>
      <c r="I442" s="58"/>
      <c r="J442" s="58"/>
      <c r="K442" s="58"/>
      <c r="L442" s="58"/>
      <c r="P442" s="52"/>
    </row>
    <row r="443" spans="1:19" s="53" customFormat="1">
      <c r="A443" s="53" t="s">
        <v>2041</v>
      </c>
      <c r="D443" s="58">
        <f>D422+D426+D427+D429+D435+D437+D440</f>
        <v>31442</v>
      </c>
      <c r="E443" s="58">
        <f t="shared" ref="E443:J443" si="243">E422+E426+E427+E429+E435+E437+E440</f>
        <v>32094</v>
      </c>
      <c r="F443" s="58">
        <f t="shared" si="243"/>
        <v>32269</v>
      </c>
      <c r="G443" s="58">
        <f t="shared" si="243"/>
        <v>32554</v>
      </c>
      <c r="H443" s="58">
        <f t="shared" si="243"/>
        <v>32963</v>
      </c>
      <c r="I443" s="58">
        <f t="shared" si="243"/>
        <v>32635</v>
      </c>
      <c r="J443" s="58">
        <f t="shared" si="243"/>
        <v>32105</v>
      </c>
      <c r="K443" s="58">
        <f>K422+K426+K427+K429+K435+K437+K440</f>
        <v>32927</v>
      </c>
      <c r="L443" s="58">
        <f>L422+L426+L427+L429+L435+L437+L440</f>
        <v>33111</v>
      </c>
      <c r="P443" s="52"/>
    </row>
    <row r="444" spans="1:19" s="53" customFormat="1">
      <c r="A444" s="51" t="s">
        <v>7287</v>
      </c>
      <c r="D444" s="56">
        <f>D423+D425+D428+SUM(D430:D434)+D436+D438+D441</f>
        <v>56738</v>
      </c>
      <c r="E444" s="56">
        <f t="shared" ref="E444:K444" si="244">E423+E425+E428+SUM(E430:E434)+E436+E438+E441</f>
        <v>57480</v>
      </c>
      <c r="F444" s="56">
        <f t="shared" si="244"/>
        <v>58187</v>
      </c>
      <c r="G444" s="56">
        <f t="shared" si="244"/>
        <v>58558</v>
      </c>
      <c r="H444" s="56">
        <f t="shared" si="244"/>
        <v>58989</v>
      </c>
      <c r="I444" s="56">
        <f t="shared" si="244"/>
        <v>56868</v>
      </c>
      <c r="J444" s="56">
        <f t="shared" si="244"/>
        <v>53690</v>
      </c>
      <c r="K444" s="56">
        <f t="shared" si="244"/>
        <v>54602</v>
      </c>
      <c r="L444" s="56">
        <f t="shared" ref="L444" si="245">L423+L425+L428+SUM(L430:L434)+L436+L438+L441</f>
        <v>54768</v>
      </c>
      <c r="P444" s="52"/>
    </row>
    <row r="445" spans="1:19" s="53" customFormat="1">
      <c r="P445" s="52"/>
    </row>
    <row r="446" spans="1:19" s="53" customFormat="1">
      <c r="A446" s="53" t="s">
        <v>16159</v>
      </c>
      <c r="P446" s="52"/>
    </row>
  </sheetData>
  <sortState ref="O366:Q378">
    <sortCondition ref="O366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44" orientation="portrait" horizontalDpi="300" verticalDpi="300" r:id="rId1"/>
  <headerFooter alignWithMargins="0">
    <oddFooter>&amp;C&amp;"Times New Roman,Regular"&amp;8&amp;P of &amp;N</oddFooter>
  </headerFooter>
  <rowBreaks count="12" manualBreakCount="12">
    <brk id="77" max="16383" man="1"/>
    <brk id="104" max="16383" man="1"/>
    <brk id="146" max="16383" man="1"/>
    <brk id="194" max="16383" man="1"/>
    <brk id="218" max="16383" man="1"/>
    <brk id="243" max="16383" man="1"/>
    <brk id="269" max="16383" man="1"/>
    <brk id="292" max="16383" man="1"/>
    <brk id="316" max="16383" man="1"/>
    <brk id="361" max="16383" man="1"/>
    <brk id="383" max="12" man="1"/>
    <brk id="417" max="12" man="1"/>
  </rowBreaks>
  <ignoredErrors>
    <ignoredError sqref="D198:K198 D320:G320 D247:K247 D266:K266 D81:K81 D99:D101 D365:K365 D380:G380 D222:K222 D239:D240 D3:D18 D150:K150 D312:D313 D296:K296 D133:K133 D141:D143 D108:K108 D356:D357 D413:D414 D387:G387 D190:D191 E141:E143 E99:E102 E356:E357 E413:E414 E190:E191 E312:E313 E239:E240 E3:E18 F99:F101 F141:F143 F190:F191 F239:F240 F312:F313 F356:F357 F413:F414 F3:F18 G190:G191 G356:G357 G413:G414 G312:G313 G99:G101 G141:G143 G239:G240 G3:G18 D20 D22 E22 F22 G22 D21:G21 E20:G20 D285:G289 H99:H101 H141:H143 H190:H191 H239:H240 D273:K273 H285:I285 H288:H289 H3:H18 H312:H320 H356:H357 H380:H387 H413:H420 H19:H22 D23:D74 E23:E74 F23:F74 G23:G74 H23:H74 I141:I143 I320:K320 I356:I357 I288:I289 I380:K380 I190:I191 I239:I240 I312:I313 I413:I414 I387:K387 I99:I101 I3:I74 J141:J143 J190:J191 J239:J240 J285:J289 J312:J313 J356:J357 J99:J101 J413:J414 J3:J74 D424:K424 D421:K421 D439:K439 D444:K444 K356:K357 K141:K143 K190:K191 K239:K240 K285 K288:K289 K312:K313 K413:K414 K99:K101 K3:K74 D214:K215 L288:L289 L285 L273 L296 L3:L272 L297:L444 L274:L284 L286:L287 L290:L295" unlocked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38"/>
  <sheetViews>
    <sheetView showGridLines="0" zoomScaleNormal="100" workbookViewId="0"/>
  </sheetViews>
  <sheetFormatPr defaultColWidth="12.5703125" defaultRowHeight="15"/>
  <cols>
    <col min="1" max="1" width="4.85546875" style="887" customWidth="1"/>
    <col min="2" max="2" width="35.85546875" style="887" customWidth="1"/>
    <col min="3" max="3" width="11.5703125" style="887" customWidth="1"/>
    <col min="4" max="12" width="10" style="887" customWidth="1"/>
    <col min="13" max="13" width="2.28515625" style="887" customWidth="1"/>
    <col min="14" max="14" width="26.7109375" style="887" customWidth="1"/>
    <col min="15" max="16384" width="12.5703125" style="887"/>
  </cols>
  <sheetData>
    <row r="1" spans="1:14">
      <c r="A1" s="886" t="s">
        <v>7342</v>
      </c>
      <c r="D1" s="888">
        <v>2010</v>
      </c>
      <c r="E1" s="888">
        <v>2011</v>
      </c>
      <c r="F1" s="888">
        <v>2012</v>
      </c>
      <c r="G1" s="888">
        <v>2013</v>
      </c>
      <c r="H1" s="888">
        <v>2014</v>
      </c>
      <c r="I1" s="888">
        <v>2015</v>
      </c>
      <c r="J1" s="888">
        <v>2016</v>
      </c>
      <c r="K1" s="888">
        <v>2017</v>
      </c>
      <c r="L1" s="888">
        <v>2018</v>
      </c>
    </row>
    <row r="3" spans="1:14">
      <c r="A3" s="886" t="s">
        <v>6752</v>
      </c>
      <c r="D3" s="889">
        <f t="shared" ref="D3:I3" si="0">SUM(D17:D38)</f>
        <v>146843</v>
      </c>
      <c r="E3" s="889">
        <f t="shared" si="0"/>
        <v>150040</v>
      </c>
      <c r="F3" s="889">
        <f t="shared" si="0"/>
        <v>150014</v>
      </c>
      <c r="G3" s="889">
        <f t="shared" si="0"/>
        <v>150069</v>
      </c>
      <c r="H3" s="889">
        <f t="shared" si="0"/>
        <v>150479</v>
      </c>
      <c r="I3" s="889">
        <f t="shared" si="0"/>
        <v>138463</v>
      </c>
      <c r="J3" s="889">
        <f t="shared" ref="J3:K3" si="1">SUM(J17:J38)</f>
        <v>141270</v>
      </c>
      <c r="K3" s="889">
        <f t="shared" si="1"/>
        <v>148294</v>
      </c>
      <c r="L3" s="889">
        <f t="shared" ref="L3" si="2">SUM(L17:L38)</f>
        <v>151424</v>
      </c>
    </row>
    <row r="5" spans="1:14">
      <c r="A5" s="886" t="s">
        <v>7343</v>
      </c>
      <c r="D5" s="889">
        <f t="shared" ref="D5:I5" si="3">D3/2</f>
        <v>73421.5</v>
      </c>
      <c r="E5" s="889">
        <f t="shared" si="3"/>
        <v>75020</v>
      </c>
      <c r="F5" s="889">
        <f t="shared" si="3"/>
        <v>75007</v>
      </c>
      <c r="G5" s="889">
        <f t="shared" si="3"/>
        <v>75034.5</v>
      </c>
      <c r="H5" s="889">
        <f t="shared" si="3"/>
        <v>75239.5</v>
      </c>
      <c r="I5" s="889">
        <f t="shared" si="3"/>
        <v>69231.5</v>
      </c>
      <c r="J5" s="889">
        <f t="shared" ref="J5:K5" si="4">J3/2</f>
        <v>70635</v>
      </c>
      <c r="K5" s="889">
        <f t="shared" si="4"/>
        <v>74147</v>
      </c>
      <c r="L5" s="889">
        <f t="shared" ref="L5" si="5">L3/2</f>
        <v>75712</v>
      </c>
    </row>
    <row r="6" spans="1:14">
      <c r="D6" s="890"/>
      <c r="E6" s="890"/>
      <c r="F6" s="890"/>
      <c r="G6" s="890"/>
      <c r="H6" s="890"/>
      <c r="I6" s="890"/>
      <c r="J6" s="890"/>
      <c r="K6" s="890"/>
      <c r="L6" s="890"/>
    </row>
    <row r="7" spans="1:14">
      <c r="A7" s="886" t="s">
        <v>6753</v>
      </c>
      <c r="D7" s="889">
        <f t="shared" ref="D7:I7" si="6">D17+D18+D20+D21+SUM(D23:D26)+D30+D35</f>
        <v>78505</v>
      </c>
      <c r="E7" s="889">
        <f t="shared" si="6"/>
        <v>79878</v>
      </c>
      <c r="F7" s="889">
        <f t="shared" si="6"/>
        <v>80028</v>
      </c>
      <c r="G7" s="889">
        <f t="shared" si="6"/>
        <v>79729</v>
      </c>
      <c r="H7" s="889">
        <f t="shared" si="6"/>
        <v>79596</v>
      </c>
      <c r="I7" s="889">
        <f t="shared" si="6"/>
        <v>73292</v>
      </c>
      <c r="J7" s="889">
        <f t="shared" ref="J7:K7" si="7">J17+J18+J20+J21+SUM(J23:J26)+J30+J35</f>
        <v>74641</v>
      </c>
      <c r="K7" s="889">
        <f t="shared" si="7"/>
        <v>77736</v>
      </c>
      <c r="L7" s="889">
        <f t="shared" ref="L7" si="8">L17+L18+L20+L21+SUM(L23:L26)+L30+L35</f>
        <v>78887</v>
      </c>
      <c r="N7" s="886" t="s">
        <v>6754</v>
      </c>
    </row>
    <row r="8" spans="1:14">
      <c r="D8" s="890"/>
      <c r="E8" s="890"/>
      <c r="F8" s="890"/>
      <c r="G8" s="890"/>
      <c r="H8" s="890"/>
      <c r="I8" s="890"/>
      <c r="J8" s="890"/>
      <c r="K8" s="890"/>
      <c r="L8" s="890"/>
    </row>
    <row r="9" spans="1:14">
      <c r="A9" s="886" t="s">
        <v>6755</v>
      </c>
      <c r="D9" s="889">
        <f t="shared" ref="D9:I9" si="9">D19+D22+SUM(D27:D29)+SUM(D31:D34)</f>
        <v>68338</v>
      </c>
      <c r="E9" s="889">
        <f t="shared" si="9"/>
        <v>70162</v>
      </c>
      <c r="F9" s="889">
        <f t="shared" si="9"/>
        <v>69986</v>
      </c>
      <c r="G9" s="889">
        <f t="shared" si="9"/>
        <v>70340</v>
      </c>
      <c r="H9" s="889">
        <f t="shared" si="9"/>
        <v>70883</v>
      </c>
      <c r="I9" s="889">
        <f t="shared" si="9"/>
        <v>65171</v>
      </c>
      <c r="J9" s="889">
        <f t="shared" ref="J9:K9" si="10">J19+J22+SUM(J27:J29)+SUM(J31:J34)</f>
        <v>66629</v>
      </c>
      <c r="K9" s="889">
        <f t="shared" si="10"/>
        <v>70558</v>
      </c>
      <c r="L9" s="889">
        <f t="shared" ref="L9" si="11">L19+L22+SUM(L27:L29)+SUM(L31:L34)</f>
        <v>72537</v>
      </c>
      <c r="N9" s="886" t="s">
        <v>6754</v>
      </c>
    </row>
    <row r="10" spans="1:14">
      <c r="D10" s="890"/>
      <c r="E10" s="890"/>
      <c r="F10" s="890"/>
      <c r="G10" s="890"/>
      <c r="H10" s="890"/>
      <c r="I10" s="890"/>
      <c r="J10" s="890"/>
      <c r="K10" s="890"/>
      <c r="L10" s="890"/>
    </row>
    <row r="11" spans="1:14">
      <c r="A11" s="886" t="s">
        <v>8697</v>
      </c>
      <c r="D11" s="889">
        <f t="shared" ref="D11:I11" si="12">D7+D9</f>
        <v>146843</v>
      </c>
      <c r="E11" s="889">
        <f t="shared" si="12"/>
        <v>150040</v>
      </c>
      <c r="F11" s="889">
        <f t="shared" si="12"/>
        <v>150014</v>
      </c>
      <c r="G11" s="889">
        <f t="shared" si="12"/>
        <v>150069</v>
      </c>
      <c r="H11" s="889">
        <f t="shared" si="12"/>
        <v>150479</v>
      </c>
      <c r="I11" s="889">
        <f t="shared" si="12"/>
        <v>138463</v>
      </c>
      <c r="J11" s="889">
        <f t="shared" ref="J11:K11" si="13">J7+J9</f>
        <v>141270</v>
      </c>
      <c r="K11" s="889">
        <f t="shared" si="13"/>
        <v>148294</v>
      </c>
      <c r="L11" s="889">
        <f t="shared" ref="L11" si="14">L7+L9</f>
        <v>151424</v>
      </c>
    </row>
    <row r="12" spans="1:14">
      <c r="D12" s="890"/>
      <c r="E12" s="890"/>
      <c r="F12" s="890"/>
      <c r="G12" s="890"/>
      <c r="H12" s="890"/>
      <c r="I12" s="890"/>
      <c r="J12" s="890"/>
      <c r="K12" s="890"/>
      <c r="L12" s="890"/>
    </row>
    <row r="13" spans="1:14">
      <c r="A13" s="886" t="s">
        <v>8698</v>
      </c>
      <c r="D13" s="889">
        <f t="shared" ref="D13:I13" si="15">MAX(D7,D9)-MIN(D7,D9)</f>
        <v>10167</v>
      </c>
      <c r="E13" s="889">
        <f t="shared" si="15"/>
        <v>9716</v>
      </c>
      <c r="F13" s="889">
        <f t="shared" si="15"/>
        <v>10042</v>
      </c>
      <c r="G13" s="889">
        <f t="shared" si="15"/>
        <v>9389</v>
      </c>
      <c r="H13" s="889">
        <f t="shared" si="15"/>
        <v>8713</v>
      </c>
      <c r="I13" s="889">
        <f t="shared" si="15"/>
        <v>8121</v>
      </c>
      <c r="J13" s="889">
        <f t="shared" ref="J13:K13" si="16">MAX(J7,J9)-MIN(J7,J9)</f>
        <v>8012</v>
      </c>
      <c r="K13" s="889">
        <f t="shared" si="16"/>
        <v>7178</v>
      </c>
      <c r="L13" s="889">
        <f t="shared" ref="L13" si="17">MAX(L7,L9)-MIN(L7,L9)</f>
        <v>6350</v>
      </c>
    </row>
    <row r="14" spans="1:14">
      <c r="D14" s="890"/>
      <c r="E14" s="890"/>
      <c r="F14" s="890"/>
      <c r="G14" s="890"/>
      <c r="H14" s="890"/>
      <c r="I14" s="890"/>
      <c r="J14" s="890"/>
      <c r="K14" s="890"/>
      <c r="L14" s="890"/>
    </row>
    <row r="15" spans="1:14">
      <c r="A15" s="886" t="s">
        <v>8701</v>
      </c>
      <c r="D15" s="889">
        <f t="shared" ref="D15:I15" si="18">STDEVP(D7,D9)</f>
        <v>5083.5</v>
      </c>
      <c r="E15" s="889">
        <f t="shared" si="18"/>
        <v>4858</v>
      </c>
      <c r="F15" s="889">
        <f t="shared" si="18"/>
        <v>5021</v>
      </c>
      <c r="G15" s="889">
        <f t="shared" si="18"/>
        <v>4694.5</v>
      </c>
      <c r="H15" s="889">
        <f t="shared" si="18"/>
        <v>4356.5</v>
      </c>
      <c r="I15" s="889">
        <f t="shared" si="18"/>
        <v>4060.5</v>
      </c>
      <c r="J15" s="889">
        <f t="shared" ref="J15:K15" si="19">STDEVP(J7,J9)</f>
        <v>4006</v>
      </c>
      <c r="K15" s="889">
        <f t="shared" si="19"/>
        <v>3589</v>
      </c>
      <c r="L15" s="889">
        <f t="shared" ref="L15" si="20">STDEVP(L7,L9)</f>
        <v>3175</v>
      </c>
    </row>
    <row r="16" spans="1:14">
      <c r="D16" s="890"/>
      <c r="E16" s="890"/>
      <c r="F16" s="890"/>
      <c r="G16" s="890"/>
      <c r="H16" s="890"/>
      <c r="I16" s="890"/>
      <c r="J16" s="890"/>
      <c r="K16" s="890"/>
      <c r="L16" s="890"/>
    </row>
    <row r="17" spans="1:19">
      <c r="A17" s="886" t="s">
        <v>6957</v>
      </c>
      <c r="B17" s="886" t="s">
        <v>7394</v>
      </c>
      <c r="C17" s="4" t="s">
        <v>780</v>
      </c>
      <c r="D17" s="891">
        <v>7925</v>
      </c>
      <c r="E17" s="891">
        <v>7975</v>
      </c>
      <c r="F17" s="891">
        <v>7958</v>
      </c>
      <c r="G17" s="891">
        <v>7886</v>
      </c>
      <c r="H17" s="30">
        <v>7880</v>
      </c>
      <c r="I17" s="30">
        <v>7172</v>
      </c>
      <c r="J17" s="30">
        <v>7473</v>
      </c>
      <c r="K17" s="30">
        <v>7711</v>
      </c>
      <c r="L17" s="30">
        <v>7741</v>
      </c>
      <c r="N17" s="886" t="s">
        <v>6753</v>
      </c>
      <c r="Q17" s="4"/>
      <c r="S17" s="4"/>
    </row>
    <row r="18" spans="1:19">
      <c r="A18" s="886" t="s">
        <v>6959</v>
      </c>
      <c r="B18" s="886" t="s">
        <v>6756</v>
      </c>
      <c r="C18" s="4" t="s">
        <v>781</v>
      </c>
      <c r="D18" s="891">
        <v>7658</v>
      </c>
      <c r="E18" s="891">
        <v>7758</v>
      </c>
      <c r="F18" s="891">
        <v>7794</v>
      </c>
      <c r="G18" s="891">
        <v>7757</v>
      </c>
      <c r="H18" s="30">
        <v>7765</v>
      </c>
      <c r="I18" s="30">
        <v>6824</v>
      </c>
      <c r="J18" s="30">
        <v>7195</v>
      </c>
      <c r="K18" s="30">
        <v>7542</v>
      </c>
      <c r="L18" s="30">
        <v>7823</v>
      </c>
      <c r="N18" s="886" t="s">
        <v>6753</v>
      </c>
      <c r="Q18" s="4"/>
      <c r="S18" s="4"/>
    </row>
    <row r="19" spans="1:19">
      <c r="A19" s="886" t="s">
        <v>6961</v>
      </c>
      <c r="B19" s="886" t="s">
        <v>6743</v>
      </c>
      <c r="C19" s="4" t="s">
        <v>782</v>
      </c>
      <c r="D19" s="891">
        <v>7517</v>
      </c>
      <c r="E19" s="891">
        <v>7733</v>
      </c>
      <c r="F19" s="891">
        <v>7704</v>
      </c>
      <c r="G19" s="891">
        <v>7790</v>
      </c>
      <c r="H19" s="30">
        <v>7832</v>
      </c>
      <c r="I19" s="30">
        <v>6857</v>
      </c>
      <c r="J19" s="30">
        <v>6953</v>
      </c>
      <c r="K19" s="30">
        <v>7342</v>
      </c>
      <c r="L19" s="30">
        <v>7583</v>
      </c>
      <c r="N19" s="886" t="s">
        <v>6755</v>
      </c>
      <c r="Q19" s="4"/>
      <c r="S19" s="4"/>
    </row>
    <row r="20" spans="1:19">
      <c r="A20" s="886" t="s">
        <v>6963</v>
      </c>
      <c r="B20" s="886" t="s">
        <v>6744</v>
      </c>
      <c r="C20" s="4" t="s">
        <v>783</v>
      </c>
      <c r="D20" s="891">
        <v>8266</v>
      </c>
      <c r="E20" s="891">
        <v>8472</v>
      </c>
      <c r="F20" s="891">
        <v>8508</v>
      </c>
      <c r="G20" s="891">
        <v>8640</v>
      </c>
      <c r="H20" s="30">
        <v>8687</v>
      </c>
      <c r="I20" s="30">
        <v>8187</v>
      </c>
      <c r="J20" s="30">
        <v>8207</v>
      </c>
      <c r="K20" s="30">
        <v>8520</v>
      </c>
      <c r="L20" s="30">
        <v>8433</v>
      </c>
      <c r="N20" s="886" t="s">
        <v>6753</v>
      </c>
      <c r="Q20" s="4"/>
      <c r="S20" s="4"/>
    </row>
    <row r="21" spans="1:19">
      <c r="A21" s="886" t="s">
        <v>6965</v>
      </c>
      <c r="B21" s="886" t="s">
        <v>6745</v>
      </c>
      <c r="C21" s="4" t="s">
        <v>784</v>
      </c>
      <c r="D21" s="891">
        <v>8317</v>
      </c>
      <c r="E21" s="891">
        <v>8463</v>
      </c>
      <c r="F21" s="891">
        <v>8370</v>
      </c>
      <c r="G21" s="891">
        <v>8286</v>
      </c>
      <c r="H21" s="30">
        <v>8339</v>
      </c>
      <c r="I21" s="30">
        <v>7505</v>
      </c>
      <c r="J21" s="30">
        <v>7735</v>
      </c>
      <c r="K21" s="30">
        <v>8102</v>
      </c>
      <c r="L21" s="30">
        <v>8248</v>
      </c>
      <c r="N21" s="886" t="s">
        <v>6753</v>
      </c>
      <c r="Q21" s="4"/>
      <c r="S21" s="4"/>
    </row>
    <row r="22" spans="1:19">
      <c r="A22" s="886" t="s">
        <v>6997</v>
      </c>
      <c r="B22" s="886" t="s">
        <v>6746</v>
      </c>
      <c r="C22" s="4" t="s">
        <v>785</v>
      </c>
      <c r="D22" s="891">
        <v>7277</v>
      </c>
      <c r="E22" s="891">
        <v>7565</v>
      </c>
      <c r="F22" s="891">
        <v>7504</v>
      </c>
      <c r="G22" s="891">
        <v>7527</v>
      </c>
      <c r="H22" s="30">
        <v>7403</v>
      </c>
      <c r="I22" s="30">
        <v>6918</v>
      </c>
      <c r="J22" s="30">
        <v>6907</v>
      </c>
      <c r="K22" s="30">
        <v>7165</v>
      </c>
      <c r="L22" s="30">
        <v>7126</v>
      </c>
      <c r="N22" s="886" t="s">
        <v>6755</v>
      </c>
      <c r="Q22" s="4"/>
      <c r="S22" s="4"/>
    </row>
    <row r="23" spans="1:19">
      <c r="A23" s="886" t="s">
        <v>6999</v>
      </c>
      <c r="B23" s="886" t="s">
        <v>6189</v>
      </c>
      <c r="C23" s="4" t="s">
        <v>786</v>
      </c>
      <c r="D23" s="891">
        <v>7594</v>
      </c>
      <c r="E23" s="891">
        <v>7777</v>
      </c>
      <c r="F23" s="891">
        <v>7750</v>
      </c>
      <c r="G23" s="891">
        <v>7696</v>
      </c>
      <c r="H23" s="30">
        <v>7630</v>
      </c>
      <c r="I23" s="30">
        <v>7131</v>
      </c>
      <c r="J23" s="30">
        <v>7150</v>
      </c>
      <c r="K23" s="30">
        <v>7379</v>
      </c>
      <c r="L23" s="30">
        <v>7651</v>
      </c>
      <c r="N23" s="886" t="s">
        <v>6753</v>
      </c>
      <c r="Q23" s="4"/>
      <c r="S23" s="4"/>
    </row>
    <row r="24" spans="1:19">
      <c r="A24" s="886" t="s">
        <v>7001</v>
      </c>
      <c r="B24" s="886" t="s">
        <v>6747</v>
      </c>
      <c r="C24" s="4" t="s">
        <v>787</v>
      </c>
      <c r="D24" s="891">
        <v>8263</v>
      </c>
      <c r="E24" s="891">
        <v>8321</v>
      </c>
      <c r="F24" s="891">
        <v>8447</v>
      </c>
      <c r="G24" s="891">
        <v>8390</v>
      </c>
      <c r="H24" s="30">
        <v>8519</v>
      </c>
      <c r="I24" s="30">
        <v>7744</v>
      </c>
      <c r="J24" s="30">
        <v>7880</v>
      </c>
      <c r="K24" s="30">
        <v>8217</v>
      </c>
      <c r="L24" s="30">
        <v>8447</v>
      </c>
      <c r="N24" s="886" t="s">
        <v>6753</v>
      </c>
      <c r="Q24" s="4"/>
      <c r="S24" s="4"/>
    </row>
    <row r="25" spans="1:19">
      <c r="A25" s="886" t="s">
        <v>7003</v>
      </c>
      <c r="B25" s="886" t="s">
        <v>6748</v>
      </c>
      <c r="C25" s="4" t="s">
        <v>788</v>
      </c>
      <c r="D25" s="891">
        <v>7520</v>
      </c>
      <c r="E25" s="891">
        <v>7612</v>
      </c>
      <c r="F25" s="891">
        <v>7575</v>
      </c>
      <c r="G25" s="891">
        <v>7550</v>
      </c>
      <c r="H25" s="30">
        <v>7397</v>
      </c>
      <c r="I25" s="30">
        <v>7063</v>
      </c>
      <c r="J25" s="30">
        <v>7049</v>
      </c>
      <c r="K25" s="30">
        <v>7477</v>
      </c>
      <c r="L25" s="30">
        <v>7540</v>
      </c>
      <c r="N25" s="886" t="s">
        <v>6753</v>
      </c>
      <c r="Q25" s="4"/>
      <c r="S25" s="4"/>
    </row>
    <row r="26" spans="1:19">
      <c r="A26" s="886" t="s">
        <v>7005</v>
      </c>
      <c r="B26" s="886" t="s">
        <v>6749</v>
      </c>
      <c r="C26" s="4" t="s">
        <v>789</v>
      </c>
      <c r="D26" s="891">
        <v>7498</v>
      </c>
      <c r="E26" s="891">
        <v>7866</v>
      </c>
      <c r="F26" s="891">
        <v>7960</v>
      </c>
      <c r="G26" s="891">
        <v>7828</v>
      </c>
      <c r="H26" s="30">
        <v>7799</v>
      </c>
      <c r="I26" s="30">
        <v>7010</v>
      </c>
      <c r="J26" s="30">
        <v>7078</v>
      </c>
      <c r="K26" s="30">
        <v>7360</v>
      </c>
      <c r="L26" s="30">
        <v>7554</v>
      </c>
      <c r="N26" s="886" t="s">
        <v>6753</v>
      </c>
      <c r="Q26" s="4"/>
      <c r="S26" s="4"/>
    </row>
    <row r="27" spans="1:19">
      <c r="A27" s="886" t="s">
        <v>7007</v>
      </c>
      <c r="B27" s="886" t="s">
        <v>6750</v>
      </c>
      <c r="C27" s="4" t="s">
        <v>790</v>
      </c>
      <c r="D27" s="891">
        <v>7733</v>
      </c>
      <c r="E27" s="891">
        <v>7935</v>
      </c>
      <c r="F27" s="891">
        <v>7917</v>
      </c>
      <c r="G27" s="891">
        <v>7911</v>
      </c>
      <c r="H27" s="30">
        <v>7946</v>
      </c>
      <c r="I27" s="30">
        <v>6916</v>
      </c>
      <c r="J27" s="30">
        <v>7143</v>
      </c>
      <c r="K27" s="30">
        <v>7575</v>
      </c>
      <c r="L27" s="30">
        <v>7812</v>
      </c>
      <c r="N27" s="886" t="s">
        <v>6755</v>
      </c>
      <c r="Q27" s="4"/>
      <c r="S27" s="4"/>
    </row>
    <row r="28" spans="1:19">
      <c r="A28" s="886" t="s">
        <v>7009</v>
      </c>
      <c r="B28" s="886" t="s">
        <v>6751</v>
      </c>
      <c r="C28" s="4" t="s">
        <v>791</v>
      </c>
      <c r="D28" s="891">
        <v>7565</v>
      </c>
      <c r="E28" s="891">
        <v>7654</v>
      </c>
      <c r="F28" s="891">
        <v>7655</v>
      </c>
      <c r="G28" s="891">
        <v>7599</v>
      </c>
      <c r="H28" s="30">
        <v>7674</v>
      </c>
      <c r="I28" s="30">
        <v>6812</v>
      </c>
      <c r="J28" s="30">
        <v>7006</v>
      </c>
      <c r="K28" s="30">
        <v>7368</v>
      </c>
      <c r="L28" s="30">
        <v>7556</v>
      </c>
      <c r="N28" s="886" t="s">
        <v>6755</v>
      </c>
      <c r="Q28" s="4"/>
      <c r="S28" s="4"/>
    </row>
    <row r="29" spans="1:19">
      <c r="A29" s="886" t="s">
        <v>7011</v>
      </c>
      <c r="B29" s="886" t="s">
        <v>6722</v>
      </c>
      <c r="C29" s="4" t="s">
        <v>792</v>
      </c>
      <c r="D29" s="891">
        <v>7739</v>
      </c>
      <c r="E29" s="891">
        <v>7975</v>
      </c>
      <c r="F29" s="891">
        <v>8018</v>
      </c>
      <c r="G29" s="891">
        <v>8135</v>
      </c>
      <c r="H29" s="30">
        <v>8301</v>
      </c>
      <c r="I29" s="30">
        <v>8284</v>
      </c>
      <c r="J29" s="30">
        <v>8276</v>
      </c>
      <c r="K29" s="30">
        <v>8721</v>
      </c>
      <c r="L29" s="30">
        <v>8946</v>
      </c>
      <c r="N29" s="886" t="s">
        <v>6755</v>
      </c>
      <c r="Q29" s="4"/>
      <c r="S29" s="4"/>
    </row>
    <row r="30" spans="1:19">
      <c r="A30" s="886" t="s">
        <v>7013</v>
      </c>
      <c r="B30" s="886" t="s">
        <v>6723</v>
      </c>
      <c r="C30" s="4" t="s">
        <v>793</v>
      </c>
      <c r="D30" s="891">
        <v>8082</v>
      </c>
      <c r="E30" s="891">
        <v>8196</v>
      </c>
      <c r="F30" s="891">
        <v>8302</v>
      </c>
      <c r="G30" s="891">
        <v>8356</v>
      </c>
      <c r="H30" s="30">
        <v>8275</v>
      </c>
      <c r="I30" s="30">
        <v>7977</v>
      </c>
      <c r="J30" s="30">
        <v>8019</v>
      </c>
      <c r="K30" s="30">
        <v>8255</v>
      </c>
      <c r="L30" s="30">
        <v>8261</v>
      </c>
      <c r="N30" s="886" t="s">
        <v>6753</v>
      </c>
      <c r="Q30" s="4"/>
      <c r="S30" s="4"/>
    </row>
    <row r="31" spans="1:19">
      <c r="A31" s="886" t="s">
        <v>7015</v>
      </c>
      <c r="B31" s="886" t="s">
        <v>6724</v>
      </c>
      <c r="C31" s="4" t="s">
        <v>794</v>
      </c>
      <c r="D31" s="891">
        <v>7747</v>
      </c>
      <c r="E31" s="891">
        <v>8135</v>
      </c>
      <c r="F31" s="891">
        <v>7986</v>
      </c>
      <c r="G31" s="891">
        <v>7903</v>
      </c>
      <c r="H31" s="31">
        <v>7956</v>
      </c>
      <c r="I31" s="31">
        <v>7508</v>
      </c>
      <c r="J31" s="31">
        <v>7729</v>
      </c>
      <c r="K31" s="31">
        <v>8383</v>
      </c>
      <c r="L31" s="31">
        <v>8821</v>
      </c>
      <c r="N31" s="886" t="s">
        <v>6755</v>
      </c>
      <c r="Q31" s="4"/>
      <c r="S31" s="4"/>
    </row>
    <row r="32" spans="1:19">
      <c r="A32" s="886" t="s">
        <v>7017</v>
      </c>
      <c r="B32" s="886" t="s">
        <v>6725</v>
      </c>
      <c r="C32" s="4" t="s">
        <v>795</v>
      </c>
      <c r="D32" s="891">
        <v>7688</v>
      </c>
      <c r="E32" s="891">
        <v>7813</v>
      </c>
      <c r="F32" s="891">
        <v>7836</v>
      </c>
      <c r="G32" s="891">
        <v>8094</v>
      </c>
      <c r="H32" s="31">
        <v>8371</v>
      </c>
      <c r="I32" s="31">
        <v>7527</v>
      </c>
      <c r="J32" s="31">
        <v>8091</v>
      </c>
      <c r="K32" s="31">
        <v>8693</v>
      </c>
      <c r="L32" s="31">
        <v>9106</v>
      </c>
      <c r="N32" s="886" t="s">
        <v>6755</v>
      </c>
      <c r="Q32" s="4"/>
      <c r="S32" s="4"/>
    </row>
    <row r="33" spans="1:19">
      <c r="A33" s="886" t="s">
        <v>7019</v>
      </c>
      <c r="B33" s="886" t="s">
        <v>6726</v>
      </c>
      <c r="C33" s="4" t="s">
        <v>796</v>
      </c>
      <c r="D33" s="891">
        <v>7391</v>
      </c>
      <c r="E33" s="891">
        <v>7553</v>
      </c>
      <c r="F33" s="891">
        <v>7605</v>
      </c>
      <c r="G33" s="891">
        <v>7628</v>
      </c>
      <c r="H33" s="31">
        <v>7691</v>
      </c>
      <c r="I33" s="31">
        <v>7060</v>
      </c>
      <c r="J33" s="31">
        <v>7135</v>
      </c>
      <c r="K33" s="31">
        <v>7552</v>
      </c>
      <c r="L33" s="31">
        <v>7662</v>
      </c>
      <c r="N33" s="886" t="s">
        <v>6755</v>
      </c>
      <c r="Q33" s="4"/>
      <c r="S33" s="4"/>
    </row>
    <row r="34" spans="1:19">
      <c r="A34" s="886" t="s">
        <v>7021</v>
      </c>
      <c r="B34" s="886" t="s">
        <v>6727</v>
      </c>
      <c r="C34" s="4" t="s">
        <v>797</v>
      </c>
      <c r="D34" s="891">
        <v>7681</v>
      </c>
      <c r="E34" s="891">
        <v>7799</v>
      </c>
      <c r="F34" s="891">
        <v>7761</v>
      </c>
      <c r="G34" s="891">
        <v>7753</v>
      </c>
      <c r="H34" s="31">
        <v>7709</v>
      </c>
      <c r="I34" s="31">
        <v>7289</v>
      </c>
      <c r="J34" s="31">
        <v>7389</v>
      </c>
      <c r="K34" s="31">
        <v>7759</v>
      </c>
      <c r="L34" s="31">
        <v>7925</v>
      </c>
      <c r="N34" s="886" t="s">
        <v>6755</v>
      </c>
      <c r="Q34" s="4"/>
      <c r="S34" s="4"/>
    </row>
    <row r="35" spans="1:19">
      <c r="A35" s="886" t="s">
        <v>7023</v>
      </c>
      <c r="B35" s="886" t="s">
        <v>6429</v>
      </c>
      <c r="C35" s="4" t="s">
        <v>798</v>
      </c>
      <c r="D35" s="891">
        <v>7382</v>
      </c>
      <c r="E35" s="891">
        <v>7438</v>
      </c>
      <c r="F35" s="891">
        <v>7364</v>
      </c>
      <c r="G35" s="891">
        <v>7340</v>
      </c>
      <c r="H35" s="30">
        <v>7305</v>
      </c>
      <c r="I35" s="30">
        <v>6679</v>
      </c>
      <c r="J35" s="30">
        <v>6855</v>
      </c>
      <c r="K35" s="30">
        <v>7173</v>
      </c>
      <c r="L35" s="30">
        <v>7189</v>
      </c>
      <c r="N35" s="886" t="s">
        <v>6753</v>
      </c>
      <c r="Q35" s="4"/>
      <c r="S35" s="4"/>
    </row>
    <row r="36" spans="1:19">
      <c r="A36" s="886"/>
      <c r="B36" s="886"/>
      <c r="C36" s="886"/>
      <c r="D36" s="889"/>
      <c r="E36" s="889"/>
      <c r="F36" s="889"/>
      <c r="G36" s="889"/>
      <c r="H36" s="889"/>
      <c r="I36" s="889"/>
      <c r="J36" s="889"/>
      <c r="K36" s="889"/>
      <c r="L36" s="889"/>
      <c r="N36" s="886"/>
    </row>
    <row r="37" spans="1:19">
      <c r="A37" s="886" t="s">
        <v>6728</v>
      </c>
      <c r="B37" s="886"/>
      <c r="C37" s="886"/>
      <c r="D37" s="889"/>
      <c r="E37" s="889"/>
      <c r="F37" s="889"/>
      <c r="G37" s="889"/>
      <c r="H37" s="889"/>
      <c r="I37" s="889"/>
      <c r="J37" s="889"/>
      <c r="K37" s="889"/>
      <c r="L37" s="889"/>
      <c r="N37" s="886"/>
    </row>
    <row r="38" spans="1:19">
      <c r="A38" s="886"/>
      <c r="B38" s="886"/>
      <c r="C38" s="886"/>
      <c r="D38" s="889"/>
      <c r="E38" s="889"/>
      <c r="F38" s="889"/>
      <c r="G38" s="889"/>
      <c r="H38" s="889"/>
      <c r="I38" s="889"/>
      <c r="J38" s="889"/>
      <c r="K38" s="889"/>
      <c r="L38" s="889"/>
      <c r="N38" s="886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80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5 H3:H4 H5:H15 I3:I15 J3:J15 K3:K15 L3:L15" unlocked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8"/>
  <sheetViews>
    <sheetView showGridLines="0" zoomScaleNormal="100" workbookViewId="0"/>
  </sheetViews>
  <sheetFormatPr defaultColWidth="12.5703125" defaultRowHeight="15"/>
  <cols>
    <col min="1" max="1" width="4.85546875" style="351" customWidth="1"/>
    <col min="2" max="2" width="35.7109375" style="351" customWidth="1"/>
    <col min="3" max="3" width="11.5703125" style="351" customWidth="1"/>
    <col min="4" max="12" width="10" style="351" customWidth="1"/>
    <col min="13" max="13" width="2.28515625" style="351" customWidth="1"/>
    <col min="14" max="14" width="28.5703125" style="351" customWidth="1"/>
    <col min="15" max="16384" width="12.5703125" style="351"/>
  </cols>
  <sheetData>
    <row r="1" spans="1:14">
      <c r="A1" s="591" t="s">
        <v>7342</v>
      </c>
      <c r="D1" s="592">
        <v>2010</v>
      </c>
      <c r="E1" s="592">
        <v>2011</v>
      </c>
      <c r="F1" s="592">
        <v>2012</v>
      </c>
      <c r="G1" s="592">
        <v>2013</v>
      </c>
      <c r="H1" s="592">
        <v>2014</v>
      </c>
      <c r="I1" s="592">
        <v>2015</v>
      </c>
      <c r="J1" s="592">
        <v>2016</v>
      </c>
      <c r="K1" s="592">
        <v>2017</v>
      </c>
      <c r="L1" s="592">
        <v>2018</v>
      </c>
    </row>
    <row r="3" spans="1:14">
      <c r="A3" s="591" t="s">
        <v>6729</v>
      </c>
      <c r="D3" s="593">
        <f t="shared" ref="D3:I3" si="0">SUM(D25:D45)</f>
        <v>163210</v>
      </c>
      <c r="E3" s="593">
        <f t="shared" si="0"/>
        <v>165363</v>
      </c>
      <c r="F3" s="593">
        <f t="shared" si="0"/>
        <v>165795</v>
      </c>
      <c r="G3" s="593">
        <f t="shared" si="0"/>
        <v>164401</v>
      </c>
      <c r="H3" s="593">
        <f t="shared" si="0"/>
        <v>166809</v>
      </c>
      <c r="I3" s="593">
        <f t="shared" si="0"/>
        <v>160550</v>
      </c>
      <c r="J3" s="593">
        <f t="shared" ref="J3:K3" si="1">SUM(J25:J45)</f>
        <v>161123</v>
      </c>
      <c r="K3" s="593">
        <f t="shared" si="1"/>
        <v>162777</v>
      </c>
      <c r="L3" s="593">
        <f t="shared" ref="L3" si="2">SUM(L25:L45)</f>
        <v>165010</v>
      </c>
    </row>
    <row r="5" spans="1:14">
      <c r="A5" s="591" t="s">
        <v>7343</v>
      </c>
      <c r="D5" s="593">
        <f t="shared" ref="D5:I5" si="3">D3/2</f>
        <v>81605</v>
      </c>
      <c r="E5" s="593">
        <f t="shared" si="3"/>
        <v>82681.5</v>
      </c>
      <c r="F5" s="593">
        <f t="shared" si="3"/>
        <v>82897.5</v>
      </c>
      <c r="G5" s="593">
        <f t="shared" si="3"/>
        <v>82200.5</v>
      </c>
      <c r="H5" s="593">
        <f t="shared" si="3"/>
        <v>83404.5</v>
      </c>
      <c r="I5" s="593">
        <f t="shared" si="3"/>
        <v>80275</v>
      </c>
      <c r="J5" s="593">
        <f t="shared" ref="J5:K5" si="4">J3/2</f>
        <v>80561.5</v>
      </c>
      <c r="K5" s="593">
        <f t="shared" si="4"/>
        <v>81388.5</v>
      </c>
      <c r="L5" s="593">
        <f t="shared" ref="L5" si="5">L3/2</f>
        <v>82505</v>
      </c>
    </row>
    <row r="6" spans="1:14">
      <c r="D6" s="594"/>
      <c r="E6" s="594"/>
      <c r="F6" s="594"/>
      <c r="G6" s="594"/>
      <c r="H6" s="594"/>
      <c r="I6" s="594"/>
      <c r="J6" s="594"/>
      <c r="K6" s="594"/>
      <c r="L6" s="594"/>
    </row>
    <row r="7" spans="1:14">
      <c r="A7" s="591" t="s">
        <v>6730</v>
      </c>
      <c r="D7" s="593">
        <f t="shared" ref="D7:I7" si="6">SUM(D25:D27)+D30+D34+D35+D39+D43+D44</f>
        <v>71533</v>
      </c>
      <c r="E7" s="593">
        <f t="shared" si="6"/>
        <v>72537</v>
      </c>
      <c r="F7" s="593">
        <f t="shared" si="6"/>
        <v>72465</v>
      </c>
      <c r="G7" s="593">
        <f t="shared" si="6"/>
        <v>71564</v>
      </c>
      <c r="H7" s="593">
        <f t="shared" si="6"/>
        <v>72390</v>
      </c>
      <c r="I7" s="593">
        <f t="shared" si="6"/>
        <v>69382</v>
      </c>
      <c r="J7" s="593">
        <f t="shared" ref="J7:K7" si="7">SUM(J25:J27)+J30+J34+J35+J39+J43+J44</f>
        <v>69864</v>
      </c>
      <c r="K7" s="593">
        <f t="shared" si="7"/>
        <v>70779</v>
      </c>
      <c r="L7" s="593">
        <f t="shared" ref="L7" si="8">SUM(L25:L27)+L30+L34+L35+L39+L43+L44</f>
        <v>71585</v>
      </c>
      <c r="N7" s="591" t="s">
        <v>6731</v>
      </c>
    </row>
    <row r="8" spans="1:14">
      <c r="D8" s="594"/>
      <c r="E8" s="594"/>
      <c r="F8" s="594"/>
      <c r="G8" s="594"/>
      <c r="H8" s="594"/>
      <c r="I8" s="594"/>
      <c r="J8" s="594"/>
      <c r="K8" s="594"/>
      <c r="L8" s="594"/>
    </row>
    <row r="9" spans="1:14">
      <c r="A9" s="591" t="s">
        <v>6732</v>
      </c>
      <c r="D9" s="593">
        <f t="shared" ref="D9:I9" si="9">D28+D29+D32+D33+D36+SUM(D40:D42)+D45</f>
        <v>68264</v>
      </c>
      <c r="E9" s="593">
        <f t="shared" si="9"/>
        <v>69135</v>
      </c>
      <c r="F9" s="593">
        <f t="shared" si="9"/>
        <v>69701</v>
      </c>
      <c r="G9" s="593">
        <f t="shared" si="9"/>
        <v>69202</v>
      </c>
      <c r="H9" s="593">
        <f t="shared" si="9"/>
        <v>70487</v>
      </c>
      <c r="I9" s="593">
        <f t="shared" si="9"/>
        <v>67700</v>
      </c>
      <c r="J9" s="593">
        <f t="shared" ref="J9:K9" si="10">J28+J29+J32+J33+J36+SUM(J40:J42)+J45</f>
        <v>67425</v>
      </c>
      <c r="K9" s="593">
        <f t="shared" si="10"/>
        <v>68287</v>
      </c>
      <c r="L9" s="593">
        <f t="shared" ref="L9" si="11">L28+L29+L32+L33+L36+SUM(L40:L42)+L45</f>
        <v>69370</v>
      </c>
      <c r="N9" s="591" t="s">
        <v>6731</v>
      </c>
    </row>
    <row r="10" spans="1:14">
      <c r="D10" s="594"/>
      <c r="E10" s="594"/>
      <c r="F10" s="594"/>
      <c r="G10" s="594"/>
      <c r="H10" s="594"/>
      <c r="I10" s="594"/>
      <c r="J10" s="594"/>
      <c r="K10" s="594"/>
      <c r="L10" s="594"/>
    </row>
    <row r="11" spans="1:14">
      <c r="A11" s="351" t="s">
        <v>6733</v>
      </c>
      <c r="D11" s="594">
        <f t="shared" ref="D11:I11" si="12">D31+D37+D38</f>
        <v>23413</v>
      </c>
      <c r="E11" s="594">
        <f t="shared" si="12"/>
        <v>23691</v>
      </c>
      <c r="F11" s="594">
        <f t="shared" si="12"/>
        <v>23629</v>
      </c>
      <c r="G11" s="594">
        <f t="shared" si="12"/>
        <v>23635</v>
      </c>
      <c r="H11" s="594">
        <f t="shared" si="12"/>
        <v>23932</v>
      </c>
      <c r="I11" s="594">
        <f t="shared" si="12"/>
        <v>23468</v>
      </c>
      <c r="J11" s="594">
        <f t="shared" ref="J11:K11" si="13">J31+J37+J38</f>
        <v>23834</v>
      </c>
      <c r="K11" s="594">
        <f t="shared" si="13"/>
        <v>23711</v>
      </c>
      <c r="L11" s="594">
        <f t="shared" ref="L11" si="14">L31+L37+L38</f>
        <v>24055</v>
      </c>
      <c r="N11" s="591" t="s">
        <v>6731</v>
      </c>
    </row>
    <row r="12" spans="1:14" ht="15.75" thickBot="1">
      <c r="D12" s="595">
        <f>HILLINGDON!D10</f>
        <v>47566</v>
      </c>
      <c r="E12" s="595">
        <f>HILLINGDON!E10</f>
        <v>48015</v>
      </c>
      <c r="F12" s="595">
        <f>HILLINGDON!F10</f>
        <v>48519</v>
      </c>
      <c r="G12" s="595">
        <f>HILLINGDON!G10</f>
        <v>49330</v>
      </c>
      <c r="H12" s="595">
        <f>HILLINGDON!H10</f>
        <v>49559</v>
      </c>
      <c r="I12" s="595">
        <f>HILLINGDON!I10</f>
        <v>49772</v>
      </c>
      <c r="J12" s="595">
        <f>HILLINGDON!J10</f>
        <v>47497</v>
      </c>
      <c r="K12" s="595">
        <f>HILLINGDON!K10</f>
        <v>48747</v>
      </c>
      <c r="L12" s="595">
        <f>HILLINGDON!L10</f>
        <v>48302</v>
      </c>
      <c r="N12" s="351" t="s">
        <v>4978</v>
      </c>
    </row>
    <row r="13" spans="1:14" ht="15.75" thickBot="1">
      <c r="D13" s="596">
        <f t="shared" ref="D13:I13" si="15">D11+D12</f>
        <v>70979</v>
      </c>
      <c r="E13" s="596">
        <f t="shared" si="15"/>
        <v>71706</v>
      </c>
      <c r="F13" s="596">
        <f t="shared" si="15"/>
        <v>72148</v>
      </c>
      <c r="G13" s="596">
        <f t="shared" si="15"/>
        <v>72965</v>
      </c>
      <c r="H13" s="596">
        <f t="shared" si="15"/>
        <v>73491</v>
      </c>
      <c r="I13" s="596">
        <f t="shared" si="15"/>
        <v>73240</v>
      </c>
      <c r="J13" s="596">
        <f t="shared" ref="J13:K13" si="16">J11+J12</f>
        <v>71331</v>
      </c>
      <c r="K13" s="596">
        <f t="shared" si="16"/>
        <v>72458</v>
      </c>
      <c r="L13" s="596">
        <f t="shared" ref="L13" si="17">L11+L12</f>
        <v>72357</v>
      </c>
    </row>
    <row r="14" spans="1:14">
      <c r="D14" s="594"/>
      <c r="E14" s="594"/>
      <c r="F14" s="594"/>
      <c r="G14" s="594"/>
      <c r="H14" s="594"/>
      <c r="I14" s="594"/>
      <c r="J14" s="594"/>
      <c r="K14" s="594"/>
      <c r="L14" s="594"/>
    </row>
    <row r="15" spans="1:14">
      <c r="A15" s="351" t="s">
        <v>4997</v>
      </c>
      <c r="D15" s="594">
        <f>HILLINGDON!D7</f>
        <v>69811</v>
      </c>
      <c r="E15" s="594">
        <f>HILLINGDON!E7</f>
        <v>70589</v>
      </c>
      <c r="F15" s="594">
        <f>HILLINGDON!F7</f>
        <v>71849</v>
      </c>
      <c r="G15" s="594">
        <f>HILLINGDON!G7</f>
        <v>73191</v>
      </c>
      <c r="H15" s="594">
        <f>HILLINGDON!H7</f>
        <v>74347</v>
      </c>
      <c r="I15" s="594">
        <f>HILLINGDON!I7</f>
        <v>75090</v>
      </c>
      <c r="J15" s="594">
        <f>HILLINGDON!J7</f>
        <v>69700</v>
      </c>
      <c r="K15" s="594">
        <f>HILLINGDON!K7</f>
        <v>71756</v>
      </c>
      <c r="L15" s="594">
        <f>HILLINGDON!L7</f>
        <v>71666</v>
      </c>
      <c r="N15" s="351" t="s">
        <v>4978</v>
      </c>
    </row>
    <row r="16" spans="1:14">
      <c r="D16" s="594"/>
      <c r="E16" s="594"/>
      <c r="F16" s="594"/>
      <c r="G16" s="594"/>
      <c r="H16" s="594"/>
      <c r="I16" s="594"/>
      <c r="J16" s="594"/>
      <c r="K16" s="594"/>
      <c r="L16" s="594"/>
    </row>
    <row r="17" spans="1:19">
      <c r="A17" s="351" t="s">
        <v>4998</v>
      </c>
      <c r="D17" s="594">
        <f>HILLINGDON!D13</f>
        <v>71059</v>
      </c>
      <c r="E17" s="594">
        <f>HILLINGDON!E13</f>
        <v>71954</v>
      </c>
      <c r="F17" s="594">
        <f>HILLINGDON!F13</f>
        <v>72592</v>
      </c>
      <c r="G17" s="594">
        <f>HILLINGDON!G13</f>
        <v>72433</v>
      </c>
      <c r="H17" s="594">
        <f>HILLINGDON!H13</f>
        <v>72468</v>
      </c>
      <c r="I17" s="594">
        <f>HILLINGDON!I13</f>
        <v>69871</v>
      </c>
      <c r="J17" s="594">
        <f>HILLINGDON!J13</f>
        <v>66606</v>
      </c>
      <c r="K17" s="594">
        <f>HILLINGDON!K13</f>
        <v>68108</v>
      </c>
      <c r="L17" s="594">
        <f>HILLINGDON!L13</f>
        <v>67738</v>
      </c>
      <c r="N17" s="351" t="s">
        <v>4978</v>
      </c>
    </row>
    <row r="18" spans="1:19">
      <c r="D18" s="594"/>
      <c r="E18" s="594"/>
      <c r="F18" s="594"/>
      <c r="G18" s="594"/>
      <c r="H18" s="594"/>
      <c r="I18" s="594"/>
      <c r="J18" s="594"/>
      <c r="K18" s="594"/>
      <c r="L18" s="594"/>
    </row>
    <row r="19" spans="1:19">
      <c r="A19" s="591" t="s">
        <v>8697</v>
      </c>
      <c r="D19" s="593">
        <f t="shared" ref="D19:I19" si="18">D7+D9+D11</f>
        <v>163210</v>
      </c>
      <c r="E19" s="593">
        <f t="shared" si="18"/>
        <v>165363</v>
      </c>
      <c r="F19" s="593">
        <f t="shared" si="18"/>
        <v>165795</v>
      </c>
      <c r="G19" s="593">
        <f t="shared" si="18"/>
        <v>164401</v>
      </c>
      <c r="H19" s="593">
        <f t="shared" si="18"/>
        <v>166809</v>
      </c>
      <c r="I19" s="593">
        <f t="shared" si="18"/>
        <v>160550</v>
      </c>
      <c r="J19" s="593">
        <f t="shared" ref="J19:K19" si="19">J7+J9+J11</f>
        <v>161123</v>
      </c>
      <c r="K19" s="593">
        <f t="shared" si="19"/>
        <v>162777</v>
      </c>
      <c r="L19" s="593">
        <f t="shared" ref="L19" si="20">L7+L9+L11</f>
        <v>165010</v>
      </c>
    </row>
    <row r="20" spans="1:19">
      <c r="D20" s="594"/>
      <c r="E20" s="594"/>
      <c r="F20" s="594"/>
      <c r="G20" s="594"/>
      <c r="H20" s="594"/>
      <c r="I20" s="594"/>
      <c r="J20" s="594"/>
      <c r="K20" s="594"/>
      <c r="L20" s="594"/>
    </row>
    <row r="21" spans="1:19">
      <c r="A21" s="591" t="s">
        <v>8698</v>
      </c>
      <c r="D21" s="593">
        <f t="shared" ref="D21:I21" si="21">MAX(D7,D9,D13,D15,D17)-MIN(D7,D9,D13,D15,D17)</f>
        <v>3269</v>
      </c>
      <c r="E21" s="593">
        <f t="shared" si="21"/>
        <v>3402</v>
      </c>
      <c r="F21" s="593">
        <f t="shared" si="21"/>
        <v>2891</v>
      </c>
      <c r="G21" s="593">
        <f t="shared" si="21"/>
        <v>3989</v>
      </c>
      <c r="H21" s="593">
        <f t="shared" si="21"/>
        <v>3860</v>
      </c>
      <c r="I21" s="593">
        <f t="shared" si="21"/>
        <v>7390</v>
      </c>
      <c r="J21" s="593">
        <f t="shared" ref="J21:K21" si="22">MAX(J7,J9,J13,J15,J17)-MIN(J7,J9,J13,J15,J17)</f>
        <v>4725</v>
      </c>
      <c r="K21" s="593">
        <f t="shared" si="22"/>
        <v>4350</v>
      </c>
      <c r="L21" s="593">
        <f t="shared" ref="L21" si="23">MAX(L7,L9,L13,L15,L17)-MIN(L7,L9,L13,L15,L17)</f>
        <v>4619</v>
      </c>
    </row>
    <row r="22" spans="1:19">
      <c r="D22" s="594"/>
      <c r="E22" s="594"/>
      <c r="F22" s="594"/>
      <c r="G22" s="594"/>
      <c r="H22" s="594"/>
      <c r="I22" s="594"/>
      <c r="J22" s="594"/>
      <c r="K22" s="594"/>
      <c r="L22" s="594"/>
    </row>
    <row r="23" spans="1:19">
      <c r="A23" s="591" t="s">
        <v>8701</v>
      </c>
      <c r="D23" s="593">
        <f t="shared" ref="D23:I23" si="24">STDEVP(D7,D9,D13,D15,D17)</f>
        <v>1177.9274001397541</v>
      </c>
      <c r="E23" s="593">
        <f t="shared" si="24"/>
        <v>1204.0281392060569</v>
      </c>
      <c r="F23" s="593">
        <f t="shared" si="24"/>
        <v>1057.0515597642341</v>
      </c>
      <c r="G23" s="593">
        <f t="shared" si="24"/>
        <v>1447.2656977901465</v>
      </c>
      <c r="H23" s="593">
        <f t="shared" si="24"/>
        <v>1293.4825240412026</v>
      </c>
      <c r="I23" s="593">
        <f t="shared" si="24"/>
        <v>2702.3044684120996</v>
      </c>
      <c r="J23" s="593">
        <f t="shared" ref="J23:K23" si="25">STDEVP(J7,J9,J13,J15,J17)</f>
        <v>1725.1563871139333</v>
      </c>
      <c r="K23" s="593">
        <f t="shared" si="25"/>
        <v>1781.0595273600488</v>
      </c>
      <c r="L23" s="593">
        <f t="shared" ref="L23" si="26">STDEVP(L7,L9,L13,L15,L17)</f>
        <v>1725.1923255104052</v>
      </c>
    </row>
    <row r="24" spans="1:19">
      <c r="D24" s="594"/>
      <c r="E24" s="594"/>
      <c r="F24" s="594"/>
      <c r="G24" s="594"/>
      <c r="H24" s="594"/>
      <c r="I24" s="594"/>
      <c r="J24" s="594"/>
      <c r="K24" s="594"/>
      <c r="L24" s="594"/>
    </row>
    <row r="25" spans="1:19">
      <c r="A25" s="591" t="s">
        <v>6957</v>
      </c>
      <c r="B25" s="591" t="s">
        <v>5938</v>
      </c>
      <c r="C25" s="4" t="s">
        <v>799</v>
      </c>
      <c r="D25" s="597">
        <v>7824</v>
      </c>
      <c r="E25" s="597">
        <v>7947</v>
      </c>
      <c r="F25" s="597">
        <v>7968</v>
      </c>
      <c r="G25" s="597">
        <v>7916</v>
      </c>
      <c r="H25" s="30">
        <v>8026</v>
      </c>
      <c r="I25" s="30">
        <v>7608</v>
      </c>
      <c r="J25" s="30">
        <v>7695</v>
      </c>
      <c r="K25" s="30">
        <v>7785</v>
      </c>
      <c r="L25" s="30">
        <v>7944</v>
      </c>
      <c r="N25" s="591" t="s">
        <v>6730</v>
      </c>
      <c r="Q25" s="4"/>
      <c r="S25" s="4"/>
    </row>
    <row r="26" spans="1:19">
      <c r="A26" s="591" t="s">
        <v>6959</v>
      </c>
      <c r="B26" s="591" t="s">
        <v>4999</v>
      </c>
      <c r="C26" s="4" t="s">
        <v>800</v>
      </c>
      <c r="D26" s="597">
        <v>8974</v>
      </c>
      <c r="E26" s="597">
        <v>9173</v>
      </c>
      <c r="F26" s="597">
        <v>9296</v>
      </c>
      <c r="G26" s="597">
        <v>9171</v>
      </c>
      <c r="H26" s="30">
        <v>9440</v>
      </c>
      <c r="I26" s="30">
        <v>9157</v>
      </c>
      <c r="J26" s="30">
        <v>9272</v>
      </c>
      <c r="K26" s="30">
        <v>9474</v>
      </c>
      <c r="L26" s="30">
        <v>9694</v>
      </c>
      <c r="N26" s="591" t="s">
        <v>6730</v>
      </c>
      <c r="Q26" s="4"/>
      <c r="S26" s="4"/>
    </row>
    <row r="27" spans="1:19">
      <c r="A27" s="591" t="s">
        <v>6961</v>
      </c>
      <c r="B27" s="591" t="s">
        <v>7002</v>
      </c>
      <c r="C27" s="4" t="s">
        <v>801</v>
      </c>
      <c r="D27" s="597">
        <v>7247</v>
      </c>
      <c r="E27" s="597">
        <v>7280</v>
      </c>
      <c r="F27" s="597">
        <v>7248</v>
      </c>
      <c r="G27" s="597">
        <v>7069</v>
      </c>
      <c r="H27" s="30">
        <v>7130</v>
      </c>
      <c r="I27" s="30">
        <v>6913</v>
      </c>
      <c r="J27" s="30">
        <v>7014</v>
      </c>
      <c r="K27" s="30">
        <v>7118</v>
      </c>
      <c r="L27" s="30">
        <v>7263</v>
      </c>
      <c r="N27" s="591" t="s">
        <v>6730</v>
      </c>
      <c r="Q27" s="4"/>
      <c r="S27" s="4"/>
    </row>
    <row r="28" spans="1:19">
      <c r="A28" s="591" t="s">
        <v>6963</v>
      </c>
      <c r="B28" s="591" t="s">
        <v>5000</v>
      </c>
      <c r="C28" s="4" t="s">
        <v>802</v>
      </c>
      <c r="D28" s="597">
        <v>7586</v>
      </c>
      <c r="E28" s="597">
        <v>7666</v>
      </c>
      <c r="F28" s="597">
        <v>7780</v>
      </c>
      <c r="G28" s="597">
        <v>7643</v>
      </c>
      <c r="H28" s="30">
        <v>8040</v>
      </c>
      <c r="I28" s="30">
        <v>7273</v>
      </c>
      <c r="J28" s="30">
        <v>7343</v>
      </c>
      <c r="K28" s="30">
        <v>7696</v>
      </c>
      <c r="L28" s="30">
        <v>8015</v>
      </c>
      <c r="N28" s="591" t="s">
        <v>6732</v>
      </c>
      <c r="Q28" s="4"/>
      <c r="S28" s="4"/>
    </row>
    <row r="29" spans="1:19">
      <c r="A29" s="591" t="s">
        <v>6965</v>
      </c>
      <c r="B29" s="591" t="s">
        <v>6807</v>
      </c>
      <c r="C29" s="4" t="s">
        <v>803</v>
      </c>
      <c r="D29" s="598">
        <v>7601</v>
      </c>
      <c r="E29" s="598">
        <v>7820</v>
      </c>
      <c r="F29" s="598">
        <v>7823</v>
      </c>
      <c r="G29" s="598">
        <v>7816</v>
      </c>
      <c r="H29" s="30">
        <v>7938</v>
      </c>
      <c r="I29" s="30">
        <v>7306</v>
      </c>
      <c r="J29" s="30">
        <v>7357</v>
      </c>
      <c r="K29" s="30">
        <v>7466</v>
      </c>
      <c r="L29" s="30">
        <v>7564</v>
      </c>
      <c r="N29" s="591" t="s">
        <v>6732</v>
      </c>
      <c r="Q29" s="4"/>
      <c r="S29" s="4"/>
    </row>
    <row r="30" spans="1:19">
      <c r="A30" s="591" t="s">
        <v>6997</v>
      </c>
      <c r="B30" s="591" t="s">
        <v>6808</v>
      </c>
      <c r="C30" s="4" t="s">
        <v>804</v>
      </c>
      <c r="D30" s="597">
        <v>8197</v>
      </c>
      <c r="E30" s="597">
        <v>8265</v>
      </c>
      <c r="F30" s="597">
        <v>8221</v>
      </c>
      <c r="G30" s="597">
        <v>8091</v>
      </c>
      <c r="H30" s="30">
        <v>8182</v>
      </c>
      <c r="I30" s="30">
        <v>7940</v>
      </c>
      <c r="J30" s="30">
        <v>7968</v>
      </c>
      <c r="K30" s="30">
        <v>8053</v>
      </c>
      <c r="L30" s="30">
        <v>8089</v>
      </c>
      <c r="N30" s="591" t="s">
        <v>6730</v>
      </c>
      <c r="Q30" s="4"/>
      <c r="S30" s="4"/>
    </row>
    <row r="31" spans="1:19">
      <c r="A31" s="591" t="s">
        <v>6999</v>
      </c>
      <c r="B31" s="591" t="s">
        <v>6809</v>
      </c>
      <c r="C31" s="4" t="s">
        <v>805</v>
      </c>
      <c r="D31" s="597">
        <v>7970</v>
      </c>
      <c r="E31" s="597">
        <v>8090</v>
      </c>
      <c r="F31" s="597">
        <v>8123</v>
      </c>
      <c r="G31" s="597">
        <v>8155</v>
      </c>
      <c r="H31" s="31">
        <v>8305</v>
      </c>
      <c r="I31" s="31">
        <v>8196</v>
      </c>
      <c r="J31" s="31">
        <v>8207</v>
      </c>
      <c r="K31" s="31">
        <v>8087</v>
      </c>
      <c r="L31" s="31">
        <v>8174</v>
      </c>
      <c r="N31" s="351" t="s">
        <v>6733</v>
      </c>
      <c r="Q31" s="4"/>
      <c r="S31" s="4"/>
    </row>
    <row r="32" spans="1:19">
      <c r="A32" s="591" t="s">
        <v>7001</v>
      </c>
      <c r="B32" s="591" t="s">
        <v>6810</v>
      </c>
      <c r="C32" s="4" t="s">
        <v>806</v>
      </c>
      <c r="D32" s="597">
        <v>7663</v>
      </c>
      <c r="E32" s="597">
        <v>7713</v>
      </c>
      <c r="F32" s="597">
        <v>7744</v>
      </c>
      <c r="G32" s="597">
        <v>7709</v>
      </c>
      <c r="H32" s="30">
        <v>7712</v>
      </c>
      <c r="I32" s="30">
        <v>7676</v>
      </c>
      <c r="J32" s="30">
        <v>7593</v>
      </c>
      <c r="K32" s="30">
        <v>7576</v>
      </c>
      <c r="L32" s="30">
        <v>7656</v>
      </c>
      <c r="N32" s="591" t="s">
        <v>6732</v>
      </c>
      <c r="Q32" s="4"/>
      <c r="S32" s="4"/>
    </row>
    <row r="33" spans="1:19">
      <c r="A33" s="591" t="s">
        <v>7003</v>
      </c>
      <c r="B33" s="591" t="s">
        <v>6811</v>
      </c>
      <c r="C33" s="4" t="s">
        <v>807</v>
      </c>
      <c r="D33" s="597">
        <v>7418</v>
      </c>
      <c r="E33" s="597">
        <v>7494</v>
      </c>
      <c r="F33" s="597">
        <v>7505</v>
      </c>
      <c r="G33" s="597">
        <v>7508</v>
      </c>
      <c r="H33" s="30">
        <v>7758</v>
      </c>
      <c r="I33" s="30">
        <v>7589</v>
      </c>
      <c r="J33" s="30">
        <v>7445</v>
      </c>
      <c r="K33" s="30">
        <v>7394</v>
      </c>
      <c r="L33" s="30">
        <v>7491</v>
      </c>
      <c r="N33" s="591" t="s">
        <v>6732</v>
      </c>
      <c r="Q33" s="4"/>
      <c r="S33" s="4"/>
    </row>
    <row r="34" spans="1:19">
      <c r="A34" s="591" t="s">
        <v>7005</v>
      </c>
      <c r="B34" s="591" t="s">
        <v>6812</v>
      </c>
      <c r="C34" s="4" t="s">
        <v>808</v>
      </c>
      <c r="D34" s="597">
        <v>7642</v>
      </c>
      <c r="E34" s="597">
        <v>7661</v>
      </c>
      <c r="F34" s="597">
        <v>7661</v>
      </c>
      <c r="G34" s="597">
        <v>7644</v>
      </c>
      <c r="H34" s="30">
        <v>7643</v>
      </c>
      <c r="I34" s="30">
        <v>7420</v>
      </c>
      <c r="J34" s="30">
        <v>7329</v>
      </c>
      <c r="K34" s="30">
        <v>7351</v>
      </c>
      <c r="L34" s="30">
        <v>7304</v>
      </c>
      <c r="N34" s="591" t="s">
        <v>6730</v>
      </c>
      <c r="Q34" s="4"/>
      <c r="S34" s="4"/>
    </row>
    <row r="35" spans="1:19">
      <c r="A35" s="591" t="s">
        <v>7007</v>
      </c>
      <c r="B35" s="591" t="s">
        <v>6813</v>
      </c>
      <c r="C35" s="4" t="s">
        <v>809</v>
      </c>
      <c r="D35" s="597">
        <v>8323</v>
      </c>
      <c r="E35" s="597">
        <v>8474</v>
      </c>
      <c r="F35" s="597">
        <v>8501</v>
      </c>
      <c r="G35" s="597">
        <v>8332</v>
      </c>
      <c r="H35" s="30">
        <v>8383</v>
      </c>
      <c r="I35" s="30">
        <v>8175</v>
      </c>
      <c r="J35" s="30">
        <v>8036</v>
      </c>
      <c r="K35" s="30">
        <v>8039</v>
      </c>
      <c r="L35" s="30">
        <v>8042</v>
      </c>
      <c r="N35" s="591" t="s">
        <v>6730</v>
      </c>
      <c r="Q35" s="4"/>
      <c r="S35" s="4"/>
    </row>
    <row r="36" spans="1:19">
      <c r="A36" s="591" t="s">
        <v>7009</v>
      </c>
      <c r="B36" s="591" t="s">
        <v>6814</v>
      </c>
      <c r="C36" s="4" t="s">
        <v>810</v>
      </c>
      <c r="D36" s="597">
        <v>7668</v>
      </c>
      <c r="E36" s="597">
        <v>7822</v>
      </c>
      <c r="F36" s="597">
        <v>7854</v>
      </c>
      <c r="G36" s="597">
        <v>7692</v>
      </c>
      <c r="H36" s="30">
        <v>7847</v>
      </c>
      <c r="I36" s="30">
        <v>7524</v>
      </c>
      <c r="J36" s="30">
        <v>7523</v>
      </c>
      <c r="K36" s="30">
        <v>7524</v>
      </c>
      <c r="L36" s="30">
        <v>7644</v>
      </c>
      <c r="N36" s="591" t="s">
        <v>6732</v>
      </c>
      <c r="Q36" s="4"/>
      <c r="S36" s="4"/>
    </row>
    <row r="37" spans="1:19">
      <c r="A37" s="591" t="s">
        <v>7011</v>
      </c>
      <c r="B37" s="591" t="s">
        <v>6815</v>
      </c>
      <c r="C37" s="4" t="s">
        <v>811</v>
      </c>
      <c r="D37" s="597">
        <v>7624</v>
      </c>
      <c r="E37" s="597">
        <v>7687</v>
      </c>
      <c r="F37" s="597">
        <v>7605</v>
      </c>
      <c r="G37" s="597">
        <v>7688</v>
      </c>
      <c r="H37" s="31">
        <v>7751</v>
      </c>
      <c r="I37" s="31">
        <v>7679</v>
      </c>
      <c r="J37" s="31">
        <v>7825</v>
      </c>
      <c r="K37" s="31">
        <v>7821</v>
      </c>
      <c r="L37" s="31">
        <v>7969</v>
      </c>
      <c r="N37" s="351" t="s">
        <v>6733</v>
      </c>
      <c r="Q37" s="4"/>
      <c r="S37" s="4"/>
    </row>
    <row r="38" spans="1:19">
      <c r="A38" s="591" t="s">
        <v>7013</v>
      </c>
      <c r="B38" s="591" t="s">
        <v>6816</v>
      </c>
      <c r="C38" s="4" t="s">
        <v>812</v>
      </c>
      <c r="D38" s="597">
        <v>7819</v>
      </c>
      <c r="E38" s="597">
        <v>7914</v>
      </c>
      <c r="F38" s="597">
        <v>7901</v>
      </c>
      <c r="G38" s="597">
        <v>7792</v>
      </c>
      <c r="H38" s="31">
        <v>7876</v>
      </c>
      <c r="I38" s="31">
        <v>7593</v>
      </c>
      <c r="J38" s="31">
        <v>7802</v>
      </c>
      <c r="K38" s="31">
        <v>7803</v>
      </c>
      <c r="L38" s="31">
        <v>7912</v>
      </c>
      <c r="N38" s="351" t="s">
        <v>6733</v>
      </c>
      <c r="Q38" s="4"/>
      <c r="S38" s="4"/>
    </row>
    <row r="39" spans="1:19">
      <c r="A39" s="591" t="s">
        <v>7015</v>
      </c>
      <c r="B39" s="591" t="s">
        <v>5323</v>
      </c>
      <c r="C39" s="4" t="s">
        <v>813</v>
      </c>
      <c r="D39" s="597">
        <v>7923</v>
      </c>
      <c r="E39" s="597">
        <v>8073</v>
      </c>
      <c r="F39" s="597">
        <v>7965</v>
      </c>
      <c r="G39" s="597">
        <v>7776</v>
      </c>
      <c r="H39" s="30">
        <v>7790</v>
      </c>
      <c r="I39" s="30">
        <v>7235</v>
      </c>
      <c r="J39" s="30">
        <v>7392</v>
      </c>
      <c r="K39" s="30">
        <v>7419</v>
      </c>
      <c r="L39" s="30">
        <v>7427</v>
      </c>
      <c r="N39" s="591" t="s">
        <v>6730</v>
      </c>
      <c r="Q39" s="4"/>
      <c r="S39" s="4"/>
    </row>
    <row r="40" spans="1:19">
      <c r="A40" s="591" t="s">
        <v>7017</v>
      </c>
      <c r="B40" s="591" t="s">
        <v>6702</v>
      </c>
      <c r="C40" s="4" t="s">
        <v>814</v>
      </c>
      <c r="D40" s="597">
        <v>7794</v>
      </c>
      <c r="E40" s="597">
        <v>7829</v>
      </c>
      <c r="F40" s="597">
        <v>7905</v>
      </c>
      <c r="G40" s="597">
        <v>7902</v>
      </c>
      <c r="H40" s="30">
        <v>7906</v>
      </c>
      <c r="I40" s="30">
        <v>7748</v>
      </c>
      <c r="J40" s="30">
        <v>7539</v>
      </c>
      <c r="K40" s="30">
        <v>7634</v>
      </c>
      <c r="L40" s="30">
        <v>7732</v>
      </c>
      <c r="N40" s="591" t="s">
        <v>6732</v>
      </c>
      <c r="Q40" s="4"/>
      <c r="S40" s="4"/>
    </row>
    <row r="41" spans="1:19">
      <c r="A41" s="591" t="s">
        <v>7019</v>
      </c>
      <c r="B41" s="591" t="s">
        <v>6703</v>
      </c>
      <c r="C41" s="4" t="s">
        <v>815</v>
      </c>
      <c r="D41" s="597">
        <v>8003</v>
      </c>
      <c r="E41" s="597">
        <v>8098</v>
      </c>
      <c r="F41" s="597">
        <v>8268</v>
      </c>
      <c r="G41" s="597">
        <v>8189</v>
      </c>
      <c r="H41" s="31">
        <v>8453</v>
      </c>
      <c r="I41" s="31">
        <v>8065</v>
      </c>
      <c r="J41" s="31">
        <v>8078</v>
      </c>
      <c r="K41" s="31">
        <v>8353</v>
      </c>
      <c r="L41" s="31">
        <v>8514</v>
      </c>
      <c r="N41" s="591" t="s">
        <v>6732</v>
      </c>
      <c r="Q41" s="4"/>
      <c r="S41" s="4"/>
    </row>
    <row r="42" spans="1:19">
      <c r="A42" s="591" t="s">
        <v>7021</v>
      </c>
      <c r="B42" s="591" t="s">
        <v>6704</v>
      </c>
      <c r="C42" s="4" t="s">
        <v>816</v>
      </c>
      <c r="D42" s="597">
        <v>7527</v>
      </c>
      <c r="E42" s="597">
        <v>7525</v>
      </c>
      <c r="F42" s="597">
        <v>7618</v>
      </c>
      <c r="G42" s="597">
        <v>7602</v>
      </c>
      <c r="H42" s="31">
        <v>7664</v>
      </c>
      <c r="I42" s="31">
        <v>7442</v>
      </c>
      <c r="J42" s="31">
        <v>7432</v>
      </c>
      <c r="K42" s="31">
        <v>7440</v>
      </c>
      <c r="L42" s="31">
        <v>7504</v>
      </c>
      <c r="N42" s="591" t="s">
        <v>6732</v>
      </c>
      <c r="Q42" s="4"/>
      <c r="S42" s="4"/>
    </row>
    <row r="43" spans="1:19">
      <c r="A43" s="591" t="s">
        <v>7023</v>
      </c>
      <c r="B43" s="591" t="s">
        <v>6705</v>
      </c>
      <c r="C43" s="4" t="s">
        <v>817</v>
      </c>
      <c r="D43" s="597">
        <v>8292</v>
      </c>
      <c r="E43" s="597">
        <v>8409</v>
      </c>
      <c r="F43" s="597">
        <v>8374</v>
      </c>
      <c r="G43" s="597">
        <v>8369</v>
      </c>
      <c r="H43" s="30">
        <v>8543</v>
      </c>
      <c r="I43" s="30">
        <v>8198</v>
      </c>
      <c r="J43" s="30">
        <v>8349</v>
      </c>
      <c r="K43" s="30">
        <v>8479</v>
      </c>
      <c r="L43" s="30">
        <v>8604</v>
      </c>
      <c r="N43" s="591" t="s">
        <v>6730</v>
      </c>
      <c r="Q43" s="4"/>
      <c r="S43" s="4"/>
    </row>
    <row r="44" spans="1:19">
      <c r="A44" s="591" t="s">
        <v>7025</v>
      </c>
      <c r="B44" s="591" t="s">
        <v>6706</v>
      </c>
      <c r="C44" s="4" t="s">
        <v>818</v>
      </c>
      <c r="D44" s="597">
        <v>7111</v>
      </c>
      <c r="E44" s="597">
        <v>7255</v>
      </c>
      <c r="F44" s="597">
        <v>7231</v>
      </c>
      <c r="G44" s="597">
        <v>7196</v>
      </c>
      <c r="H44" s="30">
        <v>7253</v>
      </c>
      <c r="I44" s="30">
        <v>6736</v>
      </c>
      <c r="J44" s="30">
        <v>6809</v>
      </c>
      <c r="K44" s="30">
        <v>7061</v>
      </c>
      <c r="L44" s="30">
        <v>7218</v>
      </c>
      <c r="N44" s="591" t="s">
        <v>6730</v>
      </c>
      <c r="Q44" s="4"/>
      <c r="S44" s="4"/>
    </row>
    <row r="45" spans="1:19">
      <c r="A45" s="591" t="s">
        <v>7570</v>
      </c>
      <c r="B45" s="591" t="s">
        <v>6707</v>
      </c>
      <c r="C45" s="4" t="s">
        <v>819</v>
      </c>
      <c r="D45" s="597">
        <v>7004</v>
      </c>
      <c r="E45" s="597">
        <v>7168</v>
      </c>
      <c r="F45" s="597">
        <v>7204</v>
      </c>
      <c r="G45" s="597">
        <v>7141</v>
      </c>
      <c r="H45" s="31">
        <v>7169</v>
      </c>
      <c r="I45" s="31">
        <v>7077</v>
      </c>
      <c r="J45" s="31">
        <v>7115</v>
      </c>
      <c r="K45" s="31">
        <v>7204</v>
      </c>
      <c r="L45" s="31">
        <v>7250</v>
      </c>
      <c r="N45" s="591" t="s">
        <v>6732</v>
      </c>
      <c r="Q45" s="4"/>
      <c r="S45" s="4"/>
    </row>
    <row r="47" spans="1:19">
      <c r="A47" s="351" t="s">
        <v>8539</v>
      </c>
    </row>
    <row r="48" spans="1:19">
      <c r="A48" s="351" t="s">
        <v>8540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9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3 E5:E23 F5:F23 G5:G23 H3:H4 H5:H23 I3:I23 J3:J23 K3:K23 L3:L23" unlocked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3"/>
  <sheetViews>
    <sheetView showGridLines="0" zoomScaleNormal="100" workbookViewId="0"/>
  </sheetViews>
  <sheetFormatPr defaultColWidth="12.5703125" defaultRowHeight="15"/>
  <cols>
    <col min="1" max="1" width="4.85546875" style="428" customWidth="1"/>
    <col min="2" max="2" width="30.7109375" style="428" customWidth="1"/>
    <col min="3" max="3" width="11.85546875" style="428" customWidth="1"/>
    <col min="4" max="12" width="10" style="428" customWidth="1"/>
    <col min="13" max="13" width="2.28515625" style="428" customWidth="1"/>
    <col min="14" max="14" width="20.7109375" style="428" customWidth="1"/>
    <col min="15" max="16384" width="12.5703125" style="428"/>
  </cols>
  <sheetData>
    <row r="1" spans="1:18">
      <c r="A1" s="427" t="s">
        <v>8847</v>
      </c>
      <c r="D1" s="805">
        <v>2010</v>
      </c>
      <c r="E1" s="805">
        <v>2011</v>
      </c>
      <c r="F1" s="805">
        <v>2012</v>
      </c>
      <c r="G1" s="805">
        <v>2013</v>
      </c>
      <c r="H1" s="805">
        <v>2014</v>
      </c>
      <c r="I1" s="805">
        <v>2015</v>
      </c>
      <c r="J1" s="805">
        <v>2016</v>
      </c>
      <c r="K1" s="805">
        <v>2017</v>
      </c>
      <c r="L1" s="805">
        <v>2018</v>
      </c>
    </row>
    <row r="3" spans="1:18">
      <c r="A3" s="427" t="s">
        <v>8748</v>
      </c>
      <c r="D3" s="429">
        <f t="shared" ref="D3:I3" si="0">SUM(D9:D19)</f>
        <v>69284</v>
      </c>
      <c r="E3" s="429">
        <f t="shared" si="0"/>
        <v>70010</v>
      </c>
      <c r="F3" s="429">
        <f t="shared" si="0"/>
        <v>70203</v>
      </c>
      <c r="G3" s="429">
        <f t="shared" si="0"/>
        <v>70426</v>
      </c>
      <c r="H3" s="429">
        <f t="shared" si="0"/>
        <v>70463</v>
      </c>
      <c r="I3" s="429">
        <f t="shared" si="0"/>
        <v>68796</v>
      </c>
      <c r="J3" s="429">
        <f t="shared" ref="J3:K3" si="1">SUM(J9:J19)</f>
        <v>68201</v>
      </c>
      <c r="K3" s="429">
        <f t="shared" si="1"/>
        <v>68801</v>
      </c>
      <c r="L3" s="429">
        <f t="shared" ref="L3" si="2">SUM(L9:L19)</f>
        <v>70032</v>
      </c>
    </row>
    <row r="4" spans="1:18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8">
      <c r="A5" s="427" t="s">
        <v>8749</v>
      </c>
      <c r="D5" s="429">
        <f t="shared" ref="D5:I5" si="3">D3/1</f>
        <v>69284</v>
      </c>
      <c r="E5" s="429">
        <f t="shared" si="3"/>
        <v>70010</v>
      </c>
      <c r="F5" s="429">
        <f t="shared" si="3"/>
        <v>70203</v>
      </c>
      <c r="G5" s="429">
        <f t="shared" si="3"/>
        <v>70426</v>
      </c>
      <c r="H5" s="429">
        <f t="shared" si="3"/>
        <v>70463</v>
      </c>
      <c r="I5" s="429">
        <f t="shared" si="3"/>
        <v>68796</v>
      </c>
      <c r="J5" s="429">
        <f t="shared" ref="J5:K5" si="4">J3/1</f>
        <v>68201</v>
      </c>
      <c r="K5" s="429">
        <f t="shared" si="4"/>
        <v>68801</v>
      </c>
      <c r="L5" s="429">
        <f t="shared" ref="L5" si="5">L3/1</f>
        <v>70032</v>
      </c>
    </row>
    <row r="6" spans="1:18">
      <c r="D6" s="431"/>
      <c r="E6" s="431"/>
      <c r="F6" s="431"/>
      <c r="G6" s="431"/>
      <c r="H6" s="431"/>
      <c r="I6" s="431"/>
      <c r="J6" s="431"/>
      <c r="K6" s="431"/>
      <c r="L6" s="431"/>
    </row>
    <row r="7" spans="1:18">
      <c r="A7" s="427" t="s">
        <v>8750</v>
      </c>
      <c r="D7" s="429">
        <f t="shared" ref="D7:I7" si="6">SUM(D9:D19)</f>
        <v>69284</v>
      </c>
      <c r="E7" s="429">
        <f t="shared" si="6"/>
        <v>70010</v>
      </c>
      <c r="F7" s="429">
        <f t="shared" si="6"/>
        <v>70203</v>
      </c>
      <c r="G7" s="429">
        <f t="shared" si="6"/>
        <v>70426</v>
      </c>
      <c r="H7" s="429">
        <f t="shared" si="6"/>
        <v>70463</v>
      </c>
      <c r="I7" s="429">
        <f t="shared" si="6"/>
        <v>68796</v>
      </c>
      <c r="J7" s="429">
        <f t="shared" ref="J7:K7" si="7">SUM(J9:J19)</f>
        <v>68201</v>
      </c>
      <c r="K7" s="429">
        <f t="shared" si="7"/>
        <v>68801</v>
      </c>
      <c r="L7" s="429">
        <f t="shared" ref="L7" si="8">SUM(L9:L19)</f>
        <v>70032</v>
      </c>
      <c r="N7" s="427" t="s">
        <v>8751</v>
      </c>
    </row>
    <row r="8" spans="1:18">
      <c r="D8" s="431"/>
      <c r="E8" s="431"/>
      <c r="F8" s="431"/>
      <c r="G8" s="431"/>
      <c r="H8" s="431"/>
      <c r="I8" s="431"/>
      <c r="J8" s="431"/>
      <c r="K8" s="431"/>
      <c r="L8" s="431"/>
    </row>
    <row r="9" spans="1:18">
      <c r="A9" s="427" t="s">
        <v>6957</v>
      </c>
      <c r="B9" s="427" t="s">
        <v>8752</v>
      </c>
      <c r="C9" s="4" t="s">
        <v>13115</v>
      </c>
      <c r="D9" s="429">
        <v>69284</v>
      </c>
      <c r="E9" s="429">
        <v>70010</v>
      </c>
      <c r="F9" s="429">
        <v>70203</v>
      </c>
      <c r="G9" s="30">
        <v>6468</v>
      </c>
      <c r="H9" s="30">
        <v>6330</v>
      </c>
      <c r="I9" s="30">
        <v>6145</v>
      </c>
      <c r="J9" s="30">
        <v>5903</v>
      </c>
      <c r="K9" s="30">
        <v>5947</v>
      </c>
      <c r="L9" s="30">
        <v>6008</v>
      </c>
      <c r="N9" s="427" t="s">
        <v>8750</v>
      </c>
      <c r="P9" s="4"/>
      <c r="R9" s="4"/>
    </row>
    <row r="10" spans="1:18">
      <c r="A10" s="427" t="s">
        <v>6959</v>
      </c>
      <c r="B10" s="427" t="s">
        <v>13110</v>
      </c>
      <c r="C10" s="4" t="s">
        <v>13116</v>
      </c>
      <c r="D10" s="429">
        <v>0</v>
      </c>
      <c r="E10" s="429">
        <v>0</v>
      </c>
      <c r="F10" s="429">
        <v>0</v>
      </c>
      <c r="G10" s="30">
        <v>5886</v>
      </c>
      <c r="H10" s="30">
        <v>5859</v>
      </c>
      <c r="I10" s="30">
        <v>5717</v>
      </c>
      <c r="J10" s="30">
        <v>5597</v>
      </c>
      <c r="K10" s="30">
        <v>5647</v>
      </c>
      <c r="L10" s="30">
        <v>5915</v>
      </c>
      <c r="N10" s="427" t="s">
        <v>8750</v>
      </c>
      <c r="P10" s="4"/>
      <c r="R10" s="4"/>
    </row>
    <row r="11" spans="1:18">
      <c r="A11" s="427" t="s">
        <v>6961</v>
      </c>
      <c r="B11" s="427" t="s">
        <v>13111</v>
      </c>
      <c r="C11" s="4" t="s">
        <v>13117</v>
      </c>
      <c r="D11" s="429">
        <v>0</v>
      </c>
      <c r="E11" s="429">
        <v>0</v>
      </c>
      <c r="F11" s="429">
        <v>0</v>
      </c>
      <c r="G11" s="30">
        <v>7194</v>
      </c>
      <c r="H11" s="30">
        <v>7166</v>
      </c>
      <c r="I11" s="30">
        <v>7000</v>
      </c>
      <c r="J11" s="30">
        <v>7003</v>
      </c>
      <c r="K11" s="30">
        <v>7000</v>
      </c>
      <c r="L11" s="30">
        <v>6978</v>
      </c>
      <c r="N11" s="427" t="s">
        <v>8750</v>
      </c>
      <c r="P11" s="4"/>
      <c r="R11" s="4"/>
    </row>
    <row r="12" spans="1:18">
      <c r="A12" s="427" t="s">
        <v>6963</v>
      </c>
      <c r="B12" s="427" t="s">
        <v>8753</v>
      </c>
      <c r="C12" s="4" t="s">
        <v>13118</v>
      </c>
      <c r="D12" s="429">
        <v>0</v>
      </c>
      <c r="E12" s="429">
        <v>0</v>
      </c>
      <c r="F12" s="429">
        <v>0</v>
      </c>
      <c r="G12" s="30">
        <v>6486</v>
      </c>
      <c r="H12" s="30">
        <v>6516</v>
      </c>
      <c r="I12" s="30">
        <v>6353</v>
      </c>
      <c r="J12" s="30">
        <v>6286</v>
      </c>
      <c r="K12" s="30">
        <v>6265</v>
      </c>
      <c r="L12" s="30">
        <v>6415</v>
      </c>
      <c r="N12" s="427" t="s">
        <v>8750</v>
      </c>
      <c r="P12" s="4"/>
      <c r="R12" s="4"/>
    </row>
    <row r="13" spans="1:18">
      <c r="A13" s="427" t="s">
        <v>6965</v>
      </c>
      <c r="B13" s="427" t="s">
        <v>5053</v>
      </c>
      <c r="C13" s="4" t="s">
        <v>13119</v>
      </c>
      <c r="D13" s="429">
        <v>0</v>
      </c>
      <c r="E13" s="429">
        <v>0</v>
      </c>
      <c r="F13" s="429">
        <v>0</v>
      </c>
      <c r="G13" s="30">
        <v>6517</v>
      </c>
      <c r="H13" s="30">
        <v>6681</v>
      </c>
      <c r="I13" s="30">
        <v>6571</v>
      </c>
      <c r="J13" s="30">
        <v>6731</v>
      </c>
      <c r="K13" s="30">
        <v>6943</v>
      </c>
      <c r="L13" s="30">
        <v>7131</v>
      </c>
      <c r="N13" s="427" t="s">
        <v>8750</v>
      </c>
      <c r="P13" s="4"/>
      <c r="R13" s="4"/>
    </row>
    <row r="14" spans="1:18">
      <c r="A14" s="427" t="s">
        <v>6997</v>
      </c>
      <c r="B14" s="427" t="s">
        <v>13112</v>
      </c>
      <c r="C14" s="4" t="s">
        <v>13120</v>
      </c>
      <c r="D14" s="429">
        <v>0</v>
      </c>
      <c r="E14" s="429">
        <v>0</v>
      </c>
      <c r="F14" s="429">
        <v>0</v>
      </c>
      <c r="G14" s="30">
        <v>5689</v>
      </c>
      <c r="H14" s="30">
        <v>5703</v>
      </c>
      <c r="I14" s="30">
        <v>5416</v>
      </c>
      <c r="J14" s="30">
        <v>5358</v>
      </c>
      <c r="K14" s="30">
        <v>5417</v>
      </c>
      <c r="L14" s="30">
        <v>5601</v>
      </c>
      <c r="N14" s="427" t="s">
        <v>8750</v>
      </c>
      <c r="P14" s="4"/>
      <c r="R14" s="4"/>
    </row>
    <row r="15" spans="1:18">
      <c r="A15" s="427" t="s">
        <v>6999</v>
      </c>
      <c r="B15" s="427" t="s">
        <v>13113</v>
      </c>
      <c r="C15" s="4" t="s">
        <v>13121</v>
      </c>
      <c r="D15" s="429">
        <v>0</v>
      </c>
      <c r="E15" s="429">
        <v>0</v>
      </c>
      <c r="F15" s="429">
        <v>0</v>
      </c>
      <c r="G15" s="30">
        <v>6276</v>
      </c>
      <c r="H15" s="30">
        <v>6356</v>
      </c>
      <c r="I15" s="30">
        <v>6260</v>
      </c>
      <c r="J15" s="30">
        <v>6179</v>
      </c>
      <c r="K15" s="30">
        <v>6320</v>
      </c>
      <c r="L15" s="30">
        <v>6400</v>
      </c>
      <c r="N15" s="427" t="s">
        <v>8750</v>
      </c>
      <c r="P15" s="4"/>
      <c r="R15" s="4"/>
    </row>
    <row r="16" spans="1:18">
      <c r="A16" s="427" t="s">
        <v>7001</v>
      </c>
      <c r="B16" s="427" t="s">
        <v>13114</v>
      </c>
      <c r="C16" s="4" t="s">
        <v>13122</v>
      </c>
      <c r="D16" s="429">
        <v>0</v>
      </c>
      <c r="E16" s="429">
        <v>0</v>
      </c>
      <c r="F16" s="429">
        <v>0</v>
      </c>
      <c r="G16" s="30">
        <v>7271</v>
      </c>
      <c r="H16" s="30">
        <v>7362</v>
      </c>
      <c r="I16" s="30">
        <v>7246</v>
      </c>
      <c r="J16" s="30">
        <v>7188</v>
      </c>
      <c r="K16" s="30">
        <v>7102</v>
      </c>
      <c r="L16" s="30">
        <v>7165</v>
      </c>
      <c r="N16" s="427" t="s">
        <v>8750</v>
      </c>
      <c r="P16" s="4"/>
      <c r="R16" s="4"/>
    </row>
    <row r="17" spans="1:18">
      <c r="A17" s="427" t="s">
        <v>7003</v>
      </c>
      <c r="B17" s="427" t="s">
        <v>6220</v>
      </c>
      <c r="C17" s="4" t="s">
        <v>13123</v>
      </c>
      <c r="D17" s="429">
        <v>0</v>
      </c>
      <c r="E17" s="429">
        <v>0</v>
      </c>
      <c r="F17" s="429">
        <v>0</v>
      </c>
      <c r="G17" s="30">
        <v>5909</v>
      </c>
      <c r="H17" s="30">
        <v>5912</v>
      </c>
      <c r="I17" s="30">
        <v>5831</v>
      </c>
      <c r="J17" s="30">
        <v>5815</v>
      </c>
      <c r="K17" s="30">
        <v>5838</v>
      </c>
      <c r="L17" s="30">
        <v>5872</v>
      </c>
      <c r="N17" s="427" t="s">
        <v>8750</v>
      </c>
      <c r="P17" s="4"/>
      <c r="R17" s="4"/>
    </row>
    <row r="18" spans="1:18">
      <c r="A18" s="427" t="s">
        <v>7005</v>
      </c>
      <c r="B18" s="427" t="s">
        <v>6415</v>
      </c>
      <c r="C18" s="4" t="s">
        <v>13124</v>
      </c>
      <c r="D18" s="429">
        <v>0</v>
      </c>
      <c r="E18" s="429">
        <v>0</v>
      </c>
      <c r="F18" s="429">
        <v>0</v>
      </c>
      <c r="G18" s="30">
        <v>6760</v>
      </c>
      <c r="H18" s="30">
        <v>6730</v>
      </c>
      <c r="I18" s="30">
        <v>6699</v>
      </c>
      <c r="J18" s="30">
        <v>6693</v>
      </c>
      <c r="K18" s="30">
        <v>6835</v>
      </c>
      <c r="L18" s="30">
        <v>6957</v>
      </c>
      <c r="N18" s="427" t="s">
        <v>8750</v>
      </c>
      <c r="P18" s="4"/>
      <c r="R18" s="4"/>
    </row>
    <row r="19" spans="1:18">
      <c r="A19" s="427" t="s">
        <v>7007</v>
      </c>
      <c r="B19" s="427" t="s">
        <v>5932</v>
      </c>
      <c r="C19" s="4" t="s">
        <v>13125</v>
      </c>
      <c r="D19" s="429">
        <v>0</v>
      </c>
      <c r="E19" s="429">
        <v>0</v>
      </c>
      <c r="F19" s="429">
        <v>0</v>
      </c>
      <c r="G19" s="30">
        <v>5970</v>
      </c>
      <c r="H19" s="30">
        <v>5848</v>
      </c>
      <c r="I19" s="30">
        <v>5558</v>
      </c>
      <c r="J19" s="30">
        <v>5448</v>
      </c>
      <c r="K19" s="30">
        <v>5487</v>
      </c>
      <c r="L19" s="30">
        <v>5590</v>
      </c>
      <c r="N19" s="427" t="s">
        <v>8750</v>
      </c>
      <c r="P19" s="4"/>
      <c r="R19" s="4"/>
    </row>
    <row r="20" spans="1:18">
      <c r="D20" s="431"/>
      <c r="E20" s="431"/>
      <c r="F20" s="431"/>
      <c r="G20" s="431"/>
      <c r="H20" s="431"/>
      <c r="I20" s="431"/>
      <c r="J20" s="431"/>
      <c r="K20" s="431"/>
      <c r="L20" s="431"/>
    </row>
    <row r="21" spans="1:18">
      <c r="A21" s="427" t="s">
        <v>13126</v>
      </c>
      <c r="B21" s="427"/>
      <c r="C21" s="427"/>
      <c r="D21" s="432"/>
      <c r="E21" s="432"/>
      <c r="F21" s="432"/>
      <c r="G21" s="432"/>
      <c r="H21" s="432"/>
      <c r="I21" s="432"/>
      <c r="J21" s="432"/>
      <c r="K21" s="432"/>
      <c r="L21" s="432"/>
    </row>
    <row r="22" spans="1:18">
      <c r="A22" s="427"/>
      <c r="B22" s="427"/>
      <c r="C22" s="427"/>
      <c r="D22" s="432"/>
      <c r="E22" s="432"/>
      <c r="F22" s="432"/>
      <c r="G22" s="432"/>
      <c r="H22" s="432"/>
      <c r="I22" s="432"/>
      <c r="J22" s="432"/>
      <c r="K22" s="432"/>
      <c r="L22" s="432"/>
    </row>
    <row r="23" spans="1:18">
      <c r="A23" s="427"/>
      <c r="B23" s="427"/>
      <c r="C23" s="427"/>
      <c r="D23" s="432"/>
      <c r="E23" s="432"/>
      <c r="F23" s="432"/>
      <c r="G23" s="432"/>
      <c r="H23" s="432"/>
      <c r="I23" s="432"/>
      <c r="J23" s="432"/>
      <c r="K23" s="432"/>
      <c r="L23" s="432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7 E5:E7 F5:F7 G5:G8 H3:H4 H5:H7 I3:I7 J3:J7 K3:K7 L3:L7" unlocked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3"/>
  <sheetViews>
    <sheetView showGridLines="0" zoomScaleNormal="100" workbookViewId="0"/>
  </sheetViews>
  <sheetFormatPr defaultColWidth="12.5703125" defaultRowHeight="15"/>
  <cols>
    <col min="1" max="1" width="4.85546875" style="599" customWidth="1"/>
    <col min="2" max="2" width="35.85546875" style="599" customWidth="1"/>
    <col min="3" max="3" width="11.5703125" style="599" customWidth="1"/>
    <col min="4" max="12" width="10" style="599" customWidth="1"/>
    <col min="13" max="13" width="2.28515625" style="599" customWidth="1"/>
    <col min="14" max="14" width="30.7109375" style="599" customWidth="1"/>
    <col min="15" max="16384" width="12.5703125" style="599"/>
  </cols>
  <sheetData>
    <row r="1" spans="1:14">
      <c r="A1" s="316" t="s">
        <v>7342</v>
      </c>
      <c r="D1" s="600">
        <v>2010</v>
      </c>
      <c r="E1" s="600">
        <v>2011</v>
      </c>
      <c r="F1" s="600">
        <v>2012</v>
      </c>
      <c r="G1" s="600">
        <v>2013</v>
      </c>
      <c r="H1" s="600">
        <v>2014</v>
      </c>
      <c r="I1" s="600">
        <v>2015</v>
      </c>
      <c r="J1" s="600">
        <v>2016</v>
      </c>
      <c r="K1" s="600">
        <v>2017</v>
      </c>
      <c r="L1" s="600">
        <v>2018</v>
      </c>
    </row>
    <row r="3" spans="1:14">
      <c r="A3" s="316" t="s">
        <v>2387</v>
      </c>
      <c r="D3" s="601">
        <f t="shared" ref="D3:I3" si="0">SUM(D23:D40)</f>
        <v>179060</v>
      </c>
      <c r="E3" s="601">
        <f t="shared" si="0"/>
        <v>180545</v>
      </c>
      <c r="F3" s="601">
        <f t="shared" si="0"/>
        <v>182224</v>
      </c>
      <c r="G3" s="601">
        <f t="shared" si="0"/>
        <v>182776</v>
      </c>
      <c r="H3" s="601">
        <f t="shared" si="0"/>
        <v>183017</v>
      </c>
      <c r="I3" s="601">
        <f t="shared" si="0"/>
        <v>179330</v>
      </c>
      <c r="J3" s="601">
        <f t="shared" ref="J3:K3" si="1">SUM(J23:J40)</f>
        <v>177400</v>
      </c>
      <c r="K3" s="601">
        <f t="shared" si="1"/>
        <v>180826</v>
      </c>
      <c r="L3" s="601">
        <f t="shared" ref="L3" si="2">SUM(L23:L40)</f>
        <v>183755</v>
      </c>
    </row>
    <row r="5" spans="1:14">
      <c r="A5" s="316" t="s">
        <v>7343</v>
      </c>
      <c r="D5" s="601">
        <f t="shared" ref="D5:I5" si="3">D3/2</f>
        <v>89530</v>
      </c>
      <c r="E5" s="601">
        <f t="shared" si="3"/>
        <v>90272.5</v>
      </c>
      <c r="F5" s="601">
        <f t="shared" si="3"/>
        <v>91112</v>
      </c>
      <c r="G5" s="601">
        <f t="shared" si="3"/>
        <v>91388</v>
      </c>
      <c r="H5" s="601">
        <f t="shared" si="3"/>
        <v>91508.5</v>
      </c>
      <c r="I5" s="601">
        <f t="shared" si="3"/>
        <v>89665</v>
      </c>
      <c r="J5" s="601">
        <f t="shared" ref="J5:K5" si="4">J3/2</f>
        <v>88700</v>
      </c>
      <c r="K5" s="601">
        <f t="shared" si="4"/>
        <v>90413</v>
      </c>
      <c r="L5" s="601">
        <f t="shared" ref="L5" si="5">L3/2</f>
        <v>91877.5</v>
      </c>
    </row>
    <row r="6" spans="1:14">
      <c r="D6" s="602"/>
      <c r="E6" s="602"/>
      <c r="F6" s="602"/>
      <c r="G6" s="602"/>
      <c r="H6" s="602"/>
      <c r="I6" s="602"/>
      <c r="J6" s="602"/>
      <c r="K6" s="602"/>
      <c r="L6" s="602"/>
    </row>
    <row r="7" spans="1:14">
      <c r="A7" s="316" t="s">
        <v>8197</v>
      </c>
      <c r="D7" s="601">
        <f t="shared" ref="D7:I7" si="6">D24+SUM(D26:D29)+D31+D37+D40</f>
        <v>78913</v>
      </c>
      <c r="E7" s="601">
        <f t="shared" si="6"/>
        <v>79568</v>
      </c>
      <c r="F7" s="601">
        <f t="shared" si="6"/>
        <v>80364</v>
      </c>
      <c r="G7" s="601">
        <f t="shared" si="6"/>
        <v>80415</v>
      </c>
      <c r="H7" s="601">
        <f t="shared" si="6"/>
        <v>80252</v>
      </c>
      <c r="I7" s="601">
        <f t="shared" si="6"/>
        <v>78714</v>
      </c>
      <c r="J7" s="601">
        <f t="shared" ref="J7:K7" si="7">J24+SUM(J26:J29)+J31+J37+J40</f>
        <v>78064</v>
      </c>
      <c r="K7" s="601">
        <f t="shared" si="7"/>
        <v>79806</v>
      </c>
      <c r="L7" s="601">
        <f t="shared" ref="L7" si="8">L24+SUM(L26:L29)+L31+L37+L40</f>
        <v>81200</v>
      </c>
      <c r="N7" s="316" t="s">
        <v>7347</v>
      </c>
    </row>
    <row r="8" spans="1:14">
      <c r="D8" s="602"/>
      <c r="E8" s="602"/>
      <c r="F8" s="602"/>
      <c r="G8" s="602"/>
      <c r="H8" s="602"/>
      <c r="I8" s="602"/>
      <c r="J8" s="602"/>
      <c r="K8" s="602"/>
      <c r="L8" s="602"/>
    </row>
    <row r="9" spans="1:14">
      <c r="A9" s="316" t="s">
        <v>8198</v>
      </c>
      <c r="D9" s="601">
        <f t="shared" ref="D9:I9" si="9">D23+D30+SUM(D32:D34)+D36+D39</f>
        <v>71306</v>
      </c>
      <c r="E9" s="601">
        <f t="shared" si="9"/>
        <v>71978</v>
      </c>
      <c r="F9" s="601">
        <f t="shared" si="9"/>
        <v>72608</v>
      </c>
      <c r="G9" s="601">
        <f t="shared" si="9"/>
        <v>73129</v>
      </c>
      <c r="H9" s="601">
        <f t="shared" si="9"/>
        <v>73574</v>
      </c>
      <c r="I9" s="601">
        <f t="shared" si="9"/>
        <v>71790</v>
      </c>
      <c r="J9" s="601">
        <f t="shared" ref="J9:K9" si="10">J23+J30+SUM(J32:J34)+J36+J39</f>
        <v>70953</v>
      </c>
      <c r="K9" s="601">
        <f t="shared" si="10"/>
        <v>72309</v>
      </c>
      <c r="L9" s="601">
        <f t="shared" ref="L9" si="11">L23+L30+SUM(L32:L34)+L36+L39</f>
        <v>73415</v>
      </c>
      <c r="N9" s="316" t="s">
        <v>7347</v>
      </c>
    </row>
    <row r="10" spans="1:14">
      <c r="D10" s="602"/>
      <c r="E10" s="602"/>
      <c r="F10" s="602"/>
      <c r="G10" s="602"/>
      <c r="H10" s="602"/>
      <c r="I10" s="602"/>
      <c r="J10" s="602"/>
      <c r="K10" s="602"/>
      <c r="L10" s="602"/>
    </row>
    <row r="11" spans="1:14">
      <c r="A11" s="316" t="s">
        <v>7346</v>
      </c>
      <c r="D11" s="602">
        <f>BARKING!D9</f>
        <v>40758</v>
      </c>
      <c r="E11" s="602">
        <f>BARKING!E9</f>
        <v>41188</v>
      </c>
      <c r="F11" s="602">
        <f>BARKING!F9</f>
        <v>41495</v>
      </c>
      <c r="G11" s="602">
        <f>BARKING!G9</f>
        <v>41545</v>
      </c>
      <c r="H11" s="602">
        <f>BARKING!H9</f>
        <v>41232</v>
      </c>
      <c r="I11" s="602">
        <f>BARKING!I9</f>
        <v>39341</v>
      </c>
      <c r="J11" s="602">
        <f>BARKING!J9</f>
        <v>39172</v>
      </c>
      <c r="K11" s="602">
        <f>BARKING!K9</f>
        <v>40130</v>
      </c>
      <c r="L11" s="602">
        <f>BARKING!L9</f>
        <v>40618</v>
      </c>
      <c r="N11" s="599" t="s">
        <v>2388</v>
      </c>
    </row>
    <row r="12" spans="1:14" ht="15.75" thickBot="1">
      <c r="A12" s="316"/>
      <c r="D12" s="603">
        <f t="shared" ref="D12:I12" si="12">D25+D35+D38</f>
        <v>28841</v>
      </c>
      <c r="E12" s="603">
        <f t="shared" si="12"/>
        <v>28999</v>
      </c>
      <c r="F12" s="603">
        <f t="shared" si="12"/>
        <v>29252</v>
      </c>
      <c r="G12" s="603">
        <f t="shared" si="12"/>
        <v>29232</v>
      </c>
      <c r="H12" s="603">
        <f t="shared" si="12"/>
        <v>29191</v>
      </c>
      <c r="I12" s="603">
        <f t="shared" si="12"/>
        <v>28826</v>
      </c>
      <c r="J12" s="603">
        <f t="shared" ref="J12:K12" si="13">J25+J35+J38</f>
        <v>28383</v>
      </c>
      <c r="K12" s="603">
        <f t="shared" si="13"/>
        <v>28711</v>
      </c>
      <c r="L12" s="603">
        <f t="shared" ref="L12" si="14">L25+L35+L38</f>
        <v>29140</v>
      </c>
      <c r="N12" s="316" t="s">
        <v>7347</v>
      </c>
    </row>
    <row r="13" spans="1:14" ht="15.75" thickBot="1">
      <c r="A13" s="316"/>
      <c r="D13" s="604">
        <f t="shared" ref="D13:I13" si="15">D11+D12</f>
        <v>69599</v>
      </c>
      <c r="E13" s="604">
        <f t="shared" si="15"/>
        <v>70187</v>
      </c>
      <c r="F13" s="604">
        <f t="shared" si="15"/>
        <v>70747</v>
      </c>
      <c r="G13" s="604">
        <f t="shared" si="15"/>
        <v>70777</v>
      </c>
      <c r="H13" s="604">
        <f t="shared" si="15"/>
        <v>70423</v>
      </c>
      <c r="I13" s="604">
        <f t="shared" si="15"/>
        <v>68167</v>
      </c>
      <c r="J13" s="604">
        <f t="shared" ref="J13:K13" si="16">J11+J12</f>
        <v>67555</v>
      </c>
      <c r="K13" s="604">
        <f t="shared" si="16"/>
        <v>68841</v>
      </c>
      <c r="L13" s="604">
        <f t="shared" ref="L13" si="17">L11+L12</f>
        <v>69758</v>
      </c>
      <c r="N13" s="316"/>
    </row>
    <row r="14" spans="1:14">
      <c r="D14" s="602"/>
      <c r="E14" s="602"/>
      <c r="F14" s="602"/>
      <c r="G14" s="602"/>
      <c r="H14" s="602"/>
      <c r="I14" s="602"/>
      <c r="J14" s="602"/>
      <c r="K14" s="602"/>
      <c r="L14" s="602"/>
    </row>
    <row r="15" spans="1:14">
      <c r="A15" s="599" t="s">
        <v>7344</v>
      </c>
      <c r="D15" s="602">
        <f>BARKING!D7</f>
        <v>73303</v>
      </c>
      <c r="E15" s="602">
        <f>BARKING!E7</f>
        <v>74027</v>
      </c>
      <c r="F15" s="602">
        <f>BARKING!F7</f>
        <v>74824</v>
      </c>
      <c r="G15" s="602">
        <f>BARKING!G7</f>
        <v>75037</v>
      </c>
      <c r="H15" s="602">
        <f>BARKING!H7</f>
        <v>75468</v>
      </c>
      <c r="I15" s="602">
        <f>BARKING!I7</f>
        <v>72011</v>
      </c>
      <c r="J15" s="602">
        <f>BARKING!J7</f>
        <v>72314</v>
      </c>
      <c r="K15" s="602">
        <f>BARKING!K7</f>
        <v>74447</v>
      </c>
      <c r="L15" s="602">
        <f>BARKING!L7</f>
        <v>75267</v>
      </c>
      <c r="N15" s="599" t="s">
        <v>2388</v>
      </c>
    </row>
    <row r="16" spans="1:14">
      <c r="D16" s="602"/>
      <c r="E16" s="602"/>
      <c r="F16" s="602"/>
      <c r="G16" s="602"/>
      <c r="H16" s="602"/>
      <c r="I16" s="602"/>
      <c r="J16" s="602"/>
      <c r="K16" s="602"/>
      <c r="L16" s="602"/>
    </row>
    <row r="17" spans="1:18">
      <c r="A17" s="316" t="s">
        <v>8697</v>
      </c>
      <c r="D17" s="601">
        <f t="shared" ref="D17:I17" si="18">D7+D9+D12</f>
        <v>179060</v>
      </c>
      <c r="E17" s="601">
        <f t="shared" si="18"/>
        <v>180545</v>
      </c>
      <c r="F17" s="601">
        <f t="shared" si="18"/>
        <v>182224</v>
      </c>
      <c r="G17" s="601">
        <f t="shared" si="18"/>
        <v>182776</v>
      </c>
      <c r="H17" s="601">
        <f t="shared" si="18"/>
        <v>183017</v>
      </c>
      <c r="I17" s="601">
        <f t="shared" si="18"/>
        <v>179330</v>
      </c>
      <c r="J17" s="601">
        <f t="shared" ref="J17:K17" si="19">J7+J9+J12</f>
        <v>177400</v>
      </c>
      <c r="K17" s="601">
        <f t="shared" si="19"/>
        <v>180826</v>
      </c>
      <c r="L17" s="601">
        <f t="shared" ref="L17" si="20">L7+L9+L12</f>
        <v>183755</v>
      </c>
    </row>
    <row r="18" spans="1:18">
      <c r="D18" s="602"/>
      <c r="E18" s="602"/>
      <c r="F18" s="602"/>
      <c r="G18" s="602"/>
      <c r="H18" s="602"/>
      <c r="I18" s="602"/>
      <c r="J18" s="602"/>
      <c r="K18" s="602"/>
      <c r="L18" s="602"/>
    </row>
    <row r="19" spans="1:18">
      <c r="A19" s="316" t="s">
        <v>8698</v>
      </c>
      <c r="D19" s="601">
        <f t="shared" ref="D19:I19" si="21">MAX(D7,D9,D13,D15)-MIN(D7,D9,D13,D15)</f>
        <v>9314</v>
      </c>
      <c r="E19" s="601">
        <f t="shared" si="21"/>
        <v>9381</v>
      </c>
      <c r="F19" s="601">
        <f t="shared" si="21"/>
        <v>9617</v>
      </c>
      <c r="G19" s="601">
        <f t="shared" si="21"/>
        <v>9638</v>
      </c>
      <c r="H19" s="601">
        <f t="shared" si="21"/>
        <v>9829</v>
      </c>
      <c r="I19" s="601">
        <f t="shared" si="21"/>
        <v>10547</v>
      </c>
      <c r="J19" s="601">
        <f t="shared" ref="J19:K19" si="22">MAX(J7,J9,J13,J15)-MIN(J7,J9,J13,J15)</f>
        <v>10509</v>
      </c>
      <c r="K19" s="601">
        <f t="shared" si="22"/>
        <v>10965</v>
      </c>
      <c r="L19" s="601">
        <f t="shared" ref="L19" si="23">MAX(L7,L9,L13,L15)-MIN(L7,L9,L13,L15)</f>
        <v>11442</v>
      </c>
    </row>
    <row r="20" spans="1:18">
      <c r="D20" s="602"/>
      <c r="E20" s="602"/>
      <c r="F20" s="602"/>
      <c r="G20" s="602"/>
      <c r="H20" s="602"/>
      <c r="I20" s="602"/>
      <c r="J20" s="602"/>
      <c r="K20" s="602"/>
      <c r="L20" s="602"/>
    </row>
    <row r="21" spans="1:18">
      <c r="A21" s="605" t="s">
        <v>8701</v>
      </c>
      <c r="D21" s="601">
        <f t="shared" ref="D21:I21" si="24">STDEVP(D7,D9,D13,D15)</f>
        <v>3506.3390719523973</v>
      </c>
      <c r="E21" s="601">
        <f t="shared" si="24"/>
        <v>3521.9456980481682</v>
      </c>
      <c r="F21" s="601">
        <f t="shared" si="24"/>
        <v>3608.4079851785054</v>
      </c>
      <c r="G21" s="601">
        <f t="shared" si="24"/>
        <v>3555.0992602176384</v>
      </c>
      <c r="H21" s="601">
        <f t="shared" si="24"/>
        <v>3562.4749385083401</v>
      </c>
      <c r="I21" s="601">
        <f t="shared" si="24"/>
        <v>3808.3994341455309</v>
      </c>
      <c r="J21" s="601">
        <f t="shared" ref="J21:K21" si="25">STDEVP(J7,J9,J13,J15)</f>
        <v>3792.3830568654321</v>
      </c>
      <c r="K21" s="601">
        <f t="shared" si="25"/>
        <v>3977.9110331303286</v>
      </c>
      <c r="L21" s="601">
        <f t="shared" ref="L21" si="26">STDEVP(L7,L9,L13,L15)</f>
        <v>4137.3203284251513</v>
      </c>
    </row>
    <row r="22" spans="1:18">
      <c r="D22" s="602"/>
      <c r="E22" s="602"/>
      <c r="F22" s="602"/>
      <c r="G22" s="602"/>
      <c r="H22" s="602"/>
      <c r="I22" s="602"/>
      <c r="J22" s="602"/>
      <c r="K22" s="602"/>
      <c r="L22" s="602"/>
    </row>
    <row r="23" spans="1:18">
      <c r="A23" s="316" t="s">
        <v>6957</v>
      </c>
      <c r="B23" s="316" t="s">
        <v>2389</v>
      </c>
      <c r="C23" s="4" t="s">
        <v>820</v>
      </c>
      <c r="D23" s="606">
        <v>10234</v>
      </c>
      <c r="E23" s="606">
        <v>10536</v>
      </c>
      <c r="F23" s="606">
        <v>10840</v>
      </c>
      <c r="G23" s="606">
        <v>11000</v>
      </c>
      <c r="H23" s="30">
        <v>11187</v>
      </c>
      <c r="I23" s="30">
        <v>10802</v>
      </c>
      <c r="J23" s="30">
        <v>10698</v>
      </c>
      <c r="K23" s="30">
        <v>11328</v>
      </c>
      <c r="L23" s="30">
        <v>11690</v>
      </c>
      <c r="N23" s="316" t="s">
        <v>8198</v>
      </c>
      <c r="P23" s="4"/>
      <c r="R23" s="4"/>
    </row>
    <row r="24" spans="1:18">
      <c r="A24" s="316" t="s">
        <v>6959</v>
      </c>
      <c r="B24" s="316" t="s">
        <v>2390</v>
      </c>
      <c r="C24" s="4" t="s">
        <v>821</v>
      </c>
      <c r="D24" s="606">
        <v>10047</v>
      </c>
      <c r="E24" s="606">
        <v>10069</v>
      </c>
      <c r="F24" s="606">
        <v>10173</v>
      </c>
      <c r="G24" s="606">
        <v>10180</v>
      </c>
      <c r="H24" s="30">
        <v>10188</v>
      </c>
      <c r="I24" s="30">
        <v>10051</v>
      </c>
      <c r="J24" s="30">
        <v>9798</v>
      </c>
      <c r="K24" s="30">
        <v>9928</v>
      </c>
      <c r="L24" s="30">
        <v>9876</v>
      </c>
      <c r="N24" s="316" t="s">
        <v>8197</v>
      </c>
      <c r="P24" s="4"/>
      <c r="R24" s="4"/>
    </row>
    <row r="25" spans="1:18">
      <c r="A25" s="316" t="s">
        <v>6961</v>
      </c>
      <c r="B25" s="316" t="s">
        <v>2391</v>
      </c>
      <c r="C25" s="4" t="s">
        <v>822</v>
      </c>
      <c r="D25" s="606">
        <v>9624</v>
      </c>
      <c r="E25" s="606">
        <v>9664</v>
      </c>
      <c r="F25" s="606">
        <v>9700</v>
      </c>
      <c r="G25" s="606">
        <v>9658</v>
      </c>
      <c r="H25" s="30">
        <v>9605</v>
      </c>
      <c r="I25" s="30">
        <v>9584</v>
      </c>
      <c r="J25" s="30">
        <v>9506</v>
      </c>
      <c r="K25" s="30">
        <v>9562</v>
      </c>
      <c r="L25" s="30">
        <v>9608</v>
      </c>
      <c r="N25" s="316" t="s">
        <v>7346</v>
      </c>
      <c r="P25" s="4"/>
      <c r="R25" s="4"/>
    </row>
    <row r="26" spans="1:18">
      <c r="A26" s="316" t="s">
        <v>6963</v>
      </c>
      <c r="B26" s="316" t="s">
        <v>2392</v>
      </c>
      <c r="C26" s="4" t="s">
        <v>823</v>
      </c>
      <c r="D26" s="607">
        <v>9654</v>
      </c>
      <c r="E26" s="607">
        <v>9647</v>
      </c>
      <c r="F26" s="607">
        <v>9751</v>
      </c>
      <c r="G26" s="607">
        <v>9789</v>
      </c>
      <c r="H26" s="30">
        <v>9666</v>
      </c>
      <c r="I26" s="30">
        <v>9488</v>
      </c>
      <c r="J26" s="30">
        <v>9467</v>
      </c>
      <c r="K26" s="30">
        <v>9642</v>
      </c>
      <c r="L26" s="30">
        <v>9705</v>
      </c>
      <c r="N26" s="316" t="s">
        <v>8197</v>
      </c>
      <c r="P26" s="4"/>
      <c r="R26" s="4"/>
    </row>
    <row r="27" spans="1:18">
      <c r="A27" s="316" t="s">
        <v>6965</v>
      </c>
      <c r="B27" s="316" t="s">
        <v>2393</v>
      </c>
      <c r="C27" s="4" t="s">
        <v>824</v>
      </c>
      <c r="D27" s="606">
        <v>9916</v>
      </c>
      <c r="E27" s="606">
        <v>10164</v>
      </c>
      <c r="F27" s="606">
        <v>10177</v>
      </c>
      <c r="G27" s="606">
        <v>10159</v>
      </c>
      <c r="H27" s="30">
        <v>10151</v>
      </c>
      <c r="I27" s="30">
        <v>9862</v>
      </c>
      <c r="J27" s="30">
        <v>9899</v>
      </c>
      <c r="K27" s="30">
        <v>10471</v>
      </c>
      <c r="L27" s="30">
        <v>10915</v>
      </c>
      <c r="N27" s="316" t="s">
        <v>8197</v>
      </c>
      <c r="P27" s="4"/>
      <c r="R27" s="4"/>
    </row>
    <row r="28" spans="1:18">
      <c r="A28" s="316" t="s">
        <v>6997</v>
      </c>
      <c r="B28" s="316" t="s">
        <v>2394</v>
      </c>
      <c r="C28" s="4" t="s">
        <v>825</v>
      </c>
      <c r="D28" s="606">
        <v>9793</v>
      </c>
      <c r="E28" s="606">
        <v>9806</v>
      </c>
      <c r="F28" s="606">
        <v>9934</v>
      </c>
      <c r="G28" s="606">
        <v>9958</v>
      </c>
      <c r="H28" s="30">
        <v>9976</v>
      </c>
      <c r="I28" s="30">
        <v>9825</v>
      </c>
      <c r="J28" s="30">
        <v>9635</v>
      </c>
      <c r="K28" s="30">
        <v>9717</v>
      </c>
      <c r="L28" s="30">
        <v>9772</v>
      </c>
      <c r="N28" s="316" t="s">
        <v>8197</v>
      </c>
      <c r="P28" s="4"/>
      <c r="R28" s="4"/>
    </row>
    <row r="29" spans="1:18">
      <c r="A29" s="316" t="s">
        <v>6999</v>
      </c>
      <c r="B29" s="316" t="s">
        <v>2395</v>
      </c>
      <c r="C29" s="4" t="s">
        <v>826</v>
      </c>
      <c r="D29" s="606">
        <v>9751</v>
      </c>
      <c r="E29" s="606">
        <v>9837</v>
      </c>
      <c r="F29" s="606">
        <v>9924</v>
      </c>
      <c r="G29" s="606">
        <v>9920</v>
      </c>
      <c r="H29" s="30">
        <v>9799</v>
      </c>
      <c r="I29" s="30">
        <v>9610</v>
      </c>
      <c r="J29" s="30">
        <v>9687</v>
      </c>
      <c r="K29" s="30">
        <v>10071</v>
      </c>
      <c r="L29" s="30">
        <v>10462</v>
      </c>
      <c r="N29" s="316" t="s">
        <v>8197</v>
      </c>
      <c r="P29" s="4"/>
      <c r="R29" s="4"/>
    </row>
    <row r="30" spans="1:18">
      <c r="A30" s="316" t="s">
        <v>7001</v>
      </c>
      <c r="B30" s="316" t="s">
        <v>2396</v>
      </c>
      <c r="C30" s="4" t="s">
        <v>827</v>
      </c>
      <c r="D30" s="601">
        <v>9626</v>
      </c>
      <c r="E30" s="601">
        <v>9694</v>
      </c>
      <c r="F30" s="601">
        <v>9586</v>
      </c>
      <c r="G30" s="601">
        <v>9655</v>
      </c>
      <c r="H30" s="30">
        <v>9709</v>
      </c>
      <c r="I30" s="30">
        <v>9465</v>
      </c>
      <c r="J30" s="30">
        <v>9408</v>
      </c>
      <c r="K30" s="30">
        <v>9588</v>
      </c>
      <c r="L30" s="30">
        <v>9755</v>
      </c>
      <c r="N30" s="316" t="s">
        <v>8198</v>
      </c>
      <c r="P30" s="4"/>
      <c r="R30" s="4"/>
    </row>
    <row r="31" spans="1:18">
      <c r="A31" s="316" t="s">
        <v>7003</v>
      </c>
      <c r="B31" s="316" t="s">
        <v>2397</v>
      </c>
      <c r="C31" s="4" t="s">
        <v>828</v>
      </c>
      <c r="D31" s="606">
        <v>8817</v>
      </c>
      <c r="E31" s="606">
        <v>8880</v>
      </c>
      <c r="F31" s="606">
        <v>9173</v>
      </c>
      <c r="G31" s="606">
        <v>9184</v>
      </c>
      <c r="H31" s="30">
        <v>9214</v>
      </c>
      <c r="I31" s="30">
        <v>9081</v>
      </c>
      <c r="J31" s="30">
        <v>8987</v>
      </c>
      <c r="K31" s="30">
        <v>9200</v>
      </c>
      <c r="L31" s="30">
        <v>9515</v>
      </c>
      <c r="N31" s="316" t="s">
        <v>8197</v>
      </c>
      <c r="P31" s="4"/>
      <c r="R31" s="4"/>
    </row>
    <row r="32" spans="1:18">
      <c r="A32" s="316" t="s">
        <v>7005</v>
      </c>
      <c r="B32" s="316" t="s">
        <v>4093</v>
      </c>
      <c r="C32" s="4" t="s">
        <v>829</v>
      </c>
      <c r="D32" s="606">
        <v>10049</v>
      </c>
      <c r="E32" s="606">
        <v>10188</v>
      </c>
      <c r="F32" s="606">
        <v>10333</v>
      </c>
      <c r="G32" s="606">
        <v>10442</v>
      </c>
      <c r="H32" s="30">
        <v>10442</v>
      </c>
      <c r="I32" s="30">
        <v>10382</v>
      </c>
      <c r="J32" s="30">
        <v>10250</v>
      </c>
      <c r="K32" s="30">
        <v>10312</v>
      </c>
      <c r="L32" s="30">
        <v>10359</v>
      </c>
      <c r="N32" s="316" t="s">
        <v>8198</v>
      </c>
      <c r="P32" s="4"/>
      <c r="R32" s="4"/>
    </row>
    <row r="33" spans="1:18">
      <c r="A33" s="316" t="s">
        <v>7007</v>
      </c>
      <c r="B33" s="316" t="s">
        <v>4094</v>
      </c>
      <c r="C33" s="4" t="s">
        <v>830</v>
      </c>
      <c r="D33" s="606">
        <v>9649</v>
      </c>
      <c r="E33" s="606">
        <v>9616</v>
      </c>
      <c r="F33" s="606">
        <v>9697</v>
      </c>
      <c r="G33" s="606">
        <v>9745</v>
      </c>
      <c r="H33" s="30">
        <v>9719</v>
      </c>
      <c r="I33" s="30">
        <v>9523</v>
      </c>
      <c r="J33" s="30">
        <v>9352</v>
      </c>
      <c r="K33" s="30">
        <v>9431</v>
      </c>
      <c r="L33" s="30">
        <v>9572</v>
      </c>
      <c r="N33" s="316" t="s">
        <v>8198</v>
      </c>
      <c r="P33" s="4"/>
      <c r="R33" s="4"/>
    </row>
    <row r="34" spans="1:18">
      <c r="A34" s="316" t="s">
        <v>7009</v>
      </c>
      <c r="B34" s="316" t="s">
        <v>4079</v>
      </c>
      <c r="C34" s="4" t="s">
        <v>831</v>
      </c>
      <c r="D34" s="606">
        <v>10295</v>
      </c>
      <c r="E34" s="606">
        <v>10276</v>
      </c>
      <c r="F34" s="606">
        <v>10366</v>
      </c>
      <c r="G34" s="606">
        <v>10431</v>
      </c>
      <c r="H34" s="31">
        <v>10484</v>
      </c>
      <c r="I34" s="31">
        <v>10313</v>
      </c>
      <c r="J34" s="31">
        <v>10187</v>
      </c>
      <c r="K34" s="31">
        <v>10262</v>
      </c>
      <c r="L34" s="31">
        <v>10258</v>
      </c>
      <c r="N34" s="316" t="s">
        <v>8198</v>
      </c>
      <c r="P34" s="4"/>
      <c r="R34" s="4"/>
    </row>
    <row r="35" spans="1:18">
      <c r="A35" s="316" t="s">
        <v>7011</v>
      </c>
      <c r="B35" s="316" t="s">
        <v>4080</v>
      </c>
      <c r="C35" s="4" t="s">
        <v>832</v>
      </c>
      <c r="D35" s="606">
        <v>9386</v>
      </c>
      <c r="E35" s="606">
        <v>9375</v>
      </c>
      <c r="F35" s="606">
        <v>9498</v>
      </c>
      <c r="G35" s="606">
        <v>9472</v>
      </c>
      <c r="H35" s="30">
        <v>9453</v>
      </c>
      <c r="I35" s="30">
        <v>9355</v>
      </c>
      <c r="J35" s="30">
        <v>9203</v>
      </c>
      <c r="K35" s="30">
        <v>9267</v>
      </c>
      <c r="L35" s="30">
        <v>9414</v>
      </c>
      <c r="N35" s="316" t="s">
        <v>7346</v>
      </c>
      <c r="P35" s="4"/>
      <c r="R35" s="4"/>
    </row>
    <row r="36" spans="1:18">
      <c r="A36" s="316" t="s">
        <v>7013</v>
      </c>
      <c r="B36" s="316" t="s">
        <v>4081</v>
      </c>
      <c r="C36" s="4" t="s">
        <v>833</v>
      </c>
      <c r="D36" s="607">
        <v>11446</v>
      </c>
      <c r="E36" s="607">
        <v>11545</v>
      </c>
      <c r="F36" s="607">
        <v>11608</v>
      </c>
      <c r="G36" s="607">
        <v>11675</v>
      </c>
      <c r="H36" s="31">
        <v>11730</v>
      </c>
      <c r="I36" s="31">
        <v>11223</v>
      </c>
      <c r="J36" s="31">
        <v>11171</v>
      </c>
      <c r="K36" s="31">
        <v>11396</v>
      </c>
      <c r="L36" s="31">
        <v>11614</v>
      </c>
      <c r="N36" s="316" t="s">
        <v>8198</v>
      </c>
      <c r="P36" s="4"/>
      <c r="R36" s="4"/>
    </row>
    <row r="37" spans="1:18">
      <c r="A37" s="316" t="s">
        <v>7015</v>
      </c>
      <c r="B37" s="316" t="s">
        <v>4082</v>
      </c>
      <c r="C37" s="4" t="s">
        <v>834</v>
      </c>
      <c r="D37" s="606">
        <v>10526</v>
      </c>
      <c r="E37" s="606">
        <v>10701</v>
      </c>
      <c r="F37" s="606">
        <v>10796</v>
      </c>
      <c r="G37" s="606">
        <v>10755</v>
      </c>
      <c r="H37" s="30">
        <v>10783</v>
      </c>
      <c r="I37" s="30">
        <v>10515</v>
      </c>
      <c r="J37" s="30">
        <v>10410</v>
      </c>
      <c r="K37" s="30">
        <v>10421</v>
      </c>
      <c r="L37" s="30">
        <v>10521</v>
      </c>
      <c r="N37" s="316" t="s">
        <v>8197</v>
      </c>
      <c r="P37" s="4"/>
      <c r="R37" s="4"/>
    </row>
    <row r="38" spans="1:18">
      <c r="A38" s="316" t="s">
        <v>7017</v>
      </c>
      <c r="B38" s="316" t="s">
        <v>4083</v>
      </c>
      <c r="C38" s="4" t="s">
        <v>835</v>
      </c>
      <c r="D38" s="606">
        <v>9831</v>
      </c>
      <c r="E38" s="606">
        <v>9960</v>
      </c>
      <c r="F38" s="606">
        <v>10054</v>
      </c>
      <c r="G38" s="606">
        <v>10102</v>
      </c>
      <c r="H38" s="30">
        <v>10133</v>
      </c>
      <c r="I38" s="30">
        <v>9887</v>
      </c>
      <c r="J38" s="30">
        <v>9674</v>
      </c>
      <c r="K38" s="30">
        <v>9882</v>
      </c>
      <c r="L38" s="30">
        <v>10118</v>
      </c>
      <c r="N38" s="316" t="s">
        <v>7346</v>
      </c>
      <c r="P38" s="4"/>
      <c r="R38" s="4"/>
    </row>
    <row r="39" spans="1:18">
      <c r="A39" s="316" t="s">
        <v>7019</v>
      </c>
      <c r="B39" s="316" t="s">
        <v>4084</v>
      </c>
      <c r="C39" s="4" t="s">
        <v>836</v>
      </c>
      <c r="D39" s="606">
        <v>10007</v>
      </c>
      <c r="E39" s="606">
        <v>10123</v>
      </c>
      <c r="F39" s="606">
        <v>10178</v>
      </c>
      <c r="G39" s="606">
        <v>10181</v>
      </c>
      <c r="H39" s="31">
        <v>10303</v>
      </c>
      <c r="I39" s="31">
        <v>10082</v>
      </c>
      <c r="J39" s="31">
        <v>9887</v>
      </c>
      <c r="K39" s="31">
        <v>9992</v>
      </c>
      <c r="L39" s="31">
        <v>10167</v>
      </c>
      <c r="N39" s="316" t="s">
        <v>8198</v>
      </c>
      <c r="P39" s="4"/>
      <c r="R39" s="4"/>
    </row>
    <row r="40" spans="1:18">
      <c r="A40" s="316" t="s">
        <v>7021</v>
      </c>
      <c r="B40" s="316" t="s">
        <v>4085</v>
      </c>
      <c r="C40" s="4" t="s">
        <v>837</v>
      </c>
      <c r="D40" s="607">
        <v>10409</v>
      </c>
      <c r="E40" s="607">
        <v>10464</v>
      </c>
      <c r="F40" s="607">
        <v>10436</v>
      </c>
      <c r="G40" s="607">
        <v>10470</v>
      </c>
      <c r="H40" s="30">
        <v>10475</v>
      </c>
      <c r="I40" s="30">
        <v>10282</v>
      </c>
      <c r="J40" s="30">
        <v>10181</v>
      </c>
      <c r="K40" s="30">
        <v>10356</v>
      </c>
      <c r="L40" s="30">
        <v>10434</v>
      </c>
      <c r="N40" s="316" t="s">
        <v>8197</v>
      </c>
      <c r="P40" s="4"/>
      <c r="R40" s="4"/>
    </row>
    <row r="42" spans="1:18">
      <c r="A42" s="599" t="s">
        <v>4086</v>
      </c>
    </row>
    <row r="43" spans="1:18">
      <c r="A43" s="599" t="s">
        <v>4087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7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6:D21 E6:E21 F6:F21 G6:G21 D5:G5 H3:H4 H5:H21 I3:I21 J3:J21 K3:K21 L3:L21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80"/>
  <sheetViews>
    <sheetView showGridLines="0" zoomScaleNormal="100" workbookViewId="0"/>
  </sheetViews>
  <sheetFormatPr defaultColWidth="12.5703125" defaultRowHeight="15"/>
  <cols>
    <col min="1" max="1" width="4.85546875" style="765" customWidth="1"/>
    <col min="2" max="2" width="40.7109375" style="765" customWidth="1"/>
    <col min="3" max="3" width="11.5703125" style="765" customWidth="1"/>
    <col min="4" max="12" width="10.42578125" style="765" customWidth="1"/>
    <col min="13" max="13" width="2.28515625" style="765" customWidth="1"/>
    <col min="14" max="14" width="35.7109375" style="765" customWidth="1"/>
    <col min="15" max="16384" width="12.5703125" style="765"/>
  </cols>
  <sheetData>
    <row r="1" spans="1:14">
      <c r="A1" s="764" t="s">
        <v>8847</v>
      </c>
      <c r="D1" s="765">
        <v>2010</v>
      </c>
      <c r="E1" s="765">
        <v>2011</v>
      </c>
      <c r="F1" s="765">
        <v>2012</v>
      </c>
      <c r="G1" s="765">
        <v>2013</v>
      </c>
      <c r="H1" s="765">
        <v>2014</v>
      </c>
      <c r="I1" s="765">
        <v>2015</v>
      </c>
      <c r="J1" s="765">
        <v>2016</v>
      </c>
      <c r="K1" s="765">
        <v>2017</v>
      </c>
      <c r="L1" s="765">
        <v>2018</v>
      </c>
    </row>
    <row r="3" spans="1:14">
      <c r="A3" s="20" t="s">
        <v>2543</v>
      </c>
      <c r="D3" s="21">
        <f>SUM(D17:D40)+SUM(D42:D65)+SUM(D67:D73)</f>
        <v>139525</v>
      </c>
      <c r="E3" s="21">
        <f t="shared" ref="E3:I3" si="0">SUM(E17:E40)+SUM(E42:E65)+SUM(E67:E73)</f>
        <v>138063</v>
      </c>
      <c r="F3" s="21">
        <f t="shared" si="0"/>
        <v>138060</v>
      </c>
      <c r="G3" s="21">
        <f t="shared" si="0"/>
        <v>139246</v>
      </c>
      <c r="H3" s="21">
        <f t="shared" si="0"/>
        <v>133648</v>
      </c>
      <c r="I3" s="21">
        <f t="shared" si="0"/>
        <v>134133</v>
      </c>
      <c r="J3" s="21">
        <f>SUM(J17:J40)+SUM(J42:J65)+SUM(J67:J73)</f>
        <v>133026</v>
      </c>
      <c r="K3" s="21">
        <f>SUM(K17:K40)+SUM(K42:K65)+SUM(K67:K73)</f>
        <v>135315</v>
      </c>
      <c r="L3" s="21">
        <f>SUM(L17:L40)+SUM(L42:L65)+SUM(L67:L73)</f>
        <v>137085</v>
      </c>
    </row>
    <row r="4" spans="1:14" ht="15.75" customHeight="1"/>
    <row r="5" spans="1:14" ht="15.75" customHeight="1">
      <c r="A5" s="764" t="s">
        <v>3520</v>
      </c>
      <c r="D5" s="768">
        <f t="shared" ref="D5:I5" si="1">D3/2</f>
        <v>69762.5</v>
      </c>
      <c r="E5" s="768">
        <f t="shared" si="1"/>
        <v>69031.5</v>
      </c>
      <c r="F5" s="768">
        <f t="shared" si="1"/>
        <v>69030</v>
      </c>
      <c r="G5" s="768">
        <f t="shared" si="1"/>
        <v>69623</v>
      </c>
      <c r="H5" s="768">
        <f t="shared" si="1"/>
        <v>66824</v>
      </c>
      <c r="I5" s="768">
        <f t="shared" si="1"/>
        <v>67066.5</v>
      </c>
      <c r="J5" s="768">
        <f t="shared" ref="J5:K5" si="2">J3/2</f>
        <v>66513</v>
      </c>
      <c r="K5" s="768">
        <f t="shared" si="2"/>
        <v>67657.5</v>
      </c>
      <c r="L5" s="768">
        <f t="shared" ref="L5" si="3">L3/2</f>
        <v>68542.5</v>
      </c>
    </row>
    <row r="6" spans="1:14" ht="15.75" customHeight="1">
      <c r="A6" s="764"/>
      <c r="D6" s="768"/>
      <c r="E6" s="768"/>
      <c r="F6" s="768"/>
      <c r="G6" s="768"/>
      <c r="H6" s="768"/>
      <c r="I6" s="768"/>
      <c r="J6" s="768"/>
      <c r="K6" s="768"/>
      <c r="L6" s="768"/>
    </row>
    <row r="7" spans="1:14" ht="15.75" customHeight="1">
      <c r="A7" s="20" t="s">
        <v>2544</v>
      </c>
      <c r="D7" s="768">
        <f>D18+D21+D24+D29+SUM(D33:D35)+D38+D39+D43+D44+D53+D55+D57+SUM(D59:D64)+D69+SUM(D71:D73)</f>
        <v>72245</v>
      </c>
      <c r="E7" s="768">
        <f t="shared" ref="E7:I7" si="4">E18+E21+E24+E29+SUM(E33:E35)+E38+E39+E43+E44+E53+E55+E57+SUM(E59:E64)+E69+SUM(E71:E73)</f>
        <v>71352</v>
      </c>
      <c r="F7" s="768">
        <f t="shared" si="4"/>
        <v>71059</v>
      </c>
      <c r="G7" s="768">
        <f t="shared" si="4"/>
        <v>71808</v>
      </c>
      <c r="H7" s="768">
        <f t="shared" si="4"/>
        <v>68593</v>
      </c>
      <c r="I7" s="768">
        <f t="shared" si="4"/>
        <v>68865</v>
      </c>
      <c r="J7" s="768">
        <f>J18+J20+J21+J24+J28+J29+SUM(J31:J35)+J38+J39+J43+J44+J53+J55+J57+SUM(J59:J64)+J69+SUM(J71:J73)</f>
        <v>68299</v>
      </c>
      <c r="K7" s="768">
        <f>K18+K20+K21+K24+K28+K29+SUM(K31:K35)+K38+K39+K43+K44+K53+K55+K57+SUM(K59:K64)+K69+SUM(K71:K73)</f>
        <v>69228</v>
      </c>
      <c r="L7" s="768">
        <f>L18+L20+L21+L24+L28+L29+SUM(L31:L35)+L38+L39+L43+L44+L53+L55+L57+SUM(L59:L64)+L69+SUM(L71:L73)</f>
        <v>70004</v>
      </c>
      <c r="M7" s="20"/>
      <c r="N7" s="20" t="s">
        <v>2545</v>
      </c>
    </row>
    <row r="8" spans="1:14" ht="15.75" customHeight="1">
      <c r="D8" s="767"/>
      <c r="E8" s="767"/>
      <c r="F8" s="767"/>
      <c r="G8" s="767"/>
      <c r="H8" s="767"/>
      <c r="I8" s="767"/>
      <c r="J8" s="767"/>
      <c r="K8" s="767"/>
      <c r="L8" s="767"/>
    </row>
    <row r="9" spans="1:14">
      <c r="A9" s="764" t="s">
        <v>2546</v>
      </c>
      <c r="D9" s="768">
        <f>D17+D19+D20+D22+D23+SUM(D25:D28)+SUM(D30:D32)+D36+D37+D40+D42+SUM(D45:D52)+D54+D56+D58+D65+D67+D68+D70</f>
        <v>67280</v>
      </c>
      <c r="E9" s="768">
        <f t="shared" ref="E9:I9" si="5">E17+E19+E20+E22+E23+SUM(E25:E28)+SUM(E30:E32)+E36+E37+E40+E42+SUM(E45:E52)+E54+E56+E58+E65+E67+E68+E70</f>
        <v>66711</v>
      </c>
      <c r="F9" s="768">
        <f t="shared" si="5"/>
        <v>67001</v>
      </c>
      <c r="G9" s="768">
        <f t="shared" si="5"/>
        <v>67438</v>
      </c>
      <c r="H9" s="768">
        <f t="shared" si="5"/>
        <v>65055</v>
      </c>
      <c r="I9" s="768">
        <f t="shared" si="5"/>
        <v>65268</v>
      </c>
      <c r="J9" s="768">
        <f>J17+J19+J22+J23+SUM(J25:J27)+J30+J36+J37+J40+J42+SUM(J45:J52)+J54+J56+J58+J65+J67+J68+J70</f>
        <v>64727</v>
      </c>
      <c r="K9" s="768">
        <f>K17+K19+K22+K23+SUM(K25:K27)+K30+K36+K37+K40+K42+SUM(K45:K52)+K54+K56+K58+K65+K67+K68+K70</f>
        <v>66087</v>
      </c>
      <c r="L9" s="768">
        <f>L17+L19+L22+L23+SUM(L25:L27)+L30+L36+L37+L40+L42+SUM(L45:L52)+L54+L56+L58+L65+L67+L68+L70</f>
        <v>67081</v>
      </c>
      <c r="N9" s="764" t="s">
        <v>2545</v>
      </c>
    </row>
    <row r="10" spans="1:14">
      <c r="D10" s="767"/>
      <c r="E10" s="767"/>
      <c r="F10" s="767"/>
      <c r="G10" s="767"/>
      <c r="H10" s="767"/>
      <c r="I10" s="767"/>
      <c r="J10" s="767"/>
      <c r="K10" s="767"/>
      <c r="L10" s="767"/>
    </row>
    <row r="11" spans="1:14">
      <c r="A11" s="764" t="s">
        <v>8697</v>
      </c>
      <c r="D11" s="768">
        <f t="shared" ref="D11:I11" si="6">D7+D9</f>
        <v>139525</v>
      </c>
      <c r="E11" s="768">
        <f t="shared" si="6"/>
        <v>138063</v>
      </c>
      <c r="F11" s="768">
        <f t="shared" si="6"/>
        <v>138060</v>
      </c>
      <c r="G11" s="768">
        <f t="shared" si="6"/>
        <v>139246</v>
      </c>
      <c r="H11" s="768">
        <f t="shared" si="6"/>
        <v>133648</v>
      </c>
      <c r="I11" s="768">
        <f t="shared" si="6"/>
        <v>134133</v>
      </c>
      <c r="J11" s="768">
        <f t="shared" ref="J11:K11" si="7">J7+J9</f>
        <v>133026</v>
      </c>
      <c r="K11" s="768">
        <f t="shared" si="7"/>
        <v>135315</v>
      </c>
      <c r="L11" s="768">
        <f t="shared" ref="L11" si="8">L7+L9</f>
        <v>137085</v>
      </c>
    </row>
    <row r="12" spans="1:14">
      <c r="A12" s="764"/>
      <c r="D12" s="768"/>
      <c r="E12" s="768"/>
      <c r="F12" s="768"/>
      <c r="G12" s="768"/>
      <c r="H12" s="768"/>
      <c r="I12" s="768"/>
      <c r="J12" s="768"/>
      <c r="K12" s="768"/>
      <c r="L12" s="768"/>
    </row>
    <row r="13" spans="1:14">
      <c r="A13" s="764" t="s">
        <v>8698</v>
      </c>
      <c r="D13" s="768">
        <f t="shared" ref="D13:I13" si="9">MAX(D7,D9)-MIN(D7,D9)</f>
        <v>4965</v>
      </c>
      <c r="E13" s="768">
        <f t="shared" si="9"/>
        <v>4641</v>
      </c>
      <c r="F13" s="768">
        <f t="shared" si="9"/>
        <v>4058</v>
      </c>
      <c r="G13" s="768">
        <f t="shared" si="9"/>
        <v>4370</v>
      </c>
      <c r="H13" s="768">
        <f t="shared" si="9"/>
        <v>3538</v>
      </c>
      <c r="I13" s="768">
        <f t="shared" si="9"/>
        <v>3597</v>
      </c>
      <c r="J13" s="768">
        <f t="shared" ref="J13:K13" si="10">MAX(J7,J9)-MIN(J7,J9)</f>
        <v>3572</v>
      </c>
      <c r="K13" s="768">
        <f t="shared" si="10"/>
        <v>3141</v>
      </c>
      <c r="L13" s="768">
        <f t="shared" ref="L13" si="11">MAX(L7,L9)-MIN(L7,L9)</f>
        <v>2923</v>
      </c>
    </row>
    <row r="14" spans="1:14">
      <c r="A14" s="764"/>
      <c r="D14" s="768"/>
      <c r="E14" s="768"/>
      <c r="F14" s="768"/>
      <c r="G14" s="768"/>
      <c r="H14" s="768"/>
      <c r="I14" s="768"/>
      <c r="J14" s="768"/>
      <c r="K14" s="768"/>
      <c r="L14" s="768"/>
    </row>
    <row r="15" spans="1:14">
      <c r="A15" s="771" t="s">
        <v>8701</v>
      </c>
      <c r="D15" s="768">
        <f t="shared" ref="D15:I15" si="12">STDEVP(D7,D9)</f>
        <v>2482.5</v>
      </c>
      <c r="E15" s="768">
        <f t="shared" si="12"/>
        <v>2320.5</v>
      </c>
      <c r="F15" s="768">
        <f t="shared" si="12"/>
        <v>2029</v>
      </c>
      <c r="G15" s="768">
        <f t="shared" si="12"/>
        <v>2185</v>
      </c>
      <c r="H15" s="768">
        <f t="shared" si="12"/>
        <v>1769</v>
      </c>
      <c r="I15" s="768">
        <f t="shared" si="12"/>
        <v>1798.5</v>
      </c>
      <c r="J15" s="768">
        <f t="shared" ref="J15:K15" si="13">STDEVP(J7,J9)</f>
        <v>1786</v>
      </c>
      <c r="K15" s="768">
        <f t="shared" si="13"/>
        <v>1570.5</v>
      </c>
      <c r="L15" s="768">
        <f t="shared" ref="L15" si="14">STDEVP(L7,L9)</f>
        <v>1461.5</v>
      </c>
    </row>
    <row r="16" spans="1:14">
      <c r="A16" s="771"/>
      <c r="D16" s="772"/>
      <c r="E16" s="772"/>
      <c r="F16" s="772"/>
      <c r="G16" s="772"/>
      <c r="H16" s="772"/>
      <c r="I16" s="772"/>
      <c r="J16" s="772"/>
      <c r="K16" s="772"/>
      <c r="L16" s="772"/>
    </row>
    <row r="17" spans="1:18" ht="15.75" customHeight="1">
      <c r="A17" s="97">
        <v>1</v>
      </c>
      <c r="B17" s="20" t="s">
        <v>14822</v>
      </c>
      <c r="C17" s="4" t="s">
        <v>14823</v>
      </c>
      <c r="D17" s="48">
        <v>67280</v>
      </c>
      <c r="E17" s="48">
        <v>66711</v>
      </c>
      <c r="F17" s="48">
        <v>67001</v>
      </c>
      <c r="G17" s="48">
        <v>67438</v>
      </c>
      <c r="H17" s="48">
        <v>65055</v>
      </c>
      <c r="I17" s="48">
        <v>65268</v>
      </c>
      <c r="J17" s="48">
        <v>2798</v>
      </c>
      <c r="K17" s="48">
        <v>2840</v>
      </c>
      <c r="L17" s="48">
        <v>2859</v>
      </c>
      <c r="M17" s="20"/>
      <c r="N17" s="20" t="s">
        <v>2546</v>
      </c>
      <c r="O17"/>
      <c r="Q17" s="4"/>
      <c r="R17" s="20"/>
    </row>
    <row r="18" spans="1:18" ht="15.75" customHeight="1">
      <c r="A18" s="97">
        <v>2</v>
      </c>
      <c r="B18" s="20" t="s">
        <v>14821</v>
      </c>
      <c r="C18" s="4" t="s">
        <v>14824</v>
      </c>
      <c r="D18" s="48">
        <v>72245</v>
      </c>
      <c r="E18" s="48">
        <v>71352</v>
      </c>
      <c r="F18" s="48">
        <v>71059</v>
      </c>
      <c r="G18" s="48">
        <v>71808</v>
      </c>
      <c r="H18" s="48">
        <v>68593</v>
      </c>
      <c r="I18" s="48">
        <v>68865</v>
      </c>
      <c r="J18" s="48">
        <v>2412</v>
      </c>
      <c r="K18" s="48">
        <v>2419</v>
      </c>
      <c r="L18" s="48">
        <v>2432</v>
      </c>
      <c r="M18" s="20"/>
      <c r="N18" s="20" t="s">
        <v>2544</v>
      </c>
      <c r="O18"/>
      <c r="Q18" s="4"/>
      <c r="R18" s="20"/>
    </row>
    <row r="19" spans="1:18" ht="15.75" customHeight="1">
      <c r="A19" s="97">
        <v>3</v>
      </c>
      <c r="B19" s="20" t="s">
        <v>2548</v>
      </c>
      <c r="C19" s="4" t="s">
        <v>14825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2242</v>
      </c>
      <c r="K19" s="48">
        <v>2298</v>
      </c>
      <c r="L19" s="48">
        <v>2375</v>
      </c>
      <c r="M19" s="20"/>
      <c r="N19" s="20" t="s">
        <v>2546</v>
      </c>
      <c r="O19"/>
      <c r="Q19" s="4"/>
      <c r="R19" s="20"/>
    </row>
    <row r="20" spans="1:18" ht="15.75" customHeight="1">
      <c r="A20" s="97">
        <v>4</v>
      </c>
      <c r="B20" s="20" t="s">
        <v>14820</v>
      </c>
      <c r="C20" s="4" t="s">
        <v>14826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2505</v>
      </c>
      <c r="K20" s="48">
        <v>2547</v>
      </c>
      <c r="L20" s="48">
        <v>2623</v>
      </c>
      <c r="M20" s="20"/>
      <c r="N20" s="20" t="s">
        <v>2544</v>
      </c>
      <c r="O20"/>
      <c r="Q20" s="4"/>
      <c r="R20" s="20"/>
    </row>
    <row r="21" spans="1:18" ht="15.75" customHeight="1">
      <c r="A21" s="97">
        <v>5</v>
      </c>
      <c r="B21" s="20" t="s">
        <v>986</v>
      </c>
      <c r="C21" s="4" t="s">
        <v>14827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2370</v>
      </c>
      <c r="K21" s="48">
        <v>2440</v>
      </c>
      <c r="L21" s="48">
        <v>2473</v>
      </c>
      <c r="M21" s="20"/>
      <c r="N21" s="20" t="s">
        <v>2544</v>
      </c>
      <c r="O21"/>
      <c r="Q21" s="4"/>
      <c r="R21" s="20"/>
    </row>
    <row r="22" spans="1:18" ht="15.75" customHeight="1">
      <c r="A22" s="97">
        <v>6</v>
      </c>
      <c r="B22" s="20" t="s">
        <v>2549</v>
      </c>
      <c r="C22" s="4" t="s">
        <v>14828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2916</v>
      </c>
      <c r="K22" s="48">
        <v>2993</v>
      </c>
      <c r="L22" s="48">
        <v>3038</v>
      </c>
      <c r="M22" s="20"/>
      <c r="N22" s="20" t="s">
        <v>2546</v>
      </c>
      <c r="O22"/>
      <c r="Q22" s="4"/>
      <c r="R22" s="20"/>
    </row>
    <row r="23" spans="1:18" ht="15.75" customHeight="1">
      <c r="A23" s="97">
        <v>7</v>
      </c>
      <c r="B23" s="20" t="s">
        <v>14819</v>
      </c>
      <c r="C23" s="4" t="s">
        <v>14829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2433</v>
      </c>
      <c r="K23" s="48">
        <v>2530</v>
      </c>
      <c r="L23" s="48">
        <v>2587</v>
      </c>
      <c r="M23" s="20"/>
      <c r="N23" s="20" t="s">
        <v>2546</v>
      </c>
      <c r="O23"/>
      <c r="Q23" s="4"/>
      <c r="R23" s="20"/>
    </row>
    <row r="24" spans="1:18" ht="15.75" customHeight="1">
      <c r="A24" s="97">
        <v>8</v>
      </c>
      <c r="B24" s="20" t="s">
        <v>14818</v>
      </c>
      <c r="C24" s="4" t="s">
        <v>14830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2278</v>
      </c>
      <c r="K24" s="48">
        <v>2326</v>
      </c>
      <c r="L24" s="48">
        <v>2324</v>
      </c>
      <c r="M24" s="20"/>
      <c r="N24" s="20" t="s">
        <v>2544</v>
      </c>
      <c r="O24"/>
      <c r="Q24" s="4"/>
      <c r="R24" s="20"/>
    </row>
    <row r="25" spans="1:18" ht="15.75" customHeight="1">
      <c r="A25" s="97">
        <v>9</v>
      </c>
      <c r="B25" s="20" t="s">
        <v>14817</v>
      </c>
      <c r="C25" s="4" t="s">
        <v>14831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2548</v>
      </c>
      <c r="K25" s="48">
        <v>2609</v>
      </c>
      <c r="L25" s="48">
        <v>2635</v>
      </c>
      <c r="M25" s="20"/>
      <c r="N25" s="20" t="s">
        <v>2546</v>
      </c>
      <c r="O25"/>
      <c r="Q25" s="4"/>
      <c r="R25" s="20"/>
    </row>
    <row r="26" spans="1:18" ht="15.75" customHeight="1">
      <c r="A26" s="97">
        <v>10</v>
      </c>
      <c r="B26" s="20" t="s">
        <v>14816</v>
      </c>
      <c r="C26" s="4" t="s">
        <v>14832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2222</v>
      </c>
      <c r="K26" s="48">
        <v>2229</v>
      </c>
      <c r="L26" s="48">
        <v>2267</v>
      </c>
      <c r="M26" s="20"/>
      <c r="N26" s="20" t="s">
        <v>2546</v>
      </c>
      <c r="O26"/>
      <c r="Q26" s="4"/>
      <c r="R26" s="20"/>
    </row>
    <row r="27" spans="1:18" ht="15.75" customHeight="1">
      <c r="A27" s="97">
        <v>11</v>
      </c>
      <c r="B27" s="20" t="s">
        <v>7588</v>
      </c>
      <c r="C27" s="4" t="s">
        <v>14833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2388</v>
      </c>
      <c r="K27" s="48">
        <v>2457</v>
      </c>
      <c r="L27" s="48">
        <v>2462</v>
      </c>
      <c r="M27" s="20"/>
      <c r="N27" s="20" t="s">
        <v>2546</v>
      </c>
      <c r="O27"/>
      <c r="Q27" s="4"/>
      <c r="R27" s="20"/>
    </row>
    <row r="28" spans="1:18" ht="15.75" customHeight="1">
      <c r="A28" s="97">
        <v>12</v>
      </c>
      <c r="B28" s="20" t="s">
        <v>7725</v>
      </c>
      <c r="C28" s="4" t="s">
        <v>14834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2159</v>
      </c>
      <c r="K28" s="48">
        <v>2214</v>
      </c>
      <c r="L28" s="48">
        <v>2268</v>
      </c>
      <c r="M28" s="20"/>
      <c r="N28" s="20" t="s">
        <v>2544</v>
      </c>
      <c r="O28"/>
      <c r="Q28" s="4"/>
      <c r="R28" s="20"/>
    </row>
    <row r="29" spans="1:18" ht="15.75" customHeight="1">
      <c r="A29" s="97">
        <v>13</v>
      </c>
      <c r="B29" s="20" t="s">
        <v>2177</v>
      </c>
      <c r="C29" s="4" t="s">
        <v>14835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2679</v>
      </c>
      <c r="K29" s="48">
        <v>2683</v>
      </c>
      <c r="L29" s="48">
        <v>2670</v>
      </c>
      <c r="M29" s="20"/>
      <c r="N29" s="20" t="s">
        <v>2544</v>
      </c>
      <c r="O29"/>
      <c r="Q29" s="4"/>
      <c r="R29" s="20"/>
    </row>
    <row r="30" spans="1:18" ht="15.75" customHeight="1">
      <c r="A30" s="97">
        <v>14</v>
      </c>
      <c r="B30" s="20" t="s">
        <v>5982</v>
      </c>
      <c r="C30" s="4" t="s">
        <v>14836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2276</v>
      </c>
      <c r="K30" s="48">
        <v>2323</v>
      </c>
      <c r="L30" s="48">
        <v>2394</v>
      </c>
      <c r="M30" s="20"/>
      <c r="N30" s="20" t="s">
        <v>2546</v>
      </c>
      <c r="O30"/>
      <c r="Q30" s="4"/>
      <c r="R30" s="20"/>
    </row>
    <row r="31" spans="1:18" ht="15.75" customHeight="1">
      <c r="A31" s="97">
        <v>15</v>
      </c>
      <c r="B31" s="20" t="s">
        <v>14815</v>
      </c>
      <c r="C31" s="4" t="s">
        <v>14837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2602</v>
      </c>
      <c r="K31" s="48">
        <v>2639</v>
      </c>
      <c r="L31" s="48">
        <v>2694</v>
      </c>
      <c r="M31" s="20"/>
      <c r="N31" s="20" t="s">
        <v>2544</v>
      </c>
      <c r="O31"/>
      <c r="Q31" s="4"/>
      <c r="R31" s="20"/>
    </row>
    <row r="32" spans="1:18" ht="15.75" customHeight="1">
      <c r="A32" s="97">
        <v>16</v>
      </c>
      <c r="B32" s="20" t="s">
        <v>14814</v>
      </c>
      <c r="C32" s="4" t="s">
        <v>14838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2574</v>
      </c>
      <c r="K32" s="48">
        <v>2614</v>
      </c>
      <c r="L32" s="48">
        <v>2624</v>
      </c>
      <c r="M32" s="20"/>
      <c r="N32" s="20" t="s">
        <v>2544</v>
      </c>
      <c r="O32"/>
      <c r="Q32" s="4"/>
      <c r="R32" s="20"/>
    </row>
    <row r="33" spans="1:18" ht="15.75" customHeight="1">
      <c r="A33" s="97">
        <v>17</v>
      </c>
      <c r="B33" s="20" t="s">
        <v>5983</v>
      </c>
      <c r="C33" s="4" t="s">
        <v>14839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2386</v>
      </c>
      <c r="K33" s="48">
        <v>2407</v>
      </c>
      <c r="L33" s="48">
        <v>2434</v>
      </c>
      <c r="M33" s="20"/>
      <c r="N33" s="20" t="s">
        <v>2544</v>
      </c>
      <c r="O33"/>
      <c r="Q33" s="4"/>
      <c r="R33" s="20"/>
    </row>
    <row r="34" spans="1:18" ht="15.75" customHeight="1">
      <c r="A34" s="97">
        <v>18</v>
      </c>
      <c r="B34" s="20" t="s">
        <v>5984</v>
      </c>
      <c r="C34" s="4" t="s">
        <v>14840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2546</v>
      </c>
      <c r="K34" s="48">
        <v>2589</v>
      </c>
      <c r="L34" s="48">
        <v>2614</v>
      </c>
      <c r="M34" s="20"/>
      <c r="N34" s="20" t="s">
        <v>2544</v>
      </c>
      <c r="O34"/>
      <c r="Q34" s="4"/>
      <c r="R34" s="20"/>
    </row>
    <row r="35" spans="1:18" ht="15.75" customHeight="1">
      <c r="A35" s="97">
        <v>19</v>
      </c>
      <c r="B35" s="20" t="s">
        <v>6538</v>
      </c>
      <c r="C35" s="4" t="s">
        <v>14841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2482</v>
      </c>
      <c r="K35" s="48">
        <v>2553</v>
      </c>
      <c r="L35" s="48">
        <v>2615</v>
      </c>
      <c r="M35" s="20"/>
      <c r="N35" s="20" t="s">
        <v>2544</v>
      </c>
      <c r="O35"/>
      <c r="Q35" s="4"/>
      <c r="R35" s="20"/>
    </row>
    <row r="36" spans="1:18" ht="15.75" customHeight="1">
      <c r="A36" s="97">
        <v>20</v>
      </c>
      <c r="B36" s="20" t="s">
        <v>5985</v>
      </c>
      <c r="C36" s="4" t="s">
        <v>14842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2752</v>
      </c>
      <c r="K36" s="48">
        <v>2763</v>
      </c>
      <c r="L36" s="48">
        <v>2801</v>
      </c>
      <c r="M36" s="20"/>
      <c r="N36" s="20" t="s">
        <v>2546</v>
      </c>
      <c r="O36"/>
      <c r="Q36" s="4"/>
      <c r="R36" s="20"/>
    </row>
    <row r="37" spans="1:18" ht="15.75" customHeight="1">
      <c r="A37" s="97">
        <v>21</v>
      </c>
      <c r="B37" s="20" t="s">
        <v>2460</v>
      </c>
      <c r="C37" s="4" t="s">
        <v>14843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2666</v>
      </c>
      <c r="K37" s="48">
        <v>2744</v>
      </c>
      <c r="L37" s="48">
        <v>2756</v>
      </c>
      <c r="M37" s="20"/>
      <c r="N37" s="20" t="s">
        <v>2546</v>
      </c>
      <c r="O37"/>
      <c r="Q37" s="4"/>
      <c r="R37" s="20"/>
    </row>
    <row r="38" spans="1:18" ht="15.75" customHeight="1">
      <c r="A38" s="97">
        <v>22</v>
      </c>
      <c r="B38" s="20" t="s">
        <v>14813</v>
      </c>
      <c r="C38" s="4" t="s">
        <v>14844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2599</v>
      </c>
      <c r="K38" s="48">
        <v>2630</v>
      </c>
      <c r="L38" s="48">
        <v>2584</v>
      </c>
      <c r="M38" s="20"/>
      <c r="N38" s="20" t="s">
        <v>2544</v>
      </c>
      <c r="O38"/>
      <c r="Q38" s="4"/>
      <c r="R38" s="20"/>
    </row>
    <row r="39" spans="1:18" ht="15.75" customHeight="1">
      <c r="A39" s="97">
        <v>23</v>
      </c>
      <c r="B39" s="20" t="s">
        <v>14812</v>
      </c>
      <c r="C39" s="4" t="s">
        <v>14845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1153</v>
      </c>
      <c r="K39" s="48">
        <v>1172</v>
      </c>
      <c r="L39" s="48">
        <v>1187</v>
      </c>
      <c r="M39" s="20"/>
      <c r="N39" s="20" t="s">
        <v>2544</v>
      </c>
      <c r="O39"/>
      <c r="Q39" s="4"/>
      <c r="R39" s="20"/>
    </row>
    <row r="40" spans="1:18" ht="15.75" customHeight="1" thickBot="1">
      <c r="A40" s="97"/>
      <c r="B40" s="20"/>
      <c r="C40" s="4" t="s">
        <v>14845</v>
      </c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48">
        <v>1446</v>
      </c>
      <c r="K40" s="48">
        <v>1537</v>
      </c>
      <c r="L40" s="48">
        <v>1639</v>
      </c>
      <c r="M40" s="20"/>
      <c r="N40" s="20" t="s">
        <v>2546</v>
      </c>
      <c r="O40"/>
      <c r="Q40" s="4"/>
      <c r="R40" s="20"/>
    </row>
    <row r="41" spans="1:18" ht="15.75" customHeight="1" thickBot="1">
      <c r="A41" s="97"/>
      <c r="B41" s="20"/>
      <c r="C41" s="4" t="s">
        <v>14845</v>
      </c>
      <c r="D41" s="912">
        <f>D39+D40</f>
        <v>0</v>
      </c>
      <c r="E41" s="912">
        <f t="shared" ref="E41:L41" si="15">E39+E40</f>
        <v>0</v>
      </c>
      <c r="F41" s="912">
        <f t="shared" si="15"/>
        <v>0</v>
      </c>
      <c r="G41" s="912">
        <f t="shared" si="15"/>
        <v>0</v>
      </c>
      <c r="H41" s="912">
        <f t="shared" si="15"/>
        <v>0</v>
      </c>
      <c r="I41" s="912">
        <f t="shared" si="15"/>
        <v>0</v>
      </c>
      <c r="J41" s="912">
        <f t="shared" si="15"/>
        <v>2599</v>
      </c>
      <c r="K41" s="912">
        <f t="shared" si="15"/>
        <v>2709</v>
      </c>
      <c r="L41" s="912">
        <f t="shared" si="15"/>
        <v>2826</v>
      </c>
      <c r="M41" s="20"/>
      <c r="N41" s="20"/>
      <c r="Q41" s="4"/>
      <c r="R41" s="20"/>
    </row>
    <row r="42" spans="1:18" ht="15.75" customHeight="1">
      <c r="A42" s="97">
        <v>24</v>
      </c>
      <c r="B42" s="20" t="s">
        <v>5986</v>
      </c>
      <c r="C42" s="4" t="s">
        <v>14846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2805</v>
      </c>
      <c r="K42" s="48">
        <v>2845</v>
      </c>
      <c r="L42" s="48">
        <v>2904</v>
      </c>
      <c r="M42" s="20"/>
      <c r="N42" s="20" t="s">
        <v>2546</v>
      </c>
      <c r="O42"/>
      <c r="Q42" s="4"/>
      <c r="R42" s="20"/>
    </row>
    <row r="43" spans="1:18" ht="15.75" customHeight="1">
      <c r="A43" s="97">
        <v>25</v>
      </c>
      <c r="B43" s="20" t="s">
        <v>5987</v>
      </c>
      <c r="C43" s="4" t="s">
        <v>14847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2437</v>
      </c>
      <c r="K43" s="48">
        <v>2469</v>
      </c>
      <c r="L43" s="48">
        <v>2472</v>
      </c>
      <c r="M43" s="20"/>
      <c r="N43" s="20" t="s">
        <v>2544</v>
      </c>
      <c r="O43"/>
      <c r="Q43" s="4"/>
      <c r="R43" s="20"/>
    </row>
    <row r="44" spans="1:18" ht="15.75" customHeight="1">
      <c r="A44" s="97">
        <v>26</v>
      </c>
      <c r="B44" s="20" t="s">
        <v>14811</v>
      </c>
      <c r="C44" s="4" t="s">
        <v>14848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2537</v>
      </c>
      <c r="K44" s="48">
        <v>2534</v>
      </c>
      <c r="L44" s="48">
        <v>2539</v>
      </c>
      <c r="M44" s="20"/>
      <c r="N44" s="20" t="s">
        <v>2544</v>
      </c>
      <c r="O44"/>
      <c r="Q44" s="4"/>
      <c r="R44" s="20"/>
    </row>
    <row r="45" spans="1:18" ht="15.75" customHeight="1">
      <c r="A45" s="97">
        <v>27</v>
      </c>
      <c r="B45" s="20" t="s">
        <v>6482</v>
      </c>
      <c r="C45" s="4" t="s">
        <v>14849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2445</v>
      </c>
      <c r="K45" s="48">
        <v>2479</v>
      </c>
      <c r="L45" s="48">
        <v>2504</v>
      </c>
      <c r="M45" s="20"/>
      <c r="N45" s="20" t="s">
        <v>2546</v>
      </c>
      <c r="O45"/>
      <c r="Q45" s="4"/>
      <c r="R45" s="20"/>
    </row>
    <row r="46" spans="1:18" ht="15.75" customHeight="1">
      <c r="A46" s="97">
        <v>28</v>
      </c>
      <c r="B46" s="20" t="s">
        <v>14810</v>
      </c>
      <c r="C46" s="4" t="s">
        <v>14850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2436</v>
      </c>
      <c r="K46" s="48">
        <v>2453</v>
      </c>
      <c r="L46" s="48">
        <v>2473</v>
      </c>
      <c r="M46" s="20"/>
      <c r="N46" s="20" t="s">
        <v>2546</v>
      </c>
      <c r="O46"/>
      <c r="Q46" s="4"/>
      <c r="R46" s="20"/>
    </row>
    <row r="47" spans="1:18" ht="15.75" customHeight="1">
      <c r="A47" s="97">
        <v>29</v>
      </c>
      <c r="B47" s="20" t="s">
        <v>14809</v>
      </c>
      <c r="C47" s="4" t="s">
        <v>14851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2385</v>
      </c>
      <c r="K47" s="48">
        <v>2427</v>
      </c>
      <c r="L47" s="48">
        <v>2467</v>
      </c>
      <c r="M47" s="20"/>
      <c r="N47" s="20" t="s">
        <v>2546</v>
      </c>
      <c r="O47"/>
      <c r="Q47" s="4"/>
      <c r="R47" s="20"/>
    </row>
    <row r="48" spans="1:18" ht="15.75" customHeight="1">
      <c r="A48" s="97">
        <v>30</v>
      </c>
      <c r="B48" s="20" t="s">
        <v>14808</v>
      </c>
      <c r="C48" s="4" t="s">
        <v>14852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2479</v>
      </c>
      <c r="K48" s="48">
        <v>2533</v>
      </c>
      <c r="L48" s="48">
        <v>2550</v>
      </c>
      <c r="M48" s="20"/>
      <c r="N48" s="20" t="s">
        <v>2546</v>
      </c>
      <c r="O48"/>
      <c r="Q48" s="4"/>
      <c r="R48" s="20"/>
    </row>
    <row r="49" spans="1:18" ht="15.75" customHeight="1">
      <c r="A49" s="97">
        <v>31</v>
      </c>
      <c r="B49" s="20" t="s">
        <v>14807</v>
      </c>
      <c r="C49" s="4" t="s">
        <v>14853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2544</v>
      </c>
      <c r="K49" s="48">
        <v>2630</v>
      </c>
      <c r="L49" s="48">
        <v>2673</v>
      </c>
      <c r="M49" s="20"/>
      <c r="N49" s="20" t="s">
        <v>2546</v>
      </c>
      <c r="O49"/>
      <c r="Q49" s="4"/>
      <c r="R49" s="20"/>
    </row>
    <row r="50" spans="1:18" ht="15.75" customHeight="1">
      <c r="A50" s="97">
        <v>32</v>
      </c>
      <c r="B50" s="20" t="s">
        <v>14806</v>
      </c>
      <c r="C50" s="4" t="s">
        <v>14854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2832</v>
      </c>
      <c r="K50" s="48">
        <v>2862</v>
      </c>
      <c r="L50" s="48">
        <v>2886</v>
      </c>
      <c r="M50" s="20"/>
      <c r="N50" s="20" t="s">
        <v>2546</v>
      </c>
      <c r="O50"/>
      <c r="Q50" s="4"/>
      <c r="R50" s="20"/>
    </row>
    <row r="51" spans="1:18" ht="15.75" customHeight="1">
      <c r="A51" s="97">
        <v>33</v>
      </c>
      <c r="B51" s="20" t="s">
        <v>8733</v>
      </c>
      <c r="C51" s="4" t="s">
        <v>14855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2465</v>
      </c>
      <c r="K51" s="48">
        <v>2473</v>
      </c>
      <c r="L51" s="48">
        <v>2500</v>
      </c>
      <c r="M51" s="20"/>
      <c r="N51" s="20" t="s">
        <v>2546</v>
      </c>
      <c r="O51"/>
      <c r="Q51" s="4"/>
      <c r="R51" s="20"/>
    </row>
    <row r="52" spans="1:18" ht="15.75" customHeight="1">
      <c r="A52" s="97">
        <v>34</v>
      </c>
      <c r="B52" s="20" t="s">
        <v>14805</v>
      </c>
      <c r="C52" s="4" t="s">
        <v>14856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1997</v>
      </c>
      <c r="K52" s="48">
        <v>2037</v>
      </c>
      <c r="L52" s="48">
        <v>2095</v>
      </c>
      <c r="M52" s="20"/>
      <c r="N52" s="20" t="s">
        <v>2546</v>
      </c>
      <c r="O52"/>
      <c r="Q52" s="4"/>
      <c r="R52" s="20"/>
    </row>
    <row r="53" spans="1:18" ht="15.75" customHeight="1">
      <c r="A53" s="97">
        <v>35</v>
      </c>
      <c r="B53" s="20" t="s">
        <v>8734</v>
      </c>
      <c r="C53" s="4" t="s">
        <v>14857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2671</v>
      </c>
      <c r="K53" s="48">
        <v>2691</v>
      </c>
      <c r="L53" s="48">
        <v>2734</v>
      </c>
      <c r="M53" s="20"/>
      <c r="N53" s="20" t="s">
        <v>2544</v>
      </c>
      <c r="O53"/>
      <c r="Q53" s="4"/>
      <c r="R53" s="20"/>
    </row>
    <row r="54" spans="1:18" ht="15.75" customHeight="1">
      <c r="A54" s="97">
        <v>36</v>
      </c>
      <c r="B54" s="20" t="s">
        <v>7729</v>
      </c>
      <c r="C54" s="4" t="s">
        <v>14858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2542</v>
      </c>
      <c r="K54" s="48">
        <v>2637</v>
      </c>
      <c r="L54" s="48">
        <v>2655</v>
      </c>
      <c r="M54" s="20"/>
      <c r="N54" s="20" t="s">
        <v>2546</v>
      </c>
      <c r="O54"/>
      <c r="Q54" s="4"/>
      <c r="R54" s="20"/>
    </row>
    <row r="55" spans="1:18" ht="15.75" customHeight="1">
      <c r="A55" s="97">
        <v>37</v>
      </c>
      <c r="B55" s="20" t="s">
        <v>14804</v>
      </c>
      <c r="C55" s="4" t="s">
        <v>14859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2504</v>
      </c>
      <c r="K55" s="48">
        <v>2515</v>
      </c>
      <c r="L55" s="48">
        <v>2598</v>
      </c>
      <c r="M55" s="20"/>
      <c r="N55" s="20" t="s">
        <v>2544</v>
      </c>
      <c r="O55"/>
      <c r="Q55" s="4"/>
      <c r="R55" s="20"/>
    </row>
    <row r="56" spans="1:18" ht="15.75" customHeight="1">
      <c r="A56" s="97">
        <v>38</v>
      </c>
      <c r="B56" s="20" t="s">
        <v>8735</v>
      </c>
      <c r="C56" s="4" t="s">
        <v>14860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2424</v>
      </c>
      <c r="K56" s="48">
        <v>2488</v>
      </c>
      <c r="L56" s="48">
        <v>2504</v>
      </c>
      <c r="M56" s="20"/>
      <c r="N56" s="20" t="s">
        <v>2546</v>
      </c>
      <c r="O56"/>
      <c r="Q56" s="4"/>
      <c r="R56" s="20"/>
    </row>
    <row r="57" spans="1:18" ht="15.75" customHeight="1">
      <c r="A57" s="97">
        <v>39</v>
      </c>
      <c r="B57" s="20" t="s">
        <v>8736</v>
      </c>
      <c r="C57" s="4" t="s">
        <v>14861</v>
      </c>
      <c r="D57" s="48">
        <v>0</v>
      </c>
      <c r="E57" s="48">
        <v>0</v>
      </c>
      <c r="F57" s="48">
        <v>0</v>
      </c>
      <c r="G57" s="924">
        <v>0</v>
      </c>
      <c r="H57" s="48">
        <v>0</v>
      </c>
      <c r="I57" s="48">
        <v>0</v>
      </c>
      <c r="J57" s="48">
        <v>2631</v>
      </c>
      <c r="K57" s="48">
        <v>2666</v>
      </c>
      <c r="L57" s="48">
        <v>2736</v>
      </c>
      <c r="M57" s="20"/>
      <c r="N57" s="20" t="s">
        <v>2544</v>
      </c>
      <c r="O57"/>
      <c r="Q57" s="4"/>
      <c r="R57" s="20"/>
    </row>
    <row r="58" spans="1:18" ht="15.75" customHeight="1">
      <c r="A58" s="97">
        <v>40</v>
      </c>
      <c r="B58" s="20" t="s">
        <v>14803</v>
      </c>
      <c r="C58" s="4" t="s">
        <v>14862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2556</v>
      </c>
      <c r="K58" s="48">
        <v>2632</v>
      </c>
      <c r="L58" s="48">
        <v>2683</v>
      </c>
      <c r="M58" s="20"/>
      <c r="N58" s="20" t="s">
        <v>2546</v>
      </c>
      <c r="O58"/>
      <c r="Q58" s="4"/>
      <c r="R58" s="20"/>
    </row>
    <row r="59" spans="1:18" ht="15.75" customHeight="1">
      <c r="A59" s="113">
        <v>41</v>
      </c>
      <c r="B59" s="20" t="s">
        <v>14802</v>
      </c>
      <c r="C59" s="4" t="s">
        <v>14863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2757</v>
      </c>
      <c r="K59" s="48">
        <v>2786</v>
      </c>
      <c r="L59" s="48">
        <v>2778</v>
      </c>
      <c r="M59" s="20"/>
      <c r="N59" s="20" t="s">
        <v>2544</v>
      </c>
      <c r="O59"/>
      <c r="Q59" s="4"/>
      <c r="R59" s="20"/>
    </row>
    <row r="60" spans="1:18" ht="15.75" customHeight="1">
      <c r="A60" s="113">
        <v>42</v>
      </c>
      <c r="B60" s="20" t="s">
        <v>14801</v>
      </c>
      <c r="C60" s="4" t="s">
        <v>14864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2806</v>
      </c>
      <c r="K60" s="48">
        <v>2839</v>
      </c>
      <c r="L60" s="48">
        <v>2804</v>
      </c>
      <c r="M60" s="20"/>
      <c r="N60" s="20" t="s">
        <v>2544</v>
      </c>
      <c r="O60"/>
      <c r="Q60" s="4"/>
      <c r="R60" s="20"/>
    </row>
    <row r="61" spans="1:18" ht="15.75" customHeight="1">
      <c r="A61" s="113">
        <v>43</v>
      </c>
      <c r="B61" s="20" t="s">
        <v>14800</v>
      </c>
      <c r="C61" s="4" t="s">
        <v>14865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2541</v>
      </c>
      <c r="K61" s="48">
        <v>2622</v>
      </c>
      <c r="L61" s="48">
        <v>2643</v>
      </c>
      <c r="M61" s="20"/>
      <c r="N61" s="20" t="s">
        <v>2544</v>
      </c>
      <c r="O61"/>
      <c r="Q61" s="4"/>
      <c r="R61" s="20"/>
    </row>
    <row r="62" spans="1:18" ht="15.75" customHeight="1">
      <c r="A62" s="113">
        <v>44</v>
      </c>
      <c r="B62" s="20" t="s">
        <v>14799</v>
      </c>
      <c r="C62" s="4" t="s">
        <v>14866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2535</v>
      </c>
      <c r="K62" s="48">
        <v>2591</v>
      </c>
      <c r="L62" s="48">
        <v>2609</v>
      </c>
      <c r="M62" s="20"/>
      <c r="N62" s="20" t="s">
        <v>2544</v>
      </c>
      <c r="O62"/>
      <c r="Q62" s="4"/>
      <c r="R62" s="20"/>
    </row>
    <row r="63" spans="1:18" ht="15.75" customHeight="1">
      <c r="A63" s="113">
        <v>45</v>
      </c>
      <c r="B63" s="20" t="s">
        <v>14798</v>
      </c>
      <c r="C63" s="4" t="s">
        <v>14867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2618</v>
      </c>
      <c r="K63" s="48">
        <v>2612</v>
      </c>
      <c r="L63" s="48">
        <v>2663</v>
      </c>
      <c r="M63" s="20"/>
      <c r="N63" s="20" t="s">
        <v>2544</v>
      </c>
      <c r="O63"/>
      <c r="Q63" s="4"/>
      <c r="R63" s="20"/>
    </row>
    <row r="64" spans="1:18" ht="15.75" customHeight="1">
      <c r="A64" s="113">
        <v>46</v>
      </c>
      <c r="B64" s="20" t="s">
        <v>8738</v>
      </c>
      <c r="C64" s="4" t="s">
        <v>14868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2248</v>
      </c>
      <c r="K64" s="48">
        <v>2269</v>
      </c>
      <c r="L64" s="48">
        <v>2314</v>
      </c>
      <c r="M64" s="20"/>
      <c r="N64" s="20" t="s">
        <v>2544</v>
      </c>
      <c r="O64"/>
      <c r="Q64" s="4"/>
      <c r="R64" s="20"/>
    </row>
    <row r="65" spans="1:18" ht="15.75" customHeight="1" thickBot="1">
      <c r="A65" s="113"/>
      <c r="B65" s="20"/>
      <c r="C65" s="4"/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48">
        <v>355</v>
      </c>
      <c r="K65" s="48">
        <v>362</v>
      </c>
      <c r="L65" s="48">
        <v>361</v>
      </c>
      <c r="M65" s="20"/>
      <c r="N65" s="20" t="s">
        <v>2546</v>
      </c>
      <c r="O65"/>
      <c r="Q65" s="4"/>
      <c r="R65" s="20"/>
    </row>
    <row r="66" spans="1:18" ht="15.75" customHeight="1" thickBot="1">
      <c r="A66" s="113"/>
      <c r="B66" s="20"/>
      <c r="C66" s="4"/>
      <c r="D66" s="912">
        <f>D64+D65</f>
        <v>0</v>
      </c>
      <c r="E66" s="912">
        <f t="shared" ref="E66" si="16">E64+E65</f>
        <v>0</v>
      </c>
      <c r="F66" s="912">
        <f t="shared" ref="F66" si="17">F64+F65</f>
        <v>0</v>
      </c>
      <c r="G66" s="912">
        <f t="shared" ref="G66" si="18">G64+G65</f>
        <v>0</v>
      </c>
      <c r="H66" s="912">
        <f t="shared" ref="H66" si="19">H64+H65</f>
        <v>0</v>
      </c>
      <c r="I66" s="912">
        <f t="shared" ref="I66" si="20">I64+I65</f>
        <v>0</v>
      </c>
      <c r="J66" s="912">
        <f t="shared" ref="J66:L66" si="21">J64+J65</f>
        <v>2603</v>
      </c>
      <c r="K66" s="912">
        <f t="shared" si="21"/>
        <v>2631</v>
      </c>
      <c r="L66" s="912">
        <f t="shared" si="21"/>
        <v>2675</v>
      </c>
      <c r="M66" s="20"/>
      <c r="N66" s="20"/>
      <c r="Q66" s="4"/>
      <c r="R66" s="20"/>
    </row>
    <row r="67" spans="1:18" ht="15.75" customHeight="1">
      <c r="A67" s="113">
        <v>47</v>
      </c>
      <c r="B67" s="20" t="s">
        <v>8739</v>
      </c>
      <c r="C67" s="4" t="s">
        <v>14869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767">
        <v>2392</v>
      </c>
      <c r="K67" s="48">
        <v>2447</v>
      </c>
      <c r="L67" s="48">
        <v>2451</v>
      </c>
      <c r="M67" s="20"/>
      <c r="N67" s="20" t="s">
        <v>2546</v>
      </c>
      <c r="O67"/>
      <c r="Q67" s="4"/>
      <c r="R67" s="20"/>
    </row>
    <row r="68" spans="1:18" ht="15.75" customHeight="1">
      <c r="A68" s="113">
        <v>48</v>
      </c>
      <c r="B68" s="20" t="s">
        <v>14797</v>
      </c>
      <c r="C68" s="4" t="s">
        <v>14870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2658</v>
      </c>
      <c r="K68" s="48">
        <v>2703</v>
      </c>
      <c r="L68" s="48">
        <v>2771</v>
      </c>
      <c r="M68" s="20"/>
      <c r="N68" s="20" t="s">
        <v>2546</v>
      </c>
      <c r="O68"/>
      <c r="Q68" s="4"/>
      <c r="R68" s="20"/>
    </row>
    <row r="69" spans="1:18" ht="15.75" customHeight="1">
      <c r="A69" s="113">
        <v>49</v>
      </c>
      <c r="B69" s="20" t="s">
        <v>8747</v>
      </c>
      <c r="C69" s="4" t="s">
        <v>14871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2489</v>
      </c>
      <c r="K69" s="48">
        <v>2504</v>
      </c>
      <c r="L69" s="48">
        <v>2522</v>
      </c>
      <c r="M69" s="20"/>
      <c r="N69" s="20" t="s">
        <v>2544</v>
      </c>
      <c r="O69"/>
      <c r="Q69" s="4"/>
      <c r="R69" s="20"/>
    </row>
    <row r="70" spans="1:18" ht="15.75" customHeight="1">
      <c r="A70" s="113">
        <v>50</v>
      </c>
      <c r="B70" s="20" t="s">
        <v>14796</v>
      </c>
      <c r="C70" s="4" t="s">
        <v>14872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2725</v>
      </c>
      <c r="K70" s="48">
        <v>2756</v>
      </c>
      <c r="L70" s="48">
        <v>2791</v>
      </c>
      <c r="M70" s="20"/>
      <c r="N70" s="20" t="s">
        <v>2546</v>
      </c>
      <c r="O70"/>
      <c r="Q70" s="4"/>
      <c r="R70" s="20"/>
    </row>
    <row r="71" spans="1:18" ht="15.75" customHeight="1">
      <c r="A71" s="113">
        <v>51</v>
      </c>
      <c r="B71" s="20" t="s">
        <v>14795</v>
      </c>
      <c r="C71" s="4" t="s">
        <v>14873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2463</v>
      </c>
      <c r="K71" s="48">
        <v>2482</v>
      </c>
      <c r="L71" s="48">
        <v>2508</v>
      </c>
      <c r="M71" s="20"/>
      <c r="N71" s="20" t="s">
        <v>2544</v>
      </c>
      <c r="O71"/>
      <c r="Q71" s="4"/>
      <c r="R71" s="20"/>
    </row>
    <row r="72" spans="1:18" ht="15.75" customHeight="1">
      <c r="A72" s="114">
        <v>52</v>
      </c>
      <c r="B72" s="20" t="s">
        <v>14794</v>
      </c>
      <c r="C72" s="4" t="s">
        <v>14874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1781</v>
      </c>
      <c r="K72" s="48">
        <v>1782</v>
      </c>
      <c r="L72" s="48">
        <v>1865</v>
      </c>
      <c r="M72" s="20"/>
      <c r="N72" s="20" t="s">
        <v>2544</v>
      </c>
      <c r="O72"/>
      <c r="Q72" s="4"/>
      <c r="R72" s="20"/>
    </row>
    <row r="73" spans="1:18" ht="15.75" customHeight="1">
      <c r="A73" s="114">
        <v>53</v>
      </c>
      <c r="B73" s="20" t="s">
        <v>14793</v>
      </c>
      <c r="C73" s="4" t="s">
        <v>14875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2536</v>
      </c>
      <c r="K73" s="48">
        <v>2633</v>
      </c>
      <c r="L73" s="48">
        <v>2677</v>
      </c>
      <c r="M73" s="20"/>
      <c r="N73" s="20" t="s">
        <v>2544</v>
      </c>
      <c r="O73"/>
      <c r="Q73" s="4"/>
      <c r="R73" s="20"/>
    </row>
    <row r="74" spans="1:18">
      <c r="A74" s="771"/>
      <c r="D74" s="772"/>
      <c r="E74" s="772"/>
      <c r="F74" s="772"/>
      <c r="G74" s="772"/>
      <c r="H74" s="772"/>
      <c r="I74" s="772"/>
      <c r="J74" s="772"/>
      <c r="K74" s="772"/>
      <c r="L74" s="772"/>
    </row>
    <row r="75" spans="1:18">
      <c r="A75" s="771" t="s">
        <v>14876</v>
      </c>
      <c r="D75" s="772"/>
      <c r="E75" s="772"/>
      <c r="F75" s="772"/>
      <c r="G75" s="772"/>
      <c r="H75" s="772"/>
      <c r="I75" s="772"/>
      <c r="J75" s="772"/>
      <c r="K75" s="772"/>
      <c r="L75" s="772"/>
    </row>
    <row r="76" spans="1:18">
      <c r="A76" s="771"/>
      <c r="D76" s="772"/>
      <c r="E76" s="772"/>
      <c r="F76" s="772"/>
      <c r="G76" s="772"/>
      <c r="H76" s="772"/>
      <c r="I76" s="772"/>
      <c r="J76" s="772"/>
      <c r="K76" s="772"/>
      <c r="L76" s="772"/>
    </row>
    <row r="77" spans="1:18">
      <c r="A77" s="771"/>
      <c r="D77" s="772"/>
      <c r="E77" s="772"/>
      <c r="F77" s="772"/>
      <c r="G77" s="772"/>
      <c r="H77" s="772"/>
      <c r="I77" s="772"/>
      <c r="J77" s="772"/>
      <c r="K77" s="772"/>
      <c r="L77" s="772"/>
    </row>
    <row r="78" spans="1:18">
      <c r="A78" s="771"/>
      <c r="D78" s="772"/>
      <c r="E78" s="772"/>
      <c r="F78" s="772"/>
      <c r="G78" s="772"/>
      <c r="H78" s="772"/>
      <c r="I78" s="772"/>
      <c r="J78" s="20"/>
      <c r="K78" s="20"/>
      <c r="L78" s="20"/>
    </row>
    <row r="79" spans="1:18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18">
      <c r="B80" s="20"/>
      <c r="C80" s="20"/>
      <c r="D80" s="20"/>
      <c r="E80" s="20"/>
      <c r="F80" s="20"/>
      <c r="G80" s="20"/>
      <c r="H80" s="20"/>
      <c r="I80" s="20"/>
      <c r="M80" s="20"/>
      <c r="N80" s="20"/>
      <c r="O80" s="20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1" orientation="portrait" horizontalDpi="300" verticalDpi="300" r:id="rId1"/>
  <headerFooter alignWithMargins="0">
    <oddFooter>&amp;C&amp;"Times New Roman,Regular"&amp;8&amp;P of &amp;N</oddFooter>
  </headerFooter>
  <ignoredErrors>
    <ignoredError sqref="D5:D6 E5:E6 F5:F6 G5:G6 H5:H6 I5:I6 D8 E8 F8 G8 H8 I8 D7:I7 D10:D15 E10:E15 F10:F16 G10:G15 H10:H15 I10:I15 D9:I9 J5:J15 K5:K15 L5:L15" unlocked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365"/>
  <sheetViews>
    <sheetView showGridLines="0" zoomScaleNormal="100" workbookViewId="0"/>
  </sheetViews>
  <sheetFormatPr defaultColWidth="12.5703125" defaultRowHeight="15"/>
  <cols>
    <col min="1" max="1" width="4.85546875" style="66" customWidth="1"/>
    <col min="2" max="2" width="40.7109375" style="66" customWidth="1"/>
    <col min="3" max="3" width="11.5703125" style="66" customWidth="1"/>
    <col min="4" max="12" width="10" style="66" customWidth="1"/>
    <col min="13" max="13" width="2.28515625" style="66" customWidth="1"/>
    <col min="14" max="14" width="33" style="66" customWidth="1"/>
    <col min="15" max="16384" width="12.5703125" style="66"/>
  </cols>
  <sheetData>
    <row r="1" spans="1:15">
      <c r="A1" s="67" t="s">
        <v>8847</v>
      </c>
      <c r="B1" s="65"/>
      <c r="C1" s="65"/>
      <c r="D1" s="110">
        <v>2010</v>
      </c>
      <c r="E1" s="110">
        <v>2011</v>
      </c>
      <c r="F1" s="110">
        <v>2012</v>
      </c>
      <c r="G1" s="110">
        <v>2013</v>
      </c>
      <c r="H1" s="110">
        <v>2014</v>
      </c>
      <c r="I1" s="110">
        <v>2015</v>
      </c>
      <c r="J1" s="110">
        <v>2016</v>
      </c>
      <c r="K1" s="110">
        <v>2017</v>
      </c>
      <c r="L1" s="110">
        <v>2018</v>
      </c>
      <c r="M1" s="65"/>
      <c r="O1" s="65"/>
    </row>
    <row r="2" spans="1:1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5">
      <c r="A3" s="67" t="s">
        <v>1588</v>
      </c>
      <c r="B3" s="65"/>
      <c r="C3" s="65"/>
      <c r="D3" s="146">
        <f t="shared" ref="D3:I3" si="0">SUM(D5:D14)</f>
        <v>804931</v>
      </c>
      <c r="E3" s="146">
        <f t="shared" si="0"/>
        <v>811936</v>
      </c>
      <c r="F3" s="146">
        <f t="shared" si="0"/>
        <v>817032</v>
      </c>
      <c r="G3" s="146">
        <f t="shared" si="0"/>
        <v>825185</v>
      </c>
      <c r="H3" s="146">
        <f t="shared" si="0"/>
        <v>827771</v>
      </c>
      <c r="I3" s="146">
        <f t="shared" si="0"/>
        <v>813202</v>
      </c>
      <c r="J3" s="146">
        <f t="shared" ref="J3:K3" si="1">SUM(J5:J14)</f>
        <v>801230</v>
      </c>
      <c r="K3" s="146">
        <f t="shared" si="1"/>
        <v>823011</v>
      </c>
      <c r="L3" s="146">
        <f t="shared" ref="L3" si="2">SUM(L5:L14)</f>
        <v>825462</v>
      </c>
      <c r="M3" s="65"/>
      <c r="O3" s="65"/>
    </row>
    <row r="4" spans="1:15">
      <c r="A4" s="65"/>
      <c r="B4" s="65"/>
      <c r="C4" s="65"/>
      <c r="D4" s="147"/>
      <c r="E4" s="147"/>
      <c r="F4" s="147"/>
      <c r="G4" s="147"/>
      <c r="H4" s="147"/>
      <c r="I4" s="147"/>
      <c r="J4" s="147"/>
      <c r="K4" s="147"/>
      <c r="L4" s="147"/>
      <c r="M4" s="65"/>
      <c r="N4" s="65"/>
      <c r="O4" s="65"/>
    </row>
    <row r="5" spans="1:15">
      <c r="A5" s="67" t="s">
        <v>7754</v>
      </c>
      <c r="C5" s="67"/>
      <c r="D5" s="146">
        <f t="shared" ref="D5:I5" si="3">D67</f>
        <v>66975</v>
      </c>
      <c r="E5" s="146">
        <f t="shared" si="3"/>
        <v>67608</v>
      </c>
      <c r="F5" s="146">
        <f t="shared" si="3"/>
        <v>67824</v>
      </c>
      <c r="G5" s="146">
        <f t="shared" si="3"/>
        <v>68539</v>
      </c>
      <c r="H5" s="146">
        <f t="shared" si="3"/>
        <v>69142</v>
      </c>
      <c r="I5" s="146">
        <f t="shared" si="3"/>
        <v>67663</v>
      </c>
      <c r="J5" s="146">
        <f t="shared" ref="J5:K5" si="4">J67</f>
        <v>66150</v>
      </c>
      <c r="K5" s="146">
        <f t="shared" si="4"/>
        <v>68001</v>
      </c>
      <c r="L5" s="146">
        <f t="shared" ref="L5" si="5">L67</f>
        <v>68055</v>
      </c>
      <c r="M5" s="65"/>
      <c r="N5" s="148"/>
      <c r="O5" s="65"/>
    </row>
    <row r="6" spans="1:15">
      <c r="A6" s="67" t="s">
        <v>7755</v>
      </c>
      <c r="C6" s="67"/>
      <c r="D6" s="146">
        <f t="shared" ref="D6:I6" si="6">D86</f>
        <v>106996</v>
      </c>
      <c r="E6" s="146">
        <f t="shared" si="6"/>
        <v>106844</v>
      </c>
      <c r="F6" s="146">
        <f t="shared" si="6"/>
        <v>107754</v>
      </c>
      <c r="G6" s="146">
        <f t="shared" si="6"/>
        <v>108351</v>
      </c>
      <c r="H6" s="146">
        <f t="shared" si="6"/>
        <v>109027</v>
      </c>
      <c r="I6" s="146">
        <f t="shared" si="6"/>
        <v>106474</v>
      </c>
      <c r="J6" s="146">
        <f t="shared" ref="J6:K6" si="7">J86</f>
        <v>104252</v>
      </c>
      <c r="K6" s="146">
        <f t="shared" si="7"/>
        <v>107820</v>
      </c>
      <c r="L6" s="146">
        <f t="shared" ref="L6" si="8">L86</f>
        <v>108869</v>
      </c>
      <c r="M6" s="65"/>
      <c r="N6" s="148"/>
      <c r="O6" s="65"/>
    </row>
    <row r="7" spans="1:15">
      <c r="A7" s="67" t="s">
        <v>7756</v>
      </c>
      <c r="C7" s="67"/>
      <c r="D7" s="146">
        <f t="shared" ref="D7:I7" si="9">D121</f>
        <v>101416</v>
      </c>
      <c r="E7" s="146">
        <f t="shared" si="9"/>
        <v>102932</v>
      </c>
      <c r="F7" s="146">
        <f t="shared" si="9"/>
        <v>101872</v>
      </c>
      <c r="G7" s="146">
        <f t="shared" si="9"/>
        <v>103019</v>
      </c>
      <c r="H7" s="146">
        <f t="shared" si="9"/>
        <v>100180</v>
      </c>
      <c r="I7" s="146">
        <f t="shared" si="9"/>
        <v>100388</v>
      </c>
      <c r="J7" s="146">
        <f t="shared" ref="J7:K7" si="10">J121</f>
        <v>101155</v>
      </c>
      <c r="K7" s="146">
        <f t="shared" si="10"/>
        <v>106579</v>
      </c>
      <c r="L7" s="146">
        <f t="shared" ref="L7" si="11">L121</f>
        <v>106632</v>
      </c>
      <c r="M7" s="65"/>
      <c r="N7" s="148"/>
      <c r="O7" s="65"/>
    </row>
    <row r="8" spans="1:15">
      <c r="A8" s="67" t="s">
        <v>7757</v>
      </c>
      <c r="C8" s="67"/>
      <c r="D8" s="146">
        <f t="shared" ref="D8:I8" si="12">D163</f>
        <v>69438</v>
      </c>
      <c r="E8" s="146">
        <f t="shared" si="12"/>
        <v>70772</v>
      </c>
      <c r="F8" s="146">
        <f t="shared" si="12"/>
        <v>71090</v>
      </c>
      <c r="G8" s="146">
        <f t="shared" si="12"/>
        <v>73045</v>
      </c>
      <c r="H8" s="146">
        <f t="shared" si="12"/>
        <v>75100</v>
      </c>
      <c r="I8" s="146">
        <f t="shared" si="12"/>
        <v>72528</v>
      </c>
      <c r="J8" s="146">
        <f t="shared" ref="J8:K8" si="13">J163</f>
        <v>69825</v>
      </c>
      <c r="K8" s="146">
        <f t="shared" si="13"/>
        <v>71816</v>
      </c>
      <c r="L8" s="146">
        <f t="shared" ref="L8" si="14">L163</f>
        <v>72251</v>
      </c>
      <c r="M8" s="65"/>
      <c r="N8" s="148"/>
      <c r="O8" s="65"/>
    </row>
    <row r="9" spans="1:15">
      <c r="A9" s="67" t="s">
        <v>7758</v>
      </c>
      <c r="C9" s="67"/>
      <c r="D9" s="146">
        <f t="shared" ref="D9:I9" si="15">D187</f>
        <v>95970</v>
      </c>
      <c r="E9" s="146">
        <f t="shared" si="15"/>
        <v>96462</v>
      </c>
      <c r="F9" s="146">
        <f t="shared" si="15"/>
        <v>96772</v>
      </c>
      <c r="G9" s="146">
        <f t="shared" si="15"/>
        <v>96740</v>
      </c>
      <c r="H9" s="146">
        <f t="shared" si="15"/>
        <v>97721</v>
      </c>
      <c r="I9" s="146">
        <f t="shared" si="15"/>
        <v>96628</v>
      </c>
      <c r="J9" s="146">
        <f t="shared" ref="J9:K9" si="16">J187</f>
        <v>95635</v>
      </c>
      <c r="K9" s="146">
        <f t="shared" si="16"/>
        <v>97253</v>
      </c>
      <c r="L9" s="146">
        <f t="shared" ref="L9" si="17">L187</f>
        <v>97645</v>
      </c>
      <c r="M9" s="65"/>
      <c r="N9" s="148"/>
      <c r="O9" s="65"/>
    </row>
    <row r="10" spans="1:15">
      <c r="A10" s="67" t="s">
        <v>6860</v>
      </c>
      <c r="C10" s="67"/>
      <c r="D10" s="146">
        <f t="shared" ref="D10:I10" si="18">D222</f>
        <v>101579</v>
      </c>
      <c r="E10" s="146">
        <f t="shared" si="18"/>
        <v>102152</v>
      </c>
      <c r="F10" s="146">
        <f t="shared" si="18"/>
        <v>102727</v>
      </c>
      <c r="G10" s="146">
        <f t="shared" si="18"/>
        <v>103311</v>
      </c>
      <c r="H10" s="146">
        <f t="shared" si="18"/>
        <v>103840</v>
      </c>
      <c r="I10" s="146">
        <f t="shared" si="18"/>
        <v>103176</v>
      </c>
      <c r="J10" s="146">
        <f t="shared" ref="J10:K10" si="19">J222</f>
        <v>101652</v>
      </c>
      <c r="K10" s="146">
        <f t="shared" si="19"/>
        <v>104112</v>
      </c>
      <c r="L10" s="146">
        <f t="shared" ref="L10" si="20">L222</f>
        <v>104118</v>
      </c>
      <c r="M10" s="65"/>
      <c r="N10" s="148"/>
      <c r="O10" s="65"/>
    </row>
    <row r="11" spans="1:15">
      <c r="A11" s="67" t="s">
        <v>6896</v>
      </c>
      <c r="C11" s="67"/>
      <c r="D11" s="146">
        <f t="shared" ref="D11:I11" si="21">D257</f>
        <v>59801</v>
      </c>
      <c r="E11" s="146">
        <f t="shared" si="21"/>
        <v>61203</v>
      </c>
      <c r="F11" s="146">
        <f t="shared" si="21"/>
        <v>61966</v>
      </c>
      <c r="G11" s="146">
        <f t="shared" si="21"/>
        <v>62835</v>
      </c>
      <c r="H11" s="146">
        <f t="shared" si="21"/>
        <v>62262</v>
      </c>
      <c r="I11" s="146">
        <f t="shared" si="21"/>
        <v>61680</v>
      </c>
      <c r="J11" s="146">
        <f t="shared" ref="J11:K11" si="22">J257</f>
        <v>59620</v>
      </c>
      <c r="K11" s="146">
        <f t="shared" si="22"/>
        <v>61384</v>
      </c>
      <c r="L11" s="146">
        <f t="shared" ref="L11" si="23">L257</f>
        <v>61566</v>
      </c>
      <c r="M11" s="65"/>
      <c r="N11" s="148"/>
      <c r="O11" s="65"/>
    </row>
    <row r="12" spans="1:15">
      <c r="A12" s="67" t="s">
        <v>6897</v>
      </c>
      <c r="C12" s="67"/>
      <c r="D12" s="146">
        <f t="shared" ref="D12:I12" si="24">D283</f>
        <v>64499</v>
      </c>
      <c r="E12" s="146">
        <f t="shared" si="24"/>
        <v>64926</v>
      </c>
      <c r="F12" s="146">
        <f t="shared" si="24"/>
        <v>65668</v>
      </c>
      <c r="G12" s="146">
        <f t="shared" si="24"/>
        <v>66415</v>
      </c>
      <c r="H12" s="146">
        <f t="shared" si="24"/>
        <v>66463</v>
      </c>
      <c r="I12" s="146">
        <f t="shared" si="24"/>
        <v>65252</v>
      </c>
      <c r="J12" s="146">
        <f t="shared" ref="J12:K12" si="25">J283</f>
        <v>66161</v>
      </c>
      <c r="K12" s="146">
        <f t="shared" si="25"/>
        <v>66556</v>
      </c>
      <c r="L12" s="146">
        <f t="shared" ref="L12" si="26">L283</f>
        <v>66644</v>
      </c>
      <c r="M12" s="65"/>
      <c r="N12" s="148"/>
      <c r="O12" s="65"/>
    </row>
    <row r="13" spans="1:15">
      <c r="A13" s="67" t="s">
        <v>6898</v>
      </c>
      <c r="C13" s="67"/>
      <c r="D13" s="146">
        <f t="shared" ref="D13:I13" si="27">D315</f>
        <v>62277</v>
      </c>
      <c r="E13" s="146">
        <f t="shared" si="27"/>
        <v>63007</v>
      </c>
      <c r="F13" s="146">
        <f t="shared" si="27"/>
        <v>64042</v>
      </c>
      <c r="G13" s="146">
        <f t="shared" si="27"/>
        <v>64822</v>
      </c>
      <c r="H13" s="146">
        <f t="shared" si="27"/>
        <v>65767</v>
      </c>
      <c r="I13" s="146">
        <f t="shared" si="27"/>
        <v>63950</v>
      </c>
      <c r="J13" s="146">
        <f t="shared" ref="J13:K13" si="28">J315</f>
        <v>63484</v>
      </c>
      <c r="K13" s="146">
        <f t="shared" si="28"/>
        <v>63683</v>
      </c>
      <c r="L13" s="146">
        <f t="shared" ref="L13" si="29">L315</f>
        <v>63574</v>
      </c>
      <c r="M13" s="65"/>
      <c r="N13" s="148"/>
      <c r="O13" s="65"/>
    </row>
    <row r="14" spans="1:15">
      <c r="A14" s="67" t="s">
        <v>6899</v>
      </c>
      <c r="C14" s="67"/>
      <c r="D14" s="146">
        <f t="shared" ref="D14:I14" si="30">D336</f>
        <v>75980</v>
      </c>
      <c r="E14" s="146">
        <f t="shared" si="30"/>
        <v>76030</v>
      </c>
      <c r="F14" s="146">
        <f t="shared" si="30"/>
        <v>77317</v>
      </c>
      <c r="G14" s="146">
        <f t="shared" si="30"/>
        <v>78108</v>
      </c>
      <c r="H14" s="146">
        <f t="shared" si="30"/>
        <v>78269</v>
      </c>
      <c r="I14" s="146">
        <f t="shared" si="30"/>
        <v>75463</v>
      </c>
      <c r="J14" s="146">
        <f t="shared" ref="J14:K14" si="31">J336</f>
        <v>73296</v>
      </c>
      <c r="K14" s="146">
        <f t="shared" si="31"/>
        <v>75807</v>
      </c>
      <c r="L14" s="146">
        <f t="shared" ref="L14" si="32">L336</f>
        <v>76108</v>
      </c>
      <c r="M14" s="65"/>
      <c r="N14" s="148"/>
      <c r="O14" s="65"/>
    </row>
    <row r="15" spans="1:15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</row>
    <row r="16" spans="1:15">
      <c r="A16" s="67" t="s">
        <v>6900</v>
      </c>
      <c r="B16" s="65"/>
      <c r="C16" s="65"/>
      <c r="D16" s="146">
        <f t="shared" ref="D16:I16" si="33">D3/11</f>
        <v>73175.545454545456</v>
      </c>
      <c r="E16" s="146">
        <f t="shared" si="33"/>
        <v>73812.363636363632</v>
      </c>
      <c r="F16" s="146">
        <f t="shared" si="33"/>
        <v>74275.636363636368</v>
      </c>
      <c r="G16" s="146">
        <f t="shared" si="33"/>
        <v>75016.818181818177</v>
      </c>
      <c r="H16" s="146">
        <f t="shared" si="33"/>
        <v>75251.909090909088</v>
      </c>
      <c r="I16" s="146">
        <f t="shared" si="33"/>
        <v>73927.454545454544</v>
      </c>
      <c r="J16" s="146">
        <f t="shared" ref="J16:K16" si="34">J3/11</f>
        <v>72839.090909090912</v>
      </c>
      <c r="K16" s="146">
        <f t="shared" si="34"/>
        <v>74819.181818181823</v>
      </c>
      <c r="L16" s="146">
        <f t="shared" ref="L16" si="35">L3/11</f>
        <v>75042</v>
      </c>
      <c r="M16" s="65"/>
      <c r="N16" s="65"/>
      <c r="O16" s="65"/>
    </row>
    <row r="17" spans="1:15">
      <c r="A17" s="65"/>
      <c r="B17" s="65"/>
      <c r="C17" s="65"/>
      <c r="D17" s="147"/>
      <c r="E17" s="147"/>
      <c r="F17" s="147"/>
      <c r="G17" s="147"/>
      <c r="H17" s="147"/>
      <c r="I17" s="147"/>
      <c r="J17" s="147"/>
      <c r="K17" s="147"/>
      <c r="L17" s="147"/>
      <c r="M17" s="65"/>
      <c r="N17" s="65"/>
      <c r="O17" s="65"/>
    </row>
    <row r="18" spans="1:15">
      <c r="A18" s="67" t="s">
        <v>6901</v>
      </c>
      <c r="D18" s="146">
        <f t="shared" ref="D18:I18" si="36">D79</f>
        <v>66975</v>
      </c>
      <c r="E18" s="146">
        <f t="shared" si="36"/>
        <v>67608</v>
      </c>
      <c r="F18" s="146">
        <f t="shared" si="36"/>
        <v>67824</v>
      </c>
      <c r="G18" s="146">
        <f t="shared" si="36"/>
        <v>68539</v>
      </c>
      <c r="H18" s="146">
        <f t="shared" si="36"/>
        <v>69142</v>
      </c>
      <c r="I18" s="146">
        <f t="shared" si="36"/>
        <v>67663</v>
      </c>
      <c r="J18" s="146">
        <f t="shared" ref="J18:K18" si="37">J79</f>
        <v>66150</v>
      </c>
      <c r="K18" s="146">
        <f t="shared" si="37"/>
        <v>68001</v>
      </c>
      <c r="L18" s="146">
        <f t="shared" ref="L18" si="38">L79</f>
        <v>68055</v>
      </c>
      <c r="M18" s="65"/>
      <c r="N18" s="67" t="s">
        <v>1646</v>
      </c>
      <c r="O18" s="65"/>
    </row>
    <row r="19" spans="1:15" ht="15.75" thickBot="1">
      <c r="A19" s="65"/>
      <c r="D19" s="149">
        <f t="shared" ref="D19:I19" si="39">D356</f>
        <v>4249</v>
      </c>
      <c r="E19" s="149">
        <f t="shared" si="39"/>
        <v>4264</v>
      </c>
      <c r="F19" s="149">
        <f t="shared" si="39"/>
        <v>4309</v>
      </c>
      <c r="G19" s="149">
        <f t="shared" si="39"/>
        <v>4397</v>
      </c>
      <c r="H19" s="149">
        <f t="shared" si="39"/>
        <v>4421</v>
      </c>
      <c r="I19" s="149">
        <f t="shared" si="39"/>
        <v>4345</v>
      </c>
      <c r="J19" s="149">
        <f t="shared" ref="J19:K19" si="40">J356</f>
        <v>4270</v>
      </c>
      <c r="K19" s="149">
        <f t="shared" si="40"/>
        <v>4357</v>
      </c>
      <c r="L19" s="149">
        <f t="shared" ref="L19" si="41">L356</f>
        <v>4376</v>
      </c>
      <c r="M19" s="65"/>
      <c r="N19" s="67" t="s">
        <v>6879</v>
      </c>
      <c r="O19" s="65"/>
    </row>
    <row r="20" spans="1:15" ht="15.75" thickBot="1">
      <c r="A20" s="65"/>
      <c r="D20" s="149">
        <f t="shared" ref="D20:I20" si="42">SUM(D18:D19)</f>
        <v>71224</v>
      </c>
      <c r="E20" s="149">
        <f t="shared" si="42"/>
        <v>71872</v>
      </c>
      <c r="F20" s="149">
        <f t="shared" si="42"/>
        <v>72133</v>
      </c>
      <c r="G20" s="149">
        <f t="shared" si="42"/>
        <v>72936</v>
      </c>
      <c r="H20" s="149">
        <f t="shared" si="42"/>
        <v>73563</v>
      </c>
      <c r="I20" s="149">
        <f t="shared" si="42"/>
        <v>72008</v>
      </c>
      <c r="J20" s="149">
        <f t="shared" ref="J20:K20" si="43">SUM(J18:J19)</f>
        <v>70420</v>
      </c>
      <c r="K20" s="149">
        <f t="shared" si="43"/>
        <v>72358</v>
      </c>
      <c r="L20" s="149">
        <f t="shared" ref="L20" si="44">SUM(L18:L19)</f>
        <v>72431</v>
      </c>
      <c r="M20" s="65"/>
      <c r="N20" s="65"/>
      <c r="O20" s="65"/>
    </row>
    <row r="21" spans="1:15">
      <c r="A21" s="65"/>
      <c r="D21" s="147"/>
      <c r="E21" s="147"/>
      <c r="F21" s="147"/>
      <c r="G21" s="147"/>
      <c r="H21" s="147"/>
      <c r="I21" s="147"/>
      <c r="J21" s="147"/>
      <c r="K21" s="147"/>
      <c r="L21" s="147"/>
      <c r="M21" s="65"/>
      <c r="N21" s="65"/>
      <c r="O21" s="65"/>
    </row>
    <row r="22" spans="1:15">
      <c r="A22" s="67" t="s">
        <v>6880</v>
      </c>
      <c r="D22" s="146">
        <f t="shared" ref="D22:I22" si="45">D113</f>
        <v>72682</v>
      </c>
      <c r="E22" s="146">
        <f t="shared" si="45"/>
        <v>72561</v>
      </c>
      <c r="F22" s="146">
        <f t="shared" si="45"/>
        <v>73382</v>
      </c>
      <c r="G22" s="146">
        <f t="shared" si="45"/>
        <v>73848</v>
      </c>
      <c r="H22" s="146">
        <f t="shared" si="45"/>
        <v>74445</v>
      </c>
      <c r="I22" s="146">
        <f t="shared" si="45"/>
        <v>72388</v>
      </c>
      <c r="J22" s="146">
        <f t="shared" ref="J22:K22" si="46">J113</f>
        <v>70695</v>
      </c>
      <c r="K22" s="146">
        <f t="shared" si="46"/>
        <v>73051</v>
      </c>
      <c r="L22" s="146">
        <f t="shared" ref="L22" si="47">L113</f>
        <v>73736</v>
      </c>
      <c r="M22" s="65"/>
      <c r="N22" s="67" t="s">
        <v>6881</v>
      </c>
      <c r="O22" s="65"/>
    </row>
    <row r="23" spans="1:15">
      <c r="A23" s="65"/>
      <c r="D23" s="147"/>
      <c r="E23" s="147"/>
      <c r="F23" s="147"/>
      <c r="G23" s="147"/>
      <c r="H23" s="147"/>
      <c r="I23" s="147"/>
      <c r="J23" s="147"/>
      <c r="K23" s="147"/>
      <c r="L23" s="147"/>
      <c r="M23" s="65"/>
      <c r="N23" s="65"/>
      <c r="O23" s="65"/>
    </row>
    <row r="24" spans="1:15">
      <c r="A24" s="67" t="s">
        <v>6882</v>
      </c>
      <c r="D24" s="146">
        <f t="shared" ref="D24:I24" si="48">D153</f>
        <v>78211</v>
      </c>
      <c r="E24" s="146">
        <f t="shared" si="48"/>
        <v>79255</v>
      </c>
      <c r="F24" s="146">
        <f t="shared" si="48"/>
        <v>78458</v>
      </c>
      <c r="G24" s="146">
        <f t="shared" si="48"/>
        <v>79321</v>
      </c>
      <c r="H24" s="146">
        <f t="shared" si="48"/>
        <v>77195</v>
      </c>
      <c r="I24" s="146">
        <f t="shared" si="48"/>
        <v>77258</v>
      </c>
      <c r="J24" s="146">
        <f t="shared" ref="J24:K24" si="49">J153</f>
        <v>77196</v>
      </c>
      <c r="K24" s="146">
        <f t="shared" si="49"/>
        <v>81240</v>
      </c>
      <c r="L24" s="146">
        <f t="shared" ref="L24" si="50">L153</f>
        <v>81051</v>
      </c>
      <c r="M24" s="65"/>
      <c r="N24" s="67" t="s">
        <v>6883</v>
      </c>
      <c r="O24" s="65"/>
    </row>
    <row r="25" spans="1:15">
      <c r="A25" s="65"/>
      <c r="D25" s="147"/>
      <c r="E25" s="147"/>
      <c r="F25" s="147"/>
      <c r="G25" s="147"/>
      <c r="H25" s="147"/>
      <c r="I25" s="147"/>
      <c r="J25" s="147"/>
      <c r="K25" s="147"/>
      <c r="L25" s="147"/>
      <c r="M25" s="65"/>
      <c r="N25" s="65"/>
      <c r="O25" s="65"/>
    </row>
    <row r="26" spans="1:15">
      <c r="A26" s="67" t="s">
        <v>6884</v>
      </c>
      <c r="D26" s="146">
        <f t="shared" ref="D26:I26" si="51">D180</f>
        <v>69438</v>
      </c>
      <c r="E26" s="146">
        <f t="shared" si="51"/>
        <v>70772</v>
      </c>
      <c r="F26" s="146">
        <f t="shared" si="51"/>
        <v>71090</v>
      </c>
      <c r="G26" s="146">
        <f t="shared" si="51"/>
        <v>73045</v>
      </c>
      <c r="H26" s="146">
        <f t="shared" si="51"/>
        <v>75100</v>
      </c>
      <c r="I26" s="146">
        <f t="shared" si="51"/>
        <v>72528</v>
      </c>
      <c r="J26" s="146">
        <f t="shared" ref="J26:K26" si="52">J180</f>
        <v>69825</v>
      </c>
      <c r="K26" s="146">
        <f t="shared" si="52"/>
        <v>71816</v>
      </c>
      <c r="L26" s="146">
        <f t="shared" ref="L26" si="53">L180</f>
        <v>72251</v>
      </c>
      <c r="M26" s="65"/>
      <c r="N26" s="67" t="s">
        <v>1581</v>
      </c>
      <c r="O26" s="65"/>
    </row>
    <row r="27" spans="1:15">
      <c r="A27" s="65"/>
      <c r="D27" s="147"/>
      <c r="E27" s="147"/>
      <c r="F27" s="147"/>
      <c r="G27" s="147"/>
      <c r="H27" s="147"/>
      <c r="I27" s="147"/>
      <c r="J27" s="147"/>
      <c r="K27" s="147"/>
      <c r="L27" s="147"/>
      <c r="M27" s="65"/>
      <c r="N27" s="65"/>
      <c r="O27" s="65"/>
    </row>
    <row r="28" spans="1:15">
      <c r="A28" s="67" t="s">
        <v>6885</v>
      </c>
      <c r="D28" s="146">
        <f t="shared" ref="D28:I28" si="54">D213</f>
        <v>39035</v>
      </c>
      <c r="E28" s="146">
        <f t="shared" si="54"/>
        <v>39327</v>
      </c>
      <c r="F28" s="146">
        <f t="shared" si="54"/>
        <v>39310</v>
      </c>
      <c r="G28" s="146">
        <f t="shared" si="54"/>
        <v>39222</v>
      </c>
      <c r="H28" s="146">
        <f t="shared" si="54"/>
        <v>39595</v>
      </c>
      <c r="I28" s="146">
        <f t="shared" si="54"/>
        <v>39212</v>
      </c>
      <c r="J28" s="146">
        <f t="shared" ref="J28:K28" si="55">J213</f>
        <v>38925</v>
      </c>
      <c r="K28" s="146">
        <f t="shared" si="55"/>
        <v>39607</v>
      </c>
      <c r="L28" s="146">
        <f t="shared" ref="L28" si="56">L213</f>
        <v>39707</v>
      </c>
      <c r="M28" s="65"/>
      <c r="N28" s="67" t="s">
        <v>6886</v>
      </c>
      <c r="O28" s="65"/>
    </row>
    <row r="29" spans="1:15" ht="15.75" thickBot="1">
      <c r="A29" s="65"/>
      <c r="D29" s="149">
        <f t="shared" ref="D29:I29" si="57">D246</f>
        <v>34776</v>
      </c>
      <c r="E29" s="149">
        <f t="shared" si="57"/>
        <v>34862</v>
      </c>
      <c r="F29" s="149">
        <f t="shared" si="57"/>
        <v>34932</v>
      </c>
      <c r="G29" s="149">
        <f t="shared" si="57"/>
        <v>35131</v>
      </c>
      <c r="H29" s="149">
        <f t="shared" si="57"/>
        <v>35031</v>
      </c>
      <c r="I29" s="149">
        <f t="shared" si="57"/>
        <v>34861</v>
      </c>
      <c r="J29" s="149">
        <f t="shared" ref="J29:K29" si="58">J246</f>
        <v>34553</v>
      </c>
      <c r="K29" s="149">
        <f t="shared" si="58"/>
        <v>35321</v>
      </c>
      <c r="L29" s="149">
        <f t="shared" ref="L29" si="59">L246</f>
        <v>35346</v>
      </c>
      <c r="M29" s="65"/>
      <c r="N29" s="67" t="s">
        <v>6887</v>
      </c>
      <c r="O29" s="65"/>
    </row>
    <row r="30" spans="1:15" ht="15.75" thickBot="1">
      <c r="A30" s="65"/>
      <c r="D30" s="149">
        <f t="shared" ref="D30:I30" si="60">SUM(D28:D29)</f>
        <v>73811</v>
      </c>
      <c r="E30" s="149">
        <f t="shared" si="60"/>
        <v>74189</v>
      </c>
      <c r="F30" s="149">
        <f t="shared" si="60"/>
        <v>74242</v>
      </c>
      <c r="G30" s="149">
        <f t="shared" si="60"/>
        <v>74353</v>
      </c>
      <c r="H30" s="149">
        <f t="shared" si="60"/>
        <v>74626</v>
      </c>
      <c r="I30" s="149">
        <f t="shared" si="60"/>
        <v>74073</v>
      </c>
      <c r="J30" s="149">
        <f t="shared" ref="J30:K30" si="61">SUM(J28:J29)</f>
        <v>73478</v>
      </c>
      <c r="K30" s="149">
        <f t="shared" si="61"/>
        <v>74928</v>
      </c>
      <c r="L30" s="149">
        <f t="shared" ref="L30" si="62">SUM(L28:L29)</f>
        <v>75053</v>
      </c>
      <c r="M30" s="65"/>
      <c r="N30" s="65"/>
      <c r="O30" s="65"/>
    </row>
    <row r="31" spans="1:15">
      <c r="A31" s="65"/>
      <c r="D31" s="147"/>
      <c r="E31" s="147"/>
      <c r="F31" s="147"/>
      <c r="G31" s="147"/>
      <c r="H31" s="147"/>
      <c r="I31" s="147"/>
      <c r="J31" s="147"/>
      <c r="K31" s="147"/>
      <c r="L31" s="147"/>
      <c r="M31" s="65"/>
      <c r="N31" s="65"/>
      <c r="O31" s="65"/>
    </row>
    <row r="32" spans="1:15">
      <c r="A32" s="67" t="s">
        <v>6888</v>
      </c>
      <c r="D32" s="146">
        <f t="shared" ref="D32:I32" si="63">D154</f>
        <v>21297</v>
      </c>
      <c r="E32" s="146">
        <f t="shared" si="63"/>
        <v>21740</v>
      </c>
      <c r="F32" s="146">
        <f t="shared" si="63"/>
        <v>21488</v>
      </c>
      <c r="G32" s="146">
        <f t="shared" si="63"/>
        <v>21741</v>
      </c>
      <c r="H32" s="146">
        <f t="shared" si="63"/>
        <v>21059</v>
      </c>
      <c r="I32" s="146">
        <f t="shared" si="63"/>
        <v>21212</v>
      </c>
      <c r="J32" s="146">
        <f t="shared" ref="J32:K32" si="64">J154</f>
        <v>22048</v>
      </c>
      <c r="K32" s="146">
        <f t="shared" si="64"/>
        <v>23391</v>
      </c>
      <c r="L32" s="146">
        <f t="shared" ref="L32" si="65">L154</f>
        <v>23629</v>
      </c>
      <c r="M32" s="65"/>
      <c r="N32" s="67" t="s">
        <v>6883</v>
      </c>
      <c r="O32" s="65"/>
    </row>
    <row r="33" spans="1:15">
      <c r="A33" s="65"/>
      <c r="D33" s="150">
        <f t="shared" ref="D33:I33" si="66">D214</f>
        <v>50696</v>
      </c>
      <c r="E33" s="150">
        <f t="shared" si="66"/>
        <v>50918</v>
      </c>
      <c r="F33" s="150">
        <f t="shared" si="66"/>
        <v>51241</v>
      </c>
      <c r="G33" s="150">
        <f t="shared" si="66"/>
        <v>51309</v>
      </c>
      <c r="H33" s="150">
        <f t="shared" si="66"/>
        <v>51895</v>
      </c>
      <c r="I33" s="150">
        <f t="shared" si="66"/>
        <v>51271</v>
      </c>
      <c r="J33" s="150">
        <f t="shared" ref="J33:K33" si="67">J214</f>
        <v>50681</v>
      </c>
      <c r="K33" s="150">
        <f t="shared" si="67"/>
        <v>51423</v>
      </c>
      <c r="L33" s="150">
        <f t="shared" ref="L33" si="68">L214</f>
        <v>51692</v>
      </c>
      <c r="M33" s="65"/>
      <c r="N33" s="67" t="s">
        <v>6886</v>
      </c>
      <c r="O33" s="65"/>
    </row>
    <row r="34" spans="1:15" ht="15.75" thickBot="1">
      <c r="A34" s="65"/>
      <c r="D34" s="149">
        <f>D274</f>
        <v>0</v>
      </c>
      <c r="E34" s="149">
        <f t="shared" ref="E34:H34" si="69">E274</f>
        <v>0</v>
      </c>
      <c r="F34" s="149">
        <f t="shared" si="69"/>
        <v>0</v>
      </c>
      <c r="G34" s="149">
        <f t="shared" si="69"/>
        <v>0</v>
      </c>
      <c r="H34" s="149">
        <f t="shared" si="69"/>
        <v>41</v>
      </c>
      <c r="I34" s="149">
        <f t="shared" ref="I34:J34" si="70">I274</f>
        <v>37</v>
      </c>
      <c r="J34" s="149">
        <f t="shared" si="70"/>
        <v>40</v>
      </c>
      <c r="K34" s="149">
        <f t="shared" ref="K34:L34" si="71">K274</f>
        <v>37</v>
      </c>
      <c r="L34" s="149">
        <f t="shared" si="71"/>
        <v>35</v>
      </c>
      <c r="M34" s="65"/>
      <c r="N34" s="67" t="s">
        <v>13339</v>
      </c>
      <c r="O34" s="65"/>
    </row>
    <row r="35" spans="1:15" ht="15.75" thickBot="1">
      <c r="A35" s="65"/>
      <c r="D35" s="149">
        <f>SUM(D32:D34)</f>
        <v>71993</v>
      </c>
      <c r="E35" s="149">
        <f t="shared" ref="E35:H35" si="72">SUM(E32:E34)</f>
        <v>72658</v>
      </c>
      <c r="F35" s="149">
        <f t="shared" si="72"/>
        <v>72729</v>
      </c>
      <c r="G35" s="149">
        <f t="shared" si="72"/>
        <v>73050</v>
      </c>
      <c r="H35" s="149">
        <f t="shared" si="72"/>
        <v>72995</v>
      </c>
      <c r="I35" s="149">
        <f t="shared" ref="I35:J35" si="73">SUM(I32:I34)</f>
        <v>72520</v>
      </c>
      <c r="J35" s="149">
        <f t="shared" si="73"/>
        <v>72769</v>
      </c>
      <c r="K35" s="149">
        <f t="shared" ref="K35:L35" si="74">SUM(K32:K34)</f>
        <v>74851</v>
      </c>
      <c r="L35" s="149">
        <f t="shared" si="74"/>
        <v>75356</v>
      </c>
      <c r="M35" s="65"/>
      <c r="N35" s="65"/>
      <c r="O35" s="65"/>
    </row>
    <row r="36" spans="1:15">
      <c r="A36" s="65"/>
      <c r="D36" s="147"/>
      <c r="E36" s="147"/>
      <c r="F36" s="147"/>
      <c r="G36" s="147"/>
      <c r="H36" s="147"/>
      <c r="I36" s="147"/>
      <c r="J36" s="147"/>
      <c r="K36" s="147"/>
      <c r="L36" s="147"/>
      <c r="M36" s="65"/>
      <c r="N36" s="65"/>
      <c r="O36" s="65"/>
    </row>
    <row r="37" spans="1:15">
      <c r="A37" s="67" t="s">
        <v>6889</v>
      </c>
      <c r="D37" s="146">
        <f t="shared" ref="D37:I37" si="75">D114</f>
        <v>34314</v>
      </c>
      <c r="E37" s="146">
        <f t="shared" si="75"/>
        <v>34283</v>
      </c>
      <c r="F37" s="146">
        <f t="shared" si="75"/>
        <v>34372</v>
      </c>
      <c r="G37" s="146">
        <f t="shared" si="75"/>
        <v>34503</v>
      </c>
      <c r="H37" s="146">
        <f t="shared" si="75"/>
        <v>34582</v>
      </c>
      <c r="I37" s="146">
        <f t="shared" si="75"/>
        <v>34086</v>
      </c>
      <c r="J37" s="146">
        <f t="shared" ref="J37:K37" si="76">J114</f>
        <v>33557</v>
      </c>
      <c r="K37" s="146">
        <f t="shared" si="76"/>
        <v>34769</v>
      </c>
      <c r="L37" s="146">
        <f t="shared" ref="L37" si="77">L114</f>
        <v>35133</v>
      </c>
      <c r="M37" s="65"/>
      <c r="N37" s="67" t="s">
        <v>6881</v>
      </c>
      <c r="O37" s="65"/>
    </row>
    <row r="38" spans="1:15" ht="15.75" thickBot="1">
      <c r="A38" s="65"/>
      <c r="D38" s="149">
        <f t="shared" ref="D38:I38" si="78">D306</f>
        <v>43730</v>
      </c>
      <c r="E38" s="149">
        <f t="shared" si="78"/>
        <v>43986</v>
      </c>
      <c r="F38" s="149">
        <f t="shared" si="78"/>
        <v>44511</v>
      </c>
      <c r="G38" s="149">
        <f t="shared" si="78"/>
        <v>45065</v>
      </c>
      <c r="H38" s="149">
        <f t="shared" si="78"/>
        <v>45058</v>
      </c>
      <c r="I38" s="149">
        <f t="shared" si="78"/>
        <v>44215</v>
      </c>
      <c r="J38" s="149">
        <f t="shared" ref="J38:K38" si="79">J306</f>
        <v>44676</v>
      </c>
      <c r="K38" s="149">
        <f t="shared" si="79"/>
        <v>44813</v>
      </c>
      <c r="L38" s="149">
        <f t="shared" ref="L38" si="80">L306</f>
        <v>44837</v>
      </c>
      <c r="M38" s="65"/>
      <c r="N38" s="67" t="s">
        <v>6890</v>
      </c>
      <c r="O38" s="65"/>
    </row>
    <row r="39" spans="1:15" ht="15.75" thickBot="1">
      <c r="A39" s="65"/>
      <c r="D39" s="149">
        <f t="shared" ref="D39:I39" si="81">SUM(D37:D38)</f>
        <v>78044</v>
      </c>
      <c r="E39" s="149">
        <f t="shared" si="81"/>
        <v>78269</v>
      </c>
      <c r="F39" s="149">
        <f t="shared" si="81"/>
        <v>78883</v>
      </c>
      <c r="G39" s="149">
        <f t="shared" si="81"/>
        <v>79568</v>
      </c>
      <c r="H39" s="149">
        <f t="shared" si="81"/>
        <v>79640</v>
      </c>
      <c r="I39" s="149">
        <f t="shared" si="81"/>
        <v>78301</v>
      </c>
      <c r="J39" s="149">
        <f t="shared" ref="J39:K39" si="82">SUM(J37:J38)</f>
        <v>78233</v>
      </c>
      <c r="K39" s="149">
        <f t="shared" si="82"/>
        <v>79582</v>
      </c>
      <c r="L39" s="149">
        <f t="shared" ref="L39" si="83">SUM(L37:L38)</f>
        <v>79970</v>
      </c>
      <c r="M39" s="65"/>
      <c r="N39" s="65"/>
      <c r="O39" s="65"/>
    </row>
    <row r="40" spans="1:15">
      <c r="A40" s="65"/>
      <c r="D40" s="147"/>
      <c r="E40" s="147"/>
      <c r="F40" s="147"/>
      <c r="G40" s="147"/>
      <c r="H40" s="147"/>
      <c r="I40" s="147"/>
      <c r="J40" s="147"/>
      <c r="K40" s="147"/>
      <c r="L40" s="147"/>
      <c r="M40" s="65"/>
      <c r="N40" s="65"/>
      <c r="O40" s="65"/>
    </row>
    <row r="41" spans="1:15">
      <c r="A41" s="67" t="s">
        <v>6891</v>
      </c>
      <c r="D41" s="146">
        <f t="shared" ref="D41:I41" si="84">D247</f>
        <v>66803</v>
      </c>
      <c r="E41" s="146">
        <f t="shared" si="84"/>
        <v>67290</v>
      </c>
      <c r="F41" s="146">
        <f t="shared" si="84"/>
        <v>67795</v>
      </c>
      <c r="G41" s="146">
        <f t="shared" si="84"/>
        <v>68161</v>
      </c>
      <c r="H41" s="146">
        <f t="shared" si="84"/>
        <v>68789</v>
      </c>
      <c r="I41" s="146">
        <f t="shared" si="84"/>
        <v>68297</v>
      </c>
      <c r="J41" s="146">
        <f t="shared" ref="J41:K41" si="85">J247</f>
        <v>67083</v>
      </c>
      <c r="K41" s="146">
        <f t="shared" si="85"/>
        <v>68774</v>
      </c>
      <c r="L41" s="146">
        <f t="shared" ref="L41" si="86">L247</f>
        <v>68755</v>
      </c>
      <c r="M41" s="65"/>
      <c r="N41" s="67" t="s">
        <v>6887</v>
      </c>
      <c r="O41" s="65"/>
    </row>
    <row r="42" spans="1:15" ht="15.75" thickBot="1">
      <c r="A42" s="65"/>
      <c r="D42" s="149">
        <f t="shared" ref="D42:I42" si="87">D307</f>
        <v>3033</v>
      </c>
      <c r="E42" s="149">
        <f t="shared" si="87"/>
        <v>3008</v>
      </c>
      <c r="F42" s="149">
        <f t="shared" si="87"/>
        <v>2995</v>
      </c>
      <c r="G42" s="149">
        <f t="shared" si="87"/>
        <v>3059</v>
      </c>
      <c r="H42" s="149">
        <f t="shared" si="87"/>
        <v>3098</v>
      </c>
      <c r="I42" s="149">
        <f t="shared" si="87"/>
        <v>3023</v>
      </c>
      <c r="J42" s="149">
        <f t="shared" ref="J42:K42" si="88">J307</f>
        <v>3109</v>
      </c>
      <c r="K42" s="149">
        <f t="shared" si="88"/>
        <v>3087</v>
      </c>
      <c r="L42" s="149">
        <f t="shared" ref="L42" si="89">L307</f>
        <v>3101</v>
      </c>
      <c r="M42" s="65"/>
      <c r="N42" s="67" t="s">
        <v>6890</v>
      </c>
      <c r="O42" s="65"/>
    </row>
    <row r="43" spans="1:15" ht="15.75" thickBot="1">
      <c r="A43" s="65"/>
      <c r="D43" s="149">
        <f t="shared" ref="D43:I43" si="90">SUM(D41:D42)</f>
        <v>69836</v>
      </c>
      <c r="E43" s="149">
        <f t="shared" si="90"/>
        <v>70298</v>
      </c>
      <c r="F43" s="149">
        <f t="shared" si="90"/>
        <v>70790</v>
      </c>
      <c r="G43" s="149">
        <f t="shared" si="90"/>
        <v>71220</v>
      </c>
      <c r="H43" s="149">
        <f t="shared" si="90"/>
        <v>71887</v>
      </c>
      <c r="I43" s="149">
        <f t="shared" si="90"/>
        <v>71320</v>
      </c>
      <c r="J43" s="149">
        <f t="shared" ref="J43:K43" si="91">SUM(J41:J42)</f>
        <v>70192</v>
      </c>
      <c r="K43" s="149">
        <f t="shared" si="91"/>
        <v>71861</v>
      </c>
      <c r="L43" s="149">
        <f t="shared" ref="L43" si="92">SUM(L41:L42)</f>
        <v>71856</v>
      </c>
      <c r="M43" s="65"/>
      <c r="N43" s="65"/>
      <c r="O43" s="65"/>
    </row>
    <row r="44" spans="1:15">
      <c r="A44" s="65"/>
      <c r="D44" s="147"/>
      <c r="E44" s="147"/>
      <c r="F44" s="147"/>
      <c r="G44" s="147"/>
      <c r="H44" s="147"/>
      <c r="I44" s="147"/>
      <c r="J44" s="147"/>
      <c r="K44" s="147"/>
      <c r="L44" s="147"/>
      <c r="M44" s="65"/>
      <c r="N44" s="65"/>
      <c r="O44" s="65"/>
    </row>
    <row r="45" spans="1:15">
      <c r="A45" s="67" t="s">
        <v>6892</v>
      </c>
      <c r="D45" s="146">
        <f t="shared" ref="D45:I45" si="93">D155</f>
        <v>1908</v>
      </c>
      <c r="E45" s="146">
        <f t="shared" si="93"/>
        <v>1937</v>
      </c>
      <c r="F45" s="146">
        <f t="shared" si="93"/>
        <v>1926</v>
      </c>
      <c r="G45" s="146">
        <f t="shared" si="93"/>
        <v>1957</v>
      </c>
      <c r="H45" s="146">
        <f t="shared" si="93"/>
        <v>1926</v>
      </c>
      <c r="I45" s="146">
        <f t="shared" si="93"/>
        <v>1918</v>
      </c>
      <c r="J45" s="146">
        <f t="shared" ref="J45:K45" si="94">J155</f>
        <v>1911</v>
      </c>
      <c r="K45" s="146">
        <f t="shared" si="94"/>
        <v>1948</v>
      </c>
      <c r="L45" s="146">
        <f t="shared" ref="L45" si="95">L155</f>
        <v>1952</v>
      </c>
      <c r="M45" s="65"/>
      <c r="N45" s="67" t="s">
        <v>6883</v>
      </c>
      <c r="O45" s="65"/>
    </row>
    <row r="46" spans="1:15">
      <c r="A46" s="65"/>
      <c r="D46" s="146">
        <f t="shared" ref="D46:I46" si="96">D215</f>
        <v>6239</v>
      </c>
      <c r="E46" s="146">
        <f t="shared" si="96"/>
        <v>6217</v>
      </c>
      <c r="F46" s="146">
        <f t="shared" si="96"/>
        <v>6221</v>
      </c>
      <c r="G46" s="146">
        <f t="shared" si="96"/>
        <v>6209</v>
      </c>
      <c r="H46" s="146">
        <f t="shared" si="96"/>
        <v>6231</v>
      </c>
      <c r="I46" s="146">
        <f t="shared" si="96"/>
        <v>6145</v>
      </c>
      <c r="J46" s="146">
        <f t="shared" ref="J46:K46" si="97">J215</f>
        <v>6029</v>
      </c>
      <c r="K46" s="146">
        <f t="shared" si="97"/>
        <v>6223</v>
      </c>
      <c r="L46" s="146">
        <f t="shared" ref="L46" si="98">L215</f>
        <v>6246</v>
      </c>
      <c r="M46" s="65"/>
      <c r="N46" s="67" t="s">
        <v>6886</v>
      </c>
      <c r="O46" s="65"/>
    </row>
    <row r="47" spans="1:15" ht="15.75" thickBot="1">
      <c r="A47" s="65"/>
      <c r="D47" s="149">
        <f t="shared" ref="D47:I47" si="99">D275</f>
        <v>59801</v>
      </c>
      <c r="E47" s="149">
        <f t="shared" si="99"/>
        <v>61203</v>
      </c>
      <c r="F47" s="149">
        <f t="shared" si="99"/>
        <v>61966</v>
      </c>
      <c r="G47" s="149">
        <f t="shared" si="99"/>
        <v>62835</v>
      </c>
      <c r="H47" s="149">
        <f t="shared" si="99"/>
        <v>62221</v>
      </c>
      <c r="I47" s="149">
        <f t="shared" si="99"/>
        <v>61643</v>
      </c>
      <c r="J47" s="149">
        <f t="shared" ref="J47:K47" si="100">J275</f>
        <v>59580</v>
      </c>
      <c r="K47" s="149">
        <f t="shared" si="100"/>
        <v>61347</v>
      </c>
      <c r="L47" s="149">
        <f t="shared" ref="L47" si="101">L275</f>
        <v>61531</v>
      </c>
      <c r="M47" s="65"/>
      <c r="N47" s="67" t="s">
        <v>13339</v>
      </c>
      <c r="O47" s="65"/>
    </row>
    <row r="48" spans="1:15" ht="15.75" thickBot="1">
      <c r="A48" s="65"/>
      <c r="D48" s="149">
        <f t="shared" ref="D48:I48" si="102">SUM(D45:D47)</f>
        <v>67948</v>
      </c>
      <c r="E48" s="149">
        <f t="shared" si="102"/>
        <v>69357</v>
      </c>
      <c r="F48" s="149">
        <f t="shared" si="102"/>
        <v>70113</v>
      </c>
      <c r="G48" s="149">
        <f t="shared" si="102"/>
        <v>71001</v>
      </c>
      <c r="H48" s="149">
        <f t="shared" si="102"/>
        <v>70378</v>
      </c>
      <c r="I48" s="149">
        <f t="shared" si="102"/>
        <v>69706</v>
      </c>
      <c r="J48" s="149">
        <f t="shared" ref="J48:K48" si="103">SUM(J45:J47)</f>
        <v>67520</v>
      </c>
      <c r="K48" s="149">
        <f t="shared" si="103"/>
        <v>69518</v>
      </c>
      <c r="L48" s="149">
        <f t="shared" ref="L48" si="104">SUM(L45:L47)</f>
        <v>69729</v>
      </c>
      <c r="M48" s="65"/>
      <c r="N48" s="65"/>
      <c r="O48" s="65"/>
    </row>
    <row r="49" spans="1:15">
      <c r="A49" s="65"/>
      <c r="D49" s="147"/>
      <c r="E49" s="147"/>
      <c r="F49" s="147"/>
      <c r="G49" s="147"/>
      <c r="H49" s="147"/>
      <c r="I49" s="147"/>
      <c r="J49" s="147"/>
      <c r="K49" s="147"/>
      <c r="L49" s="147"/>
      <c r="M49" s="65"/>
      <c r="N49" s="65"/>
      <c r="O49" s="65"/>
    </row>
    <row r="50" spans="1:15">
      <c r="A50" s="67" t="s">
        <v>6893</v>
      </c>
      <c r="D50" s="146">
        <f t="shared" ref="D50:I50" si="105">D308</f>
        <v>17736</v>
      </c>
      <c r="E50" s="146">
        <f t="shared" si="105"/>
        <v>17932</v>
      </c>
      <c r="F50" s="146">
        <f t="shared" si="105"/>
        <v>18162</v>
      </c>
      <c r="G50" s="146">
        <f t="shared" si="105"/>
        <v>18291</v>
      </c>
      <c r="H50" s="146">
        <f t="shared" si="105"/>
        <v>18307</v>
      </c>
      <c r="I50" s="146">
        <f t="shared" si="105"/>
        <v>18014</v>
      </c>
      <c r="J50" s="146">
        <f t="shared" ref="J50:K50" si="106">J308</f>
        <v>18376</v>
      </c>
      <c r="K50" s="146">
        <f t="shared" si="106"/>
        <v>18656</v>
      </c>
      <c r="L50" s="146">
        <f t="shared" ref="L50" si="107">L308</f>
        <v>18706</v>
      </c>
      <c r="M50" s="65"/>
      <c r="N50" s="67" t="s">
        <v>6890</v>
      </c>
      <c r="O50" s="65"/>
    </row>
    <row r="51" spans="1:15" ht="15.75" thickBot="1">
      <c r="A51" s="65"/>
      <c r="D51" s="149">
        <f t="shared" ref="D51:I51" si="108">D329</f>
        <v>62277</v>
      </c>
      <c r="E51" s="149">
        <f t="shared" si="108"/>
        <v>63007</v>
      </c>
      <c r="F51" s="149">
        <f t="shared" si="108"/>
        <v>64042</v>
      </c>
      <c r="G51" s="149">
        <f t="shared" si="108"/>
        <v>64822</v>
      </c>
      <c r="H51" s="149">
        <f t="shared" si="108"/>
        <v>65767</v>
      </c>
      <c r="I51" s="149">
        <f t="shared" si="108"/>
        <v>63950</v>
      </c>
      <c r="J51" s="149">
        <f t="shared" ref="J51:K51" si="109">J329</f>
        <v>63484</v>
      </c>
      <c r="K51" s="149">
        <f t="shared" si="109"/>
        <v>63683</v>
      </c>
      <c r="L51" s="149">
        <f t="shared" ref="L51" si="110">L329</f>
        <v>63574</v>
      </c>
      <c r="M51" s="65"/>
      <c r="N51" s="67" t="s">
        <v>1586</v>
      </c>
      <c r="O51" s="65"/>
    </row>
    <row r="52" spans="1:15" ht="15.75" thickBot="1">
      <c r="A52" s="65"/>
      <c r="D52" s="149">
        <f t="shared" ref="D52:I52" si="111">SUM(D50:D51)</f>
        <v>80013</v>
      </c>
      <c r="E52" s="149">
        <f t="shared" si="111"/>
        <v>80939</v>
      </c>
      <c r="F52" s="149">
        <f t="shared" si="111"/>
        <v>82204</v>
      </c>
      <c r="G52" s="149">
        <f t="shared" si="111"/>
        <v>83113</v>
      </c>
      <c r="H52" s="149">
        <f t="shared" si="111"/>
        <v>84074</v>
      </c>
      <c r="I52" s="149">
        <f t="shared" si="111"/>
        <v>81964</v>
      </c>
      <c r="J52" s="149">
        <f t="shared" ref="J52:K52" si="112">SUM(J50:J51)</f>
        <v>81860</v>
      </c>
      <c r="K52" s="149">
        <f t="shared" si="112"/>
        <v>82339</v>
      </c>
      <c r="L52" s="149">
        <f t="shared" ref="L52" si="113">SUM(L50:L51)</f>
        <v>82280</v>
      </c>
      <c r="M52" s="65"/>
      <c r="N52" s="65"/>
      <c r="O52" s="65"/>
    </row>
    <row r="53" spans="1:15">
      <c r="A53" s="65"/>
      <c r="D53" s="147"/>
      <c r="E53" s="147"/>
      <c r="F53" s="147"/>
      <c r="G53" s="147"/>
      <c r="H53" s="147"/>
      <c r="I53" s="147"/>
      <c r="J53" s="147"/>
      <c r="K53" s="147"/>
      <c r="L53" s="147"/>
      <c r="M53" s="65"/>
      <c r="N53" s="65"/>
      <c r="O53" s="65"/>
    </row>
    <row r="54" spans="1:15">
      <c r="A54" s="67" t="s">
        <v>6894</v>
      </c>
      <c r="D54" s="147">
        <f>D248</f>
        <v>0</v>
      </c>
      <c r="E54" s="147">
        <f t="shared" ref="E54:G54" si="114">E248</f>
        <v>0</v>
      </c>
      <c r="F54" s="147">
        <f t="shared" si="114"/>
        <v>0</v>
      </c>
      <c r="G54" s="147">
        <f t="shared" si="114"/>
        <v>19</v>
      </c>
      <c r="H54" s="147">
        <f t="shared" ref="H54:I54" si="115">H248</f>
        <v>20</v>
      </c>
      <c r="I54" s="147">
        <f t="shared" si="115"/>
        <v>18</v>
      </c>
      <c r="J54" s="147">
        <f t="shared" ref="J54:K54" si="116">J248</f>
        <v>16</v>
      </c>
      <c r="K54" s="147">
        <f t="shared" si="116"/>
        <v>17</v>
      </c>
      <c r="L54" s="147">
        <f t="shared" ref="L54" si="117">L248</f>
        <v>17</v>
      </c>
      <c r="M54" s="65"/>
      <c r="N54" s="67" t="s">
        <v>6887</v>
      </c>
      <c r="O54" s="65"/>
    </row>
    <row r="55" spans="1:15" ht="15.75" thickBot="1">
      <c r="D55" s="149">
        <f t="shared" ref="D55:I55" si="118">D357</f>
        <v>71731</v>
      </c>
      <c r="E55" s="149">
        <f t="shared" si="118"/>
        <v>71766</v>
      </c>
      <c r="F55" s="149">
        <f t="shared" si="118"/>
        <v>73008</v>
      </c>
      <c r="G55" s="149">
        <f t="shared" si="118"/>
        <v>73711</v>
      </c>
      <c r="H55" s="149">
        <f t="shared" si="118"/>
        <v>73848</v>
      </c>
      <c r="I55" s="149">
        <f t="shared" si="118"/>
        <v>71118</v>
      </c>
      <c r="J55" s="149">
        <f t="shared" ref="J55:K55" si="119">J357</f>
        <v>69026</v>
      </c>
      <c r="K55" s="149">
        <f t="shared" si="119"/>
        <v>71450</v>
      </c>
      <c r="L55" s="149">
        <f t="shared" ref="L55" si="120">L357</f>
        <v>71732</v>
      </c>
      <c r="M55" s="65"/>
      <c r="N55" s="67" t="s">
        <v>6879</v>
      </c>
      <c r="O55" s="65"/>
    </row>
    <row r="56" spans="1:15" ht="15.75" thickBot="1">
      <c r="A56" s="67"/>
      <c r="D56" s="149">
        <f t="shared" ref="D56:I56" si="121">SUM(D54:D55)</f>
        <v>71731</v>
      </c>
      <c r="E56" s="149">
        <f t="shared" si="121"/>
        <v>71766</v>
      </c>
      <c r="F56" s="149">
        <f t="shared" si="121"/>
        <v>73008</v>
      </c>
      <c r="G56" s="149">
        <f t="shared" si="121"/>
        <v>73730</v>
      </c>
      <c r="H56" s="149">
        <f t="shared" si="121"/>
        <v>73868</v>
      </c>
      <c r="I56" s="149">
        <f t="shared" si="121"/>
        <v>71136</v>
      </c>
      <c r="J56" s="149">
        <f t="shared" ref="J56:K56" si="122">SUM(J54:J55)</f>
        <v>69042</v>
      </c>
      <c r="K56" s="149">
        <f t="shared" si="122"/>
        <v>71467</v>
      </c>
      <c r="L56" s="149">
        <f t="shared" ref="L56" si="123">SUM(L54:L55)</f>
        <v>71749</v>
      </c>
      <c r="M56" s="65"/>
      <c r="N56" s="67"/>
      <c r="O56" s="65"/>
    </row>
    <row r="57" spans="1:15">
      <c r="A57" s="65"/>
      <c r="B57" s="65"/>
      <c r="C57" s="65"/>
      <c r="D57" s="147"/>
      <c r="E57" s="147"/>
      <c r="F57" s="147"/>
      <c r="G57" s="147"/>
      <c r="H57" s="147"/>
      <c r="I57" s="147"/>
      <c r="J57" s="147"/>
      <c r="K57" s="147"/>
      <c r="L57" s="147"/>
      <c r="M57" s="65"/>
      <c r="N57" s="65"/>
      <c r="O57" s="65"/>
    </row>
    <row r="58" spans="1:15">
      <c r="A58" s="67" t="s">
        <v>8697</v>
      </c>
      <c r="B58" s="65"/>
      <c r="C58" s="65"/>
      <c r="D58" s="146">
        <f>D20+D22+D24+D26+D30+D35+D39+D43+D48+D52+D56</f>
        <v>804931</v>
      </c>
      <c r="E58" s="146">
        <f t="shared" ref="E58:G58" si="124">E20+E22+E24+E26+E30+E35+E39+E43+E48+E52+E56</f>
        <v>811936</v>
      </c>
      <c r="F58" s="146">
        <f t="shared" si="124"/>
        <v>817032</v>
      </c>
      <c r="G58" s="146">
        <f t="shared" si="124"/>
        <v>825185</v>
      </c>
      <c r="H58" s="146">
        <f t="shared" ref="H58:I58" si="125">H20+H22+H24+H26+H30+H35+H39+H43+H48+H52+H56</f>
        <v>827771</v>
      </c>
      <c r="I58" s="146">
        <f t="shared" si="125"/>
        <v>813202</v>
      </c>
      <c r="J58" s="146">
        <f t="shared" ref="J58:K58" si="126">J20+J22+J24+J26+J30+J35+J39+J43+J48+J52+J56</f>
        <v>801230</v>
      </c>
      <c r="K58" s="146">
        <f t="shared" si="126"/>
        <v>823011</v>
      </c>
      <c r="L58" s="146">
        <f t="shared" ref="L58" si="127">L20+L22+L24+L26+L30+L35+L39+L43+L48+L52+L56</f>
        <v>825462</v>
      </c>
      <c r="M58" s="65"/>
      <c r="N58" s="65"/>
      <c r="O58" s="65"/>
    </row>
    <row r="59" spans="1:15">
      <c r="A59" s="65"/>
      <c r="B59" s="65"/>
      <c r="C59" s="65"/>
      <c r="D59" s="147"/>
      <c r="E59" s="147"/>
      <c r="F59" s="147"/>
      <c r="G59" s="147"/>
      <c r="H59" s="147"/>
      <c r="I59" s="147"/>
      <c r="J59" s="147"/>
      <c r="K59" s="147"/>
      <c r="L59" s="147"/>
      <c r="M59" s="65"/>
      <c r="N59" s="65"/>
      <c r="O59" s="65"/>
    </row>
    <row r="60" spans="1:15">
      <c r="A60" s="67" t="s">
        <v>8698</v>
      </c>
      <c r="B60" s="65"/>
      <c r="C60" s="65"/>
      <c r="D60" s="146">
        <f t="shared" ref="D60:I60" si="128">MAX(D20,D22,D24,D26,D30,D35,D39,D43,D48,D52,D56)-MIN(D20,D22,D24,D26,D30,D35,D39,D43,D48,D52,D56)</f>
        <v>12065</v>
      </c>
      <c r="E60" s="146">
        <f t="shared" si="128"/>
        <v>11582</v>
      </c>
      <c r="F60" s="146">
        <f t="shared" si="128"/>
        <v>12091</v>
      </c>
      <c r="G60" s="146">
        <f t="shared" si="128"/>
        <v>12112</v>
      </c>
      <c r="H60" s="146">
        <f t="shared" si="128"/>
        <v>13696</v>
      </c>
      <c r="I60" s="146">
        <f t="shared" si="128"/>
        <v>12258</v>
      </c>
      <c r="J60" s="146">
        <f t="shared" ref="J60:K60" si="129">MAX(J20,J22,J24,J26,J30,J35,J39,J43,J48,J52,J56)-MIN(J20,J22,J24,J26,J30,J35,J39,J43,J48,J52,J56)</f>
        <v>14340</v>
      </c>
      <c r="K60" s="146">
        <f t="shared" si="129"/>
        <v>12821</v>
      </c>
      <c r="L60" s="146">
        <f t="shared" ref="L60" si="130">MAX(L20,L22,L24,L26,L30,L35,L39,L43,L48,L52,L56)-MIN(L20,L22,L24,L26,L30,L35,L39,L43,L48,L52,L56)</f>
        <v>12551</v>
      </c>
      <c r="M60" s="65"/>
      <c r="N60" s="65"/>
      <c r="O60" s="65"/>
    </row>
    <row r="61" spans="1:15">
      <c r="A61" s="65"/>
      <c r="B61" s="65"/>
      <c r="C61" s="65"/>
      <c r="D61" s="147"/>
      <c r="E61" s="147"/>
      <c r="F61" s="147"/>
      <c r="G61" s="147"/>
      <c r="H61" s="147"/>
      <c r="I61" s="147"/>
      <c r="J61" s="147"/>
      <c r="K61" s="147"/>
      <c r="L61" s="147"/>
      <c r="M61" s="65"/>
      <c r="N61" s="65"/>
      <c r="O61" s="65"/>
    </row>
    <row r="62" spans="1:15">
      <c r="A62" s="151" t="s">
        <v>8701</v>
      </c>
      <c r="B62" s="65"/>
      <c r="C62" s="65"/>
      <c r="D62" s="146">
        <f t="shared" ref="D62:I62" si="131">STDEVP(D20,D22,D24,D26,D30,D35,D39,D43,D48,D52,D55)</f>
        <v>3768.2709168104325</v>
      </c>
      <c r="E62" s="146">
        <f t="shared" si="131"/>
        <v>3725.9606271458802</v>
      </c>
      <c r="F62" s="146">
        <f t="shared" si="131"/>
        <v>3700.0490235751613</v>
      </c>
      <c r="G62" s="146">
        <f t="shared" si="131"/>
        <v>3704.1522758445858</v>
      </c>
      <c r="H62" s="146">
        <f t="shared" si="131"/>
        <v>3654.645274530023</v>
      </c>
      <c r="I62" s="146">
        <f t="shared" si="131"/>
        <v>3533.3966356926258</v>
      </c>
      <c r="J62" s="146">
        <f t="shared" ref="J62:K62" si="132">STDEVP(J20,J22,J24,J26,J30,J35,J39,J43,J48,J52,J55)</f>
        <v>4255.9066820068338</v>
      </c>
      <c r="K62" s="146">
        <f t="shared" si="132"/>
        <v>4121.7777998583279</v>
      </c>
      <c r="L62" s="146">
        <f t="shared" ref="L62" si="133">STDEVP(L20,L22,L24,L26,L30,L35,L39,L43,L48,L52,L55)</f>
        <v>4028.6237524547978</v>
      </c>
      <c r="M62" s="65"/>
      <c r="N62" s="65"/>
      <c r="O62" s="65"/>
    </row>
    <row r="63" spans="1:15">
      <c r="A63" s="151"/>
      <c r="B63" s="65"/>
      <c r="C63" s="65"/>
      <c r="D63" s="152"/>
      <c r="E63" s="152"/>
      <c r="F63" s="152"/>
      <c r="G63" s="152"/>
      <c r="H63" s="152"/>
      <c r="I63" s="152"/>
      <c r="J63" s="152"/>
      <c r="K63" s="152"/>
      <c r="L63" s="152"/>
      <c r="M63" s="65"/>
      <c r="N63" s="65"/>
      <c r="O63" s="65"/>
    </row>
    <row r="64" spans="1:15">
      <c r="A64" s="151"/>
      <c r="B64" s="65"/>
      <c r="C64" s="65"/>
      <c r="D64" s="152"/>
      <c r="E64" s="152"/>
      <c r="F64" s="152"/>
      <c r="G64" s="152"/>
      <c r="H64" s="152"/>
      <c r="I64" s="152"/>
      <c r="J64" s="152"/>
      <c r="K64" s="152"/>
      <c r="L64" s="152"/>
      <c r="M64" s="65"/>
      <c r="N64" s="65"/>
      <c r="O64" s="65"/>
    </row>
    <row r="65" spans="1:17">
      <c r="A65" s="65"/>
      <c r="B65" s="65"/>
      <c r="E65" s="42" t="s">
        <v>2303</v>
      </c>
      <c r="F65" s="42"/>
      <c r="G65" s="42"/>
      <c r="H65" s="42"/>
      <c r="I65" s="42"/>
      <c r="J65" s="42"/>
      <c r="K65" s="42"/>
      <c r="L65" s="42"/>
      <c r="M65" s="153"/>
      <c r="N65" s="109" t="s">
        <v>13319</v>
      </c>
    </row>
    <row r="66" spans="1:17">
      <c r="A66" s="65"/>
      <c r="B66" s="65"/>
      <c r="C66" s="65"/>
      <c r="D66" s="110">
        <v>2010</v>
      </c>
      <c r="E66" s="110">
        <v>2011</v>
      </c>
      <c r="F66" s="110">
        <v>2012</v>
      </c>
      <c r="G66" s="110">
        <v>2013</v>
      </c>
      <c r="H66" s="110">
        <v>2014</v>
      </c>
      <c r="I66" s="110">
        <v>2015</v>
      </c>
      <c r="J66" s="110">
        <v>2016</v>
      </c>
      <c r="K66" s="110">
        <v>2017</v>
      </c>
      <c r="L66" s="110">
        <v>2018</v>
      </c>
      <c r="M66" s="111"/>
      <c r="N66" s="112" t="s">
        <v>2304</v>
      </c>
      <c r="O66" s="65"/>
    </row>
    <row r="67" spans="1:17" ht="15" customHeight="1">
      <c r="A67" s="67" t="s">
        <v>6895</v>
      </c>
      <c r="C67" s="67"/>
      <c r="D67" s="146">
        <f t="shared" ref="D67:I67" si="134">SUM(D68:D77)</f>
        <v>66975</v>
      </c>
      <c r="E67" s="146">
        <f t="shared" si="134"/>
        <v>67608</v>
      </c>
      <c r="F67" s="146">
        <f t="shared" si="134"/>
        <v>67824</v>
      </c>
      <c r="G67" s="146">
        <f t="shared" si="134"/>
        <v>68539</v>
      </c>
      <c r="H67" s="146">
        <f t="shared" si="134"/>
        <v>69142</v>
      </c>
      <c r="I67" s="146">
        <f t="shared" si="134"/>
        <v>67663</v>
      </c>
      <c r="J67" s="146">
        <f t="shared" ref="J67:K67" si="135">SUM(J68:J77)</f>
        <v>66150</v>
      </c>
      <c r="K67" s="146">
        <f t="shared" si="135"/>
        <v>68001</v>
      </c>
      <c r="L67" s="146">
        <f t="shared" ref="L67" si="136">SUM(L68:L77)</f>
        <v>68055</v>
      </c>
      <c r="M67" s="65"/>
      <c r="N67" s="65"/>
      <c r="O67" s="65"/>
    </row>
    <row r="68" spans="1:17">
      <c r="A68" s="154">
        <v>1</v>
      </c>
      <c r="B68" s="67" t="s">
        <v>13318</v>
      </c>
      <c r="C68" s="4" t="s">
        <v>13132</v>
      </c>
      <c r="D68" s="146">
        <v>66975</v>
      </c>
      <c r="E68" s="146">
        <v>67608</v>
      </c>
      <c r="F68" s="146">
        <v>67824</v>
      </c>
      <c r="G68" s="30">
        <v>7186</v>
      </c>
      <c r="H68" s="30">
        <v>7298</v>
      </c>
      <c r="I68" s="30">
        <v>7178</v>
      </c>
      <c r="J68" s="30">
        <v>6966</v>
      </c>
      <c r="K68" s="30">
        <v>7167</v>
      </c>
      <c r="L68" s="30">
        <v>7124</v>
      </c>
      <c r="M68" s="65"/>
      <c r="N68" s="67" t="s">
        <v>6901</v>
      </c>
      <c r="O68" s="4"/>
      <c r="Q68" s="4"/>
    </row>
    <row r="69" spans="1:17">
      <c r="A69" s="154">
        <v>2</v>
      </c>
      <c r="B69" s="67" t="s">
        <v>5122</v>
      </c>
      <c r="C69" s="4" t="s">
        <v>13133</v>
      </c>
      <c r="D69" s="146">
        <v>0</v>
      </c>
      <c r="E69" s="146">
        <v>0</v>
      </c>
      <c r="F69" s="146">
        <v>0</v>
      </c>
      <c r="G69" s="30">
        <v>6516</v>
      </c>
      <c r="H69" s="30">
        <v>6547</v>
      </c>
      <c r="I69" s="30">
        <v>6476</v>
      </c>
      <c r="J69" s="30">
        <v>6313</v>
      </c>
      <c r="K69" s="30">
        <v>6481</v>
      </c>
      <c r="L69" s="30">
        <v>6369</v>
      </c>
      <c r="M69" s="65"/>
      <c r="N69" s="67" t="s">
        <v>6901</v>
      </c>
      <c r="O69" s="4"/>
      <c r="Q69" s="4"/>
    </row>
    <row r="70" spans="1:17">
      <c r="A70" s="154">
        <v>3</v>
      </c>
      <c r="B70" s="67" t="s">
        <v>13127</v>
      </c>
      <c r="C70" s="4" t="s">
        <v>13134</v>
      </c>
      <c r="D70" s="146">
        <v>0</v>
      </c>
      <c r="E70" s="146">
        <v>0</v>
      </c>
      <c r="F70" s="146">
        <v>0</v>
      </c>
      <c r="G70" s="30">
        <v>6414</v>
      </c>
      <c r="H70" s="30">
        <v>6490</v>
      </c>
      <c r="I70" s="30">
        <v>6245</v>
      </c>
      <c r="J70" s="30">
        <v>6090</v>
      </c>
      <c r="K70" s="30">
        <v>6196</v>
      </c>
      <c r="L70" s="30">
        <v>6247</v>
      </c>
      <c r="M70" s="65"/>
      <c r="N70" s="67" t="s">
        <v>6901</v>
      </c>
      <c r="O70" s="4"/>
      <c r="Q70" s="4"/>
    </row>
    <row r="71" spans="1:17">
      <c r="A71" s="154">
        <v>4</v>
      </c>
      <c r="B71" s="67" t="s">
        <v>5123</v>
      </c>
      <c r="C71" s="4" t="s">
        <v>13135</v>
      </c>
      <c r="D71" s="146">
        <v>0</v>
      </c>
      <c r="E71" s="146">
        <v>0</v>
      </c>
      <c r="F71" s="146">
        <v>0</v>
      </c>
      <c r="G71" s="30">
        <v>6610</v>
      </c>
      <c r="H71" s="30">
        <v>6750</v>
      </c>
      <c r="I71" s="30">
        <v>6631</v>
      </c>
      <c r="J71" s="30">
        <v>6580</v>
      </c>
      <c r="K71" s="30">
        <v>6760</v>
      </c>
      <c r="L71" s="30">
        <v>6782</v>
      </c>
      <c r="M71" s="65"/>
      <c r="N71" s="67" t="s">
        <v>6901</v>
      </c>
      <c r="O71" s="4"/>
      <c r="Q71" s="4"/>
    </row>
    <row r="72" spans="1:17">
      <c r="A72" s="154">
        <v>5</v>
      </c>
      <c r="B72" s="67" t="s">
        <v>5124</v>
      </c>
      <c r="C72" s="4" t="s">
        <v>13136</v>
      </c>
      <c r="D72" s="146">
        <v>0</v>
      </c>
      <c r="E72" s="146">
        <v>0</v>
      </c>
      <c r="F72" s="146">
        <v>0</v>
      </c>
      <c r="G72" s="30">
        <v>6933</v>
      </c>
      <c r="H72" s="30">
        <v>6947</v>
      </c>
      <c r="I72" s="30">
        <v>6800</v>
      </c>
      <c r="J72" s="30">
        <v>6734</v>
      </c>
      <c r="K72" s="30">
        <v>7033</v>
      </c>
      <c r="L72" s="30">
        <v>7115</v>
      </c>
      <c r="M72" s="65"/>
      <c r="N72" s="67" t="s">
        <v>6901</v>
      </c>
      <c r="O72" s="4"/>
      <c r="Q72" s="4"/>
    </row>
    <row r="73" spans="1:17">
      <c r="A73" s="154">
        <v>6</v>
      </c>
      <c r="B73" s="67" t="s">
        <v>5125</v>
      </c>
      <c r="C73" s="4" t="s">
        <v>13137</v>
      </c>
      <c r="D73" s="146">
        <v>0</v>
      </c>
      <c r="E73" s="146">
        <v>0</v>
      </c>
      <c r="F73" s="146">
        <v>0</v>
      </c>
      <c r="G73" s="30">
        <v>7353</v>
      </c>
      <c r="H73" s="30">
        <v>7310</v>
      </c>
      <c r="I73" s="30">
        <v>7206</v>
      </c>
      <c r="J73" s="30">
        <v>7105</v>
      </c>
      <c r="K73" s="30">
        <v>7210</v>
      </c>
      <c r="L73" s="30">
        <v>7250</v>
      </c>
      <c r="M73" s="65"/>
      <c r="N73" s="67" t="s">
        <v>6901</v>
      </c>
      <c r="O73" s="4"/>
      <c r="Q73" s="4"/>
    </row>
    <row r="74" spans="1:17">
      <c r="A74" s="154">
        <v>7</v>
      </c>
      <c r="B74" s="67" t="s">
        <v>13128</v>
      </c>
      <c r="C74" s="4" t="s">
        <v>13138</v>
      </c>
      <c r="D74" s="146">
        <v>0</v>
      </c>
      <c r="E74" s="146">
        <v>0</v>
      </c>
      <c r="F74" s="146">
        <v>0</v>
      </c>
      <c r="G74" s="30">
        <v>6243</v>
      </c>
      <c r="H74" s="30">
        <v>6376</v>
      </c>
      <c r="I74" s="30">
        <v>6314</v>
      </c>
      <c r="J74" s="30">
        <v>6150</v>
      </c>
      <c r="K74" s="30">
        <v>6346</v>
      </c>
      <c r="L74" s="30">
        <v>6346</v>
      </c>
      <c r="M74" s="65"/>
      <c r="N74" s="67" t="s">
        <v>6901</v>
      </c>
      <c r="O74" s="4"/>
      <c r="Q74" s="4"/>
    </row>
    <row r="75" spans="1:17">
      <c r="A75" s="154">
        <v>8</v>
      </c>
      <c r="B75" s="67" t="s">
        <v>13129</v>
      </c>
      <c r="C75" s="4" t="s">
        <v>13139</v>
      </c>
      <c r="D75" s="146">
        <v>0</v>
      </c>
      <c r="E75" s="146">
        <v>0</v>
      </c>
      <c r="F75" s="146">
        <v>0</v>
      </c>
      <c r="G75" s="30">
        <v>6727</v>
      </c>
      <c r="H75" s="30">
        <v>6685</v>
      </c>
      <c r="I75" s="30">
        <v>6492</v>
      </c>
      <c r="J75" s="30">
        <v>6360</v>
      </c>
      <c r="K75" s="30">
        <v>6535</v>
      </c>
      <c r="L75" s="30">
        <v>6475</v>
      </c>
      <c r="M75" s="65"/>
      <c r="N75" s="67" t="s">
        <v>6901</v>
      </c>
      <c r="O75" s="4"/>
      <c r="Q75" s="4"/>
    </row>
    <row r="76" spans="1:17">
      <c r="A76" s="154">
        <v>9</v>
      </c>
      <c r="B76" s="67" t="s">
        <v>6919</v>
      </c>
      <c r="C76" s="4" t="s">
        <v>13140</v>
      </c>
      <c r="D76" s="146">
        <v>0</v>
      </c>
      <c r="E76" s="146">
        <v>0</v>
      </c>
      <c r="F76" s="146">
        <v>0</v>
      </c>
      <c r="G76" s="30">
        <v>6816</v>
      </c>
      <c r="H76" s="30">
        <v>6808</v>
      </c>
      <c r="I76" s="30">
        <v>6597</v>
      </c>
      <c r="J76" s="30">
        <v>6361</v>
      </c>
      <c r="K76" s="30">
        <v>6538</v>
      </c>
      <c r="L76" s="30">
        <v>6637</v>
      </c>
      <c r="M76" s="65"/>
      <c r="N76" s="67" t="s">
        <v>6901</v>
      </c>
      <c r="O76" s="4"/>
      <c r="Q76" s="4"/>
    </row>
    <row r="77" spans="1:17">
      <c r="A77" s="154">
        <v>10</v>
      </c>
      <c r="B77" s="67" t="s">
        <v>13130</v>
      </c>
      <c r="C77" s="4" t="s">
        <v>13141</v>
      </c>
      <c r="D77" s="146">
        <v>0</v>
      </c>
      <c r="E77" s="146">
        <v>0</v>
      </c>
      <c r="F77" s="146">
        <v>0</v>
      </c>
      <c r="G77" s="30">
        <v>7741</v>
      </c>
      <c r="H77" s="30">
        <v>7931</v>
      </c>
      <c r="I77" s="30">
        <v>7724</v>
      </c>
      <c r="J77" s="30">
        <v>7491</v>
      </c>
      <c r="K77" s="30">
        <v>7735</v>
      </c>
      <c r="L77" s="30">
        <v>7710</v>
      </c>
      <c r="M77" s="65"/>
      <c r="N77" s="67" t="s">
        <v>6901</v>
      </c>
      <c r="O77" s="4"/>
      <c r="Q77" s="4"/>
    </row>
    <row r="78" spans="1:17">
      <c r="A78" s="65"/>
      <c r="B78" s="65"/>
      <c r="C78" s="65"/>
      <c r="D78" s="147"/>
      <c r="E78" s="147"/>
      <c r="F78" s="147"/>
      <c r="G78" s="147"/>
      <c r="H78" s="147"/>
      <c r="I78" s="147"/>
      <c r="J78" s="147"/>
      <c r="K78" s="147"/>
      <c r="L78" s="147"/>
      <c r="M78" s="65"/>
      <c r="N78" s="65"/>
    </row>
    <row r="79" spans="1:17">
      <c r="A79" s="67" t="s">
        <v>6920</v>
      </c>
      <c r="C79" s="65"/>
      <c r="D79" s="146">
        <f t="shared" ref="D79:I79" si="137">SUM(D68:D77)</f>
        <v>66975</v>
      </c>
      <c r="E79" s="146">
        <f t="shared" si="137"/>
        <v>67608</v>
      </c>
      <c r="F79" s="146">
        <f t="shared" si="137"/>
        <v>67824</v>
      </c>
      <c r="G79" s="146">
        <f t="shared" si="137"/>
        <v>68539</v>
      </c>
      <c r="H79" s="146">
        <f t="shared" si="137"/>
        <v>69142</v>
      </c>
      <c r="I79" s="146">
        <f t="shared" si="137"/>
        <v>67663</v>
      </c>
      <c r="J79" s="146">
        <f t="shared" ref="J79:K79" si="138">SUM(J68:J77)</f>
        <v>66150</v>
      </c>
      <c r="K79" s="146">
        <f t="shared" si="138"/>
        <v>68001</v>
      </c>
      <c r="L79" s="146">
        <f t="shared" ref="L79" si="139">SUM(L68:L77)</f>
        <v>68055</v>
      </c>
      <c r="M79" s="65"/>
      <c r="N79" s="65"/>
    </row>
    <row r="80" spans="1:17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7">
      <c r="A81" s="66" t="s">
        <v>13131</v>
      </c>
      <c r="D81" s="155"/>
      <c r="E81" s="155"/>
      <c r="F81" s="155"/>
      <c r="G81" s="155"/>
      <c r="H81" s="155"/>
      <c r="I81" s="155"/>
      <c r="J81" s="155"/>
      <c r="K81" s="155"/>
      <c r="L81" s="155"/>
      <c r="M81" s="65"/>
      <c r="N81" s="65"/>
    </row>
    <row r="82" spans="1:17">
      <c r="A82" s="67"/>
      <c r="B82" s="67"/>
      <c r="C82" s="65"/>
      <c r="D82" s="155"/>
      <c r="E82" s="155"/>
      <c r="F82" s="155"/>
      <c r="G82" s="155"/>
      <c r="H82" s="155"/>
      <c r="I82" s="155"/>
      <c r="J82" s="155"/>
      <c r="K82" s="155"/>
      <c r="L82" s="155"/>
      <c r="M82" s="65"/>
      <c r="N82" s="65"/>
    </row>
    <row r="83" spans="1:17">
      <c r="A83" s="67"/>
      <c r="B83" s="67"/>
      <c r="C83" s="65"/>
      <c r="D83" s="155"/>
      <c r="E83" s="155"/>
      <c r="F83" s="155"/>
      <c r="G83" s="155"/>
      <c r="H83" s="155"/>
      <c r="I83" s="155"/>
      <c r="J83" s="155"/>
      <c r="K83" s="155"/>
      <c r="L83" s="155"/>
      <c r="M83" s="65"/>
      <c r="N83" s="65"/>
    </row>
    <row r="84" spans="1:17">
      <c r="A84" s="65"/>
      <c r="B84" s="65"/>
      <c r="E84" s="42" t="s">
        <v>2303</v>
      </c>
      <c r="F84" s="42"/>
      <c r="G84" s="42"/>
      <c r="H84" s="42"/>
      <c r="I84" s="42"/>
      <c r="J84" s="42"/>
      <c r="K84" s="42"/>
      <c r="L84" s="42"/>
      <c r="M84" s="153"/>
      <c r="N84" s="109" t="s">
        <v>13319</v>
      </c>
    </row>
    <row r="85" spans="1:17">
      <c r="A85" s="65"/>
      <c r="B85" s="65"/>
      <c r="C85" s="65"/>
      <c r="D85" s="110">
        <v>2010</v>
      </c>
      <c r="E85" s="110">
        <v>2011</v>
      </c>
      <c r="F85" s="110">
        <v>2012</v>
      </c>
      <c r="G85" s="110">
        <v>2013</v>
      </c>
      <c r="H85" s="110">
        <v>2014</v>
      </c>
      <c r="I85" s="110">
        <v>2015</v>
      </c>
      <c r="J85" s="110">
        <v>2016</v>
      </c>
      <c r="K85" s="110">
        <v>2017</v>
      </c>
      <c r="L85" s="110">
        <v>2018</v>
      </c>
      <c r="M85" s="111"/>
      <c r="N85" s="112" t="s">
        <v>2304</v>
      </c>
    </row>
    <row r="86" spans="1:17">
      <c r="A86" s="67" t="s">
        <v>6921</v>
      </c>
      <c r="C86" s="65"/>
      <c r="D86" s="146">
        <f t="shared" ref="D86:I86" si="140">SUM(D87:D111)</f>
        <v>106996</v>
      </c>
      <c r="E86" s="146">
        <f t="shared" si="140"/>
        <v>106844</v>
      </c>
      <c r="F86" s="146">
        <f t="shared" si="140"/>
        <v>107754</v>
      </c>
      <c r="G86" s="146">
        <f t="shared" si="140"/>
        <v>108351</v>
      </c>
      <c r="H86" s="146">
        <f t="shared" si="140"/>
        <v>109027</v>
      </c>
      <c r="I86" s="146">
        <f t="shared" si="140"/>
        <v>106474</v>
      </c>
      <c r="J86" s="146">
        <f t="shared" ref="J86:K86" si="141">SUM(J87:J111)</f>
        <v>104252</v>
      </c>
      <c r="K86" s="146">
        <f t="shared" si="141"/>
        <v>107820</v>
      </c>
      <c r="L86" s="146">
        <f t="shared" ref="L86" si="142">SUM(L87:L111)</f>
        <v>108869</v>
      </c>
      <c r="M86" s="65"/>
      <c r="N86" s="65"/>
    </row>
    <row r="87" spans="1:17">
      <c r="A87" s="154">
        <v>1</v>
      </c>
      <c r="B87" s="67" t="s">
        <v>6922</v>
      </c>
      <c r="C87" s="4" t="s">
        <v>12376</v>
      </c>
      <c r="D87" s="146">
        <v>3956</v>
      </c>
      <c r="E87" s="146">
        <v>3927</v>
      </c>
      <c r="F87" s="146">
        <v>4015</v>
      </c>
      <c r="G87" s="48">
        <v>4025</v>
      </c>
      <c r="H87" s="48">
        <v>4036</v>
      </c>
      <c r="I87" s="48">
        <v>3884</v>
      </c>
      <c r="J87" s="48">
        <v>3661</v>
      </c>
      <c r="K87" s="48">
        <v>3759</v>
      </c>
      <c r="L87" s="48">
        <v>3768</v>
      </c>
      <c r="M87" s="65"/>
      <c r="N87" s="67" t="s">
        <v>6880</v>
      </c>
      <c r="O87" s="4"/>
      <c r="Q87" s="4"/>
    </row>
    <row r="88" spans="1:17">
      <c r="A88" s="154">
        <v>2</v>
      </c>
      <c r="B88" s="67" t="s">
        <v>8679</v>
      </c>
      <c r="C88" s="4" t="s">
        <v>12377</v>
      </c>
      <c r="D88" s="146">
        <v>4091</v>
      </c>
      <c r="E88" s="146">
        <v>4037</v>
      </c>
      <c r="F88" s="146">
        <v>4066</v>
      </c>
      <c r="G88" s="48">
        <v>4103</v>
      </c>
      <c r="H88" s="48">
        <v>4178</v>
      </c>
      <c r="I88" s="48">
        <v>4060</v>
      </c>
      <c r="J88" s="48">
        <v>3970</v>
      </c>
      <c r="K88" s="48">
        <v>4113</v>
      </c>
      <c r="L88" s="48">
        <v>4105</v>
      </c>
      <c r="M88" s="65"/>
      <c r="N88" s="67" t="s">
        <v>6880</v>
      </c>
      <c r="O88" s="4"/>
      <c r="Q88" s="4"/>
    </row>
    <row r="89" spans="1:17">
      <c r="A89" s="154">
        <v>3</v>
      </c>
      <c r="B89" s="67" t="s">
        <v>8680</v>
      </c>
      <c r="C89" s="4" t="s">
        <v>12378</v>
      </c>
      <c r="D89" s="146">
        <v>1891</v>
      </c>
      <c r="E89" s="146">
        <v>1876</v>
      </c>
      <c r="F89" s="146">
        <v>1882</v>
      </c>
      <c r="G89" s="48">
        <v>1896</v>
      </c>
      <c r="H89" s="48">
        <v>1905</v>
      </c>
      <c r="I89" s="48">
        <v>1895</v>
      </c>
      <c r="J89" s="48">
        <v>1839</v>
      </c>
      <c r="K89" s="48">
        <v>1886</v>
      </c>
      <c r="L89" s="48">
        <v>1918</v>
      </c>
      <c r="M89" s="65"/>
      <c r="N89" s="67" t="s">
        <v>6889</v>
      </c>
      <c r="O89" s="4"/>
      <c r="Q89" s="4"/>
    </row>
    <row r="90" spans="1:17">
      <c r="A90" s="154">
        <v>4</v>
      </c>
      <c r="B90" s="66" t="s">
        <v>8681</v>
      </c>
      <c r="C90" s="4" t="s">
        <v>12379</v>
      </c>
      <c r="D90" s="146">
        <v>6213</v>
      </c>
      <c r="E90" s="146">
        <v>6236</v>
      </c>
      <c r="F90" s="146">
        <v>6279</v>
      </c>
      <c r="G90" s="48">
        <v>6363</v>
      </c>
      <c r="H90" s="48">
        <v>6353</v>
      </c>
      <c r="I90" s="48">
        <v>6197</v>
      </c>
      <c r="J90" s="48">
        <v>6199</v>
      </c>
      <c r="K90" s="48">
        <v>6507</v>
      </c>
      <c r="L90" s="48">
        <v>6671</v>
      </c>
      <c r="M90" s="65"/>
      <c r="N90" s="67" t="s">
        <v>6880</v>
      </c>
      <c r="O90" s="4"/>
      <c r="Q90" s="4"/>
    </row>
    <row r="91" spans="1:17">
      <c r="A91" s="154">
        <v>5</v>
      </c>
      <c r="B91" s="67" t="s">
        <v>8682</v>
      </c>
      <c r="C91" s="4" t="s">
        <v>12380</v>
      </c>
      <c r="D91" s="146">
        <v>2143</v>
      </c>
      <c r="E91" s="146">
        <v>2138</v>
      </c>
      <c r="F91" s="146">
        <v>2152</v>
      </c>
      <c r="G91" s="48">
        <v>2162</v>
      </c>
      <c r="H91" s="48">
        <v>2149</v>
      </c>
      <c r="I91" s="48">
        <v>2124</v>
      </c>
      <c r="J91" s="48">
        <v>2095</v>
      </c>
      <c r="K91" s="48">
        <v>2118</v>
      </c>
      <c r="L91" s="48">
        <v>2147</v>
      </c>
      <c r="M91" s="65"/>
      <c r="N91" s="67" t="s">
        <v>6880</v>
      </c>
      <c r="O91" s="4"/>
      <c r="Q91" s="4"/>
    </row>
    <row r="92" spans="1:17">
      <c r="A92" s="154">
        <v>6</v>
      </c>
      <c r="B92" s="67" t="s">
        <v>8683</v>
      </c>
      <c r="C92" s="4" t="s">
        <v>12381</v>
      </c>
      <c r="D92" s="146">
        <v>4540</v>
      </c>
      <c r="E92" s="146">
        <v>4481</v>
      </c>
      <c r="F92" s="146">
        <v>4553</v>
      </c>
      <c r="G92" s="48">
        <v>4529</v>
      </c>
      <c r="H92" s="48">
        <v>4565</v>
      </c>
      <c r="I92" s="48">
        <v>4436</v>
      </c>
      <c r="J92" s="48">
        <v>4320</v>
      </c>
      <c r="K92" s="48">
        <v>4450</v>
      </c>
      <c r="L92" s="48">
        <v>4412</v>
      </c>
      <c r="M92" s="65"/>
      <c r="N92" s="67" t="s">
        <v>6880</v>
      </c>
      <c r="O92" s="4"/>
      <c r="Q92" s="4"/>
    </row>
    <row r="93" spans="1:17">
      <c r="A93" s="154">
        <v>7</v>
      </c>
      <c r="B93" s="67" t="s">
        <v>8705</v>
      </c>
      <c r="C93" s="4" t="s">
        <v>12382</v>
      </c>
      <c r="D93" s="146">
        <v>4562</v>
      </c>
      <c r="E93" s="146">
        <v>4560</v>
      </c>
      <c r="F93" s="146">
        <v>4621</v>
      </c>
      <c r="G93" s="48">
        <v>4645</v>
      </c>
      <c r="H93" s="48">
        <v>4676</v>
      </c>
      <c r="I93" s="48">
        <v>4617</v>
      </c>
      <c r="J93" s="48">
        <v>4548</v>
      </c>
      <c r="K93" s="48">
        <v>4647</v>
      </c>
      <c r="L93" s="48">
        <v>4651</v>
      </c>
      <c r="M93" s="65"/>
      <c r="N93" s="67" t="s">
        <v>6889</v>
      </c>
      <c r="O93" s="4"/>
      <c r="Q93" s="4"/>
    </row>
    <row r="94" spans="1:17">
      <c r="A94" s="154">
        <v>8</v>
      </c>
      <c r="B94" s="67" t="s">
        <v>8706</v>
      </c>
      <c r="C94" s="4" t="s">
        <v>12383</v>
      </c>
      <c r="D94" s="146">
        <v>4478</v>
      </c>
      <c r="E94" s="146">
        <v>4474</v>
      </c>
      <c r="F94" s="146">
        <v>4512</v>
      </c>
      <c r="G94" s="48">
        <v>4503</v>
      </c>
      <c r="H94" s="48">
        <v>4508</v>
      </c>
      <c r="I94" s="48">
        <v>4429</v>
      </c>
      <c r="J94" s="48">
        <v>4368</v>
      </c>
      <c r="K94" s="48">
        <v>4591</v>
      </c>
      <c r="L94" s="48">
        <v>4630</v>
      </c>
      <c r="M94" s="65"/>
      <c r="N94" s="67" t="s">
        <v>6889</v>
      </c>
      <c r="O94" s="4"/>
      <c r="Q94" s="4"/>
    </row>
    <row r="95" spans="1:17">
      <c r="A95" s="154">
        <v>9</v>
      </c>
      <c r="B95" s="67" t="s">
        <v>8707</v>
      </c>
      <c r="C95" s="4" t="s">
        <v>12384</v>
      </c>
      <c r="D95" s="146">
        <v>4439</v>
      </c>
      <c r="E95" s="146">
        <v>4533</v>
      </c>
      <c r="F95" s="146">
        <v>4527</v>
      </c>
      <c r="G95" s="48">
        <v>4547</v>
      </c>
      <c r="H95" s="48">
        <v>4574</v>
      </c>
      <c r="I95" s="48">
        <v>4490</v>
      </c>
      <c r="J95" s="48">
        <v>4411</v>
      </c>
      <c r="K95" s="48">
        <v>4582</v>
      </c>
      <c r="L95" s="48">
        <v>4681</v>
      </c>
      <c r="M95" s="65"/>
      <c r="N95" s="67" t="s">
        <v>6889</v>
      </c>
      <c r="O95" s="4"/>
      <c r="Q95" s="4"/>
    </row>
    <row r="96" spans="1:17">
      <c r="A96" s="154">
        <v>10</v>
      </c>
      <c r="B96" s="67" t="s">
        <v>8708</v>
      </c>
      <c r="C96" s="4" t="s">
        <v>12385</v>
      </c>
      <c r="D96" s="150">
        <v>6441</v>
      </c>
      <c r="E96" s="150">
        <v>6438</v>
      </c>
      <c r="F96" s="150">
        <v>6445</v>
      </c>
      <c r="G96" s="48">
        <v>6457</v>
      </c>
      <c r="H96" s="48">
        <v>6499</v>
      </c>
      <c r="I96" s="48">
        <v>6408</v>
      </c>
      <c r="J96" s="48">
        <v>6276</v>
      </c>
      <c r="K96" s="48">
        <v>6527</v>
      </c>
      <c r="L96" s="48">
        <v>6528</v>
      </c>
      <c r="M96" s="65"/>
      <c r="N96" s="67" t="s">
        <v>6889</v>
      </c>
      <c r="O96" s="4"/>
      <c r="Q96" s="4"/>
    </row>
    <row r="97" spans="1:17">
      <c r="A97" s="154">
        <v>11</v>
      </c>
      <c r="B97" s="67" t="s">
        <v>8709</v>
      </c>
      <c r="C97" s="4" t="s">
        <v>12386</v>
      </c>
      <c r="D97" s="146">
        <v>6203</v>
      </c>
      <c r="E97" s="146">
        <v>6277</v>
      </c>
      <c r="F97" s="146">
        <v>6580</v>
      </c>
      <c r="G97" s="48">
        <v>6631</v>
      </c>
      <c r="H97" s="48">
        <v>6677</v>
      </c>
      <c r="I97" s="48">
        <v>6491</v>
      </c>
      <c r="J97" s="48">
        <v>6475</v>
      </c>
      <c r="K97" s="48">
        <v>6657</v>
      </c>
      <c r="L97" s="48">
        <v>6615</v>
      </c>
      <c r="M97" s="65"/>
      <c r="N97" s="67" t="s">
        <v>6880</v>
      </c>
      <c r="O97" s="4"/>
      <c r="Q97" s="4"/>
    </row>
    <row r="98" spans="1:17">
      <c r="A98" s="154">
        <v>12</v>
      </c>
      <c r="B98" s="67" t="s">
        <v>8710</v>
      </c>
      <c r="C98" s="4" t="s">
        <v>12387</v>
      </c>
      <c r="D98" s="146">
        <v>6785</v>
      </c>
      <c r="E98" s="146">
        <v>6754</v>
      </c>
      <c r="F98" s="146">
        <v>6779</v>
      </c>
      <c r="G98" s="48">
        <v>6841</v>
      </c>
      <c r="H98" s="48">
        <v>6838</v>
      </c>
      <c r="I98" s="48">
        <v>6676</v>
      </c>
      <c r="J98" s="48">
        <v>6469</v>
      </c>
      <c r="K98" s="48">
        <v>6641</v>
      </c>
      <c r="L98" s="48">
        <v>6636</v>
      </c>
      <c r="M98" s="65"/>
      <c r="N98" s="67" t="s">
        <v>6880</v>
      </c>
      <c r="O98" s="4"/>
      <c r="Q98" s="4"/>
    </row>
    <row r="99" spans="1:17">
      <c r="A99" s="154">
        <v>13</v>
      </c>
      <c r="B99" s="67" t="s">
        <v>8711</v>
      </c>
      <c r="C99" s="4" t="s">
        <v>12388</v>
      </c>
      <c r="D99" s="146">
        <v>4092</v>
      </c>
      <c r="E99" s="146">
        <v>4121</v>
      </c>
      <c r="F99" s="146">
        <v>4106</v>
      </c>
      <c r="G99" s="48">
        <v>4074</v>
      </c>
      <c r="H99" s="48">
        <v>4099</v>
      </c>
      <c r="I99" s="48">
        <v>3999</v>
      </c>
      <c r="J99" s="48">
        <v>3867</v>
      </c>
      <c r="K99" s="48">
        <v>4017</v>
      </c>
      <c r="L99" s="48">
        <v>3994</v>
      </c>
      <c r="M99" s="65"/>
      <c r="N99" s="67" t="s">
        <v>6880</v>
      </c>
      <c r="O99" s="4"/>
      <c r="Q99" s="4"/>
    </row>
    <row r="100" spans="1:17">
      <c r="A100" s="154">
        <v>14</v>
      </c>
      <c r="B100" s="67" t="s">
        <v>8712</v>
      </c>
      <c r="C100" s="4" t="s">
        <v>12389</v>
      </c>
      <c r="D100" s="146">
        <v>5573</v>
      </c>
      <c r="E100" s="146">
        <v>5544</v>
      </c>
      <c r="F100" s="146">
        <v>5539</v>
      </c>
      <c r="G100" s="48">
        <v>5593</v>
      </c>
      <c r="H100" s="48">
        <v>5581</v>
      </c>
      <c r="I100" s="48">
        <v>5388</v>
      </c>
      <c r="J100" s="48">
        <v>5203</v>
      </c>
      <c r="K100" s="48">
        <v>5286</v>
      </c>
      <c r="L100" s="48">
        <v>5314</v>
      </c>
      <c r="M100" s="65"/>
      <c r="N100" s="67" t="s">
        <v>6880</v>
      </c>
      <c r="O100" s="4"/>
      <c r="Q100" s="4"/>
    </row>
    <row r="101" spans="1:17">
      <c r="A101" s="154">
        <v>15</v>
      </c>
      <c r="B101" s="67" t="s">
        <v>8713</v>
      </c>
      <c r="C101" s="4" t="s">
        <v>12390</v>
      </c>
      <c r="D101" s="146">
        <v>3990</v>
      </c>
      <c r="E101" s="146">
        <v>3954</v>
      </c>
      <c r="F101" s="146">
        <v>4018</v>
      </c>
      <c r="G101" s="48">
        <v>4077</v>
      </c>
      <c r="H101" s="48">
        <v>4238</v>
      </c>
      <c r="I101" s="48">
        <v>4014</v>
      </c>
      <c r="J101" s="48">
        <v>3822</v>
      </c>
      <c r="K101" s="48">
        <v>4081</v>
      </c>
      <c r="L101" s="48">
        <v>4207</v>
      </c>
      <c r="M101" s="65"/>
      <c r="N101" s="67" t="s">
        <v>6880</v>
      </c>
      <c r="O101" s="4"/>
      <c r="Q101" s="4"/>
    </row>
    <row r="102" spans="1:17">
      <c r="A102" s="154">
        <v>16</v>
      </c>
      <c r="B102" s="67" t="s">
        <v>1279</v>
      </c>
      <c r="C102" s="4" t="s">
        <v>12391</v>
      </c>
      <c r="D102" s="146">
        <v>4063</v>
      </c>
      <c r="E102" s="146">
        <v>4093</v>
      </c>
      <c r="F102" s="146">
        <v>4172</v>
      </c>
      <c r="G102" s="48">
        <v>4168</v>
      </c>
      <c r="H102" s="48">
        <v>4202</v>
      </c>
      <c r="I102" s="48">
        <v>3963</v>
      </c>
      <c r="J102" s="48">
        <v>3723</v>
      </c>
      <c r="K102" s="48">
        <v>3804</v>
      </c>
      <c r="L102" s="48">
        <v>3818</v>
      </c>
      <c r="M102" s="65"/>
      <c r="N102" s="67" t="s">
        <v>6880</v>
      </c>
      <c r="O102" s="4"/>
      <c r="Q102" s="4"/>
    </row>
    <row r="103" spans="1:17">
      <c r="A103" s="154">
        <v>17</v>
      </c>
      <c r="B103" s="67" t="s">
        <v>8714</v>
      </c>
      <c r="C103" s="4" t="s">
        <v>12392</v>
      </c>
      <c r="D103" s="146">
        <v>3868</v>
      </c>
      <c r="E103" s="146">
        <v>3897</v>
      </c>
      <c r="F103" s="146">
        <v>3967</v>
      </c>
      <c r="G103" s="48">
        <v>3990</v>
      </c>
      <c r="H103" s="48">
        <v>4008</v>
      </c>
      <c r="I103" s="48">
        <v>3968</v>
      </c>
      <c r="J103" s="48">
        <v>3930</v>
      </c>
      <c r="K103" s="48">
        <v>4030</v>
      </c>
      <c r="L103" s="48">
        <v>4032</v>
      </c>
      <c r="M103" s="65"/>
      <c r="N103" s="67" t="s">
        <v>6880</v>
      </c>
      <c r="O103" s="4"/>
      <c r="Q103" s="4"/>
    </row>
    <row r="104" spans="1:17">
      <c r="A104" s="154">
        <v>18</v>
      </c>
      <c r="B104" s="67" t="s">
        <v>8715</v>
      </c>
      <c r="C104" s="4" t="s">
        <v>12393</v>
      </c>
      <c r="D104" s="146">
        <v>6804</v>
      </c>
      <c r="E104" s="146">
        <v>6760</v>
      </c>
      <c r="F104" s="146">
        <v>6803</v>
      </c>
      <c r="G104" s="48">
        <v>6814</v>
      </c>
      <c r="H104" s="48">
        <v>6863</v>
      </c>
      <c r="I104" s="48">
        <v>6755</v>
      </c>
      <c r="J104" s="48">
        <v>6748</v>
      </c>
      <c r="K104" s="48">
        <v>6859</v>
      </c>
      <c r="L104" s="48">
        <v>6958</v>
      </c>
      <c r="M104" s="65"/>
      <c r="N104" s="67" t="s">
        <v>6880</v>
      </c>
      <c r="O104" s="4"/>
      <c r="Q104" s="4"/>
    </row>
    <row r="105" spans="1:17">
      <c r="A105" s="154">
        <v>19</v>
      </c>
      <c r="B105" s="67" t="s">
        <v>8716</v>
      </c>
      <c r="C105" s="4" t="s">
        <v>12394</v>
      </c>
      <c r="D105" s="146">
        <v>2114</v>
      </c>
      <c r="E105" s="146">
        <v>2121</v>
      </c>
      <c r="F105" s="146">
        <v>2136</v>
      </c>
      <c r="G105" s="48">
        <v>2248</v>
      </c>
      <c r="H105" s="48">
        <v>2350</v>
      </c>
      <c r="I105" s="48">
        <v>2327</v>
      </c>
      <c r="J105" s="48">
        <v>2350</v>
      </c>
      <c r="K105" s="48">
        <v>2550</v>
      </c>
      <c r="L105" s="48">
        <v>2685</v>
      </c>
      <c r="M105" s="65"/>
      <c r="N105" s="67" t="s">
        <v>6880</v>
      </c>
      <c r="O105" s="4"/>
      <c r="Q105" s="4"/>
    </row>
    <row r="106" spans="1:17">
      <c r="A106" s="154">
        <v>20</v>
      </c>
      <c r="B106" s="67" t="s">
        <v>8717</v>
      </c>
      <c r="C106" s="4" t="s">
        <v>12395</v>
      </c>
      <c r="D106" s="146">
        <v>2167</v>
      </c>
      <c r="E106" s="146">
        <v>2160</v>
      </c>
      <c r="F106" s="146">
        <v>2181</v>
      </c>
      <c r="G106" s="48">
        <v>2172</v>
      </c>
      <c r="H106" s="48">
        <v>2182</v>
      </c>
      <c r="I106" s="48">
        <v>2149</v>
      </c>
      <c r="J106" s="48">
        <v>2127</v>
      </c>
      <c r="K106" s="48">
        <v>2211</v>
      </c>
      <c r="L106" s="48">
        <v>2269</v>
      </c>
      <c r="M106" s="65"/>
      <c r="N106" s="67" t="s">
        <v>6889</v>
      </c>
      <c r="O106" s="4"/>
      <c r="Q106" s="4"/>
    </row>
    <row r="107" spans="1:17">
      <c r="A107" s="154">
        <v>21</v>
      </c>
      <c r="B107" s="67" t="s">
        <v>5184</v>
      </c>
      <c r="C107" s="4" t="s">
        <v>12396</v>
      </c>
      <c r="D107" s="146">
        <v>3968</v>
      </c>
      <c r="E107" s="146">
        <v>3969</v>
      </c>
      <c r="F107" s="146">
        <v>3945</v>
      </c>
      <c r="G107" s="48">
        <v>3949</v>
      </c>
      <c r="H107" s="48">
        <v>3955</v>
      </c>
      <c r="I107" s="48">
        <v>3888</v>
      </c>
      <c r="J107" s="48">
        <v>3822</v>
      </c>
      <c r="K107" s="48">
        <v>3929</v>
      </c>
      <c r="L107" s="48">
        <v>3938</v>
      </c>
      <c r="M107" s="65"/>
      <c r="N107" s="67" t="s">
        <v>6889</v>
      </c>
      <c r="O107" s="4"/>
      <c r="Q107" s="4"/>
    </row>
    <row r="108" spans="1:17">
      <c r="A108" s="154">
        <v>22</v>
      </c>
      <c r="B108" s="67" t="s">
        <v>5185</v>
      </c>
      <c r="C108" s="4" t="s">
        <v>12397</v>
      </c>
      <c r="D108" s="146">
        <v>2199</v>
      </c>
      <c r="E108" s="146">
        <v>2177</v>
      </c>
      <c r="F108" s="146">
        <v>2148</v>
      </c>
      <c r="G108" s="48">
        <v>2178</v>
      </c>
      <c r="H108" s="48">
        <v>2156</v>
      </c>
      <c r="I108" s="48">
        <v>2133</v>
      </c>
      <c r="J108" s="48">
        <v>2149</v>
      </c>
      <c r="K108" s="48">
        <v>2230</v>
      </c>
      <c r="L108" s="48">
        <v>2321</v>
      </c>
      <c r="M108" s="65"/>
      <c r="N108" s="67" t="s">
        <v>6889</v>
      </c>
      <c r="O108" s="4"/>
      <c r="Q108" s="4"/>
    </row>
    <row r="109" spans="1:17">
      <c r="A109" s="154">
        <v>23</v>
      </c>
      <c r="B109" s="67" t="s">
        <v>5186</v>
      </c>
      <c r="C109" s="4" t="s">
        <v>12398</v>
      </c>
      <c r="D109" s="146">
        <v>4169</v>
      </c>
      <c r="E109" s="146">
        <v>4096</v>
      </c>
      <c r="F109" s="146">
        <v>4111</v>
      </c>
      <c r="G109" s="48">
        <v>4156</v>
      </c>
      <c r="H109" s="48">
        <v>4127</v>
      </c>
      <c r="I109" s="48">
        <v>4077</v>
      </c>
      <c r="J109" s="48">
        <v>4017</v>
      </c>
      <c r="K109" s="48">
        <v>4166</v>
      </c>
      <c r="L109" s="48">
        <v>4197</v>
      </c>
      <c r="M109" s="65"/>
      <c r="N109" s="67" t="s">
        <v>6889</v>
      </c>
      <c r="O109" s="4"/>
      <c r="Q109" s="4"/>
    </row>
    <row r="110" spans="1:17">
      <c r="A110" s="154">
        <v>24</v>
      </c>
      <c r="B110" s="66" t="s">
        <v>7621</v>
      </c>
      <c r="C110" s="4" t="s">
        <v>12399</v>
      </c>
      <c r="D110" s="146">
        <v>4116</v>
      </c>
      <c r="E110" s="146">
        <v>4149</v>
      </c>
      <c r="F110" s="146">
        <v>4124</v>
      </c>
      <c r="G110" s="48">
        <v>4152</v>
      </c>
      <c r="H110" s="48">
        <v>4176</v>
      </c>
      <c r="I110" s="48">
        <v>4142</v>
      </c>
      <c r="J110" s="48">
        <v>4135</v>
      </c>
      <c r="K110" s="48">
        <v>4289</v>
      </c>
      <c r="L110" s="48">
        <v>4338</v>
      </c>
      <c r="M110" s="65"/>
      <c r="N110" s="67" t="s">
        <v>6880</v>
      </c>
      <c r="O110" s="4"/>
      <c r="Q110" s="4"/>
    </row>
    <row r="111" spans="1:17">
      <c r="A111" s="154">
        <v>25</v>
      </c>
      <c r="B111" s="67" t="s">
        <v>5187</v>
      </c>
      <c r="C111" s="4" t="s">
        <v>12400</v>
      </c>
      <c r="D111" s="146">
        <v>4131</v>
      </c>
      <c r="E111" s="146">
        <v>4072</v>
      </c>
      <c r="F111" s="146">
        <v>4093</v>
      </c>
      <c r="G111" s="48">
        <v>4078</v>
      </c>
      <c r="H111" s="48">
        <v>4132</v>
      </c>
      <c r="I111" s="48">
        <v>3964</v>
      </c>
      <c r="J111" s="48">
        <v>3728</v>
      </c>
      <c r="K111" s="48">
        <v>3890</v>
      </c>
      <c r="L111" s="48">
        <v>4036</v>
      </c>
      <c r="M111" s="65"/>
      <c r="N111" s="67" t="s">
        <v>6880</v>
      </c>
      <c r="O111" s="4"/>
      <c r="Q111" s="4"/>
    </row>
    <row r="112" spans="1:17">
      <c r="A112" s="65"/>
      <c r="B112" s="65"/>
      <c r="C112" s="67"/>
      <c r="D112" s="146"/>
      <c r="E112" s="146"/>
      <c r="F112" s="146"/>
      <c r="G112" s="146"/>
      <c r="H112" s="146"/>
      <c r="I112" s="146"/>
      <c r="J112" s="146"/>
      <c r="K112" s="146"/>
      <c r="L112" s="146"/>
      <c r="M112" s="65"/>
      <c r="N112" s="67"/>
    </row>
    <row r="113" spans="1:17">
      <c r="A113" s="67" t="s">
        <v>6880</v>
      </c>
      <c r="C113" s="67"/>
      <c r="D113" s="146">
        <f t="shared" ref="D113:I113" si="143">D87+D88+SUM(D90:D92)+SUM(D97:D105)+D110+D111</f>
        <v>72682</v>
      </c>
      <c r="E113" s="146">
        <f t="shared" si="143"/>
        <v>72561</v>
      </c>
      <c r="F113" s="146">
        <f t="shared" si="143"/>
        <v>73382</v>
      </c>
      <c r="G113" s="146">
        <f t="shared" si="143"/>
        <v>73848</v>
      </c>
      <c r="H113" s="146">
        <f t="shared" si="143"/>
        <v>74445</v>
      </c>
      <c r="I113" s="146">
        <f t="shared" si="143"/>
        <v>72388</v>
      </c>
      <c r="J113" s="146">
        <f t="shared" ref="J113:K113" si="144">J87+J88+SUM(J90:J92)+SUM(J97:J105)+J110+J111</f>
        <v>70695</v>
      </c>
      <c r="K113" s="146">
        <f t="shared" si="144"/>
        <v>73051</v>
      </c>
      <c r="L113" s="146">
        <f t="shared" ref="L113" si="145">L87+L88+SUM(L90:L92)+SUM(L97:L105)+L110+L111</f>
        <v>73736</v>
      </c>
      <c r="M113" s="65"/>
      <c r="N113" s="67"/>
    </row>
    <row r="114" spans="1:17">
      <c r="A114" s="67" t="s">
        <v>5188</v>
      </c>
      <c r="D114" s="146">
        <f t="shared" ref="D114:I114" si="146">D89+SUM(D93:D96)+SUM(D106:D109)</f>
        <v>34314</v>
      </c>
      <c r="E114" s="146">
        <f t="shared" si="146"/>
        <v>34283</v>
      </c>
      <c r="F114" s="146">
        <f t="shared" si="146"/>
        <v>34372</v>
      </c>
      <c r="G114" s="146">
        <f t="shared" si="146"/>
        <v>34503</v>
      </c>
      <c r="H114" s="146">
        <f t="shared" si="146"/>
        <v>34582</v>
      </c>
      <c r="I114" s="146">
        <f t="shared" si="146"/>
        <v>34086</v>
      </c>
      <c r="J114" s="146">
        <f t="shared" ref="J114:K114" si="147">J89+SUM(J93:J96)+SUM(J106:J109)</f>
        <v>33557</v>
      </c>
      <c r="K114" s="146">
        <f t="shared" si="147"/>
        <v>34769</v>
      </c>
      <c r="L114" s="146">
        <f t="shared" ref="L114" si="148">L89+SUM(L93:L96)+SUM(L106:L109)</f>
        <v>35133</v>
      </c>
      <c r="M114" s="65"/>
      <c r="N114" s="65"/>
    </row>
    <row r="115" spans="1:17">
      <c r="A115" s="67"/>
      <c r="B115" s="67"/>
      <c r="M115" s="65"/>
      <c r="N115" s="65"/>
    </row>
    <row r="116" spans="1:17">
      <c r="A116" s="66" t="s">
        <v>6097</v>
      </c>
      <c r="M116" s="65"/>
      <c r="N116" s="65"/>
    </row>
    <row r="117" spans="1:17">
      <c r="A117" s="67"/>
      <c r="B117" s="67"/>
      <c r="C117" s="65"/>
      <c r="D117" s="155"/>
      <c r="E117" s="155"/>
      <c r="F117" s="155"/>
      <c r="G117" s="155"/>
      <c r="H117" s="155"/>
      <c r="I117" s="155"/>
      <c r="J117" s="155"/>
      <c r="K117" s="155"/>
      <c r="L117" s="155"/>
      <c r="M117" s="65"/>
      <c r="N117" s="65"/>
    </row>
    <row r="118" spans="1:17">
      <c r="C118" s="65"/>
      <c r="D118" s="155"/>
      <c r="E118" s="155"/>
      <c r="F118" s="155"/>
      <c r="G118" s="155"/>
      <c r="H118" s="155"/>
      <c r="I118" s="155"/>
      <c r="J118" s="155"/>
      <c r="K118" s="155"/>
      <c r="L118" s="155"/>
      <c r="M118" s="65"/>
      <c r="N118" s="65"/>
    </row>
    <row r="119" spans="1:17">
      <c r="A119" s="65"/>
      <c r="B119" s="65"/>
      <c r="E119" s="42" t="s">
        <v>2303</v>
      </c>
      <c r="F119" s="42"/>
      <c r="G119" s="42"/>
      <c r="H119" s="42"/>
      <c r="I119" s="42"/>
      <c r="J119" s="42"/>
      <c r="K119" s="42"/>
      <c r="L119" s="42"/>
      <c r="M119" s="153"/>
      <c r="N119" s="109" t="s">
        <v>13319</v>
      </c>
    </row>
    <row r="120" spans="1:17">
      <c r="A120" s="65"/>
      <c r="B120" s="65"/>
      <c r="C120" s="65"/>
      <c r="D120" s="110">
        <v>2010</v>
      </c>
      <c r="E120" s="110">
        <v>2011</v>
      </c>
      <c r="F120" s="110">
        <v>2012</v>
      </c>
      <c r="G120" s="110">
        <v>2013</v>
      </c>
      <c r="H120" s="110">
        <v>2014</v>
      </c>
      <c r="I120" s="110">
        <v>2015</v>
      </c>
      <c r="J120" s="110">
        <v>2016</v>
      </c>
      <c r="K120" s="110">
        <v>2017</v>
      </c>
      <c r="L120" s="110">
        <v>2018</v>
      </c>
      <c r="M120" s="111"/>
      <c r="N120" s="112" t="s">
        <v>2304</v>
      </c>
    </row>
    <row r="121" spans="1:17">
      <c r="A121" s="67" t="s">
        <v>6098</v>
      </c>
      <c r="C121" s="65"/>
      <c r="D121" s="146">
        <f t="shared" ref="D121:I121" si="149">SUM(D122:D151)</f>
        <v>101416</v>
      </c>
      <c r="E121" s="146">
        <f t="shared" si="149"/>
        <v>102932</v>
      </c>
      <c r="F121" s="146">
        <f t="shared" si="149"/>
        <v>101872</v>
      </c>
      <c r="G121" s="146">
        <f t="shared" si="149"/>
        <v>103019</v>
      </c>
      <c r="H121" s="146">
        <f t="shared" si="149"/>
        <v>100180</v>
      </c>
      <c r="I121" s="146">
        <f t="shared" si="149"/>
        <v>100388</v>
      </c>
      <c r="J121" s="146">
        <f t="shared" ref="J121:K121" si="150">SUM(J122:J151)</f>
        <v>101155</v>
      </c>
      <c r="K121" s="146">
        <f t="shared" si="150"/>
        <v>106579</v>
      </c>
      <c r="L121" s="146">
        <f t="shared" ref="L121" si="151">SUM(L122:L151)</f>
        <v>106632</v>
      </c>
      <c r="M121" s="65"/>
      <c r="N121" s="65"/>
    </row>
    <row r="122" spans="1:17">
      <c r="A122" s="154">
        <v>1</v>
      </c>
      <c r="B122" s="67" t="s">
        <v>4299</v>
      </c>
      <c r="C122" s="4" t="s">
        <v>12401</v>
      </c>
      <c r="D122" s="146">
        <v>5519</v>
      </c>
      <c r="E122" s="146">
        <v>5642</v>
      </c>
      <c r="F122" s="146">
        <v>5591</v>
      </c>
      <c r="G122" s="146">
        <v>5641</v>
      </c>
      <c r="H122" s="48">
        <v>5613</v>
      </c>
      <c r="I122" s="31">
        <v>5587</v>
      </c>
      <c r="J122" s="48">
        <v>5431</v>
      </c>
      <c r="K122" s="48">
        <v>5663</v>
      </c>
      <c r="L122" s="48">
        <v>5640</v>
      </c>
      <c r="M122" s="65"/>
      <c r="N122" s="67" t="s">
        <v>6882</v>
      </c>
      <c r="O122" s="4"/>
      <c r="Q122" s="4"/>
    </row>
    <row r="123" spans="1:17">
      <c r="A123" s="154">
        <v>2</v>
      </c>
      <c r="B123" s="67" t="s">
        <v>4300</v>
      </c>
      <c r="C123" s="4" t="s">
        <v>12402</v>
      </c>
      <c r="D123" s="146">
        <v>6989</v>
      </c>
      <c r="E123" s="146">
        <v>7090</v>
      </c>
      <c r="F123" s="146">
        <v>7031</v>
      </c>
      <c r="G123" s="146">
        <v>7076</v>
      </c>
      <c r="H123" s="48">
        <v>6547</v>
      </c>
      <c r="I123" s="31">
        <v>6589</v>
      </c>
      <c r="J123" s="48">
        <v>6537</v>
      </c>
      <c r="K123" s="48">
        <v>6872</v>
      </c>
      <c r="L123" s="48">
        <v>6813</v>
      </c>
      <c r="M123" s="65"/>
      <c r="N123" s="67" t="s">
        <v>6882</v>
      </c>
      <c r="O123" s="4"/>
      <c r="Q123" s="4"/>
    </row>
    <row r="124" spans="1:17">
      <c r="A124" s="154">
        <v>3</v>
      </c>
      <c r="B124" s="67" t="s">
        <v>4301</v>
      </c>
      <c r="C124" s="4" t="s">
        <v>12403</v>
      </c>
      <c r="D124" s="146">
        <v>4255</v>
      </c>
      <c r="E124" s="146">
        <v>4317</v>
      </c>
      <c r="F124" s="146">
        <v>4244</v>
      </c>
      <c r="G124" s="146">
        <v>4312</v>
      </c>
      <c r="H124" s="48">
        <v>4173</v>
      </c>
      <c r="I124" s="31">
        <v>4131</v>
      </c>
      <c r="J124" s="48">
        <v>4090</v>
      </c>
      <c r="K124" s="48">
        <v>4286</v>
      </c>
      <c r="L124" s="48">
        <v>4237</v>
      </c>
      <c r="M124" s="65"/>
      <c r="N124" s="67" t="s">
        <v>6882</v>
      </c>
      <c r="O124" s="4"/>
      <c r="Q124" s="4"/>
    </row>
    <row r="125" spans="1:17">
      <c r="A125" s="154">
        <v>4</v>
      </c>
      <c r="B125" s="67" t="s">
        <v>4302</v>
      </c>
      <c r="C125" s="4" t="s">
        <v>12404</v>
      </c>
      <c r="D125" s="146">
        <v>4029</v>
      </c>
      <c r="E125" s="146">
        <v>4032</v>
      </c>
      <c r="F125" s="146">
        <v>4025</v>
      </c>
      <c r="G125" s="146">
        <v>4012</v>
      </c>
      <c r="H125" s="48">
        <v>3948</v>
      </c>
      <c r="I125" s="31">
        <v>3983</v>
      </c>
      <c r="J125" s="48">
        <v>3949</v>
      </c>
      <c r="K125" s="48">
        <v>4101</v>
      </c>
      <c r="L125" s="48">
        <v>4053</v>
      </c>
      <c r="M125" s="65"/>
      <c r="N125" s="67" t="s">
        <v>6882</v>
      </c>
      <c r="O125" s="4"/>
      <c r="Q125" s="4"/>
    </row>
    <row r="126" spans="1:17">
      <c r="A126" s="154">
        <v>5</v>
      </c>
      <c r="B126" s="67" t="s">
        <v>4303</v>
      </c>
      <c r="C126" s="4" t="s">
        <v>12405</v>
      </c>
      <c r="D126" s="146">
        <v>6365</v>
      </c>
      <c r="E126" s="146">
        <v>6440</v>
      </c>
      <c r="F126" s="146">
        <v>6396</v>
      </c>
      <c r="G126" s="146">
        <v>6424</v>
      </c>
      <c r="H126" s="48">
        <v>6333</v>
      </c>
      <c r="I126" s="31">
        <v>6300</v>
      </c>
      <c r="J126" s="48">
        <v>6199</v>
      </c>
      <c r="K126" s="48">
        <v>6476</v>
      </c>
      <c r="L126" s="48">
        <v>6427</v>
      </c>
      <c r="M126" s="65"/>
      <c r="N126" s="67" t="s">
        <v>6882</v>
      </c>
      <c r="O126" s="4"/>
      <c r="Q126" s="4"/>
    </row>
    <row r="127" spans="1:17">
      <c r="A127" s="154">
        <v>6</v>
      </c>
      <c r="B127" s="67" t="s">
        <v>4304</v>
      </c>
      <c r="C127" s="4" t="s">
        <v>12406</v>
      </c>
      <c r="D127" s="146">
        <v>1938</v>
      </c>
      <c r="E127" s="146">
        <v>1996</v>
      </c>
      <c r="F127" s="146">
        <v>1986</v>
      </c>
      <c r="G127" s="146">
        <v>2040</v>
      </c>
      <c r="H127" s="48">
        <v>2041</v>
      </c>
      <c r="I127" s="31">
        <v>2044</v>
      </c>
      <c r="J127" s="48">
        <v>2061</v>
      </c>
      <c r="K127" s="48">
        <v>2163</v>
      </c>
      <c r="L127" s="48">
        <v>2153</v>
      </c>
      <c r="M127" s="65"/>
      <c r="N127" s="67" t="s">
        <v>6888</v>
      </c>
      <c r="O127" s="4"/>
      <c r="Q127" s="4"/>
    </row>
    <row r="128" spans="1:17">
      <c r="A128" s="154">
        <v>7</v>
      </c>
      <c r="B128" s="67" t="s">
        <v>4305</v>
      </c>
      <c r="C128" s="4" t="s">
        <v>12407</v>
      </c>
      <c r="D128" s="146">
        <v>4043</v>
      </c>
      <c r="E128" s="146">
        <v>4122</v>
      </c>
      <c r="F128" s="146">
        <v>4073</v>
      </c>
      <c r="G128" s="146">
        <v>4197</v>
      </c>
      <c r="H128" s="48">
        <v>4002</v>
      </c>
      <c r="I128" s="31">
        <v>4074</v>
      </c>
      <c r="J128" s="48">
        <v>4289</v>
      </c>
      <c r="K128" s="48">
        <v>4621</v>
      </c>
      <c r="L128" s="48">
        <v>4870</v>
      </c>
      <c r="M128" s="65"/>
      <c r="N128" s="67" t="s">
        <v>6888</v>
      </c>
      <c r="O128" s="4"/>
      <c r="Q128" s="4"/>
    </row>
    <row r="129" spans="1:17">
      <c r="A129" s="154">
        <v>8</v>
      </c>
      <c r="B129" s="67" t="s">
        <v>4306</v>
      </c>
      <c r="C129" s="4" t="s">
        <v>12408</v>
      </c>
      <c r="D129" s="146">
        <v>1908</v>
      </c>
      <c r="E129" s="146">
        <v>1937</v>
      </c>
      <c r="F129" s="146">
        <v>1926</v>
      </c>
      <c r="G129" s="146">
        <v>1957</v>
      </c>
      <c r="H129" s="48">
        <v>1926</v>
      </c>
      <c r="I129" s="31">
        <v>1918</v>
      </c>
      <c r="J129" s="48">
        <v>1911</v>
      </c>
      <c r="K129" s="48">
        <v>1948</v>
      </c>
      <c r="L129" s="48">
        <v>1952</v>
      </c>
      <c r="M129" s="65"/>
      <c r="N129" s="67" t="s">
        <v>6892</v>
      </c>
      <c r="O129" s="4"/>
      <c r="Q129" s="4"/>
    </row>
    <row r="130" spans="1:17">
      <c r="A130" s="154">
        <v>9</v>
      </c>
      <c r="B130" s="67" t="s">
        <v>4307</v>
      </c>
      <c r="C130" s="4" t="s">
        <v>12409</v>
      </c>
      <c r="D130" s="146">
        <v>2076</v>
      </c>
      <c r="E130" s="146">
        <v>2118</v>
      </c>
      <c r="F130" s="146">
        <v>2061</v>
      </c>
      <c r="G130" s="146">
        <v>2097</v>
      </c>
      <c r="H130" s="48">
        <v>2159</v>
      </c>
      <c r="I130" s="31">
        <v>2157</v>
      </c>
      <c r="J130" s="48">
        <v>2173</v>
      </c>
      <c r="K130" s="48">
        <v>2233</v>
      </c>
      <c r="L130" s="48">
        <v>2164</v>
      </c>
      <c r="M130" s="65"/>
      <c r="N130" s="67" t="s">
        <v>6882</v>
      </c>
      <c r="O130" s="4"/>
      <c r="Q130" s="4"/>
    </row>
    <row r="131" spans="1:17">
      <c r="A131" s="154">
        <v>10</v>
      </c>
      <c r="B131" s="67" t="s">
        <v>4308</v>
      </c>
      <c r="C131" s="4" t="s">
        <v>12410</v>
      </c>
      <c r="D131" s="146">
        <v>5791</v>
      </c>
      <c r="E131" s="146">
        <v>5784</v>
      </c>
      <c r="F131" s="146">
        <v>5778</v>
      </c>
      <c r="G131" s="146">
        <v>5879</v>
      </c>
      <c r="H131" s="48">
        <v>5725</v>
      </c>
      <c r="I131" s="31">
        <v>5756</v>
      </c>
      <c r="J131" s="48">
        <v>5681</v>
      </c>
      <c r="K131" s="48">
        <v>5953</v>
      </c>
      <c r="L131" s="48">
        <v>5999</v>
      </c>
      <c r="M131" s="65"/>
      <c r="N131" s="67" t="s">
        <v>6882</v>
      </c>
      <c r="O131" s="4"/>
      <c r="Q131" s="4"/>
    </row>
    <row r="132" spans="1:17">
      <c r="A132" s="154">
        <v>11</v>
      </c>
      <c r="B132" s="67" t="s">
        <v>4309</v>
      </c>
      <c r="C132" s="4" t="s">
        <v>12411</v>
      </c>
      <c r="D132" s="146">
        <v>5967</v>
      </c>
      <c r="E132" s="146">
        <v>6192</v>
      </c>
      <c r="F132" s="146">
        <v>6117</v>
      </c>
      <c r="G132" s="146">
        <v>6259</v>
      </c>
      <c r="H132" s="48">
        <v>5938</v>
      </c>
      <c r="I132" s="31">
        <v>5993</v>
      </c>
      <c r="J132" s="48">
        <v>6252</v>
      </c>
      <c r="K132" s="48">
        <v>6772</v>
      </c>
      <c r="L132" s="48">
        <v>6897</v>
      </c>
      <c r="M132" s="65"/>
      <c r="N132" s="67" t="s">
        <v>6882</v>
      </c>
      <c r="O132" s="4"/>
      <c r="Q132" s="4"/>
    </row>
    <row r="133" spans="1:17">
      <c r="A133" s="154">
        <v>12</v>
      </c>
      <c r="B133" s="66" t="s">
        <v>4323</v>
      </c>
      <c r="C133" s="4" t="s">
        <v>12412</v>
      </c>
      <c r="D133" s="146">
        <v>2174</v>
      </c>
      <c r="E133" s="146">
        <v>2158</v>
      </c>
      <c r="F133" s="146">
        <v>2091</v>
      </c>
      <c r="G133" s="146">
        <v>2148</v>
      </c>
      <c r="H133" s="48">
        <v>2163</v>
      </c>
      <c r="I133" s="31">
        <v>2151</v>
      </c>
      <c r="J133" s="48">
        <v>2137</v>
      </c>
      <c r="K133" s="48">
        <v>2249</v>
      </c>
      <c r="L133" s="48">
        <v>2258</v>
      </c>
      <c r="M133" s="65"/>
      <c r="N133" s="67" t="s">
        <v>6882</v>
      </c>
      <c r="O133" s="4"/>
      <c r="Q133" s="4"/>
    </row>
    <row r="134" spans="1:17">
      <c r="A134" s="154">
        <v>13</v>
      </c>
      <c r="B134" s="67" t="s">
        <v>4324</v>
      </c>
      <c r="C134" s="4" t="s">
        <v>12413</v>
      </c>
      <c r="D134" s="146">
        <v>3932</v>
      </c>
      <c r="E134" s="146">
        <v>3891</v>
      </c>
      <c r="F134" s="146">
        <v>3880</v>
      </c>
      <c r="G134" s="146">
        <v>3954</v>
      </c>
      <c r="H134" s="48">
        <v>3793</v>
      </c>
      <c r="I134" s="31">
        <v>3824</v>
      </c>
      <c r="J134" s="48">
        <v>3912</v>
      </c>
      <c r="K134" s="48">
        <v>4264</v>
      </c>
      <c r="L134" s="48">
        <v>4282</v>
      </c>
      <c r="M134" s="65"/>
      <c r="N134" s="67" t="s">
        <v>6882</v>
      </c>
      <c r="O134" s="4"/>
      <c r="Q134" s="4"/>
    </row>
    <row r="135" spans="1:17">
      <c r="A135" s="154">
        <v>14</v>
      </c>
      <c r="B135" s="67" t="s">
        <v>4325</v>
      </c>
      <c r="C135" s="4" t="s">
        <v>12414</v>
      </c>
      <c r="D135" s="146">
        <v>1787</v>
      </c>
      <c r="E135" s="146">
        <v>1796</v>
      </c>
      <c r="F135" s="146">
        <v>1778</v>
      </c>
      <c r="G135" s="146">
        <v>1787</v>
      </c>
      <c r="H135" s="48">
        <v>1672</v>
      </c>
      <c r="I135" s="31">
        <v>1710</v>
      </c>
      <c r="J135" s="48">
        <v>1769</v>
      </c>
      <c r="K135" s="48">
        <v>1854</v>
      </c>
      <c r="L135" s="48">
        <v>1831</v>
      </c>
      <c r="M135" s="65"/>
      <c r="N135" s="67" t="s">
        <v>6888</v>
      </c>
      <c r="O135" s="4"/>
      <c r="Q135" s="4"/>
    </row>
    <row r="136" spans="1:17">
      <c r="A136" s="154">
        <v>15</v>
      </c>
      <c r="B136" s="66" t="s">
        <v>4326</v>
      </c>
      <c r="C136" s="4" t="s">
        <v>12415</v>
      </c>
      <c r="D136" s="156">
        <v>1917</v>
      </c>
      <c r="E136" s="156">
        <v>1934</v>
      </c>
      <c r="F136" s="156">
        <v>1960</v>
      </c>
      <c r="G136" s="156">
        <v>1966</v>
      </c>
      <c r="H136" s="48">
        <v>1868</v>
      </c>
      <c r="I136" s="31">
        <v>1874</v>
      </c>
      <c r="J136" s="48">
        <v>1968</v>
      </c>
      <c r="K136" s="48">
        <v>2061</v>
      </c>
      <c r="L136" s="48">
        <v>2048</v>
      </c>
      <c r="M136" s="65"/>
      <c r="N136" s="67" t="s">
        <v>6888</v>
      </c>
      <c r="O136" s="4"/>
      <c r="Q136" s="4"/>
    </row>
    <row r="137" spans="1:17">
      <c r="A137" s="154">
        <v>16</v>
      </c>
      <c r="B137" s="67" t="s">
        <v>4327</v>
      </c>
      <c r="C137" s="4" t="s">
        <v>12416</v>
      </c>
      <c r="D137" s="146">
        <v>4122</v>
      </c>
      <c r="E137" s="146">
        <v>4174</v>
      </c>
      <c r="F137" s="146">
        <v>4051</v>
      </c>
      <c r="G137" s="146">
        <v>4082</v>
      </c>
      <c r="H137" s="48">
        <v>3960</v>
      </c>
      <c r="I137" s="31">
        <v>3949</v>
      </c>
      <c r="J137" s="48">
        <v>3921</v>
      </c>
      <c r="K137" s="48">
        <v>4082</v>
      </c>
      <c r="L137" s="48">
        <v>4029</v>
      </c>
      <c r="M137" s="65"/>
      <c r="N137" s="67" t="s">
        <v>6882</v>
      </c>
      <c r="O137" s="4"/>
      <c r="Q137" s="4"/>
    </row>
    <row r="138" spans="1:17">
      <c r="A138" s="154">
        <v>17</v>
      </c>
      <c r="B138" s="67" t="s">
        <v>4328</v>
      </c>
      <c r="C138" s="4" t="s">
        <v>12417</v>
      </c>
      <c r="D138" s="146">
        <v>2064</v>
      </c>
      <c r="E138" s="146">
        <v>2097</v>
      </c>
      <c r="F138" s="146">
        <v>2102</v>
      </c>
      <c r="G138" s="146">
        <v>2107</v>
      </c>
      <c r="H138" s="48">
        <v>2087</v>
      </c>
      <c r="I138" s="31">
        <v>2077</v>
      </c>
      <c r="J138" s="48">
        <v>2155</v>
      </c>
      <c r="K138" s="48">
        <v>2430</v>
      </c>
      <c r="L138" s="48">
        <v>2537</v>
      </c>
      <c r="M138" s="65"/>
      <c r="N138" s="67" t="s">
        <v>6882</v>
      </c>
      <c r="O138" s="4"/>
      <c r="Q138" s="4"/>
    </row>
    <row r="139" spans="1:17">
      <c r="A139" s="154">
        <v>18</v>
      </c>
      <c r="B139" s="67" t="s">
        <v>4329</v>
      </c>
      <c r="C139" s="4" t="s">
        <v>12418</v>
      </c>
      <c r="D139" s="146">
        <v>1781</v>
      </c>
      <c r="E139" s="146">
        <v>1850</v>
      </c>
      <c r="F139" s="146">
        <v>1830</v>
      </c>
      <c r="G139" s="146">
        <v>1818</v>
      </c>
      <c r="H139" s="48">
        <v>1783</v>
      </c>
      <c r="I139" s="31">
        <v>1779</v>
      </c>
      <c r="J139" s="48">
        <v>1857</v>
      </c>
      <c r="K139" s="48">
        <v>1960</v>
      </c>
      <c r="L139" s="48">
        <v>1972</v>
      </c>
      <c r="M139" s="65"/>
      <c r="N139" s="67" t="s">
        <v>6888</v>
      </c>
      <c r="O139" s="4"/>
      <c r="Q139" s="4"/>
    </row>
    <row r="140" spans="1:17">
      <c r="A140" s="154">
        <v>19</v>
      </c>
      <c r="B140" s="66" t="s">
        <v>4330</v>
      </c>
      <c r="C140" s="4" t="s">
        <v>12419</v>
      </c>
      <c r="D140" s="146">
        <v>1851</v>
      </c>
      <c r="E140" s="146">
        <v>1907</v>
      </c>
      <c r="F140" s="146">
        <v>1909</v>
      </c>
      <c r="G140" s="146">
        <v>1976</v>
      </c>
      <c r="H140" s="48">
        <v>1922</v>
      </c>
      <c r="I140" s="31">
        <v>1889</v>
      </c>
      <c r="J140" s="48">
        <v>1927</v>
      </c>
      <c r="K140" s="48">
        <v>1998</v>
      </c>
      <c r="L140" s="48">
        <v>2009</v>
      </c>
      <c r="M140" s="65"/>
      <c r="N140" s="67" t="s">
        <v>6888</v>
      </c>
      <c r="O140" s="4"/>
      <c r="Q140" s="4"/>
    </row>
    <row r="141" spans="1:17">
      <c r="A141" s="154">
        <v>20</v>
      </c>
      <c r="B141" s="67" t="s">
        <v>4331</v>
      </c>
      <c r="C141" s="4" t="s">
        <v>12420</v>
      </c>
      <c r="D141" s="146">
        <v>2175</v>
      </c>
      <c r="E141" s="146">
        <v>2212</v>
      </c>
      <c r="F141" s="146">
        <v>2159</v>
      </c>
      <c r="G141" s="146">
        <v>2157</v>
      </c>
      <c r="H141" s="48">
        <v>2045</v>
      </c>
      <c r="I141" s="31">
        <v>2081</v>
      </c>
      <c r="J141" s="48">
        <v>2082</v>
      </c>
      <c r="K141" s="48">
        <v>2222</v>
      </c>
      <c r="L141" s="48">
        <v>2225</v>
      </c>
      <c r="M141" s="65"/>
      <c r="N141" s="67" t="s">
        <v>6882</v>
      </c>
      <c r="O141" s="4"/>
      <c r="Q141" s="4"/>
    </row>
    <row r="142" spans="1:17">
      <c r="A142" s="154">
        <v>21</v>
      </c>
      <c r="B142" s="66" t="s">
        <v>4332</v>
      </c>
      <c r="C142" s="4" t="s">
        <v>12421</v>
      </c>
      <c r="D142" s="146">
        <v>1993</v>
      </c>
      <c r="E142" s="146">
        <v>2034</v>
      </c>
      <c r="F142" s="146">
        <v>1987</v>
      </c>
      <c r="G142" s="146">
        <v>1971</v>
      </c>
      <c r="H142" s="48">
        <v>1859</v>
      </c>
      <c r="I142" s="31">
        <v>1891</v>
      </c>
      <c r="J142" s="48">
        <v>2032</v>
      </c>
      <c r="K142" s="48">
        <v>2150</v>
      </c>
      <c r="L142" s="48">
        <v>2151</v>
      </c>
      <c r="M142" s="65"/>
      <c r="N142" s="67" t="s">
        <v>6888</v>
      </c>
      <c r="O142" s="4"/>
      <c r="Q142" s="4"/>
    </row>
    <row r="143" spans="1:17">
      <c r="A143" s="154">
        <v>22</v>
      </c>
      <c r="B143" s="67" t="s">
        <v>4333</v>
      </c>
      <c r="C143" s="4" t="s">
        <v>12422</v>
      </c>
      <c r="D143" s="146">
        <v>6428</v>
      </c>
      <c r="E143" s="146">
        <v>6555</v>
      </c>
      <c r="F143" s="146">
        <v>6523</v>
      </c>
      <c r="G143" s="146">
        <v>6572</v>
      </c>
      <c r="H143" s="48">
        <v>6326</v>
      </c>
      <c r="I143" s="31">
        <v>6383</v>
      </c>
      <c r="J143" s="48">
        <v>6511</v>
      </c>
      <c r="K143" s="48">
        <v>6741</v>
      </c>
      <c r="L143" s="48">
        <v>6757</v>
      </c>
      <c r="M143" s="65"/>
      <c r="N143" s="67" t="s">
        <v>6882</v>
      </c>
      <c r="O143" s="4"/>
      <c r="Q143" s="4"/>
    </row>
    <row r="144" spans="1:17">
      <c r="A144" s="154">
        <v>23</v>
      </c>
      <c r="B144" s="67" t="s">
        <v>4334</v>
      </c>
      <c r="C144" s="4" t="s">
        <v>12423</v>
      </c>
      <c r="D144" s="146">
        <v>2226</v>
      </c>
      <c r="E144" s="146">
        <v>2337</v>
      </c>
      <c r="F144" s="146">
        <v>2251</v>
      </c>
      <c r="G144" s="146">
        <v>2221</v>
      </c>
      <c r="H144" s="48">
        <v>2210</v>
      </c>
      <c r="I144" s="31">
        <v>2209</v>
      </c>
      <c r="J144" s="48">
        <v>2204</v>
      </c>
      <c r="K144" s="48">
        <v>2353</v>
      </c>
      <c r="L144" s="48">
        <v>2331</v>
      </c>
      <c r="M144" s="65"/>
      <c r="N144" s="67" t="s">
        <v>6882</v>
      </c>
      <c r="O144" s="4"/>
      <c r="Q144" s="4"/>
    </row>
    <row r="145" spans="1:17">
      <c r="A145" s="154">
        <v>24</v>
      </c>
      <c r="B145" s="67" t="s">
        <v>4335</v>
      </c>
      <c r="C145" s="4" t="s">
        <v>12424</v>
      </c>
      <c r="D145" s="146">
        <v>2251</v>
      </c>
      <c r="E145" s="146">
        <v>2265</v>
      </c>
      <c r="F145" s="146">
        <v>2215</v>
      </c>
      <c r="G145" s="146">
        <v>2200</v>
      </c>
      <c r="H145" s="48">
        <v>2098</v>
      </c>
      <c r="I145" s="31">
        <v>2129</v>
      </c>
      <c r="J145" s="48">
        <v>2180</v>
      </c>
      <c r="K145" s="48">
        <v>2376</v>
      </c>
      <c r="L145" s="48">
        <v>2449</v>
      </c>
      <c r="M145" s="65"/>
      <c r="N145" s="67" t="s">
        <v>6888</v>
      </c>
      <c r="P145" s="1"/>
      <c r="Q145" s="4"/>
    </row>
    <row r="146" spans="1:17">
      <c r="A146" s="154">
        <v>25</v>
      </c>
      <c r="B146" s="67" t="s">
        <v>4336</v>
      </c>
      <c r="C146" s="72" t="s">
        <v>13449</v>
      </c>
      <c r="D146" s="150">
        <v>2021</v>
      </c>
      <c r="E146" s="150">
        <v>2098</v>
      </c>
      <c r="F146" s="150">
        <v>2060</v>
      </c>
      <c r="G146" s="150">
        <v>2066</v>
      </c>
      <c r="H146" s="48">
        <v>2030</v>
      </c>
      <c r="I146" s="31">
        <v>2005</v>
      </c>
      <c r="J146" s="48">
        <v>2085</v>
      </c>
      <c r="K146" s="48">
        <v>2187</v>
      </c>
      <c r="L146" s="48">
        <v>2146</v>
      </c>
      <c r="M146" s="65"/>
      <c r="N146" s="67" t="s">
        <v>6888</v>
      </c>
      <c r="P146" s="1"/>
      <c r="Q146" s="4"/>
    </row>
    <row r="147" spans="1:17">
      <c r="A147" s="154">
        <v>26</v>
      </c>
      <c r="B147" s="67" t="s">
        <v>4337</v>
      </c>
      <c r="C147" s="4" t="s">
        <v>12425</v>
      </c>
      <c r="D147" s="146">
        <v>2217</v>
      </c>
      <c r="E147" s="146">
        <v>2305</v>
      </c>
      <c r="F147" s="146">
        <v>2274</v>
      </c>
      <c r="G147" s="146">
        <v>2381</v>
      </c>
      <c r="H147" s="48">
        <v>2342</v>
      </c>
      <c r="I147" s="31">
        <v>2342</v>
      </c>
      <c r="J147" s="48">
        <v>2312</v>
      </c>
      <c r="K147" s="48">
        <v>2417</v>
      </c>
      <c r="L147" s="48">
        <v>2348</v>
      </c>
      <c r="M147" s="65"/>
      <c r="N147" s="67" t="s">
        <v>6882</v>
      </c>
      <c r="O147" s="4"/>
      <c r="Q147" s="4"/>
    </row>
    <row r="148" spans="1:17">
      <c r="A148" s="154">
        <v>27</v>
      </c>
      <c r="B148" s="67" t="s">
        <v>4338</v>
      </c>
      <c r="C148" s="4" t="s">
        <v>12426</v>
      </c>
      <c r="D148" s="146">
        <v>3823</v>
      </c>
      <c r="E148" s="146">
        <v>3855</v>
      </c>
      <c r="F148" s="146">
        <v>3836</v>
      </c>
      <c r="G148" s="146">
        <v>3897</v>
      </c>
      <c r="H148" s="48">
        <v>3901</v>
      </c>
      <c r="I148" s="31">
        <v>3898</v>
      </c>
      <c r="J148" s="48">
        <v>3880</v>
      </c>
      <c r="K148" s="48">
        <v>4082</v>
      </c>
      <c r="L148" s="48">
        <v>4099</v>
      </c>
      <c r="M148" s="65"/>
      <c r="N148" s="67" t="s">
        <v>6882</v>
      </c>
      <c r="O148" s="4"/>
      <c r="Q148" s="4"/>
    </row>
    <row r="149" spans="1:17">
      <c r="A149" s="154">
        <v>28</v>
      </c>
      <c r="B149" s="67" t="s">
        <v>4339</v>
      </c>
      <c r="C149" s="4" t="s">
        <v>12427</v>
      </c>
      <c r="D149" s="146">
        <v>4110</v>
      </c>
      <c r="E149" s="146">
        <v>4086</v>
      </c>
      <c r="F149" s="146">
        <v>4070</v>
      </c>
      <c r="G149" s="146">
        <v>4085</v>
      </c>
      <c r="H149" s="48">
        <v>3975</v>
      </c>
      <c r="I149" s="31">
        <v>3913</v>
      </c>
      <c r="J149" s="48">
        <v>3850</v>
      </c>
      <c r="K149" s="48">
        <v>3999</v>
      </c>
      <c r="L149" s="48">
        <v>3951</v>
      </c>
      <c r="M149" s="65"/>
      <c r="N149" s="67" t="s">
        <v>6882</v>
      </c>
      <c r="O149" s="4"/>
      <c r="Q149" s="4"/>
    </row>
    <row r="150" spans="1:17">
      <c r="A150" s="154">
        <v>29</v>
      </c>
      <c r="B150" s="67" t="s">
        <v>4340</v>
      </c>
      <c r="C150" s="4" t="s">
        <v>12428</v>
      </c>
      <c r="D150" s="146">
        <v>3949</v>
      </c>
      <c r="E150" s="146">
        <v>3970</v>
      </c>
      <c r="F150" s="146">
        <v>3978</v>
      </c>
      <c r="G150" s="146">
        <v>4017</v>
      </c>
      <c r="H150" s="48">
        <v>3957</v>
      </c>
      <c r="I150" s="31">
        <v>3935</v>
      </c>
      <c r="J150" s="48">
        <v>3920</v>
      </c>
      <c r="K150" s="48">
        <v>4045</v>
      </c>
      <c r="L150" s="48">
        <v>4004</v>
      </c>
      <c r="M150" s="65"/>
      <c r="N150" s="67" t="s">
        <v>6882</v>
      </c>
      <c r="O150" s="4"/>
      <c r="Q150" s="4"/>
    </row>
    <row r="151" spans="1:17">
      <c r="A151" s="154">
        <v>30</v>
      </c>
      <c r="B151" s="67" t="s">
        <v>4341</v>
      </c>
      <c r="C151" s="4" t="s">
        <v>12429</v>
      </c>
      <c r="D151" s="146">
        <v>1715</v>
      </c>
      <c r="E151" s="146">
        <v>1738</v>
      </c>
      <c r="F151" s="146">
        <v>1690</v>
      </c>
      <c r="G151" s="146">
        <v>1720</v>
      </c>
      <c r="H151" s="48">
        <v>1784</v>
      </c>
      <c r="I151" s="31">
        <v>1817</v>
      </c>
      <c r="J151" s="48">
        <v>1880</v>
      </c>
      <c r="K151" s="48">
        <v>2021</v>
      </c>
      <c r="L151" s="48">
        <v>2000</v>
      </c>
      <c r="M151" s="65"/>
      <c r="N151" s="67" t="s">
        <v>6888</v>
      </c>
      <c r="O151" s="4"/>
      <c r="Q151" s="4"/>
    </row>
    <row r="152" spans="1:17">
      <c r="A152" s="65"/>
      <c r="B152" s="65"/>
      <c r="D152" s="147"/>
      <c r="E152" s="147"/>
      <c r="F152" s="147"/>
      <c r="G152" s="147"/>
      <c r="H152" s="147"/>
      <c r="I152" s="147"/>
      <c r="J152" s="147"/>
      <c r="K152" s="147"/>
      <c r="L152" s="147"/>
      <c r="M152" s="65"/>
      <c r="N152" s="65"/>
    </row>
    <row r="153" spans="1:17">
      <c r="A153" s="67" t="s">
        <v>6882</v>
      </c>
      <c r="D153" s="146">
        <f t="shared" ref="D153:I153" si="152">SUM(D122:D126)+SUM(D130:D134)+D137+D138+D141+D143+D144+SUM(D147:D150)</f>
        <v>78211</v>
      </c>
      <c r="E153" s="146">
        <f t="shared" si="152"/>
        <v>79255</v>
      </c>
      <c r="F153" s="146">
        <f t="shared" si="152"/>
        <v>78458</v>
      </c>
      <c r="G153" s="146">
        <f t="shared" si="152"/>
        <v>79321</v>
      </c>
      <c r="H153" s="146">
        <f t="shared" si="152"/>
        <v>77195</v>
      </c>
      <c r="I153" s="146">
        <f t="shared" si="152"/>
        <v>77258</v>
      </c>
      <c r="J153" s="146">
        <f t="shared" ref="J153:K153" si="153">SUM(J122:J126)+SUM(J130:J134)+J137+J138+J141+J143+J144+SUM(J147:J150)</f>
        <v>77196</v>
      </c>
      <c r="K153" s="146">
        <f t="shared" si="153"/>
        <v>81240</v>
      </c>
      <c r="L153" s="146">
        <f t="shared" ref="L153" si="154">SUM(L122:L126)+SUM(L130:L134)+L137+L138+L141+L143+L144+SUM(L147:L150)</f>
        <v>81051</v>
      </c>
      <c r="M153" s="65"/>
      <c r="N153" s="65"/>
    </row>
    <row r="154" spans="1:17">
      <c r="A154" s="67" t="s">
        <v>6104</v>
      </c>
      <c r="D154" s="146">
        <f t="shared" ref="D154:I154" si="155">D127+D128+D135+D136+D139+D140+D142+D145+D146+D151</f>
        <v>21297</v>
      </c>
      <c r="E154" s="146">
        <f t="shared" si="155"/>
        <v>21740</v>
      </c>
      <c r="F154" s="146">
        <f t="shared" si="155"/>
        <v>21488</v>
      </c>
      <c r="G154" s="146">
        <f t="shared" si="155"/>
        <v>21741</v>
      </c>
      <c r="H154" s="146">
        <f t="shared" si="155"/>
        <v>21059</v>
      </c>
      <c r="I154" s="146">
        <f t="shared" si="155"/>
        <v>21212</v>
      </c>
      <c r="J154" s="146">
        <f t="shared" ref="J154:K154" si="156">J127+J128+J135+J136+J139+J140+J142+J145+J146+J151</f>
        <v>22048</v>
      </c>
      <c r="K154" s="146">
        <f t="shared" si="156"/>
        <v>23391</v>
      </c>
      <c r="L154" s="146">
        <f t="shared" ref="L154" si="157">L127+L128+L135+L136+L139+L140+L142+L145+L146+L151</f>
        <v>23629</v>
      </c>
      <c r="M154" s="65"/>
      <c r="N154" s="65"/>
    </row>
    <row r="155" spans="1:17">
      <c r="A155" s="67" t="s">
        <v>6114</v>
      </c>
      <c r="D155" s="146">
        <f t="shared" ref="D155:I155" si="158">D129</f>
        <v>1908</v>
      </c>
      <c r="E155" s="146">
        <f t="shared" si="158"/>
        <v>1937</v>
      </c>
      <c r="F155" s="146">
        <f t="shared" si="158"/>
        <v>1926</v>
      </c>
      <c r="G155" s="146">
        <f t="shared" si="158"/>
        <v>1957</v>
      </c>
      <c r="H155" s="146">
        <f t="shared" si="158"/>
        <v>1926</v>
      </c>
      <c r="I155" s="146">
        <f t="shared" si="158"/>
        <v>1918</v>
      </c>
      <c r="J155" s="146">
        <f t="shared" ref="J155:K155" si="159">J129</f>
        <v>1911</v>
      </c>
      <c r="K155" s="146">
        <f t="shared" si="159"/>
        <v>1948</v>
      </c>
      <c r="L155" s="146">
        <f t="shared" ref="L155" si="160">L129</f>
        <v>1952</v>
      </c>
      <c r="M155" s="65"/>
      <c r="N155" s="65"/>
    </row>
    <row r="156" spans="1:17">
      <c r="A156" s="67"/>
      <c r="B156" s="67"/>
      <c r="D156" s="155"/>
      <c r="E156" s="155"/>
      <c r="F156" s="155"/>
      <c r="G156" s="155"/>
      <c r="H156" s="155"/>
      <c r="I156" s="155"/>
      <c r="J156" s="155"/>
      <c r="K156" s="155"/>
      <c r="L156" s="155"/>
      <c r="M156" s="65"/>
      <c r="N156" s="65"/>
    </row>
    <row r="157" spans="1:17">
      <c r="A157" s="66" t="s">
        <v>13337</v>
      </c>
      <c r="D157" s="155"/>
      <c r="E157" s="155"/>
      <c r="F157" s="155"/>
      <c r="G157" s="155"/>
      <c r="H157" s="155"/>
      <c r="I157" s="155"/>
      <c r="J157" s="155"/>
      <c r="K157" s="155"/>
      <c r="L157" s="155"/>
      <c r="M157" s="65"/>
      <c r="N157" s="65"/>
    </row>
    <row r="158" spans="1:17">
      <c r="A158" s="66" t="s">
        <v>13410</v>
      </c>
      <c r="D158" s="155"/>
      <c r="E158" s="155"/>
      <c r="F158" s="155"/>
      <c r="G158" s="155"/>
      <c r="H158" s="155"/>
      <c r="I158" s="155"/>
      <c r="J158" s="155"/>
      <c r="K158" s="155"/>
      <c r="L158" s="155"/>
      <c r="M158" s="65"/>
      <c r="N158" s="65"/>
    </row>
    <row r="159" spans="1:17">
      <c r="A159" s="67"/>
      <c r="B159" s="67"/>
      <c r="D159" s="155"/>
      <c r="E159" s="155"/>
      <c r="F159" s="155"/>
      <c r="G159" s="155"/>
      <c r="H159" s="155"/>
      <c r="I159" s="155"/>
      <c r="J159" s="155"/>
      <c r="K159" s="155"/>
      <c r="L159" s="155"/>
      <c r="M159" s="65"/>
      <c r="N159" s="65"/>
    </row>
    <row r="160" spans="1:17">
      <c r="A160" s="67"/>
      <c r="B160" s="67"/>
      <c r="D160" s="155"/>
      <c r="E160" s="155"/>
      <c r="F160" s="155"/>
      <c r="G160" s="155"/>
      <c r="H160" s="155"/>
      <c r="I160" s="155"/>
      <c r="J160" s="155"/>
      <c r="K160" s="155"/>
      <c r="L160" s="155"/>
      <c r="M160" s="65"/>
      <c r="N160" s="65"/>
    </row>
    <row r="161" spans="1:17">
      <c r="A161" s="65"/>
      <c r="B161" s="65"/>
      <c r="E161" s="42" t="s">
        <v>2303</v>
      </c>
      <c r="F161" s="42"/>
      <c r="G161" s="42"/>
      <c r="H161" s="42"/>
      <c r="I161" s="42"/>
      <c r="J161" s="42"/>
      <c r="K161" s="42"/>
      <c r="L161" s="42"/>
      <c r="M161" s="153"/>
      <c r="N161" s="109" t="s">
        <v>13319</v>
      </c>
    </row>
    <row r="162" spans="1:17">
      <c r="A162" s="65"/>
      <c r="B162" s="65"/>
      <c r="C162" s="65"/>
      <c r="D162" s="110">
        <v>2010</v>
      </c>
      <c r="E162" s="110">
        <v>2011</v>
      </c>
      <c r="F162" s="110">
        <v>2012</v>
      </c>
      <c r="G162" s="110">
        <v>2013</v>
      </c>
      <c r="H162" s="110">
        <v>2014</v>
      </c>
      <c r="I162" s="110">
        <v>2015</v>
      </c>
      <c r="J162" s="110">
        <v>2016</v>
      </c>
      <c r="K162" s="110">
        <v>2017</v>
      </c>
      <c r="L162" s="110">
        <v>2018</v>
      </c>
      <c r="M162" s="111"/>
      <c r="N162" s="112" t="s">
        <v>2304</v>
      </c>
    </row>
    <row r="163" spans="1:17">
      <c r="A163" s="67" t="s">
        <v>6115</v>
      </c>
      <c r="C163" s="65"/>
      <c r="D163" s="146">
        <f t="shared" ref="D163:I163" si="161">SUM(D164:D178)</f>
        <v>69438</v>
      </c>
      <c r="E163" s="146">
        <f t="shared" si="161"/>
        <v>70772</v>
      </c>
      <c r="F163" s="146">
        <f t="shared" si="161"/>
        <v>71090</v>
      </c>
      <c r="G163" s="146">
        <f t="shared" si="161"/>
        <v>73045</v>
      </c>
      <c r="H163" s="146">
        <f t="shared" si="161"/>
        <v>75100</v>
      </c>
      <c r="I163" s="146">
        <f t="shared" si="161"/>
        <v>72528</v>
      </c>
      <c r="J163" s="146">
        <f t="shared" ref="J163:K163" si="162">SUM(J164:J178)</f>
        <v>69825</v>
      </c>
      <c r="K163" s="146">
        <f t="shared" si="162"/>
        <v>71816</v>
      </c>
      <c r="L163" s="146">
        <f t="shared" ref="L163" si="163">SUM(L164:L178)</f>
        <v>72251</v>
      </c>
      <c r="M163" s="65"/>
      <c r="N163" s="65"/>
    </row>
    <row r="164" spans="1:17">
      <c r="A164" s="154">
        <v>1</v>
      </c>
      <c r="B164" s="67" t="s">
        <v>6116</v>
      </c>
      <c r="C164" s="4" t="s">
        <v>12430</v>
      </c>
      <c r="D164" s="146">
        <v>3609</v>
      </c>
      <c r="E164" s="146">
        <v>3674</v>
      </c>
      <c r="F164" s="146">
        <v>3632</v>
      </c>
      <c r="G164" s="48">
        <v>3758</v>
      </c>
      <c r="H164" s="48">
        <v>3829</v>
      </c>
      <c r="I164" s="48">
        <v>3700</v>
      </c>
      <c r="J164" s="48">
        <v>3639</v>
      </c>
      <c r="K164" s="48">
        <v>3694</v>
      </c>
      <c r="L164" s="48">
        <v>3749</v>
      </c>
      <c r="M164" s="65"/>
      <c r="N164" s="67" t="s">
        <v>6884</v>
      </c>
      <c r="O164" s="4"/>
      <c r="Q164" s="4"/>
    </row>
    <row r="165" spans="1:17">
      <c r="A165" s="154">
        <v>2</v>
      </c>
      <c r="B165" s="67" t="s">
        <v>6117</v>
      </c>
      <c r="C165" s="4" t="s">
        <v>12431</v>
      </c>
      <c r="D165" s="146">
        <v>3478</v>
      </c>
      <c r="E165" s="146">
        <v>3551</v>
      </c>
      <c r="F165" s="146">
        <v>3502</v>
      </c>
      <c r="G165" s="48">
        <v>3597</v>
      </c>
      <c r="H165" s="48">
        <v>3621</v>
      </c>
      <c r="I165" s="48">
        <v>3464</v>
      </c>
      <c r="J165" s="48">
        <v>3437</v>
      </c>
      <c r="K165" s="48">
        <v>3538</v>
      </c>
      <c r="L165" s="48">
        <v>3475</v>
      </c>
      <c r="M165" s="65"/>
      <c r="N165" s="67" t="s">
        <v>6884</v>
      </c>
      <c r="O165" s="4"/>
      <c r="Q165" s="4"/>
    </row>
    <row r="166" spans="1:17">
      <c r="A166" s="154">
        <v>3</v>
      </c>
      <c r="B166" s="67" t="s">
        <v>6118</v>
      </c>
      <c r="C166" s="4" t="s">
        <v>12432</v>
      </c>
      <c r="D166" s="146">
        <v>5184</v>
      </c>
      <c r="E166" s="146">
        <v>5219</v>
      </c>
      <c r="F166" s="146">
        <v>5029</v>
      </c>
      <c r="G166" s="48">
        <v>5364</v>
      </c>
      <c r="H166" s="48">
        <v>5486</v>
      </c>
      <c r="I166" s="48">
        <v>5344</v>
      </c>
      <c r="J166" s="48">
        <v>4927</v>
      </c>
      <c r="K166" s="48">
        <v>5025</v>
      </c>
      <c r="L166" s="48">
        <v>4984</v>
      </c>
      <c r="M166" s="65"/>
      <c r="N166" s="67" t="s">
        <v>6884</v>
      </c>
      <c r="O166" s="4"/>
      <c r="Q166" s="4"/>
    </row>
    <row r="167" spans="1:17">
      <c r="A167" s="154">
        <v>4</v>
      </c>
      <c r="B167" s="67" t="s">
        <v>6119</v>
      </c>
      <c r="C167" s="4" t="s">
        <v>12433</v>
      </c>
      <c r="D167" s="146">
        <v>5748</v>
      </c>
      <c r="E167" s="146">
        <v>5835</v>
      </c>
      <c r="F167" s="146">
        <v>5799</v>
      </c>
      <c r="G167" s="48">
        <v>5996</v>
      </c>
      <c r="H167" s="48">
        <v>6186</v>
      </c>
      <c r="I167" s="48">
        <v>5882</v>
      </c>
      <c r="J167" s="48">
        <v>5584</v>
      </c>
      <c r="K167" s="48">
        <v>5650</v>
      </c>
      <c r="L167" s="48">
        <v>5596</v>
      </c>
      <c r="M167" s="65"/>
      <c r="N167" s="67" t="s">
        <v>6884</v>
      </c>
      <c r="O167" s="4"/>
      <c r="Q167" s="4"/>
    </row>
    <row r="168" spans="1:17">
      <c r="A168" s="154">
        <v>5</v>
      </c>
      <c r="B168" s="67" t="s">
        <v>6120</v>
      </c>
      <c r="C168" s="4" t="s">
        <v>12434</v>
      </c>
      <c r="D168" s="146">
        <v>6467</v>
      </c>
      <c r="E168" s="146">
        <v>6496</v>
      </c>
      <c r="F168" s="146">
        <v>6361</v>
      </c>
      <c r="G168" s="48">
        <v>6696</v>
      </c>
      <c r="H168" s="48">
        <v>6908</v>
      </c>
      <c r="I168" s="48">
        <v>6643</v>
      </c>
      <c r="J168" s="48">
        <v>6243</v>
      </c>
      <c r="K168" s="48">
        <v>6518</v>
      </c>
      <c r="L168" s="48">
        <v>6528</v>
      </c>
      <c r="M168" s="65"/>
      <c r="N168" s="67" t="s">
        <v>6884</v>
      </c>
      <c r="O168" s="4"/>
      <c r="Q168" s="4"/>
    </row>
    <row r="169" spans="1:17">
      <c r="A169" s="154">
        <v>6</v>
      </c>
      <c r="B169" s="67" t="s">
        <v>6121</v>
      </c>
      <c r="C169" s="4" t="s">
        <v>12435</v>
      </c>
      <c r="D169" s="146">
        <v>3833</v>
      </c>
      <c r="E169" s="146">
        <v>3996</v>
      </c>
      <c r="F169" s="146">
        <v>3976</v>
      </c>
      <c r="G169" s="48">
        <v>4068</v>
      </c>
      <c r="H169" s="48">
        <v>4334</v>
      </c>
      <c r="I169" s="48">
        <v>4171</v>
      </c>
      <c r="J169" s="48">
        <v>3987</v>
      </c>
      <c r="K169" s="48">
        <v>4099</v>
      </c>
      <c r="L169" s="48">
        <v>4254</v>
      </c>
      <c r="M169" s="65"/>
      <c r="N169" s="67" t="s">
        <v>6884</v>
      </c>
      <c r="O169" s="4"/>
      <c r="Q169" s="4"/>
    </row>
    <row r="170" spans="1:17">
      <c r="A170" s="154">
        <v>7</v>
      </c>
      <c r="B170" s="67" t="s">
        <v>6122</v>
      </c>
      <c r="C170" s="4" t="s">
        <v>12436</v>
      </c>
      <c r="D170" s="146">
        <v>5042</v>
      </c>
      <c r="E170" s="146">
        <v>5062</v>
      </c>
      <c r="F170" s="146">
        <v>5186</v>
      </c>
      <c r="G170" s="48">
        <v>5279</v>
      </c>
      <c r="H170" s="48">
        <v>5263</v>
      </c>
      <c r="I170" s="48">
        <v>5081</v>
      </c>
      <c r="J170" s="48">
        <v>4936</v>
      </c>
      <c r="K170" s="48">
        <v>5099</v>
      </c>
      <c r="L170" s="48">
        <v>5199</v>
      </c>
      <c r="M170" s="65"/>
      <c r="N170" s="67" t="s">
        <v>6884</v>
      </c>
      <c r="Q170" s="4"/>
    </row>
    <row r="171" spans="1:17">
      <c r="A171" s="154">
        <v>8</v>
      </c>
      <c r="B171" s="67" t="s">
        <v>6123</v>
      </c>
      <c r="C171" s="4" t="s">
        <v>12437</v>
      </c>
      <c r="D171" s="146">
        <v>4483</v>
      </c>
      <c r="E171" s="146">
        <v>4652</v>
      </c>
      <c r="F171" s="146">
        <v>4802</v>
      </c>
      <c r="G171" s="48">
        <v>4947</v>
      </c>
      <c r="H171" s="48">
        <v>5149</v>
      </c>
      <c r="I171" s="48">
        <v>4985</v>
      </c>
      <c r="J171" s="48">
        <v>4742</v>
      </c>
      <c r="K171" s="48">
        <v>4932</v>
      </c>
      <c r="L171" s="48">
        <v>4927</v>
      </c>
      <c r="M171" s="65"/>
      <c r="N171" s="67" t="s">
        <v>6884</v>
      </c>
      <c r="Q171" s="4"/>
    </row>
    <row r="172" spans="1:17">
      <c r="A172" s="154">
        <v>9</v>
      </c>
      <c r="B172" s="67" t="s">
        <v>6124</v>
      </c>
      <c r="C172" s="4" t="s">
        <v>12438</v>
      </c>
      <c r="D172" s="146">
        <v>3303</v>
      </c>
      <c r="E172" s="146">
        <v>3371</v>
      </c>
      <c r="F172" s="146">
        <v>3465</v>
      </c>
      <c r="G172" s="48">
        <v>3557</v>
      </c>
      <c r="H172" s="48">
        <v>3644</v>
      </c>
      <c r="I172" s="48">
        <v>3536</v>
      </c>
      <c r="J172" s="48">
        <v>3462</v>
      </c>
      <c r="K172" s="48">
        <v>3559</v>
      </c>
      <c r="L172" s="48">
        <v>3652</v>
      </c>
      <c r="M172" s="65"/>
      <c r="N172" s="67" t="s">
        <v>6884</v>
      </c>
      <c r="Q172" s="4"/>
    </row>
    <row r="173" spans="1:17">
      <c r="A173" s="154">
        <v>10</v>
      </c>
      <c r="B173" s="67" t="s">
        <v>6125</v>
      </c>
      <c r="C173" s="4" t="s">
        <v>12439</v>
      </c>
      <c r="D173" s="146">
        <v>5266</v>
      </c>
      <c r="E173" s="146">
        <v>5396</v>
      </c>
      <c r="F173" s="146">
        <v>5572</v>
      </c>
      <c r="G173" s="48">
        <v>5696</v>
      </c>
      <c r="H173" s="48">
        <v>5876</v>
      </c>
      <c r="I173" s="48">
        <v>5628</v>
      </c>
      <c r="J173" s="48">
        <v>5622</v>
      </c>
      <c r="K173" s="48">
        <v>5927</v>
      </c>
      <c r="L173" s="48">
        <v>6003</v>
      </c>
      <c r="M173" s="65"/>
      <c r="N173" s="67" t="s">
        <v>6884</v>
      </c>
      <c r="Q173" s="4"/>
    </row>
    <row r="174" spans="1:17">
      <c r="A174" s="154">
        <v>11</v>
      </c>
      <c r="B174" s="67" t="s">
        <v>6126</v>
      </c>
      <c r="C174" s="4" t="s">
        <v>12440</v>
      </c>
      <c r="D174" s="146">
        <v>3491</v>
      </c>
      <c r="E174" s="146">
        <v>3574</v>
      </c>
      <c r="F174" s="146">
        <v>3586</v>
      </c>
      <c r="G174" s="48">
        <v>3711</v>
      </c>
      <c r="H174" s="48">
        <v>3912</v>
      </c>
      <c r="I174" s="48">
        <v>3818</v>
      </c>
      <c r="J174" s="48">
        <v>3648</v>
      </c>
      <c r="K174" s="48">
        <v>3647</v>
      </c>
      <c r="L174" s="48">
        <v>3664</v>
      </c>
      <c r="M174" s="65"/>
      <c r="N174" s="67" t="s">
        <v>6884</v>
      </c>
      <c r="O174" s="4"/>
      <c r="Q174" s="4"/>
    </row>
    <row r="175" spans="1:17">
      <c r="A175" s="154">
        <v>12</v>
      </c>
      <c r="B175" s="67" t="s">
        <v>6127</v>
      </c>
      <c r="C175" s="4" t="s">
        <v>12441</v>
      </c>
      <c r="D175" s="146">
        <v>4727</v>
      </c>
      <c r="E175" s="146">
        <v>4826</v>
      </c>
      <c r="F175" s="146">
        <v>5003</v>
      </c>
      <c r="G175" s="48">
        <v>5031</v>
      </c>
      <c r="H175" s="48">
        <v>5085</v>
      </c>
      <c r="I175" s="48">
        <v>4976</v>
      </c>
      <c r="J175" s="48">
        <v>4841</v>
      </c>
      <c r="K175" s="48">
        <v>4921</v>
      </c>
      <c r="L175" s="48">
        <v>4987</v>
      </c>
      <c r="M175" s="65"/>
      <c r="N175" s="67" t="s">
        <v>6884</v>
      </c>
      <c r="O175" s="4"/>
      <c r="Q175" s="4"/>
    </row>
    <row r="176" spans="1:17">
      <c r="A176" s="154">
        <v>13</v>
      </c>
      <c r="B176" s="67" t="s">
        <v>6128</v>
      </c>
      <c r="C176" s="4" t="s">
        <v>12442</v>
      </c>
      <c r="D176" s="146">
        <v>5333</v>
      </c>
      <c r="E176" s="146">
        <v>5484</v>
      </c>
      <c r="F176" s="146">
        <v>5461</v>
      </c>
      <c r="G176" s="48">
        <v>5470</v>
      </c>
      <c r="H176" s="48">
        <v>5577</v>
      </c>
      <c r="I176" s="48">
        <v>5450</v>
      </c>
      <c r="J176" s="48">
        <v>5212</v>
      </c>
      <c r="K176" s="48">
        <v>5372</v>
      </c>
      <c r="L176" s="48">
        <v>5343</v>
      </c>
      <c r="M176" s="65"/>
      <c r="N176" s="67" t="s">
        <v>6884</v>
      </c>
      <c r="O176" s="4"/>
      <c r="Q176" s="4"/>
    </row>
    <row r="177" spans="1:17">
      <c r="A177" s="154">
        <v>14</v>
      </c>
      <c r="B177" s="67" t="s">
        <v>6148</v>
      </c>
      <c r="C177" s="4" t="s">
        <v>12443</v>
      </c>
      <c r="D177" s="146">
        <v>5758</v>
      </c>
      <c r="E177" s="146">
        <v>5896</v>
      </c>
      <c r="F177" s="146">
        <v>5924</v>
      </c>
      <c r="G177" s="48">
        <v>6031</v>
      </c>
      <c r="H177" s="48">
        <v>6160</v>
      </c>
      <c r="I177" s="48">
        <v>5929</v>
      </c>
      <c r="J177" s="48">
        <v>5774</v>
      </c>
      <c r="K177" s="48">
        <v>5957</v>
      </c>
      <c r="L177" s="48">
        <v>5993</v>
      </c>
      <c r="M177" s="65"/>
      <c r="N177" s="67" t="s">
        <v>6884</v>
      </c>
      <c r="O177" s="4"/>
      <c r="Q177" s="4"/>
    </row>
    <row r="178" spans="1:17">
      <c r="A178" s="154">
        <v>15</v>
      </c>
      <c r="B178" s="67" t="s">
        <v>6149</v>
      </c>
      <c r="C178" s="4" t="s">
        <v>12444</v>
      </c>
      <c r="D178" s="146">
        <v>3716</v>
      </c>
      <c r="E178" s="146">
        <v>3740</v>
      </c>
      <c r="F178" s="146">
        <v>3792</v>
      </c>
      <c r="G178" s="48">
        <v>3844</v>
      </c>
      <c r="H178" s="48">
        <v>4070</v>
      </c>
      <c r="I178" s="48">
        <v>3921</v>
      </c>
      <c r="J178" s="48">
        <v>3771</v>
      </c>
      <c r="K178" s="48">
        <v>3878</v>
      </c>
      <c r="L178" s="48">
        <v>3897</v>
      </c>
      <c r="M178" s="65"/>
      <c r="N178" s="67" t="s">
        <v>6884</v>
      </c>
      <c r="O178" s="4"/>
      <c r="Q178" s="4"/>
    </row>
    <row r="179" spans="1:17">
      <c r="A179" s="67"/>
      <c r="B179" s="67"/>
      <c r="D179" s="146"/>
      <c r="E179" s="146"/>
      <c r="F179" s="146"/>
      <c r="G179" s="146"/>
      <c r="H179" s="146"/>
      <c r="I179" s="146"/>
      <c r="J179" s="146"/>
      <c r="K179" s="146"/>
      <c r="L179" s="146"/>
      <c r="M179" s="65"/>
      <c r="N179" s="67"/>
    </row>
    <row r="180" spans="1:17">
      <c r="A180" s="67" t="s">
        <v>6884</v>
      </c>
      <c r="D180" s="146">
        <f t="shared" ref="D180:I180" si="164">SUM(D164:D178)</f>
        <v>69438</v>
      </c>
      <c r="E180" s="146">
        <f t="shared" si="164"/>
        <v>70772</v>
      </c>
      <c r="F180" s="146">
        <f t="shared" si="164"/>
        <v>71090</v>
      </c>
      <c r="G180" s="146">
        <f t="shared" si="164"/>
        <v>73045</v>
      </c>
      <c r="H180" s="146">
        <f t="shared" si="164"/>
        <v>75100</v>
      </c>
      <c r="I180" s="146">
        <f t="shared" si="164"/>
        <v>72528</v>
      </c>
      <c r="J180" s="146">
        <f t="shared" ref="J180:K180" si="165">SUM(J164:J178)</f>
        <v>69825</v>
      </c>
      <c r="K180" s="146">
        <f t="shared" si="165"/>
        <v>71816</v>
      </c>
      <c r="L180" s="146">
        <f t="shared" ref="L180" si="166">SUM(L164:L178)</f>
        <v>72251</v>
      </c>
      <c r="M180" s="65"/>
      <c r="N180" s="67"/>
    </row>
    <row r="181" spans="1:17">
      <c r="A181" s="65"/>
      <c r="B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</row>
    <row r="182" spans="1:17">
      <c r="A182" s="66" t="s">
        <v>6141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65"/>
      <c r="N182" s="65"/>
    </row>
    <row r="183" spans="1:17">
      <c r="A183" s="67"/>
      <c r="B183" s="67"/>
      <c r="D183" s="155"/>
      <c r="E183" s="155"/>
      <c r="F183" s="155"/>
      <c r="G183" s="155"/>
      <c r="H183" s="155"/>
      <c r="I183" s="155"/>
      <c r="J183" s="155"/>
      <c r="K183" s="155"/>
      <c r="L183" s="155"/>
      <c r="M183" s="65"/>
      <c r="N183" s="65"/>
    </row>
    <row r="184" spans="1:17">
      <c r="A184" s="67"/>
      <c r="B184" s="67"/>
      <c r="D184" s="155"/>
      <c r="E184" s="155"/>
      <c r="F184" s="155"/>
      <c r="G184" s="155"/>
      <c r="H184" s="155"/>
      <c r="I184" s="155"/>
      <c r="J184" s="155"/>
      <c r="K184" s="155"/>
      <c r="L184" s="155"/>
      <c r="M184" s="65"/>
      <c r="N184" s="65"/>
    </row>
    <row r="185" spans="1:17">
      <c r="A185" s="65"/>
      <c r="B185" s="65"/>
      <c r="E185" s="42" t="s">
        <v>2303</v>
      </c>
      <c r="F185" s="42"/>
      <c r="G185" s="42"/>
      <c r="H185" s="42"/>
      <c r="I185" s="42"/>
      <c r="J185" s="42"/>
      <c r="K185" s="42"/>
      <c r="L185" s="42"/>
      <c r="M185" s="153"/>
      <c r="N185" s="109" t="s">
        <v>13319</v>
      </c>
    </row>
    <row r="186" spans="1:17">
      <c r="A186" s="65"/>
      <c r="B186" s="65"/>
      <c r="D186" s="110">
        <v>2010</v>
      </c>
      <c r="E186" s="110">
        <v>2011</v>
      </c>
      <c r="F186" s="110">
        <v>2012</v>
      </c>
      <c r="G186" s="110">
        <v>2013</v>
      </c>
      <c r="H186" s="110">
        <v>2014</v>
      </c>
      <c r="I186" s="110">
        <v>2015</v>
      </c>
      <c r="J186" s="110">
        <v>2016</v>
      </c>
      <c r="K186" s="110">
        <v>2017</v>
      </c>
      <c r="L186" s="110">
        <v>2018</v>
      </c>
      <c r="M186" s="111"/>
      <c r="N186" s="112" t="s">
        <v>2304</v>
      </c>
    </row>
    <row r="187" spans="1:17">
      <c r="A187" s="67" t="s">
        <v>6142</v>
      </c>
      <c r="D187" s="146">
        <f t="shared" ref="D187:I187" si="167">SUM(D188:D211)</f>
        <v>95970</v>
      </c>
      <c r="E187" s="146">
        <f t="shared" si="167"/>
        <v>96462</v>
      </c>
      <c r="F187" s="146">
        <f t="shared" si="167"/>
        <v>96772</v>
      </c>
      <c r="G187" s="146">
        <f t="shared" si="167"/>
        <v>96740</v>
      </c>
      <c r="H187" s="146">
        <f t="shared" si="167"/>
        <v>97721</v>
      </c>
      <c r="I187" s="146">
        <f t="shared" si="167"/>
        <v>96628</v>
      </c>
      <c r="J187" s="146">
        <f t="shared" ref="J187:K187" si="168">SUM(J188:J211)</f>
        <v>95635</v>
      </c>
      <c r="K187" s="146">
        <f t="shared" si="168"/>
        <v>97253</v>
      </c>
      <c r="L187" s="146">
        <f t="shared" ref="L187" si="169">SUM(L188:L211)</f>
        <v>97645</v>
      </c>
      <c r="M187" s="65"/>
      <c r="N187" s="65"/>
    </row>
    <row r="188" spans="1:17">
      <c r="A188" s="154">
        <v>1</v>
      </c>
      <c r="B188" s="67" t="s">
        <v>7820</v>
      </c>
      <c r="C188" s="4" t="s">
        <v>12445</v>
      </c>
      <c r="D188" s="146">
        <v>2105</v>
      </c>
      <c r="E188" s="146">
        <v>2095</v>
      </c>
      <c r="F188" s="146">
        <v>2084</v>
      </c>
      <c r="G188" s="30">
        <v>2070</v>
      </c>
      <c r="H188" s="30">
        <v>2064</v>
      </c>
      <c r="I188" s="30">
        <v>2041</v>
      </c>
      <c r="J188" s="30">
        <v>2045</v>
      </c>
      <c r="K188" s="30">
        <v>2125</v>
      </c>
      <c r="L188" s="30">
        <v>2173</v>
      </c>
      <c r="M188" s="65"/>
      <c r="N188" s="67" t="s">
        <v>6888</v>
      </c>
      <c r="O188" s="4"/>
      <c r="Q188" s="4"/>
    </row>
    <row r="189" spans="1:17">
      <c r="A189" s="154">
        <v>2</v>
      </c>
      <c r="B189" s="67" t="s">
        <v>6143</v>
      </c>
      <c r="C189" s="4" t="s">
        <v>12446</v>
      </c>
      <c r="D189" s="146">
        <v>2219</v>
      </c>
      <c r="E189" s="146">
        <v>2231</v>
      </c>
      <c r="F189" s="146">
        <v>2211</v>
      </c>
      <c r="G189" s="30">
        <v>2242</v>
      </c>
      <c r="H189" s="30">
        <v>2244</v>
      </c>
      <c r="I189" s="30">
        <v>2237</v>
      </c>
      <c r="J189" s="30">
        <v>2251</v>
      </c>
      <c r="K189" s="30">
        <v>2241</v>
      </c>
      <c r="L189" s="30">
        <v>2243</v>
      </c>
      <c r="M189" s="65"/>
      <c r="N189" s="67" t="s">
        <v>6888</v>
      </c>
      <c r="O189" s="4"/>
      <c r="Q189" s="4"/>
    </row>
    <row r="190" spans="1:17">
      <c r="A190" s="154">
        <v>3</v>
      </c>
      <c r="B190" s="67" t="s">
        <v>6144</v>
      </c>
      <c r="C190" s="4" t="s">
        <v>12447</v>
      </c>
      <c r="D190" s="146">
        <v>5536</v>
      </c>
      <c r="E190" s="146">
        <v>5612</v>
      </c>
      <c r="F190" s="146">
        <v>5755</v>
      </c>
      <c r="G190" s="30">
        <v>5785</v>
      </c>
      <c r="H190" s="30">
        <v>5787</v>
      </c>
      <c r="I190" s="30">
        <v>5704</v>
      </c>
      <c r="J190" s="30">
        <v>5647</v>
      </c>
      <c r="K190" s="30">
        <v>5739</v>
      </c>
      <c r="L190" s="30">
        <v>5720</v>
      </c>
      <c r="M190" s="65"/>
      <c r="N190" s="67" t="s">
        <v>6888</v>
      </c>
      <c r="O190" s="4"/>
      <c r="Q190" s="4"/>
    </row>
    <row r="191" spans="1:17">
      <c r="A191" s="154">
        <v>4</v>
      </c>
      <c r="B191" s="67" t="s">
        <v>4368</v>
      </c>
      <c r="C191" s="4" t="s">
        <v>12448</v>
      </c>
      <c r="D191" s="146">
        <v>1779</v>
      </c>
      <c r="E191" s="146">
        <v>1765</v>
      </c>
      <c r="F191" s="146">
        <v>1780</v>
      </c>
      <c r="G191" s="30">
        <v>1795</v>
      </c>
      <c r="H191" s="30">
        <v>1782</v>
      </c>
      <c r="I191" s="30">
        <v>1793</v>
      </c>
      <c r="J191" s="30">
        <v>1772</v>
      </c>
      <c r="K191" s="30">
        <v>1783</v>
      </c>
      <c r="L191" s="30">
        <v>1763</v>
      </c>
      <c r="M191" s="65"/>
      <c r="N191" s="67" t="s">
        <v>6885</v>
      </c>
      <c r="O191" s="4"/>
      <c r="Q191" s="4"/>
    </row>
    <row r="192" spans="1:17">
      <c r="A192" s="154">
        <v>5</v>
      </c>
      <c r="B192" s="67" t="s">
        <v>4369</v>
      </c>
      <c r="C192" s="4" t="s">
        <v>12449</v>
      </c>
      <c r="D192" s="146">
        <v>4981</v>
      </c>
      <c r="E192" s="146">
        <v>5173</v>
      </c>
      <c r="F192" s="146">
        <v>5145</v>
      </c>
      <c r="G192" s="30">
        <v>5142</v>
      </c>
      <c r="H192" s="30">
        <v>5144</v>
      </c>
      <c r="I192" s="30">
        <v>5062</v>
      </c>
      <c r="J192" s="30">
        <v>5004</v>
      </c>
      <c r="K192" s="30">
        <v>5045</v>
      </c>
      <c r="L192" s="30">
        <v>5017</v>
      </c>
      <c r="M192" s="65"/>
      <c r="N192" s="67" t="s">
        <v>6885</v>
      </c>
      <c r="O192" s="4"/>
      <c r="Q192" s="4"/>
    </row>
    <row r="193" spans="1:17">
      <c r="A193" s="154">
        <v>6</v>
      </c>
      <c r="B193" s="66" t="s">
        <v>4370</v>
      </c>
      <c r="C193" s="4" t="s">
        <v>12450</v>
      </c>
      <c r="D193" s="146">
        <v>2127</v>
      </c>
      <c r="E193" s="146">
        <v>2095</v>
      </c>
      <c r="F193" s="146">
        <v>2113</v>
      </c>
      <c r="G193" s="31">
        <v>2106</v>
      </c>
      <c r="H193" s="31">
        <v>2128</v>
      </c>
      <c r="I193" s="31">
        <v>2088</v>
      </c>
      <c r="J193" s="31">
        <v>2107</v>
      </c>
      <c r="K193" s="31">
        <v>2136</v>
      </c>
      <c r="L193" s="31">
        <v>2103</v>
      </c>
      <c r="M193" s="65"/>
      <c r="N193" s="67" t="s">
        <v>6892</v>
      </c>
      <c r="O193" s="4"/>
      <c r="Q193" s="4"/>
    </row>
    <row r="194" spans="1:17">
      <c r="A194" s="154">
        <v>7</v>
      </c>
      <c r="B194" s="67" t="s">
        <v>4371</v>
      </c>
      <c r="C194" s="4" t="s">
        <v>12451</v>
      </c>
      <c r="D194" s="146">
        <v>2013</v>
      </c>
      <c r="E194" s="146">
        <v>2005</v>
      </c>
      <c r="F194" s="146">
        <v>1992</v>
      </c>
      <c r="G194" s="30">
        <v>1986</v>
      </c>
      <c r="H194" s="30">
        <v>2005</v>
      </c>
      <c r="I194" s="30">
        <v>1969</v>
      </c>
      <c r="J194" s="30">
        <v>1949</v>
      </c>
      <c r="K194" s="30">
        <v>2029</v>
      </c>
      <c r="L194" s="30">
        <v>2030</v>
      </c>
      <c r="M194" s="65"/>
      <c r="N194" s="67" t="s">
        <v>6888</v>
      </c>
      <c r="O194" s="4"/>
      <c r="Q194" s="4"/>
    </row>
    <row r="195" spans="1:17">
      <c r="A195" s="154">
        <v>8</v>
      </c>
      <c r="B195" s="67" t="s">
        <v>4372</v>
      </c>
      <c r="C195" s="4" t="s">
        <v>12452</v>
      </c>
      <c r="D195" s="146">
        <v>5787</v>
      </c>
      <c r="E195" s="146">
        <v>5929</v>
      </c>
      <c r="F195" s="146">
        <v>6002</v>
      </c>
      <c r="G195" s="30">
        <v>6043</v>
      </c>
      <c r="H195" s="30">
        <v>6137</v>
      </c>
      <c r="I195" s="30">
        <v>6045</v>
      </c>
      <c r="J195" s="30">
        <v>5971</v>
      </c>
      <c r="K195" s="30">
        <v>6076</v>
      </c>
      <c r="L195" s="30">
        <v>6120</v>
      </c>
      <c r="M195" s="65"/>
      <c r="N195" s="67" t="s">
        <v>6885</v>
      </c>
      <c r="O195" s="4"/>
      <c r="Q195" s="4"/>
    </row>
    <row r="196" spans="1:17">
      <c r="A196" s="154">
        <v>9</v>
      </c>
      <c r="B196" s="67" t="s">
        <v>5189</v>
      </c>
      <c r="C196" s="4" t="s">
        <v>12453</v>
      </c>
      <c r="D196" s="146">
        <v>5863</v>
      </c>
      <c r="E196" s="146">
        <v>5933</v>
      </c>
      <c r="F196" s="146">
        <v>5962</v>
      </c>
      <c r="G196" s="30">
        <v>5967</v>
      </c>
      <c r="H196" s="30">
        <v>6067</v>
      </c>
      <c r="I196" s="30">
        <v>5942</v>
      </c>
      <c r="J196" s="30">
        <v>5916</v>
      </c>
      <c r="K196" s="30">
        <v>6033</v>
      </c>
      <c r="L196" s="30">
        <v>6052</v>
      </c>
      <c r="M196" s="65"/>
      <c r="N196" s="67" t="s">
        <v>6885</v>
      </c>
      <c r="O196" s="4"/>
      <c r="Q196" s="4"/>
    </row>
    <row r="197" spans="1:17">
      <c r="A197" s="154">
        <v>10</v>
      </c>
      <c r="B197" s="67" t="s">
        <v>5190</v>
      </c>
      <c r="C197" s="4" t="s">
        <v>12454</v>
      </c>
      <c r="D197" s="146">
        <v>3705</v>
      </c>
      <c r="E197" s="146">
        <v>3609</v>
      </c>
      <c r="F197" s="146">
        <v>3550</v>
      </c>
      <c r="G197" s="30">
        <v>3526</v>
      </c>
      <c r="H197" s="30">
        <v>3569</v>
      </c>
      <c r="I197" s="30">
        <v>3606</v>
      </c>
      <c r="J197" s="30">
        <v>3546</v>
      </c>
      <c r="K197" s="30">
        <v>3575</v>
      </c>
      <c r="L197" s="30">
        <v>3596</v>
      </c>
      <c r="M197" s="65"/>
      <c r="N197" s="67" t="s">
        <v>6885</v>
      </c>
      <c r="O197" s="4"/>
      <c r="Q197" s="4"/>
    </row>
    <row r="198" spans="1:17">
      <c r="A198" s="154">
        <v>11</v>
      </c>
      <c r="B198" s="67" t="s">
        <v>5191</v>
      </c>
      <c r="C198" s="4" t="s">
        <v>12455</v>
      </c>
      <c r="D198" s="146">
        <v>3603</v>
      </c>
      <c r="E198" s="146">
        <v>3590</v>
      </c>
      <c r="F198" s="146">
        <v>3568</v>
      </c>
      <c r="G198" s="30">
        <v>3538</v>
      </c>
      <c r="H198" s="30">
        <v>3628</v>
      </c>
      <c r="I198" s="30">
        <v>3597</v>
      </c>
      <c r="J198" s="30">
        <v>3587</v>
      </c>
      <c r="K198" s="30">
        <v>3714</v>
      </c>
      <c r="L198" s="30">
        <v>3690</v>
      </c>
      <c r="M198" s="65"/>
      <c r="N198" s="67" t="s">
        <v>6885</v>
      </c>
      <c r="O198" s="4"/>
      <c r="Q198" s="4"/>
    </row>
    <row r="199" spans="1:17">
      <c r="A199" s="154">
        <v>12</v>
      </c>
      <c r="B199" s="67" t="s">
        <v>6994</v>
      </c>
      <c r="C199" s="4" t="s">
        <v>12456</v>
      </c>
      <c r="D199" s="146">
        <v>5958</v>
      </c>
      <c r="E199" s="146">
        <v>5987</v>
      </c>
      <c r="F199" s="146">
        <v>5986</v>
      </c>
      <c r="G199" s="30">
        <v>5941</v>
      </c>
      <c r="H199" s="30">
        <v>5957</v>
      </c>
      <c r="I199" s="30">
        <v>5925</v>
      </c>
      <c r="J199" s="30">
        <v>5829</v>
      </c>
      <c r="K199" s="30">
        <v>5895</v>
      </c>
      <c r="L199" s="30">
        <v>5899</v>
      </c>
      <c r="M199" s="65"/>
      <c r="N199" s="67" t="s">
        <v>6885</v>
      </c>
      <c r="O199" s="4"/>
      <c r="Q199" s="4"/>
    </row>
    <row r="200" spans="1:17">
      <c r="A200" s="154">
        <v>13</v>
      </c>
      <c r="B200" s="67" t="s">
        <v>6995</v>
      </c>
      <c r="C200" s="4" t="s">
        <v>12457</v>
      </c>
      <c r="D200" s="146">
        <v>5594</v>
      </c>
      <c r="E200" s="146">
        <v>5589</v>
      </c>
      <c r="F200" s="146">
        <v>5581</v>
      </c>
      <c r="G200" s="30">
        <v>5559</v>
      </c>
      <c r="H200" s="30">
        <v>5602</v>
      </c>
      <c r="I200" s="30">
        <v>5546</v>
      </c>
      <c r="J200" s="30">
        <v>5586</v>
      </c>
      <c r="K200" s="30">
        <v>5756</v>
      </c>
      <c r="L200" s="30">
        <v>5787</v>
      </c>
      <c r="M200" s="65"/>
      <c r="N200" s="67" t="s">
        <v>6885</v>
      </c>
      <c r="O200" s="4"/>
      <c r="Q200" s="4"/>
    </row>
    <row r="201" spans="1:17">
      <c r="A201" s="154">
        <v>14</v>
      </c>
      <c r="B201" s="67" t="s">
        <v>6996</v>
      </c>
      <c r="C201" s="4" t="s">
        <v>12458</v>
      </c>
      <c r="D201" s="146">
        <v>1765</v>
      </c>
      <c r="E201" s="146">
        <v>1752</v>
      </c>
      <c r="F201" s="146">
        <v>1736</v>
      </c>
      <c r="G201" s="30">
        <v>1711</v>
      </c>
      <c r="H201" s="30">
        <v>1709</v>
      </c>
      <c r="I201" s="30">
        <v>1696</v>
      </c>
      <c r="J201" s="30">
        <v>1714</v>
      </c>
      <c r="K201" s="30">
        <v>1730</v>
      </c>
      <c r="L201" s="30">
        <v>1783</v>
      </c>
      <c r="M201" s="65"/>
      <c r="N201" s="67" t="s">
        <v>6885</v>
      </c>
      <c r="O201" s="4"/>
      <c r="Q201" s="4"/>
    </row>
    <row r="202" spans="1:17">
      <c r="A202" s="154">
        <v>15</v>
      </c>
      <c r="B202" s="67" t="s">
        <v>5202</v>
      </c>
      <c r="C202" s="4" t="s">
        <v>12459</v>
      </c>
      <c r="D202" s="146">
        <v>4112</v>
      </c>
      <c r="E202" s="146">
        <v>4122</v>
      </c>
      <c r="F202" s="146">
        <v>4108</v>
      </c>
      <c r="G202" s="31">
        <v>4103</v>
      </c>
      <c r="H202" s="31">
        <v>4103</v>
      </c>
      <c r="I202" s="31">
        <v>4057</v>
      </c>
      <c r="J202" s="31">
        <v>3922</v>
      </c>
      <c r="K202" s="31">
        <v>4087</v>
      </c>
      <c r="L202" s="31">
        <v>4143</v>
      </c>
      <c r="M202" s="65"/>
      <c r="N202" s="67" t="s">
        <v>6892</v>
      </c>
      <c r="O202" s="4"/>
      <c r="Q202" s="4"/>
    </row>
    <row r="203" spans="1:17">
      <c r="A203" s="154">
        <v>16</v>
      </c>
      <c r="B203" s="67" t="s">
        <v>5203</v>
      </c>
      <c r="C203" s="4" t="s">
        <v>12460</v>
      </c>
      <c r="D203" s="146">
        <v>4003</v>
      </c>
      <c r="E203" s="146">
        <v>4133</v>
      </c>
      <c r="F203" s="146">
        <v>4177</v>
      </c>
      <c r="G203" s="30">
        <v>4177</v>
      </c>
      <c r="H203" s="30">
        <v>4312</v>
      </c>
      <c r="I203" s="30">
        <v>4237</v>
      </c>
      <c r="J203" s="30">
        <v>4222</v>
      </c>
      <c r="K203" s="30">
        <v>4288</v>
      </c>
      <c r="L203" s="30">
        <v>4362</v>
      </c>
      <c r="M203" s="65"/>
      <c r="N203" s="67" t="s">
        <v>6888</v>
      </c>
      <c r="O203" s="4"/>
      <c r="Q203" s="4"/>
    </row>
    <row r="204" spans="1:17">
      <c r="A204" s="154">
        <v>17</v>
      </c>
      <c r="B204" s="67" t="s">
        <v>5204</v>
      </c>
      <c r="C204" s="4" t="s">
        <v>12461</v>
      </c>
      <c r="D204" s="146">
        <v>5689</v>
      </c>
      <c r="E204" s="146">
        <v>5688</v>
      </c>
      <c r="F204" s="146">
        <v>5701</v>
      </c>
      <c r="G204" s="30">
        <v>5651</v>
      </c>
      <c r="H204" s="30">
        <v>5642</v>
      </c>
      <c r="I204" s="30">
        <v>5591</v>
      </c>
      <c r="J204" s="30">
        <v>5492</v>
      </c>
      <c r="K204" s="30">
        <v>5535</v>
      </c>
      <c r="L204" s="30">
        <v>5484</v>
      </c>
      <c r="M204" s="65"/>
      <c r="N204" s="67" t="s">
        <v>6888</v>
      </c>
      <c r="O204" s="4"/>
      <c r="Q204" s="4"/>
    </row>
    <row r="205" spans="1:17">
      <c r="A205" s="154">
        <v>18</v>
      </c>
      <c r="B205" s="67" t="s">
        <v>5205</v>
      </c>
      <c r="C205" s="4" t="s">
        <v>12462</v>
      </c>
      <c r="D205" s="146">
        <v>5639</v>
      </c>
      <c r="E205" s="146">
        <v>5632</v>
      </c>
      <c r="F205" s="146">
        <v>5636</v>
      </c>
      <c r="G205" s="31">
        <v>5592</v>
      </c>
      <c r="H205" s="31">
        <v>5626</v>
      </c>
      <c r="I205" s="31">
        <v>5586</v>
      </c>
      <c r="J205" s="31">
        <v>5415</v>
      </c>
      <c r="K205" s="31">
        <v>5466</v>
      </c>
      <c r="L205" s="31">
        <v>5429</v>
      </c>
      <c r="M205" s="65"/>
      <c r="N205" s="67" t="s">
        <v>6888</v>
      </c>
      <c r="O205" s="4"/>
      <c r="Q205" s="4"/>
    </row>
    <row r="206" spans="1:17">
      <c r="A206" s="154">
        <v>19</v>
      </c>
      <c r="B206" s="67" t="s">
        <v>5206</v>
      </c>
      <c r="C206" s="4" t="s">
        <v>12463</v>
      </c>
      <c r="D206" s="146">
        <v>5821</v>
      </c>
      <c r="E206" s="146">
        <v>5865</v>
      </c>
      <c r="F206" s="146">
        <v>5860</v>
      </c>
      <c r="G206" s="31">
        <v>5926</v>
      </c>
      <c r="H206" s="31">
        <v>6049</v>
      </c>
      <c r="I206" s="31">
        <v>5974</v>
      </c>
      <c r="J206" s="31">
        <v>5910</v>
      </c>
      <c r="K206" s="31">
        <v>5977</v>
      </c>
      <c r="L206" s="31">
        <v>5961</v>
      </c>
      <c r="M206" s="65"/>
      <c r="N206" s="67" t="s">
        <v>6888</v>
      </c>
      <c r="O206" s="4"/>
      <c r="Q206" s="4"/>
    </row>
    <row r="207" spans="1:17">
      <c r="A207" s="154">
        <v>20</v>
      </c>
      <c r="B207" s="67" t="s">
        <v>5207</v>
      </c>
      <c r="C207" s="4" t="s">
        <v>12464</v>
      </c>
      <c r="D207" s="150">
        <v>3939</v>
      </c>
      <c r="E207" s="150">
        <v>3947</v>
      </c>
      <c r="F207" s="150">
        <v>4034</v>
      </c>
      <c r="G207" s="31">
        <v>4132</v>
      </c>
      <c r="H207" s="31">
        <v>4130</v>
      </c>
      <c r="I207" s="31">
        <v>4038</v>
      </c>
      <c r="J207" s="31">
        <v>3905</v>
      </c>
      <c r="K207" s="31">
        <v>3939</v>
      </c>
      <c r="L207" s="31">
        <v>3971</v>
      </c>
      <c r="M207" s="65"/>
      <c r="N207" s="67" t="s">
        <v>6888</v>
      </c>
      <c r="O207" s="4"/>
      <c r="Q207" s="4"/>
    </row>
    <row r="208" spans="1:17">
      <c r="A208" s="154">
        <v>21</v>
      </c>
      <c r="B208" s="67" t="s">
        <v>5208</v>
      </c>
      <c r="C208" s="4" t="s">
        <v>12465</v>
      </c>
      <c r="D208" s="146">
        <v>4057</v>
      </c>
      <c r="E208" s="146">
        <v>4035</v>
      </c>
      <c r="F208" s="146">
        <v>4083</v>
      </c>
      <c r="G208" s="31">
        <v>4072</v>
      </c>
      <c r="H208" s="31">
        <v>4232</v>
      </c>
      <c r="I208" s="31">
        <v>4214</v>
      </c>
      <c r="J208" s="31">
        <v>4166</v>
      </c>
      <c r="K208" s="31">
        <v>4176</v>
      </c>
      <c r="L208" s="31">
        <v>4328</v>
      </c>
      <c r="M208" s="65"/>
      <c r="N208" s="67" t="s">
        <v>6888</v>
      </c>
      <c r="O208" s="4"/>
      <c r="Q208" s="4"/>
    </row>
    <row r="209" spans="1:18">
      <c r="A209" s="154">
        <v>22</v>
      </c>
      <c r="B209" s="67" t="s">
        <v>5209</v>
      </c>
      <c r="C209" s="4" t="s">
        <v>12466</v>
      </c>
      <c r="D209" s="146">
        <v>4106</v>
      </c>
      <c r="E209" s="146">
        <v>4114</v>
      </c>
      <c r="F209" s="146">
        <v>4123</v>
      </c>
      <c r="G209" s="31">
        <v>4087</v>
      </c>
      <c r="H209" s="31">
        <v>4085</v>
      </c>
      <c r="I209" s="31">
        <v>4038</v>
      </c>
      <c r="J209" s="31">
        <v>4078</v>
      </c>
      <c r="K209" s="31">
        <v>4091</v>
      </c>
      <c r="L209" s="31">
        <v>4081</v>
      </c>
      <c r="M209" s="65"/>
      <c r="N209" s="67" t="s">
        <v>6888</v>
      </c>
      <c r="O209" s="4"/>
      <c r="Q209" s="4"/>
    </row>
    <row r="210" spans="1:18">
      <c r="A210" s="154">
        <v>23</v>
      </c>
      <c r="B210" s="67" t="s">
        <v>5210</v>
      </c>
      <c r="C210" s="4" t="s">
        <v>12467</v>
      </c>
      <c r="D210" s="146">
        <v>3957</v>
      </c>
      <c r="E210" s="146">
        <v>3939</v>
      </c>
      <c r="F210" s="146">
        <v>3934</v>
      </c>
      <c r="G210" s="31">
        <v>3938</v>
      </c>
      <c r="H210" s="31">
        <v>4068</v>
      </c>
      <c r="I210" s="31">
        <v>4000</v>
      </c>
      <c r="J210" s="31">
        <v>3964</v>
      </c>
      <c r="K210" s="31">
        <v>4132</v>
      </c>
      <c r="L210" s="31">
        <v>4235</v>
      </c>
      <c r="M210" s="65"/>
      <c r="N210" s="67" t="s">
        <v>6888</v>
      </c>
      <c r="O210" s="4"/>
      <c r="Q210" s="4"/>
    </row>
    <row r="211" spans="1:18">
      <c r="A211" s="154">
        <v>24</v>
      </c>
      <c r="B211" s="67" t="s">
        <v>5211</v>
      </c>
      <c r="C211" s="4" t="s">
        <v>12468</v>
      </c>
      <c r="D211" s="146">
        <v>1612</v>
      </c>
      <c r="E211" s="146">
        <v>1622</v>
      </c>
      <c r="F211" s="146">
        <v>1651</v>
      </c>
      <c r="G211" s="31">
        <v>1651</v>
      </c>
      <c r="H211" s="31">
        <v>1651</v>
      </c>
      <c r="I211" s="31">
        <v>1642</v>
      </c>
      <c r="J211" s="31">
        <v>1637</v>
      </c>
      <c r="K211" s="31">
        <v>1685</v>
      </c>
      <c r="L211" s="31">
        <v>1675</v>
      </c>
      <c r="M211" s="65"/>
      <c r="N211" s="67" t="s">
        <v>6888</v>
      </c>
      <c r="O211" s="4"/>
      <c r="Q211" s="4"/>
    </row>
    <row r="212" spans="1:18">
      <c r="A212" s="157"/>
      <c r="B212" s="157"/>
      <c r="C212" s="67"/>
      <c r="D212" s="146"/>
      <c r="E212" s="146"/>
      <c r="F212" s="146"/>
      <c r="G212" s="71"/>
      <c r="H212" s="71"/>
      <c r="I212" s="71"/>
      <c r="J212" s="71"/>
      <c r="K212" s="71"/>
      <c r="L212" s="71"/>
      <c r="M212" s="65"/>
      <c r="N212" s="67"/>
    </row>
    <row r="213" spans="1:18">
      <c r="A213" s="67" t="s">
        <v>5212</v>
      </c>
      <c r="C213" s="67"/>
      <c r="D213" s="146">
        <f t="shared" ref="D213:I213" si="170">D191+D192+SUM(D195:D201)</f>
        <v>39035</v>
      </c>
      <c r="E213" s="146">
        <f t="shared" si="170"/>
        <v>39327</v>
      </c>
      <c r="F213" s="146">
        <f t="shared" si="170"/>
        <v>39310</v>
      </c>
      <c r="G213" s="146">
        <f t="shared" si="170"/>
        <v>39222</v>
      </c>
      <c r="H213" s="146">
        <f t="shared" si="170"/>
        <v>39595</v>
      </c>
      <c r="I213" s="146">
        <f t="shared" si="170"/>
        <v>39212</v>
      </c>
      <c r="J213" s="146">
        <f t="shared" ref="J213:K213" si="171">J191+J192+SUM(J195:J201)</f>
        <v>38925</v>
      </c>
      <c r="K213" s="146">
        <f t="shared" si="171"/>
        <v>39607</v>
      </c>
      <c r="L213" s="146">
        <f t="shared" ref="L213" si="172">L191+L192+SUM(L195:L201)</f>
        <v>39707</v>
      </c>
      <c r="M213" s="65"/>
      <c r="N213" s="67"/>
    </row>
    <row r="214" spans="1:18" s="108" customFormat="1">
      <c r="A214" s="67" t="s">
        <v>6104</v>
      </c>
      <c r="B214" s="66"/>
      <c r="D214" s="146">
        <f t="shared" ref="D214:I214" si="173">SUM(D188:D190)+D194+SUM(D203:D211)</f>
        <v>50696</v>
      </c>
      <c r="E214" s="146">
        <f t="shared" si="173"/>
        <v>50918</v>
      </c>
      <c r="F214" s="146">
        <f t="shared" si="173"/>
        <v>51241</v>
      </c>
      <c r="G214" s="146">
        <f t="shared" si="173"/>
        <v>51309</v>
      </c>
      <c r="H214" s="146">
        <f t="shared" si="173"/>
        <v>51895</v>
      </c>
      <c r="I214" s="146">
        <f t="shared" si="173"/>
        <v>51271</v>
      </c>
      <c r="J214" s="146">
        <f t="shared" ref="J214:K214" si="174">SUM(J188:J190)+J194+SUM(J203:J211)</f>
        <v>50681</v>
      </c>
      <c r="K214" s="146">
        <f t="shared" si="174"/>
        <v>51423</v>
      </c>
      <c r="L214" s="146">
        <f t="shared" ref="L214" si="175">SUM(L188:L190)+L194+SUM(L203:L211)</f>
        <v>51692</v>
      </c>
      <c r="M214" s="157"/>
      <c r="N214" s="157"/>
      <c r="R214" s="66"/>
    </row>
    <row r="215" spans="1:18">
      <c r="A215" s="67" t="s">
        <v>6114</v>
      </c>
      <c r="D215" s="146">
        <f t="shared" ref="D215:I215" si="176">D193+D202</f>
        <v>6239</v>
      </c>
      <c r="E215" s="146">
        <f t="shared" si="176"/>
        <v>6217</v>
      </c>
      <c r="F215" s="146">
        <f t="shared" si="176"/>
        <v>6221</v>
      </c>
      <c r="G215" s="146">
        <f t="shared" si="176"/>
        <v>6209</v>
      </c>
      <c r="H215" s="146">
        <f t="shared" si="176"/>
        <v>6231</v>
      </c>
      <c r="I215" s="146">
        <f t="shared" si="176"/>
        <v>6145</v>
      </c>
      <c r="J215" s="146">
        <f t="shared" ref="J215:K215" si="177">J193+J202</f>
        <v>6029</v>
      </c>
      <c r="K215" s="146">
        <f t="shared" si="177"/>
        <v>6223</v>
      </c>
      <c r="L215" s="146">
        <f t="shared" ref="L215" si="178">L193+L202</f>
        <v>6246</v>
      </c>
      <c r="M215" s="65"/>
      <c r="N215" s="65"/>
    </row>
    <row r="216" spans="1:18">
      <c r="A216" s="67"/>
      <c r="B216" s="67"/>
      <c r="M216" s="65"/>
      <c r="N216" s="65"/>
    </row>
    <row r="217" spans="1:18">
      <c r="A217" s="66" t="s">
        <v>5213</v>
      </c>
      <c r="M217" s="65"/>
      <c r="N217" s="65"/>
    </row>
    <row r="218" spans="1:18">
      <c r="A218" s="67"/>
      <c r="B218" s="67"/>
      <c r="D218" s="155"/>
      <c r="E218" s="155"/>
      <c r="F218" s="155"/>
      <c r="G218" s="155"/>
      <c r="H218" s="155"/>
      <c r="I218" s="155"/>
      <c r="J218" s="155"/>
      <c r="K218" s="155"/>
      <c r="L218" s="155"/>
      <c r="M218" s="65"/>
      <c r="N218" s="65"/>
    </row>
    <row r="219" spans="1:18">
      <c r="A219" s="67"/>
      <c r="B219" s="67"/>
      <c r="D219" s="155"/>
      <c r="E219" s="155"/>
      <c r="F219" s="155"/>
      <c r="G219" s="155"/>
      <c r="H219" s="155"/>
      <c r="I219" s="155"/>
      <c r="J219" s="155"/>
      <c r="K219" s="155"/>
      <c r="L219" s="155"/>
      <c r="M219" s="65"/>
      <c r="N219" s="65"/>
    </row>
    <row r="220" spans="1:18">
      <c r="A220" s="65"/>
      <c r="B220" s="65"/>
      <c r="E220" s="42" t="s">
        <v>2303</v>
      </c>
      <c r="F220" s="42"/>
      <c r="G220" s="42"/>
      <c r="H220" s="42"/>
      <c r="I220" s="42"/>
      <c r="J220" s="42"/>
      <c r="K220" s="42"/>
      <c r="L220" s="42"/>
      <c r="M220" s="153"/>
      <c r="N220" s="109" t="s">
        <v>13319</v>
      </c>
    </row>
    <row r="221" spans="1:18">
      <c r="A221" s="65"/>
      <c r="B221" s="65"/>
      <c r="D221" s="110">
        <v>2010</v>
      </c>
      <c r="E221" s="110">
        <v>2011</v>
      </c>
      <c r="F221" s="110">
        <v>2012</v>
      </c>
      <c r="G221" s="110">
        <v>2013</v>
      </c>
      <c r="H221" s="110">
        <v>2014</v>
      </c>
      <c r="I221" s="110">
        <v>2015</v>
      </c>
      <c r="J221" s="110">
        <v>2016</v>
      </c>
      <c r="K221" s="110">
        <v>2017</v>
      </c>
      <c r="L221" s="110">
        <v>2018</v>
      </c>
      <c r="M221" s="111"/>
      <c r="N221" s="112" t="s">
        <v>2304</v>
      </c>
    </row>
    <row r="222" spans="1:18">
      <c r="A222" s="67" t="s">
        <v>5214</v>
      </c>
      <c r="D222" s="146">
        <f>SUM(D223:D227)+SUM(D229:D244)</f>
        <v>101579</v>
      </c>
      <c r="E222" s="146">
        <f t="shared" ref="E222:G222" si="179">SUM(E223:E227)+SUM(E229:E244)</f>
        <v>102152</v>
      </c>
      <c r="F222" s="146">
        <f t="shared" si="179"/>
        <v>102727</v>
      </c>
      <c r="G222" s="146">
        <f t="shared" si="179"/>
        <v>103311</v>
      </c>
      <c r="H222" s="146">
        <f t="shared" ref="H222:I222" si="180">SUM(H223:H227)+SUM(H229:H244)</f>
        <v>103840</v>
      </c>
      <c r="I222" s="146">
        <f t="shared" si="180"/>
        <v>103176</v>
      </c>
      <c r="J222" s="146">
        <f t="shared" ref="J222:K222" si="181">SUM(J223:J227)+SUM(J229:J244)</f>
        <v>101652</v>
      </c>
      <c r="K222" s="146">
        <f t="shared" si="181"/>
        <v>104112</v>
      </c>
      <c r="L222" s="146">
        <f t="shared" ref="L222" si="182">SUM(L223:L227)+SUM(L229:L244)</f>
        <v>104118</v>
      </c>
      <c r="M222" s="65"/>
      <c r="N222" s="65"/>
    </row>
    <row r="223" spans="1:18">
      <c r="A223" s="154">
        <v>1</v>
      </c>
      <c r="B223" s="67" t="s">
        <v>7094</v>
      </c>
      <c r="C223" s="4" t="s">
        <v>12469</v>
      </c>
      <c r="D223" s="146">
        <v>5297</v>
      </c>
      <c r="E223" s="146">
        <v>5314</v>
      </c>
      <c r="F223" s="146">
        <v>5334</v>
      </c>
      <c r="G223" s="146">
        <v>5434</v>
      </c>
      <c r="H223" s="30">
        <v>5450</v>
      </c>
      <c r="I223" s="809">
        <v>5453</v>
      </c>
      <c r="J223" s="30">
        <v>5344</v>
      </c>
      <c r="K223" s="30">
        <v>5433</v>
      </c>
      <c r="L223" s="30">
        <v>5509</v>
      </c>
      <c r="M223" s="65"/>
      <c r="N223" s="67" t="s">
        <v>6891</v>
      </c>
      <c r="O223" s="4"/>
      <c r="Q223" s="4"/>
    </row>
    <row r="224" spans="1:18">
      <c r="A224" s="154">
        <v>2</v>
      </c>
      <c r="B224" s="67" t="s">
        <v>5215</v>
      </c>
      <c r="C224" s="4" t="s">
        <v>12470</v>
      </c>
      <c r="D224" s="146">
        <v>5328</v>
      </c>
      <c r="E224" s="146">
        <v>5376</v>
      </c>
      <c r="F224" s="146">
        <v>5379</v>
      </c>
      <c r="G224" s="146">
        <v>5342</v>
      </c>
      <c r="H224" s="30">
        <v>5388</v>
      </c>
      <c r="I224" s="809">
        <v>5329</v>
      </c>
      <c r="J224" s="30">
        <v>5128</v>
      </c>
      <c r="K224" s="30">
        <v>5237</v>
      </c>
      <c r="L224" s="30">
        <v>5228</v>
      </c>
      <c r="M224" s="65"/>
      <c r="N224" s="67" t="s">
        <v>6891</v>
      </c>
      <c r="O224" s="4"/>
      <c r="Q224" s="4"/>
    </row>
    <row r="225" spans="1:17">
      <c r="A225" s="154">
        <v>3</v>
      </c>
      <c r="B225" s="67" t="s">
        <v>5216</v>
      </c>
      <c r="C225" s="4" t="s">
        <v>12471</v>
      </c>
      <c r="D225" s="146">
        <v>4674</v>
      </c>
      <c r="E225" s="146">
        <v>4730</v>
      </c>
      <c r="F225" s="146">
        <v>4945</v>
      </c>
      <c r="G225" s="146">
        <v>5009</v>
      </c>
      <c r="H225" s="30">
        <v>5036</v>
      </c>
      <c r="I225" s="809">
        <v>4970</v>
      </c>
      <c r="J225" s="30">
        <v>4887</v>
      </c>
      <c r="K225" s="30">
        <v>5018</v>
      </c>
      <c r="L225" s="30">
        <v>4947</v>
      </c>
      <c r="M225" s="65"/>
      <c r="N225" s="67" t="s">
        <v>6891</v>
      </c>
      <c r="O225" s="4"/>
      <c r="Q225" s="4"/>
    </row>
    <row r="226" spans="1:17">
      <c r="A226" s="154">
        <v>4</v>
      </c>
      <c r="B226" s="67" t="s">
        <v>5217</v>
      </c>
      <c r="C226" s="4" t="s">
        <v>13216</v>
      </c>
      <c r="D226" s="146">
        <v>4097</v>
      </c>
      <c r="E226" s="146">
        <v>4103</v>
      </c>
      <c r="F226" s="146">
        <v>4152</v>
      </c>
      <c r="G226" s="146">
        <v>4157</v>
      </c>
      <c r="H226" s="30">
        <v>4251</v>
      </c>
      <c r="I226" s="809">
        <v>4216</v>
      </c>
      <c r="J226" s="30">
        <v>4250</v>
      </c>
      <c r="K226" s="30">
        <v>4335</v>
      </c>
      <c r="L226" s="30">
        <v>4355</v>
      </c>
      <c r="M226" s="65"/>
      <c r="N226" s="67" t="s">
        <v>6891</v>
      </c>
      <c r="O226" s="4"/>
      <c r="Q226" s="4"/>
    </row>
    <row r="227" spans="1:17" ht="15.75" thickBot="1">
      <c r="A227" s="154"/>
      <c r="B227" s="67"/>
      <c r="C227" s="4" t="s">
        <v>13216</v>
      </c>
      <c r="D227" s="149">
        <v>0</v>
      </c>
      <c r="E227" s="149">
        <v>0</v>
      </c>
      <c r="F227" s="149">
        <v>0</v>
      </c>
      <c r="G227" s="149">
        <v>19</v>
      </c>
      <c r="H227" s="31">
        <v>20</v>
      </c>
      <c r="I227" s="903">
        <v>18</v>
      </c>
      <c r="J227" s="31">
        <v>16</v>
      </c>
      <c r="K227" s="31">
        <v>17</v>
      </c>
      <c r="L227" s="31">
        <v>17</v>
      </c>
      <c r="M227" s="65"/>
      <c r="N227" s="67" t="s">
        <v>6894</v>
      </c>
      <c r="O227" s="4"/>
      <c r="Q227" s="4"/>
    </row>
    <row r="228" spans="1:17" ht="15.75" thickBot="1">
      <c r="A228" s="154"/>
      <c r="B228" s="67"/>
      <c r="C228" s="4" t="s">
        <v>13216</v>
      </c>
      <c r="D228" s="158">
        <f>D226+D227</f>
        <v>4097</v>
      </c>
      <c r="E228" s="158">
        <f t="shared" ref="E228:L228" si="183">E226+E227</f>
        <v>4103</v>
      </c>
      <c r="F228" s="158">
        <f t="shared" si="183"/>
        <v>4152</v>
      </c>
      <c r="G228" s="158">
        <f t="shared" si="183"/>
        <v>4176</v>
      </c>
      <c r="H228" s="158">
        <f t="shared" si="183"/>
        <v>4271</v>
      </c>
      <c r="I228" s="158">
        <f t="shared" si="183"/>
        <v>4234</v>
      </c>
      <c r="J228" s="158">
        <f t="shared" si="183"/>
        <v>4266</v>
      </c>
      <c r="K228" s="158">
        <f t="shared" si="183"/>
        <v>4352</v>
      </c>
      <c r="L228" s="158">
        <f t="shared" si="183"/>
        <v>4372</v>
      </c>
      <c r="M228" s="65"/>
      <c r="N228" s="67"/>
      <c r="O228" s="4"/>
      <c r="Q228" s="4"/>
    </row>
    <row r="229" spans="1:17">
      <c r="A229" s="154">
        <v>5</v>
      </c>
      <c r="B229" s="67" t="s">
        <v>5218</v>
      </c>
      <c r="C229" s="4" t="s">
        <v>12472</v>
      </c>
      <c r="D229" s="146">
        <v>4699</v>
      </c>
      <c r="E229" s="146">
        <v>4608</v>
      </c>
      <c r="F229" s="146">
        <v>4678</v>
      </c>
      <c r="G229" s="146">
        <v>4657</v>
      </c>
      <c r="H229" s="30">
        <v>4700</v>
      </c>
      <c r="I229" s="30">
        <v>4671</v>
      </c>
      <c r="J229" s="30">
        <v>4525</v>
      </c>
      <c r="K229" s="30">
        <v>4534</v>
      </c>
      <c r="L229" s="30">
        <v>4581</v>
      </c>
      <c r="M229" s="65"/>
      <c r="N229" s="67" t="s">
        <v>6891</v>
      </c>
      <c r="O229" s="4"/>
      <c r="Q229" s="4"/>
    </row>
    <row r="230" spans="1:17">
      <c r="A230" s="154">
        <v>6</v>
      </c>
      <c r="B230" s="67" t="s">
        <v>5219</v>
      </c>
      <c r="C230" s="4" t="s">
        <v>12473</v>
      </c>
      <c r="D230" s="146">
        <v>5372</v>
      </c>
      <c r="E230" s="146">
        <v>5377</v>
      </c>
      <c r="F230" s="146">
        <v>5398</v>
      </c>
      <c r="G230" s="146">
        <v>5378</v>
      </c>
      <c r="H230" s="30">
        <v>5392</v>
      </c>
      <c r="I230" s="30">
        <v>5364</v>
      </c>
      <c r="J230" s="30">
        <v>5314</v>
      </c>
      <c r="K230" s="30">
        <v>5480</v>
      </c>
      <c r="L230" s="30">
        <v>5437</v>
      </c>
      <c r="M230" s="65"/>
      <c r="N230" s="67" t="s">
        <v>6885</v>
      </c>
      <c r="O230" s="4"/>
      <c r="Q230" s="4"/>
    </row>
    <row r="231" spans="1:17">
      <c r="A231" s="154">
        <v>7</v>
      </c>
      <c r="B231" s="67" t="s">
        <v>5220</v>
      </c>
      <c r="C231" s="4" t="s">
        <v>12474</v>
      </c>
      <c r="D231" s="146">
        <v>5181</v>
      </c>
      <c r="E231" s="146">
        <v>5211</v>
      </c>
      <c r="F231" s="146">
        <v>5234</v>
      </c>
      <c r="G231" s="146">
        <v>5257</v>
      </c>
      <c r="H231" s="30">
        <v>5198</v>
      </c>
      <c r="I231" s="30">
        <v>5206</v>
      </c>
      <c r="J231" s="30">
        <v>5236</v>
      </c>
      <c r="K231" s="30">
        <v>5405</v>
      </c>
      <c r="L231" s="30">
        <v>5506</v>
      </c>
      <c r="M231" s="65"/>
      <c r="N231" s="67" t="s">
        <v>6885</v>
      </c>
      <c r="O231" s="4"/>
      <c r="Q231" s="4"/>
    </row>
    <row r="232" spans="1:17">
      <c r="A232" s="154">
        <v>8</v>
      </c>
      <c r="B232" s="67" t="s">
        <v>5221</v>
      </c>
      <c r="C232" s="4" t="s">
        <v>12475</v>
      </c>
      <c r="D232" s="146">
        <v>5316</v>
      </c>
      <c r="E232" s="146">
        <v>5291</v>
      </c>
      <c r="F232" s="146">
        <v>5333</v>
      </c>
      <c r="G232" s="146">
        <v>5349</v>
      </c>
      <c r="H232" s="30">
        <v>5384</v>
      </c>
      <c r="I232" s="30">
        <v>5346</v>
      </c>
      <c r="J232" s="30">
        <v>5235</v>
      </c>
      <c r="K232" s="30">
        <v>5352</v>
      </c>
      <c r="L232" s="30">
        <v>5332</v>
      </c>
      <c r="M232" s="65"/>
      <c r="N232" s="67" t="s">
        <v>6885</v>
      </c>
      <c r="O232" s="4"/>
      <c r="Q232" s="4"/>
    </row>
    <row r="233" spans="1:17">
      <c r="A233" s="154">
        <v>9</v>
      </c>
      <c r="B233" s="67" t="s">
        <v>5222</v>
      </c>
      <c r="C233" s="4" t="s">
        <v>12476</v>
      </c>
      <c r="D233" s="146">
        <v>5672</v>
      </c>
      <c r="E233" s="146">
        <v>5656</v>
      </c>
      <c r="F233" s="146">
        <v>5642</v>
      </c>
      <c r="G233" s="146">
        <v>5629</v>
      </c>
      <c r="H233" s="30">
        <v>5629</v>
      </c>
      <c r="I233" s="30">
        <v>5583</v>
      </c>
      <c r="J233" s="30">
        <v>5561</v>
      </c>
      <c r="K233" s="30">
        <v>5719</v>
      </c>
      <c r="L233" s="30">
        <v>5719</v>
      </c>
      <c r="M233" s="65"/>
      <c r="N233" s="67" t="s">
        <v>6885</v>
      </c>
      <c r="O233" s="4"/>
      <c r="Q233" s="4"/>
    </row>
    <row r="234" spans="1:17">
      <c r="A234" s="154">
        <v>10</v>
      </c>
      <c r="B234" s="67" t="s">
        <v>5223</v>
      </c>
      <c r="C234" s="4" t="s">
        <v>12477</v>
      </c>
      <c r="D234" s="146">
        <v>6581</v>
      </c>
      <c r="E234" s="146">
        <v>6627</v>
      </c>
      <c r="F234" s="146">
        <v>6709</v>
      </c>
      <c r="G234" s="146">
        <v>6822</v>
      </c>
      <c r="H234" s="30">
        <v>6772</v>
      </c>
      <c r="I234" s="30">
        <v>6738</v>
      </c>
      <c r="J234" s="30">
        <v>6642</v>
      </c>
      <c r="K234" s="30">
        <v>6854</v>
      </c>
      <c r="L234" s="30">
        <v>6895</v>
      </c>
      <c r="M234" s="65"/>
      <c r="N234" s="67" t="s">
        <v>6891</v>
      </c>
      <c r="O234" s="4"/>
      <c r="Q234" s="4"/>
    </row>
    <row r="235" spans="1:17">
      <c r="A235" s="154">
        <v>11</v>
      </c>
      <c r="B235" s="67" t="s">
        <v>5224</v>
      </c>
      <c r="C235" s="4" t="s">
        <v>12478</v>
      </c>
      <c r="D235" s="146">
        <v>4889</v>
      </c>
      <c r="E235" s="146">
        <v>4887</v>
      </c>
      <c r="F235" s="146">
        <v>4914</v>
      </c>
      <c r="G235" s="146">
        <v>4906</v>
      </c>
      <c r="H235" s="30">
        <v>4872</v>
      </c>
      <c r="I235" s="30">
        <v>4825</v>
      </c>
      <c r="J235" s="30">
        <v>4820</v>
      </c>
      <c r="K235" s="30">
        <v>4891</v>
      </c>
      <c r="L235" s="30">
        <v>4880</v>
      </c>
      <c r="M235" s="65"/>
      <c r="N235" s="67" t="s">
        <v>6891</v>
      </c>
      <c r="O235" s="4"/>
      <c r="Q235" s="4"/>
    </row>
    <row r="236" spans="1:17">
      <c r="A236" s="154">
        <v>12</v>
      </c>
      <c r="B236" s="67" t="s">
        <v>7028</v>
      </c>
      <c r="C236" s="4" t="s">
        <v>12479</v>
      </c>
      <c r="D236" s="146">
        <v>5177</v>
      </c>
      <c r="E236" s="146">
        <v>5223</v>
      </c>
      <c r="F236" s="146">
        <v>5181</v>
      </c>
      <c r="G236" s="146">
        <v>5212</v>
      </c>
      <c r="H236" s="30">
        <v>5223</v>
      </c>
      <c r="I236" s="30">
        <v>5172</v>
      </c>
      <c r="J236" s="30">
        <v>5118</v>
      </c>
      <c r="K236" s="30">
        <v>5303</v>
      </c>
      <c r="L236" s="30">
        <v>5290</v>
      </c>
      <c r="M236" s="65"/>
      <c r="N236" s="67" t="s">
        <v>6891</v>
      </c>
      <c r="O236" s="4"/>
      <c r="Q236" s="4"/>
    </row>
    <row r="237" spans="1:17">
      <c r="A237" s="154">
        <v>13</v>
      </c>
      <c r="B237" s="67" t="s">
        <v>7085</v>
      </c>
      <c r="C237" s="4" t="s">
        <v>12480</v>
      </c>
      <c r="D237" s="146">
        <v>5387</v>
      </c>
      <c r="E237" s="146">
        <v>5536</v>
      </c>
      <c r="F237" s="146">
        <v>5613</v>
      </c>
      <c r="G237" s="146">
        <v>5673</v>
      </c>
      <c r="H237" s="31">
        <v>5647</v>
      </c>
      <c r="I237" s="31">
        <v>5612</v>
      </c>
      <c r="J237" s="31">
        <v>5464</v>
      </c>
      <c r="K237" s="31">
        <v>5651</v>
      </c>
      <c r="L237" s="31">
        <v>5612</v>
      </c>
      <c r="M237" s="65"/>
      <c r="N237" s="67" t="s">
        <v>6891</v>
      </c>
      <c r="O237" s="4"/>
      <c r="Q237" s="4"/>
    </row>
    <row r="238" spans="1:17">
      <c r="A238" s="154">
        <v>14</v>
      </c>
      <c r="B238" s="67" t="s">
        <v>7086</v>
      </c>
      <c r="C238" s="4" t="s">
        <v>12481</v>
      </c>
      <c r="D238" s="146">
        <v>4728</v>
      </c>
      <c r="E238" s="146">
        <v>4778</v>
      </c>
      <c r="F238" s="146">
        <v>4752</v>
      </c>
      <c r="G238" s="146">
        <v>4867</v>
      </c>
      <c r="H238" s="30">
        <v>4865</v>
      </c>
      <c r="I238" s="30">
        <v>4828</v>
      </c>
      <c r="J238" s="30">
        <v>4746</v>
      </c>
      <c r="K238" s="30">
        <v>4806</v>
      </c>
      <c r="L238" s="30">
        <v>4813</v>
      </c>
      <c r="M238" s="65"/>
      <c r="N238" s="67" t="s">
        <v>6885</v>
      </c>
      <c r="O238" s="4"/>
      <c r="Q238" s="4"/>
    </row>
    <row r="239" spans="1:17">
      <c r="A239" s="154">
        <v>15</v>
      </c>
      <c r="B239" s="67" t="s">
        <v>7087</v>
      </c>
      <c r="C239" s="4" t="s">
        <v>12482</v>
      </c>
      <c r="D239" s="146">
        <v>5338</v>
      </c>
      <c r="E239" s="146">
        <v>5514</v>
      </c>
      <c r="F239" s="146">
        <v>5443</v>
      </c>
      <c r="G239" s="146">
        <v>5502</v>
      </c>
      <c r="H239" s="31">
        <v>5717</v>
      </c>
      <c r="I239" s="31">
        <v>5673</v>
      </c>
      <c r="J239" s="31">
        <v>5512</v>
      </c>
      <c r="K239" s="31">
        <v>5690</v>
      </c>
      <c r="L239" s="31">
        <v>5704</v>
      </c>
      <c r="M239" s="65"/>
      <c r="N239" s="67" t="s">
        <v>6891</v>
      </c>
      <c r="O239" s="4"/>
      <c r="Q239" s="4"/>
    </row>
    <row r="240" spans="1:17">
      <c r="A240" s="154">
        <v>16</v>
      </c>
      <c r="B240" s="67" t="s">
        <v>7088</v>
      </c>
      <c r="C240" s="4" t="s">
        <v>12483</v>
      </c>
      <c r="D240" s="146">
        <v>5135</v>
      </c>
      <c r="E240" s="146">
        <v>5231</v>
      </c>
      <c r="F240" s="146">
        <v>5243</v>
      </c>
      <c r="G240" s="146">
        <v>5281</v>
      </c>
      <c r="H240" s="31">
        <v>5303</v>
      </c>
      <c r="I240" s="31">
        <v>5267</v>
      </c>
      <c r="J240" s="31">
        <v>5183</v>
      </c>
      <c r="K240" s="31">
        <v>5271</v>
      </c>
      <c r="L240" s="31">
        <v>5281</v>
      </c>
      <c r="M240" s="65"/>
      <c r="N240" s="67" t="s">
        <v>6891</v>
      </c>
      <c r="O240" s="4"/>
      <c r="Q240" s="4"/>
    </row>
    <row r="241" spans="1:17">
      <c r="A241" s="154">
        <v>17</v>
      </c>
      <c r="B241" s="67" t="s">
        <v>7089</v>
      </c>
      <c r="C241" s="4" t="s">
        <v>12484</v>
      </c>
      <c r="D241" s="146">
        <v>3807</v>
      </c>
      <c r="E241" s="146">
        <v>3844</v>
      </c>
      <c r="F241" s="146">
        <v>3799</v>
      </c>
      <c r="G241" s="146">
        <v>3791</v>
      </c>
      <c r="H241" s="30">
        <v>3713</v>
      </c>
      <c r="I241" s="30">
        <v>3708</v>
      </c>
      <c r="J241" s="30">
        <v>3628</v>
      </c>
      <c r="K241" s="30">
        <v>3671</v>
      </c>
      <c r="L241" s="30">
        <v>3651</v>
      </c>
      <c r="M241" s="65"/>
      <c r="N241" s="67" t="s">
        <v>6885</v>
      </c>
      <c r="O241" s="4"/>
      <c r="Q241" s="4"/>
    </row>
    <row r="242" spans="1:17">
      <c r="A242" s="154">
        <v>18</v>
      </c>
      <c r="B242" s="67" t="s">
        <v>7090</v>
      </c>
      <c r="C242" s="4" t="s">
        <v>12485</v>
      </c>
      <c r="D242" s="146">
        <v>5134</v>
      </c>
      <c r="E242" s="146">
        <v>5105</v>
      </c>
      <c r="F242" s="146">
        <v>5156</v>
      </c>
      <c r="G242" s="146">
        <v>5159</v>
      </c>
      <c r="H242" s="31">
        <v>5132</v>
      </c>
      <c r="I242" s="31">
        <v>5066</v>
      </c>
      <c r="J242" s="31">
        <v>4950</v>
      </c>
      <c r="K242" s="31">
        <v>5100</v>
      </c>
      <c r="L242" s="31">
        <v>5054</v>
      </c>
      <c r="M242" s="65"/>
      <c r="N242" s="67" t="s">
        <v>6891</v>
      </c>
      <c r="O242" s="4"/>
      <c r="Q242" s="4"/>
    </row>
    <row r="243" spans="1:17">
      <c r="A243" s="154">
        <v>19</v>
      </c>
      <c r="B243" s="67" t="s">
        <v>7091</v>
      </c>
      <c r="C243" s="4" t="s">
        <v>12486</v>
      </c>
      <c r="D243" s="146">
        <v>5067</v>
      </c>
      <c r="E243" s="146">
        <v>5036</v>
      </c>
      <c r="F243" s="146">
        <v>5048</v>
      </c>
      <c r="G243" s="146">
        <v>5007</v>
      </c>
      <c r="H243" s="31">
        <v>5298</v>
      </c>
      <c r="I243" s="31">
        <v>5305</v>
      </c>
      <c r="J243" s="31">
        <v>5260</v>
      </c>
      <c r="K243" s="31">
        <v>5457</v>
      </c>
      <c r="L243" s="31">
        <v>5419</v>
      </c>
      <c r="M243" s="65"/>
      <c r="N243" s="67" t="s">
        <v>6891</v>
      </c>
      <c r="O243" s="4"/>
      <c r="Q243" s="4"/>
    </row>
    <row r="244" spans="1:17">
      <c r="A244" s="154">
        <v>20</v>
      </c>
      <c r="B244" s="67" t="s">
        <v>7092</v>
      </c>
      <c r="C244" s="4" t="s">
        <v>12487</v>
      </c>
      <c r="D244" s="146">
        <v>4700</v>
      </c>
      <c r="E244" s="146">
        <v>4705</v>
      </c>
      <c r="F244" s="146">
        <v>4774</v>
      </c>
      <c r="G244" s="146">
        <v>4860</v>
      </c>
      <c r="H244" s="30">
        <v>4850</v>
      </c>
      <c r="I244" s="30">
        <v>4826</v>
      </c>
      <c r="J244" s="30">
        <v>4833</v>
      </c>
      <c r="K244" s="30">
        <v>4888</v>
      </c>
      <c r="L244" s="30">
        <v>4888</v>
      </c>
      <c r="M244" s="65"/>
      <c r="N244" s="67" t="s">
        <v>6885</v>
      </c>
      <c r="O244" s="4"/>
      <c r="Q244" s="4"/>
    </row>
    <row r="245" spans="1:17">
      <c r="A245" s="65"/>
      <c r="B245" s="65"/>
      <c r="D245" s="147"/>
      <c r="E245" s="147"/>
      <c r="F245" s="147"/>
      <c r="G245" s="147"/>
      <c r="H245" s="147"/>
      <c r="I245" s="147"/>
      <c r="J245" s="147"/>
      <c r="K245" s="147"/>
      <c r="L245" s="147"/>
      <c r="M245" s="65"/>
      <c r="N245" s="65"/>
    </row>
    <row r="246" spans="1:17">
      <c r="A246" s="67" t="s">
        <v>5212</v>
      </c>
      <c r="D246" s="146">
        <f t="shared" ref="D246:I246" si="184">SUM(D230:D233)+D238+D241+D244</f>
        <v>34776</v>
      </c>
      <c r="E246" s="146">
        <f t="shared" si="184"/>
        <v>34862</v>
      </c>
      <c r="F246" s="146">
        <f t="shared" si="184"/>
        <v>34932</v>
      </c>
      <c r="G246" s="146">
        <f t="shared" si="184"/>
        <v>35131</v>
      </c>
      <c r="H246" s="146">
        <f t="shared" si="184"/>
        <v>35031</v>
      </c>
      <c r="I246" s="146">
        <f t="shared" si="184"/>
        <v>34861</v>
      </c>
      <c r="J246" s="146">
        <f t="shared" ref="J246:K246" si="185">SUM(J230:J233)+J238+J241+J244</f>
        <v>34553</v>
      </c>
      <c r="K246" s="146">
        <f t="shared" si="185"/>
        <v>35321</v>
      </c>
      <c r="L246" s="146">
        <f t="shared" ref="L246" si="186">SUM(L230:L233)+L238+L241+L244</f>
        <v>35346</v>
      </c>
      <c r="M246" s="65"/>
      <c r="N246" s="65"/>
    </row>
    <row r="247" spans="1:17">
      <c r="A247" s="67" t="s">
        <v>7093</v>
      </c>
      <c r="D247" s="146">
        <f>SUM(D223:D226)+D229+SUM(D234:D237)+D239+D240+D242+D243</f>
        <v>66803</v>
      </c>
      <c r="E247" s="146">
        <f t="shared" ref="E247:G247" si="187">SUM(E223:E226)+E229+SUM(E234:E237)+E239+E240+E242+E243</f>
        <v>67290</v>
      </c>
      <c r="F247" s="146">
        <f t="shared" si="187"/>
        <v>67795</v>
      </c>
      <c r="G247" s="146">
        <f t="shared" si="187"/>
        <v>68161</v>
      </c>
      <c r="H247" s="146">
        <f t="shared" ref="H247:I247" si="188">SUM(H223:H226)+H229+SUM(H234:H237)+H239+H240+H242+H243</f>
        <v>68789</v>
      </c>
      <c r="I247" s="146">
        <f t="shared" si="188"/>
        <v>68297</v>
      </c>
      <c r="J247" s="146">
        <f t="shared" ref="J247:K247" si="189">SUM(J223:J226)+J229+SUM(J234:J237)+J239+J240+J242+J243</f>
        <v>67083</v>
      </c>
      <c r="K247" s="146">
        <f t="shared" si="189"/>
        <v>68774</v>
      </c>
      <c r="L247" s="146">
        <f t="shared" ref="L247" si="190">SUM(L223:L226)+L229+SUM(L234:L237)+L239+L240+L242+L243</f>
        <v>68755</v>
      </c>
      <c r="M247" s="65"/>
      <c r="N247" s="65"/>
    </row>
    <row r="248" spans="1:17">
      <c r="A248" s="67" t="s">
        <v>13142</v>
      </c>
      <c r="D248" s="146">
        <f>D227</f>
        <v>0</v>
      </c>
      <c r="E248" s="146">
        <f t="shared" ref="E248:G248" si="191">E227</f>
        <v>0</v>
      </c>
      <c r="F248" s="146">
        <f t="shared" si="191"/>
        <v>0</v>
      </c>
      <c r="G248" s="146">
        <f t="shared" si="191"/>
        <v>19</v>
      </c>
      <c r="H248" s="146">
        <f t="shared" ref="H248:I248" si="192">H227</f>
        <v>20</v>
      </c>
      <c r="I248" s="146">
        <f t="shared" si="192"/>
        <v>18</v>
      </c>
      <c r="J248" s="146">
        <f t="shared" ref="J248:K248" si="193">J227</f>
        <v>16</v>
      </c>
      <c r="K248" s="146">
        <f t="shared" si="193"/>
        <v>17</v>
      </c>
      <c r="L248" s="146">
        <f t="shared" ref="L248" si="194">L227</f>
        <v>17</v>
      </c>
      <c r="M248" s="65"/>
      <c r="N248" s="65"/>
    </row>
    <row r="249" spans="1:17">
      <c r="A249" s="67"/>
      <c r="D249" s="146"/>
      <c r="E249" s="146"/>
      <c r="F249" s="146"/>
      <c r="G249" s="146"/>
      <c r="H249" s="146"/>
      <c r="I249" s="146"/>
      <c r="J249" s="146"/>
      <c r="K249" s="146"/>
      <c r="L249" s="146"/>
      <c r="M249" s="65"/>
      <c r="N249" s="65"/>
    </row>
    <row r="250" spans="1:17">
      <c r="A250" s="66" t="s">
        <v>13217</v>
      </c>
      <c r="B250" s="67"/>
      <c r="D250" s="155"/>
      <c r="E250" s="155"/>
      <c r="F250" s="155"/>
      <c r="G250" s="155"/>
      <c r="H250" s="155"/>
      <c r="I250" s="155"/>
      <c r="J250" s="155"/>
      <c r="K250" s="155"/>
      <c r="L250" s="155"/>
      <c r="M250" s="65"/>
      <c r="N250" s="65"/>
    </row>
    <row r="251" spans="1:17">
      <c r="A251" s="66" t="s">
        <v>13143</v>
      </c>
      <c r="D251" s="155"/>
      <c r="E251" s="155"/>
      <c r="F251" s="155"/>
      <c r="G251" s="155"/>
      <c r="H251" s="155"/>
      <c r="I251" s="155"/>
      <c r="J251" s="155"/>
      <c r="K251" s="155"/>
      <c r="L251" s="155"/>
      <c r="M251" s="65"/>
      <c r="N251" s="65"/>
    </row>
    <row r="252" spans="1:17">
      <c r="A252" s="66" t="s">
        <v>13144</v>
      </c>
      <c r="D252" s="155"/>
      <c r="E252" s="155"/>
      <c r="F252" s="155"/>
      <c r="G252" s="155"/>
      <c r="H252" s="155"/>
      <c r="I252" s="155"/>
      <c r="J252" s="155"/>
      <c r="K252" s="155"/>
      <c r="L252" s="155"/>
      <c r="M252" s="65"/>
      <c r="N252" s="65"/>
    </row>
    <row r="253" spans="1:17">
      <c r="A253" s="67"/>
      <c r="B253" s="67"/>
      <c r="D253" s="155"/>
      <c r="E253" s="155"/>
      <c r="F253" s="155"/>
      <c r="G253" s="155"/>
      <c r="H253" s="155"/>
      <c r="I253" s="155"/>
      <c r="J253" s="155"/>
      <c r="K253" s="155"/>
      <c r="L253" s="155"/>
      <c r="M253" s="65"/>
      <c r="N253" s="65"/>
    </row>
    <row r="254" spans="1:17">
      <c r="A254" s="67"/>
      <c r="B254" s="67"/>
      <c r="D254" s="155"/>
      <c r="E254" s="155"/>
      <c r="F254" s="155"/>
      <c r="G254" s="155"/>
      <c r="H254" s="155"/>
      <c r="I254" s="155"/>
      <c r="J254" s="155"/>
      <c r="K254" s="155"/>
      <c r="L254" s="155"/>
      <c r="M254" s="65"/>
      <c r="N254" s="65"/>
    </row>
    <row r="255" spans="1:17">
      <c r="A255" s="65"/>
      <c r="B255" s="65"/>
      <c r="E255" s="42" t="s">
        <v>2303</v>
      </c>
      <c r="F255" s="42"/>
      <c r="G255" s="42"/>
      <c r="H255" s="42"/>
      <c r="I255" s="42"/>
      <c r="J255" s="42"/>
      <c r="K255" s="42"/>
      <c r="L255" s="42"/>
      <c r="M255" s="153"/>
      <c r="N255" s="109" t="s">
        <v>13319</v>
      </c>
    </row>
    <row r="256" spans="1:17">
      <c r="A256" s="65"/>
      <c r="B256" s="65"/>
      <c r="D256" s="110">
        <v>2010</v>
      </c>
      <c r="E256" s="110">
        <v>2011</v>
      </c>
      <c r="F256" s="110">
        <v>2012</v>
      </c>
      <c r="G256" s="110">
        <v>2013</v>
      </c>
      <c r="H256" s="110">
        <v>2014</v>
      </c>
      <c r="I256" s="110">
        <v>2015</v>
      </c>
      <c r="J256" s="110">
        <v>2016</v>
      </c>
      <c r="K256" s="110">
        <v>2017</v>
      </c>
      <c r="L256" s="110">
        <v>2018</v>
      </c>
      <c r="M256" s="111"/>
      <c r="N256" s="112" t="s">
        <v>2304</v>
      </c>
    </row>
    <row r="257" spans="1:17">
      <c r="A257" s="67" t="s">
        <v>7063</v>
      </c>
      <c r="D257" s="146">
        <f>SUM(D258:D263)+SUM(D265:D272)</f>
        <v>59801</v>
      </c>
      <c r="E257" s="146">
        <f t="shared" ref="E257:H257" si="195">SUM(E258:E263)+SUM(E265:E272)</f>
        <v>61203</v>
      </c>
      <c r="F257" s="146">
        <f t="shared" si="195"/>
        <v>61966</v>
      </c>
      <c r="G257" s="146">
        <f t="shared" si="195"/>
        <v>62835</v>
      </c>
      <c r="H257" s="146">
        <f t="shared" si="195"/>
        <v>62262</v>
      </c>
      <c r="I257" s="146">
        <f t="shared" ref="I257:J257" si="196">SUM(I258:I263)+SUM(I265:I272)</f>
        <v>61680</v>
      </c>
      <c r="J257" s="146">
        <f t="shared" si="196"/>
        <v>59620</v>
      </c>
      <c r="K257" s="146">
        <f t="shared" ref="K257:L257" si="197">SUM(K258:K263)+SUM(K265:K272)</f>
        <v>61384</v>
      </c>
      <c r="L257" s="146">
        <f t="shared" si="197"/>
        <v>61566</v>
      </c>
      <c r="M257" s="65"/>
      <c r="N257" s="65"/>
    </row>
    <row r="258" spans="1:17">
      <c r="A258" s="154">
        <v>1</v>
      </c>
      <c r="B258" s="67" t="s">
        <v>7064</v>
      </c>
      <c r="C258" s="4" t="s">
        <v>12488</v>
      </c>
      <c r="D258" s="146">
        <v>4839</v>
      </c>
      <c r="E258" s="146">
        <v>4865</v>
      </c>
      <c r="F258" s="146">
        <v>4909</v>
      </c>
      <c r="G258" s="48">
        <v>4938</v>
      </c>
      <c r="H258" s="48">
        <v>4987</v>
      </c>
      <c r="I258" s="48">
        <v>4923</v>
      </c>
      <c r="J258" s="48">
        <v>4833</v>
      </c>
      <c r="K258" s="48">
        <v>4898</v>
      </c>
      <c r="L258" s="48">
        <v>4908</v>
      </c>
      <c r="M258" s="65"/>
      <c r="N258" s="67" t="s">
        <v>6892</v>
      </c>
      <c r="O258" s="4"/>
      <c r="Q258" s="4"/>
    </row>
    <row r="259" spans="1:17">
      <c r="A259" s="154">
        <v>2</v>
      </c>
      <c r="B259" s="67" t="s">
        <v>7065</v>
      </c>
      <c r="C259" s="4" t="s">
        <v>12489</v>
      </c>
      <c r="D259" s="146">
        <v>4696</v>
      </c>
      <c r="E259" s="146">
        <v>4873</v>
      </c>
      <c r="F259" s="146">
        <v>4950</v>
      </c>
      <c r="G259" s="48">
        <v>5056</v>
      </c>
      <c r="H259" s="48">
        <v>4943</v>
      </c>
      <c r="I259" s="48">
        <v>4836</v>
      </c>
      <c r="J259" s="48">
        <v>4626</v>
      </c>
      <c r="K259" s="48">
        <v>4814</v>
      </c>
      <c r="L259" s="48">
        <v>4849</v>
      </c>
      <c r="M259" s="65"/>
      <c r="N259" s="67" t="s">
        <v>6892</v>
      </c>
      <c r="O259" s="4"/>
      <c r="Q259" s="4"/>
    </row>
    <row r="260" spans="1:17">
      <c r="A260" s="154">
        <v>3</v>
      </c>
      <c r="B260" s="67" t="s">
        <v>7066</v>
      </c>
      <c r="C260" s="4" t="s">
        <v>12490</v>
      </c>
      <c r="D260" s="146">
        <v>4846</v>
      </c>
      <c r="E260" s="146">
        <v>4899</v>
      </c>
      <c r="F260" s="146">
        <v>4972</v>
      </c>
      <c r="G260" s="48">
        <v>5025</v>
      </c>
      <c r="H260" s="48">
        <v>4979</v>
      </c>
      <c r="I260" s="48">
        <v>4967</v>
      </c>
      <c r="J260" s="48">
        <v>4775</v>
      </c>
      <c r="K260" s="48">
        <v>4882</v>
      </c>
      <c r="L260" s="48">
        <v>4800</v>
      </c>
      <c r="M260" s="65"/>
      <c r="N260" s="67" t="s">
        <v>6892</v>
      </c>
      <c r="O260" s="4"/>
      <c r="Q260" s="4"/>
    </row>
    <row r="261" spans="1:17">
      <c r="A261" s="154">
        <v>4</v>
      </c>
      <c r="B261" s="67" t="s">
        <v>7067</v>
      </c>
      <c r="C261" s="4" t="s">
        <v>12491</v>
      </c>
      <c r="D261" s="146">
        <v>4344</v>
      </c>
      <c r="E261" s="146">
        <v>4474</v>
      </c>
      <c r="F261" s="146">
        <v>4550</v>
      </c>
      <c r="G261" s="48">
        <v>4580</v>
      </c>
      <c r="H261" s="48">
        <v>4517</v>
      </c>
      <c r="I261" s="48">
        <v>4434</v>
      </c>
      <c r="J261" s="48">
        <v>4284</v>
      </c>
      <c r="K261" s="48">
        <v>4389</v>
      </c>
      <c r="L261" s="48">
        <v>4408</v>
      </c>
      <c r="M261" s="65"/>
      <c r="N261" s="67" t="s">
        <v>6892</v>
      </c>
      <c r="O261" s="4"/>
      <c r="Q261" s="4"/>
    </row>
    <row r="262" spans="1:17">
      <c r="A262" s="154">
        <v>5</v>
      </c>
      <c r="B262" s="67" t="s">
        <v>7605</v>
      </c>
      <c r="C262" s="72" t="s">
        <v>13450</v>
      </c>
      <c r="D262" s="146">
        <v>0</v>
      </c>
      <c r="E262" s="146">
        <v>0</v>
      </c>
      <c r="F262" s="146">
        <v>0</v>
      </c>
      <c r="G262" s="48">
        <v>0</v>
      </c>
      <c r="H262" s="48">
        <v>41</v>
      </c>
      <c r="I262" s="48">
        <v>37</v>
      </c>
      <c r="J262" s="48">
        <v>40</v>
      </c>
      <c r="K262" s="48">
        <v>37</v>
      </c>
      <c r="L262" s="48">
        <v>35</v>
      </c>
      <c r="M262" s="65"/>
      <c r="N262" s="67" t="s">
        <v>6888</v>
      </c>
      <c r="O262" s="4"/>
      <c r="Q262" s="4"/>
    </row>
    <row r="263" spans="1:17" ht="15.75" thickBot="1">
      <c r="A263" s="154"/>
      <c r="B263" s="67"/>
      <c r="C263" s="72" t="s">
        <v>13450</v>
      </c>
      <c r="D263" s="149">
        <v>4872</v>
      </c>
      <c r="E263" s="149">
        <v>4969</v>
      </c>
      <c r="F263" s="149">
        <v>4982</v>
      </c>
      <c r="G263" s="159">
        <v>4970</v>
      </c>
      <c r="H263" s="48">
        <v>4886</v>
      </c>
      <c r="I263" s="48">
        <v>4871</v>
      </c>
      <c r="J263" s="48">
        <v>4695</v>
      </c>
      <c r="K263" s="48">
        <v>4875</v>
      </c>
      <c r="L263" s="48">
        <v>4845</v>
      </c>
      <c r="M263" s="65"/>
      <c r="N263" s="67" t="s">
        <v>6892</v>
      </c>
      <c r="O263" s="4"/>
      <c r="Q263" s="4"/>
    </row>
    <row r="264" spans="1:17" ht="15.75" thickBot="1">
      <c r="A264" s="154"/>
      <c r="B264" s="67"/>
      <c r="C264" s="72" t="s">
        <v>13450</v>
      </c>
      <c r="D264" s="158">
        <f>D262+D263</f>
        <v>4872</v>
      </c>
      <c r="E264" s="158">
        <f t="shared" ref="E264:L264" si="198">E262+E263</f>
        <v>4969</v>
      </c>
      <c r="F264" s="158">
        <f t="shared" si="198"/>
        <v>4982</v>
      </c>
      <c r="G264" s="158">
        <f t="shared" si="198"/>
        <v>4970</v>
      </c>
      <c r="H264" s="158">
        <f t="shared" si="198"/>
        <v>4927</v>
      </c>
      <c r="I264" s="158">
        <f t="shared" si="198"/>
        <v>4908</v>
      </c>
      <c r="J264" s="158">
        <f t="shared" si="198"/>
        <v>4735</v>
      </c>
      <c r="K264" s="158">
        <f t="shared" si="198"/>
        <v>4912</v>
      </c>
      <c r="L264" s="158">
        <f t="shared" si="198"/>
        <v>4880</v>
      </c>
      <c r="M264" s="65"/>
      <c r="N264" s="67"/>
      <c r="O264" s="4"/>
      <c r="Q264" s="4"/>
    </row>
    <row r="265" spans="1:17">
      <c r="A265" s="154">
        <v>6</v>
      </c>
      <c r="B265" s="67" t="s">
        <v>7068</v>
      </c>
      <c r="C265" s="4" t="s">
        <v>12492</v>
      </c>
      <c r="D265" s="146">
        <v>4621</v>
      </c>
      <c r="E265" s="146">
        <v>4670</v>
      </c>
      <c r="F265" s="146">
        <v>4662</v>
      </c>
      <c r="G265" s="48">
        <v>4728</v>
      </c>
      <c r="H265" s="48">
        <v>4613</v>
      </c>
      <c r="I265" s="48">
        <v>4586</v>
      </c>
      <c r="J265" s="48">
        <v>4410</v>
      </c>
      <c r="K265" s="48">
        <v>4490</v>
      </c>
      <c r="L265" s="48">
        <v>4449</v>
      </c>
      <c r="M265" s="65"/>
      <c r="N265" s="67" t="s">
        <v>6892</v>
      </c>
      <c r="O265" s="4"/>
      <c r="Q265" s="4"/>
    </row>
    <row r="266" spans="1:17">
      <c r="A266" s="154">
        <v>7</v>
      </c>
      <c r="B266" s="67" t="s">
        <v>3707</v>
      </c>
      <c r="C266" s="4" t="s">
        <v>12493</v>
      </c>
      <c r="D266" s="146">
        <v>5530</v>
      </c>
      <c r="E266" s="146">
        <v>5858</v>
      </c>
      <c r="F266" s="146">
        <v>5967</v>
      </c>
      <c r="G266" s="48">
        <v>6099</v>
      </c>
      <c r="H266" s="48">
        <v>5970</v>
      </c>
      <c r="I266" s="48">
        <v>5934</v>
      </c>
      <c r="J266" s="48">
        <v>5719</v>
      </c>
      <c r="K266" s="48">
        <v>5967</v>
      </c>
      <c r="L266" s="48">
        <v>6034</v>
      </c>
      <c r="M266" s="65"/>
      <c r="N266" s="67" t="s">
        <v>6892</v>
      </c>
      <c r="O266" s="4"/>
      <c r="Q266" s="4"/>
    </row>
    <row r="267" spans="1:17">
      <c r="A267" s="154">
        <v>8</v>
      </c>
      <c r="B267" s="67" t="s">
        <v>7069</v>
      </c>
      <c r="C267" s="4" t="s">
        <v>12494</v>
      </c>
      <c r="D267" s="146">
        <v>4482</v>
      </c>
      <c r="E267" s="146">
        <v>4538</v>
      </c>
      <c r="F267" s="146">
        <v>4600</v>
      </c>
      <c r="G267" s="48">
        <v>4657</v>
      </c>
      <c r="H267" s="48">
        <v>4658</v>
      </c>
      <c r="I267" s="48">
        <v>4581</v>
      </c>
      <c r="J267" s="48">
        <v>4411</v>
      </c>
      <c r="K267" s="48">
        <v>4586</v>
      </c>
      <c r="L267" s="48">
        <v>4556</v>
      </c>
      <c r="M267" s="65"/>
      <c r="N267" s="67" t="s">
        <v>6892</v>
      </c>
      <c r="Q267" s="4"/>
    </row>
    <row r="268" spans="1:17">
      <c r="A268" s="154">
        <v>9</v>
      </c>
      <c r="B268" s="67" t="s">
        <v>7070</v>
      </c>
      <c r="C268" s="4" t="s">
        <v>12495</v>
      </c>
      <c r="D268" s="146">
        <v>4585</v>
      </c>
      <c r="E268" s="146">
        <v>4681</v>
      </c>
      <c r="F268" s="146">
        <v>4704</v>
      </c>
      <c r="G268" s="48">
        <v>4804</v>
      </c>
      <c r="H268" s="48">
        <v>4865</v>
      </c>
      <c r="I268" s="48">
        <v>4814</v>
      </c>
      <c r="J268" s="48">
        <v>4691</v>
      </c>
      <c r="K268" s="48">
        <v>4737</v>
      </c>
      <c r="L268" s="48">
        <v>4889</v>
      </c>
      <c r="M268" s="65"/>
      <c r="N268" s="67" t="s">
        <v>6892</v>
      </c>
      <c r="O268" s="4"/>
      <c r="Q268" s="4"/>
    </row>
    <row r="269" spans="1:17">
      <c r="A269" s="154">
        <v>10</v>
      </c>
      <c r="B269" s="67" t="s">
        <v>8737</v>
      </c>
      <c r="C269" s="4" t="s">
        <v>12496</v>
      </c>
      <c r="D269" s="146">
        <v>4301</v>
      </c>
      <c r="E269" s="146">
        <v>4446</v>
      </c>
      <c r="F269" s="146">
        <v>4663</v>
      </c>
      <c r="G269" s="48">
        <v>4766</v>
      </c>
      <c r="H269" s="48">
        <v>4809</v>
      </c>
      <c r="I269" s="48">
        <v>4815</v>
      </c>
      <c r="J269" s="48">
        <v>4696</v>
      </c>
      <c r="K269" s="48">
        <v>4932</v>
      </c>
      <c r="L269" s="48">
        <v>5002</v>
      </c>
      <c r="M269" s="65"/>
      <c r="N269" s="67" t="s">
        <v>6892</v>
      </c>
      <c r="O269" s="4"/>
      <c r="Q269" s="4"/>
    </row>
    <row r="270" spans="1:17">
      <c r="A270" s="154">
        <v>11</v>
      </c>
      <c r="B270" s="67" t="s">
        <v>7071</v>
      </c>
      <c r="C270" s="4" t="s">
        <v>12497</v>
      </c>
      <c r="D270" s="146">
        <v>4324</v>
      </c>
      <c r="E270" s="146">
        <v>4408</v>
      </c>
      <c r="F270" s="146">
        <v>4483</v>
      </c>
      <c r="G270" s="48">
        <v>4600</v>
      </c>
      <c r="H270" s="48">
        <v>4564</v>
      </c>
      <c r="I270" s="48">
        <v>4513</v>
      </c>
      <c r="J270" s="48">
        <v>4324</v>
      </c>
      <c r="K270" s="48">
        <v>4427</v>
      </c>
      <c r="L270" s="48">
        <v>4396</v>
      </c>
      <c r="M270" s="65"/>
      <c r="N270" s="67" t="s">
        <v>6892</v>
      </c>
      <c r="O270" s="4"/>
      <c r="Q270" s="4"/>
    </row>
    <row r="271" spans="1:17">
      <c r="A271" s="154">
        <v>12</v>
      </c>
      <c r="B271" s="67" t="s">
        <v>5263</v>
      </c>
      <c r="C271" s="4" t="s">
        <v>12498</v>
      </c>
      <c r="D271" s="146">
        <v>4317</v>
      </c>
      <c r="E271" s="146">
        <v>4380</v>
      </c>
      <c r="F271" s="146">
        <v>4376</v>
      </c>
      <c r="G271" s="48">
        <v>4408</v>
      </c>
      <c r="H271" s="48">
        <v>4301</v>
      </c>
      <c r="I271" s="48">
        <v>4269</v>
      </c>
      <c r="J271" s="48">
        <v>4142</v>
      </c>
      <c r="K271" s="48">
        <v>4229</v>
      </c>
      <c r="L271" s="48">
        <v>4258</v>
      </c>
      <c r="M271" s="65"/>
      <c r="N271" s="67" t="s">
        <v>6892</v>
      </c>
      <c r="O271" s="4"/>
      <c r="Q271" s="4"/>
    </row>
    <row r="272" spans="1:17">
      <c r="A272" s="154">
        <v>13</v>
      </c>
      <c r="B272" s="67" t="s">
        <v>5264</v>
      </c>
      <c r="C272" s="4" t="s">
        <v>12499</v>
      </c>
      <c r="D272" s="146">
        <v>4044</v>
      </c>
      <c r="E272" s="146">
        <v>4142</v>
      </c>
      <c r="F272" s="146">
        <v>4148</v>
      </c>
      <c r="G272" s="48">
        <v>4204</v>
      </c>
      <c r="H272" s="48">
        <v>4129</v>
      </c>
      <c r="I272" s="48">
        <v>4100</v>
      </c>
      <c r="J272" s="48">
        <v>3974</v>
      </c>
      <c r="K272" s="48">
        <v>4121</v>
      </c>
      <c r="L272" s="48">
        <v>4137</v>
      </c>
      <c r="M272" s="65"/>
      <c r="N272" s="67" t="s">
        <v>6892</v>
      </c>
    </row>
    <row r="273" spans="1:15">
      <c r="A273" s="65"/>
      <c r="B273" s="65"/>
      <c r="D273" s="147"/>
      <c r="E273" s="147"/>
      <c r="F273" s="147"/>
      <c r="G273" s="147"/>
      <c r="H273" s="147"/>
      <c r="I273" s="147"/>
      <c r="J273" s="147"/>
      <c r="K273" s="147"/>
      <c r="L273" s="147"/>
      <c r="M273" s="65"/>
      <c r="N273" s="65"/>
    </row>
    <row r="274" spans="1:15">
      <c r="A274" s="67" t="s">
        <v>6104</v>
      </c>
      <c r="B274" s="65"/>
      <c r="D274" s="147">
        <f>D262</f>
        <v>0</v>
      </c>
      <c r="E274" s="147">
        <f t="shared" ref="E274:H274" si="199">E262</f>
        <v>0</v>
      </c>
      <c r="F274" s="147">
        <f t="shared" si="199"/>
        <v>0</v>
      </c>
      <c r="G274" s="147">
        <f t="shared" si="199"/>
        <v>0</v>
      </c>
      <c r="H274" s="147">
        <f t="shared" si="199"/>
        <v>41</v>
      </c>
      <c r="I274" s="147">
        <f t="shared" ref="I274:J274" si="200">I262</f>
        <v>37</v>
      </c>
      <c r="J274" s="147">
        <f t="shared" si="200"/>
        <v>40</v>
      </c>
      <c r="K274" s="147">
        <f t="shared" ref="K274:L274" si="201">K262</f>
        <v>37</v>
      </c>
      <c r="L274" s="147">
        <f t="shared" si="201"/>
        <v>35</v>
      </c>
      <c r="M274" s="65"/>
      <c r="N274" s="65"/>
    </row>
    <row r="275" spans="1:15">
      <c r="A275" s="67" t="s">
        <v>6114</v>
      </c>
      <c r="C275" s="65"/>
      <c r="D275" s="146">
        <f>SUM(D258:D261)+D263+SUM(D265:D272)</f>
        <v>59801</v>
      </c>
      <c r="E275" s="146">
        <f t="shared" ref="E275:H275" si="202">SUM(E258:E261)+E263+SUM(E265:E272)</f>
        <v>61203</v>
      </c>
      <c r="F275" s="146">
        <f t="shared" si="202"/>
        <v>61966</v>
      </c>
      <c r="G275" s="146">
        <f t="shared" si="202"/>
        <v>62835</v>
      </c>
      <c r="H275" s="146">
        <f t="shared" si="202"/>
        <v>62221</v>
      </c>
      <c r="I275" s="146">
        <f t="shared" ref="I275:J275" si="203">SUM(I258:I261)+I263+SUM(I265:I272)</f>
        <v>61643</v>
      </c>
      <c r="J275" s="146">
        <f t="shared" si="203"/>
        <v>59580</v>
      </c>
      <c r="K275" s="146">
        <f t="shared" ref="K275:L275" si="204">SUM(K258:K261)+K263+SUM(K265:K272)</f>
        <v>61347</v>
      </c>
      <c r="L275" s="146">
        <f t="shared" si="204"/>
        <v>61531</v>
      </c>
      <c r="M275" s="65"/>
      <c r="N275" s="65"/>
    </row>
    <row r="276" spans="1:1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</row>
    <row r="277" spans="1:15">
      <c r="A277" s="66" t="s">
        <v>13338</v>
      </c>
      <c r="C277" s="65"/>
      <c r="D277" s="155"/>
      <c r="E277" s="155"/>
      <c r="F277" s="155"/>
      <c r="G277" s="155"/>
      <c r="H277" s="155"/>
      <c r="I277" s="155"/>
      <c r="J277" s="155"/>
      <c r="K277" s="155"/>
      <c r="L277" s="155"/>
      <c r="M277" s="65"/>
      <c r="N277" s="65"/>
    </row>
    <row r="278" spans="1:15">
      <c r="A278" s="66" t="s">
        <v>13410</v>
      </c>
      <c r="B278" s="67"/>
      <c r="C278" s="65"/>
      <c r="D278" s="155"/>
      <c r="E278" s="155"/>
      <c r="F278" s="155"/>
      <c r="G278" s="155"/>
      <c r="H278" s="155"/>
      <c r="I278" s="155"/>
      <c r="J278" s="155"/>
      <c r="K278" s="155"/>
      <c r="L278" s="155"/>
      <c r="M278" s="65"/>
      <c r="N278" s="65"/>
    </row>
    <row r="279" spans="1:15">
      <c r="B279" s="67"/>
      <c r="C279" s="65"/>
      <c r="D279" s="155"/>
      <c r="E279" s="155"/>
      <c r="F279" s="155"/>
      <c r="G279" s="155"/>
      <c r="H279" s="155"/>
      <c r="I279" s="155"/>
      <c r="J279" s="155"/>
      <c r="K279" s="155"/>
      <c r="L279" s="155"/>
      <c r="M279" s="65"/>
      <c r="N279" s="65"/>
    </row>
    <row r="280" spans="1:15">
      <c r="A280" s="67"/>
      <c r="B280" s="67"/>
      <c r="C280" s="65"/>
      <c r="D280" s="155"/>
      <c r="E280" s="155"/>
      <c r="F280" s="155"/>
      <c r="G280" s="155"/>
      <c r="H280" s="155"/>
      <c r="I280" s="155"/>
      <c r="J280" s="155"/>
      <c r="K280" s="155"/>
      <c r="L280" s="155"/>
      <c r="M280" s="65"/>
      <c r="N280" s="65"/>
    </row>
    <row r="281" spans="1:15">
      <c r="A281" s="65"/>
      <c r="B281" s="65"/>
      <c r="E281" s="42" t="s">
        <v>2303</v>
      </c>
      <c r="F281" s="42"/>
      <c r="G281" s="42"/>
      <c r="H281" s="42"/>
      <c r="I281" s="42"/>
      <c r="J281" s="42"/>
      <c r="K281" s="42"/>
      <c r="L281" s="42"/>
      <c r="M281" s="153"/>
      <c r="N281" s="109" t="s">
        <v>13319</v>
      </c>
    </row>
    <row r="282" spans="1:15">
      <c r="A282" s="65"/>
      <c r="B282" s="65"/>
      <c r="D282" s="110">
        <v>2010</v>
      </c>
      <c r="E282" s="110">
        <v>2011</v>
      </c>
      <c r="F282" s="110">
        <v>2012</v>
      </c>
      <c r="G282" s="110">
        <v>2013</v>
      </c>
      <c r="H282" s="110">
        <v>2014</v>
      </c>
      <c r="I282" s="110">
        <v>2015</v>
      </c>
      <c r="J282" s="110">
        <v>2016</v>
      </c>
      <c r="K282" s="110">
        <v>2017</v>
      </c>
      <c r="L282" s="110">
        <v>2018</v>
      </c>
      <c r="M282" s="111"/>
      <c r="N282" s="112" t="s">
        <v>2304</v>
      </c>
    </row>
    <row r="283" spans="1:15">
      <c r="A283" s="67" t="s">
        <v>5265</v>
      </c>
      <c r="D283" s="146">
        <f t="shared" ref="D283:H283" si="205">D284+D285+D287+D288+SUM(D290:D295)+SUM(D297:D300)+SUM(D302:D304)</f>
        <v>64499</v>
      </c>
      <c r="E283" s="146">
        <f t="shared" si="205"/>
        <v>64926</v>
      </c>
      <c r="F283" s="146">
        <f t="shared" si="205"/>
        <v>65668</v>
      </c>
      <c r="G283" s="146">
        <f t="shared" si="205"/>
        <v>66415</v>
      </c>
      <c r="H283" s="146">
        <f t="shared" si="205"/>
        <v>66463</v>
      </c>
      <c r="I283" s="146">
        <f>I284+I285+I287+I288+SUM(I290:I295)+SUM(I297:I300)+SUM(I302:I304)</f>
        <v>65252</v>
      </c>
      <c r="J283" s="146">
        <f>J284+J285+J287+J288+SUM(J290:J295)+SUM(J297:J300)+SUM(J302:J304)</f>
        <v>66161</v>
      </c>
      <c r="K283" s="146">
        <f>K284+K285+K287+K288+SUM(K290:K295)+SUM(K297:K300)+SUM(K302:K304)</f>
        <v>66556</v>
      </c>
      <c r="L283" s="146">
        <f>L284+L285+L287+L288+SUM(L290:L295)+SUM(L297:L300)+SUM(L302:L304)</f>
        <v>66644</v>
      </c>
      <c r="M283" s="65"/>
      <c r="N283" s="65"/>
    </row>
    <row r="284" spans="1:15">
      <c r="A284" s="154">
        <v>1</v>
      </c>
      <c r="B284" s="72" t="s">
        <v>13764</v>
      </c>
      <c r="C284" s="72" t="s">
        <v>13763</v>
      </c>
      <c r="D284" s="146">
        <v>3033</v>
      </c>
      <c r="E284" s="146">
        <v>3008</v>
      </c>
      <c r="F284" s="146">
        <v>2995</v>
      </c>
      <c r="G284" s="146">
        <v>3059</v>
      </c>
      <c r="H284" s="30">
        <v>3098</v>
      </c>
      <c r="I284" s="30">
        <v>1092</v>
      </c>
      <c r="J284" s="30">
        <v>1111</v>
      </c>
      <c r="K284" s="30">
        <v>1106</v>
      </c>
      <c r="L284" s="30">
        <v>1124</v>
      </c>
      <c r="M284" s="65"/>
      <c r="N284" s="67" t="s">
        <v>6891</v>
      </c>
      <c r="O284" s="4"/>
    </row>
    <row r="285" spans="1:15" ht="15.75" thickBot="1">
      <c r="A285" s="154"/>
      <c r="B285" s="72"/>
      <c r="C285" s="72" t="s">
        <v>13763</v>
      </c>
      <c r="D285" s="146">
        <v>0</v>
      </c>
      <c r="E285" s="146">
        <v>0</v>
      </c>
      <c r="F285" s="146">
        <v>0</v>
      </c>
      <c r="G285" s="146">
        <v>0</v>
      </c>
      <c r="H285" s="31">
        <v>0</v>
      </c>
      <c r="I285" s="30">
        <v>3856</v>
      </c>
      <c r="J285" s="30">
        <v>3861</v>
      </c>
      <c r="K285" s="30">
        <v>3915</v>
      </c>
      <c r="L285" s="30">
        <v>3858</v>
      </c>
      <c r="M285" s="65"/>
      <c r="N285" s="67" t="s">
        <v>6893</v>
      </c>
      <c r="O285" s="4"/>
    </row>
    <row r="286" spans="1:15" ht="15.75" thickBot="1">
      <c r="A286" s="154"/>
      <c r="B286" s="72"/>
      <c r="C286" s="72" t="s">
        <v>13763</v>
      </c>
      <c r="D286" s="158">
        <f>D284+D285</f>
        <v>3033</v>
      </c>
      <c r="E286" s="158">
        <f t="shared" ref="E286:L286" si="206">E284+E285</f>
        <v>3008</v>
      </c>
      <c r="F286" s="158">
        <f t="shared" si="206"/>
        <v>2995</v>
      </c>
      <c r="G286" s="158">
        <f t="shared" si="206"/>
        <v>3059</v>
      </c>
      <c r="H286" s="158">
        <f t="shared" si="206"/>
        <v>3098</v>
      </c>
      <c r="I286" s="158">
        <f t="shared" si="206"/>
        <v>4948</v>
      </c>
      <c r="J286" s="158">
        <f t="shared" si="206"/>
        <v>4972</v>
      </c>
      <c r="K286" s="158">
        <f t="shared" si="206"/>
        <v>5021</v>
      </c>
      <c r="L286" s="158">
        <f t="shared" si="206"/>
        <v>4982</v>
      </c>
      <c r="M286" s="65"/>
      <c r="N286" s="67"/>
      <c r="O286" s="4"/>
    </row>
    <row r="287" spans="1:15">
      <c r="A287" s="154">
        <v>2</v>
      </c>
      <c r="B287" s="72" t="s">
        <v>6981</v>
      </c>
      <c r="C287" s="72" t="s">
        <v>13765</v>
      </c>
      <c r="D287" s="146">
        <v>0</v>
      </c>
      <c r="E287" s="146">
        <v>0</v>
      </c>
      <c r="F287" s="146">
        <v>0</v>
      </c>
      <c r="G287" s="146">
        <v>0</v>
      </c>
      <c r="H287" s="30">
        <v>0</v>
      </c>
      <c r="I287" s="30">
        <v>1122</v>
      </c>
      <c r="J287" s="30">
        <v>1131</v>
      </c>
      <c r="K287" s="30">
        <v>1170</v>
      </c>
      <c r="L287" s="30">
        <v>1172</v>
      </c>
      <c r="N287" s="66" t="s">
        <v>6889</v>
      </c>
      <c r="O287" s="4"/>
    </row>
    <row r="288" spans="1:15" ht="15.75" thickBot="1">
      <c r="A288" s="154"/>
      <c r="B288" s="72"/>
      <c r="C288" s="72" t="s">
        <v>13765</v>
      </c>
      <c r="D288" s="146">
        <v>0</v>
      </c>
      <c r="E288" s="146">
        <v>0</v>
      </c>
      <c r="F288" s="146">
        <v>0</v>
      </c>
      <c r="G288" s="146">
        <v>0</v>
      </c>
      <c r="H288" s="30">
        <v>0</v>
      </c>
      <c r="I288" s="30">
        <v>3881</v>
      </c>
      <c r="J288" s="30">
        <v>3875</v>
      </c>
      <c r="K288" s="30">
        <v>3864</v>
      </c>
      <c r="L288" s="30">
        <v>3855</v>
      </c>
      <c r="M288" s="65"/>
      <c r="N288" s="67" t="s">
        <v>6893</v>
      </c>
      <c r="O288" s="4"/>
    </row>
    <row r="289" spans="1:15" ht="15.75" thickBot="1">
      <c r="A289" s="154"/>
      <c r="B289" s="72"/>
      <c r="C289" s="72" t="s">
        <v>13765</v>
      </c>
      <c r="D289" s="158">
        <f>D287+D288</f>
        <v>0</v>
      </c>
      <c r="E289" s="158">
        <f t="shared" ref="E289:L289" si="207">E287+E288</f>
        <v>0</v>
      </c>
      <c r="F289" s="158">
        <f t="shared" si="207"/>
        <v>0</v>
      </c>
      <c r="G289" s="158">
        <f t="shared" si="207"/>
        <v>0</v>
      </c>
      <c r="H289" s="158">
        <f t="shared" si="207"/>
        <v>0</v>
      </c>
      <c r="I289" s="158">
        <f t="shared" si="207"/>
        <v>5003</v>
      </c>
      <c r="J289" s="158">
        <f t="shared" si="207"/>
        <v>5006</v>
      </c>
      <c r="K289" s="158">
        <f t="shared" si="207"/>
        <v>5034</v>
      </c>
      <c r="L289" s="158">
        <f t="shared" si="207"/>
        <v>5027</v>
      </c>
      <c r="M289" s="65"/>
      <c r="N289" s="67"/>
      <c r="O289" s="4"/>
    </row>
    <row r="290" spans="1:15">
      <c r="A290" s="154">
        <v>3</v>
      </c>
      <c r="B290" s="72" t="s">
        <v>13767</v>
      </c>
      <c r="C290" s="72" t="s">
        <v>13766</v>
      </c>
      <c r="D290" s="146">
        <v>43730</v>
      </c>
      <c r="E290" s="146">
        <v>43986</v>
      </c>
      <c r="F290" s="146">
        <v>44511</v>
      </c>
      <c r="G290" s="146">
        <v>45065</v>
      </c>
      <c r="H290" s="31">
        <v>45058</v>
      </c>
      <c r="I290" s="30">
        <v>5711</v>
      </c>
      <c r="J290" s="30">
        <v>5848</v>
      </c>
      <c r="K290" s="30">
        <v>5807</v>
      </c>
      <c r="L290" s="30">
        <v>5815</v>
      </c>
      <c r="N290" s="66" t="s">
        <v>6889</v>
      </c>
      <c r="O290" s="4"/>
    </row>
    <row r="291" spans="1:15">
      <c r="A291" s="154">
        <v>4</v>
      </c>
      <c r="B291" s="72" t="s">
        <v>13769</v>
      </c>
      <c r="C291" s="72" t="s">
        <v>13768</v>
      </c>
      <c r="D291" s="146">
        <v>0</v>
      </c>
      <c r="E291" s="146">
        <v>0</v>
      </c>
      <c r="F291" s="146">
        <v>0</v>
      </c>
      <c r="G291" s="146">
        <v>0</v>
      </c>
      <c r="H291" s="31">
        <v>0</v>
      </c>
      <c r="I291" s="30">
        <v>5605</v>
      </c>
      <c r="J291" s="30">
        <v>5728</v>
      </c>
      <c r="K291" s="30">
        <v>5784</v>
      </c>
      <c r="L291" s="30">
        <v>5757</v>
      </c>
      <c r="M291" s="65"/>
      <c r="N291" s="67" t="s">
        <v>6889</v>
      </c>
      <c r="O291" s="4"/>
    </row>
    <row r="292" spans="1:15">
      <c r="A292" s="154">
        <v>5</v>
      </c>
      <c r="B292" s="72" t="s">
        <v>13771</v>
      </c>
      <c r="C292" s="72" t="s">
        <v>13770</v>
      </c>
      <c r="D292" s="146">
        <v>0</v>
      </c>
      <c r="E292" s="146">
        <v>0</v>
      </c>
      <c r="F292" s="146">
        <v>0</v>
      </c>
      <c r="G292" s="146">
        <v>0</v>
      </c>
      <c r="H292" s="30">
        <v>0</v>
      </c>
      <c r="I292" s="30">
        <v>5080</v>
      </c>
      <c r="J292" s="30">
        <v>5147</v>
      </c>
      <c r="K292" s="30">
        <v>5109</v>
      </c>
      <c r="L292" s="30">
        <v>5089</v>
      </c>
      <c r="M292" s="65"/>
      <c r="N292" s="67" t="s">
        <v>6889</v>
      </c>
      <c r="O292" s="4"/>
    </row>
    <row r="293" spans="1:15">
      <c r="A293" s="154">
        <v>6</v>
      </c>
      <c r="B293" s="72" t="s">
        <v>13773</v>
      </c>
      <c r="C293" s="72" t="s">
        <v>13772</v>
      </c>
      <c r="D293" s="146">
        <v>0</v>
      </c>
      <c r="E293" s="146">
        <v>0</v>
      </c>
      <c r="F293" s="146">
        <v>0</v>
      </c>
      <c r="G293" s="146">
        <v>0</v>
      </c>
      <c r="H293" s="30">
        <v>0</v>
      </c>
      <c r="I293" s="30">
        <v>5001</v>
      </c>
      <c r="J293" s="30">
        <v>5026</v>
      </c>
      <c r="K293" s="30">
        <v>4965</v>
      </c>
      <c r="L293" s="30">
        <v>4957</v>
      </c>
      <c r="M293" s="65"/>
      <c r="N293" s="67" t="s">
        <v>6889</v>
      </c>
      <c r="O293" s="4"/>
    </row>
    <row r="294" spans="1:15">
      <c r="A294" s="154">
        <v>7</v>
      </c>
      <c r="B294" s="72" t="s">
        <v>13775</v>
      </c>
      <c r="C294" s="72" t="s">
        <v>13774</v>
      </c>
      <c r="D294" s="146">
        <v>0</v>
      </c>
      <c r="E294" s="146">
        <v>0</v>
      </c>
      <c r="F294" s="146">
        <v>0</v>
      </c>
      <c r="G294" s="146">
        <v>0</v>
      </c>
      <c r="H294" s="30">
        <v>0</v>
      </c>
      <c r="I294" s="30">
        <v>1931</v>
      </c>
      <c r="J294" s="30">
        <v>1998</v>
      </c>
      <c r="K294" s="30">
        <v>1981</v>
      </c>
      <c r="L294" s="30">
        <v>1977</v>
      </c>
      <c r="M294" s="65"/>
      <c r="N294" s="67" t="s">
        <v>6891</v>
      </c>
      <c r="O294" s="4"/>
    </row>
    <row r="295" spans="1:15" ht="15.75" thickBot="1">
      <c r="A295" s="154"/>
      <c r="B295" s="72"/>
      <c r="C295" s="72" t="s">
        <v>13774</v>
      </c>
      <c r="D295" s="146">
        <v>0</v>
      </c>
      <c r="E295" s="146">
        <v>0</v>
      </c>
      <c r="F295" s="146">
        <v>0</v>
      </c>
      <c r="G295" s="146">
        <v>0</v>
      </c>
      <c r="H295" s="30">
        <v>0</v>
      </c>
      <c r="I295" s="30">
        <v>2939</v>
      </c>
      <c r="J295" s="30">
        <v>2928</v>
      </c>
      <c r="K295" s="30">
        <v>2966</v>
      </c>
      <c r="L295" s="30">
        <v>2944</v>
      </c>
      <c r="M295" s="65"/>
      <c r="N295" s="67" t="s">
        <v>6893</v>
      </c>
      <c r="O295" s="4"/>
    </row>
    <row r="296" spans="1:15" ht="15.75" thickBot="1">
      <c r="A296" s="154"/>
      <c r="B296" s="72"/>
      <c r="C296" s="72" t="s">
        <v>13774</v>
      </c>
      <c r="D296" s="158">
        <f>D294+D295</f>
        <v>0</v>
      </c>
      <c r="E296" s="158">
        <f t="shared" ref="E296:L296" si="208">E294+E295</f>
        <v>0</v>
      </c>
      <c r="F296" s="158">
        <f t="shared" si="208"/>
        <v>0</v>
      </c>
      <c r="G296" s="158">
        <f t="shared" si="208"/>
        <v>0</v>
      </c>
      <c r="H296" s="158">
        <f t="shared" si="208"/>
        <v>0</v>
      </c>
      <c r="I296" s="158">
        <f t="shared" si="208"/>
        <v>4870</v>
      </c>
      <c r="J296" s="158">
        <f t="shared" si="208"/>
        <v>4926</v>
      </c>
      <c r="K296" s="158">
        <f t="shared" si="208"/>
        <v>4947</v>
      </c>
      <c r="L296" s="158">
        <f t="shared" si="208"/>
        <v>4921</v>
      </c>
      <c r="M296" s="65"/>
      <c r="O296" s="4"/>
    </row>
    <row r="297" spans="1:15">
      <c r="A297" s="154">
        <v>8</v>
      </c>
      <c r="B297" s="72" t="s">
        <v>6226</v>
      </c>
      <c r="C297" s="72" t="s">
        <v>13776</v>
      </c>
      <c r="D297" s="146">
        <v>17736</v>
      </c>
      <c r="E297" s="146">
        <v>17932</v>
      </c>
      <c r="F297" s="146">
        <v>18162</v>
      </c>
      <c r="G297" s="146">
        <v>18291</v>
      </c>
      <c r="H297" s="30">
        <v>18307</v>
      </c>
      <c r="I297" s="31">
        <v>4795</v>
      </c>
      <c r="J297" s="31">
        <v>5111</v>
      </c>
      <c r="K297" s="31">
        <v>5337</v>
      </c>
      <c r="L297" s="31">
        <v>5452</v>
      </c>
      <c r="M297" s="65"/>
      <c r="N297" s="67" t="s">
        <v>6893</v>
      </c>
      <c r="O297" s="4"/>
    </row>
    <row r="298" spans="1:15">
      <c r="A298" s="154">
        <v>9</v>
      </c>
      <c r="B298" s="72" t="s">
        <v>6204</v>
      </c>
      <c r="C298" s="72" t="s">
        <v>13777</v>
      </c>
      <c r="D298" s="146">
        <v>0</v>
      </c>
      <c r="E298" s="146">
        <v>0</v>
      </c>
      <c r="F298" s="146">
        <v>0</v>
      </c>
      <c r="G298" s="146">
        <v>0</v>
      </c>
      <c r="H298" s="30">
        <v>0</v>
      </c>
      <c r="I298" s="30">
        <v>4607</v>
      </c>
      <c r="J298" s="30">
        <v>4571</v>
      </c>
      <c r="K298" s="30">
        <v>4593</v>
      </c>
      <c r="L298" s="30">
        <v>4606</v>
      </c>
      <c r="M298" s="65"/>
      <c r="N298" s="67" t="s">
        <v>6889</v>
      </c>
      <c r="O298" s="4"/>
    </row>
    <row r="299" spans="1:15">
      <c r="A299" s="154">
        <v>10</v>
      </c>
      <c r="B299" s="72" t="s">
        <v>13779</v>
      </c>
      <c r="C299" s="72" t="s">
        <v>13778</v>
      </c>
      <c r="D299" s="146">
        <v>0</v>
      </c>
      <c r="E299" s="146">
        <v>0</v>
      </c>
      <c r="F299" s="146">
        <v>0</v>
      </c>
      <c r="G299" s="146">
        <v>0</v>
      </c>
      <c r="H299" s="30">
        <v>0</v>
      </c>
      <c r="I299" s="30">
        <v>2261</v>
      </c>
      <c r="J299" s="30">
        <v>2256</v>
      </c>
      <c r="K299" s="30">
        <v>2297</v>
      </c>
      <c r="L299" s="30">
        <v>2315</v>
      </c>
      <c r="M299" s="65"/>
      <c r="N299" s="67" t="s">
        <v>6889</v>
      </c>
      <c r="O299" s="4"/>
    </row>
    <row r="300" spans="1:15" ht="15.75" thickBot="1">
      <c r="A300" s="154"/>
      <c r="B300" s="72"/>
      <c r="C300" s="72" t="s">
        <v>13778</v>
      </c>
      <c r="D300" s="146">
        <v>0</v>
      </c>
      <c r="E300" s="146">
        <v>0</v>
      </c>
      <c r="F300" s="146">
        <v>0</v>
      </c>
      <c r="G300" s="146">
        <v>0</v>
      </c>
      <c r="H300" s="31">
        <v>0</v>
      </c>
      <c r="I300" s="31">
        <v>2543</v>
      </c>
      <c r="J300" s="31">
        <v>2601</v>
      </c>
      <c r="K300" s="31">
        <v>2574</v>
      </c>
      <c r="L300" s="31">
        <v>2597</v>
      </c>
      <c r="M300" s="65"/>
      <c r="N300" s="67" t="s">
        <v>6893</v>
      </c>
      <c r="O300" s="4"/>
    </row>
    <row r="301" spans="1:15" ht="15.75" thickBot="1">
      <c r="A301" s="154"/>
      <c r="B301" s="72"/>
      <c r="C301" s="72" t="s">
        <v>13778</v>
      </c>
      <c r="D301" s="158">
        <f>D299+D300</f>
        <v>0</v>
      </c>
      <c r="E301" s="158">
        <f t="shared" ref="E301:L301" si="209">E299+E300</f>
        <v>0</v>
      </c>
      <c r="F301" s="158">
        <f t="shared" si="209"/>
        <v>0</v>
      </c>
      <c r="G301" s="158">
        <f t="shared" si="209"/>
        <v>0</v>
      </c>
      <c r="H301" s="158">
        <f t="shared" si="209"/>
        <v>0</v>
      </c>
      <c r="I301" s="158">
        <f t="shared" si="209"/>
        <v>4804</v>
      </c>
      <c r="J301" s="158">
        <f t="shared" si="209"/>
        <v>4857</v>
      </c>
      <c r="K301" s="158">
        <f t="shared" si="209"/>
        <v>4871</v>
      </c>
      <c r="L301" s="158">
        <f t="shared" si="209"/>
        <v>4912</v>
      </c>
      <c r="M301" s="65"/>
      <c r="N301" s="67"/>
      <c r="O301" s="4"/>
    </row>
    <row r="302" spans="1:15">
      <c r="A302" s="154">
        <v>11</v>
      </c>
      <c r="B302" s="72" t="s">
        <v>13781</v>
      </c>
      <c r="C302" s="72" t="s">
        <v>13780</v>
      </c>
      <c r="D302" s="146">
        <v>0</v>
      </c>
      <c r="E302" s="146">
        <v>0</v>
      </c>
      <c r="F302" s="146">
        <v>0</v>
      </c>
      <c r="G302" s="146">
        <v>0</v>
      </c>
      <c r="H302" s="31">
        <v>0</v>
      </c>
      <c r="I302" s="30">
        <v>5026</v>
      </c>
      <c r="J302" s="30">
        <v>5063</v>
      </c>
      <c r="K302" s="30">
        <v>5121</v>
      </c>
      <c r="L302" s="30">
        <v>5101</v>
      </c>
      <c r="M302" s="65"/>
      <c r="N302" s="67" t="s">
        <v>6889</v>
      </c>
      <c r="O302" s="4"/>
    </row>
    <row r="303" spans="1:15">
      <c r="A303" s="154">
        <v>12</v>
      </c>
      <c r="B303" s="72" t="s">
        <v>13783</v>
      </c>
      <c r="C303" s="72" t="s">
        <v>13782</v>
      </c>
      <c r="D303" s="146">
        <v>0</v>
      </c>
      <c r="E303" s="146">
        <v>0</v>
      </c>
      <c r="F303" s="146">
        <v>0</v>
      </c>
      <c r="G303" s="146">
        <v>0</v>
      </c>
      <c r="H303" s="31">
        <v>0</v>
      </c>
      <c r="I303" s="30">
        <v>5315</v>
      </c>
      <c r="J303" s="30">
        <v>5369</v>
      </c>
      <c r="K303" s="30">
        <v>5405</v>
      </c>
      <c r="L303" s="30">
        <v>5445</v>
      </c>
      <c r="M303" s="65"/>
      <c r="N303" s="67" t="s">
        <v>6889</v>
      </c>
      <c r="O303" s="4"/>
    </row>
    <row r="304" spans="1:15">
      <c r="A304" s="154">
        <v>13</v>
      </c>
      <c r="B304" s="72" t="s">
        <v>13785</v>
      </c>
      <c r="C304" s="72" t="s">
        <v>13784</v>
      </c>
      <c r="D304" s="146">
        <v>0</v>
      </c>
      <c r="E304" s="146">
        <v>0</v>
      </c>
      <c r="F304" s="146">
        <v>0</v>
      </c>
      <c r="G304" s="146">
        <v>0</v>
      </c>
      <c r="H304" s="30">
        <v>0</v>
      </c>
      <c r="I304" s="30">
        <v>4487</v>
      </c>
      <c r="J304" s="30">
        <v>4537</v>
      </c>
      <c r="K304" s="30">
        <v>4562</v>
      </c>
      <c r="L304" s="30">
        <v>4580</v>
      </c>
      <c r="M304" s="65"/>
      <c r="N304" s="67" t="s">
        <v>6889</v>
      </c>
      <c r="O304" s="4"/>
    </row>
    <row r="305" spans="1:17">
      <c r="A305" s="65"/>
      <c r="B305" s="65"/>
      <c r="D305" s="147"/>
      <c r="E305" s="147"/>
      <c r="F305" s="147"/>
      <c r="G305" s="147"/>
      <c r="H305" s="147"/>
      <c r="I305" s="147"/>
      <c r="J305" s="147"/>
      <c r="K305" s="147"/>
      <c r="L305" s="147"/>
      <c r="M305" s="65"/>
      <c r="N305" s="65"/>
    </row>
    <row r="306" spans="1:17">
      <c r="A306" s="67" t="s">
        <v>5188</v>
      </c>
      <c r="D306" s="146">
        <f t="shared" ref="D306:H306" si="210">D287+SUM(D290:D293)+D298+D299+SUM(D302:D304)</f>
        <v>43730</v>
      </c>
      <c r="E306" s="146">
        <f t="shared" si="210"/>
        <v>43986</v>
      </c>
      <c r="F306" s="146">
        <f t="shared" si="210"/>
        <v>44511</v>
      </c>
      <c r="G306" s="146">
        <f t="shared" si="210"/>
        <v>45065</v>
      </c>
      <c r="H306" s="146">
        <f t="shared" si="210"/>
        <v>45058</v>
      </c>
      <c r="I306" s="146">
        <f>I287+SUM(I290:I293)+I298+I299+SUM(I302:I304)</f>
        <v>44215</v>
      </c>
      <c r="J306" s="146">
        <f>J287+SUM(J290:J293)+J298+J299+SUM(J302:J304)</f>
        <v>44676</v>
      </c>
      <c r="K306" s="146">
        <f>K287+SUM(K290:K293)+K298+K299+SUM(K302:K304)</f>
        <v>44813</v>
      </c>
      <c r="L306" s="146">
        <f>L287+SUM(L290:L293)+L298+L299+SUM(L302:L304)</f>
        <v>44837</v>
      </c>
      <c r="M306" s="65"/>
      <c r="N306" s="65"/>
    </row>
    <row r="307" spans="1:17">
      <c r="A307" s="67" t="s">
        <v>7093</v>
      </c>
      <c r="D307" s="146">
        <f>D284+D294</f>
        <v>3033</v>
      </c>
      <c r="E307" s="146">
        <f t="shared" ref="E307:I307" si="211">E284+E294</f>
        <v>3008</v>
      </c>
      <c r="F307" s="146">
        <f t="shared" si="211"/>
        <v>2995</v>
      </c>
      <c r="G307" s="146">
        <f t="shared" si="211"/>
        <v>3059</v>
      </c>
      <c r="H307" s="146">
        <f t="shared" si="211"/>
        <v>3098</v>
      </c>
      <c r="I307" s="146">
        <f t="shared" si="211"/>
        <v>3023</v>
      </c>
      <c r="J307" s="146">
        <f t="shared" ref="J307:K307" si="212">J284+J294</f>
        <v>3109</v>
      </c>
      <c r="K307" s="146">
        <f t="shared" si="212"/>
        <v>3087</v>
      </c>
      <c r="L307" s="146">
        <f t="shared" ref="L307" si="213">L284+L294</f>
        <v>3101</v>
      </c>
      <c r="M307" s="65"/>
      <c r="N307" s="65"/>
    </row>
    <row r="308" spans="1:17">
      <c r="A308" s="67" t="s">
        <v>6193</v>
      </c>
      <c r="D308" s="146">
        <f t="shared" ref="D308:I308" si="214">D285+D288+D295+D297+D300</f>
        <v>17736</v>
      </c>
      <c r="E308" s="146">
        <f t="shared" si="214"/>
        <v>17932</v>
      </c>
      <c r="F308" s="146">
        <f t="shared" si="214"/>
        <v>18162</v>
      </c>
      <c r="G308" s="146">
        <f t="shared" si="214"/>
        <v>18291</v>
      </c>
      <c r="H308" s="146">
        <f t="shared" si="214"/>
        <v>18307</v>
      </c>
      <c r="I308" s="146">
        <f t="shared" si="214"/>
        <v>18014</v>
      </c>
      <c r="J308" s="146">
        <f t="shared" ref="J308:K308" si="215">J285+J288+J295+J297+J300</f>
        <v>18376</v>
      </c>
      <c r="K308" s="146">
        <f t="shared" si="215"/>
        <v>18656</v>
      </c>
      <c r="L308" s="146">
        <f t="shared" ref="L308" si="216">L285+L288+L295+L297+L300</f>
        <v>18706</v>
      </c>
      <c r="M308" s="65"/>
      <c r="N308" s="65"/>
    </row>
    <row r="309" spans="1:17">
      <c r="A309" s="67"/>
      <c r="B309" s="67"/>
      <c r="D309" s="155"/>
      <c r="E309" s="155"/>
      <c r="F309" s="155"/>
      <c r="G309" s="155"/>
      <c r="H309" s="155"/>
      <c r="I309" s="155"/>
      <c r="J309" s="155"/>
      <c r="K309" s="155"/>
      <c r="L309" s="155"/>
      <c r="M309" s="65"/>
      <c r="N309" s="65"/>
    </row>
    <row r="310" spans="1:17">
      <c r="A310" s="66" t="s">
        <v>13786</v>
      </c>
      <c r="D310" s="155"/>
      <c r="E310" s="155"/>
      <c r="F310" s="155"/>
      <c r="G310" s="155"/>
      <c r="H310" s="155"/>
      <c r="I310" s="155"/>
      <c r="J310" s="155"/>
      <c r="K310" s="155"/>
      <c r="L310" s="155"/>
      <c r="M310" s="65"/>
      <c r="N310" s="65"/>
    </row>
    <row r="311" spans="1:17">
      <c r="A311" s="67"/>
      <c r="B311" s="67"/>
      <c r="D311" s="155"/>
      <c r="E311" s="155"/>
      <c r="F311" s="155"/>
      <c r="G311" s="155"/>
      <c r="H311" s="155"/>
      <c r="I311" s="155"/>
      <c r="J311" s="155"/>
      <c r="K311" s="155"/>
      <c r="L311" s="155"/>
      <c r="M311" s="65"/>
      <c r="N311" s="65"/>
    </row>
    <row r="312" spans="1:17">
      <c r="A312" s="67"/>
      <c r="B312" s="67"/>
      <c r="D312" s="155"/>
      <c r="E312" s="155"/>
      <c r="F312" s="155"/>
      <c r="G312" s="155"/>
      <c r="H312" s="155"/>
      <c r="I312" s="155"/>
      <c r="J312" s="155"/>
      <c r="K312" s="155"/>
      <c r="L312" s="155"/>
      <c r="M312" s="65"/>
      <c r="N312" s="65"/>
    </row>
    <row r="313" spans="1:17">
      <c r="A313" s="65"/>
      <c r="B313" s="65"/>
      <c r="E313" s="42" t="s">
        <v>2303</v>
      </c>
      <c r="F313" s="42"/>
      <c r="G313" s="42"/>
      <c r="H313" s="42"/>
      <c r="I313" s="42"/>
      <c r="J313" s="42"/>
      <c r="K313" s="42"/>
      <c r="L313" s="42"/>
      <c r="M313" s="153"/>
      <c r="N313" s="109" t="s">
        <v>13319</v>
      </c>
    </row>
    <row r="314" spans="1:17">
      <c r="A314" s="65"/>
      <c r="B314" s="65"/>
      <c r="D314" s="110">
        <v>2010</v>
      </c>
      <c r="E314" s="110">
        <v>2011</v>
      </c>
      <c r="F314" s="110">
        <v>2012</v>
      </c>
      <c r="G314" s="110">
        <v>2013</v>
      </c>
      <c r="H314" s="110">
        <v>2014</v>
      </c>
      <c r="I314" s="110">
        <v>2015</v>
      </c>
      <c r="J314" s="110">
        <v>2016</v>
      </c>
      <c r="K314" s="110">
        <v>2017</v>
      </c>
      <c r="L314" s="110">
        <v>2018</v>
      </c>
      <c r="M314" s="111"/>
      <c r="N314" s="112" t="s">
        <v>2304</v>
      </c>
    </row>
    <row r="315" spans="1:17">
      <c r="A315" s="67" t="s">
        <v>6194</v>
      </c>
      <c r="D315" s="146">
        <f t="shared" ref="D315:I315" si="217">SUM(D316:D327)</f>
        <v>62277</v>
      </c>
      <c r="E315" s="146">
        <f t="shared" si="217"/>
        <v>63007</v>
      </c>
      <c r="F315" s="146">
        <f t="shared" si="217"/>
        <v>64042</v>
      </c>
      <c r="G315" s="146">
        <f t="shared" si="217"/>
        <v>64822</v>
      </c>
      <c r="H315" s="146">
        <f t="shared" si="217"/>
        <v>65767</v>
      </c>
      <c r="I315" s="146">
        <f t="shared" si="217"/>
        <v>63950</v>
      </c>
      <c r="J315" s="146">
        <f t="shared" ref="J315:K315" si="218">SUM(J316:J327)</f>
        <v>63484</v>
      </c>
      <c r="K315" s="146">
        <f t="shared" si="218"/>
        <v>63683</v>
      </c>
      <c r="L315" s="146">
        <f t="shared" ref="L315" si="219">SUM(L316:L327)</f>
        <v>63574</v>
      </c>
      <c r="M315" s="65"/>
      <c r="N315" s="65"/>
    </row>
    <row r="316" spans="1:17">
      <c r="A316" s="67" t="s">
        <v>6957</v>
      </c>
      <c r="B316" s="67" t="s">
        <v>6195</v>
      </c>
      <c r="C316" s="4" t="s">
        <v>16220</v>
      </c>
      <c r="D316" s="146">
        <v>62277</v>
      </c>
      <c r="E316" s="146">
        <v>63007</v>
      </c>
      <c r="F316" s="146">
        <v>64042</v>
      </c>
      <c r="G316" s="48">
        <v>64822</v>
      </c>
      <c r="H316" s="48">
        <v>65767</v>
      </c>
      <c r="I316" s="48">
        <v>63950</v>
      </c>
      <c r="J316" s="48">
        <v>63484</v>
      </c>
      <c r="K316" s="48">
        <v>4767</v>
      </c>
      <c r="L316" s="48">
        <v>4749</v>
      </c>
      <c r="M316" s="65"/>
      <c r="N316" s="67" t="s">
        <v>6893</v>
      </c>
      <c r="O316" s="4"/>
      <c r="Q316" s="4"/>
    </row>
    <row r="317" spans="1:17">
      <c r="A317" s="67" t="s">
        <v>6959</v>
      </c>
      <c r="B317" s="67" t="s">
        <v>7725</v>
      </c>
      <c r="C317" s="4" t="s">
        <v>16221</v>
      </c>
      <c r="D317" s="48">
        <v>0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5004</v>
      </c>
      <c r="L317" s="48">
        <v>4925</v>
      </c>
      <c r="M317" s="65"/>
      <c r="N317" s="67" t="s">
        <v>6893</v>
      </c>
      <c r="O317" s="4"/>
      <c r="Q317" s="4"/>
    </row>
    <row r="318" spans="1:17">
      <c r="A318" s="67" t="s">
        <v>6961</v>
      </c>
      <c r="B318" s="67" t="s">
        <v>6196</v>
      </c>
      <c r="C318" s="4" t="s">
        <v>16222</v>
      </c>
      <c r="D318" s="48">
        <v>0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5478</v>
      </c>
      <c r="L318" s="48">
        <v>5650</v>
      </c>
      <c r="M318" s="65"/>
      <c r="N318" s="67" t="s">
        <v>6893</v>
      </c>
      <c r="O318" s="4"/>
      <c r="Q318" s="4"/>
    </row>
    <row r="319" spans="1:17">
      <c r="A319" s="67" t="s">
        <v>6963</v>
      </c>
      <c r="B319" s="67" t="s">
        <v>6197</v>
      </c>
      <c r="C319" s="4" t="s">
        <v>16223</v>
      </c>
      <c r="D319" s="48">
        <v>0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5273</v>
      </c>
      <c r="L319" s="48">
        <v>5250</v>
      </c>
      <c r="M319" s="65"/>
      <c r="N319" s="67" t="s">
        <v>6893</v>
      </c>
      <c r="O319" s="4"/>
      <c r="Q319" s="4"/>
    </row>
    <row r="320" spans="1:17">
      <c r="A320" s="67" t="s">
        <v>6965</v>
      </c>
      <c r="B320" s="67" t="s">
        <v>6198</v>
      </c>
      <c r="C320" s="4" t="s">
        <v>16224</v>
      </c>
      <c r="D320" s="48">
        <v>0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5437</v>
      </c>
      <c r="L320" s="48">
        <v>5408</v>
      </c>
      <c r="M320" s="65"/>
      <c r="N320" s="67" t="s">
        <v>6893</v>
      </c>
      <c r="O320" s="4"/>
      <c r="Q320" s="4"/>
    </row>
    <row r="321" spans="1:17">
      <c r="A321" s="67" t="s">
        <v>6997</v>
      </c>
      <c r="B321" s="67" t="s">
        <v>6199</v>
      </c>
      <c r="C321" s="4" t="s">
        <v>16225</v>
      </c>
      <c r="D321" s="48">
        <v>0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8">
        <v>6133</v>
      </c>
      <c r="L321" s="48">
        <v>6128</v>
      </c>
      <c r="M321" s="65"/>
      <c r="N321" s="67" t="s">
        <v>6893</v>
      </c>
      <c r="O321" s="4"/>
      <c r="Q321" s="4"/>
    </row>
    <row r="322" spans="1:17">
      <c r="A322" s="67" t="s">
        <v>6999</v>
      </c>
      <c r="B322" s="67" t="s">
        <v>6200</v>
      </c>
      <c r="C322" s="4" t="s">
        <v>16226</v>
      </c>
      <c r="D322" s="48">
        <v>0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5079</v>
      </c>
      <c r="L322" s="48">
        <v>5067</v>
      </c>
      <c r="M322" s="65"/>
      <c r="N322" s="67" t="s">
        <v>6893</v>
      </c>
      <c r="O322" s="4"/>
      <c r="Q322" s="4"/>
    </row>
    <row r="323" spans="1:17">
      <c r="A323" s="67" t="s">
        <v>7001</v>
      </c>
      <c r="B323" s="67" t="s">
        <v>2442</v>
      </c>
      <c r="C323" s="4" t="s">
        <v>16227</v>
      </c>
      <c r="D323" s="48">
        <v>0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5992</v>
      </c>
      <c r="L323" s="48">
        <v>6009</v>
      </c>
      <c r="M323" s="65"/>
      <c r="N323" s="67" t="s">
        <v>6893</v>
      </c>
      <c r="O323" s="4"/>
      <c r="Q323" s="4"/>
    </row>
    <row r="324" spans="1:17">
      <c r="A324" s="67" t="s">
        <v>7003</v>
      </c>
      <c r="B324" s="67" t="s">
        <v>6201</v>
      </c>
      <c r="C324" s="4" t="s">
        <v>16228</v>
      </c>
      <c r="D324" s="48">
        <v>0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5455</v>
      </c>
      <c r="L324" s="48">
        <v>5394</v>
      </c>
      <c r="M324" s="65"/>
      <c r="N324" s="67" t="s">
        <v>6893</v>
      </c>
      <c r="O324" s="4"/>
      <c r="Q324" s="4"/>
    </row>
    <row r="325" spans="1:17" ht="15" customHeight="1">
      <c r="A325" s="67" t="s">
        <v>7005</v>
      </c>
      <c r="B325" s="67" t="s">
        <v>6202</v>
      </c>
      <c r="C325" s="4" t="s">
        <v>16229</v>
      </c>
      <c r="D325" s="48">
        <v>0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5006</v>
      </c>
      <c r="L325" s="48">
        <v>4990</v>
      </c>
      <c r="M325" s="65"/>
      <c r="N325" s="67" t="s">
        <v>6893</v>
      </c>
      <c r="O325" s="4"/>
      <c r="Q325" s="4"/>
    </row>
    <row r="326" spans="1:17" ht="15" customHeight="1">
      <c r="A326" s="67" t="s">
        <v>7007</v>
      </c>
      <c r="B326" s="67" t="s">
        <v>6203</v>
      </c>
      <c r="C326" s="4" t="s">
        <v>16230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4575</v>
      </c>
      <c r="L326" s="48">
        <v>4558</v>
      </c>
      <c r="M326" s="65"/>
      <c r="N326" s="67" t="s">
        <v>6893</v>
      </c>
      <c r="O326" s="4"/>
      <c r="Q326" s="4"/>
    </row>
    <row r="327" spans="1:17" ht="15" customHeight="1">
      <c r="A327" s="67" t="s">
        <v>7009</v>
      </c>
      <c r="B327" s="67" t="s">
        <v>6429</v>
      </c>
      <c r="C327" s="4" t="s">
        <v>16231</v>
      </c>
      <c r="D327" s="48">
        <v>0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5484</v>
      </c>
      <c r="L327" s="48">
        <v>5446</v>
      </c>
      <c r="M327" s="65"/>
      <c r="N327" s="67" t="s">
        <v>6893</v>
      </c>
      <c r="O327" s="4"/>
      <c r="Q327" s="4"/>
    </row>
    <row r="328" spans="1:17" ht="15" customHeight="1">
      <c r="A328" s="65"/>
      <c r="B328" s="65"/>
      <c r="C328" s="65"/>
      <c r="D328" s="147"/>
      <c r="E328" s="147"/>
      <c r="F328" s="147"/>
      <c r="G328" s="147"/>
      <c r="H328" s="147"/>
      <c r="I328" s="147"/>
      <c r="J328" s="147"/>
      <c r="K328" s="147"/>
      <c r="L328" s="147"/>
      <c r="M328" s="65"/>
      <c r="N328" s="65"/>
    </row>
    <row r="329" spans="1:17" ht="15" customHeight="1">
      <c r="A329" s="67" t="s">
        <v>6193</v>
      </c>
      <c r="C329" s="65"/>
      <c r="D329" s="146">
        <f t="shared" ref="D329:I329" si="220">SUM(D316:D327)</f>
        <v>62277</v>
      </c>
      <c r="E329" s="146">
        <f t="shared" si="220"/>
        <v>63007</v>
      </c>
      <c r="F329" s="146">
        <f t="shared" si="220"/>
        <v>64042</v>
      </c>
      <c r="G329" s="146">
        <f t="shared" si="220"/>
        <v>64822</v>
      </c>
      <c r="H329" s="146">
        <f t="shared" si="220"/>
        <v>65767</v>
      </c>
      <c r="I329" s="146">
        <f t="shared" si="220"/>
        <v>63950</v>
      </c>
      <c r="J329" s="146">
        <f t="shared" ref="J329:K329" si="221">SUM(J316:J327)</f>
        <v>63484</v>
      </c>
      <c r="K329" s="146">
        <f t="shared" si="221"/>
        <v>63683</v>
      </c>
      <c r="L329" s="146">
        <f t="shared" ref="L329" si="222">SUM(L316:L327)</f>
        <v>63574</v>
      </c>
      <c r="M329" s="65"/>
      <c r="N329" s="65"/>
    </row>
    <row r="330" spans="1:17" ht="1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</row>
    <row r="331" spans="1:17" ht="15" customHeight="1">
      <c r="A331" s="66" t="s">
        <v>16232</v>
      </c>
      <c r="C331" s="65"/>
      <c r="D331" s="155"/>
      <c r="E331" s="155"/>
      <c r="F331" s="155"/>
      <c r="G331" s="155"/>
      <c r="H331" s="155"/>
      <c r="I331" s="155"/>
      <c r="J331" s="155"/>
      <c r="K331" s="155"/>
      <c r="L331" s="155"/>
      <c r="M331" s="65"/>
      <c r="N331" s="65"/>
    </row>
    <row r="332" spans="1:17">
      <c r="A332" s="67"/>
      <c r="B332" s="67"/>
      <c r="C332" s="65"/>
      <c r="D332" s="155"/>
      <c r="E332" s="155"/>
      <c r="F332" s="155"/>
      <c r="G332" s="155"/>
      <c r="H332" s="155"/>
      <c r="I332" s="155"/>
      <c r="J332" s="155"/>
      <c r="K332" s="155"/>
      <c r="L332" s="155"/>
      <c r="M332" s="65"/>
      <c r="N332" s="65"/>
    </row>
    <row r="333" spans="1:17">
      <c r="A333" s="67"/>
      <c r="B333" s="67"/>
      <c r="D333" s="155"/>
      <c r="E333" s="155"/>
      <c r="F333" s="155"/>
      <c r="G333" s="155"/>
      <c r="H333" s="155"/>
      <c r="I333" s="155"/>
      <c r="J333" s="155"/>
      <c r="K333" s="155"/>
      <c r="L333" s="155"/>
      <c r="M333" s="65"/>
      <c r="N333" s="65"/>
    </row>
    <row r="334" spans="1:17">
      <c r="A334" s="65"/>
      <c r="B334" s="65"/>
      <c r="E334" s="42" t="s">
        <v>2303</v>
      </c>
      <c r="F334" s="42"/>
      <c r="G334" s="42"/>
      <c r="H334" s="42"/>
      <c r="I334" s="42"/>
      <c r="J334" s="42"/>
      <c r="K334" s="42"/>
      <c r="L334" s="42"/>
      <c r="M334" s="153"/>
      <c r="N334" s="109" t="s">
        <v>13319</v>
      </c>
    </row>
    <row r="335" spans="1:17">
      <c r="A335" s="65"/>
      <c r="B335" s="65"/>
      <c r="C335" s="65"/>
      <c r="D335" s="110">
        <v>2010</v>
      </c>
      <c r="E335" s="110">
        <v>2011</v>
      </c>
      <c r="F335" s="110">
        <v>2012</v>
      </c>
      <c r="G335" s="110">
        <v>2013</v>
      </c>
      <c r="H335" s="110">
        <v>2014</v>
      </c>
      <c r="I335" s="110">
        <v>2015</v>
      </c>
      <c r="J335" s="110">
        <v>2016</v>
      </c>
      <c r="K335" s="110">
        <v>2017</v>
      </c>
      <c r="L335" s="110">
        <v>2018</v>
      </c>
      <c r="M335" s="111"/>
      <c r="N335" s="112" t="s">
        <v>2304</v>
      </c>
    </row>
    <row r="336" spans="1:17">
      <c r="A336" s="67" t="s">
        <v>2741</v>
      </c>
      <c r="C336" s="65"/>
      <c r="D336" s="146">
        <f>SUM(D337:D347)+SUM(D349:D354)</f>
        <v>75980</v>
      </c>
      <c r="E336" s="146">
        <f t="shared" ref="E336:K336" si="223">SUM(E337:E347)+SUM(E349:E354)</f>
        <v>76030</v>
      </c>
      <c r="F336" s="146">
        <f t="shared" si="223"/>
        <v>77317</v>
      </c>
      <c r="G336" s="146">
        <f t="shared" si="223"/>
        <v>78108</v>
      </c>
      <c r="H336" s="146">
        <f t="shared" si="223"/>
        <v>78269</v>
      </c>
      <c r="I336" s="146">
        <f t="shared" si="223"/>
        <v>75463</v>
      </c>
      <c r="J336" s="146">
        <f t="shared" si="223"/>
        <v>73296</v>
      </c>
      <c r="K336" s="146">
        <f t="shared" si="223"/>
        <v>75807</v>
      </c>
      <c r="L336" s="146">
        <f t="shared" ref="L336" si="224">SUM(L337:L347)+SUM(L349:L354)</f>
        <v>76108</v>
      </c>
      <c r="M336" s="65"/>
      <c r="N336" s="65"/>
    </row>
    <row r="337" spans="1:17">
      <c r="A337" s="154">
        <v>1</v>
      </c>
      <c r="B337" s="67" t="s">
        <v>16250</v>
      </c>
      <c r="C337" s="4" t="s">
        <v>16234</v>
      </c>
      <c r="D337" s="146">
        <v>71731</v>
      </c>
      <c r="E337" s="146">
        <v>71766</v>
      </c>
      <c r="F337" s="146">
        <v>73008</v>
      </c>
      <c r="G337" s="48">
        <v>73711</v>
      </c>
      <c r="H337" s="48">
        <v>73848</v>
      </c>
      <c r="I337" s="48">
        <v>71118</v>
      </c>
      <c r="J337" s="48">
        <v>69026</v>
      </c>
      <c r="K337" s="48">
        <v>4927</v>
      </c>
      <c r="L337" s="48">
        <v>4999</v>
      </c>
      <c r="M337" s="65"/>
      <c r="N337" s="67" t="s">
        <v>6894</v>
      </c>
      <c r="O337" s="4"/>
      <c r="Q337" s="4"/>
    </row>
    <row r="338" spans="1:17">
      <c r="A338" s="154">
        <v>2</v>
      </c>
      <c r="B338" s="67" t="s">
        <v>2742</v>
      </c>
      <c r="C338" s="4" t="s">
        <v>16235</v>
      </c>
      <c r="D338" s="146">
        <v>0</v>
      </c>
      <c r="E338" s="146">
        <v>0</v>
      </c>
      <c r="F338" s="146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4837</v>
      </c>
      <c r="L338" s="48">
        <v>4827</v>
      </c>
      <c r="M338" s="65"/>
      <c r="N338" s="67" t="s">
        <v>6894</v>
      </c>
      <c r="O338" s="4"/>
      <c r="Q338" s="4"/>
    </row>
    <row r="339" spans="1:17">
      <c r="A339" s="154">
        <v>3</v>
      </c>
      <c r="B339" s="67" t="s">
        <v>2743</v>
      </c>
      <c r="C339" s="4" t="s">
        <v>16236</v>
      </c>
      <c r="D339" s="146">
        <v>0</v>
      </c>
      <c r="E339" s="146">
        <v>0</v>
      </c>
      <c r="F339" s="146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5231</v>
      </c>
      <c r="L339" s="48">
        <v>5296</v>
      </c>
      <c r="M339" s="65"/>
      <c r="N339" s="67" t="s">
        <v>6894</v>
      </c>
      <c r="O339" s="4"/>
      <c r="Q339" s="4"/>
    </row>
    <row r="340" spans="1:17">
      <c r="A340" s="154">
        <v>4</v>
      </c>
      <c r="B340" s="67" t="s">
        <v>4449</v>
      </c>
      <c r="C340" s="4" t="s">
        <v>16237</v>
      </c>
      <c r="D340" s="146">
        <v>0</v>
      </c>
      <c r="E340" s="146">
        <v>0</v>
      </c>
      <c r="F340" s="146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4606</v>
      </c>
      <c r="L340" s="48">
        <v>4601</v>
      </c>
      <c r="M340" s="65"/>
      <c r="N340" s="67" t="s">
        <v>6894</v>
      </c>
      <c r="O340" s="4"/>
      <c r="Q340" s="4"/>
    </row>
    <row r="341" spans="1:17">
      <c r="A341" s="154">
        <v>5</v>
      </c>
      <c r="B341" s="67" t="s">
        <v>4450</v>
      </c>
      <c r="C341" s="4" t="s">
        <v>16238</v>
      </c>
      <c r="D341" s="146">
        <v>0</v>
      </c>
      <c r="E341" s="146">
        <v>0</v>
      </c>
      <c r="F341" s="146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4793</v>
      </c>
      <c r="L341" s="48">
        <v>4889</v>
      </c>
      <c r="M341" s="65"/>
      <c r="N341" s="67" t="s">
        <v>6894</v>
      </c>
      <c r="O341" s="4"/>
      <c r="Q341" s="4"/>
    </row>
    <row r="342" spans="1:17">
      <c r="A342" s="154">
        <v>6</v>
      </c>
      <c r="B342" s="67" t="s">
        <v>16251</v>
      </c>
      <c r="C342" s="4" t="s">
        <v>16239</v>
      </c>
      <c r="D342" s="146">
        <v>0</v>
      </c>
      <c r="E342" s="146">
        <v>0</v>
      </c>
      <c r="F342" s="146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4588</v>
      </c>
      <c r="L342" s="48">
        <v>4489</v>
      </c>
      <c r="M342" s="65"/>
      <c r="N342" s="67" t="s">
        <v>6894</v>
      </c>
      <c r="O342" s="4"/>
      <c r="Q342" s="4"/>
    </row>
    <row r="343" spans="1:17">
      <c r="A343" s="154">
        <v>7</v>
      </c>
      <c r="B343" s="67" t="s">
        <v>2745</v>
      </c>
      <c r="C343" s="4" t="s">
        <v>16240</v>
      </c>
      <c r="D343" s="146">
        <v>0</v>
      </c>
      <c r="E343" s="146">
        <v>0</v>
      </c>
      <c r="F343" s="146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4608</v>
      </c>
      <c r="L343" s="48">
        <v>4700</v>
      </c>
      <c r="M343" s="65"/>
      <c r="N343" s="67" t="s">
        <v>6894</v>
      </c>
      <c r="O343" s="4"/>
      <c r="Q343" s="4"/>
    </row>
    <row r="344" spans="1:17">
      <c r="A344" s="154">
        <v>8</v>
      </c>
      <c r="B344" s="67" t="s">
        <v>2746</v>
      </c>
      <c r="C344" s="4" t="s">
        <v>16241</v>
      </c>
      <c r="D344" s="146">
        <v>0</v>
      </c>
      <c r="E344" s="146">
        <v>0</v>
      </c>
      <c r="F344" s="146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4787</v>
      </c>
      <c r="L344" s="48">
        <v>4745</v>
      </c>
      <c r="M344" s="65"/>
      <c r="N344" s="67" t="s">
        <v>6894</v>
      </c>
      <c r="O344" s="4"/>
      <c r="Q344" s="4"/>
    </row>
    <row r="345" spans="1:17">
      <c r="A345" s="154">
        <v>9</v>
      </c>
      <c r="B345" s="67" t="s">
        <v>2747</v>
      </c>
      <c r="C345" s="4" t="s">
        <v>16242</v>
      </c>
      <c r="D345" s="146">
        <v>0</v>
      </c>
      <c r="E345" s="146">
        <v>0</v>
      </c>
      <c r="F345" s="146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4907</v>
      </c>
      <c r="L345" s="48">
        <v>4905</v>
      </c>
      <c r="M345" s="65"/>
      <c r="N345" s="67" t="s">
        <v>6894</v>
      </c>
      <c r="O345" s="4"/>
      <c r="Q345" s="4"/>
    </row>
    <row r="346" spans="1:17">
      <c r="A346" s="154">
        <v>10</v>
      </c>
      <c r="B346" s="67" t="s">
        <v>2748</v>
      </c>
      <c r="C346" s="4" t="s">
        <v>16243</v>
      </c>
      <c r="D346" s="146">
        <v>4249</v>
      </c>
      <c r="E346" s="146">
        <v>4264</v>
      </c>
      <c r="F346" s="146">
        <v>4309</v>
      </c>
      <c r="G346" s="146">
        <v>4397</v>
      </c>
      <c r="H346" s="48">
        <v>4421</v>
      </c>
      <c r="I346" s="48">
        <v>4345</v>
      </c>
      <c r="J346" s="48">
        <v>4270</v>
      </c>
      <c r="K346" s="48">
        <v>4357</v>
      </c>
      <c r="L346" s="48">
        <v>4376</v>
      </c>
      <c r="M346" s="65"/>
      <c r="N346" s="67" t="s">
        <v>6901</v>
      </c>
      <c r="O346" s="4"/>
      <c r="Q346" s="4"/>
    </row>
    <row r="347" spans="1:17" ht="15.75" thickBot="1">
      <c r="A347" s="154"/>
      <c r="B347" s="67"/>
      <c r="C347" s="4" t="s">
        <v>16243</v>
      </c>
      <c r="D347" s="146">
        <v>0</v>
      </c>
      <c r="E347" s="146">
        <v>0</v>
      </c>
      <c r="F347" s="146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357</v>
      </c>
      <c r="L347" s="48">
        <v>356</v>
      </c>
      <c r="M347" s="65"/>
      <c r="N347" s="67" t="s">
        <v>6894</v>
      </c>
      <c r="O347" s="4"/>
      <c r="Q347" s="4"/>
    </row>
    <row r="348" spans="1:17" ht="15.75" thickBot="1">
      <c r="A348" s="154"/>
      <c r="B348" s="67"/>
      <c r="C348" s="4" t="s">
        <v>16243</v>
      </c>
      <c r="D348" s="158">
        <f>D346+D347</f>
        <v>4249</v>
      </c>
      <c r="E348" s="158">
        <f t="shared" ref="E348:L348" si="225">E346+E347</f>
        <v>4264</v>
      </c>
      <c r="F348" s="158">
        <f t="shared" si="225"/>
        <v>4309</v>
      </c>
      <c r="G348" s="158">
        <f t="shared" si="225"/>
        <v>4397</v>
      </c>
      <c r="H348" s="158">
        <f t="shared" si="225"/>
        <v>4421</v>
      </c>
      <c r="I348" s="158">
        <f t="shared" si="225"/>
        <v>4345</v>
      </c>
      <c r="J348" s="158">
        <f t="shared" si="225"/>
        <v>4270</v>
      </c>
      <c r="K348" s="158">
        <f t="shared" si="225"/>
        <v>4714</v>
      </c>
      <c r="L348" s="158">
        <f t="shared" si="225"/>
        <v>4732</v>
      </c>
      <c r="M348" s="65"/>
      <c r="N348" s="67"/>
      <c r="O348" s="4"/>
      <c r="Q348" s="4"/>
    </row>
    <row r="349" spans="1:17">
      <c r="A349" s="154">
        <v>11</v>
      </c>
      <c r="B349" s="67" t="s">
        <v>2749</v>
      </c>
      <c r="C349" s="4" t="s">
        <v>16244</v>
      </c>
      <c r="D349" s="146">
        <v>0</v>
      </c>
      <c r="E349" s="146">
        <v>0</v>
      </c>
      <c r="F349" s="146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4351</v>
      </c>
      <c r="L349" s="48">
        <v>4340</v>
      </c>
      <c r="M349" s="65"/>
      <c r="N349" s="67" t="s">
        <v>6894</v>
      </c>
      <c r="O349" s="4"/>
      <c r="Q349" s="4"/>
    </row>
    <row r="350" spans="1:17">
      <c r="A350" s="154">
        <v>12</v>
      </c>
      <c r="B350" s="67" t="s">
        <v>6517</v>
      </c>
      <c r="C350" s="4" t="s">
        <v>16245</v>
      </c>
      <c r="D350" s="146">
        <v>0</v>
      </c>
      <c r="E350" s="146">
        <v>0</v>
      </c>
      <c r="F350" s="146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4352</v>
      </c>
      <c r="L350" s="48">
        <v>4367</v>
      </c>
      <c r="M350" s="65"/>
      <c r="N350" s="67" t="s">
        <v>6894</v>
      </c>
      <c r="O350" s="4"/>
      <c r="Q350" s="4"/>
    </row>
    <row r="351" spans="1:17">
      <c r="A351" s="154">
        <v>13</v>
      </c>
      <c r="B351" s="67" t="s">
        <v>2750</v>
      </c>
      <c r="C351" s="4" t="s">
        <v>16246</v>
      </c>
      <c r="D351" s="146">
        <v>0</v>
      </c>
      <c r="E351" s="146">
        <v>0</v>
      </c>
      <c r="F351" s="146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4389</v>
      </c>
      <c r="L351" s="48">
        <v>4413</v>
      </c>
      <c r="M351" s="65"/>
      <c r="N351" s="67" t="s">
        <v>6894</v>
      </c>
      <c r="O351" s="4"/>
      <c r="Q351" s="4"/>
    </row>
    <row r="352" spans="1:17">
      <c r="A352" s="154">
        <v>14</v>
      </c>
      <c r="B352" s="67" t="s">
        <v>16252</v>
      </c>
      <c r="C352" s="4" t="s">
        <v>16247</v>
      </c>
      <c r="D352" s="146">
        <v>0</v>
      </c>
      <c r="E352" s="146">
        <v>0</v>
      </c>
      <c r="F352" s="146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5007</v>
      </c>
      <c r="L352" s="48">
        <v>5010</v>
      </c>
      <c r="M352" s="65"/>
      <c r="N352" s="67" t="s">
        <v>6894</v>
      </c>
      <c r="O352" s="4"/>
      <c r="Q352" s="4"/>
    </row>
    <row r="353" spans="1:17">
      <c r="A353" s="154">
        <v>15</v>
      </c>
      <c r="B353" s="67" t="s">
        <v>2751</v>
      </c>
      <c r="C353" s="4" t="s">
        <v>16248</v>
      </c>
      <c r="D353" s="146">
        <v>0</v>
      </c>
      <c r="E353" s="146">
        <v>0</v>
      </c>
      <c r="F353" s="146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5036</v>
      </c>
      <c r="L353" s="48">
        <v>5024</v>
      </c>
      <c r="M353" s="65"/>
      <c r="N353" s="67" t="s">
        <v>6894</v>
      </c>
      <c r="O353" s="4"/>
      <c r="Q353" s="4"/>
    </row>
    <row r="354" spans="1:17">
      <c r="A354" s="154">
        <v>16</v>
      </c>
      <c r="B354" s="67" t="s">
        <v>2752</v>
      </c>
      <c r="C354" s="4" t="s">
        <v>16249</v>
      </c>
      <c r="D354" s="146">
        <v>0</v>
      </c>
      <c r="E354" s="146">
        <v>0</v>
      </c>
      <c r="F354" s="146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4674</v>
      </c>
      <c r="L354" s="48">
        <v>4771</v>
      </c>
      <c r="M354" s="65"/>
      <c r="N354" s="67" t="s">
        <v>6894</v>
      </c>
      <c r="O354" s="4"/>
      <c r="Q354" s="4"/>
    </row>
    <row r="355" spans="1:17">
      <c r="A355" s="65"/>
      <c r="B355" s="65"/>
      <c r="C355" s="65"/>
      <c r="D355" s="147"/>
      <c r="E355" s="147"/>
      <c r="F355" s="147"/>
      <c r="G355" s="147"/>
      <c r="H355" s="147"/>
      <c r="I355" s="147"/>
      <c r="J355" s="147"/>
      <c r="K355" s="147"/>
      <c r="L355" s="147"/>
      <c r="M355" s="65"/>
      <c r="N355" s="65"/>
      <c r="O355" s="65"/>
    </row>
    <row r="356" spans="1:17">
      <c r="A356" s="67" t="s">
        <v>6920</v>
      </c>
      <c r="D356" s="146">
        <f t="shared" ref="D356:K356" si="226">D346</f>
        <v>4249</v>
      </c>
      <c r="E356" s="146">
        <f t="shared" si="226"/>
        <v>4264</v>
      </c>
      <c r="F356" s="146">
        <f t="shared" si="226"/>
        <v>4309</v>
      </c>
      <c r="G356" s="146">
        <f t="shared" si="226"/>
        <v>4397</v>
      </c>
      <c r="H356" s="146">
        <f t="shared" si="226"/>
        <v>4421</v>
      </c>
      <c r="I356" s="146">
        <f t="shared" si="226"/>
        <v>4345</v>
      </c>
      <c r="J356" s="146">
        <f t="shared" si="226"/>
        <v>4270</v>
      </c>
      <c r="K356" s="146">
        <f t="shared" si="226"/>
        <v>4357</v>
      </c>
      <c r="L356" s="146">
        <f t="shared" ref="L356" si="227">L346</f>
        <v>4376</v>
      </c>
      <c r="M356" s="65"/>
      <c r="N356" s="65"/>
      <c r="O356" s="65"/>
    </row>
    <row r="357" spans="1:17">
      <c r="A357" s="67" t="s">
        <v>13142</v>
      </c>
      <c r="C357" s="65"/>
      <c r="D357" s="146">
        <f>SUM(D337:D345)+D347+SUM(D349:D354)</f>
        <v>71731</v>
      </c>
      <c r="E357" s="146">
        <f t="shared" ref="E357:K357" si="228">SUM(E337:E345)+E347+SUM(E349:E354)</f>
        <v>71766</v>
      </c>
      <c r="F357" s="146">
        <f t="shared" si="228"/>
        <v>73008</v>
      </c>
      <c r="G357" s="146">
        <f t="shared" si="228"/>
        <v>73711</v>
      </c>
      <c r="H357" s="146">
        <f t="shared" si="228"/>
        <v>73848</v>
      </c>
      <c r="I357" s="146">
        <f t="shared" si="228"/>
        <v>71118</v>
      </c>
      <c r="J357" s="146">
        <f t="shared" si="228"/>
        <v>69026</v>
      </c>
      <c r="K357" s="146">
        <f t="shared" si="228"/>
        <v>71450</v>
      </c>
      <c r="L357" s="146">
        <f t="shared" ref="L357" si="229">SUM(L337:L345)+L347+SUM(L349:L354)</f>
        <v>71732</v>
      </c>
      <c r="M357" s="65"/>
      <c r="N357" s="65"/>
      <c r="O357" s="65"/>
    </row>
    <row r="358" spans="1:17">
      <c r="A358" s="67"/>
      <c r="B358" s="67"/>
      <c r="C358" s="65"/>
      <c r="D358" s="155"/>
      <c r="E358" s="155"/>
      <c r="F358" s="155"/>
      <c r="G358" s="155"/>
      <c r="H358" s="155"/>
      <c r="I358" s="155"/>
      <c r="J358" s="155"/>
      <c r="K358" s="155"/>
      <c r="L358" s="155"/>
      <c r="M358" s="65"/>
      <c r="N358" s="65"/>
      <c r="O358" s="65"/>
    </row>
    <row r="359" spans="1:17">
      <c r="A359" s="66" t="s">
        <v>16233</v>
      </c>
      <c r="C359" s="65"/>
      <c r="D359" s="155"/>
      <c r="E359" s="155"/>
      <c r="F359" s="155"/>
      <c r="G359" s="155"/>
      <c r="H359" s="155"/>
      <c r="I359" s="155"/>
      <c r="J359" s="155"/>
      <c r="K359" s="155"/>
      <c r="L359" s="155"/>
      <c r="M359" s="65"/>
      <c r="N359" s="65"/>
      <c r="O359" s="65"/>
    </row>
    <row r="360" spans="1:17"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</row>
    <row r="361" spans="1:17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</row>
    <row r="362" spans="1:17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</row>
    <row r="363" spans="1:17">
      <c r="A363" s="65"/>
      <c r="B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</row>
    <row r="364" spans="1:17">
      <c r="A364" s="65"/>
      <c r="B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</row>
    <row r="365" spans="1:17">
      <c r="A365" s="65"/>
      <c r="B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</row>
  </sheetData>
  <sortState ref="O258:Q272">
    <sortCondition ref="O258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9" orientation="portrait" horizontalDpi="300" verticalDpi="300" r:id="rId1"/>
  <headerFooter alignWithMargins="0">
    <oddFooter>&amp;C&amp;"Times New Roman,Regular"&amp;8&amp;P of &amp;N</oddFooter>
  </headerFooter>
  <rowBreaks count="1" manualBreakCount="1">
    <brk id="118" max="10" man="1"/>
  </rowBreaks>
  <ignoredErrors>
    <ignoredError sqref="D79:K79 D67:K67 D187:K187 D315:K315 D329:K329 D121:K121 D180:K180 D163:K163 D86:K86 D113:F114 D153:F155 D213:F215 D246:F248 D356:F356 D57:F57 D228:K228 D222:K222 D3:F15 D55:F55 D56:F56 D59:F59 D58:F58 D61:F62 G153:G155 G213:G215 G246:G248 D60:F60 G356 G113:G114 G3:G15 D36:F53 G36:G62 D264:K264 D275:K275 D257:K257 G16:G33 D16:F33 D34:G35 H113:H114 H213:H215 H356 H153:H155 H246:H248 H3:H15 D286:H286 D296:H296 D301:H301 D307:H308 H16:H62 I246:I248 D289:H289 D283:K283 I286:I305 I213:I215 I356 I113:I114 I153:I155 I3:I62 I307:I308 J113:J114 J213:J215 J153:J155 J286:K286 J289:K289 J296:K296 J301:K301 J307:J308 J246:J248 J356 J3:J62 D348:K348 D357:J357 D336:K336 K113:K114 K246:K248 K153:K155 K213:K215 K307:K308 K356:K357 K3:K62 L3:L357" unlockedFormula="1"/>
    <ignoredError sqref="D306 E306:K306" formulaRange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1"/>
  <sheetViews>
    <sheetView showGridLines="0" zoomScaleNormal="100" workbookViewId="0"/>
  </sheetViews>
  <sheetFormatPr defaultColWidth="12.5703125" defaultRowHeight="15"/>
  <cols>
    <col min="1" max="1" width="4.85546875" style="321" customWidth="1"/>
    <col min="2" max="2" width="35.7109375" style="321" customWidth="1"/>
    <col min="3" max="3" width="11.7109375" style="321" customWidth="1"/>
    <col min="4" max="12" width="10" style="321" customWidth="1"/>
    <col min="13" max="13" width="2.28515625" style="321" customWidth="1"/>
    <col min="14" max="14" width="30.7109375" style="321" customWidth="1"/>
    <col min="15" max="16384" width="12.5703125" style="321"/>
  </cols>
  <sheetData>
    <row r="1" spans="1:14">
      <c r="A1" s="320" t="s">
        <v>7342</v>
      </c>
      <c r="D1" s="322">
        <v>2010</v>
      </c>
      <c r="E1" s="322">
        <v>2011</v>
      </c>
      <c r="F1" s="322">
        <v>2012</v>
      </c>
      <c r="G1" s="322">
        <v>2013</v>
      </c>
      <c r="H1" s="322">
        <v>2014</v>
      </c>
      <c r="I1" s="322">
        <v>2015</v>
      </c>
      <c r="J1" s="322">
        <v>2016</v>
      </c>
      <c r="K1" s="322">
        <v>2017</v>
      </c>
      <c r="L1" s="322">
        <v>2018</v>
      </c>
    </row>
    <row r="3" spans="1:14">
      <c r="A3" s="320" t="s">
        <v>6951</v>
      </c>
      <c r="D3" s="323">
        <f t="shared" ref="D3:I3" si="0">SUM(D19:D39)</f>
        <v>215959</v>
      </c>
      <c r="E3" s="323">
        <f t="shared" si="0"/>
        <v>222379</v>
      </c>
      <c r="F3" s="323">
        <f t="shared" si="0"/>
        <v>222133</v>
      </c>
      <c r="G3" s="323">
        <f t="shared" si="0"/>
        <v>222777</v>
      </c>
      <c r="H3" s="323">
        <f t="shared" si="0"/>
        <v>211579</v>
      </c>
      <c r="I3" s="323">
        <f t="shared" si="0"/>
        <v>215372</v>
      </c>
      <c r="J3" s="323">
        <f t="shared" ref="J3:K3" si="1">SUM(J19:J39)</f>
        <v>208613</v>
      </c>
      <c r="K3" s="323">
        <f t="shared" si="1"/>
        <v>216673</v>
      </c>
      <c r="L3" s="323">
        <f t="shared" ref="L3" si="2">SUM(L19:L39)</f>
        <v>231435</v>
      </c>
    </row>
    <row r="5" spans="1:14">
      <c r="A5" s="320" t="s">
        <v>6952</v>
      </c>
      <c r="D5" s="323">
        <f t="shared" ref="D5:I5" si="3">D3/3</f>
        <v>71986.333333333328</v>
      </c>
      <c r="E5" s="323">
        <f t="shared" si="3"/>
        <v>74126.333333333328</v>
      </c>
      <c r="F5" s="323">
        <f t="shared" si="3"/>
        <v>74044.333333333328</v>
      </c>
      <c r="G5" s="323">
        <f t="shared" si="3"/>
        <v>74259</v>
      </c>
      <c r="H5" s="323">
        <f t="shared" si="3"/>
        <v>70526.333333333328</v>
      </c>
      <c r="I5" s="323">
        <f t="shared" si="3"/>
        <v>71790.666666666672</v>
      </c>
      <c r="J5" s="323">
        <f t="shared" ref="J5:K5" si="4">J3/3</f>
        <v>69537.666666666672</v>
      </c>
      <c r="K5" s="323">
        <f t="shared" si="4"/>
        <v>72224.333333333328</v>
      </c>
      <c r="L5" s="323">
        <f t="shared" ref="L5" si="5">L3/3</f>
        <v>77145</v>
      </c>
    </row>
    <row r="6" spans="1:14">
      <c r="D6" s="324"/>
      <c r="E6" s="324"/>
      <c r="F6" s="324"/>
      <c r="G6" s="324"/>
      <c r="H6" s="324"/>
      <c r="I6" s="324"/>
      <c r="J6" s="324"/>
      <c r="K6" s="324"/>
      <c r="L6" s="324"/>
    </row>
    <row r="7" spans="1:14">
      <c r="A7" s="320" t="s">
        <v>6953</v>
      </c>
      <c r="D7" s="323">
        <f t="shared" ref="D7:I7" si="6">D19+D23+D24+D32+SUM(D34:D36)</f>
        <v>73995</v>
      </c>
      <c r="E7" s="323">
        <f t="shared" si="6"/>
        <v>76455</v>
      </c>
      <c r="F7" s="323">
        <f t="shared" si="6"/>
        <v>76697</v>
      </c>
      <c r="G7" s="323">
        <f t="shared" si="6"/>
        <v>77375</v>
      </c>
      <c r="H7" s="323">
        <f t="shared" si="6"/>
        <v>74260</v>
      </c>
      <c r="I7" s="323">
        <f t="shared" si="6"/>
        <v>75124</v>
      </c>
      <c r="J7" s="323">
        <f t="shared" ref="J7:K7" si="7">J19+J23+J24+J32+SUM(J34:J36)</f>
        <v>72480</v>
      </c>
      <c r="K7" s="323">
        <f t="shared" si="7"/>
        <v>74356</v>
      </c>
      <c r="L7" s="323">
        <f t="shared" ref="L7" si="8">L19+L23+L24+L32+SUM(L34:L36)</f>
        <v>78295</v>
      </c>
      <c r="N7" s="320" t="s">
        <v>6954</v>
      </c>
    </row>
    <row r="8" spans="1:14">
      <c r="D8" s="324"/>
      <c r="E8" s="324"/>
      <c r="F8" s="324"/>
      <c r="G8" s="324"/>
      <c r="H8" s="324"/>
      <c r="I8" s="324"/>
      <c r="J8" s="324"/>
      <c r="K8" s="324"/>
      <c r="L8" s="324"/>
    </row>
    <row r="9" spans="1:14">
      <c r="A9" s="320" t="s">
        <v>6955</v>
      </c>
      <c r="D9" s="323">
        <f t="shared" ref="D9:I9" si="9">D21+D25+SUM(D27:D29)+D37+D39</f>
        <v>69862</v>
      </c>
      <c r="E9" s="323">
        <f t="shared" si="9"/>
        <v>71595</v>
      </c>
      <c r="F9" s="323">
        <f t="shared" si="9"/>
        <v>70918</v>
      </c>
      <c r="G9" s="323">
        <f t="shared" si="9"/>
        <v>70821</v>
      </c>
      <c r="H9" s="323">
        <f t="shared" si="9"/>
        <v>67340</v>
      </c>
      <c r="I9" s="323">
        <f t="shared" si="9"/>
        <v>68554</v>
      </c>
      <c r="J9" s="323">
        <f t="shared" ref="J9:K9" si="10">J21+J25+SUM(J27:J29)+J37+J39</f>
        <v>66631</v>
      </c>
      <c r="K9" s="323">
        <f t="shared" si="10"/>
        <v>69535</v>
      </c>
      <c r="L9" s="323">
        <f t="shared" ref="L9" si="11">L21+L25+SUM(L27:L29)+L37+L39</f>
        <v>74821</v>
      </c>
      <c r="N9" s="320" t="s">
        <v>6954</v>
      </c>
    </row>
    <row r="10" spans="1:14">
      <c r="D10" s="324"/>
      <c r="E10" s="324"/>
      <c r="F10" s="324"/>
      <c r="G10" s="324"/>
      <c r="H10" s="324"/>
      <c r="I10" s="324"/>
      <c r="J10" s="324"/>
      <c r="K10" s="324"/>
      <c r="L10" s="324"/>
    </row>
    <row r="11" spans="1:14">
      <c r="A11" s="320" t="s">
        <v>6956</v>
      </c>
      <c r="D11" s="323">
        <f t="shared" ref="D11:I11" si="12">D20+D22+D26+D30+D31+D33+D38</f>
        <v>72102</v>
      </c>
      <c r="E11" s="323">
        <f t="shared" si="12"/>
        <v>74329</v>
      </c>
      <c r="F11" s="323">
        <f t="shared" si="12"/>
        <v>74518</v>
      </c>
      <c r="G11" s="323">
        <f t="shared" si="12"/>
        <v>74581</v>
      </c>
      <c r="H11" s="323">
        <f t="shared" si="12"/>
        <v>69979</v>
      </c>
      <c r="I11" s="323">
        <f t="shared" si="12"/>
        <v>71694</v>
      </c>
      <c r="J11" s="323">
        <f t="shared" ref="J11:K11" si="13">J20+J22+J26+J30+J31+J33+J38</f>
        <v>69502</v>
      </c>
      <c r="K11" s="323">
        <f t="shared" si="13"/>
        <v>72782</v>
      </c>
      <c r="L11" s="323">
        <f t="shared" ref="L11" si="14">L20+L22+L26+L30+L31+L33+L38</f>
        <v>78319</v>
      </c>
      <c r="N11" s="320" t="s">
        <v>6954</v>
      </c>
    </row>
    <row r="12" spans="1:14">
      <c r="D12" s="324"/>
      <c r="E12" s="324"/>
      <c r="F12" s="324"/>
      <c r="G12" s="324"/>
      <c r="H12" s="324"/>
      <c r="I12" s="324"/>
      <c r="J12" s="324"/>
      <c r="K12" s="324"/>
      <c r="L12" s="324"/>
    </row>
    <row r="13" spans="1:14">
      <c r="A13" s="320" t="s">
        <v>8697</v>
      </c>
      <c r="D13" s="323">
        <f t="shared" ref="D13:I13" si="15">D7+D9+D11</f>
        <v>215959</v>
      </c>
      <c r="E13" s="323">
        <f t="shared" si="15"/>
        <v>222379</v>
      </c>
      <c r="F13" s="323">
        <f t="shared" si="15"/>
        <v>222133</v>
      </c>
      <c r="G13" s="323">
        <f t="shared" si="15"/>
        <v>222777</v>
      </c>
      <c r="H13" s="323">
        <f t="shared" si="15"/>
        <v>211579</v>
      </c>
      <c r="I13" s="323">
        <f t="shared" si="15"/>
        <v>215372</v>
      </c>
      <c r="J13" s="323">
        <f t="shared" ref="J13:K13" si="16">J7+J9+J11</f>
        <v>208613</v>
      </c>
      <c r="K13" s="323">
        <f t="shared" si="16"/>
        <v>216673</v>
      </c>
      <c r="L13" s="323">
        <f t="shared" ref="L13" si="17">L7+L9+L11</f>
        <v>231435</v>
      </c>
    </row>
    <row r="14" spans="1:14">
      <c r="D14" s="324"/>
      <c r="E14" s="324"/>
      <c r="F14" s="324"/>
      <c r="G14" s="324"/>
      <c r="H14" s="324"/>
      <c r="I14" s="324"/>
      <c r="J14" s="324"/>
      <c r="K14" s="324"/>
      <c r="L14" s="324"/>
    </row>
    <row r="15" spans="1:14">
      <c r="A15" s="320" t="s">
        <v>8698</v>
      </c>
      <c r="D15" s="323">
        <f t="shared" ref="D15:I15" si="18">MAX(D7,D9,D11)-MIN(D7,D9,D11)</f>
        <v>4133</v>
      </c>
      <c r="E15" s="323">
        <f t="shared" si="18"/>
        <v>4860</v>
      </c>
      <c r="F15" s="323">
        <f t="shared" si="18"/>
        <v>5779</v>
      </c>
      <c r="G15" s="323">
        <f t="shared" si="18"/>
        <v>6554</v>
      </c>
      <c r="H15" s="323">
        <f t="shared" si="18"/>
        <v>6920</v>
      </c>
      <c r="I15" s="323">
        <f t="shared" si="18"/>
        <v>6570</v>
      </c>
      <c r="J15" s="323">
        <f t="shared" ref="J15:K15" si="19">MAX(J7,J9,J11)-MIN(J7,J9,J11)</f>
        <v>5849</v>
      </c>
      <c r="K15" s="323">
        <f t="shared" si="19"/>
        <v>4821</v>
      </c>
      <c r="L15" s="323">
        <f t="shared" ref="L15" si="20">MAX(L7,L9,L11)-MIN(L7,L9,L11)</f>
        <v>3498</v>
      </c>
    </row>
    <row r="16" spans="1:14">
      <c r="D16" s="324"/>
      <c r="E16" s="324"/>
      <c r="F16" s="324"/>
      <c r="G16" s="324"/>
      <c r="H16" s="324"/>
      <c r="I16" s="324"/>
      <c r="J16" s="324"/>
      <c r="K16" s="324"/>
      <c r="L16" s="324"/>
    </row>
    <row r="17" spans="1:19">
      <c r="A17" s="320" t="s">
        <v>8701</v>
      </c>
      <c r="D17" s="323">
        <f t="shared" ref="D17:I17" si="21">STDEVP(D7,D9,D11)</f>
        <v>1689.2713090429127</v>
      </c>
      <c r="E17" s="323">
        <f t="shared" si="21"/>
        <v>1989.2553604022007</v>
      </c>
      <c r="F17" s="323">
        <f t="shared" si="21"/>
        <v>2382.9226219544398</v>
      </c>
      <c r="G17" s="323">
        <f t="shared" si="21"/>
        <v>2685.3295266441078</v>
      </c>
      <c r="H17" s="323">
        <f t="shared" si="21"/>
        <v>2851.4651594497091</v>
      </c>
      <c r="I17" s="323">
        <f t="shared" si="21"/>
        <v>2683.0620980928156</v>
      </c>
      <c r="J17" s="323">
        <f t="shared" ref="J17:K17" si="22">STDEVP(J7,J9,J11)</f>
        <v>2387.9774333569871</v>
      </c>
      <c r="K17" s="323">
        <f t="shared" si="22"/>
        <v>2007.2791424103314</v>
      </c>
      <c r="L17" s="323">
        <f t="shared" ref="L17" si="23">STDEVP(L7,L9,L11)</f>
        <v>1643.3453684481542</v>
      </c>
    </row>
    <row r="18" spans="1:19">
      <c r="D18" s="324"/>
      <c r="E18" s="324"/>
      <c r="F18" s="324"/>
      <c r="G18" s="324"/>
      <c r="H18" s="324"/>
      <c r="I18" s="324"/>
      <c r="J18" s="324"/>
      <c r="K18" s="324"/>
      <c r="L18" s="324"/>
    </row>
    <row r="19" spans="1:19">
      <c r="A19" s="320" t="s">
        <v>6957</v>
      </c>
      <c r="B19" s="320" t="s">
        <v>6958</v>
      </c>
      <c r="C19" s="4" t="s">
        <v>597</v>
      </c>
      <c r="D19" s="325">
        <v>10542</v>
      </c>
      <c r="E19" s="325">
        <v>11340</v>
      </c>
      <c r="F19" s="325">
        <v>11258</v>
      </c>
      <c r="G19" s="325">
        <v>11365</v>
      </c>
      <c r="H19" s="30">
        <v>11134</v>
      </c>
      <c r="I19" s="30">
        <v>11135</v>
      </c>
      <c r="J19" s="30">
        <v>10823</v>
      </c>
      <c r="K19" s="30">
        <v>11081</v>
      </c>
      <c r="L19" s="30">
        <v>11568</v>
      </c>
      <c r="N19" s="320" t="s">
        <v>6953</v>
      </c>
      <c r="Q19" s="4"/>
      <c r="S19" s="4"/>
    </row>
    <row r="20" spans="1:19">
      <c r="A20" s="320" t="s">
        <v>6959</v>
      </c>
      <c r="B20" s="320" t="s">
        <v>6960</v>
      </c>
      <c r="C20" s="4" t="s">
        <v>598</v>
      </c>
      <c r="D20" s="325">
        <v>9930</v>
      </c>
      <c r="E20" s="325">
        <v>10248</v>
      </c>
      <c r="F20" s="325">
        <v>10310</v>
      </c>
      <c r="G20" s="325">
        <v>10440</v>
      </c>
      <c r="H20" s="30">
        <v>9958</v>
      </c>
      <c r="I20" s="30">
        <v>10169</v>
      </c>
      <c r="J20" s="30">
        <v>9756</v>
      </c>
      <c r="K20" s="30">
        <v>9877</v>
      </c>
      <c r="L20" s="30">
        <v>10442</v>
      </c>
      <c r="N20" s="320" t="s">
        <v>6956</v>
      </c>
      <c r="Q20" s="4"/>
      <c r="S20" s="4"/>
    </row>
    <row r="21" spans="1:19">
      <c r="A21" s="320" t="s">
        <v>6961</v>
      </c>
      <c r="B21" s="320" t="s">
        <v>6962</v>
      </c>
      <c r="C21" s="4" t="s">
        <v>599</v>
      </c>
      <c r="D21" s="325">
        <v>10519</v>
      </c>
      <c r="E21" s="325">
        <v>10559</v>
      </c>
      <c r="F21" s="325">
        <v>10344</v>
      </c>
      <c r="G21" s="325">
        <v>10455</v>
      </c>
      <c r="H21" s="30">
        <v>9469</v>
      </c>
      <c r="I21" s="30">
        <v>9758</v>
      </c>
      <c r="J21" s="30">
        <v>9607</v>
      </c>
      <c r="K21" s="30">
        <v>10320</v>
      </c>
      <c r="L21" s="30">
        <v>11340</v>
      </c>
      <c r="N21" s="320" t="s">
        <v>6955</v>
      </c>
      <c r="Q21" s="4"/>
      <c r="S21" s="4"/>
    </row>
    <row r="22" spans="1:19">
      <c r="A22" s="320" t="s">
        <v>6963</v>
      </c>
      <c r="B22" s="320" t="s">
        <v>6964</v>
      </c>
      <c r="C22" s="4" t="s">
        <v>600</v>
      </c>
      <c r="D22" s="325">
        <v>9580</v>
      </c>
      <c r="E22" s="325">
        <v>9777</v>
      </c>
      <c r="F22" s="325">
        <v>9854</v>
      </c>
      <c r="G22" s="325">
        <v>9873</v>
      </c>
      <c r="H22" s="31">
        <v>9441</v>
      </c>
      <c r="I22" s="31">
        <v>9729</v>
      </c>
      <c r="J22" s="31">
        <v>9764</v>
      </c>
      <c r="K22" s="31">
        <v>11005</v>
      </c>
      <c r="L22" s="31">
        <v>12274</v>
      </c>
      <c r="N22" s="320" t="s">
        <v>6956</v>
      </c>
      <c r="Q22" s="4"/>
      <c r="S22" s="4"/>
    </row>
    <row r="23" spans="1:19">
      <c r="A23" s="320" t="s">
        <v>6965</v>
      </c>
      <c r="B23" s="320" t="s">
        <v>6966</v>
      </c>
      <c r="C23" s="4" t="s">
        <v>601</v>
      </c>
      <c r="D23" s="325">
        <v>10501</v>
      </c>
      <c r="E23" s="325">
        <v>10620</v>
      </c>
      <c r="F23" s="325">
        <v>10638</v>
      </c>
      <c r="G23" s="325">
        <v>10789</v>
      </c>
      <c r="H23" s="30">
        <v>10304</v>
      </c>
      <c r="I23" s="30">
        <v>10487</v>
      </c>
      <c r="J23" s="30">
        <v>9989</v>
      </c>
      <c r="K23" s="30">
        <v>10299</v>
      </c>
      <c r="L23" s="30">
        <v>11136</v>
      </c>
      <c r="N23" s="320" t="s">
        <v>6953</v>
      </c>
      <c r="Q23" s="4"/>
      <c r="S23" s="4"/>
    </row>
    <row r="24" spans="1:19">
      <c r="A24" s="320" t="s">
        <v>6997</v>
      </c>
      <c r="B24" s="320" t="s">
        <v>6998</v>
      </c>
      <c r="C24" s="4" t="s">
        <v>602</v>
      </c>
      <c r="D24" s="325">
        <v>10927</v>
      </c>
      <c r="E24" s="325">
        <v>11340</v>
      </c>
      <c r="F24" s="325">
        <v>11374</v>
      </c>
      <c r="G24" s="325">
        <v>11426</v>
      </c>
      <c r="H24" s="30">
        <v>11057</v>
      </c>
      <c r="I24" s="30">
        <v>11121</v>
      </c>
      <c r="J24" s="30">
        <v>10684</v>
      </c>
      <c r="K24" s="30">
        <v>10887</v>
      </c>
      <c r="L24" s="30">
        <v>11410</v>
      </c>
      <c r="N24" s="320" t="s">
        <v>6953</v>
      </c>
      <c r="Q24" s="4"/>
      <c r="S24" s="4"/>
    </row>
    <row r="25" spans="1:19">
      <c r="A25" s="320" t="s">
        <v>6999</v>
      </c>
      <c r="B25" s="320" t="s">
        <v>7000</v>
      </c>
      <c r="C25" s="4" t="s">
        <v>603</v>
      </c>
      <c r="D25" s="325">
        <v>10080</v>
      </c>
      <c r="E25" s="325">
        <v>10363</v>
      </c>
      <c r="F25" s="325">
        <v>10190</v>
      </c>
      <c r="G25" s="325">
        <v>10200</v>
      </c>
      <c r="H25" s="30">
        <v>9946</v>
      </c>
      <c r="I25" s="30">
        <v>10059</v>
      </c>
      <c r="J25" s="30">
        <v>9748</v>
      </c>
      <c r="K25" s="30">
        <v>10065</v>
      </c>
      <c r="L25" s="30">
        <v>10950</v>
      </c>
      <c r="N25" s="320" t="s">
        <v>6955</v>
      </c>
      <c r="Q25" s="4"/>
      <c r="S25" s="4"/>
    </row>
    <row r="26" spans="1:19">
      <c r="A26" s="320" t="s">
        <v>7001</v>
      </c>
      <c r="B26" s="320" t="s">
        <v>7002</v>
      </c>
      <c r="C26" s="4" t="s">
        <v>604</v>
      </c>
      <c r="D26" s="325">
        <v>10667</v>
      </c>
      <c r="E26" s="325">
        <v>11013</v>
      </c>
      <c r="F26" s="325">
        <v>11118</v>
      </c>
      <c r="G26" s="325">
        <v>11163</v>
      </c>
      <c r="H26" s="31">
        <v>10187</v>
      </c>
      <c r="I26" s="31">
        <v>10346</v>
      </c>
      <c r="J26" s="31">
        <v>9901</v>
      </c>
      <c r="K26" s="31">
        <v>10351</v>
      </c>
      <c r="L26" s="31">
        <v>11048</v>
      </c>
      <c r="N26" s="320" t="s">
        <v>6956</v>
      </c>
      <c r="Q26" s="4"/>
      <c r="S26" s="4"/>
    </row>
    <row r="27" spans="1:19">
      <c r="A27" s="320" t="s">
        <v>7003</v>
      </c>
      <c r="B27" s="320" t="s">
        <v>7004</v>
      </c>
      <c r="C27" s="4" t="s">
        <v>605</v>
      </c>
      <c r="D27" s="325">
        <v>9751</v>
      </c>
      <c r="E27" s="325">
        <v>10091</v>
      </c>
      <c r="F27" s="325">
        <v>10120</v>
      </c>
      <c r="G27" s="325">
        <v>10154</v>
      </c>
      <c r="H27" s="30">
        <v>10033</v>
      </c>
      <c r="I27" s="30">
        <v>10156</v>
      </c>
      <c r="J27" s="30">
        <v>9733</v>
      </c>
      <c r="K27" s="30">
        <v>9954</v>
      </c>
      <c r="L27" s="30">
        <v>10619</v>
      </c>
      <c r="N27" s="320" t="s">
        <v>6955</v>
      </c>
      <c r="Q27" s="4"/>
      <c r="S27" s="4"/>
    </row>
    <row r="28" spans="1:19">
      <c r="A28" s="320" t="s">
        <v>7005</v>
      </c>
      <c r="B28" s="320" t="s">
        <v>7006</v>
      </c>
      <c r="C28" s="4" t="s">
        <v>606</v>
      </c>
      <c r="D28" s="325">
        <v>9515</v>
      </c>
      <c r="E28" s="325">
        <v>9906</v>
      </c>
      <c r="F28" s="325">
        <v>9998</v>
      </c>
      <c r="G28" s="325">
        <v>10009</v>
      </c>
      <c r="H28" s="30">
        <v>9893</v>
      </c>
      <c r="I28" s="30">
        <v>9871</v>
      </c>
      <c r="J28" s="30">
        <v>9457</v>
      </c>
      <c r="K28" s="30">
        <v>9749</v>
      </c>
      <c r="L28" s="30">
        <v>10338</v>
      </c>
      <c r="N28" s="320" t="s">
        <v>6955</v>
      </c>
      <c r="Q28" s="4"/>
      <c r="S28" s="4"/>
    </row>
    <row r="29" spans="1:19">
      <c r="A29" s="320" t="s">
        <v>7007</v>
      </c>
      <c r="B29" s="320" t="s">
        <v>7008</v>
      </c>
      <c r="C29" s="4" t="s">
        <v>607</v>
      </c>
      <c r="D29" s="325">
        <v>9419</v>
      </c>
      <c r="E29" s="325">
        <v>9733</v>
      </c>
      <c r="F29" s="325">
        <v>9594</v>
      </c>
      <c r="G29" s="325">
        <v>9490</v>
      </c>
      <c r="H29" s="30">
        <v>8693</v>
      </c>
      <c r="I29" s="30">
        <v>9043</v>
      </c>
      <c r="J29" s="30">
        <v>8901</v>
      </c>
      <c r="K29" s="30">
        <v>9403</v>
      </c>
      <c r="L29" s="30">
        <v>10027</v>
      </c>
      <c r="N29" s="320" t="s">
        <v>6955</v>
      </c>
      <c r="Q29" s="4"/>
      <c r="S29" s="4"/>
    </row>
    <row r="30" spans="1:19">
      <c r="A30" s="320" t="s">
        <v>7009</v>
      </c>
      <c r="B30" s="320" t="s">
        <v>7010</v>
      </c>
      <c r="C30" s="4" t="s">
        <v>608</v>
      </c>
      <c r="D30" s="325">
        <v>11043</v>
      </c>
      <c r="E30" s="325">
        <v>11310</v>
      </c>
      <c r="F30" s="325">
        <v>11295</v>
      </c>
      <c r="G30" s="325">
        <v>11242</v>
      </c>
      <c r="H30" s="31">
        <v>10480</v>
      </c>
      <c r="I30" s="31">
        <v>10724</v>
      </c>
      <c r="J30" s="31">
        <v>10495</v>
      </c>
      <c r="K30" s="31">
        <v>10873</v>
      </c>
      <c r="L30" s="31">
        <v>11418</v>
      </c>
      <c r="N30" s="320" t="s">
        <v>6956</v>
      </c>
      <c r="Q30" s="4"/>
      <c r="S30" s="4"/>
    </row>
    <row r="31" spans="1:19">
      <c r="A31" s="320" t="s">
        <v>7011</v>
      </c>
      <c r="B31" s="320" t="s">
        <v>7012</v>
      </c>
      <c r="C31" s="4" t="s">
        <v>609</v>
      </c>
      <c r="D31" s="325">
        <v>9853</v>
      </c>
      <c r="E31" s="325">
        <v>10233</v>
      </c>
      <c r="F31" s="325">
        <v>10235</v>
      </c>
      <c r="G31" s="325">
        <v>10188</v>
      </c>
      <c r="H31" s="31">
        <v>9427</v>
      </c>
      <c r="I31" s="31">
        <v>9547</v>
      </c>
      <c r="J31" s="31">
        <v>9159</v>
      </c>
      <c r="K31" s="31">
        <v>9529</v>
      </c>
      <c r="L31" s="31">
        <v>10261</v>
      </c>
      <c r="N31" s="320" t="s">
        <v>6956</v>
      </c>
      <c r="Q31" s="4"/>
      <c r="S31" s="4"/>
    </row>
    <row r="32" spans="1:19">
      <c r="A32" s="320" t="s">
        <v>7013</v>
      </c>
      <c r="B32" s="320" t="s">
        <v>7014</v>
      </c>
      <c r="C32" s="4" t="s">
        <v>610</v>
      </c>
      <c r="D32" s="325">
        <v>10518</v>
      </c>
      <c r="E32" s="325">
        <v>10873</v>
      </c>
      <c r="F32" s="325">
        <v>10905</v>
      </c>
      <c r="G32" s="325">
        <v>11072</v>
      </c>
      <c r="H32" s="30">
        <v>10449</v>
      </c>
      <c r="I32" s="30">
        <v>10650</v>
      </c>
      <c r="J32" s="30">
        <v>10508</v>
      </c>
      <c r="K32" s="30">
        <v>10775</v>
      </c>
      <c r="L32" s="30">
        <v>11415</v>
      </c>
      <c r="N32" s="320" t="s">
        <v>6953</v>
      </c>
      <c r="Q32" s="4"/>
      <c r="S32" s="4"/>
    </row>
    <row r="33" spans="1:19">
      <c r="A33" s="320" t="s">
        <v>7015</v>
      </c>
      <c r="B33" s="320" t="s">
        <v>7016</v>
      </c>
      <c r="C33" s="4" t="s">
        <v>611</v>
      </c>
      <c r="D33" s="326">
        <v>11569</v>
      </c>
      <c r="E33" s="326">
        <v>12094</v>
      </c>
      <c r="F33" s="326">
        <v>12007</v>
      </c>
      <c r="G33" s="326">
        <v>11941</v>
      </c>
      <c r="H33" s="31">
        <v>11126</v>
      </c>
      <c r="I33" s="31">
        <v>11532</v>
      </c>
      <c r="J33" s="31">
        <v>11380</v>
      </c>
      <c r="K33" s="31">
        <v>11910</v>
      </c>
      <c r="L33" s="31">
        <v>12867</v>
      </c>
      <c r="N33" s="320" t="s">
        <v>6956</v>
      </c>
      <c r="Q33" s="4"/>
      <c r="S33" s="4"/>
    </row>
    <row r="34" spans="1:19">
      <c r="A34" s="320" t="s">
        <v>7017</v>
      </c>
      <c r="B34" s="320" t="s">
        <v>7018</v>
      </c>
      <c r="C34" s="4" t="s">
        <v>612</v>
      </c>
      <c r="D34" s="325">
        <v>10860</v>
      </c>
      <c r="E34" s="325">
        <v>11191</v>
      </c>
      <c r="F34" s="325">
        <v>11363</v>
      </c>
      <c r="G34" s="325">
        <v>11364</v>
      </c>
      <c r="H34" s="30">
        <v>10694</v>
      </c>
      <c r="I34" s="30">
        <v>10903</v>
      </c>
      <c r="J34" s="30">
        <v>10637</v>
      </c>
      <c r="K34" s="30">
        <v>10927</v>
      </c>
      <c r="L34" s="30">
        <v>11398</v>
      </c>
      <c r="N34" s="320" t="s">
        <v>6953</v>
      </c>
      <c r="Q34" s="4"/>
      <c r="S34" s="4"/>
    </row>
    <row r="35" spans="1:19">
      <c r="A35" s="320" t="s">
        <v>7019</v>
      </c>
      <c r="B35" s="320" t="s">
        <v>7020</v>
      </c>
      <c r="C35" s="4" t="s">
        <v>613</v>
      </c>
      <c r="D35" s="325">
        <v>9707</v>
      </c>
      <c r="E35" s="325">
        <v>9963</v>
      </c>
      <c r="F35" s="325">
        <v>10099</v>
      </c>
      <c r="G35" s="325">
        <v>10188</v>
      </c>
      <c r="H35" s="30">
        <v>9707</v>
      </c>
      <c r="I35" s="30">
        <v>9852</v>
      </c>
      <c r="J35" s="30">
        <v>9302</v>
      </c>
      <c r="K35" s="30">
        <v>9450</v>
      </c>
      <c r="L35" s="30">
        <v>9980</v>
      </c>
      <c r="N35" s="320" t="s">
        <v>6953</v>
      </c>
      <c r="Q35" s="4"/>
      <c r="S35" s="4"/>
    </row>
    <row r="36" spans="1:19">
      <c r="A36" s="320" t="s">
        <v>7021</v>
      </c>
      <c r="B36" s="320" t="s">
        <v>7022</v>
      </c>
      <c r="C36" s="4" t="s">
        <v>614</v>
      </c>
      <c r="D36" s="325">
        <v>10940</v>
      </c>
      <c r="E36" s="325">
        <v>11128</v>
      </c>
      <c r="F36" s="325">
        <v>11060</v>
      </c>
      <c r="G36" s="325">
        <v>11171</v>
      </c>
      <c r="H36" s="30">
        <v>10915</v>
      </c>
      <c r="I36" s="30">
        <v>10976</v>
      </c>
      <c r="J36" s="30">
        <v>10537</v>
      </c>
      <c r="K36" s="30">
        <v>10937</v>
      </c>
      <c r="L36" s="30">
        <v>11388</v>
      </c>
      <c r="N36" s="320" t="s">
        <v>6953</v>
      </c>
      <c r="Q36" s="4"/>
      <c r="S36" s="4"/>
    </row>
    <row r="37" spans="1:19">
      <c r="A37" s="320" t="s">
        <v>7023</v>
      </c>
      <c r="B37" s="320" t="s">
        <v>7024</v>
      </c>
      <c r="C37" s="4" t="s">
        <v>615</v>
      </c>
      <c r="D37" s="325">
        <v>9709</v>
      </c>
      <c r="E37" s="325">
        <v>9863</v>
      </c>
      <c r="F37" s="325">
        <v>9770</v>
      </c>
      <c r="G37" s="325">
        <v>9549</v>
      </c>
      <c r="H37" s="30">
        <v>8666</v>
      </c>
      <c r="I37" s="30">
        <v>8904</v>
      </c>
      <c r="J37" s="30">
        <v>8794</v>
      </c>
      <c r="K37" s="30">
        <v>9255</v>
      </c>
      <c r="L37" s="30">
        <v>10027</v>
      </c>
      <c r="N37" s="320" t="s">
        <v>6955</v>
      </c>
      <c r="Q37" s="4"/>
      <c r="S37" s="4"/>
    </row>
    <row r="38" spans="1:19">
      <c r="A38" s="320" t="s">
        <v>7025</v>
      </c>
      <c r="B38" s="320" t="s">
        <v>7026</v>
      </c>
      <c r="C38" s="4" t="s">
        <v>616</v>
      </c>
      <c r="D38" s="325">
        <v>9460</v>
      </c>
      <c r="E38" s="325">
        <v>9654</v>
      </c>
      <c r="F38" s="325">
        <v>9699</v>
      </c>
      <c r="G38" s="325">
        <v>9734</v>
      </c>
      <c r="H38" s="31">
        <v>9360</v>
      </c>
      <c r="I38" s="31">
        <v>9647</v>
      </c>
      <c r="J38" s="31">
        <v>9047</v>
      </c>
      <c r="K38" s="31">
        <v>9237</v>
      </c>
      <c r="L38" s="31">
        <v>10009</v>
      </c>
      <c r="N38" s="320" t="s">
        <v>6956</v>
      </c>
      <c r="Q38" s="4"/>
      <c r="S38" s="4"/>
    </row>
    <row r="39" spans="1:19">
      <c r="A39" s="327">
        <v>21</v>
      </c>
      <c r="B39" s="320" t="s">
        <v>7027</v>
      </c>
      <c r="C39" s="4" t="s">
        <v>617</v>
      </c>
      <c r="D39" s="326">
        <v>10869</v>
      </c>
      <c r="E39" s="326">
        <v>11080</v>
      </c>
      <c r="F39" s="326">
        <v>10902</v>
      </c>
      <c r="G39" s="326">
        <v>10964</v>
      </c>
      <c r="H39" s="30">
        <v>10640</v>
      </c>
      <c r="I39" s="30">
        <v>10763</v>
      </c>
      <c r="J39" s="30">
        <v>10391</v>
      </c>
      <c r="K39" s="30">
        <v>10789</v>
      </c>
      <c r="L39" s="30">
        <v>11520</v>
      </c>
      <c r="N39" s="320" t="s">
        <v>6955</v>
      </c>
      <c r="Q39" s="4"/>
      <c r="S39" s="4"/>
    </row>
    <row r="41" spans="1:19">
      <c r="A41" s="321" t="s">
        <v>8846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7 E5:E18 F5:F17 G5:G17 H3:H4 H5:H17 I3:I17 J3:J17 K3:K17 L3:L17" unlocked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9"/>
  <sheetViews>
    <sheetView showGridLines="0" zoomScaleNormal="100" workbookViewId="0"/>
  </sheetViews>
  <sheetFormatPr defaultColWidth="12.5703125" defaultRowHeight="15"/>
  <cols>
    <col min="1" max="1" width="4.85546875" style="347" customWidth="1"/>
    <col min="2" max="2" width="35.85546875" style="347" customWidth="1"/>
    <col min="3" max="3" width="11.5703125" style="347" customWidth="1"/>
    <col min="4" max="12" width="10" style="347" customWidth="1"/>
    <col min="13" max="13" width="2.28515625" style="347" customWidth="1"/>
    <col min="14" max="14" width="32" style="347" bestFit="1" customWidth="1"/>
    <col min="15" max="16384" width="12.5703125" style="347"/>
  </cols>
  <sheetData>
    <row r="1" spans="1:14">
      <c r="A1" s="346" t="s">
        <v>7342</v>
      </c>
      <c r="D1" s="348">
        <v>2010</v>
      </c>
      <c r="E1" s="348">
        <v>2011</v>
      </c>
      <c r="F1" s="348">
        <v>2012</v>
      </c>
      <c r="G1" s="348">
        <v>2013</v>
      </c>
      <c r="H1" s="348">
        <v>2014</v>
      </c>
      <c r="I1" s="348">
        <v>2015</v>
      </c>
      <c r="J1" s="348">
        <v>2016</v>
      </c>
      <c r="K1" s="348">
        <v>2017</v>
      </c>
      <c r="L1" s="348">
        <v>2018</v>
      </c>
    </row>
    <row r="3" spans="1:14">
      <c r="A3" s="346" t="s">
        <v>8541</v>
      </c>
      <c r="D3" s="349">
        <f t="shared" ref="D3:I3" si="0">SUM(D25:D46)</f>
        <v>188436</v>
      </c>
      <c r="E3" s="349">
        <f t="shared" si="0"/>
        <v>190558</v>
      </c>
      <c r="F3" s="349">
        <f t="shared" si="0"/>
        <v>192960</v>
      </c>
      <c r="G3" s="349">
        <f t="shared" si="0"/>
        <v>194954</v>
      </c>
      <c r="H3" s="349">
        <f t="shared" si="0"/>
        <v>196374</v>
      </c>
      <c r="I3" s="349">
        <f t="shared" si="0"/>
        <v>194733</v>
      </c>
      <c r="J3" s="349">
        <f t="shared" ref="J3:K3" si="1">SUM(J25:J46)</f>
        <v>183803</v>
      </c>
      <c r="K3" s="349">
        <f t="shared" si="1"/>
        <v>188611</v>
      </c>
      <c r="L3" s="349">
        <f t="shared" ref="L3" si="2">SUM(L25:L46)</f>
        <v>187706</v>
      </c>
    </row>
    <row r="5" spans="1:14">
      <c r="A5" s="346" t="s">
        <v>6952</v>
      </c>
      <c r="D5" s="349">
        <f t="shared" ref="D5:I5" si="3">D3/3</f>
        <v>62812</v>
      </c>
      <c r="E5" s="349">
        <f t="shared" si="3"/>
        <v>63519.333333333336</v>
      </c>
      <c r="F5" s="349">
        <f t="shared" si="3"/>
        <v>64320</v>
      </c>
      <c r="G5" s="349">
        <f t="shared" si="3"/>
        <v>64984.666666666664</v>
      </c>
      <c r="H5" s="349">
        <f t="shared" si="3"/>
        <v>65458</v>
      </c>
      <c r="I5" s="349">
        <f t="shared" si="3"/>
        <v>64911</v>
      </c>
      <c r="J5" s="349">
        <f t="shared" ref="J5:K5" si="4">J3/3</f>
        <v>61267.666666666664</v>
      </c>
      <c r="K5" s="349">
        <f t="shared" si="4"/>
        <v>62870.333333333336</v>
      </c>
      <c r="L5" s="349">
        <f t="shared" ref="L5" si="5">L3/3</f>
        <v>62568.666666666664</v>
      </c>
    </row>
    <row r="6" spans="1:14">
      <c r="D6" s="350"/>
      <c r="E6" s="350"/>
      <c r="F6" s="350"/>
      <c r="G6" s="350"/>
      <c r="H6" s="350"/>
      <c r="I6" s="350"/>
      <c r="J6" s="350"/>
      <c r="K6" s="350"/>
      <c r="L6" s="350"/>
    </row>
    <row r="7" spans="1:14">
      <c r="A7" s="346" t="s">
        <v>4997</v>
      </c>
      <c r="D7" s="349">
        <f t="shared" ref="D7:I7" si="6">D25+D26+D29+D32+D38+D40+D43+D45</f>
        <v>69811</v>
      </c>
      <c r="E7" s="349">
        <f t="shared" si="6"/>
        <v>70589</v>
      </c>
      <c r="F7" s="349">
        <f t="shared" si="6"/>
        <v>71849</v>
      </c>
      <c r="G7" s="349">
        <f t="shared" si="6"/>
        <v>73191</v>
      </c>
      <c r="H7" s="349">
        <f t="shared" si="6"/>
        <v>74347</v>
      </c>
      <c r="I7" s="349">
        <f t="shared" si="6"/>
        <v>75090</v>
      </c>
      <c r="J7" s="349">
        <f t="shared" ref="J7:K7" si="7">J25+J26+J29+J32+J38+J40+J43+J45</f>
        <v>69700</v>
      </c>
      <c r="K7" s="349">
        <f t="shared" si="7"/>
        <v>71756</v>
      </c>
      <c r="L7" s="349">
        <f t="shared" ref="L7" si="8">L25+L26+L29+L32+L38+L40+L43+L45</f>
        <v>71666</v>
      </c>
      <c r="N7" s="346" t="s">
        <v>4978</v>
      </c>
    </row>
    <row r="8" spans="1:14">
      <c r="D8" s="350"/>
      <c r="E8" s="350"/>
      <c r="F8" s="350"/>
      <c r="G8" s="350"/>
      <c r="H8" s="350"/>
      <c r="I8" s="350"/>
      <c r="J8" s="350"/>
      <c r="K8" s="350"/>
      <c r="L8" s="350"/>
    </row>
    <row r="9" spans="1:14">
      <c r="A9" s="351" t="s">
        <v>6733</v>
      </c>
      <c r="D9" s="350">
        <f>HARROW!D11</f>
        <v>23413</v>
      </c>
      <c r="E9" s="350">
        <f>HARROW!E11</f>
        <v>23691</v>
      </c>
      <c r="F9" s="350">
        <f>HARROW!F11</f>
        <v>23629</v>
      </c>
      <c r="G9" s="350">
        <f>HARROW!G11</f>
        <v>23635</v>
      </c>
      <c r="H9" s="350">
        <f>HARROW!H11</f>
        <v>23932</v>
      </c>
      <c r="I9" s="350">
        <f>HARROW!I11</f>
        <v>23468</v>
      </c>
      <c r="J9" s="350">
        <f>HARROW!J11</f>
        <v>23834</v>
      </c>
      <c r="K9" s="350">
        <f>HARROW!K11</f>
        <v>23711</v>
      </c>
      <c r="L9" s="350">
        <f>HARROW!L11</f>
        <v>24055</v>
      </c>
      <c r="N9" s="347" t="s">
        <v>6731</v>
      </c>
    </row>
    <row r="10" spans="1:14" ht="15.75" thickBot="1">
      <c r="A10" s="346"/>
      <c r="D10" s="352">
        <f t="shared" ref="D10:I10" si="9">D30+D31+D34+D36+D37+D44</f>
        <v>47566</v>
      </c>
      <c r="E10" s="352">
        <f t="shared" si="9"/>
        <v>48015</v>
      </c>
      <c r="F10" s="352">
        <f t="shared" si="9"/>
        <v>48519</v>
      </c>
      <c r="G10" s="352">
        <f t="shared" si="9"/>
        <v>49330</v>
      </c>
      <c r="H10" s="352">
        <f t="shared" si="9"/>
        <v>49559</v>
      </c>
      <c r="I10" s="352">
        <f t="shared" si="9"/>
        <v>49772</v>
      </c>
      <c r="J10" s="352">
        <f t="shared" ref="J10:K10" si="10">J30+J31+J34+J36+J37+J44</f>
        <v>47497</v>
      </c>
      <c r="K10" s="352">
        <f t="shared" si="10"/>
        <v>48747</v>
      </c>
      <c r="L10" s="352">
        <f t="shared" ref="L10" si="11">L30+L31+L34+L36+L37+L44</f>
        <v>48302</v>
      </c>
      <c r="N10" s="346" t="s">
        <v>4978</v>
      </c>
    </row>
    <row r="11" spans="1:14" ht="15.75" thickBot="1">
      <c r="A11" s="346"/>
      <c r="D11" s="353">
        <f t="shared" ref="D11:I11" si="12">D9+D10</f>
        <v>70979</v>
      </c>
      <c r="E11" s="353">
        <f t="shared" si="12"/>
        <v>71706</v>
      </c>
      <c r="F11" s="353">
        <f t="shared" si="12"/>
        <v>72148</v>
      </c>
      <c r="G11" s="353">
        <f t="shared" si="12"/>
        <v>72965</v>
      </c>
      <c r="H11" s="353">
        <f t="shared" si="12"/>
        <v>73491</v>
      </c>
      <c r="I11" s="353">
        <f t="shared" si="12"/>
        <v>73240</v>
      </c>
      <c r="J11" s="353">
        <f t="shared" ref="J11:K11" si="13">J9+J10</f>
        <v>71331</v>
      </c>
      <c r="K11" s="353">
        <f t="shared" si="13"/>
        <v>72458</v>
      </c>
      <c r="L11" s="353">
        <f t="shared" ref="L11" si="14">L9+L10</f>
        <v>72357</v>
      </c>
      <c r="N11" s="346"/>
    </row>
    <row r="12" spans="1:14">
      <c r="D12" s="350"/>
      <c r="E12" s="350"/>
      <c r="F12" s="350"/>
      <c r="G12" s="350"/>
      <c r="H12" s="350"/>
      <c r="I12" s="350"/>
      <c r="J12" s="350"/>
      <c r="K12" s="350"/>
      <c r="L12" s="350"/>
    </row>
    <row r="13" spans="1:14">
      <c r="A13" s="351" t="s">
        <v>4998</v>
      </c>
      <c r="D13" s="349">
        <f t="shared" ref="D13:I13" si="15">D27+D28+D33+D35+D39+D41+D42+D46</f>
        <v>71059</v>
      </c>
      <c r="E13" s="349">
        <f t="shared" si="15"/>
        <v>71954</v>
      </c>
      <c r="F13" s="349">
        <f t="shared" si="15"/>
        <v>72592</v>
      </c>
      <c r="G13" s="349">
        <f t="shared" si="15"/>
        <v>72433</v>
      </c>
      <c r="H13" s="349">
        <f t="shared" si="15"/>
        <v>72468</v>
      </c>
      <c r="I13" s="349">
        <f t="shared" si="15"/>
        <v>69871</v>
      </c>
      <c r="J13" s="349">
        <f t="shared" ref="J13:K13" si="16">J27+J28+J33+J35+J39+J41+J42+J46</f>
        <v>66606</v>
      </c>
      <c r="K13" s="349">
        <f t="shared" si="16"/>
        <v>68108</v>
      </c>
      <c r="L13" s="349">
        <f t="shared" ref="L13" si="17">L27+L28+L33+L35+L39+L41+L42+L46</f>
        <v>67738</v>
      </c>
      <c r="N13" s="346" t="s">
        <v>4978</v>
      </c>
    </row>
    <row r="14" spans="1:14">
      <c r="D14" s="350"/>
      <c r="E14" s="350"/>
      <c r="F14" s="350"/>
      <c r="G14" s="350"/>
      <c r="H14" s="350"/>
      <c r="I14" s="350"/>
      <c r="J14" s="350"/>
      <c r="K14" s="350"/>
      <c r="L14" s="350"/>
    </row>
    <row r="15" spans="1:14">
      <c r="A15" s="347" t="s">
        <v>6730</v>
      </c>
      <c r="D15" s="350">
        <f>HARROW!D7</f>
        <v>71533</v>
      </c>
      <c r="E15" s="350">
        <f>HARROW!E7</f>
        <v>72537</v>
      </c>
      <c r="F15" s="350">
        <f>HARROW!F7</f>
        <v>72465</v>
      </c>
      <c r="G15" s="350">
        <f>HARROW!G7</f>
        <v>71564</v>
      </c>
      <c r="H15" s="350">
        <f>HARROW!H7</f>
        <v>72390</v>
      </c>
      <c r="I15" s="350">
        <f>HARROW!I7</f>
        <v>69382</v>
      </c>
      <c r="J15" s="350">
        <f>HARROW!J7</f>
        <v>69864</v>
      </c>
      <c r="K15" s="350">
        <f>HARROW!K7</f>
        <v>70779</v>
      </c>
      <c r="L15" s="350">
        <f>HARROW!L7</f>
        <v>71585</v>
      </c>
      <c r="N15" s="347" t="s">
        <v>6731</v>
      </c>
    </row>
    <row r="16" spans="1:14">
      <c r="D16" s="350"/>
      <c r="E16" s="350"/>
      <c r="F16" s="350"/>
      <c r="G16" s="350"/>
      <c r="H16" s="350"/>
      <c r="I16" s="350"/>
      <c r="J16" s="350"/>
      <c r="K16" s="350"/>
      <c r="L16" s="350"/>
    </row>
    <row r="17" spans="1:19">
      <c r="A17" s="347" t="s">
        <v>6732</v>
      </c>
      <c r="D17" s="350">
        <f>HARROW!D9</f>
        <v>68264</v>
      </c>
      <c r="E17" s="350">
        <f>HARROW!E9</f>
        <v>69135</v>
      </c>
      <c r="F17" s="350">
        <f>HARROW!F9</f>
        <v>69701</v>
      </c>
      <c r="G17" s="350">
        <f>HARROW!G9</f>
        <v>69202</v>
      </c>
      <c r="H17" s="350">
        <f>HARROW!H9</f>
        <v>70487</v>
      </c>
      <c r="I17" s="350">
        <f>HARROW!I9</f>
        <v>67700</v>
      </c>
      <c r="J17" s="350">
        <f>HARROW!J9</f>
        <v>67425</v>
      </c>
      <c r="K17" s="350">
        <f>HARROW!K9</f>
        <v>68287</v>
      </c>
      <c r="L17" s="350">
        <f>HARROW!L9</f>
        <v>69370</v>
      </c>
      <c r="N17" s="347" t="s">
        <v>6731</v>
      </c>
    </row>
    <row r="18" spans="1:19">
      <c r="D18" s="350"/>
      <c r="E18" s="350"/>
      <c r="F18" s="350"/>
      <c r="G18" s="350"/>
      <c r="H18" s="350"/>
      <c r="I18" s="350"/>
      <c r="J18" s="350"/>
      <c r="K18" s="350"/>
      <c r="L18" s="350"/>
    </row>
    <row r="19" spans="1:19">
      <c r="A19" s="346" t="s">
        <v>8697</v>
      </c>
      <c r="D19" s="349">
        <f t="shared" ref="D19:I19" si="18">D7+D10+D13</f>
        <v>188436</v>
      </c>
      <c r="E19" s="349">
        <f t="shared" si="18"/>
        <v>190558</v>
      </c>
      <c r="F19" s="349">
        <f t="shared" si="18"/>
        <v>192960</v>
      </c>
      <c r="G19" s="349">
        <f t="shared" si="18"/>
        <v>194954</v>
      </c>
      <c r="H19" s="349">
        <f t="shared" si="18"/>
        <v>196374</v>
      </c>
      <c r="I19" s="349">
        <f t="shared" si="18"/>
        <v>194733</v>
      </c>
      <c r="J19" s="349">
        <f t="shared" ref="J19:K19" si="19">J7+J10+J13</f>
        <v>183803</v>
      </c>
      <c r="K19" s="349">
        <f t="shared" si="19"/>
        <v>188611</v>
      </c>
      <c r="L19" s="349">
        <f t="shared" ref="L19" si="20">L7+L10+L13</f>
        <v>187706</v>
      </c>
    </row>
    <row r="20" spans="1:19">
      <c r="D20" s="350"/>
      <c r="E20" s="350"/>
      <c r="F20" s="350"/>
      <c r="G20" s="350"/>
      <c r="H20" s="350"/>
      <c r="I20" s="350"/>
      <c r="J20" s="350"/>
      <c r="K20" s="350"/>
      <c r="L20" s="350"/>
    </row>
    <row r="21" spans="1:19">
      <c r="A21" s="346" t="s">
        <v>8698</v>
      </c>
      <c r="D21" s="349">
        <f t="shared" ref="D21:I21" si="21">MAX(D7,D11,D13,D15,D17)-MIN(D7,D11,D13,D15,D17)</f>
        <v>3269</v>
      </c>
      <c r="E21" s="349">
        <f t="shared" si="21"/>
        <v>3402</v>
      </c>
      <c r="F21" s="349">
        <f t="shared" si="21"/>
        <v>2891</v>
      </c>
      <c r="G21" s="349">
        <f t="shared" si="21"/>
        <v>3989</v>
      </c>
      <c r="H21" s="349">
        <f t="shared" si="21"/>
        <v>3860</v>
      </c>
      <c r="I21" s="349">
        <f t="shared" si="21"/>
        <v>7390</v>
      </c>
      <c r="J21" s="349">
        <f t="shared" ref="J21:K21" si="22">MAX(J7,J11,J13,J15,J17)-MIN(J7,J11,J13,J15,J17)</f>
        <v>4725</v>
      </c>
      <c r="K21" s="349">
        <f t="shared" si="22"/>
        <v>4350</v>
      </c>
      <c r="L21" s="349">
        <f t="shared" ref="L21" si="23">MAX(L7,L11,L13,L15,L17)-MIN(L7,L11,L13,L15,L17)</f>
        <v>4619</v>
      </c>
    </row>
    <row r="22" spans="1:19">
      <c r="D22" s="350"/>
      <c r="E22" s="350"/>
      <c r="F22" s="350"/>
      <c r="G22" s="350"/>
      <c r="H22" s="350"/>
      <c r="I22" s="350"/>
      <c r="J22" s="350"/>
      <c r="K22" s="350"/>
      <c r="L22" s="350"/>
    </row>
    <row r="23" spans="1:19">
      <c r="A23" s="354" t="s">
        <v>8701</v>
      </c>
      <c r="D23" s="349">
        <f t="shared" ref="D23:I23" si="24">STDEVP(D7,D11,D13,D15,D17)</f>
        <v>1177.9274001397539</v>
      </c>
      <c r="E23" s="349">
        <f t="shared" si="24"/>
        <v>1204.0281392060569</v>
      </c>
      <c r="F23" s="349">
        <f t="shared" si="24"/>
        <v>1057.0515597642341</v>
      </c>
      <c r="G23" s="349">
        <f t="shared" si="24"/>
        <v>1447.2656977901465</v>
      </c>
      <c r="H23" s="349">
        <f t="shared" si="24"/>
        <v>1293.4825240412026</v>
      </c>
      <c r="I23" s="349">
        <f t="shared" si="24"/>
        <v>2702.3044684120996</v>
      </c>
      <c r="J23" s="349">
        <f t="shared" ref="J23:K23" si="25">STDEVP(J7,J11,J13,J15,J17)</f>
        <v>1725.1563871139335</v>
      </c>
      <c r="K23" s="349">
        <f t="shared" si="25"/>
        <v>1781.0595273600486</v>
      </c>
      <c r="L23" s="349">
        <f t="shared" ref="L23" si="26">STDEVP(L7,L11,L13,L15,L17)</f>
        <v>1725.1923255104052</v>
      </c>
    </row>
    <row r="24" spans="1:19">
      <c r="D24" s="350"/>
      <c r="E24" s="350"/>
      <c r="F24" s="350"/>
      <c r="G24" s="350"/>
      <c r="H24" s="350"/>
      <c r="I24" s="350"/>
      <c r="J24" s="350"/>
      <c r="K24" s="350"/>
      <c r="L24" s="350"/>
    </row>
    <row r="25" spans="1:19">
      <c r="A25" s="346" t="s">
        <v>6957</v>
      </c>
      <c r="B25" s="346" t="s">
        <v>6172</v>
      </c>
      <c r="C25" s="4" t="s">
        <v>838</v>
      </c>
      <c r="D25" s="355">
        <v>8602</v>
      </c>
      <c r="E25" s="355">
        <v>8722</v>
      </c>
      <c r="F25" s="355">
        <v>8911</v>
      </c>
      <c r="G25" s="355">
        <v>8942</v>
      </c>
      <c r="H25" s="30">
        <v>8866</v>
      </c>
      <c r="I25" s="30">
        <v>8941</v>
      </c>
      <c r="J25" s="30">
        <v>8270</v>
      </c>
      <c r="K25" s="30">
        <v>8555</v>
      </c>
      <c r="L25" s="30">
        <v>8546</v>
      </c>
      <c r="N25" s="346" t="s">
        <v>4997</v>
      </c>
      <c r="Q25" s="4"/>
      <c r="S25" s="4"/>
    </row>
    <row r="26" spans="1:19">
      <c r="A26" s="346" t="s">
        <v>6959</v>
      </c>
      <c r="B26" s="346" t="s">
        <v>8542</v>
      </c>
      <c r="C26" s="4" t="s">
        <v>839</v>
      </c>
      <c r="D26" s="349">
        <v>9288</v>
      </c>
      <c r="E26" s="349">
        <v>9439</v>
      </c>
      <c r="F26" s="349">
        <v>9778</v>
      </c>
      <c r="G26" s="349">
        <v>10243</v>
      </c>
      <c r="H26" s="30">
        <v>10676</v>
      </c>
      <c r="I26" s="30">
        <v>10766</v>
      </c>
      <c r="J26" s="30">
        <v>9965</v>
      </c>
      <c r="K26" s="30">
        <v>10181</v>
      </c>
      <c r="L26" s="30">
        <v>10349</v>
      </c>
      <c r="N26" s="346" t="s">
        <v>4997</v>
      </c>
      <c r="Q26" s="4"/>
      <c r="S26" s="4"/>
    </row>
    <row r="27" spans="1:19">
      <c r="A27" s="346" t="s">
        <v>6961</v>
      </c>
      <c r="B27" s="346" t="s">
        <v>8543</v>
      </c>
      <c r="C27" s="4" t="s">
        <v>840</v>
      </c>
      <c r="D27" s="355">
        <v>9881</v>
      </c>
      <c r="E27" s="355">
        <v>9824</v>
      </c>
      <c r="F27" s="355">
        <v>10000</v>
      </c>
      <c r="G27" s="355">
        <v>9548</v>
      </c>
      <c r="H27" s="30">
        <v>9432</v>
      </c>
      <c r="I27" s="30">
        <v>8089</v>
      </c>
      <c r="J27" s="30">
        <v>7831</v>
      </c>
      <c r="K27" s="30">
        <v>7894</v>
      </c>
      <c r="L27" s="30">
        <v>7657</v>
      </c>
      <c r="N27" s="351" t="s">
        <v>4998</v>
      </c>
      <c r="Q27" s="4"/>
      <c r="S27" s="4"/>
    </row>
    <row r="28" spans="1:19">
      <c r="A28" s="346" t="s">
        <v>6963</v>
      </c>
      <c r="B28" s="346" t="s">
        <v>8544</v>
      </c>
      <c r="C28" s="4" t="s">
        <v>841</v>
      </c>
      <c r="D28" s="355">
        <v>8615</v>
      </c>
      <c r="E28" s="355">
        <v>8676</v>
      </c>
      <c r="F28" s="355">
        <v>8710</v>
      </c>
      <c r="G28" s="355">
        <v>8718</v>
      </c>
      <c r="H28" s="31">
        <v>8820</v>
      </c>
      <c r="I28" s="31">
        <v>8854</v>
      </c>
      <c r="J28" s="31">
        <v>8433</v>
      </c>
      <c r="K28" s="31">
        <v>8646</v>
      </c>
      <c r="L28" s="31">
        <v>8595</v>
      </c>
      <c r="N28" s="351" t="s">
        <v>4998</v>
      </c>
      <c r="Q28" s="4"/>
      <c r="S28" s="4"/>
    </row>
    <row r="29" spans="1:19">
      <c r="A29" s="346" t="s">
        <v>6965</v>
      </c>
      <c r="B29" s="346" t="s">
        <v>8518</v>
      </c>
      <c r="C29" s="4" t="s">
        <v>842</v>
      </c>
      <c r="D29" s="355">
        <v>8643</v>
      </c>
      <c r="E29" s="355">
        <v>8678</v>
      </c>
      <c r="F29" s="355">
        <v>8776</v>
      </c>
      <c r="G29" s="355">
        <v>8808</v>
      </c>
      <c r="H29" s="30">
        <v>8910</v>
      </c>
      <c r="I29" s="30">
        <v>9022</v>
      </c>
      <c r="J29" s="30">
        <v>8421</v>
      </c>
      <c r="K29" s="30">
        <v>8572</v>
      </c>
      <c r="L29" s="30">
        <v>8485</v>
      </c>
      <c r="N29" s="346" t="s">
        <v>4997</v>
      </c>
      <c r="Q29" s="4"/>
      <c r="S29" s="4"/>
    </row>
    <row r="30" spans="1:19">
      <c r="A30" s="346" t="s">
        <v>6997</v>
      </c>
      <c r="B30" s="346" t="s">
        <v>8519</v>
      </c>
      <c r="C30" s="4" t="s">
        <v>843</v>
      </c>
      <c r="D30" s="355">
        <v>9257</v>
      </c>
      <c r="E30" s="355">
        <v>9375</v>
      </c>
      <c r="F30" s="355">
        <v>9690</v>
      </c>
      <c r="G30" s="355">
        <v>9866</v>
      </c>
      <c r="H30" s="30">
        <v>10006</v>
      </c>
      <c r="I30" s="30">
        <v>10114</v>
      </c>
      <c r="J30" s="30">
        <v>9701</v>
      </c>
      <c r="K30" s="30">
        <v>9953</v>
      </c>
      <c r="L30" s="30">
        <v>9816</v>
      </c>
      <c r="N30" s="351" t="s">
        <v>6733</v>
      </c>
      <c r="Q30" s="4"/>
      <c r="S30" s="4"/>
    </row>
    <row r="31" spans="1:19">
      <c r="A31" s="346" t="s">
        <v>6999</v>
      </c>
      <c r="B31" s="346" t="s">
        <v>6515</v>
      </c>
      <c r="C31" s="4" t="s">
        <v>844</v>
      </c>
      <c r="D31" s="355">
        <v>5608</v>
      </c>
      <c r="E31" s="355">
        <v>5570</v>
      </c>
      <c r="F31" s="355">
        <v>5588</v>
      </c>
      <c r="G31" s="355">
        <v>5616</v>
      </c>
      <c r="H31" s="30">
        <v>5698</v>
      </c>
      <c r="I31" s="30">
        <v>5638</v>
      </c>
      <c r="J31" s="30">
        <v>5350</v>
      </c>
      <c r="K31" s="30">
        <v>5529</v>
      </c>
      <c r="L31" s="30">
        <v>5515</v>
      </c>
      <c r="N31" s="351" t="s">
        <v>6733</v>
      </c>
      <c r="Q31" s="4"/>
      <c r="S31" s="4"/>
    </row>
    <row r="32" spans="1:19">
      <c r="A32" s="346" t="s">
        <v>7001</v>
      </c>
      <c r="B32" s="346" t="s">
        <v>8520</v>
      </c>
      <c r="C32" s="4" t="s">
        <v>845</v>
      </c>
      <c r="D32" s="349">
        <v>7668</v>
      </c>
      <c r="E32" s="349">
        <v>7386</v>
      </c>
      <c r="F32" s="349">
        <v>7426</v>
      </c>
      <c r="G32" s="349">
        <v>7422</v>
      </c>
      <c r="H32" s="30">
        <v>7273</v>
      </c>
      <c r="I32" s="30">
        <v>7277</v>
      </c>
      <c r="J32" s="30">
        <v>6875</v>
      </c>
      <c r="K32" s="30">
        <v>7030</v>
      </c>
      <c r="L32" s="30">
        <v>6880</v>
      </c>
      <c r="N32" s="346" t="s">
        <v>4997</v>
      </c>
      <c r="Q32" s="4"/>
      <c r="S32" s="4"/>
    </row>
    <row r="33" spans="1:19">
      <c r="A33" s="346" t="s">
        <v>7003</v>
      </c>
      <c r="B33" s="346" t="s">
        <v>8521</v>
      </c>
      <c r="C33" s="4" t="s">
        <v>846</v>
      </c>
      <c r="D33" s="356">
        <v>8702</v>
      </c>
      <c r="E33" s="356">
        <v>8921</v>
      </c>
      <c r="F33" s="356">
        <v>8933</v>
      </c>
      <c r="G33" s="356">
        <v>8920</v>
      </c>
      <c r="H33" s="31">
        <v>9008</v>
      </c>
      <c r="I33" s="31">
        <v>9076</v>
      </c>
      <c r="J33" s="31">
        <v>8481</v>
      </c>
      <c r="K33" s="31">
        <v>8764</v>
      </c>
      <c r="L33" s="31">
        <v>8743</v>
      </c>
      <c r="N33" s="351" t="s">
        <v>4998</v>
      </c>
      <c r="Q33" s="4"/>
      <c r="S33" s="4"/>
    </row>
    <row r="34" spans="1:19">
      <c r="A34" s="346" t="s">
        <v>7005</v>
      </c>
      <c r="B34" s="346" t="s">
        <v>8522</v>
      </c>
      <c r="C34" s="4" t="s">
        <v>847</v>
      </c>
      <c r="D34" s="355">
        <v>8067</v>
      </c>
      <c r="E34" s="355">
        <v>8111</v>
      </c>
      <c r="F34" s="355">
        <v>8104</v>
      </c>
      <c r="G34" s="355">
        <v>8169</v>
      </c>
      <c r="H34" s="30">
        <v>8126</v>
      </c>
      <c r="I34" s="30">
        <v>8192</v>
      </c>
      <c r="J34" s="30">
        <v>7945</v>
      </c>
      <c r="K34" s="30">
        <v>8055</v>
      </c>
      <c r="L34" s="30">
        <v>7999</v>
      </c>
      <c r="N34" s="351" t="s">
        <v>6733</v>
      </c>
      <c r="Q34" s="4"/>
      <c r="S34" s="4"/>
    </row>
    <row r="35" spans="1:19">
      <c r="A35" s="346" t="s">
        <v>7007</v>
      </c>
      <c r="B35" s="346" t="s">
        <v>7605</v>
      </c>
      <c r="C35" s="4" t="s">
        <v>848</v>
      </c>
      <c r="D35" s="355">
        <v>8404</v>
      </c>
      <c r="E35" s="355">
        <v>8504</v>
      </c>
      <c r="F35" s="355">
        <v>8509</v>
      </c>
      <c r="G35" s="355">
        <v>8584</v>
      </c>
      <c r="H35" s="31">
        <v>8638</v>
      </c>
      <c r="I35" s="31">
        <v>8612</v>
      </c>
      <c r="J35" s="31">
        <v>8236</v>
      </c>
      <c r="K35" s="31">
        <v>8365</v>
      </c>
      <c r="L35" s="31">
        <v>8285</v>
      </c>
      <c r="N35" s="351" t="s">
        <v>4998</v>
      </c>
      <c r="Q35" s="4"/>
      <c r="S35" s="4"/>
    </row>
    <row r="36" spans="1:19">
      <c r="A36" s="346" t="s">
        <v>7009</v>
      </c>
      <c r="B36" s="346" t="s">
        <v>7778</v>
      </c>
      <c r="C36" s="4" t="s">
        <v>849</v>
      </c>
      <c r="D36" s="355">
        <v>8085</v>
      </c>
      <c r="E36" s="355">
        <v>8254</v>
      </c>
      <c r="F36" s="355">
        <v>8242</v>
      </c>
      <c r="G36" s="355">
        <v>8288</v>
      </c>
      <c r="H36" s="30">
        <v>8252</v>
      </c>
      <c r="I36" s="30">
        <v>8246</v>
      </c>
      <c r="J36" s="30">
        <v>7863</v>
      </c>
      <c r="K36" s="30">
        <v>8060</v>
      </c>
      <c r="L36" s="30">
        <v>7958</v>
      </c>
      <c r="N36" s="351" t="s">
        <v>6733</v>
      </c>
      <c r="Q36" s="4"/>
      <c r="S36" s="4"/>
    </row>
    <row r="37" spans="1:19">
      <c r="A37" s="346" t="s">
        <v>7011</v>
      </c>
      <c r="B37" s="346" t="s">
        <v>7779</v>
      </c>
      <c r="C37" s="4" t="s">
        <v>850</v>
      </c>
      <c r="D37" s="355">
        <v>8510</v>
      </c>
      <c r="E37" s="355">
        <v>8562</v>
      </c>
      <c r="F37" s="355">
        <v>8674</v>
      </c>
      <c r="G37" s="355">
        <v>8798</v>
      </c>
      <c r="H37" s="30">
        <v>8801</v>
      </c>
      <c r="I37" s="30">
        <v>8833</v>
      </c>
      <c r="J37" s="30">
        <v>8306</v>
      </c>
      <c r="K37" s="30">
        <v>8514</v>
      </c>
      <c r="L37" s="30">
        <v>8387</v>
      </c>
      <c r="N37" s="351" t="s">
        <v>6733</v>
      </c>
      <c r="Q37" s="4"/>
      <c r="S37" s="4"/>
    </row>
    <row r="38" spans="1:19">
      <c r="A38" s="346" t="s">
        <v>7013</v>
      </c>
      <c r="B38" s="346" t="s">
        <v>7780</v>
      </c>
      <c r="C38" s="4" t="s">
        <v>851</v>
      </c>
      <c r="D38" s="355">
        <v>9020</v>
      </c>
      <c r="E38" s="355">
        <v>9239</v>
      </c>
      <c r="F38" s="355">
        <v>9314</v>
      </c>
      <c r="G38" s="355">
        <v>9480</v>
      </c>
      <c r="H38" s="30">
        <v>9658</v>
      </c>
      <c r="I38" s="30">
        <v>9748</v>
      </c>
      <c r="J38" s="30">
        <v>9033</v>
      </c>
      <c r="K38" s="30">
        <v>9236</v>
      </c>
      <c r="L38" s="30">
        <v>9236</v>
      </c>
      <c r="N38" s="346" t="s">
        <v>4997</v>
      </c>
      <c r="Q38" s="4"/>
      <c r="S38" s="4"/>
    </row>
    <row r="39" spans="1:19">
      <c r="A39" s="346" t="s">
        <v>7015</v>
      </c>
      <c r="B39" s="346" t="s">
        <v>8652</v>
      </c>
      <c r="C39" s="4" t="s">
        <v>852</v>
      </c>
      <c r="D39" s="355">
        <v>8339</v>
      </c>
      <c r="E39" s="355">
        <v>8420</v>
      </c>
      <c r="F39" s="355">
        <v>8506</v>
      </c>
      <c r="G39" s="355">
        <v>8612</v>
      </c>
      <c r="H39" s="31">
        <v>8641</v>
      </c>
      <c r="I39" s="31">
        <v>8655</v>
      </c>
      <c r="J39" s="31">
        <v>8305</v>
      </c>
      <c r="K39" s="31">
        <v>8497</v>
      </c>
      <c r="L39" s="31">
        <v>8480</v>
      </c>
      <c r="N39" s="351" t="s">
        <v>4998</v>
      </c>
      <c r="Q39" s="4"/>
      <c r="S39" s="4"/>
    </row>
    <row r="40" spans="1:19">
      <c r="A40" s="346" t="s">
        <v>7017</v>
      </c>
      <c r="B40" s="346" t="s">
        <v>8653</v>
      </c>
      <c r="C40" s="4" t="s">
        <v>853</v>
      </c>
      <c r="D40" s="355">
        <v>8804</v>
      </c>
      <c r="E40" s="355">
        <v>8953</v>
      </c>
      <c r="F40" s="355">
        <v>9197</v>
      </c>
      <c r="G40" s="355">
        <v>9445</v>
      </c>
      <c r="H40" s="30">
        <v>9739</v>
      </c>
      <c r="I40" s="30">
        <v>9868</v>
      </c>
      <c r="J40" s="30">
        <v>9167</v>
      </c>
      <c r="K40" s="30">
        <v>9467</v>
      </c>
      <c r="L40" s="30">
        <v>9410</v>
      </c>
      <c r="N40" s="346" t="s">
        <v>4997</v>
      </c>
      <c r="Q40" s="4"/>
      <c r="S40" s="4"/>
    </row>
    <row r="41" spans="1:19">
      <c r="A41" s="346" t="s">
        <v>7019</v>
      </c>
      <c r="B41" s="346" t="s">
        <v>8654</v>
      </c>
      <c r="C41" s="4" t="s">
        <v>854</v>
      </c>
      <c r="D41" s="355">
        <v>9068</v>
      </c>
      <c r="E41" s="355">
        <v>9216</v>
      </c>
      <c r="F41" s="355">
        <v>9400</v>
      </c>
      <c r="G41" s="355">
        <v>9582</v>
      </c>
      <c r="H41" s="31">
        <v>9600</v>
      </c>
      <c r="I41" s="31">
        <v>9675</v>
      </c>
      <c r="J41" s="31">
        <v>9225</v>
      </c>
      <c r="K41" s="31">
        <v>9645</v>
      </c>
      <c r="L41" s="31">
        <v>9665</v>
      </c>
      <c r="N41" s="351" t="s">
        <v>4998</v>
      </c>
      <c r="Q41" s="4"/>
      <c r="S41" s="4"/>
    </row>
    <row r="42" spans="1:19">
      <c r="A42" s="346" t="s">
        <v>7021</v>
      </c>
      <c r="B42" s="346" t="s">
        <v>8655</v>
      </c>
      <c r="C42" s="4" t="s">
        <v>855</v>
      </c>
      <c r="D42" s="355">
        <v>9692</v>
      </c>
      <c r="E42" s="355">
        <v>9843</v>
      </c>
      <c r="F42" s="355">
        <v>9910</v>
      </c>
      <c r="G42" s="355">
        <v>9661</v>
      </c>
      <c r="H42" s="31">
        <v>9467</v>
      </c>
      <c r="I42" s="31">
        <v>8033</v>
      </c>
      <c r="J42" s="31">
        <v>7698</v>
      </c>
      <c r="K42" s="31">
        <v>7661</v>
      </c>
      <c r="L42" s="31">
        <v>7736</v>
      </c>
      <c r="N42" s="351" t="s">
        <v>4998</v>
      </c>
      <c r="Q42" s="4"/>
      <c r="S42" s="4"/>
    </row>
    <row r="43" spans="1:19">
      <c r="A43" s="346" t="s">
        <v>7023</v>
      </c>
      <c r="B43" s="346" t="s">
        <v>8656</v>
      </c>
      <c r="C43" s="4" t="s">
        <v>856</v>
      </c>
      <c r="D43" s="349">
        <v>9175</v>
      </c>
      <c r="E43" s="349">
        <v>9418</v>
      </c>
      <c r="F43" s="349">
        <v>9685</v>
      </c>
      <c r="G43" s="349">
        <v>9943</v>
      </c>
      <c r="H43" s="30">
        <v>10244</v>
      </c>
      <c r="I43" s="30">
        <v>10357</v>
      </c>
      <c r="J43" s="30">
        <v>9733</v>
      </c>
      <c r="K43" s="30">
        <v>10258</v>
      </c>
      <c r="L43" s="30">
        <v>10368</v>
      </c>
      <c r="N43" s="346" t="s">
        <v>4997</v>
      </c>
      <c r="Q43" s="4"/>
      <c r="S43" s="4"/>
    </row>
    <row r="44" spans="1:19">
      <c r="A44" s="346" t="s">
        <v>7025</v>
      </c>
      <c r="B44" s="346" t="s">
        <v>8657</v>
      </c>
      <c r="C44" s="4" t="s">
        <v>857</v>
      </c>
      <c r="D44" s="349">
        <v>8039</v>
      </c>
      <c r="E44" s="349">
        <v>8143</v>
      </c>
      <c r="F44" s="349">
        <v>8221</v>
      </c>
      <c r="G44" s="349">
        <v>8593</v>
      </c>
      <c r="H44" s="30">
        <v>8676</v>
      </c>
      <c r="I44" s="30">
        <v>8749</v>
      </c>
      <c r="J44" s="30">
        <v>8332</v>
      </c>
      <c r="K44" s="30">
        <v>8636</v>
      </c>
      <c r="L44" s="30">
        <v>8627</v>
      </c>
      <c r="N44" s="351" t="s">
        <v>6733</v>
      </c>
      <c r="Q44" s="4"/>
      <c r="S44" s="4"/>
    </row>
    <row r="45" spans="1:19">
      <c r="A45" s="346" t="s">
        <v>7570</v>
      </c>
      <c r="B45" s="346" t="s">
        <v>8658</v>
      </c>
      <c r="C45" s="4" t="s">
        <v>858</v>
      </c>
      <c r="D45" s="355">
        <v>8611</v>
      </c>
      <c r="E45" s="355">
        <v>8754</v>
      </c>
      <c r="F45" s="355">
        <v>8762</v>
      </c>
      <c r="G45" s="355">
        <v>8908</v>
      </c>
      <c r="H45" s="30">
        <v>8981</v>
      </c>
      <c r="I45" s="30">
        <v>9111</v>
      </c>
      <c r="J45" s="30">
        <v>8236</v>
      </c>
      <c r="K45" s="30">
        <v>8457</v>
      </c>
      <c r="L45" s="30">
        <v>8392</v>
      </c>
      <c r="N45" s="346" t="s">
        <v>4997</v>
      </c>
      <c r="Q45" s="4"/>
      <c r="S45" s="4"/>
    </row>
    <row r="46" spans="1:19">
      <c r="A46" s="346" t="s">
        <v>7572</v>
      </c>
      <c r="B46" s="346" t="s">
        <v>8659</v>
      </c>
      <c r="C46" s="4" t="s">
        <v>859</v>
      </c>
      <c r="D46" s="355">
        <v>8358</v>
      </c>
      <c r="E46" s="355">
        <v>8550</v>
      </c>
      <c r="F46" s="355">
        <v>8624</v>
      </c>
      <c r="G46" s="355">
        <v>8808</v>
      </c>
      <c r="H46" s="31">
        <v>8862</v>
      </c>
      <c r="I46" s="31">
        <v>8877</v>
      </c>
      <c r="J46" s="31">
        <v>8397</v>
      </c>
      <c r="K46" s="31">
        <v>8636</v>
      </c>
      <c r="L46" s="31">
        <v>8577</v>
      </c>
      <c r="N46" s="351" t="s">
        <v>4998</v>
      </c>
      <c r="Q46" s="4"/>
      <c r="S46" s="4"/>
    </row>
    <row r="48" spans="1:19">
      <c r="A48" s="347" t="s">
        <v>2541</v>
      </c>
    </row>
    <row r="49" spans="1:1">
      <c r="A49" s="347" t="s">
        <v>2542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3 E5:E23 F5:F23 G5:G23 H3:H4 H5:H23 I3:I23 J3:J23 K3:K24 L3:L23" unlocked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38"/>
  <sheetViews>
    <sheetView showGridLines="0" zoomScaleNormal="100" workbookViewId="0"/>
  </sheetViews>
  <sheetFormatPr defaultColWidth="12.5703125" defaultRowHeight="15"/>
  <cols>
    <col min="1" max="1" width="4.85546875" style="833" customWidth="1"/>
    <col min="2" max="2" width="35.28515625" style="833" customWidth="1"/>
    <col min="3" max="3" width="11.42578125" style="833" customWidth="1"/>
    <col min="4" max="12" width="9.85546875" style="833" customWidth="1"/>
    <col min="13" max="13" width="1.85546875" style="833" customWidth="1"/>
    <col min="14" max="14" width="30.7109375" style="833" customWidth="1"/>
    <col min="15" max="16384" width="12.5703125" style="833"/>
  </cols>
  <sheetData>
    <row r="1" spans="1:14">
      <c r="A1" s="832" t="s">
        <v>7342</v>
      </c>
      <c r="D1" s="834">
        <v>2010</v>
      </c>
      <c r="E1" s="834">
        <v>2011</v>
      </c>
      <c r="F1" s="834">
        <v>2012</v>
      </c>
      <c r="G1" s="834">
        <v>2013</v>
      </c>
      <c r="H1" s="834">
        <v>2014</v>
      </c>
      <c r="I1" s="834">
        <v>2015</v>
      </c>
      <c r="J1" s="834">
        <v>2016</v>
      </c>
      <c r="K1" s="834">
        <v>2017</v>
      </c>
      <c r="L1" s="834">
        <v>2018</v>
      </c>
    </row>
    <row r="3" spans="1:14">
      <c r="A3" s="832" t="s">
        <v>2753</v>
      </c>
      <c r="D3" s="835">
        <f t="shared" ref="D3:I3" si="0">SUM(D17:D36)</f>
        <v>163352</v>
      </c>
      <c r="E3" s="835">
        <f t="shared" si="0"/>
        <v>163769</v>
      </c>
      <c r="F3" s="835">
        <f t="shared" si="0"/>
        <v>165705</v>
      </c>
      <c r="G3" s="835">
        <f t="shared" si="0"/>
        <v>166433</v>
      </c>
      <c r="H3" s="835">
        <f t="shared" si="0"/>
        <v>168650</v>
      </c>
      <c r="I3" s="835">
        <f t="shared" si="0"/>
        <v>162922</v>
      </c>
      <c r="J3" s="835">
        <f t="shared" ref="J3:K3" si="1">SUM(J17:J36)</f>
        <v>159510</v>
      </c>
      <c r="K3" s="835">
        <f t="shared" si="1"/>
        <v>162860</v>
      </c>
      <c r="L3" s="835">
        <f t="shared" ref="L3" si="2">SUM(L17:L36)</f>
        <v>163163</v>
      </c>
    </row>
    <row r="5" spans="1:14">
      <c r="A5" s="832" t="s">
        <v>7343</v>
      </c>
      <c r="D5" s="835">
        <f t="shared" ref="D5:I5" si="3">D3/2</f>
        <v>81676</v>
      </c>
      <c r="E5" s="835">
        <f t="shared" si="3"/>
        <v>81884.5</v>
      </c>
      <c r="F5" s="835">
        <f t="shared" si="3"/>
        <v>82852.5</v>
      </c>
      <c r="G5" s="835">
        <f t="shared" si="3"/>
        <v>83216.5</v>
      </c>
      <c r="H5" s="835">
        <f t="shared" si="3"/>
        <v>84325</v>
      </c>
      <c r="I5" s="835">
        <f t="shared" si="3"/>
        <v>81461</v>
      </c>
      <c r="J5" s="835">
        <f t="shared" ref="J5:K5" si="4">J3/2</f>
        <v>79755</v>
      </c>
      <c r="K5" s="835">
        <f t="shared" si="4"/>
        <v>81430</v>
      </c>
      <c r="L5" s="835">
        <f t="shared" ref="L5" si="5">L3/2</f>
        <v>81581.5</v>
      </c>
    </row>
    <row r="6" spans="1:14">
      <c r="D6" s="836"/>
      <c r="E6" s="836"/>
      <c r="F6" s="836"/>
      <c r="G6" s="836"/>
      <c r="H6" s="836"/>
      <c r="I6" s="836"/>
      <c r="J6" s="836"/>
      <c r="K6" s="836"/>
      <c r="L6" s="836"/>
    </row>
    <row r="7" spans="1:14">
      <c r="A7" s="832" t="s">
        <v>2754</v>
      </c>
      <c r="D7" s="835">
        <f t="shared" ref="D7:I7" si="6">SUM(D18:D20)+SUM(D29:D31)+SUM(D33:D36)</f>
        <v>82569</v>
      </c>
      <c r="E7" s="835">
        <f t="shared" si="6"/>
        <v>83332</v>
      </c>
      <c r="F7" s="835">
        <f t="shared" si="6"/>
        <v>84037</v>
      </c>
      <c r="G7" s="835">
        <f t="shared" si="6"/>
        <v>84288</v>
      </c>
      <c r="H7" s="835">
        <f t="shared" si="6"/>
        <v>85342</v>
      </c>
      <c r="I7" s="835">
        <f t="shared" si="6"/>
        <v>81974</v>
      </c>
      <c r="J7" s="835">
        <f t="shared" ref="J7" si="7">SUM(J18:J20)+SUM(J29:J31)+SUM(J33:J36)</f>
        <v>80427</v>
      </c>
      <c r="K7" s="835">
        <f>SUM(K18:K20)+SUM(K29:K31)+SUM(K33:K36)</f>
        <v>82482</v>
      </c>
      <c r="L7" s="835">
        <f>SUM(L18:L20)+SUM(L29:L31)+SUM(L33:L36)</f>
        <v>82765</v>
      </c>
      <c r="N7" s="832" t="s">
        <v>2755</v>
      </c>
    </row>
    <row r="8" spans="1:14">
      <c r="D8" s="836"/>
      <c r="E8" s="836"/>
      <c r="F8" s="836"/>
      <c r="G8" s="836"/>
      <c r="H8" s="836"/>
      <c r="I8" s="836"/>
      <c r="J8" s="836"/>
      <c r="K8" s="836"/>
      <c r="L8" s="836"/>
    </row>
    <row r="9" spans="1:14">
      <c r="A9" s="832" t="s">
        <v>2756</v>
      </c>
      <c r="D9" s="835">
        <f t="shared" ref="D9:I9" si="8">D17+SUM(D21:D25)+D26+D27+D28+D32</f>
        <v>80783</v>
      </c>
      <c r="E9" s="835">
        <f t="shared" si="8"/>
        <v>80437</v>
      </c>
      <c r="F9" s="835">
        <f t="shared" si="8"/>
        <v>81668</v>
      </c>
      <c r="G9" s="835">
        <f t="shared" si="8"/>
        <v>82145</v>
      </c>
      <c r="H9" s="835">
        <f t="shared" si="8"/>
        <v>83308</v>
      </c>
      <c r="I9" s="835">
        <f t="shared" si="8"/>
        <v>80948</v>
      </c>
      <c r="J9" s="835">
        <f t="shared" ref="J9" si="9">J17+SUM(J21:J25)+J26+J27+J28+J32</f>
        <v>79083</v>
      </c>
      <c r="K9" s="835">
        <f>K17+SUM(K21:K28)+K32</f>
        <v>80378</v>
      </c>
      <c r="L9" s="835">
        <f>L17+SUM(L21:L28)+L32</f>
        <v>80398</v>
      </c>
      <c r="N9" s="832" t="s">
        <v>2755</v>
      </c>
    </row>
    <row r="10" spans="1:14">
      <c r="D10" s="836"/>
      <c r="E10" s="836"/>
      <c r="F10" s="836"/>
      <c r="G10" s="836"/>
      <c r="H10" s="836"/>
      <c r="I10" s="836"/>
      <c r="J10" s="836"/>
      <c r="K10" s="836"/>
      <c r="L10" s="836"/>
    </row>
    <row r="11" spans="1:14">
      <c r="A11" s="832" t="s">
        <v>8697</v>
      </c>
      <c r="D11" s="835">
        <f t="shared" ref="D11:I11" si="10">D7+D9</f>
        <v>163352</v>
      </c>
      <c r="E11" s="835">
        <f t="shared" si="10"/>
        <v>163769</v>
      </c>
      <c r="F11" s="835">
        <f t="shared" si="10"/>
        <v>165705</v>
      </c>
      <c r="G11" s="835">
        <f t="shared" si="10"/>
        <v>166433</v>
      </c>
      <c r="H11" s="835">
        <f t="shared" si="10"/>
        <v>168650</v>
      </c>
      <c r="I11" s="835">
        <f t="shared" si="10"/>
        <v>162922</v>
      </c>
      <c r="J11" s="835">
        <f t="shared" ref="J11:K11" si="11">J7+J9</f>
        <v>159510</v>
      </c>
      <c r="K11" s="835">
        <f t="shared" si="11"/>
        <v>162860</v>
      </c>
      <c r="L11" s="835">
        <f t="shared" ref="L11" si="12">L7+L9</f>
        <v>163163</v>
      </c>
    </row>
    <row r="12" spans="1:14">
      <c r="D12" s="836"/>
      <c r="E12" s="836"/>
      <c r="F12" s="836"/>
      <c r="G12" s="836"/>
      <c r="H12" s="836"/>
      <c r="I12" s="836"/>
      <c r="J12" s="836"/>
      <c r="K12" s="836"/>
      <c r="L12" s="836"/>
    </row>
    <row r="13" spans="1:14">
      <c r="A13" s="832" t="s">
        <v>8698</v>
      </c>
      <c r="D13" s="835">
        <f t="shared" ref="D13:I13" si="13">MAX(D7,D9)-MIN(D7,D9)</f>
        <v>1786</v>
      </c>
      <c r="E13" s="835">
        <f t="shared" si="13"/>
        <v>2895</v>
      </c>
      <c r="F13" s="835">
        <f t="shared" si="13"/>
        <v>2369</v>
      </c>
      <c r="G13" s="835">
        <f t="shared" si="13"/>
        <v>2143</v>
      </c>
      <c r="H13" s="835">
        <f t="shared" si="13"/>
        <v>2034</v>
      </c>
      <c r="I13" s="835">
        <f t="shared" si="13"/>
        <v>1026</v>
      </c>
      <c r="J13" s="835">
        <f t="shared" ref="J13:K13" si="14">MAX(J7,J9)-MIN(J7,J9)</f>
        <v>1344</v>
      </c>
      <c r="K13" s="835">
        <f t="shared" si="14"/>
        <v>2104</v>
      </c>
      <c r="L13" s="835">
        <f t="shared" ref="L13" si="15">MAX(L7,L9)-MIN(L7,L9)</f>
        <v>2367</v>
      </c>
    </row>
    <row r="14" spans="1:14">
      <c r="D14" s="836"/>
      <c r="E14" s="836"/>
      <c r="F14" s="836"/>
      <c r="G14" s="836"/>
      <c r="H14" s="836"/>
      <c r="I14" s="836"/>
      <c r="J14" s="836"/>
      <c r="K14" s="836"/>
      <c r="L14" s="836"/>
    </row>
    <row r="15" spans="1:14">
      <c r="A15" s="837" t="s">
        <v>8701</v>
      </c>
      <c r="D15" s="835">
        <f t="shared" ref="D15:I15" si="16">STDEVP(D7,D9)</f>
        <v>893</v>
      </c>
      <c r="E15" s="835">
        <f t="shared" si="16"/>
        <v>1447.5</v>
      </c>
      <c r="F15" s="835">
        <f t="shared" si="16"/>
        <v>1184.5</v>
      </c>
      <c r="G15" s="835">
        <f t="shared" si="16"/>
        <v>1071.5</v>
      </c>
      <c r="H15" s="835">
        <f t="shared" si="16"/>
        <v>1017</v>
      </c>
      <c r="I15" s="835">
        <f t="shared" si="16"/>
        <v>513</v>
      </c>
      <c r="J15" s="835">
        <f t="shared" ref="J15:K15" si="17">STDEVP(J7,J9)</f>
        <v>672</v>
      </c>
      <c r="K15" s="835">
        <f t="shared" si="17"/>
        <v>1052</v>
      </c>
      <c r="L15" s="835">
        <f t="shared" ref="L15" si="18">STDEVP(L7,L9)</f>
        <v>1183.5</v>
      </c>
    </row>
    <row r="17" spans="1:18">
      <c r="A17" s="832" t="s">
        <v>6957</v>
      </c>
      <c r="B17" s="832" t="s">
        <v>2757</v>
      </c>
      <c r="C17" s="4" t="s">
        <v>860</v>
      </c>
      <c r="D17" s="838">
        <v>8137</v>
      </c>
      <c r="E17" s="838">
        <v>8136</v>
      </c>
      <c r="F17" s="838">
        <v>8348</v>
      </c>
      <c r="G17" s="838">
        <v>8440</v>
      </c>
      <c r="H17" s="48">
        <v>8595</v>
      </c>
      <c r="I17" s="48">
        <v>8400</v>
      </c>
      <c r="J17" s="48">
        <v>8200</v>
      </c>
      <c r="K17" s="48">
        <v>8273</v>
      </c>
      <c r="L17" s="48">
        <v>8211</v>
      </c>
      <c r="N17" s="832" t="s">
        <v>2756</v>
      </c>
      <c r="P17" s="4"/>
      <c r="R17" s="4"/>
    </row>
    <row r="18" spans="1:18">
      <c r="A18" s="832" t="s">
        <v>6959</v>
      </c>
      <c r="B18" s="832" t="s">
        <v>2758</v>
      </c>
      <c r="C18" s="4" t="s">
        <v>861</v>
      </c>
      <c r="D18" s="838">
        <v>8851</v>
      </c>
      <c r="E18" s="838">
        <v>9160</v>
      </c>
      <c r="F18" s="838">
        <v>9257</v>
      </c>
      <c r="G18" s="838">
        <v>9336</v>
      </c>
      <c r="H18" s="48">
        <v>9811</v>
      </c>
      <c r="I18" s="48">
        <v>9476</v>
      </c>
      <c r="J18" s="48">
        <v>9080</v>
      </c>
      <c r="K18" s="48">
        <v>9878</v>
      </c>
      <c r="L18" s="48">
        <v>9934</v>
      </c>
      <c r="N18" s="832" t="s">
        <v>2754</v>
      </c>
      <c r="P18" s="4"/>
      <c r="R18" s="4"/>
    </row>
    <row r="19" spans="1:18">
      <c r="A19" s="832" t="s">
        <v>6961</v>
      </c>
      <c r="B19" s="832" t="s">
        <v>2759</v>
      </c>
      <c r="C19" s="4" t="s">
        <v>862</v>
      </c>
      <c r="D19" s="838">
        <v>7506</v>
      </c>
      <c r="E19" s="838">
        <v>7558</v>
      </c>
      <c r="F19" s="838">
        <v>7507</v>
      </c>
      <c r="G19" s="838">
        <v>7401</v>
      </c>
      <c r="H19" s="48">
        <v>7420</v>
      </c>
      <c r="I19" s="48">
        <v>7124</v>
      </c>
      <c r="J19" s="48">
        <v>7051</v>
      </c>
      <c r="K19" s="48">
        <v>7239</v>
      </c>
      <c r="L19" s="48">
        <v>7263</v>
      </c>
      <c r="N19" s="833" t="s">
        <v>2754</v>
      </c>
      <c r="P19" s="4"/>
      <c r="R19" s="4"/>
    </row>
    <row r="20" spans="1:18">
      <c r="A20" s="832" t="s">
        <v>6963</v>
      </c>
      <c r="B20" s="832" t="s">
        <v>2760</v>
      </c>
      <c r="C20" s="4" t="s">
        <v>863</v>
      </c>
      <c r="D20" s="838">
        <v>7827</v>
      </c>
      <c r="E20" s="838">
        <v>7882</v>
      </c>
      <c r="F20" s="838">
        <v>7886</v>
      </c>
      <c r="G20" s="838">
        <v>7785</v>
      </c>
      <c r="H20" s="48">
        <v>7958</v>
      </c>
      <c r="I20" s="48">
        <v>7621</v>
      </c>
      <c r="J20" s="48">
        <v>7590</v>
      </c>
      <c r="K20" s="48">
        <v>7790</v>
      </c>
      <c r="L20" s="48">
        <v>7799</v>
      </c>
      <c r="N20" s="833" t="s">
        <v>2754</v>
      </c>
      <c r="P20" s="4"/>
      <c r="R20" s="4"/>
    </row>
    <row r="21" spans="1:18">
      <c r="A21" s="832" t="s">
        <v>6965</v>
      </c>
      <c r="B21" s="832" t="s">
        <v>2761</v>
      </c>
      <c r="C21" s="4" t="s">
        <v>864</v>
      </c>
      <c r="D21" s="838">
        <v>7800</v>
      </c>
      <c r="E21" s="838">
        <v>7590</v>
      </c>
      <c r="F21" s="838">
        <v>7681</v>
      </c>
      <c r="G21" s="838">
        <v>7947</v>
      </c>
      <c r="H21" s="48">
        <v>8104</v>
      </c>
      <c r="I21" s="48">
        <v>7804</v>
      </c>
      <c r="J21" s="48">
        <v>7651</v>
      </c>
      <c r="K21" s="48">
        <v>7765</v>
      </c>
      <c r="L21" s="48">
        <v>7755</v>
      </c>
      <c r="N21" s="833" t="s">
        <v>2756</v>
      </c>
      <c r="P21" s="4"/>
      <c r="R21" s="4"/>
    </row>
    <row r="22" spans="1:18">
      <c r="A22" s="832" t="s">
        <v>6997</v>
      </c>
      <c r="B22" s="832" t="s">
        <v>2762</v>
      </c>
      <c r="C22" s="4" t="s">
        <v>865</v>
      </c>
      <c r="D22" s="838">
        <v>7496</v>
      </c>
      <c r="E22" s="838">
        <v>7362</v>
      </c>
      <c r="F22" s="838">
        <v>7471</v>
      </c>
      <c r="G22" s="838">
        <v>7467</v>
      </c>
      <c r="H22" s="48">
        <v>7577</v>
      </c>
      <c r="I22" s="48">
        <v>7416</v>
      </c>
      <c r="J22" s="48">
        <v>7198</v>
      </c>
      <c r="K22" s="48">
        <v>7263</v>
      </c>
      <c r="L22" s="48">
        <v>7319</v>
      </c>
      <c r="N22" s="833" t="s">
        <v>2756</v>
      </c>
      <c r="P22" s="4"/>
      <c r="R22" s="4"/>
    </row>
    <row r="23" spans="1:18">
      <c r="A23" s="832" t="s">
        <v>6999</v>
      </c>
      <c r="B23" s="832" t="s">
        <v>2763</v>
      </c>
      <c r="C23" s="4" t="s">
        <v>866</v>
      </c>
      <c r="D23" s="838">
        <v>9415</v>
      </c>
      <c r="E23" s="838">
        <v>9421</v>
      </c>
      <c r="F23" s="838">
        <v>9483</v>
      </c>
      <c r="G23" s="838">
        <v>9477</v>
      </c>
      <c r="H23" s="48">
        <v>9506</v>
      </c>
      <c r="I23" s="48">
        <v>9267</v>
      </c>
      <c r="J23" s="48">
        <v>9208</v>
      </c>
      <c r="K23" s="48">
        <v>9343</v>
      </c>
      <c r="L23" s="48">
        <v>9250</v>
      </c>
      <c r="N23" s="833" t="s">
        <v>2756</v>
      </c>
      <c r="P23" s="4"/>
      <c r="R23" s="4"/>
    </row>
    <row r="24" spans="1:18">
      <c r="A24" s="832" t="s">
        <v>7001</v>
      </c>
      <c r="B24" s="832" t="s">
        <v>7668</v>
      </c>
      <c r="C24" s="4" t="s">
        <v>867</v>
      </c>
      <c r="D24" s="838">
        <v>7740</v>
      </c>
      <c r="E24" s="838">
        <v>7718</v>
      </c>
      <c r="F24" s="838">
        <v>7763</v>
      </c>
      <c r="G24" s="838">
        <v>7768</v>
      </c>
      <c r="H24" s="48">
        <v>7891</v>
      </c>
      <c r="I24" s="48">
        <v>7737</v>
      </c>
      <c r="J24" s="48">
        <v>7601</v>
      </c>
      <c r="K24" s="48">
        <v>7727</v>
      </c>
      <c r="L24" s="48">
        <v>7807</v>
      </c>
      <c r="N24" s="833" t="s">
        <v>2756</v>
      </c>
      <c r="P24" s="4"/>
      <c r="R24" s="4"/>
    </row>
    <row r="25" spans="1:18">
      <c r="A25" s="832" t="s">
        <v>7003</v>
      </c>
      <c r="B25" s="832" t="s">
        <v>8045</v>
      </c>
      <c r="C25" s="4" t="s">
        <v>868</v>
      </c>
      <c r="D25" s="838">
        <v>7560</v>
      </c>
      <c r="E25" s="838">
        <v>7612</v>
      </c>
      <c r="F25" s="838">
        <v>7765</v>
      </c>
      <c r="G25" s="838">
        <v>7784</v>
      </c>
      <c r="H25" s="48">
        <v>7811</v>
      </c>
      <c r="I25" s="48">
        <v>7641</v>
      </c>
      <c r="J25" s="48">
        <v>7537</v>
      </c>
      <c r="K25" s="48">
        <v>7702</v>
      </c>
      <c r="L25" s="48">
        <v>7726</v>
      </c>
      <c r="N25" s="833" t="s">
        <v>2756</v>
      </c>
      <c r="R25" s="4"/>
    </row>
    <row r="26" spans="1:18">
      <c r="A26" s="832" t="s">
        <v>7005</v>
      </c>
      <c r="B26" s="832" t="s">
        <v>8046</v>
      </c>
      <c r="C26" s="4" t="s">
        <v>869</v>
      </c>
      <c r="D26" s="839">
        <v>8140</v>
      </c>
      <c r="E26" s="839">
        <v>8062</v>
      </c>
      <c r="F26" s="839">
        <v>8212</v>
      </c>
      <c r="G26" s="839">
        <v>8131</v>
      </c>
      <c r="H26" s="48">
        <v>8341</v>
      </c>
      <c r="I26" s="48">
        <v>7992</v>
      </c>
      <c r="J26" s="48">
        <v>7751</v>
      </c>
      <c r="K26" s="48">
        <v>7746</v>
      </c>
      <c r="L26" s="48">
        <v>7843</v>
      </c>
      <c r="N26" s="833" t="s">
        <v>2756</v>
      </c>
      <c r="R26" s="4"/>
    </row>
    <row r="27" spans="1:18">
      <c r="A27" s="832" t="s">
        <v>7007</v>
      </c>
      <c r="B27" s="832" t="s">
        <v>8047</v>
      </c>
      <c r="C27" s="4" t="s">
        <v>870</v>
      </c>
      <c r="D27" s="839">
        <v>8250</v>
      </c>
      <c r="E27" s="839">
        <v>8284</v>
      </c>
      <c r="F27" s="839">
        <v>8350</v>
      </c>
      <c r="G27" s="839">
        <v>8341</v>
      </c>
      <c r="H27" s="48">
        <v>8517</v>
      </c>
      <c r="I27" s="48">
        <v>8256</v>
      </c>
      <c r="J27" s="48">
        <v>8091</v>
      </c>
      <c r="K27" s="48">
        <v>8133</v>
      </c>
      <c r="L27" s="48">
        <v>8076</v>
      </c>
      <c r="N27" s="833" t="s">
        <v>2756</v>
      </c>
      <c r="R27" s="4"/>
    </row>
    <row r="28" spans="1:18">
      <c r="A28" s="832" t="s">
        <v>7009</v>
      </c>
      <c r="B28" s="832" t="s">
        <v>8048</v>
      </c>
      <c r="C28" s="4" t="s">
        <v>871</v>
      </c>
      <c r="D28" s="838">
        <v>8217</v>
      </c>
      <c r="E28" s="838">
        <v>8177</v>
      </c>
      <c r="F28" s="838">
        <v>8273</v>
      </c>
      <c r="G28" s="838">
        <v>8265</v>
      </c>
      <c r="H28" s="48">
        <v>8367</v>
      </c>
      <c r="I28" s="48">
        <v>8146</v>
      </c>
      <c r="J28" s="48">
        <v>8026</v>
      </c>
      <c r="K28" s="48">
        <v>8295</v>
      </c>
      <c r="L28" s="48">
        <v>8295</v>
      </c>
      <c r="N28" s="833" t="s">
        <v>2756</v>
      </c>
      <c r="R28" s="4"/>
    </row>
    <row r="29" spans="1:18">
      <c r="A29" s="832" t="s">
        <v>7011</v>
      </c>
      <c r="B29" s="832" t="s">
        <v>8049</v>
      </c>
      <c r="C29" s="4" t="s">
        <v>872</v>
      </c>
      <c r="D29" s="838">
        <v>9634</v>
      </c>
      <c r="E29" s="838">
        <v>9736</v>
      </c>
      <c r="F29" s="838">
        <v>9863</v>
      </c>
      <c r="G29" s="838">
        <v>9933</v>
      </c>
      <c r="H29" s="48">
        <v>9926</v>
      </c>
      <c r="I29" s="48">
        <v>9269</v>
      </c>
      <c r="J29" s="48">
        <v>8939</v>
      </c>
      <c r="K29" s="48">
        <v>8946</v>
      </c>
      <c r="L29" s="48">
        <v>9124</v>
      </c>
      <c r="N29" s="833" t="s">
        <v>2754</v>
      </c>
      <c r="R29" s="4"/>
    </row>
    <row r="30" spans="1:18">
      <c r="A30" s="832" t="s">
        <v>7013</v>
      </c>
      <c r="B30" s="832" t="s">
        <v>8050</v>
      </c>
      <c r="C30" s="4" t="s">
        <v>873</v>
      </c>
      <c r="D30" s="838">
        <v>8761</v>
      </c>
      <c r="E30" s="838">
        <v>8789</v>
      </c>
      <c r="F30" s="838">
        <v>8931</v>
      </c>
      <c r="G30" s="838">
        <v>8930</v>
      </c>
      <c r="H30" s="48">
        <v>9045</v>
      </c>
      <c r="I30" s="48">
        <v>8744</v>
      </c>
      <c r="J30" s="48">
        <v>8501</v>
      </c>
      <c r="K30" s="48">
        <v>8545</v>
      </c>
      <c r="L30" s="48">
        <v>8424</v>
      </c>
      <c r="N30" s="833" t="s">
        <v>2754</v>
      </c>
      <c r="R30" s="4"/>
    </row>
    <row r="31" spans="1:18">
      <c r="A31" s="832" t="s">
        <v>7015</v>
      </c>
      <c r="B31" s="832" t="s">
        <v>8051</v>
      </c>
      <c r="C31" s="4" t="s">
        <v>874</v>
      </c>
      <c r="D31" s="838">
        <v>7893</v>
      </c>
      <c r="E31" s="838">
        <v>7813</v>
      </c>
      <c r="F31" s="838">
        <v>7839</v>
      </c>
      <c r="G31" s="838">
        <v>7969</v>
      </c>
      <c r="H31" s="48">
        <v>7965</v>
      </c>
      <c r="I31" s="48">
        <v>7816</v>
      </c>
      <c r="J31" s="48">
        <v>7674</v>
      </c>
      <c r="K31" s="48">
        <v>7655</v>
      </c>
      <c r="L31" s="48">
        <v>7576</v>
      </c>
      <c r="N31" s="833" t="s">
        <v>2754</v>
      </c>
      <c r="R31" s="4"/>
    </row>
    <row r="32" spans="1:18">
      <c r="A32" s="832" t="s">
        <v>7017</v>
      </c>
      <c r="B32" s="832" t="s">
        <v>8052</v>
      </c>
      <c r="C32" s="4" t="s">
        <v>875</v>
      </c>
      <c r="D32" s="839">
        <v>8028</v>
      </c>
      <c r="E32" s="839">
        <v>8075</v>
      </c>
      <c r="F32" s="839">
        <v>8322</v>
      </c>
      <c r="G32" s="839">
        <v>8525</v>
      </c>
      <c r="H32" s="48">
        <v>8599</v>
      </c>
      <c r="I32" s="48">
        <v>8289</v>
      </c>
      <c r="J32" s="48">
        <v>7820</v>
      </c>
      <c r="K32" s="48">
        <v>8131</v>
      </c>
      <c r="L32" s="48">
        <v>8116</v>
      </c>
      <c r="N32" s="833" t="s">
        <v>2756</v>
      </c>
      <c r="P32" s="4"/>
      <c r="R32" s="4"/>
    </row>
    <row r="33" spans="1:18">
      <c r="A33" s="832" t="s">
        <v>7019</v>
      </c>
      <c r="B33" s="832" t="s">
        <v>8053</v>
      </c>
      <c r="C33" s="4" t="s">
        <v>876</v>
      </c>
      <c r="D33" s="838">
        <v>7738</v>
      </c>
      <c r="E33" s="838">
        <v>7814</v>
      </c>
      <c r="F33" s="838">
        <v>7863</v>
      </c>
      <c r="G33" s="838">
        <v>7902</v>
      </c>
      <c r="H33" s="48">
        <v>8002</v>
      </c>
      <c r="I33" s="48">
        <v>7682</v>
      </c>
      <c r="J33" s="48">
        <v>7540</v>
      </c>
      <c r="K33" s="48">
        <v>7681</v>
      </c>
      <c r="L33" s="48">
        <v>7740</v>
      </c>
      <c r="N33" s="833" t="s">
        <v>2754</v>
      </c>
      <c r="P33" s="4"/>
      <c r="R33" s="4"/>
    </row>
    <row r="34" spans="1:18">
      <c r="A34" s="832" t="s">
        <v>7021</v>
      </c>
      <c r="B34" s="832" t="s">
        <v>8054</v>
      </c>
      <c r="C34" s="4" t="s">
        <v>877</v>
      </c>
      <c r="D34" s="838">
        <v>8698</v>
      </c>
      <c r="E34" s="838">
        <v>8655</v>
      </c>
      <c r="F34" s="838">
        <v>8719</v>
      </c>
      <c r="G34" s="838">
        <v>8773</v>
      </c>
      <c r="H34" s="48">
        <v>8907</v>
      </c>
      <c r="I34" s="48">
        <v>8528</v>
      </c>
      <c r="J34" s="48">
        <v>8361</v>
      </c>
      <c r="K34" s="48">
        <v>8566</v>
      </c>
      <c r="L34" s="48">
        <v>8618</v>
      </c>
      <c r="N34" s="833" t="s">
        <v>2754</v>
      </c>
      <c r="P34" s="4"/>
      <c r="R34" s="4"/>
    </row>
    <row r="35" spans="1:18">
      <c r="A35" s="832" t="s">
        <v>7023</v>
      </c>
      <c r="B35" s="832" t="s">
        <v>8055</v>
      </c>
      <c r="C35" s="4" t="s">
        <v>878</v>
      </c>
      <c r="D35" s="838">
        <v>8244</v>
      </c>
      <c r="E35" s="838">
        <v>8489</v>
      </c>
      <c r="F35" s="838">
        <v>8692</v>
      </c>
      <c r="G35" s="838">
        <v>8775</v>
      </c>
      <c r="H35" s="48">
        <v>8901</v>
      </c>
      <c r="I35" s="48">
        <v>8649</v>
      </c>
      <c r="J35" s="48">
        <v>8723</v>
      </c>
      <c r="K35" s="48">
        <v>9029</v>
      </c>
      <c r="L35" s="48">
        <v>9182</v>
      </c>
      <c r="N35" s="833" t="s">
        <v>2754</v>
      </c>
      <c r="P35" s="4"/>
      <c r="R35" s="4"/>
    </row>
    <row r="36" spans="1:18">
      <c r="A36" s="832" t="s">
        <v>7025</v>
      </c>
      <c r="B36" s="832" t="s">
        <v>8056</v>
      </c>
      <c r="C36" s="4" t="s">
        <v>879</v>
      </c>
      <c r="D36" s="838">
        <v>7417</v>
      </c>
      <c r="E36" s="838">
        <v>7436</v>
      </c>
      <c r="F36" s="838">
        <v>7480</v>
      </c>
      <c r="G36" s="838">
        <v>7484</v>
      </c>
      <c r="H36" s="48">
        <v>7407</v>
      </c>
      <c r="I36" s="48">
        <v>7065</v>
      </c>
      <c r="J36" s="48">
        <v>6968</v>
      </c>
      <c r="K36" s="48">
        <v>7153</v>
      </c>
      <c r="L36" s="48">
        <v>7105</v>
      </c>
      <c r="N36" s="833" t="s">
        <v>2754</v>
      </c>
      <c r="P36" s="4"/>
      <c r="R36" s="4"/>
    </row>
    <row r="38" spans="1:18">
      <c r="A38" s="833" t="s">
        <v>6280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6" orientation="portrait" horizontalDpi="300" verticalDpi="300" r:id="rId1"/>
  <headerFooter alignWithMargins="0">
    <oddFooter>&amp;C&amp;"Times New Roman,Regular"&amp;8&amp;P of &amp;N</oddFooter>
  </headerFooter>
  <ignoredErrors>
    <ignoredError sqref="D3:E4 F3:F4 G3:G4 D5:E15 F5:F15 G5:G15 H3:H4 H5:H15 I3:I15 J3:J6 K3:K15 J8:J15 L3:L15" unlockedFormula="1"/>
    <ignoredError sqref="J7" formula="1" unlocked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173"/>
  <sheetViews>
    <sheetView showGridLines="0" zoomScaleNormal="100" workbookViewId="0"/>
  </sheetViews>
  <sheetFormatPr defaultColWidth="12.5703125" defaultRowHeight="15"/>
  <cols>
    <col min="1" max="1" width="4.85546875" style="865" customWidth="1"/>
    <col min="2" max="2" width="51" style="865" customWidth="1"/>
    <col min="3" max="3" width="11.85546875" style="865" customWidth="1"/>
    <col min="4" max="12" width="10" style="865" customWidth="1"/>
    <col min="13" max="13" width="2.28515625" style="865" customWidth="1"/>
    <col min="14" max="14" width="40.85546875" style="865" customWidth="1"/>
    <col min="15" max="16384" width="12.5703125" style="865"/>
  </cols>
  <sheetData>
    <row r="1" spans="1:14">
      <c r="A1" s="864" t="s">
        <v>8847</v>
      </c>
      <c r="D1" s="866">
        <v>2010</v>
      </c>
      <c r="E1" s="866">
        <v>2011</v>
      </c>
      <c r="F1" s="866">
        <v>2012</v>
      </c>
      <c r="G1" s="866">
        <v>2013</v>
      </c>
      <c r="H1" s="866">
        <v>2014</v>
      </c>
      <c r="I1" s="866">
        <v>2015</v>
      </c>
      <c r="J1" s="866">
        <v>2016</v>
      </c>
      <c r="K1" s="866">
        <v>2017</v>
      </c>
      <c r="L1" s="866">
        <v>2018</v>
      </c>
    </row>
    <row r="3" spans="1:14">
      <c r="A3" s="864" t="s">
        <v>4205</v>
      </c>
      <c r="C3" s="864"/>
      <c r="D3" s="867">
        <f t="shared" ref="D3:I3" si="0">D52</f>
        <v>265296</v>
      </c>
      <c r="E3" s="867">
        <f t="shared" si="0"/>
        <v>265356</v>
      </c>
      <c r="F3" s="867">
        <f t="shared" si="0"/>
        <v>265031</v>
      </c>
      <c r="G3" s="867">
        <f t="shared" si="0"/>
        <v>267415</v>
      </c>
      <c r="H3" s="867">
        <f t="shared" si="0"/>
        <v>266457</v>
      </c>
      <c r="I3" s="867">
        <f t="shared" si="0"/>
        <v>261259</v>
      </c>
      <c r="J3" s="867">
        <f t="shared" ref="J3:K3" si="1">J52</f>
        <v>254116</v>
      </c>
      <c r="K3" s="867">
        <f t="shared" si="1"/>
        <v>258789</v>
      </c>
      <c r="L3" s="867">
        <f t="shared" ref="L3" si="2">L52</f>
        <v>261070</v>
      </c>
    </row>
    <row r="4" spans="1:14">
      <c r="A4" s="864" t="s">
        <v>4206</v>
      </c>
      <c r="C4" s="864"/>
      <c r="D4" s="867">
        <f t="shared" ref="D4:I4" si="3">D91</f>
        <v>180755</v>
      </c>
      <c r="E4" s="867">
        <f t="shared" si="3"/>
        <v>182950</v>
      </c>
      <c r="F4" s="867">
        <f t="shared" si="3"/>
        <v>183658</v>
      </c>
      <c r="G4" s="867">
        <f t="shared" si="3"/>
        <v>183976</v>
      </c>
      <c r="H4" s="867">
        <f t="shared" si="3"/>
        <v>184098</v>
      </c>
      <c r="I4" s="867">
        <f t="shared" si="3"/>
        <v>174136</v>
      </c>
      <c r="J4" s="867">
        <f t="shared" ref="J4:K4" si="4">J91</f>
        <v>175422</v>
      </c>
      <c r="K4" s="867">
        <f t="shared" si="4"/>
        <v>178544</v>
      </c>
      <c r="L4" s="867">
        <f t="shared" ref="L4" si="5">L91</f>
        <v>175412</v>
      </c>
    </row>
    <row r="5" spans="1:14">
      <c r="A5" s="864" t="s">
        <v>4207</v>
      </c>
      <c r="C5" s="864"/>
      <c r="D5" s="867">
        <f t="shared" ref="D5:I5" si="6">D125</f>
        <v>115415</v>
      </c>
      <c r="E5" s="867">
        <f t="shared" si="6"/>
        <v>115806</v>
      </c>
      <c r="F5" s="867">
        <f t="shared" si="6"/>
        <v>116307</v>
      </c>
      <c r="G5" s="867">
        <f t="shared" si="6"/>
        <v>115755</v>
      </c>
      <c r="H5" s="867">
        <f t="shared" si="6"/>
        <v>114083</v>
      </c>
      <c r="I5" s="867">
        <f t="shared" si="6"/>
        <v>109553</v>
      </c>
      <c r="J5" s="867">
        <f t="shared" ref="J5:K5" si="7">J125</f>
        <v>112541</v>
      </c>
      <c r="K5" s="867">
        <f t="shared" si="7"/>
        <v>117081</v>
      </c>
      <c r="L5" s="867">
        <f t="shared" ref="L5" si="8">L125</f>
        <v>115876</v>
      </c>
    </row>
    <row r="6" spans="1:14" ht="15.75" thickBot="1">
      <c r="A6" s="864" t="s">
        <v>4208</v>
      </c>
      <c r="C6" s="864"/>
      <c r="D6" s="868">
        <f t="shared" ref="D6:I6" si="9">D150</f>
        <v>124476</v>
      </c>
      <c r="E6" s="868">
        <f t="shared" si="9"/>
        <v>124610</v>
      </c>
      <c r="F6" s="868">
        <f t="shared" si="9"/>
        <v>124626</v>
      </c>
      <c r="G6" s="868">
        <f t="shared" si="9"/>
        <v>125173</v>
      </c>
      <c r="H6" s="868">
        <f t="shared" si="9"/>
        <v>124636</v>
      </c>
      <c r="I6" s="868">
        <f t="shared" si="9"/>
        <v>121292</v>
      </c>
      <c r="J6" s="868">
        <f t="shared" ref="J6:K6" si="10">J150</f>
        <v>119916</v>
      </c>
      <c r="K6" s="868">
        <f t="shared" si="10"/>
        <v>122395</v>
      </c>
      <c r="L6" s="868">
        <f t="shared" ref="L6" si="11">L150</f>
        <v>122502</v>
      </c>
    </row>
    <row r="7" spans="1:14" ht="15.75" thickBot="1">
      <c r="D7" s="868">
        <f t="shared" ref="D7:I7" si="12">SUM(D3:D6)</f>
        <v>685942</v>
      </c>
      <c r="E7" s="868">
        <f t="shared" si="12"/>
        <v>688722</v>
      </c>
      <c r="F7" s="868">
        <f t="shared" si="12"/>
        <v>689622</v>
      </c>
      <c r="G7" s="868">
        <f t="shared" si="12"/>
        <v>692319</v>
      </c>
      <c r="H7" s="868">
        <f t="shared" si="12"/>
        <v>689274</v>
      </c>
      <c r="I7" s="868">
        <f t="shared" si="12"/>
        <v>666240</v>
      </c>
      <c r="J7" s="868">
        <f t="shared" ref="J7:K7" si="13">SUM(J3:J6)</f>
        <v>661995</v>
      </c>
      <c r="K7" s="868">
        <f t="shared" si="13"/>
        <v>676809</v>
      </c>
      <c r="L7" s="868">
        <f t="shared" ref="L7" si="14">SUM(L3:L6)</f>
        <v>674860</v>
      </c>
    </row>
    <row r="9" spans="1:14">
      <c r="A9" s="864" t="s">
        <v>4209</v>
      </c>
      <c r="D9" s="867">
        <f t="shared" ref="D9:I9" si="15">D3/4</f>
        <v>66324</v>
      </c>
      <c r="E9" s="867">
        <f t="shared" si="15"/>
        <v>66339</v>
      </c>
      <c r="F9" s="867">
        <f t="shared" si="15"/>
        <v>66257.75</v>
      </c>
      <c r="G9" s="867">
        <f t="shared" si="15"/>
        <v>66853.75</v>
      </c>
      <c r="H9" s="867">
        <f t="shared" si="15"/>
        <v>66614.25</v>
      </c>
      <c r="I9" s="867">
        <f t="shared" si="15"/>
        <v>65314.75</v>
      </c>
      <c r="J9" s="867">
        <f t="shared" ref="J9:K9" si="16">J3/4</f>
        <v>63529</v>
      </c>
      <c r="K9" s="867">
        <f t="shared" si="16"/>
        <v>64697.25</v>
      </c>
      <c r="L9" s="867">
        <f t="shared" ref="L9" si="17">L3/4</f>
        <v>65267.5</v>
      </c>
    </row>
    <row r="10" spans="1:14">
      <c r="A10" s="864" t="s">
        <v>4180</v>
      </c>
      <c r="D10" s="867">
        <f t="shared" ref="D10:I10" si="18">D4/3</f>
        <v>60251.666666666664</v>
      </c>
      <c r="E10" s="867">
        <f t="shared" si="18"/>
        <v>60983.333333333336</v>
      </c>
      <c r="F10" s="867">
        <f t="shared" si="18"/>
        <v>61219.333333333336</v>
      </c>
      <c r="G10" s="867">
        <f t="shared" si="18"/>
        <v>61325.333333333336</v>
      </c>
      <c r="H10" s="867">
        <f t="shared" si="18"/>
        <v>61366</v>
      </c>
      <c r="I10" s="867">
        <f t="shared" si="18"/>
        <v>58045.333333333336</v>
      </c>
      <c r="J10" s="867">
        <f t="shared" ref="J10:K10" si="19">J4/3</f>
        <v>58474</v>
      </c>
      <c r="K10" s="867">
        <f t="shared" si="19"/>
        <v>59514.666666666664</v>
      </c>
      <c r="L10" s="867">
        <f t="shared" ref="L10" si="20">L4/3</f>
        <v>58470.666666666664</v>
      </c>
    </row>
    <row r="11" spans="1:14">
      <c r="A11" s="864" t="s">
        <v>4181</v>
      </c>
      <c r="D11" s="867">
        <f t="shared" ref="D11:I12" si="21">D5/2</f>
        <v>57707.5</v>
      </c>
      <c r="E11" s="867">
        <f t="shared" si="21"/>
        <v>57903</v>
      </c>
      <c r="F11" s="867">
        <f t="shared" si="21"/>
        <v>58153.5</v>
      </c>
      <c r="G11" s="867">
        <f t="shared" si="21"/>
        <v>57877.5</v>
      </c>
      <c r="H11" s="867">
        <f t="shared" si="21"/>
        <v>57041.5</v>
      </c>
      <c r="I11" s="867">
        <f t="shared" si="21"/>
        <v>54776.5</v>
      </c>
      <c r="J11" s="867">
        <f t="shared" ref="J11:K11" si="22">J5/2</f>
        <v>56270.5</v>
      </c>
      <c r="K11" s="867">
        <f t="shared" si="22"/>
        <v>58540.5</v>
      </c>
      <c r="L11" s="867">
        <f t="shared" ref="L11" si="23">L5/2</f>
        <v>57938</v>
      </c>
    </row>
    <row r="12" spans="1:14">
      <c r="A12" s="864" t="s">
        <v>4182</v>
      </c>
      <c r="D12" s="867">
        <f t="shared" si="21"/>
        <v>62238</v>
      </c>
      <c r="E12" s="867">
        <f t="shared" si="21"/>
        <v>62305</v>
      </c>
      <c r="F12" s="867">
        <f t="shared" si="21"/>
        <v>62313</v>
      </c>
      <c r="G12" s="867">
        <f t="shared" si="21"/>
        <v>62586.5</v>
      </c>
      <c r="H12" s="867">
        <f t="shared" si="21"/>
        <v>62318</v>
      </c>
      <c r="I12" s="867">
        <f t="shared" si="21"/>
        <v>60646</v>
      </c>
      <c r="J12" s="867">
        <f t="shared" ref="J12:K12" si="24">J6/2</f>
        <v>59958</v>
      </c>
      <c r="K12" s="867">
        <f t="shared" si="24"/>
        <v>61197.5</v>
      </c>
      <c r="L12" s="867">
        <f t="shared" ref="L12" si="25">L6/2</f>
        <v>61251</v>
      </c>
    </row>
    <row r="13" spans="1:14">
      <c r="A13" s="864" t="s">
        <v>4862</v>
      </c>
      <c r="D13" s="867">
        <f t="shared" ref="D13:I13" si="26">D7/9</f>
        <v>76215.777777777781</v>
      </c>
      <c r="E13" s="867">
        <f t="shared" si="26"/>
        <v>76524.666666666672</v>
      </c>
      <c r="F13" s="867">
        <f t="shared" si="26"/>
        <v>76624.666666666672</v>
      </c>
      <c r="G13" s="867">
        <f t="shared" si="26"/>
        <v>76924.333333333328</v>
      </c>
      <c r="H13" s="867">
        <f t="shared" si="26"/>
        <v>76586</v>
      </c>
      <c r="I13" s="867">
        <f t="shared" si="26"/>
        <v>74026.666666666672</v>
      </c>
      <c r="J13" s="867">
        <f t="shared" ref="J13:K13" si="27">J7/9</f>
        <v>73555</v>
      </c>
      <c r="K13" s="867">
        <f t="shared" si="27"/>
        <v>75201</v>
      </c>
      <c r="L13" s="867">
        <f t="shared" ref="L13" si="28">L7/9</f>
        <v>74984.444444444438</v>
      </c>
    </row>
    <row r="14" spans="1:14">
      <c r="D14" s="869"/>
      <c r="E14" s="869"/>
      <c r="F14" s="869"/>
      <c r="G14" s="869"/>
      <c r="H14" s="869"/>
      <c r="I14" s="869"/>
      <c r="J14" s="869"/>
      <c r="K14" s="869"/>
      <c r="L14" s="869"/>
    </row>
    <row r="15" spans="1:14">
      <c r="A15" s="864" t="s">
        <v>4184</v>
      </c>
      <c r="D15" s="867">
        <f t="shared" ref="D15:I15" si="29">D80</f>
        <v>79788</v>
      </c>
      <c r="E15" s="867">
        <f t="shared" si="29"/>
        <v>79775</v>
      </c>
      <c r="F15" s="867">
        <f t="shared" si="29"/>
        <v>80082</v>
      </c>
      <c r="G15" s="867">
        <f t="shared" si="29"/>
        <v>80263</v>
      </c>
      <c r="H15" s="867">
        <f t="shared" si="29"/>
        <v>80289</v>
      </c>
      <c r="I15" s="867">
        <f t="shared" si="29"/>
        <v>79095</v>
      </c>
      <c r="J15" s="867">
        <f t="shared" ref="J15:K15" si="30">J80</f>
        <v>76641</v>
      </c>
      <c r="K15" s="867">
        <f t="shared" si="30"/>
        <v>78290</v>
      </c>
      <c r="L15" s="867">
        <f t="shared" ref="L15" si="31">L80</f>
        <v>78817</v>
      </c>
      <c r="N15" s="864" t="s">
        <v>4185</v>
      </c>
    </row>
    <row r="16" spans="1:14">
      <c r="D16" s="869"/>
      <c r="E16" s="869"/>
      <c r="F16" s="869"/>
      <c r="G16" s="869"/>
      <c r="H16" s="869"/>
      <c r="I16" s="869"/>
      <c r="J16" s="869"/>
      <c r="K16" s="869"/>
      <c r="L16" s="869"/>
    </row>
    <row r="17" spans="1:14">
      <c r="A17" s="864" t="s">
        <v>4186</v>
      </c>
      <c r="D17" s="867">
        <f t="shared" ref="D17:I17" si="32">D81</f>
        <v>22732</v>
      </c>
      <c r="E17" s="867">
        <f t="shared" si="32"/>
        <v>22631</v>
      </c>
      <c r="F17" s="867">
        <f t="shared" si="32"/>
        <v>22689</v>
      </c>
      <c r="G17" s="867">
        <f t="shared" si="32"/>
        <v>22849</v>
      </c>
      <c r="H17" s="867">
        <f t="shared" si="32"/>
        <v>22681</v>
      </c>
      <c r="I17" s="867">
        <f t="shared" si="32"/>
        <v>22217</v>
      </c>
      <c r="J17" s="867">
        <f t="shared" ref="J17:K17" si="33">J81</f>
        <v>21367</v>
      </c>
      <c r="K17" s="867">
        <f t="shared" si="33"/>
        <v>21559</v>
      </c>
      <c r="L17" s="867">
        <f t="shared" ref="L17" si="34">L81</f>
        <v>21498</v>
      </c>
      <c r="N17" s="864" t="s">
        <v>4185</v>
      </c>
    </row>
    <row r="18" spans="1:14" ht="15.75" thickBot="1">
      <c r="D18" s="868">
        <f t="shared" ref="D18:I18" si="35">D169</f>
        <v>44089</v>
      </c>
      <c r="E18" s="868">
        <f t="shared" si="35"/>
        <v>44103</v>
      </c>
      <c r="F18" s="868">
        <f t="shared" si="35"/>
        <v>44186</v>
      </c>
      <c r="G18" s="868">
        <f t="shared" si="35"/>
        <v>44308</v>
      </c>
      <c r="H18" s="868">
        <f t="shared" si="35"/>
        <v>43972</v>
      </c>
      <c r="I18" s="868">
        <f t="shared" si="35"/>
        <v>42863</v>
      </c>
      <c r="J18" s="868">
        <f t="shared" ref="J18:K18" si="36">J169</f>
        <v>42492</v>
      </c>
      <c r="K18" s="868">
        <f t="shared" si="36"/>
        <v>43617</v>
      </c>
      <c r="L18" s="868">
        <f t="shared" ref="L18" si="37">L169</f>
        <v>43756</v>
      </c>
      <c r="N18" s="864" t="s">
        <v>4187</v>
      </c>
    </row>
    <row r="19" spans="1:14" ht="15.75" thickBot="1">
      <c r="D19" s="868">
        <f t="shared" ref="D19:I19" si="38">D17+D18</f>
        <v>66821</v>
      </c>
      <c r="E19" s="868">
        <f t="shared" si="38"/>
        <v>66734</v>
      </c>
      <c r="F19" s="868">
        <f t="shared" si="38"/>
        <v>66875</v>
      </c>
      <c r="G19" s="868">
        <f t="shared" si="38"/>
        <v>67157</v>
      </c>
      <c r="H19" s="868">
        <f t="shared" si="38"/>
        <v>66653</v>
      </c>
      <c r="I19" s="868">
        <f t="shared" si="38"/>
        <v>65080</v>
      </c>
      <c r="J19" s="868">
        <f t="shared" ref="J19:K19" si="39">J17+J18</f>
        <v>63859</v>
      </c>
      <c r="K19" s="868">
        <f t="shared" si="39"/>
        <v>65176</v>
      </c>
      <c r="L19" s="868">
        <f t="shared" ref="L19" si="40">L17+L18</f>
        <v>65254</v>
      </c>
    </row>
    <row r="20" spans="1:14">
      <c r="D20" s="869"/>
      <c r="E20" s="869"/>
      <c r="F20" s="869"/>
      <c r="G20" s="869"/>
      <c r="H20" s="869"/>
      <c r="I20" s="869"/>
      <c r="J20" s="869"/>
      <c r="K20" s="869"/>
      <c r="L20" s="869"/>
    </row>
    <row r="21" spans="1:14">
      <c r="A21" s="864" t="s">
        <v>4188</v>
      </c>
      <c r="D21" s="867">
        <f t="shared" ref="D21:I21" si="41">D142</f>
        <v>53762</v>
      </c>
      <c r="E21" s="867">
        <f t="shared" si="41"/>
        <v>53877</v>
      </c>
      <c r="F21" s="867">
        <f t="shared" si="41"/>
        <v>54085</v>
      </c>
      <c r="G21" s="867">
        <f t="shared" si="41"/>
        <v>54047</v>
      </c>
      <c r="H21" s="867">
        <f t="shared" si="41"/>
        <v>53609</v>
      </c>
      <c r="I21" s="867">
        <f t="shared" si="41"/>
        <v>51958</v>
      </c>
      <c r="J21" s="867">
        <f t="shared" ref="J21:K21" si="42">J142</f>
        <v>53544</v>
      </c>
      <c r="K21" s="867">
        <f t="shared" si="42"/>
        <v>55504</v>
      </c>
      <c r="L21" s="867">
        <f t="shared" ref="L21" si="43">L142</f>
        <v>54948</v>
      </c>
      <c r="N21" s="864" t="s">
        <v>4189</v>
      </c>
    </row>
    <row r="22" spans="1:14" ht="15.75" thickBot="1">
      <c r="D22" s="868">
        <f t="shared" ref="D22:I22" si="44">D170</f>
        <v>16960</v>
      </c>
      <c r="E22" s="868">
        <f t="shared" si="44"/>
        <v>17018</v>
      </c>
      <c r="F22" s="868">
        <f t="shared" si="44"/>
        <v>17111</v>
      </c>
      <c r="G22" s="868">
        <f t="shared" si="44"/>
        <v>17275</v>
      </c>
      <c r="H22" s="868">
        <f t="shared" si="44"/>
        <v>17367</v>
      </c>
      <c r="I22" s="868">
        <f t="shared" si="44"/>
        <v>16984</v>
      </c>
      <c r="J22" s="868">
        <f t="shared" ref="J22:K22" si="45">J170</f>
        <v>17013</v>
      </c>
      <c r="K22" s="868">
        <f t="shared" si="45"/>
        <v>17443</v>
      </c>
      <c r="L22" s="868">
        <f t="shared" ref="L22" si="46">L170</f>
        <v>17608</v>
      </c>
      <c r="N22" s="864" t="s">
        <v>4187</v>
      </c>
    </row>
    <row r="23" spans="1:14" ht="15.75" thickBot="1">
      <c r="D23" s="868">
        <f t="shared" ref="D23:I23" si="47">D21+D22</f>
        <v>70722</v>
      </c>
      <c r="E23" s="868">
        <f t="shared" si="47"/>
        <v>70895</v>
      </c>
      <c r="F23" s="868">
        <f t="shared" si="47"/>
        <v>71196</v>
      </c>
      <c r="G23" s="868">
        <f t="shared" si="47"/>
        <v>71322</v>
      </c>
      <c r="H23" s="868">
        <f t="shared" si="47"/>
        <v>70976</v>
      </c>
      <c r="I23" s="868">
        <f t="shared" si="47"/>
        <v>68942</v>
      </c>
      <c r="J23" s="868">
        <f t="shared" ref="J23:K23" si="48">J21+J22</f>
        <v>70557</v>
      </c>
      <c r="K23" s="868">
        <f t="shared" si="48"/>
        <v>72947</v>
      </c>
      <c r="L23" s="868">
        <f t="shared" ref="L23" si="49">L21+L22</f>
        <v>72556</v>
      </c>
    </row>
    <row r="24" spans="1:14">
      <c r="D24" s="869"/>
      <c r="E24" s="869"/>
      <c r="F24" s="869"/>
      <c r="G24" s="869"/>
      <c r="H24" s="869"/>
      <c r="I24" s="869"/>
      <c r="J24" s="869"/>
      <c r="K24" s="869"/>
      <c r="L24" s="869"/>
    </row>
    <row r="25" spans="1:14">
      <c r="A25" s="864" t="s">
        <v>4190</v>
      </c>
      <c r="D25" s="867">
        <f t="shared" ref="D25:I25" si="50">D82</f>
        <v>80513</v>
      </c>
      <c r="E25" s="867">
        <f t="shared" si="50"/>
        <v>80435</v>
      </c>
      <c r="F25" s="867">
        <f t="shared" si="50"/>
        <v>80771</v>
      </c>
      <c r="G25" s="867">
        <f t="shared" si="50"/>
        <v>81234</v>
      </c>
      <c r="H25" s="867">
        <f t="shared" si="50"/>
        <v>80976</v>
      </c>
      <c r="I25" s="867">
        <f t="shared" si="50"/>
        <v>79250</v>
      </c>
      <c r="J25" s="867">
        <f t="shared" ref="J25:K25" si="51">J82</f>
        <v>77061</v>
      </c>
      <c r="K25" s="867">
        <f t="shared" si="51"/>
        <v>78344</v>
      </c>
      <c r="L25" s="867">
        <f t="shared" ref="L25" si="52">L82</f>
        <v>79349</v>
      </c>
      <c r="N25" s="864" t="s">
        <v>4185</v>
      </c>
    </row>
    <row r="26" spans="1:14">
      <c r="D26" s="869"/>
      <c r="E26" s="869"/>
      <c r="F26" s="869"/>
      <c r="G26" s="869"/>
      <c r="H26" s="869"/>
      <c r="I26" s="869"/>
      <c r="J26" s="869"/>
      <c r="K26" s="869"/>
      <c r="L26" s="869"/>
    </row>
    <row r="27" spans="1:14">
      <c r="A27" s="864" t="s">
        <v>4191</v>
      </c>
      <c r="D27" s="867">
        <f t="shared" ref="D27:I27" si="53">D143</f>
        <v>61653</v>
      </c>
      <c r="E27" s="867">
        <f t="shared" si="53"/>
        <v>61929</v>
      </c>
      <c r="F27" s="867">
        <f t="shared" si="53"/>
        <v>62222</v>
      </c>
      <c r="G27" s="867">
        <f t="shared" si="53"/>
        <v>61708</v>
      </c>
      <c r="H27" s="867">
        <f t="shared" si="53"/>
        <v>60474</v>
      </c>
      <c r="I27" s="867">
        <f t="shared" si="53"/>
        <v>57595</v>
      </c>
      <c r="J27" s="867">
        <f t="shared" ref="J27:K27" si="54">J143</f>
        <v>58997</v>
      </c>
      <c r="K27" s="867">
        <f t="shared" si="54"/>
        <v>61577</v>
      </c>
      <c r="L27" s="867">
        <f t="shared" ref="L27" si="55">L143</f>
        <v>60928</v>
      </c>
      <c r="N27" s="864" t="s">
        <v>4189</v>
      </c>
    </row>
    <row r="28" spans="1:14">
      <c r="D28" s="869"/>
      <c r="E28" s="869"/>
      <c r="F28" s="869"/>
      <c r="G28" s="869"/>
      <c r="H28" s="869"/>
      <c r="I28" s="869"/>
      <c r="J28" s="869"/>
      <c r="K28" s="869"/>
      <c r="L28" s="869"/>
    </row>
    <row r="29" spans="1:14">
      <c r="A29" s="864" t="s">
        <v>4192</v>
      </c>
      <c r="D29" s="867">
        <f t="shared" ref="D29:I29" si="56">D83</f>
        <v>70574</v>
      </c>
      <c r="E29" s="867">
        <f t="shared" si="56"/>
        <v>70864</v>
      </c>
      <c r="F29" s="867">
        <f t="shared" si="56"/>
        <v>69898</v>
      </c>
      <c r="G29" s="867">
        <f t="shared" si="56"/>
        <v>71467</v>
      </c>
      <c r="H29" s="867">
        <f t="shared" si="56"/>
        <v>70997</v>
      </c>
      <c r="I29" s="867">
        <f t="shared" si="56"/>
        <v>69392</v>
      </c>
      <c r="J29" s="867">
        <f t="shared" ref="J29:K29" si="57">J83</f>
        <v>68104</v>
      </c>
      <c r="K29" s="867">
        <f t="shared" si="57"/>
        <v>69345</v>
      </c>
      <c r="L29" s="867">
        <f t="shared" ref="L29" si="58">L83</f>
        <v>69967</v>
      </c>
      <c r="N29" s="864" t="s">
        <v>4185</v>
      </c>
    </row>
    <row r="30" spans="1:14">
      <c r="D30" s="869"/>
      <c r="E30" s="869"/>
      <c r="F30" s="869"/>
      <c r="G30" s="869"/>
      <c r="H30" s="869"/>
      <c r="I30" s="869"/>
      <c r="J30" s="869"/>
      <c r="K30" s="869"/>
      <c r="L30" s="869"/>
    </row>
    <row r="31" spans="1:14">
      <c r="A31" s="864" t="s">
        <v>4193</v>
      </c>
      <c r="D31" s="867">
        <f t="shared" ref="D31:I31" si="59">D116</f>
        <v>68024</v>
      </c>
      <c r="E31" s="867">
        <f t="shared" si="59"/>
        <v>68150</v>
      </c>
      <c r="F31" s="867">
        <f t="shared" si="59"/>
        <v>68361</v>
      </c>
      <c r="G31" s="867">
        <f t="shared" si="59"/>
        <v>68365</v>
      </c>
      <c r="H31" s="867">
        <f t="shared" si="59"/>
        <v>68101</v>
      </c>
      <c r="I31" s="867">
        <f t="shared" si="59"/>
        <v>65376</v>
      </c>
      <c r="J31" s="867">
        <f t="shared" ref="J31:K31" si="60">J116</f>
        <v>64970</v>
      </c>
      <c r="K31" s="867">
        <f t="shared" si="60"/>
        <v>66142</v>
      </c>
      <c r="L31" s="867">
        <f t="shared" ref="L31" si="61">L116</f>
        <v>65032</v>
      </c>
      <c r="N31" s="864" t="s">
        <v>4194</v>
      </c>
    </row>
    <row r="32" spans="1:14">
      <c r="D32" s="869"/>
      <c r="E32" s="869"/>
      <c r="F32" s="869"/>
      <c r="G32" s="869"/>
      <c r="H32" s="869"/>
      <c r="I32" s="869"/>
      <c r="J32" s="869"/>
      <c r="K32" s="869"/>
      <c r="L32" s="869"/>
    </row>
    <row r="33" spans="1:14">
      <c r="A33" s="864" t="s">
        <v>4195</v>
      </c>
      <c r="D33" s="867">
        <f t="shared" ref="D33:I33" si="62">D117</f>
        <v>63473</v>
      </c>
      <c r="E33" s="867">
        <f t="shared" si="62"/>
        <v>65219</v>
      </c>
      <c r="F33" s="867">
        <f t="shared" si="62"/>
        <v>65774</v>
      </c>
      <c r="G33" s="867">
        <f t="shared" si="62"/>
        <v>65976</v>
      </c>
      <c r="H33" s="867">
        <f t="shared" si="62"/>
        <v>66370</v>
      </c>
      <c r="I33" s="867">
        <f t="shared" si="62"/>
        <v>61831</v>
      </c>
      <c r="J33" s="867">
        <f t="shared" ref="J33:K33" si="63">J117</f>
        <v>63112</v>
      </c>
      <c r="K33" s="867">
        <f t="shared" si="63"/>
        <v>64085</v>
      </c>
      <c r="L33" s="867">
        <f t="shared" ref="L33" si="64">L117</f>
        <v>62738</v>
      </c>
      <c r="N33" s="864" t="s">
        <v>4194</v>
      </c>
    </row>
    <row r="34" spans="1:14">
      <c r="D34" s="869"/>
      <c r="E34" s="869"/>
      <c r="F34" s="869"/>
      <c r="G34" s="869"/>
      <c r="H34" s="869"/>
      <c r="I34" s="869"/>
      <c r="J34" s="869"/>
      <c r="K34" s="869"/>
      <c r="L34" s="869"/>
    </row>
    <row r="35" spans="1:14">
      <c r="A35" s="864" t="s">
        <v>4196</v>
      </c>
      <c r="D35" s="867">
        <f t="shared" ref="D35:I35" si="65">D84</f>
        <v>11689</v>
      </c>
      <c r="E35" s="867">
        <f t="shared" si="65"/>
        <v>11651</v>
      </c>
      <c r="F35" s="867">
        <f t="shared" si="65"/>
        <v>11591</v>
      </c>
      <c r="G35" s="867">
        <f t="shared" si="65"/>
        <v>11602</v>
      </c>
      <c r="H35" s="867">
        <f t="shared" si="65"/>
        <v>11514</v>
      </c>
      <c r="I35" s="867">
        <f t="shared" si="65"/>
        <v>11305</v>
      </c>
      <c r="J35" s="867">
        <f t="shared" ref="J35:K35" si="66">J84</f>
        <v>10943</v>
      </c>
      <c r="K35" s="867">
        <f t="shared" si="66"/>
        <v>11251</v>
      </c>
      <c r="L35" s="867">
        <f t="shared" ref="L35" si="67">L84</f>
        <v>11439</v>
      </c>
      <c r="N35" s="864" t="s">
        <v>4185</v>
      </c>
    </row>
    <row r="36" spans="1:14" ht="15.75" thickBot="1">
      <c r="D36" s="868">
        <f t="shared" ref="D36:I36" si="68">D118</f>
        <v>49258</v>
      </c>
      <c r="E36" s="868">
        <f t="shared" si="68"/>
        <v>49581</v>
      </c>
      <c r="F36" s="868">
        <f t="shared" si="68"/>
        <v>49523</v>
      </c>
      <c r="G36" s="868">
        <f t="shared" si="68"/>
        <v>49635</v>
      </c>
      <c r="H36" s="868">
        <f t="shared" si="68"/>
        <v>49627</v>
      </c>
      <c r="I36" s="868">
        <f t="shared" si="68"/>
        <v>46929</v>
      </c>
      <c r="J36" s="868">
        <f t="shared" ref="J36:K36" si="69">J118</f>
        <v>47340</v>
      </c>
      <c r="K36" s="868">
        <f t="shared" si="69"/>
        <v>48317</v>
      </c>
      <c r="L36" s="868">
        <f t="shared" ref="L36" si="70">L118</f>
        <v>47642</v>
      </c>
      <c r="N36" s="864" t="s">
        <v>4194</v>
      </c>
    </row>
    <row r="37" spans="1:14" ht="15.75" thickBot="1">
      <c r="D37" s="868">
        <f t="shared" ref="D37:I37" si="71">D35+D36</f>
        <v>60947</v>
      </c>
      <c r="E37" s="868">
        <f t="shared" si="71"/>
        <v>61232</v>
      </c>
      <c r="F37" s="868">
        <f t="shared" si="71"/>
        <v>61114</v>
      </c>
      <c r="G37" s="868">
        <f t="shared" si="71"/>
        <v>61237</v>
      </c>
      <c r="H37" s="868">
        <f t="shared" si="71"/>
        <v>61141</v>
      </c>
      <c r="I37" s="868">
        <f t="shared" si="71"/>
        <v>58234</v>
      </c>
      <c r="J37" s="868">
        <f t="shared" ref="J37:K37" si="72">J35+J36</f>
        <v>58283</v>
      </c>
      <c r="K37" s="868">
        <f t="shared" si="72"/>
        <v>59568</v>
      </c>
      <c r="L37" s="868">
        <f t="shared" ref="L37" si="73">L35+L36</f>
        <v>59081</v>
      </c>
    </row>
    <row r="38" spans="1:14" ht="15" customHeight="1">
      <c r="D38" s="869"/>
      <c r="E38" s="869"/>
      <c r="F38" s="869"/>
      <c r="G38" s="869"/>
      <c r="H38" s="869"/>
      <c r="I38" s="869"/>
      <c r="J38" s="869"/>
      <c r="K38" s="869"/>
      <c r="L38" s="869"/>
    </row>
    <row r="39" spans="1:14" ht="15" customHeight="1">
      <c r="A39" s="864" t="s">
        <v>6007</v>
      </c>
      <c r="D39" s="867">
        <f t="shared" ref="D39:I39" si="74">D171</f>
        <v>63427</v>
      </c>
      <c r="E39" s="867">
        <f t="shared" si="74"/>
        <v>63489</v>
      </c>
      <c r="F39" s="867">
        <f t="shared" si="74"/>
        <v>63329</v>
      </c>
      <c r="G39" s="867">
        <f t="shared" si="74"/>
        <v>63590</v>
      </c>
      <c r="H39" s="867">
        <f t="shared" si="74"/>
        <v>63297</v>
      </c>
      <c r="I39" s="867">
        <f t="shared" si="74"/>
        <v>61445</v>
      </c>
      <c r="J39" s="867">
        <f t="shared" ref="J39:K39" si="75">J171</f>
        <v>60411</v>
      </c>
      <c r="K39" s="867">
        <f t="shared" si="75"/>
        <v>61335</v>
      </c>
      <c r="L39" s="867">
        <f t="shared" ref="L39" si="76">L171</f>
        <v>61138</v>
      </c>
      <c r="N39" s="864" t="s">
        <v>4187</v>
      </c>
    </row>
    <row r="40" spans="1:14" ht="15" customHeight="1">
      <c r="B40" s="20"/>
      <c r="C40" s="20"/>
      <c r="D40" s="869"/>
      <c r="E40" s="869"/>
      <c r="F40" s="869"/>
      <c r="G40" s="869"/>
      <c r="H40" s="869"/>
      <c r="I40" s="869"/>
      <c r="J40" s="869"/>
      <c r="K40" s="869"/>
      <c r="L40" s="869"/>
    </row>
    <row r="41" spans="1:14" ht="15" customHeight="1">
      <c r="A41" s="864" t="s">
        <v>8697</v>
      </c>
      <c r="D41" s="867">
        <f t="shared" ref="D41:I41" si="77">D15+D19+D23+D25+D27+D29+D31+D33+D37+D39</f>
        <v>685942</v>
      </c>
      <c r="E41" s="867">
        <f t="shared" si="77"/>
        <v>688722</v>
      </c>
      <c r="F41" s="867">
        <f t="shared" si="77"/>
        <v>689622</v>
      </c>
      <c r="G41" s="867">
        <f t="shared" si="77"/>
        <v>692319</v>
      </c>
      <c r="H41" s="867">
        <f t="shared" si="77"/>
        <v>689274</v>
      </c>
      <c r="I41" s="867">
        <f t="shared" si="77"/>
        <v>666240</v>
      </c>
      <c r="J41" s="867">
        <f t="shared" ref="J41:K41" si="78">J15+J19+J23+J25+J27+J29+J31+J33+J37+J39</f>
        <v>661995</v>
      </c>
      <c r="K41" s="867">
        <f t="shared" si="78"/>
        <v>676809</v>
      </c>
      <c r="L41" s="867">
        <f t="shared" ref="L41" si="79">L15+L19+L23+L25+L27+L29+L31+L33+L37+L39</f>
        <v>674860</v>
      </c>
    </row>
    <row r="42" spans="1:14">
      <c r="D42" s="869"/>
      <c r="E42" s="869"/>
      <c r="F42" s="869"/>
      <c r="G42" s="869"/>
      <c r="H42" s="869"/>
      <c r="I42" s="869"/>
      <c r="J42" s="869"/>
      <c r="K42" s="869"/>
      <c r="L42" s="869"/>
    </row>
    <row r="43" spans="1:14">
      <c r="A43" s="864" t="s">
        <v>8698</v>
      </c>
      <c r="D43" s="867">
        <f t="shared" ref="D43:I43" si="80">MAXA(D15,D19,D23,D25,D27,D29,D31,D33,D37,D39)-MINA(D15,D19,D23,D25,D27,D29,D31,D33,D37,D39)</f>
        <v>19566</v>
      </c>
      <c r="E43" s="867">
        <f t="shared" si="80"/>
        <v>19203</v>
      </c>
      <c r="F43" s="867">
        <f t="shared" si="80"/>
        <v>19657</v>
      </c>
      <c r="G43" s="867">
        <f t="shared" si="80"/>
        <v>19997</v>
      </c>
      <c r="H43" s="867">
        <f t="shared" si="80"/>
        <v>20502</v>
      </c>
      <c r="I43" s="867">
        <f t="shared" si="80"/>
        <v>21655</v>
      </c>
      <c r="J43" s="867">
        <f t="shared" ref="J43:K43" si="81">MAXA(J15,J19,J23,J25,J27,J29,J31,J33,J37,J39)-MINA(J15,J19,J23,J25,J27,J29,J31,J33,J37,J39)</f>
        <v>18778</v>
      </c>
      <c r="K43" s="867">
        <f t="shared" si="81"/>
        <v>18776</v>
      </c>
      <c r="L43" s="867">
        <f t="shared" ref="L43" si="82">MAXA(L15,L19,L23,L25,L27,L29,L31,L33,L37,L39)-MINA(L15,L19,L23,L25,L27,L29,L31,L33,L37,L39)</f>
        <v>20268</v>
      </c>
    </row>
    <row r="44" spans="1:14">
      <c r="D44" s="869"/>
      <c r="E44" s="869"/>
      <c r="F44" s="869"/>
      <c r="G44" s="869"/>
      <c r="H44" s="869"/>
      <c r="I44" s="869"/>
      <c r="J44" s="869"/>
      <c r="K44" s="869"/>
      <c r="L44" s="869"/>
    </row>
    <row r="45" spans="1:14">
      <c r="A45" s="864" t="s">
        <v>8701</v>
      </c>
      <c r="D45" s="867">
        <f t="shared" ref="D45:I45" si="83">STDEVPA(D15,D19,D23,D25,D27,D29,D31,D33,D37,D39)</f>
        <v>6624.6662527254921</v>
      </c>
      <c r="E45" s="867">
        <f t="shared" si="83"/>
        <v>6439.1555781794859</v>
      </c>
      <c r="F45" s="867">
        <f t="shared" si="83"/>
        <v>6500.7941022616606</v>
      </c>
      <c r="G45" s="867">
        <f t="shared" si="83"/>
        <v>6656.6951627665821</v>
      </c>
      <c r="H45" s="867">
        <f t="shared" si="83"/>
        <v>6774.3652868737454</v>
      </c>
      <c r="I45" s="867">
        <f t="shared" si="83"/>
        <v>7304.9841615160267</v>
      </c>
      <c r="J45" s="867">
        <f t="shared" ref="J45:K45" si="84">STDEVPA(J15,J19,J23,J25,J27,J29,J31,J33,J37,J39)</f>
        <v>6435.7440012791067</v>
      </c>
      <c r="K45" s="867">
        <f t="shared" si="84"/>
        <v>6493.6597146755385</v>
      </c>
      <c r="L45" s="867">
        <f t="shared" ref="L45" si="85">STDEVPA(L15,L19,L23,L25,L27,L29,L31,L33,L37,L39)</f>
        <v>6989.1238935935307</v>
      </c>
    </row>
    <row r="47" spans="1:14">
      <c r="A47" s="864" t="s">
        <v>6008</v>
      </c>
    </row>
    <row r="48" spans="1:14">
      <c r="A48" s="864"/>
    </row>
    <row r="50" spans="1:19">
      <c r="E50" s="42" t="s">
        <v>2303</v>
      </c>
      <c r="F50" s="42"/>
      <c r="G50" s="42"/>
      <c r="H50" s="42"/>
      <c r="I50" s="42"/>
      <c r="J50" s="42"/>
      <c r="K50" s="42"/>
      <c r="L50" s="42"/>
      <c r="M50" s="65"/>
      <c r="N50" s="66" t="s">
        <v>13319</v>
      </c>
    </row>
    <row r="51" spans="1:19">
      <c r="D51" s="55">
        <v>2010</v>
      </c>
      <c r="E51" s="55">
        <v>2011</v>
      </c>
      <c r="F51" s="55">
        <v>2012</v>
      </c>
      <c r="G51" s="55">
        <v>2013</v>
      </c>
      <c r="H51" s="55">
        <v>2014</v>
      </c>
      <c r="I51" s="55">
        <v>2015</v>
      </c>
      <c r="J51" s="55">
        <v>2016</v>
      </c>
      <c r="K51" s="55">
        <v>2017</v>
      </c>
      <c r="L51" s="55">
        <v>2018</v>
      </c>
      <c r="M51" s="65"/>
      <c r="N51" s="67" t="s">
        <v>2304</v>
      </c>
    </row>
    <row r="52" spans="1:19" ht="15" customHeight="1">
      <c r="A52" s="864" t="s">
        <v>4205</v>
      </c>
      <c r="C52" s="864"/>
      <c r="D52" s="867">
        <f t="shared" ref="D52:I52" si="86">SUM(D53:D78)</f>
        <v>265296</v>
      </c>
      <c r="E52" s="867">
        <f t="shared" si="86"/>
        <v>265356</v>
      </c>
      <c r="F52" s="867">
        <f t="shared" si="86"/>
        <v>265031</v>
      </c>
      <c r="G52" s="867">
        <f t="shared" si="86"/>
        <v>267415</v>
      </c>
      <c r="H52" s="867">
        <f t="shared" si="86"/>
        <v>266457</v>
      </c>
      <c r="I52" s="867">
        <f t="shared" si="86"/>
        <v>261259</v>
      </c>
      <c r="J52" s="867">
        <f t="shared" ref="J52:K52" si="87">SUM(J53:J78)</f>
        <v>254116</v>
      </c>
      <c r="K52" s="867">
        <f t="shared" si="87"/>
        <v>258789</v>
      </c>
      <c r="L52" s="867">
        <f t="shared" ref="L52" si="88">SUM(L53:L78)</f>
        <v>261070</v>
      </c>
    </row>
    <row r="53" spans="1:19">
      <c r="A53" s="864" t="s">
        <v>6957</v>
      </c>
      <c r="B53" s="864" t="s">
        <v>6009</v>
      </c>
      <c r="C53" s="4" t="s">
        <v>478</v>
      </c>
      <c r="D53" s="867">
        <v>11506</v>
      </c>
      <c r="E53" s="867">
        <v>11441</v>
      </c>
      <c r="F53" s="867">
        <v>11587</v>
      </c>
      <c r="G53" s="867">
        <v>11491</v>
      </c>
      <c r="H53" s="48">
        <v>11494</v>
      </c>
      <c r="I53" s="48">
        <v>11141</v>
      </c>
      <c r="J53" s="48">
        <v>10789</v>
      </c>
      <c r="K53" s="48">
        <v>10993</v>
      </c>
      <c r="L53" s="48">
        <v>11126</v>
      </c>
      <c r="N53" s="864" t="s">
        <v>4184</v>
      </c>
      <c r="Q53" s="4"/>
      <c r="S53" s="4"/>
    </row>
    <row r="54" spans="1:19">
      <c r="A54" s="864" t="s">
        <v>6959</v>
      </c>
      <c r="B54" s="864" t="s">
        <v>6010</v>
      </c>
      <c r="C54" s="4" t="s">
        <v>479</v>
      </c>
      <c r="D54" s="867">
        <v>8524</v>
      </c>
      <c r="E54" s="867">
        <v>8549</v>
      </c>
      <c r="F54" s="867">
        <v>8530</v>
      </c>
      <c r="G54" s="48">
        <v>8510</v>
      </c>
      <c r="H54" s="48">
        <v>8534</v>
      </c>
      <c r="I54" s="48">
        <v>8229</v>
      </c>
      <c r="J54" s="48">
        <v>7947</v>
      </c>
      <c r="K54" s="48">
        <v>8060</v>
      </c>
      <c r="L54" s="48">
        <v>8143</v>
      </c>
      <c r="N54" s="864" t="s">
        <v>4190</v>
      </c>
      <c r="Q54" s="4"/>
      <c r="S54" s="4"/>
    </row>
    <row r="55" spans="1:19" ht="15" customHeight="1">
      <c r="A55" s="864" t="s">
        <v>6961</v>
      </c>
      <c r="B55" s="864" t="s">
        <v>4254</v>
      </c>
      <c r="C55" s="4" t="s">
        <v>480</v>
      </c>
      <c r="D55" s="867">
        <v>11657</v>
      </c>
      <c r="E55" s="867">
        <v>11677</v>
      </c>
      <c r="F55" s="867">
        <v>11748</v>
      </c>
      <c r="G55" s="48">
        <v>11715</v>
      </c>
      <c r="H55" s="48">
        <v>11825</v>
      </c>
      <c r="I55" s="48">
        <v>11574</v>
      </c>
      <c r="J55" s="48">
        <v>11217</v>
      </c>
      <c r="K55" s="48">
        <v>11454</v>
      </c>
      <c r="L55" s="48">
        <v>11455</v>
      </c>
      <c r="N55" s="864" t="s">
        <v>4190</v>
      </c>
      <c r="Q55" s="4"/>
      <c r="S55" s="4"/>
    </row>
    <row r="56" spans="1:19">
      <c r="A56" s="864" t="s">
        <v>6963</v>
      </c>
      <c r="B56" s="864" t="s">
        <v>4255</v>
      </c>
      <c r="C56" s="4" t="s">
        <v>481</v>
      </c>
      <c r="D56" s="867">
        <v>11600</v>
      </c>
      <c r="E56" s="867">
        <v>11381</v>
      </c>
      <c r="F56" s="867">
        <v>11327</v>
      </c>
      <c r="G56" s="48">
        <v>11380</v>
      </c>
      <c r="H56" s="48">
        <v>11260</v>
      </c>
      <c r="I56" s="48">
        <v>10482</v>
      </c>
      <c r="J56" s="48">
        <v>10027</v>
      </c>
      <c r="K56" s="48">
        <v>10424</v>
      </c>
      <c r="L56" s="48">
        <v>10578</v>
      </c>
      <c r="N56" s="864" t="s">
        <v>4190</v>
      </c>
      <c r="Q56" s="4"/>
      <c r="S56" s="4"/>
    </row>
    <row r="57" spans="1:19">
      <c r="A57" s="864" t="s">
        <v>6965</v>
      </c>
      <c r="B57" s="864" t="s">
        <v>4256</v>
      </c>
      <c r="C57" s="4" t="s">
        <v>482</v>
      </c>
      <c r="D57" s="867">
        <v>7408</v>
      </c>
      <c r="E57" s="867">
        <v>7316</v>
      </c>
      <c r="F57" s="867">
        <v>6216</v>
      </c>
      <c r="G57" s="48">
        <v>7435</v>
      </c>
      <c r="H57" s="48">
        <v>7311</v>
      </c>
      <c r="I57" s="48">
        <v>6407</v>
      </c>
      <c r="J57" s="48">
        <v>6534</v>
      </c>
      <c r="K57" s="48">
        <v>6590</v>
      </c>
      <c r="L57" s="48">
        <v>6683</v>
      </c>
      <c r="N57" s="864" t="s">
        <v>4192</v>
      </c>
      <c r="Q57" s="4"/>
      <c r="S57" s="4"/>
    </row>
    <row r="58" spans="1:19">
      <c r="A58" s="864" t="s">
        <v>6997</v>
      </c>
      <c r="B58" s="864" t="s">
        <v>4257</v>
      </c>
      <c r="C58" s="4" t="s">
        <v>483</v>
      </c>
      <c r="D58" s="867">
        <v>7295</v>
      </c>
      <c r="E58" s="867">
        <v>7338</v>
      </c>
      <c r="F58" s="867">
        <v>7133</v>
      </c>
      <c r="G58" s="48">
        <v>7311</v>
      </c>
      <c r="H58" s="48">
        <v>7141</v>
      </c>
      <c r="I58" s="48">
        <v>7067</v>
      </c>
      <c r="J58" s="48">
        <v>6917</v>
      </c>
      <c r="K58" s="48">
        <v>7023</v>
      </c>
      <c r="L58" s="48">
        <v>7228</v>
      </c>
      <c r="N58" s="864" t="s">
        <v>4192</v>
      </c>
      <c r="Q58" s="4"/>
      <c r="S58" s="4"/>
    </row>
    <row r="59" spans="1:19">
      <c r="A59" s="864" t="s">
        <v>6999</v>
      </c>
      <c r="B59" s="864" t="s">
        <v>4272</v>
      </c>
      <c r="C59" s="4" t="s">
        <v>484</v>
      </c>
      <c r="D59" s="867">
        <v>13396</v>
      </c>
      <c r="E59" s="867">
        <v>13605</v>
      </c>
      <c r="F59" s="867">
        <v>13732</v>
      </c>
      <c r="G59" s="48">
        <v>13716</v>
      </c>
      <c r="H59" s="48">
        <v>13589</v>
      </c>
      <c r="I59" s="48">
        <v>13391</v>
      </c>
      <c r="J59" s="48">
        <v>12994</v>
      </c>
      <c r="K59" s="48">
        <v>13369</v>
      </c>
      <c r="L59" s="48">
        <v>13479</v>
      </c>
      <c r="N59" s="864" t="s">
        <v>4192</v>
      </c>
      <c r="Q59" s="4"/>
      <c r="S59" s="4"/>
    </row>
    <row r="60" spans="1:19">
      <c r="A60" s="864" t="s">
        <v>7001</v>
      </c>
      <c r="B60" s="864" t="s">
        <v>7850</v>
      </c>
      <c r="C60" s="4" t="s">
        <v>485</v>
      </c>
      <c r="D60" s="867">
        <v>11994</v>
      </c>
      <c r="E60" s="867">
        <v>12045</v>
      </c>
      <c r="F60" s="867">
        <v>12104</v>
      </c>
      <c r="G60" s="48">
        <v>12228</v>
      </c>
      <c r="H60" s="48">
        <v>12049</v>
      </c>
      <c r="I60" s="48">
        <v>11883</v>
      </c>
      <c r="J60" s="48">
        <v>11555</v>
      </c>
      <c r="K60" s="48">
        <v>11591</v>
      </c>
      <c r="L60" s="48">
        <v>11676</v>
      </c>
      <c r="N60" s="864" t="s">
        <v>4190</v>
      </c>
      <c r="Q60" s="4"/>
      <c r="S60" s="4"/>
    </row>
    <row r="61" spans="1:19">
      <c r="A61" s="864" t="s">
        <v>7003</v>
      </c>
      <c r="B61" s="864" t="s">
        <v>7851</v>
      </c>
      <c r="C61" s="4" t="s">
        <v>486</v>
      </c>
      <c r="D61" s="867">
        <v>11771</v>
      </c>
      <c r="E61" s="867">
        <v>11797</v>
      </c>
      <c r="F61" s="867">
        <v>11803</v>
      </c>
      <c r="G61" s="48">
        <v>11908</v>
      </c>
      <c r="H61" s="48">
        <v>11913</v>
      </c>
      <c r="I61" s="48">
        <v>11796</v>
      </c>
      <c r="J61" s="48">
        <v>11727</v>
      </c>
      <c r="K61" s="48">
        <v>11646</v>
      </c>
      <c r="L61" s="48">
        <v>11799</v>
      </c>
      <c r="N61" s="864" t="s">
        <v>4190</v>
      </c>
      <c r="Q61" s="4"/>
      <c r="S61" s="4"/>
    </row>
    <row r="62" spans="1:19">
      <c r="A62" s="864" t="s">
        <v>7005</v>
      </c>
      <c r="B62" s="864" t="s">
        <v>7852</v>
      </c>
      <c r="C62" s="4" t="s">
        <v>487</v>
      </c>
      <c r="D62" s="867">
        <v>7978</v>
      </c>
      <c r="E62" s="867">
        <v>7867</v>
      </c>
      <c r="F62" s="867">
        <v>7971</v>
      </c>
      <c r="G62" s="48">
        <v>7987</v>
      </c>
      <c r="H62" s="48">
        <v>7974</v>
      </c>
      <c r="I62" s="48">
        <v>7850</v>
      </c>
      <c r="J62" s="48">
        <v>7623</v>
      </c>
      <c r="K62" s="48">
        <v>7578</v>
      </c>
      <c r="L62" s="48">
        <v>7567</v>
      </c>
      <c r="N62" s="864" t="s">
        <v>4186</v>
      </c>
      <c r="Q62" s="4"/>
      <c r="S62" s="4"/>
    </row>
    <row r="63" spans="1:19">
      <c r="A63" s="864" t="s">
        <v>7007</v>
      </c>
      <c r="B63" s="864" t="s">
        <v>7853</v>
      </c>
      <c r="C63" s="4" t="s">
        <v>488</v>
      </c>
      <c r="D63" s="867">
        <v>6832</v>
      </c>
      <c r="E63" s="867">
        <v>6861</v>
      </c>
      <c r="F63" s="867">
        <v>6813</v>
      </c>
      <c r="G63" s="48">
        <v>6927</v>
      </c>
      <c r="H63" s="48">
        <v>6794</v>
      </c>
      <c r="I63" s="48">
        <v>6526</v>
      </c>
      <c r="J63" s="48">
        <v>6209</v>
      </c>
      <c r="K63" s="48">
        <v>6278</v>
      </c>
      <c r="L63" s="48">
        <v>6139</v>
      </c>
      <c r="N63" s="864" t="s">
        <v>4186</v>
      </c>
      <c r="Q63" s="4"/>
      <c r="S63" s="4"/>
    </row>
    <row r="64" spans="1:19">
      <c r="A64" s="864" t="s">
        <v>7009</v>
      </c>
      <c r="B64" s="864" t="s">
        <v>7854</v>
      </c>
      <c r="C64" s="4" t="s">
        <v>489</v>
      </c>
      <c r="D64" s="867">
        <v>11689</v>
      </c>
      <c r="E64" s="867">
        <v>11651</v>
      </c>
      <c r="F64" s="867">
        <v>11591</v>
      </c>
      <c r="G64" s="48">
        <v>11602</v>
      </c>
      <c r="H64" s="48">
        <v>11514</v>
      </c>
      <c r="I64" s="48">
        <v>11305</v>
      </c>
      <c r="J64" s="48">
        <v>10943</v>
      </c>
      <c r="K64" s="48">
        <v>11251</v>
      </c>
      <c r="L64" s="48">
        <v>11439</v>
      </c>
      <c r="N64" s="864" t="s">
        <v>4196</v>
      </c>
      <c r="Q64" s="4"/>
      <c r="S64" s="4"/>
    </row>
    <row r="65" spans="1:19">
      <c r="A65" s="864" t="s">
        <v>7011</v>
      </c>
      <c r="B65" s="864" t="s">
        <v>7855</v>
      </c>
      <c r="C65" s="4" t="s">
        <v>490</v>
      </c>
      <c r="D65" s="867">
        <v>3942</v>
      </c>
      <c r="E65" s="867">
        <v>3930</v>
      </c>
      <c r="F65" s="867">
        <v>3909</v>
      </c>
      <c r="G65" s="48">
        <v>4011</v>
      </c>
      <c r="H65" s="48">
        <v>4061</v>
      </c>
      <c r="I65" s="48">
        <v>4024</v>
      </c>
      <c r="J65" s="48">
        <v>3955</v>
      </c>
      <c r="K65" s="48">
        <v>4015</v>
      </c>
      <c r="L65" s="48">
        <v>4036</v>
      </c>
      <c r="N65" s="864" t="s">
        <v>4192</v>
      </c>
      <c r="Q65" s="4"/>
      <c r="S65" s="4"/>
    </row>
    <row r="66" spans="1:19">
      <c r="A66" s="864" t="s">
        <v>7013</v>
      </c>
      <c r="B66" s="864" t="s">
        <v>7856</v>
      </c>
      <c r="C66" s="4" t="s">
        <v>491</v>
      </c>
      <c r="D66" s="867">
        <v>11922</v>
      </c>
      <c r="E66" s="867">
        <v>11985</v>
      </c>
      <c r="F66" s="867">
        <v>12094</v>
      </c>
      <c r="G66" s="48">
        <v>12047</v>
      </c>
      <c r="H66" s="48">
        <v>12031</v>
      </c>
      <c r="I66" s="48">
        <v>11887</v>
      </c>
      <c r="J66" s="48">
        <v>11526</v>
      </c>
      <c r="K66" s="48">
        <v>11827</v>
      </c>
      <c r="L66" s="48">
        <v>11821</v>
      </c>
      <c r="N66" s="864" t="s">
        <v>4192</v>
      </c>
      <c r="Q66" s="4"/>
      <c r="S66" s="4"/>
    </row>
    <row r="67" spans="1:19">
      <c r="A67" s="864" t="s">
        <v>7015</v>
      </c>
      <c r="B67" s="864" t="s">
        <v>3332</v>
      </c>
      <c r="C67" s="4" t="s">
        <v>492</v>
      </c>
      <c r="D67" s="867">
        <v>11396</v>
      </c>
      <c r="E67" s="867">
        <v>11339</v>
      </c>
      <c r="F67" s="867">
        <v>11399</v>
      </c>
      <c r="G67" s="48">
        <v>11385</v>
      </c>
      <c r="H67" s="48">
        <v>11380</v>
      </c>
      <c r="I67" s="48">
        <v>11326</v>
      </c>
      <c r="J67" s="48">
        <v>10973</v>
      </c>
      <c r="K67" s="48">
        <v>11067</v>
      </c>
      <c r="L67" s="48">
        <v>11130</v>
      </c>
      <c r="N67" s="864" t="s">
        <v>4184</v>
      </c>
      <c r="Q67" s="4"/>
      <c r="S67" s="4"/>
    </row>
    <row r="68" spans="1:19">
      <c r="A68" s="864" t="s">
        <v>7017</v>
      </c>
      <c r="B68" s="864" t="s">
        <v>3333</v>
      </c>
      <c r="C68" s="4" t="s">
        <v>493</v>
      </c>
      <c r="D68" s="867">
        <v>12222</v>
      </c>
      <c r="E68" s="867">
        <v>12289</v>
      </c>
      <c r="F68" s="867">
        <v>12408</v>
      </c>
      <c r="G68" s="48">
        <v>12522</v>
      </c>
      <c r="H68" s="48">
        <v>12690</v>
      </c>
      <c r="I68" s="48">
        <v>12494</v>
      </c>
      <c r="J68" s="48">
        <v>12089</v>
      </c>
      <c r="K68" s="48">
        <v>12333</v>
      </c>
      <c r="L68" s="48">
        <v>12461</v>
      </c>
      <c r="N68" s="864" t="s">
        <v>4184</v>
      </c>
      <c r="Q68" s="4"/>
      <c r="S68" s="4"/>
    </row>
    <row r="69" spans="1:19">
      <c r="A69" s="864" t="s">
        <v>7019</v>
      </c>
      <c r="B69" s="864" t="s">
        <v>3334</v>
      </c>
      <c r="C69" s="4" t="s">
        <v>494</v>
      </c>
      <c r="D69" s="867">
        <v>8338</v>
      </c>
      <c r="E69" s="867">
        <v>8350</v>
      </c>
      <c r="F69" s="867">
        <v>8386</v>
      </c>
      <c r="G69" s="48">
        <v>8435</v>
      </c>
      <c r="H69" s="48">
        <v>8417</v>
      </c>
      <c r="I69" s="48">
        <v>8275</v>
      </c>
      <c r="J69" s="48">
        <v>7981</v>
      </c>
      <c r="K69" s="48">
        <v>8226</v>
      </c>
      <c r="L69" s="48">
        <v>8302</v>
      </c>
      <c r="N69" s="864" t="s">
        <v>4184</v>
      </c>
      <c r="Q69" s="4"/>
      <c r="S69" s="4"/>
    </row>
    <row r="70" spans="1:19">
      <c r="A70" s="864" t="s">
        <v>7021</v>
      </c>
      <c r="B70" s="864" t="s">
        <v>3335</v>
      </c>
      <c r="C70" s="4" t="s">
        <v>495</v>
      </c>
      <c r="D70" s="867">
        <v>12773</v>
      </c>
      <c r="E70" s="867">
        <v>12820</v>
      </c>
      <c r="F70" s="867">
        <v>12987</v>
      </c>
      <c r="G70" s="48">
        <v>13025</v>
      </c>
      <c r="H70" s="48">
        <v>13052</v>
      </c>
      <c r="I70" s="48">
        <v>13018</v>
      </c>
      <c r="J70" s="48">
        <v>12648</v>
      </c>
      <c r="K70" s="48">
        <v>12962</v>
      </c>
      <c r="L70" s="48">
        <v>13241</v>
      </c>
      <c r="N70" s="864" t="s">
        <v>4190</v>
      </c>
      <c r="Q70" s="4"/>
      <c r="S70" s="4"/>
    </row>
    <row r="71" spans="1:19">
      <c r="A71" s="864" t="s">
        <v>7023</v>
      </c>
      <c r="B71" s="864" t="s">
        <v>8835</v>
      </c>
      <c r="C71" s="4" t="s">
        <v>496</v>
      </c>
      <c r="D71" s="867">
        <v>12805</v>
      </c>
      <c r="E71" s="867">
        <v>12853</v>
      </c>
      <c r="F71" s="867">
        <v>12830</v>
      </c>
      <c r="G71" s="48">
        <v>12815</v>
      </c>
      <c r="H71" s="48">
        <v>12697</v>
      </c>
      <c r="I71" s="48">
        <v>12571</v>
      </c>
      <c r="J71" s="48">
        <v>12317</v>
      </c>
      <c r="K71" s="48">
        <v>12664</v>
      </c>
      <c r="L71" s="48">
        <v>12879</v>
      </c>
      <c r="N71" s="864" t="s">
        <v>4184</v>
      </c>
      <c r="Q71" s="4"/>
      <c r="S71" s="4"/>
    </row>
    <row r="72" spans="1:19">
      <c r="A72" s="864" t="s">
        <v>7025</v>
      </c>
      <c r="B72" s="864" t="s">
        <v>3336</v>
      </c>
      <c r="C72" s="4" t="s">
        <v>497</v>
      </c>
      <c r="D72" s="870">
        <v>7922</v>
      </c>
      <c r="E72" s="870">
        <v>7903</v>
      </c>
      <c r="F72" s="870">
        <v>7905</v>
      </c>
      <c r="G72" s="48">
        <v>7935</v>
      </c>
      <c r="H72" s="48">
        <v>7913</v>
      </c>
      <c r="I72" s="48">
        <v>7841</v>
      </c>
      <c r="J72" s="48">
        <v>7535</v>
      </c>
      <c r="K72" s="48">
        <v>7703</v>
      </c>
      <c r="L72" s="48">
        <v>7792</v>
      </c>
      <c r="N72" s="864" t="s">
        <v>4186</v>
      </c>
      <c r="Q72" s="4"/>
      <c r="S72" s="4"/>
    </row>
    <row r="73" spans="1:19">
      <c r="A73" s="864" t="s">
        <v>7570</v>
      </c>
      <c r="B73" s="864" t="s">
        <v>3337</v>
      </c>
      <c r="C73" s="4" t="s">
        <v>498</v>
      </c>
      <c r="D73" s="870">
        <v>11922</v>
      </c>
      <c r="E73" s="870">
        <v>11869</v>
      </c>
      <c r="F73" s="870">
        <v>11831</v>
      </c>
      <c r="G73" s="48">
        <v>11887</v>
      </c>
      <c r="H73" s="48">
        <v>11872</v>
      </c>
      <c r="I73" s="48">
        <v>11641</v>
      </c>
      <c r="J73" s="48">
        <v>11245</v>
      </c>
      <c r="K73" s="48">
        <v>11503</v>
      </c>
      <c r="L73" s="48">
        <v>11420</v>
      </c>
      <c r="N73" s="864" t="s">
        <v>4184</v>
      </c>
      <c r="Q73" s="4"/>
      <c r="S73" s="4"/>
    </row>
    <row r="74" spans="1:19">
      <c r="A74" s="864" t="s">
        <v>7572</v>
      </c>
      <c r="B74" s="864" t="s">
        <v>3338</v>
      </c>
      <c r="C74" s="4" t="s">
        <v>499</v>
      </c>
      <c r="D74" s="867">
        <v>7794</v>
      </c>
      <c r="E74" s="867">
        <v>7903</v>
      </c>
      <c r="F74" s="867">
        <v>7934</v>
      </c>
      <c r="G74" s="48">
        <v>8024</v>
      </c>
      <c r="H74" s="48">
        <v>8082</v>
      </c>
      <c r="I74" s="48">
        <v>8071</v>
      </c>
      <c r="J74" s="48">
        <v>7983</v>
      </c>
      <c r="K74" s="48">
        <v>8110</v>
      </c>
      <c r="L74" s="48">
        <v>8136</v>
      </c>
      <c r="N74" s="864" t="s">
        <v>4192</v>
      </c>
      <c r="Q74" s="4"/>
      <c r="S74" s="4"/>
    </row>
    <row r="75" spans="1:19">
      <c r="A75" s="864" t="s">
        <v>7573</v>
      </c>
      <c r="B75" s="864" t="s">
        <v>3339</v>
      </c>
      <c r="C75" s="4" t="s">
        <v>500</v>
      </c>
      <c r="D75" s="867">
        <v>11599</v>
      </c>
      <c r="E75" s="867">
        <v>11634</v>
      </c>
      <c r="F75" s="867">
        <v>11641</v>
      </c>
      <c r="G75" s="48">
        <v>11728</v>
      </c>
      <c r="H75" s="48">
        <v>11739</v>
      </c>
      <c r="I75" s="48">
        <v>11647</v>
      </c>
      <c r="J75" s="48">
        <v>11247</v>
      </c>
      <c r="K75" s="48">
        <v>11504</v>
      </c>
      <c r="L75" s="48">
        <v>11499</v>
      </c>
      <c r="N75" s="864" t="s">
        <v>4184</v>
      </c>
      <c r="Q75" s="4"/>
      <c r="S75" s="4"/>
    </row>
    <row r="76" spans="1:19">
      <c r="A76" s="864" t="s">
        <v>5798</v>
      </c>
      <c r="B76" s="864" t="s">
        <v>3340</v>
      </c>
      <c r="C76" s="4" t="s">
        <v>501</v>
      </c>
      <c r="D76" s="867">
        <v>7751</v>
      </c>
      <c r="E76" s="867">
        <v>7768</v>
      </c>
      <c r="F76" s="867">
        <v>7821</v>
      </c>
      <c r="G76" s="48">
        <v>7828</v>
      </c>
      <c r="H76" s="48">
        <v>7767</v>
      </c>
      <c r="I76" s="48">
        <v>7628</v>
      </c>
      <c r="J76" s="48">
        <v>7475</v>
      </c>
      <c r="K76" s="48">
        <v>7542</v>
      </c>
      <c r="L76" s="48">
        <v>7629</v>
      </c>
      <c r="N76" s="864" t="s">
        <v>4192</v>
      </c>
      <c r="Q76" s="4"/>
      <c r="S76" s="4"/>
    </row>
    <row r="77" spans="1:19">
      <c r="A77" s="864" t="s">
        <v>5799</v>
      </c>
      <c r="B77" s="864" t="s">
        <v>3341</v>
      </c>
      <c r="C77" s="4" t="s">
        <v>502</v>
      </c>
      <c r="D77" s="867">
        <v>11066</v>
      </c>
      <c r="E77" s="867">
        <v>11019</v>
      </c>
      <c r="F77" s="867">
        <v>11059</v>
      </c>
      <c r="G77" s="48">
        <v>11095</v>
      </c>
      <c r="H77" s="48">
        <v>11015</v>
      </c>
      <c r="I77" s="48">
        <v>10917</v>
      </c>
      <c r="J77" s="48">
        <v>10720</v>
      </c>
      <c r="K77" s="48">
        <v>10869</v>
      </c>
      <c r="L77" s="48">
        <v>10955</v>
      </c>
      <c r="N77" s="864" t="s">
        <v>4192</v>
      </c>
      <c r="Q77" s="4"/>
      <c r="S77" s="4"/>
    </row>
    <row r="78" spans="1:19">
      <c r="A78" s="864" t="s">
        <v>5801</v>
      </c>
      <c r="B78" s="864" t="s">
        <v>2514</v>
      </c>
      <c r="C78" s="4" t="s">
        <v>503</v>
      </c>
      <c r="D78" s="867">
        <v>12194</v>
      </c>
      <c r="E78" s="867">
        <v>12166</v>
      </c>
      <c r="F78" s="867">
        <v>12272</v>
      </c>
      <c r="G78" s="48">
        <v>12468</v>
      </c>
      <c r="H78" s="48">
        <v>12343</v>
      </c>
      <c r="I78" s="48">
        <v>12268</v>
      </c>
      <c r="J78" s="48">
        <v>11940</v>
      </c>
      <c r="K78" s="48">
        <v>12207</v>
      </c>
      <c r="L78" s="48">
        <v>12457</v>
      </c>
      <c r="N78" s="864" t="s">
        <v>4190</v>
      </c>
      <c r="Q78" s="4"/>
      <c r="S78" s="4"/>
    </row>
    <row r="79" spans="1:19">
      <c r="A79" s="864"/>
      <c r="B79" s="864"/>
      <c r="D79" s="867"/>
      <c r="E79" s="867"/>
      <c r="F79" s="867"/>
      <c r="G79" s="867"/>
      <c r="H79" s="867"/>
      <c r="I79" s="867"/>
      <c r="J79" s="867"/>
      <c r="K79" s="867"/>
      <c r="L79" s="867"/>
      <c r="N79" s="864"/>
    </row>
    <row r="80" spans="1:19">
      <c r="A80" s="864" t="s">
        <v>4184</v>
      </c>
      <c r="D80" s="867">
        <f t="shared" ref="D80:I80" si="89">D53+SUM(D67:D69)+D71+D73+D75</f>
        <v>79788</v>
      </c>
      <c r="E80" s="867">
        <f t="shared" si="89"/>
        <v>79775</v>
      </c>
      <c r="F80" s="867">
        <f t="shared" si="89"/>
        <v>80082</v>
      </c>
      <c r="G80" s="867">
        <f t="shared" si="89"/>
        <v>80263</v>
      </c>
      <c r="H80" s="867">
        <f t="shared" si="89"/>
        <v>80289</v>
      </c>
      <c r="I80" s="867">
        <f t="shared" si="89"/>
        <v>79095</v>
      </c>
      <c r="J80" s="867">
        <f t="shared" ref="J80:K80" si="90">J53+SUM(J67:J69)+J71+J73+J75</f>
        <v>76641</v>
      </c>
      <c r="K80" s="867">
        <f t="shared" si="90"/>
        <v>78290</v>
      </c>
      <c r="L80" s="867">
        <f t="shared" ref="L80" si="91">L53+SUM(L67:L69)+L71+L73+L75</f>
        <v>78817</v>
      </c>
    </row>
    <row r="81" spans="1:19">
      <c r="A81" s="864" t="s">
        <v>2515</v>
      </c>
      <c r="D81" s="867">
        <f t="shared" ref="D81:I81" si="92">D62+D63+D72</f>
        <v>22732</v>
      </c>
      <c r="E81" s="867">
        <f t="shared" si="92"/>
        <v>22631</v>
      </c>
      <c r="F81" s="867">
        <f t="shared" si="92"/>
        <v>22689</v>
      </c>
      <c r="G81" s="867">
        <f t="shared" si="92"/>
        <v>22849</v>
      </c>
      <c r="H81" s="867">
        <f t="shared" si="92"/>
        <v>22681</v>
      </c>
      <c r="I81" s="867">
        <f t="shared" si="92"/>
        <v>22217</v>
      </c>
      <c r="J81" s="867">
        <f t="shared" ref="J81:K81" si="93">J62+J63+J72</f>
        <v>21367</v>
      </c>
      <c r="K81" s="867">
        <f t="shared" si="93"/>
        <v>21559</v>
      </c>
      <c r="L81" s="867">
        <f t="shared" ref="L81" si="94">L62+L63+L72</f>
        <v>21498</v>
      </c>
    </row>
    <row r="82" spans="1:19">
      <c r="A82" s="864" t="s">
        <v>4190</v>
      </c>
      <c r="D82" s="867">
        <f t="shared" ref="D82:I82" si="95">SUM(D54:D56)+D60+D61+D70+D78</f>
        <v>80513</v>
      </c>
      <c r="E82" s="867">
        <f t="shared" si="95"/>
        <v>80435</v>
      </c>
      <c r="F82" s="867">
        <f t="shared" si="95"/>
        <v>80771</v>
      </c>
      <c r="G82" s="867">
        <f t="shared" si="95"/>
        <v>81234</v>
      </c>
      <c r="H82" s="867">
        <f t="shared" si="95"/>
        <v>80976</v>
      </c>
      <c r="I82" s="867">
        <f t="shared" si="95"/>
        <v>79250</v>
      </c>
      <c r="J82" s="867">
        <f t="shared" ref="J82:K82" si="96">SUM(J54:J56)+J60+J61+J70+J78</f>
        <v>77061</v>
      </c>
      <c r="K82" s="867">
        <f t="shared" si="96"/>
        <v>78344</v>
      </c>
      <c r="L82" s="867">
        <f t="shared" ref="L82" si="97">SUM(L54:L56)+L60+L61+L70+L78</f>
        <v>79349</v>
      </c>
    </row>
    <row r="83" spans="1:19">
      <c r="A83" s="864" t="s">
        <v>4192</v>
      </c>
      <c r="D83" s="867">
        <f t="shared" ref="D83:I83" si="98">SUM(D57:D59)+D65+D66+D74+D76+D77</f>
        <v>70574</v>
      </c>
      <c r="E83" s="867">
        <f t="shared" si="98"/>
        <v>70864</v>
      </c>
      <c r="F83" s="867">
        <f t="shared" si="98"/>
        <v>69898</v>
      </c>
      <c r="G83" s="867">
        <f t="shared" si="98"/>
        <v>71467</v>
      </c>
      <c r="H83" s="867">
        <f t="shared" si="98"/>
        <v>70997</v>
      </c>
      <c r="I83" s="867">
        <f t="shared" si="98"/>
        <v>69392</v>
      </c>
      <c r="J83" s="867">
        <f t="shared" ref="J83:K83" si="99">SUM(J57:J59)+J65+J66+J74+J76+J77</f>
        <v>68104</v>
      </c>
      <c r="K83" s="867">
        <f t="shared" si="99"/>
        <v>69345</v>
      </c>
      <c r="L83" s="867">
        <f t="shared" ref="L83" si="100">SUM(L57:L59)+L65+L66+L74+L76+L77</f>
        <v>69967</v>
      </c>
    </row>
    <row r="84" spans="1:19">
      <c r="A84" s="864" t="s">
        <v>2516</v>
      </c>
      <c r="D84" s="867">
        <f t="shared" ref="D84:I84" si="101">D64</f>
        <v>11689</v>
      </c>
      <c r="E84" s="867">
        <f t="shared" si="101"/>
        <v>11651</v>
      </c>
      <c r="F84" s="867">
        <f t="shared" si="101"/>
        <v>11591</v>
      </c>
      <c r="G84" s="867">
        <f t="shared" si="101"/>
        <v>11602</v>
      </c>
      <c r="H84" s="867">
        <f t="shared" si="101"/>
        <v>11514</v>
      </c>
      <c r="I84" s="867">
        <f t="shared" si="101"/>
        <v>11305</v>
      </c>
      <c r="J84" s="867">
        <f t="shared" ref="J84:K84" si="102">J64</f>
        <v>10943</v>
      </c>
      <c r="K84" s="867">
        <f t="shared" si="102"/>
        <v>11251</v>
      </c>
      <c r="L84" s="867">
        <f t="shared" ref="L84" si="103">L64</f>
        <v>11439</v>
      </c>
    </row>
    <row r="86" spans="1:19">
      <c r="A86" s="864" t="s">
        <v>2517</v>
      </c>
    </row>
    <row r="87" spans="1:19">
      <c r="A87" s="864"/>
    </row>
    <row r="88" spans="1:19">
      <c r="A88" s="864"/>
    </row>
    <row r="89" spans="1:19">
      <c r="E89" s="42" t="s">
        <v>2303</v>
      </c>
      <c r="F89" s="42"/>
      <c r="G89" s="42"/>
      <c r="H89" s="42"/>
      <c r="I89" s="42"/>
      <c r="J89" s="42"/>
      <c r="K89" s="42"/>
      <c r="L89" s="42"/>
      <c r="M89" s="65"/>
      <c r="N89" s="66" t="s">
        <v>13319</v>
      </c>
    </row>
    <row r="90" spans="1:19" ht="15" customHeight="1">
      <c r="D90" s="55">
        <v>2010</v>
      </c>
      <c r="E90" s="55">
        <v>2011</v>
      </c>
      <c r="F90" s="55">
        <v>2012</v>
      </c>
      <c r="G90" s="55">
        <v>2013</v>
      </c>
      <c r="H90" s="55">
        <v>2014</v>
      </c>
      <c r="I90" s="55">
        <v>2015</v>
      </c>
      <c r="J90" s="55">
        <v>2016</v>
      </c>
      <c r="K90" s="55">
        <v>2017</v>
      </c>
      <c r="L90" s="55">
        <v>2018</v>
      </c>
      <c r="M90" s="65"/>
      <c r="N90" s="67" t="s">
        <v>2304</v>
      </c>
    </row>
    <row r="91" spans="1:19">
      <c r="A91" s="864" t="s">
        <v>2518</v>
      </c>
      <c r="D91" s="867">
        <f t="shared" ref="D91:I91" si="104">SUM(D92:D114)</f>
        <v>180755</v>
      </c>
      <c r="E91" s="867">
        <f t="shared" si="104"/>
        <v>182950</v>
      </c>
      <c r="F91" s="867">
        <f t="shared" si="104"/>
        <v>183658</v>
      </c>
      <c r="G91" s="867">
        <f t="shared" si="104"/>
        <v>183976</v>
      </c>
      <c r="H91" s="867">
        <f t="shared" si="104"/>
        <v>184098</v>
      </c>
      <c r="I91" s="867">
        <f t="shared" si="104"/>
        <v>174136</v>
      </c>
      <c r="J91" s="867">
        <f t="shared" ref="J91:K91" si="105">SUM(J92:J114)</f>
        <v>175422</v>
      </c>
      <c r="K91" s="867">
        <f t="shared" si="105"/>
        <v>178544</v>
      </c>
      <c r="L91" s="867">
        <f t="shared" ref="L91" si="106">SUM(L92:L114)</f>
        <v>175412</v>
      </c>
    </row>
    <row r="92" spans="1:19">
      <c r="A92" s="864" t="s">
        <v>6957</v>
      </c>
      <c r="B92" s="864" t="s">
        <v>2519</v>
      </c>
      <c r="C92" s="4" t="s">
        <v>455</v>
      </c>
      <c r="D92" s="867">
        <v>8924</v>
      </c>
      <c r="E92" s="867">
        <v>9163</v>
      </c>
      <c r="F92" s="867">
        <v>9260</v>
      </c>
      <c r="G92" s="30">
        <v>9220</v>
      </c>
      <c r="H92" s="30">
        <v>9240</v>
      </c>
      <c r="I92" s="30">
        <v>8240</v>
      </c>
      <c r="J92" s="30">
        <v>8525</v>
      </c>
      <c r="K92" s="30">
        <v>8706</v>
      </c>
      <c r="L92" s="30">
        <v>8378</v>
      </c>
      <c r="N92" s="864" t="s">
        <v>4195</v>
      </c>
      <c r="Q92" s="4"/>
      <c r="S92" s="4"/>
    </row>
    <row r="93" spans="1:19">
      <c r="A93" s="864" t="s">
        <v>6959</v>
      </c>
      <c r="B93" s="864" t="s">
        <v>2520</v>
      </c>
      <c r="C93" s="4" t="s">
        <v>456</v>
      </c>
      <c r="D93" s="867">
        <v>6719</v>
      </c>
      <c r="E93" s="867">
        <v>6807</v>
      </c>
      <c r="F93" s="867">
        <v>6704</v>
      </c>
      <c r="G93" s="30">
        <v>6746</v>
      </c>
      <c r="H93" s="30">
        <v>6616</v>
      </c>
      <c r="I93" s="30">
        <v>6310</v>
      </c>
      <c r="J93" s="30">
        <v>6321</v>
      </c>
      <c r="K93" s="30">
        <v>6275</v>
      </c>
      <c r="L93" s="30">
        <v>6262</v>
      </c>
      <c r="N93" s="864" t="s">
        <v>4195</v>
      </c>
      <c r="Q93" s="4"/>
      <c r="S93" s="4"/>
    </row>
    <row r="94" spans="1:19">
      <c r="A94" s="864" t="s">
        <v>6961</v>
      </c>
      <c r="B94" s="864" t="s">
        <v>2521</v>
      </c>
      <c r="C94" s="4" t="s">
        <v>457</v>
      </c>
      <c r="D94" s="867">
        <v>9507</v>
      </c>
      <c r="E94" s="867">
        <v>9594</v>
      </c>
      <c r="F94" s="867">
        <v>9603</v>
      </c>
      <c r="G94" s="31">
        <v>9616</v>
      </c>
      <c r="H94" s="31">
        <v>9600</v>
      </c>
      <c r="I94" s="31">
        <v>9458</v>
      </c>
      <c r="J94" s="31">
        <v>9463</v>
      </c>
      <c r="K94" s="31">
        <v>9649</v>
      </c>
      <c r="L94" s="31">
        <v>9576</v>
      </c>
      <c r="N94" s="864" t="s">
        <v>4196</v>
      </c>
      <c r="Q94" s="4"/>
      <c r="S94" s="4"/>
    </row>
    <row r="95" spans="1:19">
      <c r="A95" s="864" t="s">
        <v>6963</v>
      </c>
      <c r="B95" s="864" t="s">
        <v>3462</v>
      </c>
      <c r="C95" s="4" t="s">
        <v>458</v>
      </c>
      <c r="D95" s="867">
        <v>6764</v>
      </c>
      <c r="E95" s="867">
        <v>6763</v>
      </c>
      <c r="F95" s="867">
        <v>6865</v>
      </c>
      <c r="G95" s="30">
        <v>6933</v>
      </c>
      <c r="H95" s="30">
        <v>7062</v>
      </c>
      <c r="I95" s="30">
        <v>6747</v>
      </c>
      <c r="J95" s="30">
        <v>6875</v>
      </c>
      <c r="K95" s="30">
        <v>6972</v>
      </c>
      <c r="L95" s="30">
        <v>6869</v>
      </c>
      <c r="N95" s="864" t="s">
        <v>4195</v>
      </c>
      <c r="Q95" s="4"/>
      <c r="S95" s="4"/>
    </row>
    <row r="96" spans="1:19">
      <c r="A96" s="864" t="s">
        <v>6965</v>
      </c>
      <c r="B96" s="864" t="s">
        <v>3463</v>
      </c>
      <c r="C96" s="4" t="s">
        <v>459</v>
      </c>
      <c r="D96" s="867">
        <v>5962</v>
      </c>
      <c r="E96" s="867">
        <v>6023</v>
      </c>
      <c r="F96" s="867">
        <v>6096</v>
      </c>
      <c r="G96" s="30">
        <v>6170</v>
      </c>
      <c r="H96" s="30">
        <v>6106</v>
      </c>
      <c r="I96" s="30">
        <v>5958</v>
      </c>
      <c r="J96" s="30">
        <v>5921</v>
      </c>
      <c r="K96" s="30">
        <v>6076</v>
      </c>
      <c r="L96" s="30">
        <v>5952</v>
      </c>
      <c r="N96" s="864" t="s">
        <v>4195</v>
      </c>
      <c r="Q96" s="4"/>
      <c r="S96" s="4"/>
    </row>
    <row r="97" spans="1:19">
      <c r="A97" s="864" t="s">
        <v>6997</v>
      </c>
      <c r="B97" s="864" t="s">
        <v>3464</v>
      </c>
      <c r="C97" s="4" t="s">
        <v>460</v>
      </c>
      <c r="D97" s="867">
        <v>6531</v>
      </c>
      <c r="E97" s="867">
        <v>6567</v>
      </c>
      <c r="F97" s="867">
        <v>6585</v>
      </c>
      <c r="G97" s="30">
        <v>6578</v>
      </c>
      <c r="H97" s="30">
        <v>6510</v>
      </c>
      <c r="I97" s="30">
        <v>6377</v>
      </c>
      <c r="J97" s="30">
        <v>6221</v>
      </c>
      <c r="K97" s="30">
        <v>6232</v>
      </c>
      <c r="L97" s="30">
        <v>6178</v>
      </c>
      <c r="N97" s="864" t="s">
        <v>4195</v>
      </c>
      <c r="Q97" s="4"/>
      <c r="S97" s="4"/>
    </row>
    <row r="98" spans="1:19">
      <c r="A98" s="864" t="s">
        <v>6999</v>
      </c>
      <c r="B98" s="864" t="s">
        <v>3465</v>
      </c>
      <c r="C98" s="4" t="s">
        <v>461</v>
      </c>
      <c r="D98" s="867">
        <v>8950</v>
      </c>
      <c r="E98" s="867">
        <v>8988</v>
      </c>
      <c r="F98" s="867">
        <v>8985</v>
      </c>
      <c r="G98" s="31">
        <v>8990</v>
      </c>
      <c r="H98" s="31">
        <v>9004</v>
      </c>
      <c r="I98" s="31">
        <v>8848</v>
      </c>
      <c r="J98" s="31">
        <v>8746</v>
      </c>
      <c r="K98" s="31">
        <v>8720</v>
      </c>
      <c r="L98" s="31">
        <v>8593</v>
      </c>
      <c r="N98" s="864" t="s">
        <v>4196</v>
      </c>
      <c r="Q98" s="4"/>
      <c r="S98" s="4"/>
    </row>
    <row r="99" spans="1:19">
      <c r="A99" s="864" t="s">
        <v>7001</v>
      </c>
      <c r="B99" s="864" t="s">
        <v>3466</v>
      </c>
      <c r="C99" s="4" t="s">
        <v>462</v>
      </c>
      <c r="D99" s="867">
        <v>9279</v>
      </c>
      <c r="E99" s="867">
        <v>9429</v>
      </c>
      <c r="F99" s="867">
        <v>9432</v>
      </c>
      <c r="G99" s="30">
        <v>9391</v>
      </c>
      <c r="H99" s="30">
        <v>9412</v>
      </c>
      <c r="I99" s="30">
        <v>8791</v>
      </c>
      <c r="J99" s="30">
        <v>8898</v>
      </c>
      <c r="K99" s="30">
        <v>9180</v>
      </c>
      <c r="L99" s="30">
        <v>8889</v>
      </c>
      <c r="N99" s="864" t="s">
        <v>4193</v>
      </c>
      <c r="Q99" s="4"/>
      <c r="S99" s="4"/>
    </row>
    <row r="100" spans="1:19">
      <c r="A100" s="864" t="s">
        <v>7003</v>
      </c>
      <c r="B100" s="864" t="s">
        <v>3467</v>
      </c>
      <c r="C100" s="4" t="s">
        <v>463</v>
      </c>
      <c r="D100" s="867">
        <v>10117</v>
      </c>
      <c r="E100" s="867">
        <v>10173</v>
      </c>
      <c r="F100" s="867">
        <v>10227</v>
      </c>
      <c r="G100" s="30">
        <v>10189</v>
      </c>
      <c r="H100" s="30">
        <v>10164</v>
      </c>
      <c r="I100" s="30">
        <v>9881</v>
      </c>
      <c r="J100" s="30">
        <v>9781</v>
      </c>
      <c r="K100" s="30">
        <v>9993</v>
      </c>
      <c r="L100" s="30">
        <v>9885</v>
      </c>
      <c r="N100" s="864" t="s">
        <v>4193</v>
      </c>
      <c r="Q100" s="4"/>
      <c r="S100" s="4"/>
    </row>
    <row r="101" spans="1:19">
      <c r="A101" s="864" t="s">
        <v>7005</v>
      </c>
      <c r="B101" s="864" t="s">
        <v>3468</v>
      </c>
      <c r="C101" s="4" t="s">
        <v>464</v>
      </c>
      <c r="D101" s="867">
        <v>9556</v>
      </c>
      <c r="E101" s="867">
        <v>9399</v>
      </c>
      <c r="F101" s="867">
        <v>9507</v>
      </c>
      <c r="G101" s="30">
        <v>9535</v>
      </c>
      <c r="H101" s="30">
        <v>9448</v>
      </c>
      <c r="I101" s="30">
        <v>9360</v>
      </c>
      <c r="J101" s="30">
        <v>9255</v>
      </c>
      <c r="K101" s="30">
        <v>9370</v>
      </c>
      <c r="L101" s="30">
        <v>9364</v>
      </c>
      <c r="N101" s="864" t="s">
        <v>4193</v>
      </c>
      <c r="Q101" s="4"/>
      <c r="S101" s="4"/>
    </row>
    <row r="102" spans="1:19">
      <c r="A102" s="864" t="s">
        <v>7007</v>
      </c>
      <c r="B102" s="865" t="s">
        <v>3469</v>
      </c>
      <c r="C102" s="4" t="s">
        <v>465</v>
      </c>
      <c r="D102" s="867">
        <v>6984</v>
      </c>
      <c r="E102" s="867">
        <v>7306</v>
      </c>
      <c r="F102" s="867">
        <v>7595</v>
      </c>
      <c r="G102" s="30">
        <v>7945</v>
      </c>
      <c r="H102" s="30">
        <v>8351</v>
      </c>
      <c r="I102" s="30">
        <v>8409</v>
      </c>
      <c r="J102" s="30">
        <v>8700</v>
      </c>
      <c r="K102" s="30">
        <v>9223</v>
      </c>
      <c r="L102" s="30">
        <v>9433</v>
      </c>
      <c r="N102" s="864" t="s">
        <v>4195</v>
      </c>
      <c r="Q102" s="4"/>
      <c r="S102" s="4"/>
    </row>
    <row r="103" spans="1:19">
      <c r="A103" s="864" t="s">
        <v>7009</v>
      </c>
      <c r="B103" s="864" t="s">
        <v>3470</v>
      </c>
      <c r="C103" s="4" t="s">
        <v>466</v>
      </c>
      <c r="D103" s="867">
        <v>8613</v>
      </c>
      <c r="E103" s="867">
        <v>8679</v>
      </c>
      <c r="F103" s="867">
        <v>8712</v>
      </c>
      <c r="G103" s="30">
        <v>8773</v>
      </c>
      <c r="H103" s="30">
        <v>8692</v>
      </c>
      <c r="I103" s="30">
        <v>8469</v>
      </c>
      <c r="J103" s="30">
        <v>8430</v>
      </c>
      <c r="K103" s="30">
        <v>8539</v>
      </c>
      <c r="L103" s="30">
        <v>8425</v>
      </c>
      <c r="N103" s="864" t="s">
        <v>4193</v>
      </c>
      <c r="Q103" s="4"/>
      <c r="S103" s="4"/>
    </row>
    <row r="104" spans="1:19">
      <c r="A104" s="864" t="s">
        <v>7011</v>
      </c>
      <c r="B104" s="864" t="s">
        <v>2595</v>
      </c>
      <c r="C104" s="4" t="s">
        <v>467</v>
      </c>
      <c r="D104" s="867">
        <v>9098</v>
      </c>
      <c r="E104" s="867">
        <v>9150</v>
      </c>
      <c r="F104" s="867">
        <v>9163</v>
      </c>
      <c r="G104" s="30">
        <v>9149</v>
      </c>
      <c r="H104" s="30">
        <v>9211</v>
      </c>
      <c r="I104" s="30">
        <v>8742</v>
      </c>
      <c r="J104" s="30">
        <v>8643</v>
      </c>
      <c r="K104" s="30">
        <v>8790</v>
      </c>
      <c r="L104" s="30">
        <v>8643</v>
      </c>
      <c r="N104" s="864" t="s">
        <v>4193</v>
      </c>
      <c r="Q104" s="4"/>
      <c r="S104" s="4"/>
    </row>
    <row r="105" spans="1:19">
      <c r="A105" s="864" t="s">
        <v>7013</v>
      </c>
      <c r="B105" s="864" t="s">
        <v>2596</v>
      </c>
      <c r="C105" s="4" t="s">
        <v>468</v>
      </c>
      <c r="D105" s="867">
        <v>9272</v>
      </c>
      <c r="E105" s="867">
        <v>9450</v>
      </c>
      <c r="F105" s="867">
        <v>9357</v>
      </c>
      <c r="G105" s="31">
        <v>9424</v>
      </c>
      <c r="H105" s="31">
        <v>9430</v>
      </c>
      <c r="I105" s="31">
        <v>8078</v>
      </c>
      <c r="J105" s="31">
        <v>8292</v>
      </c>
      <c r="K105" s="31">
        <v>8762</v>
      </c>
      <c r="L105" s="31">
        <v>8611</v>
      </c>
      <c r="N105" s="864" t="s">
        <v>4196</v>
      </c>
      <c r="Q105" s="4"/>
      <c r="S105" s="4"/>
    </row>
    <row r="106" spans="1:19">
      <c r="A106" s="864" t="s">
        <v>7015</v>
      </c>
      <c r="B106" s="864" t="s">
        <v>2597</v>
      </c>
      <c r="C106" s="4" t="s">
        <v>469</v>
      </c>
      <c r="D106" s="867">
        <v>7844</v>
      </c>
      <c r="E106" s="867">
        <v>7686</v>
      </c>
      <c r="F106" s="867">
        <v>7541</v>
      </c>
      <c r="G106" s="31">
        <v>7557</v>
      </c>
      <c r="H106" s="31">
        <v>7583</v>
      </c>
      <c r="I106" s="31">
        <v>7278</v>
      </c>
      <c r="J106" s="31">
        <v>7426</v>
      </c>
      <c r="K106" s="31">
        <v>7697</v>
      </c>
      <c r="L106" s="31">
        <v>7742</v>
      </c>
      <c r="N106" s="864" t="s">
        <v>4196</v>
      </c>
      <c r="Q106" s="4"/>
      <c r="S106" s="4"/>
    </row>
    <row r="107" spans="1:19">
      <c r="A107" s="864" t="s">
        <v>7017</v>
      </c>
      <c r="B107" s="864" t="s">
        <v>2598</v>
      </c>
      <c r="C107" s="4" t="s">
        <v>470</v>
      </c>
      <c r="D107" s="867">
        <v>6083</v>
      </c>
      <c r="E107" s="867">
        <v>6602</v>
      </c>
      <c r="F107" s="867">
        <v>6933</v>
      </c>
      <c r="G107" s="30">
        <v>6677</v>
      </c>
      <c r="H107" s="30">
        <v>6760</v>
      </c>
      <c r="I107" s="30">
        <v>5017</v>
      </c>
      <c r="J107" s="30">
        <v>5455</v>
      </c>
      <c r="K107" s="30">
        <v>5555</v>
      </c>
      <c r="L107" s="30">
        <v>4920</v>
      </c>
      <c r="N107" s="864" t="s">
        <v>4195</v>
      </c>
      <c r="Q107" s="4"/>
      <c r="S107" s="4"/>
    </row>
    <row r="108" spans="1:19">
      <c r="A108" s="864" t="s">
        <v>7019</v>
      </c>
      <c r="B108" s="864" t="s">
        <v>2599</v>
      </c>
      <c r="C108" s="4" t="s">
        <v>471</v>
      </c>
      <c r="D108" s="867">
        <v>9056</v>
      </c>
      <c r="E108" s="867">
        <v>9137</v>
      </c>
      <c r="F108" s="867">
        <v>9072</v>
      </c>
      <c r="G108" s="31">
        <v>9043</v>
      </c>
      <c r="H108" s="31">
        <v>8967</v>
      </c>
      <c r="I108" s="31">
        <v>8758</v>
      </c>
      <c r="J108" s="31">
        <v>8834</v>
      </c>
      <c r="K108" s="31">
        <v>8722</v>
      </c>
      <c r="L108" s="31">
        <v>8693</v>
      </c>
      <c r="N108" s="864" t="s">
        <v>4195</v>
      </c>
      <c r="Q108" s="4"/>
      <c r="S108" s="4"/>
    </row>
    <row r="109" spans="1:19">
      <c r="A109" s="864" t="s">
        <v>7021</v>
      </c>
      <c r="B109" s="864" t="s">
        <v>2600</v>
      </c>
      <c r="C109" s="4" t="s">
        <v>472</v>
      </c>
      <c r="D109" s="867">
        <v>8972</v>
      </c>
      <c r="E109" s="867">
        <v>8990</v>
      </c>
      <c r="F109" s="867">
        <v>8968</v>
      </c>
      <c r="G109" s="31">
        <v>9004</v>
      </c>
      <c r="H109" s="31">
        <v>8994</v>
      </c>
      <c r="I109" s="31">
        <v>8728</v>
      </c>
      <c r="J109" s="31">
        <v>8725</v>
      </c>
      <c r="K109" s="31">
        <v>8667</v>
      </c>
      <c r="L109" s="31">
        <v>8514</v>
      </c>
      <c r="N109" s="864" t="s">
        <v>4196</v>
      </c>
      <c r="Q109" s="4"/>
      <c r="S109" s="4"/>
    </row>
    <row r="110" spans="1:19">
      <c r="A110" s="864" t="s">
        <v>7023</v>
      </c>
      <c r="B110" s="864" t="s">
        <v>4082</v>
      </c>
      <c r="C110" s="4" t="s">
        <v>473</v>
      </c>
      <c r="D110" s="867">
        <v>4713</v>
      </c>
      <c r="E110" s="867">
        <v>4873</v>
      </c>
      <c r="F110" s="867">
        <v>5069</v>
      </c>
      <c r="G110" s="31">
        <v>5044</v>
      </c>
      <c r="H110" s="31">
        <v>5016</v>
      </c>
      <c r="I110" s="31">
        <v>4539</v>
      </c>
      <c r="J110" s="31">
        <v>4688</v>
      </c>
      <c r="K110" s="31">
        <v>4822</v>
      </c>
      <c r="L110" s="31">
        <v>4606</v>
      </c>
      <c r="N110" s="864" t="s">
        <v>4196</v>
      </c>
      <c r="Q110" s="4"/>
      <c r="S110" s="4"/>
    </row>
    <row r="111" spans="1:19">
      <c r="A111" s="864" t="s">
        <v>7025</v>
      </c>
      <c r="B111" s="864" t="s">
        <v>2601</v>
      </c>
      <c r="C111" s="4" t="s">
        <v>474</v>
      </c>
      <c r="D111" s="867">
        <v>5704</v>
      </c>
      <c r="E111" s="867">
        <v>5708</v>
      </c>
      <c r="F111" s="867">
        <v>5701</v>
      </c>
      <c r="G111" s="30">
        <v>5733</v>
      </c>
      <c r="H111" s="30">
        <v>5726</v>
      </c>
      <c r="I111" s="30">
        <v>5446</v>
      </c>
      <c r="J111" s="30">
        <v>5309</v>
      </c>
      <c r="K111" s="30">
        <v>5315</v>
      </c>
      <c r="L111" s="30">
        <v>5157</v>
      </c>
      <c r="N111" s="864" t="s">
        <v>4193</v>
      </c>
      <c r="Q111" s="4"/>
      <c r="S111" s="4"/>
    </row>
    <row r="112" spans="1:19">
      <c r="A112" s="871">
        <v>21</v>
      </c>
      <c r="B112" s="864" t="s">
        <v>2621</v>
      </c>
      <c r="C112" s="4" t="s">
        <v>475</v>
      </c>
      <c r="D112" s="867">
        <v>5977</v>
      </c>
      <c r="E112" s="867">
        <v>5966</v>
      </c>
      <c r="F112" s="867">
        <v>5926</v>
      </c>
      <c r="G112" s="30">
        <v>5936</v>
      </c>
      <c r="H112" s="30">
        <v>5832</v>
      </c>
      <c r="I112" s="30">
        <v>5472</v>
      </c>
      <c r="J112" s="30">
        <v>5490</v>
      </c>
      <c r="K112" s="30">
        <v>5556</v>
      </c>
      <c r="L112" s="30">
        <v>5445</v>
      </c>
      <c r="N112" s="864" t="s">
        <v>4193</v>
      </c>
      <c r="Q112" s="4"/>
      <c r="S112" s="4"/>
    </row>
    <row r="113" spans="1:19">
      <c r="A113" s="871">
        <v>22</v>
      </c>
      <c r="B113" s="864" t="s">
        <v>8811</v>
      </c>
      <c r="C113" s="4" t="s">
        <v>476</v>
      </c>
      <c r="D113" s="867">
        <v>9680</v>
      </c>
      <c r="E113" s="867">
        <v>9646</v>
      </c>
      <c r="F113" s="867">
        <v>9693</v>
      </c>
      <c r="G113" s="30">
        <v>9659</v>
      </c>
      <c r="H113" s="30">
        <v>9616</v>
      </c>
      <c r="I113" s="30">
        <v>9215</v>
      </c>
      <c r="J113" s="30">
        <v>9164</v>
      </c>
      <c r="K113" s="30">
        <v>9399</v>
      </c>
      <c r="L113" s="30">
        <v>9224</v>
      </c>
      <c r="N113" s="864" t="s">
        <v>4193</v>
      </c>
      <c r="Q113" s="4"/>
      <c r="S113" s="4"/>
    </row>
    <row r="114" spans="1:19">
      <c r="A114" s="871">
        <v>23</v>
      </c>
      <c r="B114" s="864" t="s">
        <v>2725</v>
      </c>
      <c r="C114" s="4" t="s">
        <v>477</v>
      </c>
      <c r="D114" s="867">
        <v>6450</v>
      </c>
      <c r="E114" s="867">
        <v>6851</v>
      </c>
      <c r="F114" s="867">
        <v>6664</v>
      </c>
      <c r="G114" s="31">
        <v>6664</v>
      </c>
      <c r="H114" s="31">
        <v>6758</v>
      </c>
      <c r="I114" s="31">
        <v>6015</v>
      </c>
      <c r="J114" s="31">
        <v>6260</v>
      </c>
      <c r="K114" s="31">
        <v>6324</v>
      </c>
      <c r="L114" s="31">
        <v>6053</v>
      </c>
      <c r="N114" s="864" t="s">
        <v>4195</v>
      </c>
      <c r="Q114" s="4"/>
      <c r="S114" s="4"/>
    </row>
    <row r="115" spans="1:19">
      <c r="D115" s="869"/>
      <c r="E115" s="869"/>
      <c r="F115" s="869"/>
      <c r="G115" s="869"/>
      <c r="H115" s="869"/>
      <c r="I115" s="869"/>
      <c r="J115" s="869"/>
      <c r="K115" s="869"/>
      <c r="L115" s="869"/>
    </row>
    <row r="116" spans="1:19">
      <c r="A116" s="864" t="s">
        <v>4193</v>
      </c>
      <c r="D116" s="867">
        <f t="shared" ref="D116:I116" si="107">SUM(D99:D101)+D103+D104+SUM(D111:D113)</f>
        <v>68024</v>
      </c>
      <c r="E116" s="867">
        <f t="shared" si="107"/>
        <v>68150</v>
      </c>
      <c r="F116" s="867">
        <f t="shared" si="107"/>
        <v>68361</v>
      </c>
      <c r="G116" s="867">
        <f t="shared" si="107"/>
        <v>68365</v>
      </c>
      <c r="H116" s="867">
        <f t="shared" si="107"/>
        <v>68101</v>
      </c>
      <c r="I116" s="867">
        <f t="shared" si="107"/>
        <v>65376</v>
      </c>
      <c r="J116" s="867">
        <f t="shared" ref="J116:K116" si="108">SUM(J99:J101)+J103+J104+SUM(J111:J113)</f>
        <v>64970</v>
      </c>
      <c r="K116" s="867">
        <f t="shared" si="108"/>
        <v>66142</v>
      </c>
      <c r="L116" s="867">
        <f t="shared" ref="L116" si="109">SUM(L99:L101)+L103+L104+SUM(L111:L113)</f>
        <v>65032</v>
      </c>
    </row>
    <row r="117" spans="1:19">
      <c r="A117" s="864" t="s">
        <v>4195</v>
      </c>
      <c r="D117" s="867">
        <f t="shared" ref="D117:I117" si="110">D92+D93+SUM(D95:D97)+D102+D107+D108+D114</f>
        <v>63473</v>
      </c>
      <c r="E117" s="867">
        <f t="shared" si="110"/>
        <v>65219</v>
      </c>
      <c r="F117" s="867">
        <f t="shared" si="110"/>
        <v>65774</v>
      </c>
      <c r="G117" s="867">
        <f t="shared" si="110"/>
        <v>65976</v>
      </c>
      <c r="H117" s="867">
        <f t="shared" si="110"/>
        <v>66370</v>
      </c>
      <c r="I117" s="867">
        <f t="shared" si="110"/>
        <v>61831</v>
      </c>
      <c r="J117" s="867">
        <f t="shared" ref="J117:K117" si="111">J92+J93+SUM(J95:J97)+J102+J107+J108+J114</f>
        <v>63112</v>
      </c>
      <c r="K117" s="867">
        <f t="shared" si="111"/>
        <v>64085</v>
      </c>
      <c r="L117" s="867">
        <f t="shared" ref="L117" si="112">L92+L93+SUM(L95:L97)+L102+L107+L108+L114</f>
        <v>62738</v>
      </c>
    </row>
    <row r="118" spans="1:19">
      <c r="A118" s="864" t="s">
        <v>2516</v>
      </c>
      <c r="D118" s="867">
        <f t="shared" ref="D118:I118" si="113">D94+D98+D105+D106+D109+D110</f>
        <v>49258</v>
      </c>
      <c r="E118" s="867">
        <f t="shared" si="113"/>
        <v>49581</v>
      </c>
      <c r="F118" s="867">
        <f t="shared" si="113"/>
        <v>49523</v>
      </c>
      <c r="G118" s="867">
        <f t="shared" si="113"/>
        <v>49635</v>
      </c>
      <c r="H118" s="867">
        <f t="shared" si="113"/>
        <v>49627</v>
      </c>
      <c r="I118" s="867">
        <f t="shared" si="113"/>
        <v>46929</v>
      </c>
      <c r="J118" s="867">
        <f t="shared" ref="J118:K118" si="114">J94+J98+J105+J106+J109+J110</f>
        <v>47340</v>
      </c>
      <c r="K118" s="867">
        <f t="shared" si="114"/>
        <v>48317</v>
      </c>
      <c r="L118" s="867">
        <f t="shared" ref="L118" si="115">L94+L98+L105+L106+L109+L110</f>
        <v>47642</v>
      </c>
    </row>
    <row r="119" spans="1:19">
      <c r="A119" s="864"/>
      <c r="B119" s="864"/>
      <c r="D119" s="872"/>
      <c r="E119" s="872"/>
      <c r="F119" s="872"/>
      <c r="G119" s="872"/>
      <c r="H119" s="872"/>
      <c r="I119" s="872"/>
      <c r="J119" s="872"/>
      <c r="K119" s="872"/>
      <c r="L119" s="872"/>
    </row>
    <row r="120" spans="1:19">
      <c r="A120" s="864" t="s">
        <v>2622</v>
      </c>
    </row>
    <row r="121" spans="1:19">
      <c r="A121" s="864"/>
    </row>
    <row r="122" spans="1:19">
      <c r="A122" s="864"/>
    </row>
    <row r="123" spans="1:19">
      <c r="E123" s="42" t="s">
        <v>2303</v>
      </c>
      <c r="F123" s="42"/>
      <c r="G123" s="42"/>
      <c r="H123" s="42"/>
      <c r="I123" s="42"/>
      <c r="J123" s="42"/>
      <c r="K123" s="42"/>
      <c r="L123" s="42"/>
      <c r="M123" s="65"/>
      <c r="N123" s="66" t="s">
        <v>13319</v>
      </c>
    </row>
    <row r="124" spans="1:19">
      <c r="D124" s="55">
        <v>2010</v>
      </c>
      <c r="E124" s="55">
        <v>2011</v>
      </c>
      <c r="F124" s="55">
        <v>2012</v>
      </c>
      <c r="G124" s="55">
        <v>2013</v>
      </c>
      <c r="H124" s="55">
        <v>2014</v>
      </c>
      <c r="I124" s="55">
        <v>2015</v>
      </c>
      <c r="J124" s="55">
        <v>2016</v>
      </c>
      <c r="K124" s="55">
        <v>2017</v>
      </c>
      <c r="L124" s="55">
        <v>2018</v>
      </c>
      <c r="M124" s="65"/>
      <c r="N124" s="67" t="s">
        <v>2304</v>
      </c>
    </row>
    <row r="125" spans="1:19">
      <c r="A125" s="864" t="s">
        <v>4207</v>
      </c>
      <c r="D125" s="867">
        <f t="shared" ref="D125:I125" si="116">SUM(D126:D140)</f>
        <v>115415</v>
      </c>
      <c r="E125" s="867">
        <f t="shared" si="116"/>
        <v>115806</v>
      </c>
      <c r="F125" s="867">
        <f t="shared" si="116"/>
        <v>116307</v>
      </c>
      <c r="G125" s="867">
        <f t="shared" si="116"/>
        <v>115755</v>
      </c>
      <c r="H125" s="867">
        <f t="shared" si="116"/>
        <v>114083</v>
      </c>
      <c r="I125" s="867">
        <f t="shared" si="116"/>
        <v>109553</v>
      </c>
      <c r="J125" s="867">
        <f t="shared" ref="J125:K125" si="117">SUM(J126:J140)</f>
        <v>112541</v>
      </c>
      <c r="K125" s="867">
        <f t="shared" si="117"/>
        <v>117081</v>
      </c>
      <c r="L125" s="867">
        <f t="shared" ref="L125" si="118">SUM(L126:L140)</f>
        <v>115876</v>
      </c>
    </row>
    <row r="126" spans="1:19">
      <c r="A126" s="864" t="s">
        <v>6957</v>
      </c>
      <c r="B126" s="864" t="s">
        <v>2623</v>
      </c>
      <c r="C126" s="4" t="s">
        <v>504</v>
      </c>
      <c r="D126" s="867">
        <v>8625</v>
      </c>
      <c r="E126" s="867">
        <v>8653</v>
      </c>
      <c r="F126" s="867">
        <v>8642</v>
      </c>
      <c r="G126" s="867">
        <v>8661</v>
      </c>
      <c r="H126" s="48">
        <v>8591</v>
      </c>
      <c r="I126" s="48">
        <v>8186</v>
      </c>
      <c r="J126" s="48">
        <v>8502</v>
      </c>
      <c r="K126" s="48">
        <v>8892</v>
      </c>
      <c r="L126" s="48">
        <v>8790</v>
      </c>
      <c r="N126" s="864" t="s">
        <v>4188</v>
      </c>
      <c r="Q126" s="4"/>
      <c r="S126" s="4"/>
    </row>
    <row r="127" spans="1:19">
      <c r="A127" s="864" t="s">
        <v>6959</v>
      </c>
      <c r="B127" s="864" t="s">
        <v>2624</v>
      </c>
      <c r="C127" s="4" t="s">
        <v>505</v>
      </c>
      <c r="D127" s="867">
        <v>7342</v>
      </c>
      <c r="E127" s="867">
        <v>7364</v>
      </c>
      <c r="F127" s="867">
        <v>7318</v>
      </c>
      <c r="G127" s="867">
        <v>7196</v>
      </c>
      <c r="H127" s="48">
        <v>7065</v>
      </c>
      <c r="I127" s="48">
        <v>6420</v>
      </c>
      <c r="J127" s="48">
        <v>6268</v>
      </c>
      <c r="K127" s="48">
        <v>6511</v>
      </c>
      <c r="L127" s="48">
        <v>6539</v>
      </c>
      <c r="N127" s="864" t="s">
        <v>4191</v>
      </c>
      <c r="Q127" s="4"/>
      <c r="S127" s="4"/>
    </row>
    <row r="128" spans="1:19">
      <c r="A128" s="864" t="s">
        <v>6961</v>
      </c>
      <c r="B128" s="864" t="s">
        <v>2625</v>
      </c>
      <c r="C128" s="4" t="s">
        <v>506</v>
      </c>
      <c r="D128" s="867">
        <v>7502</v>
      </c>
      <c r="E128" s="867">
        <v>7479</v>
      </c>
      <c r="F128" s="867">
        <v>7421</v>
      </c>
      <c r="G128" s="867">
        <v>7421</v>
      </c>
      <c r="H128" s="48">
        <v>7375</v>
      </c>
      <c r="I128" s="48">
        <v>7113</v>
      </c>
      <c r="J128" s="48">
        <v>7204</v>
      </c>
      <c r="K128" s="48">
        <v>7415</v>
      </c>
      <c r="L128" s="48">
        <v>7307</v>
      </c>
      <c r="N128" s="864" t="s">
        <v>4191</v>
      </c>
      <c r="Q128" s="4"/>
      <c r="S128" s="4"/>
    </row>
    <row r="129" spans="1:19">
      <c r="A129" s="864" t="s">
        <v>6963</v>
      </c>
      <c r="B129" s="864" t="s">
        <v>2626</v>
      </c>
      <c r="C129" s="4" t="s">
        <v>507</v>
      </c>
      <c r="D129" s="867">
        <v>8181</v>
      </c>
      <c r="E129" s="867">
        <v>8140</v>
      </c>
      <c r="F129" s="867">
        <v>8192</v>
      </c>
      <c r="G129" s="867">
        <v>8193</v>
      </c>
      <c r="H129" s="48">
        <v>8203</v>
      </c>
      <c r="I129" s="48">
        <v>8098</v>
      </c>
      <c r="J129" s="48">
        <v>8218</v>
      </c>
      <c r="K129" s="48">
        <v>8332</v>
      </c>
      <c r="L129" s="48">
        <v>8252</v>
      </c>
      <c r="N129" s="864" t="s">
        <v>4188</v>
      </c>
      <c r="Q129" s="4"/>
      <c r="S129" s="4"/>
    </row>
    <row r="130" spans="1:19">
      <c r="A130" s="864" t="s">
        <v>6965</v>
      </c>
      <c r="B130" s="864" t="s">
        <v>2627</v>
      </c>
      <c r="C130" s="4" t="s">
        <v>508</v>
      </c>
      <c r="D130" s="867">
        <v>8148</v>
      </c>
      <c r="E130" s="867">
        <v>8255</v>
      </c>
      <c r="F130" s="867">
        <v>8283</v>
      </c>
      <c r="G130" s="867">
        <v>8198</v>
      </c>
      <c r="H130" s="48">
        <v>7984</v>
      </c>
      <c r="I130" s="48">
        <v>7552</v>
      </c>
      <c r="J130" s="48">
        <v>7717</v>
      </c>
      <c r="K130" s="48">
        <v>8053</v>
      </c>
      <c r="L130" s="48">
        <v>7959</v>
      </c>
      <c r="N130" s="864" t="s">
        <v>4191</v>
      </c>
      <c r="Q130" s="4"/>
      <c r="S130" s="4"/>
    </row>
    <row r="131" spans="1:19">
      <c r="A131" s="864" t="s">
        <v>6997</v>
      </c>
      <c r="B131" s="864" t="s">
        <v>1729</v>
      </c>
      <c r="C131" s="4" t="s">
        <v>509</v>
      </c>
      <c r="D131" s="867">
        <v>8740</v>
      </c>
      <c r="E131" s="867">
        <v>8711</v>
      </c>
      <c r="F131" s="867">
        <v>8769</v>
      </c>
      <c r="G131" s="867">
        <v>8819</v>
      </c>
      <c r="H131" s="48">
        <v>8838</v>
      </c>
      <c r="I131" s="48">
        <v>8668</v>
      </c>
      <c r="J131" s="48">
        <v>8953</v>
      </c>
      <c r="K131" s="48">
        <v>9225</v>
      </c>
      <c r="L131" s="48">
        <v>9054</v>
      </c>
      <c r="N131" s="864" t="s">
        <v>4188</v>
      </c>
      <c r="Q131" s="4"/>
      <c r="S131" s="4"/>
    </row>
    <row r="132" spans="1:19">
      <c r="A132" s="864" t="s">
        <v>6999</v>
      </c>
      <c r="B132" s="864" t="s">
        <v>1730</v>
      </c>
      <c r="C132" s="4" t="s">
        <v>510</v>
      </c>
      <c r="D132" s="867">
        <v>8568</v>
      </c>
      <c r="E132" s="867">
        <v>8577</v>
      </c>
      <c r="F132" s="867">
        <v>8596</v>
      </c>
      <c r="G132" s="867">
        <v>8595</v>
      </c>
      <c r="H132" s="48">
        <v>8537</v>
      </c>
      <c r="I132" s="48">
        <v>8230</v>
      </c>
      <c r="J132" s="48">
        <v>8529</v>
      </c>
      <c r="K132" s="48">
        <v>8847</v>
      </c>
      <c r="L132" s="48">
        <v>8782</v>
      </c>
      <c r="N132" s="864" t="s">
        <v>4188</v>
      </c>
      <c r="Q132" s="4"/>
      <c r="S132" s="4"/>
    </row>
    <row r="133" spans="1:19">
      <c r="A133" s="864" t="s">
        <v>7001</v>
      </c>
      <c r="B133" s="864" t="s">
        <v>2442</v>
      </c>
      <c r="C133" s="4" t="s">
        <v>511</v>
      </c>
      <c r="D133" s="867">
        <v>8781</v>
      </c>
      <c r="E133" s="867">
        <v>8960</v>
      </c>
      <c r="F133" s="867">
        <v>8982</v>
      </c>
      <c r="G133" s="867">
        <v>8829</v>
      </c>
      <c r="H133" s="48">
        <v>8675</v>
      </c>
      <c r="I133" s="48">
        <v>8402</v>
      </c>
      <c r="J133" s="48">
        <v>8587</v>
      </c>
      <c r="K133" s="48">
        <v>8931</v>
      </c>
      <c r="L133" s="48">
        <v>8828</v>
      </c>
      <c r="N133" s="864" t="s">
        <v>4191</v>
      </c>
      <c r="Q133" s="4"/>
      <c r="S133" s="4"/>
    </row>
    <row r="134" spans="1:19">
      <c r="A134" s="864" t="s">
        <v>7003</v>
      </c>
      <c r="B134" s="864" t="s">
        <v>1731</v>
      </c>
      <c r="C134" s="4" t="s">
        <v>512</v>
      </c>
      <c r="D134" s="867">
        <v>7997</v>
      </c>
      <c r="E134" s="867">
        <v>8081</v>
      </c>
      <c r="F134" s="867">
        <v>8244</v>
      </c>
      <c r="G134" s="867">
        <v>8362</v>
      </c>
      <c r="H134" s="48">
        <v>8377</v>
      </c>
      <c r="I134" s="48">
        <v>8184</v>
      </c>
      <c r="J134" s="48">
        <v>8526</v>
      </c>
      <c r="K134" s="48">
        <v>8902</v>
      </c>
      <c r="L134" s="48">
        <v>8886</v>
      </c>
      <c r="N134" s="864" t="s">
        <v>4191</v>
      </c>
      <c r="Q134" s="4"/>
      <c r="S134" s="4"/>
    </row>
    <row r="135" spans="1:19">
      <c r="A135" s="864" t="s">
        <v>7005</v>
      </c>
      <c r="B135" s="864" t="s">
        <v>1732</v>
      </c>
      <c r="C135" s="4" t="s">
        <v>513</v>
      </c>
      <c r="D135" s="867">
        <v>8338</v>
      </c>
      <c r="E135" s="867">
        <v>8338</v>
      </c>
      <c r="F135" s="867">
        <v>8358</v>
      </c>
      <c r="G135" s="867">
        <v>8354</v>
      </c>
      <c r="H135" s="48">
        <v>8092</v>
      </c>
      <c r="I135" s="48">
        <v>7536</v>
      </c>
      <c r="J135" s="48">
        <v>7837</v>
      </c>
      <c r="K135" s="48">
        <v>8382</v>
      </c>
      <c r="L135" s="48">
        <v>8284</v>
      </c>
      <c r="N135" s="864" t="s">
        <v>4188</v>
      </c>
      <c r="Q135" s="4"/>
      <c r="S135" s="4"/>
    </row>
    <row r="136" spans="1:19">
      <c r="A136" s="864" t="s">
        <v>7007</v>
      </c>
      <c r="B136" s="864" t="s">
        <v>4070</v>
      </c>
      <c r="C136" s="4" t="s">
        <v>514</v>
      </c>
      <c r="D136" s="867">
        <v>8404</v>
      </c>
      <c r="E136" s="867">
        <v>8394</v>
      </c>
      <c r="F136" s="867">
        <v>8476</v>
      </c>
      <c r="G136" s="867">
        <v>8318</v>
      </c>
      <c r="H136" s="48">
        <v>7888</v>
      </c>
      <c r="I136" s="48">
        <v>7491</v>
      </c>
      <c r="J136" s="48">
        <v>7679</v>
      </c>
      <c r="K136" s="48">
        <v>8080</v>
      </c>
      <c r="L136" s="48">
        <v>8091</v>
      </c>
      <c r="N136" s="864" t="s">
        <v>4191</v>
      </c>
      <c r="Q136" s="4"/>
      <c r="S136" s="4"/>
    </row>
    <row r="137" spans="1:19">
      <c r="A137" s="864" t="s">
        <v>7009</v>
      </c>
      <c r="B137" s="864" t="s">
        <v>1733</v>
      </c>
      <c r="C137" s="4" t="s">
        <v>515</v>
      </c>
      <c r="D137" s="867">
        <v>5596</v>
      </c>
      <c r="E137" s="867">
        <v>5650</v>
      </c>
      <c r="F137" s="867">
        <v>5688</v>
      </c>
      <c r="G137" s="867">
        <v>5662</v>
      </c>
      <c r="H137" s="48">
        <v>5637</v>
      </c>
      <c r="I137" s="48">
        <v>5593</v>
      </c>
      <c r="J137" s="48">
        <v>5714</v>
      </c>
      <c r="K137" s="48">
        <v>5831</v>
      </c>
      <c r="L137" s="48">
        <v>5763</v>
      </c>
      <c r="N137" s="864" t="s">
        <v>4188</v>
      </c>
      <c r="Q137" s="4"/>
      <c r="S137" s="4"/>
    </row>
    <row r="138" spans="1:19">
      <c r="A138" s="864" t="s">
        <v>7011</v>
      </c>
      <c r="B138" s="864" t="s">
        <v>6043</v>
      </c>
      <c r="C138" s="4" t="s">
        <v>516</v>
      </c>
      <c r="D138" s="867">
        <v>5037</v>
      </c>
      <c r="E138" s="867">
        <v>4940</v>
      </c>
      <c r="F138" s="867">
        <v>4846</v>
      </c>
      <c r="G138" s="867">
        <v>4826</v>
      </c>
      <c r="H138" s="48">
        <v>4686</v>
      </c>
      <c r="I138" s="48">
        <v>4327</v>
      </c>
      <c r="J138" s="48">
        <v>4495</v>
      </c>
      <c r="K138" s="48">
        <v>4831</v>
      </c>
      <c r="L138" s="48">
        <v>4660</v>
      </c>
      <c r="N138" s="864" t="s">
        <v>4191</v>
      </c>
      <c r="Q138" s="4"/>
      <c r="S138" s="4"/>
    </row>
    <row r="139" spans="1:19">
      <c r="A139" s="864" t="s">
        <v>7013</v>
      </c>
      <c r="B139" s="864" t="s">
        <v>6044</v>
      </c>
      <c r="C139" s="4" t="s">
        <v>517</v>
      </c>
      <c r="D139" s="867">
        <v>5714</v>
      </c>
      <c r="E139" s="867">
        <v>5808</v>
      </c>
      <c r="F139" s="867">
        <v>5840</v>
      </c>
      <c r="G139" s="867">
        <v>5763</v>
      </c>
      <c r="H139" s="48">
        <v>5711</v>
      </c>
      <c r="I139" s="48">
        <v>5647</v>
      </c>
      <c r="J139" s="48">
        <v>5791</v>
      </c>
      <c r="K139" s="48">
        <v>5995</v>
      </c>
      <c r="L139" s="48">
        <v>6023</v>
      </c>
      <c r="N139" s="864" t="s">
        <v>4188</v>
      </c>
      <c r="Q139" s="4"/>
      <c r="S139" s="4"/>
    </row>
    <row r="140" spans="1:19">
      <c r="A140" s="871">
        <v>15</v>
      </c>
      <c r="B140" s="864" t="s">
        <v>6045</v>
      </c>
      <c r="C140" s="4" t="s">
        <v>518</v>
      </c>
      <c r="D140" s="869">
        <v>8442</v>
      </c>
      <c r="E140" s="869">
        <v>8456</v>
      </c>
      <c r="F140" s="869">
        <v>8652</v>
      </c>
      <c r="G140" s="869">
        <v>8558</v>
      </c>
      <c r="H140" s="48">
        <v>8424</v>
      </c>
      <c r="I140" s="48">
        <v>8106</v>
      </c>
      <c r="J140" s="48">
        <v>8521</v>
      </c>
      <c r="K140" s="48">
        <v>8854</v>
      </c>
      <c r="L140" s="48">
        <v>8658</v>
      </c>
      <c r="N140" s="864" t="s">
        <v>4191</v>
      </c>
      <c r="Q140" s="4"/>
      <c r="S140" s="4"/>
    </row>
    <row r="141" spans="1:19">
      <c r="D141" s="869"/>
      <c r="E141" s="869"/>
      <c r="F141" s="869"/>
      <c r="G141" s="869"/>
      <c r="H141" s="869"/>
      <c r="I141" s="869"/>
      <c r="J141" s="869"/>
      <c r="K141" s="869"/>
      <c r="L141" s="869"/>
    </row>
    <row r="142" spans="1:19">
      <c r="A142" s="864" t="s">
        <v>6046</v>
      </c>
      <c r="D142" s="867">
        <f t="shared" ref="D142:I142" si="119">D126+D129+D131+D132+D135+D137+D139</f>
        <v>53762</v>
      </c>
      <c r="E142" s="867">
        <f t="shared" si="119"/>
        <v>53877</v>
      </c>
      <c r="F142" s="867">
        <f t="shared" si="119"/>
        <v>54085</v>
      </c>
      <c r="G142" s="867">
        <f t="shared" si="119"/>
        <v>54047</v>
      </c>
      <c r="H142" s="867">
        <f t="shared" si="119"/>
        <v>53609</v>
      </c>
      <c r="I142" s="867">
        <f t="shared" si="119"/>
        <v>51958</v>
      </c>
      <c r="J142" s="867">
        <f t="shared" ref="J142:K142" si="120">J126+J129+J131+J132+J135+J137+J139</f>
        <v>53544</v>
      </c>
      <c r="K142" s="867">
        <f t="shared" si="120"/>
        <v>55504</v>
      </c>
      <c r="L142" s="867">
        <f t="shared" ref="L142" si="121">L126+L129+L131+L132+L135+L137+L139</f>
        <v>54948</v>
      </c>
    </row>
    <row r="143" spans="1:19">
      <c r="A143" s="864" t="s">
        <v>4191</v>
      </c>
      <c r="D143" s="867">
        <f t="shared" ref="D143:I143" si="122">D127+D128+D130+D133+D134+D136+D138+D140</f>
        <v>61653</v>
      </c>
      <c r="E143" s="867">
        <f t="shared" si="122"/>
        <v>61929</v>
      </c>
      <c r="F143" s="867">
        <f t="shared" si="122"/>
        <v>62222</v>
      </c>
      <c r="G143" s="867">
        <f t="shared" si="122"/>
        <v>61708</v>
      </c>
      <c r="H143" s="867">
        <f t="shared" si="122"/>
        <v>60474</v>
      </c>
      <c r="I143" s="867">
        <f t="shared" si="122"/>
        <v>57595</v>
      </c>
      <c r="J143" s="867">
        <f t="shared" ref="J143:K143" si="123">J127+J128+J130+J133+J134+J136+J138+J140</f>
        <v>58997</v>
      </c>
      <c r="K143" s="867">
        <f t="shared" si="123"/>
        <v>61577</v>
      </c>
      <c r="L143" s="867">
        <f t="shared" ref="L143" si="124">L127+L128+L130+L133+L134+L136+L138+L140</f>
        <v>60928</v>
      </c>
    </row>
    <row r="145" spans="1:19">
      <c r="A145" s="864" t="s">
        <v>2607</v>
      </c>
    </row>
    <row r="146" spans="1:19">
      <c r="A146" s="864"/>
    </row>
    <row r="147" spans="1:19">
      <c r="A147" s="864"/>
    </row>
    <row r="148" spans="1:19">
      <c r="E148" s="42" t="s">
        <v>2303</v>
      </c>
      <c r="F148" s="42"/>
      <c r="G148" s="42"/>
      <c r="H148" s="42"/>
      <c r="I148" s="42"/>
      <c r="J148" s="42"/>
      <c r="K148" s="42"/>
      <c r="L148" s="42"/>
      <c r="M148" s="65"/>
      <c r="N148" s="66" t="s">
        <v>13319</v>
      </c>
    </row>
    <row r="149" spans="1:19">
      <c r="D149" s="55">
        <v>2010</v>
      </c>
      <c r="E149" s="55">
        <v>2011</v>
      </c>
      <c r="F149" s="55">
        <v>2012</v>
      </c>
      <c r="G149" s="55">
        <v>2013</v>
      </c>
      <c r="H149" s="55">
        <v>2014</v>
      </c>
      <c r="I149" s="55">
        <v>2015</v>
      </c>
      <c r="J149" s="55">
        <v>2016</v>
      </c>
      <c r="K149" s="55">
        <v>2017</v>
      </c>
      <c r="L149" s="55">
        <v>2018</v>
      </c>
      <c r="M149" s="65"/>
      <c r="N149" s="67" t="s">
        <v>2304</v>
      </c>
    </row>
    <row r="150" spans="1:19" ht="15" customHeight="1">
      <c r="A150" s="864" t="s">
        <v>4208</v>
      </c>
      <c r="D150" s="867">
        <f t="shared" ref="D150:I150" si="125">SUM(D151:D167)</f>
        <v>124476</v>
      </c>
      <c r="E150" s="867">
        <f t="shared" si="125"/>
        <v>124610</v>
      </c>
      <c r="F150" s="867">
        <f t="shared" si="125"/>
        <v>124626</v>
      </c>
      <c r="G150" s="867">
        <f t="shared" si="125"/>
        <v>125173</v>
      </c>
      <c r="H150" s="867">
        <f t="shared" si="125"/>
        <v>124636</v>
      </c>
      <c r="I150" s="867">
        <f t="shared" si="125"/>
        <v>121292</v>
      </c>
      <c r="J150" s="867">
        <f t="shared" ref="J150:K150" si="126">SUM(J151:J167)</f>
        <v>119916</v>
      </c>
      <c r="K150" s="867">
        <f t="shared" si="126"/>
        <v>122395</v>
      </c>
      <c r="L150" s="867">
        <f t="shared" ref="L150" si="127">SUM(L151:L167)</f>
        <v>122502</v>
      </c>
    </row>
    <row r="151" spans="1:19">
      <c r="A151" s="864" t="s">
        <v>6957</v>
      </c>
      <c r="B151" s="864" t="s">
        <v>2608</v>
      </c>
      <c r="C151" s="4" t="s">
        <v>519</v>
      </c>
      <c r="D151" s="867">
        <v>8319</v>
      </c>
      <c r="E151" s="867">
        <v>8592</v>
      </c>
      <c r="F151" s="867">
        <v>8742</v>
      </c>
      <c r="G151" s="48">
        <v>8862</v>
      </c>
      <c r="H151" s="48">
        <v>9005</v>
      </c>
      <c r="I151" s="48">
        <v>8735</v>
      </c>
      <c r="J151" s="48">
        <v>8808</v>
      </c>
      <c r="K151" s="48">
        <v>9006</v>
      </c>
      <c r="L151" s="48">
        <v>9018</v>
      </c>
      <c r="N151" s="864" t="s">
        <v>6007</v>
      </c>
      <c r="Q151" s="4"/>
      <c r="S151" s="4"/>
    </row>
    <row r="152" spans="1:19">
      <c r="A152" s="864" t="s">
        <v>6959</v>
      </c>
      <c r="B152" s="865" t="s">
        <v>2609</v>
      </c>
      <c r="C152" s="4" t="s">
        <v>520</v>
      </c>
      <c r="D152" s="867">
        <v>5658</v>
      </c>
      <c r="E152" s="867">
        <v>5610</v>
      </c>
      <c r="F152" s="867">
        <v>5687</v>
      </c>
      <c r="G152" s="48">
        <v>5790</v>
      </c>
      <c r="H152" s="48">
        <v>5730</v>
      </c>
      <c r="I152" s="48">
        <v>5642</v>
      </c>
      <c r="J152" s="48">
        <v>5618</v>
      </c>
      <c r="K152" s="48">
        <v>5861</v>
      </c>
      <c r="L152" s="48">
        <v>5876</v>
      </c>
      <c r="N152" s="865" t="s">
        <v>4186</v>
      </c>
      <c r="Q152" s="4"/>
      <c r="S152" s="4"/>
    </row>
    <row r="153" spans="1:19">
      <c r="A153" s="864" t="s">
        <v>6961</v>
      </c>
      <c r="B153" s="865" t="s">
        <v>2610</v>
      </c>
      <c r="C153" s="4" t="s">
        <v>521</v>
      </c>
      <c r="D153" s="867">
        <v>6338</v>
      </c>
      <c r="E153" s="867">
        <v>6448</v>
      </c>
      <c r="F153" s="867">
        <v>6515</v>
      </c>
      <c r="G153" s="48">
        <v>6512</v>
      </c>
      <c r="H153" s="48">
        <v>6512</v>
      </c>
      <c r="I153" s="48">
        <v>6308</v>
      </c>
      <c r="J153" s="48">
        <v>6187</v>
      </c>
      <c r="K153" s="48">
        <v>6388</v>
      </c>
      <c r="L153" s="48">
        <v>6355</v>
      </c>
      <c r="N153" s="865" t="s">
        <v>4186</v>
      </c>
      <c r="Q153" s="4"/>
      <c r="S153" s="4"/>
    </row>
    <row r="154" spans="1:19">
      <c r="A154" s="864" t="s">
        <v>6963</v>
      </c>
      <c r="B154" s="865" t="s">
        <v>2611</v>
      </c>
      <c r="C154" s="4" t="s">
        <v>522</v>
      </c>
      <c r="D154" s="867">
        <v>5707</v>
      </c>
      <c r="E154" s="867">
        <v>5711</v>
      </c>
      <c r="F154" s="867">
        <v>5694</v>
      </c>
      <c r="G154" s="48">
        <v>5719</v>
      </c>
      <c r="H154" s="48">
        <v>5708</v>
      </c>
      <c r="I154" s="48">
        <v>5602</v>
      </c>
      <c r="J154" s="48">
        <v>5629</v>
      </c>
      <c r="K154" s="48">
        <v>5814</v>
      </c>
      <c r="L154" s="48">
        <v>5803</v>
      </c>
      <c r="N154" s="865" t="s">
        <v>4186</v>
      </c>
      <c r="Q154" s="4"/>
      <c r="S154" s="4"/>
    </row>
    <row r="155" spans="1:19">
      <c r="A155" s="864" t="s">
        <v>6965</v>
      </c>
      <c r="B155" s="865" t="s">
        <v>5807</v>
      </c>
      <c r="C155" s="4" t="s">
        <v>523</v>
      </c>
      <c r="D155" s="867">
        <v>8194</v>
      </c>
      <c r="E155" s="867">
        <v>8252</v>
      </c>
      <c r="F155" s="867">
        <v>8368</v>
      </c>
      <c r="G155" s="48">
        <v>8507</v>
      </c>
      <c r="H155" s="48">
        <v>8612</v>
      </c>
      <c r="I155" s="48">
        <v>8466</v>
      </c>
      <c r="J155" s="48">
        <v>8430</v>
      </c>
      <c r="K155" s="48">
        <v>8727</v>
      </c>
      <c r="L155" s="48">
        <v>8862</v>
      </c>
      <c r="N155" s="864" t="s">
        <v>4188</v>
      </c>
      <c r="Q155" s="4"/>
      <c r="S155" s="4"/>
    </row>
    <row r="156" spans="1:19">
      <c r="A156" s="864" t="s">
        <v>6997</v>
      </c>
      <c r="B156" s="864" t="s">
        <v>2612</v>
      </c>
      <c r="C156" s="4" t="s">
        <v>524</v>
      </c>
      <c r="D156" s="867">
        <v>9178</v>
      </c>
      <c r="E156" s="867">
        <v>9111</v>
      </c>
      <c r="F156" s="867">
        <v>9096</v>
      </c>
      <c r="G156" s="48">
        <v>9103</v>
      </c>
      <c r="H156" s="48">
        <v>8974</v>
      </c>
      <c r="I156" s="48">
        <v>8874</v>
      </c>
      <c r="J156" s="48">
        <v>8835</v>
      </c>
      <c r="K156" s="48">
        <v>8891</v>
      </c>
      <c r="L156" s="48">
        <v>8837</v>
      </c>
      <c r="N156" s="864" t="s">
        <v>6007</v>
      </c>
      <c r="Q156" s="4"/>
      <c r="S156" s="4"/>
    </row>
    <row r="157" spans="1:19">
      <c r="A157" s="864" t="s">
        <v>6999</v>
      </c>
      <c r="B157" s="865" t="s">
        <v>2613</v>
      </c>
      <c r="C157" s="4" t="s">
        <v>525</v>
      </c>
      <c r="D157" s="867">
        <v>9091</v>
      </c>
      <c r="E157" s="867">
        <v>9132</v>
      </c>
      <c r="F157" s="867">
        <v>9091</v>
      </c>
      <c r="G157" s="48">
        <v>9133</v>
      </c>
      <c r="H157" s="48">
        <v>8970</v>
      </c>
      <c r="I157" s="48">
        <v>8734</v>
      </c>
      <c r="J157" s="48">
        <v>8632</v>
      </c>
      <c r="K157" s="48">
        <v>8928</v>
      </c>
      <c r="L157" s="48">
        <v>8991</v>
      </c>
      <c r="N157" s="865" t="s">
        <v>4186</v>
      </c>
      <c r="Q157" s="4"/>
      <c r="S157" s="4"/>
    </row>
    <row r="158" spans="1:19">
      <c r="A158" s="864" t="s">
        <v>7001</v>
      </c>
      <c r="B158" s="865" t="s">
        <v>2614</v>
      </c>
      <c r="C158" s="4" t="s">
        <v>526</v>
      </c>
      <c r="D158" s="870">
        <v>5324</v>
      </c>
      <c r="E158" s="870">
        <v>5290</v>
      </c>
      <c r="F158" s="870">
        <v>5301</v>
      </c>
      <c r="G158" s="48">
        <v>5263</v>
      </c>
      <c r="H158" s="48">
        <v>5246</v>
      </c>
      <c r="I158" s="48">
        <v>5101</v>
      </c>
      <c r="J158" s="48">
        <v>5017</v>
      </c>
      <c r="K158" s="48">
        <v>5119</v>
      </c>
      <c r="L158" s="48">
        <v>5159</v>
      </c>
      <c r="N158" s="865" t="s">
        <v>4186</v>
      </c>
      <c r="Q158" s="4"/>
      <c r="S158" s="4"/>
    </row>
    <row r="159" spans="1:19">
      <c r="A159" s="864" t="s">
        <v>7003</v>
      </c>
      <c r="B159" s="864" t="s">
        <v>2615</v>
      </c>
      <c r="C159" s="4" t="s">
        <v>527</v>
      </c>
      <c r="D159" s="870">
        <v>8177</v>
      </c>
      <c r="E159" s="870">
        <v>8122</v>
      </c>
      <c r="F159" s="870">
        <v>8201</v>
      </c>
      <c r="G159" s="48">
        <v>8186</v>
      </c>
      <c r="H159" s="48">
        <v>8102</v>
      </c>
      <c r="I159" s="48">
        <v>7854</v>
      </c>
      <c r="J159" s="48">
        <v>7458</v>
      </c>
      <c r="K159" s="48">
        <v>7582</v>
      </c>
      <c r="L159" s="48">
        <v>7466</v>
      </c>
      <c r="N159" s="864" t="s">
        <v>6007</v>
      </c>
      <c r="Q159" s="4"/>
      <c r="S159" s="4"/>
    </row>
    <row r="160" spans="1:19">
      <c r="A160" s="864" t="s">
        <v>7005</v>
      </c>
      <c r="B160" s="865" t="s">
        <v>7866</v>
      </c>
      <c r="C160" s="4" t="s">
        <v>528</v>
      </c>
      <c r="D160" s="867">
        <v>3086</v>
      </c>
      <c r="E160" s="867">
        <v>3042</v>
      </c>
      <c r="F160" s="867">
        <v>3017</v>
      </c>
      <c r="G160" s="48">
        <v>2971</v>
      </c>
      <c r="H160" s="48">
        <v>2972</v>
      </c>
      <c r="I160" s="48">
        <v>2888</v>
      </c>
      <c r="J160" s="48">
        <v>2747</v>
      </c>
      <c r="K160" s="48">
        <v>2790</v>
      </c>
      <c r="L160" s="48">
        <v>2829</v>
      </c>
      <c r="N160" s="865" t="s">
        <v>4186</v>
      </c>
      <c r="Q160" s="4"/>
      <c r="S160" s="4"/>
    </row>
    <row r="161" spans="1:19">
      <c r="A161" s="864" t="s">
        <v>7007</v>
      </c>
      <c r="B161" s="864" t="s">
        <v>7867</v>
      </c>
      <c r="C161" s="4" t="s">
        <v>529</v>
      </c>
      <c r="D161" s="867">
        <v>8885</v>
      </c>
      <c r="E161" s="867">
        <v>8870</v>
      </c>
      <c r="F161" s="867">
        <v>8881</v>
      </c>
      <c r="G161" s="48">
        <v>8920</v>
      </c>
      <c r="H161" s="48">
        <v>8834</v>
      </c>
      <c r="I161" s="48">
        <v>8588</v>
      </c>
      <c r="J161" s="48">
        <v>8662</v>
      </c>
      <c r="K161" s="48">
        <v>8717</v>
      </c>
      <c r="L161" s="48">
        <v>8743</v>
      </c>
      <c r="N161" s="864" t="s">
        <v>4186</v>
      </c>
      <c r="Q161" s="4"/>
      <c r="S161" s="4"/>
    </row>
    <row r="162" spans="1:19">
      <c r="A162" s="864" t="s">
        <v>7009</v>
      </c>
      <c r="B162" s="864" t="s">
        <v>6023</v>
      </c>
      <c r="C162" s="4" t="s">
        <v>530</v>
      </c>
      <c r="D162" s="867">
        <v>8423</v>
      </c>
      <c r="E162" s="867">
        <v>8310</v>
      </c>
      <c r="F162" s="867">
        <v>8260</v>
      </c>
      <c r="G162" s="48">
        <v>8299</v>
      </c>
      <c r="H162" s="48">
        <v>8282</v>
      </c>
      <c r="I162" s="48">
        <v>7951</v>
      </c>
      <c r="J162" s="48">
        <v>7726</v>
      </c>
      <c r="K162" s="48">
        <v>7797</v>
      </c>
      <c r="L162" s="48">
        <v>7668</v>
      </c>
      <c r="N162" s="864" t="s">
        <v>6007</v>
      </c>
      <c r="Q162" s="4"/>
      <c r="S162" s="4"/>
    </row>
    <row r="163" spans="1:19">
      <c r="A163" s="864" t="s">
        <v>7011</v>
      </c>
      <c r="B163" s="864" t="s">
        <v>6024</v>
      </c>
      <c r="C163" s="4" t="s">
        <v>531</v>
      </c>
      <c r="D163" s="867">
        <v>8766</v>
      </c>
      <c r="E163" s="867">
        <v>8766</v>
      </c>
      <c r="F163" s="867">
        <v>8743</v>
      </c>
      <c r="G163" s="48">
        <v>8768</v>
      </c>
      <c r="H163" s="48">
        <v>8755</v>
      </c>
      <c r="I163" s="48">
        <v>8518</v>
      </c>
      <c r="J163" s="48">
        <v>8583</v>
      </c>
      <c r="K163" s="48">
        <v>8716</v>
      </c>
      <c r="L163" s="48">
        <v>8746</v>
      </c>
      <c r="N163" s="864" t="s">
        <v>4188</v>
      </c>
      <c r="Q163" s="4"/>
      <c r="S163" s="4"/>
    </row>
    <row r="164" spans="1:19">
      <c r="A164" s="864" t="s">
        <v>7013</v>
      </c>
      <c r="B164" s="864" t="s">
        <v>6025</v>
      </c>
      <c r="C164" s="4" t="s">
        <v>532</v>
      </c>
      <c r="D164" s="867">
        <v>5662</v>
      </c>
      <c r="E164" s="867">
        <v>5641</v>
      </c>
      <c r="F164" s="867">
        <v>5487</v>
      </c>
      <c r="G164" s="48">
        <v>5469</v>
      </c>
      <c r="H164" s="48">
        <v>5494</v>
      </c>
      <c r="I164" s="48">
        <v>5334</v>
      </c>
      <c r="J164" s="48">
        <v>5169</v>
      </c>
      <c r="K164" s="48">
        <v>5218</v>
      </c>
      <c r="L164" s="48">
        <v>5221</v>
      </c>
      <c r="N164" s="864" t="s">
        <v>6007</v>
      </c>
      <c r="Q164" s="4"/>
      <c r="S164" s="4"/>
    </row>
    <row r="165" spans="1:19">
      <c r="A165" s="864" t="s">
        <v>7015</v>
      </c>
      <c r="B165" s="864" t="s">
        <v>6026</v>
      </c>
      <c r="C165" s="4" t="s">
        <v>533</v>
      </c>
      <c r="D165" s="867">
        <v>8323</v>
      </c>
      <c r="E165" s="867">
        <v>8328</v>
      </c>
      <c r="F165" s="867">
        <v>8213</v>
      </c>
      <c r="G165" s="48">
        <v>8172</v>
      </c>
      <c r="H165" s="48">
        <v>8135</v>
      </c>
      <c r="I165" s="48">
        <v>7908</v>
      </c>
      <c r="J165" s="48">
        <v>7728</v>
      </c>
      <c r="K165" s="48">
        <v>7908</v>
      </c>
      <c r="L165" s="48">
        <v>7936</v>
      </c>
      <c r="N165" s="864" t="s">
        <v>6007</v>
      </c>
      <c r="Q165" s="4"/>
      <c r="S165" s="4"/>
    </row>
    <row r="166" spans="1:19">
      <c r="A166" s="871">
        <v>16</v>
      </c>
      <c r="B166" s="865" t="s">
        <v>6027</v>
      </c>
      <c r="C166" s="4" t="s">
        <v>534</v>
      </c>
      <c r="D166" s="870">
        <v>10186</v>
      </c>
      <c r="E166" s="870">
        <v>10253</v>
      </c>
      <c r="F166" s="870">
        <v>10202</v>
      </c>
      <c r="G166" s="48">
        <v>10276</v>
      </c>
      <c r="H166" s="48">
        <v>10210</v>
      </c>
      <c r="I166" s="48">
        <v>9942</v>
      </c>
      <c r="J166" s="48">
        <v>9947</v>
      </c>
      <c r="K166" s="48">
        <v>10159</v>
      </c>
      <c r="L166" s="48">
        <v>10224</v>
      </c>
      <c r="N166" s="864" t="s">
        <v>6007</v>
      </c>
      <c r="Q166" s="4"/>
      <c r="S166" s="4"/>
    </row>
    <row r="167" spans="1:19">
      <c r="A167" s="871">
        <v>17</v>
      </c>
      <c r="B167" s="865" t="s">
        <v>4381</v>
      </c>
      <c r="C167" s="4" t="s">
        <v>535</v>
      </c>
      <c r="D167" s="867">
        <v>5159</v>
      </c>
      <c r="E167" s="867">
        <v>5132</v>
      </c>
      <c r="F167" s="867">
        <v>5128</v>
      </c>
      <c r="G167" s="48">
        <v>5223</v>
      </c>
      <c r="H167" s="48">
        <v>5095</v>
      </c>
      <c r="I167" s="48">
        <v>4847</v>
      </c>
      <c r="J167" s="48">
        <v>4740</v>
      </c>
      <c r="K167" s="48">
        <v>4774</v>
      </c>
      <c r="L167" s="48">
        <v>4768</v>
      </c>
      <c r="N167" s="865" t="s">
        <v>6007</v>
      </c>
      <c r="Q167" s="4"/>
      <c r="S167" s="4"/>
    </row>
    <row r="169" spans="1:19">
      <c r="A169" s="864" t="s">
        <v>2515</v>
      </c>
      <c r="D169" s="867">
        <f t="shared" ref="D169:I169" si="128">SUM(D152:D154)+D157+D158+D160+D161</f>
        <v>44089</v>
      </c>
      <c r="E169" s="867">
        <f t="shared" si="128"/>
        <v>44103</v>
      </c>
      <c r="F169" s="867">
        <f t="shared" si="128"/>
        <v>44186</v>
      </c>
      <c r="G169" s="867">
        <f t="shared" si="128"/>
        <v>44308</v>
      </c>
      <c r="H169" s="867">
        <f t="shared" si="128"/>
        <v>43972</v>
      </c>
      <c r="I169" s="867">
        <f t="shared" si="128"/>
        <v>42863</v>
      </c>
      <c r="J169" s="867">
        <f t="shared" ref="J169:K169" si="129">SUM(J152:J154)+J157+J158+J160+J161</f>
        <v>42492</v>
      </c>
      <c r="K169" s="867">
        <f t="shared" si="129"/>
        <v>43617</v>
      </c>
      <c r="L169" s="867">
        <f t="shared" ref="L169" si="130">SUM(L152:L154)+L157+L158+L160+L161</f>
        <v>43756</v>
      </c>
    </row>
    <row r="170" spans="1:19">
      <c r="A170" s="864" t="s">
        <v>6046</v>
      </c>
      <c r="D170" s="867">
        <f t="shared" ref="D170:I170" si="131">D155+D163</f>
        <v>16960</v>
      </c>
      <c r="E170" s="867">
        <f t="shared" si="131"/>
        <v>17018</v>
      </c>
      <c r="F170" s="867">
        <f t="shared" si="131"/>
        <v>17111</v>
      </c>
      <c r="G170" s="867">
        <f t="shared" si="131"/>
        <v>17275</v>
      </c>
      <c r="H170" s="867">
        <f t="shared" si="131"/>
        <v>17367</v>
      </c>
      <c r="I170" s="867">
        <f t="shared" si="131"/>
        <v>16984</v>
      </c>
      <c r="J170" s="867">
        <f t="shared" ref="J170:K170" si="132">J155+J163</f>
        <v>17013</v>
      </c>
      <c r="K170" s="867">
        <f t="shared" si="132"/>
        <v>17443</v>
      </c>
      <c r="L170" s="867">
        <f t="shared" ref="L170" si="133">L155+L163</f>
        <v>17608</v>
      </c>
    </row>
    <row r="171" spans="1:19">
      <c r="A171" s="864" t="s">
        <v>6007</v>
      </c>
      <c r="D171" s="867">
        <f t="shared" ref="D171:I171" si="134">D151+D156+D159+D162+SUM(D164:D167)</f>
        <v>63427</v>
      </c>
      <c r="E171" s="867">
        <f t="shared" si="134"/>
        <v>63489</v>
      </c>
      <c r="F171" s="867">
        <f t="shared" si="134"/>
        <v>63329</v>
      </c>
      <c r="G171" s="867">
        <f t="shared" si="134"/>
        <v>63590</v>
      </c>
      <c r="H171" s="867">
        <f t="shared" si="134"/>
        <v>63297</v>
      </c>
      <c r="I171" s="867">
        <f t="shared" si="134"/>
        <v>61445</v>
      </c>
      <c r="J171" s="867">
        <f t="shared" ref="J171:K171" si="135">J151+J156+J159+J162+SUM(J164:J167)</f>
        <v>60411</v>
      </c>
      <c r="K171" s="867">
        <f t="shared" si="135"/>
        <v>61335</v>
      </c>
      <c r="L171" s="867">
        <f t="shared" ref="L171" si="136">L151+L156+L159+L162+SUM(L164:L167)</f>
        <v>61138</v>
      </c>
    </row>
    <row r="173" spans="1:19">
      <c r="A173" s="864" t="s">
        <v>3089</v>
      </c>
    </row>
  </sheetData>
  <sortState ref="O92:Q114">
    <sortCondition ref="O92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2" orientation="portrait" horizontalDpi="300" verticalDpi="300" r:id="rId1"/>
  <headerFooter alignWithMargins="0">
    <oddFooter>&amp;C&amp;"Times New Roman,Regular"&amp;8&amp;P of &amp;N</oddFooter>
  </headerFooter>
  <ignoredErrors>
    <ignoredError sqref="D125:E125 D142:D143 D169:D171 D150:E150 D80:D84 D52:E52 D116:D118 D91:E91 D3:D8 E116:E118 E142:E143 E80:E84 E169:E171 E3:E8 F169:F171 F142:F150 F116:F125 F80:F91 F3:F8 G116:G118 G91:K91 G125:K125 G142:G143 G169:G171 G150:K150 G52:K52 G80:G84 G3:G8 D9:D12 E9:E12 F9:F12 G9:G12 D14:D45 E14:E45 F14:F52 G14:G45 D13:G13 H116:H118 H80:H84 H142:H143 H169:H171 H3:H8 H9:H45 I116:I118 I80:I84 I169:I171 I142:I143 I3:I45 J116:J118 J80:J84 J169:J171 J142:J143 J3:J45 K80:K84 K116:K118 K142:K143 K169:K171 K3:K45 L3:L171" unlocked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50"/>
  <sheetViews>
    <sheetView showGridLines="0" zoomScaleNormal="100" workbookViewId="0"/>
  </sheetViews>
  <sheetFormatPr defaultColWidth="14.5703125" defaultRowHeight="15"/>
  <cols>
    <col min="1" max="1" width="4.85546875" style="535" customWidth="1"/>
    <col min="2" max="2" width="39.5703125" style="535" customWidth="1"/>
    <col min="3" max="3" width="11.7109375" style="535" customWidth="1"/>
    <col min="4" max="12" width="10" style="535" customWidth="1"/>
    <col min="13" max="13" width="2.28515625" style="535" customWidth="1"/>
    <col min="14" max="14" width="25.7109375" style="535" customWidth="1"/>
    <col min="15" max="16384" width="14.5703125" style="535"/>
  </cols>
  <sheetData>
    <row r="1" spans="1:17">
      <c r="A1" s="533" t="s">
        <v>8847</v>
      </c>
      <c r="B1" s="534"/>
      <c r="C1" s="534"/>
      <c r="D1" s="322">
        <v>2010</v>
      </c>
      <c r="E1" s="322">
        <v>2011</v>
      </c>
      <c r="F1" s="322">
        <v>2012</v>
      </c>
      <c r="G1" s="322">
        <v>2013</v>
      </c>
      <c r="H1" s="322">
        <v>2014</v>
      </c>
      <c r="I1" s="322">
        <v>2015</v>
      </c>
      <c r="J1" s="322">
        <v>2016</v>
      </c>
      <c r="K1" s="322">
        <v>2017</v>
      </c>
      <c r="L1" s="322">
        <v>2018</v>
      </c>
      <c r="M1" s="534"/>
    </row>
    <row r="2" spans="1:17">
      <c r="A2" s="534"/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</row>
    <row r="3" spans="1:17">
      <c r="A3" s="533" t="s">
        <v>3090</v>
      </c>
      <c r="B3" s="534"/>
      <c r="C3" s="534"/>
      <c r="D3" s="536">
        <f t="shared" ref="D3:I3" si="0">SUM(D10:D48)</f>
        <v>110228</v>
      </c>
      <c r="E3" s="536">
        <f t="shared" si="0"/>
        <v>110924</v>
      </c>
      <c r="F3" s="536">
        <f t="shared" si="0"/>
        <v>110900</v>
      </c>
      <c r="G3" s="536">
        <f t="shared" si="0"/>
        <v>111109</v>
      </c>
      <c r="H3" s="536">
        <f t="shared" si="0"/>
        <v>111800</v>
      </c>
      <c r="I3" s="536">
        <f t="shared" si="0"/>
        <v>107572</v>
      </c>
      <c r="J3" s="536">
        <f t="shared" ref="J3:K3" si="1">SUM(J10:J48)</f>
        <v>105448</v>
      </c>
      <c r="K3" s="536">
        <f t="shared" si="1"/>
        <v>108591</v>
      </c>
      <c r="L3" s="536">
        <f t="shared" ref="L3" si="2">SUM(L10:L48)</f>
        <v>109938</v>
      </c>
      <c r="M3" s="534"/>
    </row>
    <row r="4" spans="1:17">
      <c r="A4" s="534"/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</row>
    <row r="5" spans="1:17">
      <c r="A5" s="533" t="s">
        <v>8749</v>
      </c>
      <c r="B5" s="534"/>
      <c r="C5" s="534"/>
      <c r="D5" s="536">
        <f t="shared" ref="D5:I5" si="3">D3</f>
        <v>110228</v>
      </c>
      <c r="E5" s="536">
        <f t="shared" si="3"/>
        <v>110924</v>
      </c>
      <c r="F5" s="536">
        <f t="shared" si="3"/>
        <v>110900</v>
      </c>
      <c r="G5" s="536">
        <f t="shared" si="3"/>
        <v>111109</v>
      </c>
      <c r="H5" s="536">
        <f t="shared" si="3"/>
        <v>111800</v>
      </c>
      <c r="I5" s="536">
        <f t="shared" si="3"/>
        <v>107572</v>
      </c>
      <c r="J5" s="536">
        <f t="shared" ref="J5:K5" si="4">J3</f>
        <v>105448</v>
      </c>
      <c r="K5" s="536">
        <f t="shared" si="4"/>
        <v>108591</v>
      </c>
      <c r="L5" s="536">
        <f t="shared" ref="L5" si="5">L3</f>
        <v>109938</v>
      </c>
      <c r="M5" s="534"/>
      <c r="N5" s="534"/>
    </row>
    <row r="6" spans="1:17">
      <c r="A6" s="533" t="s">
        <v>3520</v>
      </c>
      <c r="B6" s="534"/>
      <c r="C6" s="534"/>
      <c r="D6" s="536">
        <f t="shared" ref="D6:I6" si="6">D3/2</f>
        <v>55114</v>
      </c>
      <c r="E6" s="536">
        <f t="shared" si="6"/>
        <v>55462</v>
      </c>
      <c r="F6" s="536">
        <f t="shared" si="6"/>
        <v>55450</v>
      </c>
      <c r="G6" s="536">
        <f t="shared" si="6"/>
        <v>55554.5</v>
      </c>
      <c r="H6" s="536">
        <f t="shared" si="6"/>
        <v>55900</v>
      </c>
      <c r="I6" s="536">
        <f t="shared" si="6"/>
        <v>53786</v>
      </c>
      <c r="J6" s="536">
        <f t="shared" ref="J6:K6" si="7">J3/2</f>
        <v>52724</v>
      </c>
      <c r="K6" s="536">
        <f t="shared" si="7"/>
        <v>54295.5</v>
      </c>
      <c r="L6" s="536">
        <f t="shared" ref="L6" si="8">L3/2</f>
        <v>54969</v>
      </c>
      <c r="M6" s="534"/>
      <c r="N6" s="534"/>
    </row>
    <row r="7" spans="1:17">
      <c r="A7" s="534"/>
      <c r="B7" s="534"/>
      <c r="C7" s="534"/>
      <c r="D7" s="537"/>
      <c r="E7" s="537"/>
      <c r="F7" s="537"/>
      <c r="G7" s="537"/>
      <c r="H7" s="537"/>
      <c r="I7" s="537"/>
      <c r="J7" s="537"/>
      <c r="K7" s="537"/>
      <c r="L7" s="537"/>
      <c r="M7" s="534"/>
      <c r="N7" s="534"/>
    </row>
    <row r="8" spans="1:17">
      <c r="A8" s="533" t="s">
        <v>3091</v>
      </c>
      <c r="D8" s="536">
        <f t="shared" ref="D8:I8" si="9">SUM(D10:D50)</f>
        <v>110228</v>
      </c>
      <c r="E8" s="536">
        <f t="shared" si="9"/>
        <v>110924</v>
      </c>
      <c r="F8" s="536">
        <f t="shared" si="9"/>
        <v>110900</v>
      </c>
      <c r="G8" s="536">
        <f t="shared" si="9"/>
        <v>111109</v>
      </c>
      <c r="H8" s="536">
        <f t="shared" si="9"/>
        <v>111800</v>
      </c>
      <c r="I8" s="536">
        <f t="shared" si="9"/>
        <v>107572</v>
      </c>
      <c r="J8" s="536">
        <f t="shared" ref="J8:K8" si="10">SUM(J10:J50)</f>
        <v>105448</v>
      </c>
      <c r="K8" s="536">
        <f t="shared" si="10"/>
        <v>108591</v>
      </c>
      <c r="L8" s="536">
        <f t="shared" ref="L8" si="11">SUM(L10:L50)</f>
        <v>109938</v>
      </c>
      <c r="M8" s="534"/>
      <c r="N8" s="533" t="s">
        <v>3092</v>
      </c>
    </row>
    <row r="9" spans="1:17">
      <c r="A9" s="533"/>
      <c r="D9" s="536"/>
      <c r="E9" s="536"/>
      <c r="F9" s="536"/>
      <c r="G9" s="536"/>
      <c r="H9" s="536"/>
      <c r="I9" s="536"/>
      <c r="J9" s="536"/>
      <c r="K9" s="536"/>
      <c r="L9" s="536"/>
      <c r="M9" s="534"/>
      <c r="N9" s="533"/>
    </row>
    <row r="10" spans="1:17">
      <c r="A10" s="533" t="s">
        <v>6957</v>
      </c>
      <c r="B10" s="533" t="s">
        <v>3093</v>
      </c>
      <c r="C10" s="4" t="s">
        <v>10217</v>
      </c>
      <c r="D10" s="536">
        <v>3042</v>
      </c>
      <c r="E10" s="536">
        <v>3053</v>
      </c>
      <c r="F10" s="536">
        <v>3089</v>
      </c>
      <c r="G10" s="30">
        <v>3092</v>
      </c>
      <c r="H10" s="30">
        <v>3076</v>
      </c>
      <c r="I10" s="30">
        <v>3045</v>
      </c>
      <c r="J10" s="30">
        <v>3007</v>
      </c>
      <c r="K10" s="30">
        <v>3045</v>
      </c>
      <c r="L10" s="30">
        <v>3016</v>
      </c>
      <c r="M10" s="534"/>
      <c r="N10" s="533" t="s">
        <v>3091</v>
      </c>
      <c r="O10" s="4"/>
      <c r="Q10" s="4"/>
    </row>
    <row r="11" spans="1:17">
      <c r="A11" s="533" t="s">
        <v>6959</v>
      </c>
      <c r="B11" s="533" t="s">
        <v>3094</v>
      </c>
      <c r="C11" s="4" t="s">
        <v>10218</v>
      </c>
      <c r="D11" s="536">
        <v>2748</v>
      </c>
      <c r="E11" s="536">
        <v>2778</v>
      </c>
      <c r="F11" s="536">
        <v>2731</v>
      </c>
      <c r="G11" s="30">
        <v>2784</v>
      </c>
      <c r="H11" s="30">
        <v>2750</v>
      </c>
      <c r="I11" s="30">
        <v>2681</v>
      </c>
      <c r="J11" s="30">
        <v>2627</v>
      </c>
      <c r="K11" s="30">
        <v>2672</v>
      </c>
      <c r="L11" s="30">
        <v>2718</v>
      </c>
      <c r="M11" s="534"/>
      <c r="N11" s="533" t="s">
        <v>3091</v>
      </c>
      <c r="O11" s="4"/>
      <c r="Q11" s="4"/>
    </row>
    <row r="12" spans="1:17">
      <c r="A12" s="533" t="s">
        <v>6961</v>
      </c>
      <c r="B12" s="533" t="s">
        <v>3095</v>
      </c>
      <c r="C12" s="4" t="s">
        <v>10219</v>
      </c>
      <c r="D12" s="536">
        <v>6204</v>
      </c>
      <c r="E12" s="536">
        <v>6195</v>
      </c>
      <c r="F12" s="536">
        <v>6179</v>
      </c>
      <c r="G12" s="30">
        <v>6141</v>
      </c>
      <c r="H12" s="30">
        <v>6162</v>
      </c>
      <c r="I12" s="30">
        <v>6060</v>
      </c>
      <c r="J12" s="30">
        <v>5930</v>
      </c>
      <c r="K12" s="30">
        <v>6027</v>
      </c>
      <c r="L12" s="30">
        <v>6029</v>
      </c>
      <c r="M12" s="534"/>
      <c r="N12" s="533" t="s">
        <v>3091</v>
      </c>
      <c r="O12" s="4"/>
      <c r="Q12" s="4"/>
    </row>
    <row r="13" spans="1:17">
      <c r="A13" s="533" t="s">
        <v>6963</v>
      </c>
      <c r="B13" s="533" t="s">
        <v>3096</v>
      </c>
      <c r="C13" s="4" t="s">
        <v>10220</v>
      </c>
      <c r="D13" s="536">
        <v>2623</v>
      </c>
      <c r="E13" s="536">
        <v>2645</v>
      </c>
      <c r="F13" s="536">
        <v>2661</v>
      </c>
      <c r="G13" s="30">
        <v>2648</v>
      </c>
      <c r="H13" s="30">
        <v>2680</v>
      </c>
      <c r="I13" s="30">
        <v>2600</v>
      </c>
      <c r="J13" s="30">
        <v>2548</v>
      </c>
      <c r="K13" s="30">
        <v>2642</v>
      </c>
      <c r="L13" s="30">
        <v>2646</v>
      </c>
      <c r="M13" s="534"/>
      <c r="N13" s="533" t="s">
        <v>3091</v>
      </c>
      <c r="O13" s="4"/>
      <c r="Q13" s="4"/>
    </row>
    <row r="14" spans="1:17">
      <c r="A14" s="533" t="s">
        <v>6965</v>
      </c>
      <c r="B14" s="533" t="s">
        <v>3097</v>
      </c>
      <c r="C14" s="4" t="s">
        <v>10221</v>
      </c>
      <c r="D14" s="536">
        <v>2878</v>
      </c>
      <c r="E14" s="536">
        <v>2857</v>
      </c>
      <c r="F14" s="536">
        <v>2856</v>
      </c>
      <c r="G14" s="30">
        <v>2892</v>
      </c>
      <c r="H14" s="30">
        <v>2872</v>
      </c>
      <c r="I14" s="30">
        <v>2830</v>
      </c>
      <c r="J14" s="30">
        <v>2758</v>
      </c>
      <c r="K14" s="30">
        <v>2875</v>
      </c>
      <c r="L14" s="30">
        <v>2871</v>
      </c>
      <c r="M14" s="534"/>
      <c r="N14" s="533" t="s">
        <v>3091</v>
      </c>
      <c r="O14" s="4"/>
      <c r="Q14" s="4"/>
    </row>
    <row r="15" spans="1:17">
      <c r="A15" s="533" t="s">
        <v>6997</v>
      </c>
      <c r="B15" s="533" t="s">
        <v>1314</v>
      </c>
      <c r="C15" s="4" t="s">
        <v>10222</v>
      </c>
      <c r="D15" s="536">
        <v>2347</v>
      </c>
      <c r="E15" s="536">
        <v>2345</v>
      </c>
      <c r="F15" s="536">
        <v>2339</v>
      </c>
      <c r="G15" s="30">
        <v>2313</v>
      </c>
      <c r="H15" s="30">
        <v>2342</v>
      </c>
      <c r="I15" s="30">
        <v>2323</v>
      </c>
      <c r="J15" s="30">
        <v>2271</v>
      </c>
      <c r="K15" s="30">
        <v>2335</v>
      </c>
      <c r="L15" s="30">
        <v>2349</v>
      </c>
      <c r="M15" s="534"/>
      <c r="N15" s="533" t="s">
        <v>3091</v>
      </c>
      <c r="O15" s="4"/>
      <c r="Q15" s="4"/>
    </row>
    <row r="16" spans="1:17">
      <c r="A16" s="533" t="s">
        <v>6999</v>
      </c>
      <c r="B16" s="533" t="s">
        <v>1315</v>
      </c>
      <c r="C16" s="4" t="s">
        <v>10223</v>
      </c>
      <c r="D16" s="536">
        <v>3088</v>
      </c>
      <c r="E16" s="536">
        <v>3117</v>
      </c>
      <c r="F16" s="536">
        <v>3138</v>
      </c>
      <c r="G16" s="30">
        <v>3118</v>
      </c>
      <c r="H16" s="30">
        <v>3102</v>
      </c>
      <c r="I16" s="30">
        <v>2981</v>
      </c>
      <c r="J16" s="30">
        <v>2874</v>
      </c>
      <c r="K16" s="30">
        <v>2935</v>
      </c>
      <c r="L16" s="30">
        <v>2980</v>
      </c>
      <c r="M16" s="534"/>
      <c r="N16" s="533" t="s">
        <v>3091</v>
      </c>
      <c r="O16" s="4"/>
      <c r="Q16" s="4"/>
    </row>
    <row r="17" spans="1:17">
      <c r="A17" s="533" t="s">
        <v>7001</v>
      </c>
      <c r="B17" s="533" t="s">
        <v>1316</v>
      </c>
      <c r="C17" s="4" t="s">
        <v>10224</v>
      </c>
      <c r="D17" s="536">
        <v>2593</v>
      </c>
      <c r="E17" s="536">
        <v>2606</v>
      </c>
      <c r="F17" s="536">
        <v>2560</v>
      </c>
      <c r="G17" s="30">
        <v>2571</v>
      </c>
      <c r="H17" s="30">
        <v>2612</v>
      </c>
      <c r="I17" s="30">
        <v>2424</v>
      </c>
      <c r="J17" s="30">
        <v>2393</v>
      </c>
      <c r="K17" s="30">
        <v>2452</v>
      </c>
      <c r="L17" s="30">
        <v>2456</v>
      </c>
      <c r="M17" s="534"/>
      <c r="N17" s="533" t="s">
        <v>3091</v>
      </c>
      <c r="O17" s="4"/>
      <c r="Q17" s="4"/>
    </row>
    <row r="18" spans="1:17">
      <c r="A18" s="533" t="s">
        <v>7003</v>
      </c>
      <c r="B18" s="533" t="s">
        <v>1317</v>
      </c>
      <c r="C18" s="4" t="s">
        <v>10225</v>
      </c>
      <c r="D18" s="536">
        <v>2958</v>
      </c>
      <c r="E18" s="536">
        <v>2950</v>
      </c>
      <c r="F18" s="536">
        <v>2982</v>
      </c>
      <c r="G18" s="30">
        <v>3002</v>
      </c>
      <c r="H18" s="30">
        <v>3014</v>
      </c>
      <c r="I18" s="30">
        <v>2966</v>
      </c>
      <c r="J18" s="30">
        <v>2867</v>
      </c>
      <c r="K18" s="30">
        <v>2864</v>
      </c>
      <c r="L18" s="30">
        <v>2859</v>
      </c>
      <c r="M18" s="534"/>
      <c r="N18" s="533" t="s">
        <v>3091</v>
      </c>
      <c r="O18" s="4"/>
      <c r="Q18" s="4"/>
    </row>
    <row r="19" spans="1:17">
      <c r="A19" s="533" t="s">
        <v>7005</v>
      </c>
      <c r="B19" s="533" t="s">
        <v>1318</v>
      </c>
      <c r="C19" s="4" t="s">
        <v>10226</v>
      </c>
      <c r="D19" s="536">
        <v>3063</v>
      </c>
      <c r="E19" s="536">
        <v>3037</v>
      </c>
      <c r="F19" s="536">
        <v>3018</v>
      </c>
      <c r="G19" s="30">
        <v>2992</v>
      </c>
      <c r="H19" s="30">
        <v>3071</v>
      </c>
      <c r="I19" s="30">
        <v>3035</v>
      </c>
      <c r="J19" s="30">
        <v>2973</v>
      </c>
      <c r="K19" s="30">
        <v>3107</v>
      </c>
      <c r="L19" s="30">
        <v>3170</v>
      </c>
      <c r="M19" s="534"/>
      <c r="N19" s="533" t="s">
        <v>3091</v>
      </c>
      <c r="O19" s="4"/>
      <c r="Q19" s="4"/>
    </row>
    <row r="20" spans="1:17">
      <c r="A20" s="533" t="s">
        <v>7007</v>
      </c>
      <c r="B20" s="533" t="s">
        <v>1319</v>
      </c>
      <c r="C20" s="4" t="s">
        <v>10227</v>
      </c>
      <c r="D20" s="536">
        <v>2968</v>
      </c>
      <c r="E20" s="536">
        <v>2953</v>
      </c>
      <c r="F20" s="536">
        <v>2985</v>
      </c>
      <c r="G20" s="30">
        <v>3027</v>
      </c>
      <c r="H20" s="30">
        <v>3080</v>
      </c>
      <c r="I20" s="30">
        <v>2986</v>
      </c>
      <c r="J20" s="30">
        <v>2944</v>
      </c>
      <c r="K20" s="30">
        <v>3109</v>
      </c>
      <c r="L20" s="30">
        <v>3101</v>
      </c>
      <c r="M20" s="534"/>
      <c r="N20" s="533" t="s">
        <v>3091</v>
      </c>
      <c r="O20" s="4"/>
      <c r="Q20" s="4"/>
    </row>
    <row r="21" spans="1:17">
      <c r="A21" s="533" t="s">
        <v>7009</v>
      </c>
      <c r="B21" s="533" t="s">
        <v>1320</v>
      </c>
      <c r="C21" s="4" t="s">
        <v>10228</v>
      </c>
      <c r="D21" s="536">
        <v>2330</v>
      </c>
      <c r="E21" s="536">
        <v>2324</v>
      </c>
      <c r="F21" s="536">
        <v>2308</v>
      </c>
      <c r="G21" s="30">
        <v>2338</v>
      </c>
      <c r="H21" s="30">
        <v>2358</v>
      </c>
      <c r="I21" s="30">
        <v>2262</v>
      </c>
      <c r="J21" s="30">
        <v>2148</v>
      </c>
      <c r="K21" s="30">
        <v>2211</v>
      </c>
      <c r="L21" s="30">
        <v>2207</v>
      </c>
      <c r="M21" s="534"/>
      <c r="N21" s="533" t="s">
        <v>3091</v>
      </c>
      <c r="O21" s="4"/>
      <c r="Q21" s="4"/>
    </row>
    <row r="22" spans="1:17">
      <c r="A22" s="533" t="s">
        <v>7011</v>
      </c>
      <c r="B22" s="533" t="s">
        <v>1321</v>
      </c>
      <c r="C22" s="4" t="s">
        <v>10229</v>
      </c>
      <c r="D22" s="536">
        <v>2389</v>
      </c>
      <c r="E22" s="536">
        <v>2427</v>
      </c>
      <c r="F22" s="536">
        <v>2438</v>
      </c>
      <c r="G22" s="30">
        <v>2456</v>
      </c>
      <c r="H22" s="30">
        <v>2448</v>
      </c>
      <c r="I22" s="30">
        <v>2420</v>
      </c>
      <c r="J22" s="30">
        <v>2421</v>
      </c>
      <c r="K22" s="30">
        <v>2551</v>
      </c>
      <c r="L22" s="30">
        <v>2570</v>
      </c>
      <c r="M22" s="534"/>
      <c r="N22" s="533" t="s">
        <v>3091</v>
      </c>
      <c r="O22" s="4"/>
      <c r="Q22" s="4"/>
    </row>
    <row r="23" spans="1:17">
      <c r="A23" s="533" t="s">
        <v>7013</v>
      </c>
      <c r="B23" s="533" t="s">
        <v>1322</v>
      </c>
      <c r="C23" s="4" t="s">
        <v>10230</v>
      </c>
      <c r="D23" s="536">
        <v>2658</v>
      </c>
      <c r="E23" s="536">
        <v>2640</v>
      </c>
      <c r="F23" s="536">
        <v>2624</v>
      </c>
      <c r="G23" s="30">
        <v>2580</v>
      </c>
      <c r="H23" s="30">
        <v>2607</v>
      </c>
      <c r="I23" s="30">
        <v>2567</v>
      </c>
      <c r="J23" s="30">
        <v>2517</v>
      </c>
      <c r="K23" s="30">
        <v>2584</v>
      </c>
      <c r="L23" s="30">
        <v>2618</v>
      </c>
      <c r="M23" s="534"/>
      <c r="N23" s="533" t="s">
        <v>3091</v>
      </c>
      <c r="O23" s="4"/>
      <c r="Q23" s="4"/>
    </row>
    <row r="24" spans="1:17">
      <c r="A24" s="533" t="s">
        <v>7015</v>
      </c>
      <c r="B24" s="533" t="s">
        <v>1323</v>
      </c>
      <c r="C24" s="4" t="s">
        <v>10231</v>
      </c>
      <c r="D24" s="536">
        <v>2799</v>
      </c>
      <c r="E24" s="536">
        <v>2798</v>
      </c>
      <c r="F24" s="536">
        <v>2800</v>
      </c>
      <c r="G24" s="30">
        <v>2824</v>
      </c>
      <c r="H24" s="30">
        <v>2877</v>
      </c>
      <c r="I24" s="30">
        <v>2814</v>
      </c>
      <c r="J24" s="30">
        <v>2685</v>
      </c>
      <c r="K24" s="30">
        <v>2808</v>
      </c>
      <c r="L24" s="30">
        <v>2839</v>
      </c>
      <c r="M24" s="534"/>
      <c r="N24" s="533" t="s">
        <v>3091</v>
      </c>
      <c r="O24" s="4"/>
      <c r="Q24" s="4"/>
    </row>
    <row r="25" spans="1:17">
      <c r="A25" s="533" t="s">
        <v>7017</v>
      </c>
      <c r="B25" s="533" t="s">
        <v>1324</v>
      </c>
      <c r="C25" s="4" t="s">
        <v>10232</v>
      </c>
      <c r="D25" s="536">
        <v>2826</v>
      </c>
      <c r="E25" s="536">
        <v>2878</v>
      </c>
      <c r="F25" s="536">
        <v>2887</v>
      </c>
      <c r="G25" s="31">
        <v>2828</v>
      </c>
      <c r="H25" s="31">
        <v>2884</v>
      </c>
      <c r="I25" s="31">
        <v>2838</v>
      </c>
      <c r="J25" s="31">
        <v>2785</v>
      </c>
      <c r="K25" s="31">
        <v>2843</v>
      </c>
      <c r="L25" s="31">
        <v>2880</v>
      </c>
      <c r="M25" s="534"/>
      <c r="N25" s="533" t="s">
        <v>3091</v>
      </c>
      <c r="O25" s="4"/>
      <c r="Q25" s="4"/>
    </row>
    <row r="26" spans="1:17">
      <c r="A26" s="533" t="s">
        <v>7019</v>
      </c>
      <c r="B26" s="533" t="s">
        <v>1325</v>
      </c>
      <c r="C26" s="4" t="s">
        <v>10233</v>
      </c>
      <c r="D26" s="536">
        <v>2868</v>
      </c>
      <c r="E26" s="536">
        <v>2917</v>
      </c>
      <c r="F26" s="536">
        <v>2926</v>
      </c>
      <c r="G26" s="31">
        <v>2941</v>
      </c>
      <c r="H26" s="31">
        <v>2951</v>
      </c>
      <c r="I26" s="31">
        <v>2928</v>
      </c>
      <c r="J26" s="31">
        <v>2881</v>
      </c>
      <c r="K26" s="31">
        <v>2908</v>
      </c>
      <c r="L26" s="31">
        <v>2937</v>
      </c>
      <c r="M26" s="534"/>
      <c r="N26" s="533" t="s">
        <v>3091</v>
      </c>
      <c r="O26" s="4"/>
      <c r="Q26" s="4"/>
    </row>
    <row r="27" spans="1:17">
      <c r="A27" s="533" t="s">
        <v>7021</v>
      </c>
      <c r="B27" s="533" t="s">
        <v>1326</v>
      </c>
      <c r="C27" s="4" t="s">
        <v>10234</v>
      </c>
      <c r="D27" s="536">
        <v>2643</v>
      </c>
      <c r="E27" s="536">
        <v>2642</v>
      </c>
      <c r="F27" s="536">
        <v>2573</v>
      </c>
      <c r="G27" s="31">
        <v>2523</v>
      </c>
      <c r="H27" s="31">
        <v>2580</v>
      </c>
      <c r="I27" s="31">
        <v>2546</v>
      </c>
      <c r="J27" s="31">
        <v>2427</v>
      </c>
      <c r="K27" s="31">
        <v>2454</v>
      </c>
      <c r="L27" s="31">
        <v>2471</v>
      </c>
      <c r="M27" s="534"/>
      <c r="N27" s="533" t="s">
        <v>3091</v>
      </c>
      <c r="O27" s="4"/>
      <c r="Q27" s="4"/>
    </row>
    <row r="28" spans="1:17">
      <c r="A28" s="533" t="s">
        <v>7023</v>
      </c>
      <c r="B28" s="533" t="s">
        <v>1327</v>
      </c>
      <c r="C28" s="4" t="s">
        <v>10235</v>
      </c>
      <c r="D28" s="536">
        <v>2865</v>
      </c>
      <c r="E28" s="536">
        <v>2921</v>
      </c>
      <c r="F28" s="536">
        <v>2967</v>
      </c>
      <c r="G28" s="31">
        <v>3007</v>
      </c>
      <c r="H28" s="31">
        <v>3090</v>
      </c>
      <c r="I28" s="31">
        <v>2895</v>
      </c>
      <c r="J28" s="31">
        <v>2840</v>
      </c>
      <c r="K28" s="31">
        <v>2854</v>
      </c>
      <c r="L28" s="31">
        <v>2884</v>
      </c>
      <c r="M28" s="534"/>
      <c r="N28" s="533" t="s">
        <v>3091</v>
      </c>
      <c r="O28" s="4"/>
      <c r="Q28" s="4"/>
    </row>
    <row r="29" spans="1:17">
      <c r="A29" s="533" t="s">
        <v>7025</v>
      </c>
      <c r="B29" s="533" t="s">
        <v>3117</v>
      </c>
      <c r="C29" s="4" t="s">
        <v>10236</v>
      </c>
      <c r="D29" s="536">
        <v>2347</v>
      </c>
      <c r="E29" s="536">
        <v>2397</v>
      </c>
      <c r="F29" s="536">
        <v>2464</v>
      </c>
      <c r="G29" s="31">
        <v>2565</v>
      </c>
      <c r="H29" s="31">
        <v>2706</v>
      </c>
      <c r="I29" s="31">
        <v>2624</v>
      </c>
      <c r="J29" s="31">
        <v>2669</v>
      </c>
      <c r="K29" s="31">
        <v>2783</v>
      </c>
      <c r="L29" s="31">
        <v>2848</v>
      </c>
      <c r="M29" s="534"/>
      <c r="N29" s="533" t="s">
        <v>3091</v>
      </c>
      <c r="O29" s="4"/>
      <c r="Q29" s="4"/>
    </row>
    <row r="30" spans="1:17">
      <c r="A30" s="533" t="s">
        <v>7570</v>
      </c>
      <c r="B30" s="533" t="s">
        <v>1403</v>
      </c>
      <c r="C30" s="4" t="s">
        <v>10237</v>
      </c>
      <c r="D30" s="536">
        <v>2581</v>
      </c>
      <c r="E30" s="536">
        <v>2620</v>
      </c>
      <c r="F30" s="536">
        <v>2619</v>
      </c>
      <c r="G30" s="31">
        <v>2489</v>
      </c>
      <c r="H30" s="31">
        <v>2525</v>
      </c>
      <c r="I30" s="31">
        <v>2474</v>
      </c>
      <c r="J30" s="31">
        <v>2384</v>
      </c>
      <c r="K30" s="31">
        <v>2450</v>
      </c>
      <c r="L30" s="31">
        <v>2480</v>
      </c>
      <c r="M30" s="534"/>
      <c r="N30" s="533" t="s">
        <v>3091</v>
      </c>
      <c r="O30" s="4"/>
      <c r="Q30" s="4"/>
    </row>
    <row r="31" spans="1:17">
      <c r="A31" s="533" t="s">
        <v>7572</v>
      </c>
      <c r="B31" s="533" t="s">
        <v>1404</v>
      </c>
      <c r="C31" s="4" t="s">
        <v>10238</v>
      </c>
      <c r="D31" s="536">
        <v>2656</v>
      </c>
      <c r="E31" s="536">
        <v>2683</v>
      </c>
      <c r="F31" s="536">
        <v>2663</v>
      </c>
      <c r="G31" s="31">
        <v>2655</v>
      </c>
      <c r="H31" s="31">
        <v>2689</v>
      </c>
      <c r="I31" s="31">
        <v>2585</v>
      </c>
      <c r="J31" s="31">
        <v>2580</v>
      </c>
      <c r="K31" s="31">
        <v>2652</v>
      </c>
      <c r="L31" s="31">
        <v>2758</v>
      </c>
      <c r="M31" s="534"/>
      <c r="N31" s="533" t="s">
        <v>3091</v>
      </c>
      <c r="O31" s="4"/>
      <c r="Q31" s="4"/>
    </row>
    <row r="32" spans="1:17">
      <c r="A32" s="533" t="s">
        <v>7573</v>
      </c>
      <c r="B32" s="533" t="s">
        <v>1405</v>
      </c>
      <c r="C32" s="4" t="s">
        <v>10239</v>
      </c>
      <c r="D32" s="536">
        <v>2344</v>
      </c>
      <c r="E32" s="536">
        <v>2437</v>
      </c>
      <c r="F32" s="536">
        <v>2433</v>
      </c>
      <c r="G32" s="31">
        <v>2408</v>
      </c>
      <c r="H32" s="31">
        <v>2482</v>
      </c>
      <c r="I32" s="31">
        <v>2475</v>
      </c>
      <c r="J32" s="31">
        <v>2460</v>
      </c>
      <c r="K32" s="31">
        <v>2494</v>
      </c>
      <c r="L32" s="31">
        <v>2539</v>
      </c>
      <c r="M32" s="534"/>
      <c r="N32" s="533" t="s">
        <v>3091</v>
      </c>
      <c r="O32" s="4"/>
      <c r="Q32" s="4"/>
    </row>
    <row r="33" spans="1:17">
      <c r="A33" s="533" t="s">
        <v>5798</v>
      </c>
      <c r="B33" s="533" t="s">
        <v>1406</v>
      </c>
      <c r="C33" s="4" t="s">
        <v>10240</v>
      </c>
      <c r="D33" s="536">
        <v>2424</v>
      </c>
      <c r="E33" s="536">
        <v>2456</v>
      </c>
      <c r="F33" s="536">
        <v>2441</v>
      </c>
      <c r="G33" s="31">
        <v>2435</v>
      </c>
      <c r="H33" s="31">
        <v>2404</v>
      </c>
      <c r="I33" s="31">
        <v>2330</v>
      </c>
      <c r="J33" s="31">
        <v>2292</v>
      </c>
      <c r="K33" s="31">
        <v>2353</v>
      </c>
      <c r="L33" s="31">
        <v>2365</v>
      </c>
      <c r="M33" s="534"/>
      <c r="N33" s="533" t="s">
        <v>3091</v>
      </c>
      <c r="O33" s="4"/>
      <c r="Q33" s="4"/>
    </row>
    <row r="34" spans="1:17">
      <c r="A34" s="533" t="s">
        <v>5799</v>
      </c>
      <c r="B34" s="533" t="s">
        <v>1407</v>
      </c>
      <c r="C34" s="4" t="s">
        <v>10241</v>
      </c>
      <c r="D34" s="536">
        <v>2959</v>
      </c>
      <c r="E34" s="536">
        <v>2980</v>
      </c>
      <c r="F34" s="536">
        <v>2949</v>
      </c>
      <c r="G34" s="31">
        <v>2965</v>
      </c>
      <c r="H34" s="31">
        <v>2931</v>
      </c>
      <c r="I34" s="31">
        <v>2820</v>
      </c>
      <c r="J34" s="31">
        <v>2763</v>
      </c>
      <c r="K34" s="31">
        <v>2817</v>
      </c>
      <c r="L34" s="31">
        <v>2815</v>
      </c>
      <c r="M34" s="534"/>
      <c r="N34" s="533" t="s">
        <v>3091</v>
      </c>
      <c r="O34" s="4"/>
      <c r="Q34" s="4"/>
    </row>
    <row r="35" spans="1:17">
      <c r="A35" s="533" t="s">
        <v>5801</v>
      </c>
      <c r="B35" s="533" t="s">
        <v>1408</v>
      </c>
      <c r="C35" s="4" t="s">
        <v>10242</v>
      </c>
      <c r="D35" s="536">
        <v>2786</v>
      </c>
      <c r="E35" s="536">
        <v>2791</v>
      </c>
      <c r="F35" s="536">
        <v>2756</v>
      </c>
      <c r="G35" s="31">
        <v>2804</v>
      </c>
      <c r="H35" s="31">
        <v>2772</v>
      </c>
      <c r="I35" s="31">
        <v>2653</v>
      </c>
      <c r="J35" s="31">
        <v>2546</v>
      </c>
      <c r="K35" s="31">
        <v>2550</v>
      </c>
      <c r="L35" s="31">
        <v>2579</v>
      </c>
      <c r="M35" s="534"/>
      <c r="N35" s="533" t="s">
        <v>3091</v>
      </c>
      <c r="O35" s="4"/>
      <c r="Q35" s="4"/>
    </row>
    <row r="36" spans="1:17">
      <c r="A36" s="533" t="s">
        <v>5927</v>
      </c>
      <c r="B36" s="533" t="s">
        <v>1409</v>
      </c>
      <c r="C36" s="4" t="s">
        <v>10243</v>
      </c>
      <c r="D36" s="536">
        <v>2953</v>
      </c>
      <c r="E36" s="536">
        <v>2940</v>
      </c>
      <c r="F36" s="536">
        <v>3002</v>
      </c>
      <c r="G36" s="31">
        <v>2928</v>
      </c>
      <c r="H36" s="31">
        <v>2888</v>
      </c>
      <c r="I36" s="31">
        <v>2604</v>
      </c>
      <c r="J36" s="31">
        <v>2573</v>
      </c>
      <c r="K36" s="31">
        <v>2723</v>
      </c>
      <c r="L36" s="31">
        <v>2781</v>
      </c>
      <c r="M36" s="534"/>
      <c r="N36" s="533" t="s">
        <v>3091</v>
      </c>
      <c r="O36" s="4"/>
      <c r="Q36" s="4"/>
    </row>
    <row r="37" spans="1:17">
      <c r="A37" s="533" t="s">
        <v>5929</v>
      </c>
      <c r="B37" s="533" t="s">
        <v>1410</v>
      </c>
      <c r="C37" s="4" t="s">
        <v>10244</v>
      </c>
      <c r="D37" s="536">
        <v>2921</v>
      </c>
      <c r="E37" s="536">
        <v>3082</v>
      </c>
      <c r="F37" s="536">
        <v>3108</v>
      </c>
      <c r="G37" s="31">
        <v>3143</v>
      </c>
      <c r="H37" s="31">
        <v>3082</v>
      </c>
      <c r="I37" s="31">
        <v>2872</v>
      </c>
      <c r="J37" s="31">
        <v>2841</v>
      </c>
      <c r="K37" s="31">
        <v>2923</v>
      </c>
      <c r="L37" s="31">
        <v>2987</v>
      </c>
      <c r="M37" s="534"/>
      <c r="N37" s="533" t="s">
        <v>3091</v>
      </c>
      <c r="O37" s="4"/>
      <c r="Q37" s="4"/>
    </row>
    <row r="38" spans="1:17">
      <c r="A38" s="533" t="s">
        <v>5931</v>
      </c>
      <c r="B38" s="533" t="s">
        <v>1411</v>
      </c>
      <c r="C38" s="4" t="s">
        <v>10245</v>
      </c>
      <c r="D38" s="536">
        <v>2885</v>
      </c>
      <c r="E38" s="536">
        <v>2893</v>
      </c>
      <c r="F38" s="536">
        <v>2860</v>
      </c>
      <c r="G38" s="31">
        <v>2870</v>
      </c>
      <c r="H38" s="31">
        <v>2868</v>
      </c>
      <c r="I38" s="31">
        <v>2682</v>
      </c>
      <c r="J38" s="31">
        <v>2614</v>
      </c>
      <c r="K38" s="31">
        <v>2699</v>
      </c>
      <c r="L38" s="31">
        <v>2765</v>
      </c>
      <c r="M38" s="534"/>
      <c r="N38" s="533" t="s">
        <v>3091</v>
      </c>
      <c r="O38" s="4"/>
      <c r="Q38" s="4"/>
    </row>
    <row r="39" spans="1:17">
      <c r="A39" s="533" t="s">
        <v>5933</v>
      </c>
      <c r="B39" s="533" t="s">
        <v>4831</v>
      </c>
      <c r="C39" s="4" t="s">
        <v>10246</v>
      </c>
      <c r="D39" s="536">
        <v>2471</v>
      </c>
      <c r="E39" s="536">
        <v>2420</v>
      </c>
      <c r="F39" s="536">
        <v>2440</v>
      </c>
      <c r="G39" s="31">
        <v>2468</v>
      </c>
      <c r="H39" s="31">
        <v>2531</v>
      </c>
      <c r="I39" s="31">
        <v>2371</v>
      </c>
      <c r="J39" s="31">
        <v>2294</v>
      </c>
      <c r="K39" s="31">
        <v>2384</v>
      </c>
      <c r="L39" s="31">
        <v>2399</v>
      </c>
      <c r="M39" s="534"/>
      <c r="N39" s="533" t="s">
        <v>3091</v>
      </c>
      <c r="O39" s="4"/>
      <c r="Q39" s="4"/>
    </row>
    <row r="40" spans="1:17">
      <c r="A40" s="533" t="s">
        <v>7897</v>
      </c>
      <c r="B40" s="533" t="s">
        <v>4832</v>
      </c>
      <c r="C40" s="4" t="s">
        <v>10247</v>
      </c>
      <c r="D40" s="536">
        <v>3020</v>
      </c>
      <c r="E40" s="536">
        <v>3023</v>
      </c>
      <c r="F40" s="536">
        <v>3042</v>
      </c>
      <c r="G40" s="31">
        <v>3014</v>
      </c>
      <c r="H40" s="31">
        <v>3049</v>
      </c>
      <c r="I40" s="31">
        <v>2865</v>
      </c>
      <c r="J40" s="31">
        <v>2807</v>
      </c>
      <c r="K40" s="31">
        <v>2925</v>
      </c>
      <c r="L40" s="31">
        <v>2946</v>
      </c>
      <c r="M40" s="534"/>
      <c r="N40" s="533" t="s">
        <v>3091</v>
      </c>
      <c r="O40" s="4"/>
      <c r="Q40" s="4"/>
    </row>
    <row r="41" spans="1:17">
      <c r="A41" s="533" t="s">
        <v>7898</v>
      </c>
      <c r="B41" s="533" t="s">
        <v>3142</v>
      </c>
      <c r="C41" s="4" t="s">
        <v>10248</v>
      </c>
      <c r="D41" s="536">
        <v>2877</v>
      </c>
      <c r="E41" s="536">
        <v>2845</v>
      </c>
      <c r="F41" s="536">
        <v>2846</v>
      </c>
      <c r="G41" s="31">
        <v>2892</v>
      </c>
      <c r="H41" s="31">
        <v>2911</v>
      </c>
      <c r="I41" s="31">
        <v>2743</v>
      </c>
      <c r="J41" s="31">
        <v>2660</v>
      </c>
      <c r="K41" s="31">
        <v>2770</v>
      </c>
      <c r="L41" s="31">
        <v>2841</v>
      </c>
      <c r="M41" s="534"/>
      <c r="N41" s="533" t="s">
        <v>3091</v>
      </c>
      <c r="O41" s="4"/>
      <c r="Q41" s="4"/>
    </row>
    <row r="42" spans="1:17">
      <c r="A42" s="533" t="s">
        <v>7899</v>
      </c>
      <c r="B42" s="533" t="s">
        <v>3143</v>
      </c>
      <c r="C42" s="4" t="s">
        <v>10249</v>
      </c>
      <c r="D42" s="536">
        <v>2916</v>
      </c>
      <c r="E42" s="536">
        <v>2917</v>
      </c>
      <c r="F42" s="536">
        <v>2874</v>
      </c>
      <c r="G42" s="31">
        <v>2904</v>
      </c>
      <c r="H42" s="31">
        <v>2934</v>
      </c>
      <c r="I42" s="31">
        <v>2724</v>
      </c>
      <c r="J42" s="31">
        <v>2721</v>
      </c>
      <c r="K42" s="31">
        <v>2865</v>
      </c>
      <c r="L42" s="31">
        <v>2894</v>
      </c>
      <c r="M42" s="534"/>
      <c r="N42" s="533" t="s">
        <v>3091</v>
      </c>
      <c r="O42" s="4"/>
      <c r="Q42" s="4"/>
    </row>
    <row r="43" spans="1:17">
      <c r="A43" s="533" t="s">
        <v>7901</v>
      </c>
      <c r="B43" s="533" t="s">
        <v>3144</v>
      </c>
      <c r="C43" s="4" t="s">
        <v>10250</v>
      </c>
      <c r="D43" s="536">
        <v>2534</v>
      </c>
      <c r="E43" s="536">
        <v>2510</v>
      </c>
      <c r="F43" s="536">
        <v>2486</v>
      </c>
      <c r="G43" s="31">
        <v>2504</v>
      </c>
      <c r="H43" s="31">
        <v>2457</v>
      </c>
      <c r="I43" s="31">
        <v>2279</v>
      </c>
      <c r="J43" s="31">
        <v>2287</v>
      </c>
      <c r="K43" s="31">
        <v>2401</v>
      </c>
      <c r="L43" s="31">
        <v>2494</v>
      </c>
      <c r="M43" s="534"/>
      <c r="N43" s="533" t="s">
        <v>3091</v>
      </c>
      <c r="O43" s="4"/>
      <c r="Q43" s="4"/>
    </row>
    <row r="44" spans="1:17">
      <c r="A44" s="533" t="s">
        <v>3125</v>
      </c>
      <c r="B44" s="533" t="s">
        <v>3145</v>
      </c>
      <c r="C44" s="4" t="s">
        <v>10251</v>
      </c>
      <c r="D44" s="536">
        <v>2452</v>
      </c>
      <c r="E44" s="536">
        <v>2474</v>
      </c>
      <c r="F44" s="536">
        <v>2419</v>
      </c>
      <c r="G44" s="31">
        <v>2428</v>
      </c>
      <c r="H44" s="31">
        <v>2459</v>
      </c>
      <c r="I44" s="31">
        <v>2271</v>
      </c>
      <c r="J44" s="31">
        <v>2265</v>
      </c>
      <c r="K44" s="31">
        <v>2337</v>
      </c>
      <c r="L44" s="31">
        <v>2368</v>
      </c>
      <c r="M44" s="534"/>
      <c r="N44" s="533" t="s">
        <v>3091</v>
      </c>
      <c r="O44" s="4"/>
      <c r="Q44" s="4"/>
    </row>
    <row r="45" spans="1:17">
      <c r="A45" s="533" t="s">
        <v>3127</v>
      </c>
      <c r="B45" s="533" t="s">
        <v>3146</v>
      </c>
      <c r="C45" s="4" t="s">
        <v>10252</v>
      </c>
      <c r="D45" s="536">
        <v>2471</v>
      </c>
      <c r="E45" s="536">
        <v>2531</v>
      </c>
      <c r="F45" s="536">
        <v>2530</v>
      </c>
      <c r="G45" s="31">
        <v>2549</v>
      </c>
      <c r="H45" s="31">
        <v>2486</v>
      </c>
      <c r="I45" s="31">
        <v>2389</v>
      </c>
      <c r="J45" s="31">
        <v>2325</v>
      </c>
      <c r="K45" s="31">
        <v>2365</v>
      </c>
      <c r="L45" s="31">
        <v>2389</v>
      </c>
      <c r="M45" s="534"/>
      <c r="N45" s="533" t="s">
        <v>3091</v>
      </c>
      <c r="O45" s="4"/>
      <c r="Q45" s="4"/>
    </row>
    <row r="46" spans="1:17">
      <c r="A46" s="533" t="s">
        <v>2671</v>
      </c>
      <c r="B46" s="533" t="s">
        <v>3147</v>
      </c>
      <c r="C46" s="4" t="s">
        <v>10253</v>
      </c>
      <c r="D46" s="536">
        <v>2848</v>
      </c>
      <c r="E46" s="536">
        <v>2872</v>
      </c>
      <c r="F46" s="536">
        <v>2844</v>
      </c>
      <c r="G46" s="31">
        <v>2838</v>
      </c>
      <c r="H46" s="31">
        <v>2863</v>
      </c>
      <c r="I46" s="31">
        <v>2811</v>
      </c>
      <c r="J46" s="31">
        <v>2694</v>
      </c>
      <c r="K46" s="31">
        <v>2751</v>
      </c>
      <c r="L46" s="31">
        <v>2764</v>
      </c>
      <c r="M46" s="534"/>
      <c r="N46" s="533" t="s">
        <v>3091</v>
      </c>
      <c r="O46" s="4"/>
      <c r="Q46" s="4"/>
    </row>
    <row r="47" spans="1:17">
      <c r="A47" s="533" t="s">
        <v>2672</v>
      </c>
      <c r="B47" s="533" t="s">
        <v>3148</v>
      </c>
      <c r="C47" s="4" t="s">
        <v>10254</v>
      </c>
      <c r="D47" s="536">
        <v>3022</v>
      </c>
      <c r="E47" s="536">
        <v>3085</v>
      </c>
      <c r="F47" s="536">
        <v>3177</v>
      </c>
      <c r="G47" s="31">
        <v>3332</v>
      </c>
      <c r="H47" s="31">
        <v>3322</v>
      </c>
      <c r="I47" s="31">
        <v>3038</v>
      </c>
      <c r="J47" s="31">
        <v>3072</v>
      </c>
      <c r="K47" s="31">
        <v>3302</v>
      </c>
      <c r="L47" s="31">
        <v>3487</v>
      </c>
      <c r="M47" s="534"/>
      <c r="N47" s="533" t="s">
        <v>3091</v>
      </c>
      <c r="O47" s="4"/>
      <c r="Q47" s="4"/>
    </row>
    <row r="48" spans="1:17">
      <c r="A48" s="533" t="s">
        <v>2674</v>
      </c>
      <c r="B48" s="533" t="s">
        <v>3149</v>
      </c>
      <c r="C48" s="4" t="s">
        <v>10255</v>
      </c>
      <c r="D48" s="536">
        <v>2871</v>
      </c>
      <c r="E48" s="536">
        <v>2885</v>
      </c>
      <c r="F48" s="536">
        <v>2886</v>
      </c>
      <c r="G48" s="31">
        <v>2841</v>
      </c>
      <c r="H48" s="31">
        <v>2885</v>
      </c>
      <c r="I48" s="31">
        <v>2761</v>
      </c>
      <c r="J48" s="31">
        <v>2705</v>
      </c>
      <c r="K48" s="31">
        <v>2771</v>
      </c>
      <c r="L48" s="31">
        <v>2838</v>
      </c>
      <c r="M48" s="534"/>
      <c r="N48" s="533" t="s">
        <v>3091</v>
      </c>
      <c r="O48" s="4"/>
      <c r="Q48" s="4"/>
    </row>
    <row r="49" spans="1:14">
      <c r="A49" s="534"/>
      <c r="B49" s="534"/>
      <c r="C49" s="534"/>
      <c r="D49" s="536"/>
      <c r="E49" s="536"/>
      <c r="F49" s="536"/>
      <c r="G49" s="536"/>
      <c r="H49" s="536"/>
      <c r="I49" s="536"/>
      <c r="J49" s="536"/>
      <c r="K49" s="536"/>
      <c r="L49" s="536"/>
      <c r="M49" s="534"/>
      <c r="N49" s="533"/>
    </row>
    <row r="50" spans="1:14">
      <c r="A50" s="533" t="s">
        <v>6583</v>
      </c>
      <c r="B50" s="534"/>
      <c r="C50" s="534"/>
      <c r="D50" s="536"/>
      <c r="E50" s="536"/>
      <c r="F50" s="536"/>
      <c r="G50" s="536"/>
      <c r="H50" s="536"/>
      <c r="I50" s="536"/>
      <c r="J50" s="536"/>
      <c r="K50" s="536"/>
      <c r="L50" s="536"/>
      <c r="M50" s="534"/>
      <c r="N50" s="533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8 E5:E8 F5:F8 G5:G8 H3:H4 H5:H8 I3:I8 J3:J8 K3:K8 L3:L8" unlocked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34"/>
  <sheetViews>
    <sheetView showGridLines="0" zoomScaleNormal="100" workbookViewId="0"/>
  </sheetViews>
  <sheetFormatPr defaultColWidth="12.5703125" defaultRowHeight="15"/>
  <cols>
    <col min="1" max="1" width="4.85546875" style="206" customWidth="1"/>
    <col min="2" max="2" width="36.140625" style="206" customWidth="1"/>
    <col min="3" max="3" width="11.5703125" style="206" customWidth="1"/>
    <col min="4" max="12" width="10" style="206" customWidth="1"/>
    <col min="13" max="13" width="2.28515625" style="206" customWidth="1"/>
    <col min="14" max="14" width="29.28515625" style="206" customWidth="1"/>
    <col min="15" max="16384" width="12.5703125" style="206"/>
  </cols>
  <sheetData>
    <row r="1" spans="1:14">
      <c r="A1" s="205" t="s">
        <v>7342</v>
      </c>
      <c r="D1" s="207">
        <v>2010</v>
      </c>
      <c r="E1" s="207">
        <v>2011</v>
      </c>
      <c r="F1" s="207">
        <v>2012</v>
      </c>
      <c r="G1" s="207">
        <v>2013</v>
      </c>
      <c r="H1" s="207">
        <v>2014</v>
      </c>
      <c r="I1" s="207">
        <v>2015</v>
      </c>
      <c r="J1" s="207">
        <v>2016</v>
      </c>
      <c r="K1" s="207">
        <v>2017</v>
      </c>
      <c r="L1" s="207">
        <v>2018</v>
      </c>
    </row>
    <row r="3" spans="1:14">
      <c r="A3" s="205" t="s">
        <v>6584</v>
      </c>
      <c r="D3" s="208">
        <f t="shared" ref="D3:I3" si="0">SUM(D17:D32)</f>
        <v>132656</v>
      </c>
      <c r="E3" s="208">
        <f t="shared" si="0"/>
        <v>136390</v>
      </c>
      <c r="F3" s="208">
        <f t="shared" si="0"/>
        <v>136813</v>
      </c>
      <c r="G3" s="208">
        <f t="shared" si="0"/>
        <v>137447</v>
      </c>
      <c r="H3" s="208">
        <f t="shared" si="0"/>
        <v>137624</v>
      </c>
      <c r="I3" s="208">
        <f t="shared" si="0"/>
        <v>134007</v>
      </c>
      <c r="J3" s="208">
        <f t="shared" ref="J3:K3" si="1">SUM(J17:J32)</f>
        <v>134137</v>
      </c>
      <c r="K3" s="208">
        <f t="shared" si="1"/>
        <v>138920</v>
      </c>
      <c r="L3" s="208">
        <f t="shared" ref="L3" si="2">SUM(L17:L32)</f>
        <v>136903</v>
      </c>
    </row>
    <row r="5" spans="1:14">
      <c r="A5" s="205" t="s">
        <v>7343</v>
      </c>
      <c r="D5" s="208">
        <f t="shared" ref="D5:I5" si="3">D3/2</f>
        <v>66328</v>
      </c>
      <c r="E5" s="208">
        <f t="shared" si="3"/>
        <v>68195</v>
      </c>
      <c r="F5" s="208">
        <f t="shared" si="3"/>
        <v>68406.5</v>
      </c>
      <c r="G5" s="208">
        <f t="shared" si="3"/>
        <v>68723.5</v>
      </c>
      <c r="H5" s="208">
        <f t="shared" si="3"/>
        <v>68812</v>
      </c>
      <c r="I5" s="208">
        <f t="shared" si="3"/>
        <v>67003.5</v>
      </c>
      <c r="J5" s="208">
        <f t="shared" ref="J5:K5" si="4">J3/2</f>
        <v>67068.5</v>
      </c>
      <c r="K5" s="208">
        <f t="shared" si="4"/>
        <v>69460</v>
      </c>
      <c r="L5" s="208">
        <f t="shared" ref="L5" si="5">L3/2</f>
        <v>68451.5</v>
      </c>
    </row>
    <row r="6" spans="1:14">
      <c r="D6" s="209"/>
      <c r="E6" s="209"/>
      <c r="F6" s="209"/>
      <c r="G6" s="209"/>
      <c r="H6" s="209"/>
      <c r="I6" s="209"/>
      <c r="J6" s="209"/>
      <c r="K6" s="209"/>
      <c r="L6" s="209"/>
    </row>
    <row r="7" spans="1:14">
      <c r="A7" s="205" t="s">
        <v>6585</v>
      </c>
      <c r="D7" s="208">
        <f t="shared" ref="D7:I7" si="6">SUM(D22:D25)+SUM(D27:D29)+D32</f>
        <v>66472</v>
      </c>
      <c r="E7" s="208">
        <f t="shared" si="6"/>
        <v>68777</v>
      </c>
      <c r="F7" s="208">
        <f t="shared" si="6"/>
        <v>69416</v>
      </c>
      <c r="G7" s="208">
        <f t="shared" si="6"/>
        <v>69886</v>
      </c>
      <c r="H7" s="208">
        <f t="shared" si="6"/>
        <v>70382</v>
      </c>
      <c r="I7" s="208">
        <f t="shared" si="6"/>
        <v>68969</v>
      </c>
      <c r="J7" s="208">
        <f t="shared" ref="J7:K7" si="7">SUM(J22:J25)+SUM(J27:J29)+J32</f>
        <v>69208</v>
      </c>
      <c r="K7" s="208">
        <f t="shared" si="7"/>
        <v>71596</v>
      </c>
      <c r="L7" s="208">
        <f t="shared" ref="L7" si="8">SUM(L22:L25)+SUM(L27:L29)+L32</f>
        <v>71051</v>
      </c>
      <c r="N7" s="205" t="s">
        <v>6586</v>
      </c>
    </row>
    <row r="8" spans="1:14">
      <c r="D8" s="209"/>
      <c r="E8" s="209"/>
      <c r="F8" s="209"/>
      <c r="G8" s="209"/>
      <c r="H8" s="209"/>
      <c r="I8" s="209"/>
      <c r="J8" s="209"/>
      <c r="K8" s="209"/>
      <c r="L8" s="209"/>
    </row>
    <row r="9" spans="1:14">
      <c r="A9" s="205" t="s">
        <v>4848</v>
      </c>
      <c r="D9" s="208">
        <f t="shared" ref="D9:I9" si="9">SUM(D17:D21)+D26+D30+D31</f>
        <v>66184</v>
      </c>
      <c r="E9" s="208">
        <f t="shared" si="9"/>
        <v>67613</v>
      </c>
      <c r="F9" s="208">
        <f t="shared" si="9"/>
        <v>67397</v>
      </c>
      <c r="G9" s="208">
        <f t="shared" si="9"/>
        <v>67561</v>
      </c>
      <c r="H9" s="208">
        <f t="shared" si="9"/>
        <v>67242</v>
      </c>
      <c r="I9" s="208">
        <f t="shared" si="9"/>
        <v>65038</v>
      </c>
      <c r="J9" s="208">
        <f t="shared" ref="J9:K9" si="10">SUM(J17:J21)+J26+J30+J31</f>
        <v>64929</v>
      </c>
      <c r="K9" s="208">
        <f t="shared" si="10"/>
        <v>67324</v>
      </c>
      <c r="L9" s="208">
        <f t="shared" ref="L9" si="11">SUM(L17:L21)+L26+L30+L31</f>
        <v>65852</v>
      </c>
      <c r="N9" s="205" t="s">
        <v>6586</v>
      </c>
    </row>
    <row r="10" spans="1:14">
      <c r="D10" s="209"/>
      <c r="E10" s="209"/>
      <c r="F10" s="209"/>
      <c r="G10" s="209"/>
      <c r="H10" s="209"/>
      <c r="I10" s="209"/>
      <c r="J10" s="209"/>
      <c r="K10" s="209"/>
      <c r="L10" s="209"/>
    </row>
    <row r="11" spans="1:14">
      <c r="A11" s="205" t="s">
        <v>8697</v>
      </c>
      <c r="D11" s="208">
        <f t="shared" ref="D11:I11" si="12">D7+D9</f>
        <v>132656</v>
      </c>
      <c r="E11" s="208">
        <f t="shared" si="12"/>
        <v>136390</v>
      </c>
      <c r="F11" s="208">
        <f t="shared" si="12"/>
        <v>136813</v>
      </c>
      <c r="G11" s="208">
        <f t="shared" si="12"/>
        <v>137447</v>
      </c>
      <c r="H11" s="208">
        <f t="shared" si="12"/>
        <v>137624</v>
      </c>
      <c r="I11" s="208">
        <f t="shared" si="12"/>
        <v>134007</v>
      </c>
      <c r="J11" s="208">
        <f t="shared" ref="J11:K11" si="13">J7+J9</f>
        <v>134137</v>
      </c>
      <c r="K11" s="208">
        <f t="shared" si="13"/>
        <v>138920</v>
      </c>
      <c r="L11" s="208">
        <f t="shared" ref="L11" si="14">L7+L9</f>
        <v>136903</v>
      </c>
    </row>
    <row r="12" spans="1:14">
      <c r="D12" s="209"/>
      <c r="E12" s="209"/>
      <c r="F12" s="209"/>
      <c r="G12" s="209"/>
      <c r="H12" s="209"/>
      <c r="I12" s="209"/>
      <c r="J12" s="209"/>
      <c r="K12" s="209"/>
      <c r="L12" s="209"/>
    </row>
    <row r="13" spans="1:14">
      <c r="A13" s="205" t="s">
        <v>8698</v>
      </c>
      <c r="D13" s="208">
        <f t="shared" ref="D13:I13" si="15">MAXA(D7,D9)-MINA(D7,D9)</f>
        <v>288</v>
      </c>
      <c r="E13" s="208">
        <f t="shared" si="15"/>
        <v>1164</v>
      </c>
      <c r="F13" s="208">
        <f t="shared" si="15"/>
        <v>2019</v>
      </c>
      <c r="G13" s="208">
        <f t="shared" si="15"/>
        <v>2325</v>
      </c>
      <c r="H13" s="208">
        <f t="shared" si="15"/>
        <v>3140</v>
      </c>
      <c r="I13" s="208">
        <f t="shared" si="15"/>
        <v>3931</v>
      </c>
      <c r="J13" s="208">
        <f t="shared" ref="J13:K13" si="16">MAXA(J7,J9)-MINA(J7,J9)</f>
        <v>4279</v>
      </c>
      <c r="K13" s="208">
        <f t="shared" si="16"/>
        <v>4272</v>
      </c>
      <c r="L13" s="208">
        <f t="shared" ref="L13" si="17">MAXA(L7,L9)-MINA(L7,L9)</f>
        <v>5199</v>
      </c>
    </row>
    <row r="14" spans="1:14">
      <c r="D14" s="209"/>
      <c r="E14" s="209"/>
      <c r="F14" s="209"/>
      <c r="G14" s="209"/>
      <c r="H14" s="209"/>
      <c r="I14" s="209"/>
      <c r="J14" s="209"/>
      <c r="K14" s="209"/>
      <c r="L14" s="209"/>
    </row>
    <row r="15" spans="1:14">
      <c r="A15" s="205" t="s">
        <v>8701</v>
      </c>
      <c r="D15" s="208">
        <f t="shared" ref="D15:I15" si="18">STDEVPA(D7,D9)</f>
        <v>144</v>
      </c>
      <c r="E15" s="208">
        <f t="shared" si="18"/>
        <v>582</v>
      </c>
      <c r="F15" s="208">
        <f t="shared" si="18"/>
        <v>1009.5</v>
      </c>
      <c r="G15" s="208">
        <f t="shared" si="18"/>
        <v>1162.5</v>
      </c>
      <c r="H15" s="208">
        <f t="shared" si="18"/>
        <v>1570</v>
      </c>
      <c r="I15" s="208">
        <f t="shared" si="18"/>
        <v>1965.5</v>
      </c>
      <c r="J15" s="208">
        <f t="shared" ref="J15:K15" si="19">STDEVPA(J7,J9)</f>
        <v>2139.5</v>
      </c>
      <c r="K15" s="208">
        <f t="shared" si="19"/>
        <v>2136</v>
      </c>
      <c r="L15" s="208">
        <f t="shared" ref="L15" si="20">STDEVPA(L7,L9)</f>
        <v>2599.5</v>
      </c>
    </row>
    <row r="16" spans="1:14">
      <c r="D16" s="209"/>
      <c r="E16" s="209"/>
      <c r="F16" s="209"/>
      <c r="G16" s="209"/>
      <c r="H16" s="209"/>
      <c r="I16" s="209"/>
      <c r="J16" s="209"/>
      <c r="K16" s="209"/>
      <c r="L16" s="209"/>
    </row>
    <row r="17" spans="1:19">
      <c r="A17" s="205" t="s">
        <v>6957</v>
      </c>
      <c r="B17" s="205" t="s">
        <v>4849</v>
      </c>
      <c r="C17" s="4" t="s">
        <v>880</v>
      </c>
      <c r="D17" s="210">
        <v>7758</v>
      </c>
      <c r="E17" s="210">
        <v>8063</v>
      </c>
      <c r="F17" s="210">
        <v>8142</v>
      </c>
      <c r="G17" s="210">
        <v>8096</v>
      </c>
      <c r="H17" s="30">
        <v>8038</v>
      </c>
      <c r="I17" s="30">
        <v>7914</v>
      </c>
      <c r="J17" s="30">
        <v>7705</v>
      </c>
      <c r="K17" s="30">
        <v>7924</v>
      </c>
      <c r="L17" s="30">
        <v>7758</v>
      </c>
      <c r="N17" s="205" t="s">
        <v>4848</v>
      </c>
      <c r="Q17" s="4"/>
      <c r="S17" s="4"/>
    </row>
    <row r="18" spans="1:19">
      <c r="A18" s="205" t="s">
        <v>6959</v>
      </c>
      <c r="B18" s="205" t="s">
        <v>4850</v>
      </c>
      <c r="C18" s="4" t="s">
        <v>881</v>
      </c>
      <c r="D18" s="210">
        <v>8626</v>
      </c>
      <c r="E18" s="210">
        <v>9075</v>
      </c>
      <c r="F18" s="210">
        <v>8847</v>
      </c>
      <c r="G18" s="210">
        <v>8982</v>
      </c>
      <c r="H18" s="30">
        <v>8959</v>
      </c>
      <c r="I18" s="30">
        <v>8486</v>
      </c>
      <c r="J18" s="30">
        <v>8444</v>
      </c>
      <c r="K18" s="30">
        <v>8723</v>
      </c>
      <c r="L18" s="30">
        <v>8630</v>
      </c>
      <c r="N18" s="205" t="s">
        <v>4848</v>
      </c>
      <c r="Q18" s="4"/>
      <c r="S18" s="4"/>
    </row>
    <row r="19" spans="1:19">
      <c r="A19" s="205" t="s">
        <v>6961</v>
      </c>
      <c r="B19" s="205" t="s">
        <v>4851</v>
      </c>
      <c r="C19" s="4" t="s">
        <v>882</v>
      </c>
      <c r="D19" s="210">
        <v>8467</v>
      </c>
      <c r="E19" s="210">
        <v>8721</v>
      </c>
      <c r="F19" s="210">
        <v>8654</v>
      </c>
      <c r="G19" s="210">
        <v>8580</v>
      </c>
      <c r="H19" s="30">
        <v>8556</v>
      </c>
      <c r="I19" s="30">
        <v>8320</v>
      </c>
      <c r="J19" s="30">
        <v>8301</v>
      </c>
      <c r="K19" s="30">
        <v>8441</v>
      </c>
      <c r="L19" s="30">
        <v>8267</v>
      </c>
      <c r="N19" s="205" t="s">
        <v>4848</v>
      </c>
      <c r="Q19" s="4"/>
      <c r="S19" s="4"/>
    </row>
    <row r="20" spans="1:19">
      <c r="A20" s="205" t="s">
        <v>6963</v>
      </c>
      <c r="B20" s="205" t="s">
        <v>4852</v>
      </c>
      <c r="C20" s="4" t="s">
        <v>883</v>
      </c>
      <c r="D20" s="210">
        <v>8219</v>
      </c>
      <c r="E20" s="210">
        <v>8408</v>
      </c>
      <c r="F20" s="210">
        <v>8370</v>
      </c>
      <c r="G20" s="210">
        <v>8274</v>
      </c>
      <c r="H20" s="30">
        <v>8227</v>
      </c>
      <c r="I20" s="30">
        <v>8028</v>
      </c>
      <c r="J20" s="30">
        <v>8039</v>
      </c>
      <c r="K20" s="30">
        <v>8341</v>
      </c>
      <c r="L20" s="30">
        <v>8091</v>
      </c>
      <c r="N20" s="205" t="s">
        <v>4848</v>
      </c>
      <c r="Q20" s="4"/>
      <c r="S20" s="4"/>
    </row>
    <row r="21" spans="1:19">
      <c r="A21" s="205" t="s">
        <v>6965</v>
      </c>
      <c r="B21" s="205" t="s">
        <v>4853</v>
      </c>
      <c r="C21" s="4" t="s">
        <v>884</v>
      </c>
      <c r="D21" s="210">
        <v>7686</v>
      </c>
      <c r="E21" s="210">
        <v>7542</v>
      </c>
      <c r="F21" s="210">
        <v>7562</v>
      </c>
      <c r="G21" s="210">
        <v>7774</v>
      </c>
      <c r="H21" s="30">
        <v>7358</v>
      </c>
      <c r="I21" s="30">
        <v>6990</v>
      </c>
      <c r="J21" s="30">
        <v>7084</v>
      </c>
      <c r="K21" s="30">
        <v>7329</v>
      </c>
      <c r="L21" s="30">
        <v>7001</v>
      </c>
      <c r="N21" s="205" t="s">
        <v>4848</v>
      </c>
      <c r="Q21" s="4"/>
      <c r="S21" s="4"/>
    </row>
    <row r="22" spans="1:19">
      <c r="A22" s="205" t="s">
        <v>6997</v>
      </c>
      <c r="B22" s="205" t="s">
        <v>4854</v>
      </c>
      <c r="C22" s="4" t="s">
        <v>885</v>
      </c>
      <c r="D22" s="210">
        <v>8523</v>
      </c>
      <c r="E22" s="210">
        <v>8814</v>
      </c>
      <c r="F22" s="210">
        <v>8979</v>
      </c>
      <c r="G22" s="210">
        <v>9257</v>
      </c>
      <c r="H22" s="30">
        <v>9332</v>
      </c>
      <c r="I22" s="30">
        <v>9133</v>
      </c>
      <c r="J22" s="30">
        <v>9184</v>
      </c>
      <c r="K22" s="30">
        <v>9541</v>
      </c>
      <c r="L22" s="30">
        <v>9582</v>
      </c>
      <c r="N22" s="205" t="s">
        <v>6585</v>
      </c>
      <c r="Q22" s="4"/>
      <c r="S22" s="4"/>
    </row>
    <row r="23" spans="1:19">
      <c r="A23" s="205" t="s">
        <v>6999</v>
      </c>
      <c r="B23" s="205" t="s">
        <v>4855</v>
      </c>
      <c r="C23" s="4" t="s">
        <v>886</v>
      </c>
      <c r="D23" s="210">
        <v>7898</v>
      </c>
      <c r="E23" s="210">
        <v>8018</v>
      </c>
      <c r="F23" s="210">
        <v>8004</v>
      </c>
      <c r="G23" s="210">
        <v>8219</v>
      </c>
      <c r="H23" s="30">
        <v>8273</v>
      </c>
      <c r="I23" s="30">
        <v>8092</v>
      </c>
      <c r="J23" s="30">
        <v>8102</v>
      </c>
      <c r="K23" s="30">
        <v>8460</v>
      </c>
      <c r="L23" s="30">
        <v>8355</v>
      </c>
      <c r="N23" s="205" t="s">
        <v>6585</v>
      </c>
      <c r="Q23" s="4"/>
      <c r="S23" s="4"/>
    </row>
    <row r="24" spans="1:19">
      <c r="A24" s="205" t="s">
        <v>7001</v>
      </c>
      <c r="B24" s="205" t="s">
        <v>4856</v>
      </c>
      <c r="C24" s="4" t="s">
        <v>887</v>
      </c>
      <c r="D24" s="210">
        <v>9361</v>
      </c>
      <c r="E24" s="210">
        <v>10127</v>
      </c>
      <c r="F24" s="210">
        <v>10215</v>
      </c>
      <c r="G24" s="210">
        <v>10217</v>
      </c>
      <c r="H24" s="30">
        <v>10580</v>
      </c>
      <c r="I24" s="30">
        <v>10533</v>
      </c>
      <c r="J24" s="30">
        <v>10748</v>
      </c>
      <c r="K24" s="30">
        <v>11192</v>
      </c>
      <c r="L24" s="30">
        <v>11098</v>
      </c>
      <c r="N24" s="205" t="s">
        <v>6585</v>
      </c>
      <c r="Q24" s="4"/>
      <c r="S24" s="4"/>
    </row>
    <row r="25" spans="1:19">
      <c r="A25" s="205" t="s">
        <v>7003</v>
      </c>
      <c r="B25" s="205" t="s">
        <v>1781</v>
      </c>
      <c r="C25" s="4" t="s">
        <v>888</v>
      </c>
      <c r="D25" s="210">
        <v>7739</v>
      </c>
      <c r="E25" s="210">
        <v>7924</v>
      </c>
      <c r="F25" s="210">
        <v>7992</v>
      </c>
      <c r="G25" s="210">
        <v>7971</v>
      </c>
      <c r="H25" s="30">
        <v>8072</v>
      </c>
      <c r="I25" s="30">
        <v>7891</v>
      </c>
      <c r="J25" s="30">
        <v>7912</v>
      </c>
      <c r="K25" s="30">
        <v>8248</v>
      </c>
      <c r="L25" s="30">
        <v>8187</v>
      </c>
      <c r="N25" s="205" t="s">
        <v>6585</v>
      </c>
      <c r="Q25" s="4"/>
      <c r="S25" s="4"/>
    </row>
    <row r="26" spans="1:19">
      <c r="A26" s="205" t="s">
        <v>7005</v>
      </c>
      <c r="B26" s="205" t="s">
        <v>1782</v>
      </c>
      <c r="C26" s="4" t="s">
        <v>889</v>
      </c>
      <c r="D26" s="210">
        <v>9205</v>
      </c>
      <c r="E26" s="210">
        <v>9361</v>
      </c>
      <c r="F26" s="210">
        <v>9500</v>
      </c>
      <c r="G26" s="210">
        <v>9643</v>
      </c>
      <c r="H26" s="30">
        <v>9828</v>
      </c>
      <c r="I26" s="30">
        <v>9613</v>
      </c>
      <c r="J26" s="30">
        <v>9633</v>
      </c>
      <c r="K26" s="30">
        <v>9942</v>
      </c>
      <c r="L26" s="30">
        <v>9807</v>
      </c>
      <c r="N26" s="205" t="s">
        <v>4848</v>
      </c>
      <c r="Q26" s="4"/>
      <c r="S26" s="4"/>
    </row>
    <row r="27" spans="1:19">
      <c r="A27" s="205" t="s">
        <v>7007</v>
      </c>
      <c r="B27" s="205" t="s">
        <v>1783</v>
      </c>
      <c r="C27" s="4" t="s">
        <v>890</v>
      </c>
      <c r="D27" s="210">
        <v>7810</v>
      </c>
      <c r="E27" s="210">
        <v>8046</v>
      </c>
      <c r="F27" s="210">
        <v>8145</v>
      </c>
      <c r="G27" s="210">
        <v>8163</v>
      </c>
      <c r="H27" s="30">
        <v>8168</v>
      </c>
      <c r="I27" s="30">
        <v>7997</v>
      </c>
      <c r="J27" s="30">
        <v>7888</v>
      </c>
      <c r="K27" s="30">
        <v>8128</v>
      </c>
      <c r="L27" s="30">
        <v>8050</v>
      </c>
      <c r="N27" s="205" t="s">
        <v>6585</v>
      </c>
      <c r="Q27" s="4"/>
      <c r="S27" s="4"/>
    </row>
    <row r="28" spans="1:19">
      <c r="A28" s="205" t="s">
        <v>7009</v>
      </c>
      <c r="B28" s="205" t="s">
        <v>1784</v>
      </c>
      <c r="C28" s="4" t="s">
        <v>891</v>
      </c>
      <c r="D28" s="210">
        <v>8295</v>
      </c>
      <c r="E28" s="210">
        <v>8605</v>
      </c>
      <c r="F28" s="210">
        <v>8772</v>
      </c>
      <c r="G28" s="210">
        <v>8819</v>
      </c>
      <c r="H28" s="30">
        <v>8776</v>
      </c>
      <c r="I28" s="30">
        <v>8617</v>
      </c>
      <c r="J28" s="30">
        <v>8541</v>
      </c>
      <c r="K28" s="30">
        <v>8806</v>
      </c>
      <c r="L28" s="30">
        <v>8698</v>
      </c>
      <c r="N28" s="205" t="s">
        <v>6585</v>
      </c>
      <c r="Q28" s="4"/>
      <c r="S28" s="4"/>
    </row>
    <row r="29" spans="1:19">
      <c r="A29" s="205" t="s">
        <v>7011</v>
      </c>
      <c r="B29" s="205" t="s">
        <v>6547</v>
      </c>
      <c r="C29" s="4" t="s">
        <v>892</v>
      </c>
      <c r="D29" s="210">
        <v>8114</v>
      </c>
      <c r="E29" s="210">
        <v>8253</v>
      </c>
      <c r="F29" s="210">
        <v>8303</v>
      </c>
      <c r="G29" s="210">
        <v>8249</v>
      </c>
      <c r="H29" s="30">
        <v>8257</v>
      </c>
      <c r="I29" s="30">
        <v>8016</v>
      </c>
      <c r="J29" s="30">
        <v>8011</v>
      </c>
      <c r="K29" s="30">
        <v>8117</v>
      </c>
      <c r="L29" s="30">
        <v>8036</v>
      </c>
      <c r="N29" s="205" t="s">
        <v>6585</v>
      </c>
      <c r="Q29" s="4"/>
      <c r="S29" s="4"/>
    </row>
    <row r="30" spans="1:19">
      <c r="A30" s="205" t="s">
        <v>7013</v>
      </c>
      <c r="B30" s="205" t="s">
        <v>8835</v>
      </c>
      <c r="C30" s="4" t="s">
        <v>893</v>
      </c>
      <c r="D30" s="210">
        <v>8051</v>
      </c>
      <c r="E30" s="210">
        <v>8184</v>
      </c>
      <c r="F30" s="210">
        <v>8123</v>
      </c>
      <c r="G30" s="210">
        <v>8078</v>
      </c>
      <c r="H30" s="30">
        <v>8018</v>
      </c>
      <c r="I30" s="30">
        <v>7770</v>
      </c>
      <c r="J30" s="30">
        <v>7800</v>
      </c>
      <c r="K30" s="30">
        <v>8222</v>
      </c>
      <c r="L30" s="30">
        <v>8022</v>
      </c>
      <c r="N30" s="205" t="s">
        <v>4848</v>
      </c>
      <c r="Q30" s="4"/>
      <c r="S30" s="4"/>
    </row>
    <row r="31" spans="1:19">
      <c r="A31" s="205" t="s">
        <v>7015</v>
      </c>
      <c r="B31" s="205" t="s">
        <v>8607</v>
      </c>
      <c r="C31" s="4" t="s">
        <v>894</v>
      </c>
      <c r="D31" s="210">
        <v>8172</v>
      </c>
      <c r="E31" s="210">
        <v>8259</v>
      </c>
      <c r="F31" s="210">
        <v>8199</v>
      </c>
      <c r="G31" s="210">
        <v>8134</v>
      </c>
      <c r="H31" s="31">
        <v>8258</v>
      </c>
      <c r="I31" s="31">
        <v>7917</v>
      </c>
      <c r="J31" s="31">
        <v>7923</v>
      </c>
      <c r="K31" s="31">
        <v>8402</v>
      </c>
      <c r="L31" s="31">
        <v>8276</v>
      </c>
      <c r="N31" s="205" t="s">
        <v>4848</v>
      </c>
      <c r="Q31" s="4"/>
      <c r="S31" s="4"/>
    </row>
    <row r="32" spans="1:19">
      <c r="A32" s="205" t="s">
        <v>7017</v>
      </c>
      <c r="B32" s="205" t="s">
        <v>1785</v>
      </c>
      <c r="C32" s="4" t="s">
        <v>895</v>
      </c>
      <c r="D32" s="210">
        <v>8732</v>
      </c>
      <c r="E32" s="210">
        <v>8990</v>
      </c>
      <c r="F32" s="210">
        <v>9006</v>
      </c>
      <c r="G32" s="210">
        <v>8991</v>
      </c>
      <c r="H32" s="30">
        <v>8924</v>
      </c>
      <c r="I32" s="30">
        <v>8690</v>
      </c>
      <c r="J32" s="30">
        <v>8822</v>
      </c>
      <c r="K32" s="30">
        <v>9104</v>
      </c>
      <c r="L32" s="30">
        <v>9045</v>
      </c>
      <c r="N32" s="205" t="s">
        <v>6585</v>
      </c>
      <c r="Q32" s="4"/>
      <c r="S32" s="4"/>
    </row>
    <row r="34" spans="1:1">
      <c r="A34" s="206" t="s">
        <v>1786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8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5 H3:H4 H5:H15 I3:I15 J3:J15 K3:K15 L3:L15" unlockedFormula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7"/>
  <sheetViews>
    <sheetView showGridLines="0" zoomScaleNormal="100" workbookViewId="0"/>
  </sheetViews>
  <sheetFormatPr defaultColWidth="12.5703125" defaultRowHeight="15"/>
  <cols>
    <col min="1" max="1" width="5" style="13" customWidth="1"/>
    <col min="2" max="2" width="40.7109375" style="13" customWidth="1"/>
    <col min="3" max="3" width="11.42578125" style="13" customWidth="1"/>
    <col min="4" max="12" width="10" style="13" customWidth="1"/>
    <col min="13" max="13" width="2.28515625" style="13" customWidth="1"/>
    <col min="14" max="14" width="34.28515625" style="13" customWidth="1"/>
    <col min="15" max="16384" width="12.5703125" style="13"/>
  </cols>
  <sheetData>
    <row r="1" spans="1:14">
      <c r="A1" s="12" t="s">
        <v>7342</v>
      </c>
      <c r="D1" s="14">
        <v>2010</v>
      </c>
      <c r="E1" s="14">
        <v>2011</v>
      </c>
      <c r="F1" s="14">
        <v>2012</v>
      </c>
      <c r="G1" s="14">
        <v>2013</v>
      </c>
      <c r="H1" s="14">
        <v>2014</v>
      </c>
      <c r="I1" s="14">
        <v>2015</v>
      </c>
      <c r="J1" s="14">
        <v>2016</v>
      </c>
      <c r="K1" s="14">
        <v>2017</v>
      </c>
      <c r="L1" s="14">
        <v>2018</v>
      </c>
    </row>
    <row r="3" spans="1:14">
      <c r="A3" s="12" t="s">
        <v>1895</v>
      </c>
      <c r="D3" s="15">
        <f t="shared" ref="D3:H3" si="0">SUM(D21:D23)+SUM(D25:D38)+SUM(D40:D43)</f>
        <v>87299</v>
      </c>
      <c r="E3" s="15">
        <f t="shared" si="0"/>
        <v>86412</v>
      </c>
      <c r="F3" s="15">
        <f t="shared" si="0"/>
        <v>85673</v>
      </c>
      <c r="G3" s="15">
        <f t="shared" si="0"/>
        <v>85063</v>
      </c>
      <c r="H3" s="15">
        <f t="shared" si="0"/>
        <v>84674</v>
      </c>
      <c r="I3" s="15">
        <f>SUM(I21:I23)+SUM(I25:I38)+SUM(I40:I43)</f>
        <v>80182</v>
      </c>
      <c r="J3" s="15">
        <f>SUM(J21:J23)+SUM(J25:J38)+SUM(J40:J43)</f>
        <v>76454</v>
      </c>
      <c r="K3" s="15">
        <f>SUM(K21:K23)+SUM(K25:K38)+SUM(K40:K43)</f>
        <v>78829</v>
      </c>
      <c r="L3" s="15">
        <f>SUM(L21:L23)+SUM(L25:L38)+SUM(L40:L43)</f>
        <v>83410</v>
      </c>
    </row>
    <row r="5" spans="1:14">
      <c r="A5" s="16" t="s">
        <v>1896</v>
      </c>
      <c r="D5" s="15">
        <f t="shared" ref="D5:I5" si="1">D3/1</f>
        <v>87299</v>
      </c>
      <c r="E5" s="15">
        <f t="shared" si="1"/>
        <v>86412</v>
      </c>
      <c r="F5" s="15">
        <f t="shared" si="1"/>
        <v>85673</v>
      </c>
      <c r="G5" s="15">
        <f t="shared" si="1"/>
        <v>85063</v>
      </c>
      <c r="H5" s="15">
        <f t="shared" si="1"/>
        <v>84674</v>
      </c>
      <c r="I5" s="15">
        <f t="shared" si="1"/>
        <v>80182</v>
      </c>
      <c r="J5" s="15">
        <f t="shared" ref="J5:K5" si="2">J3/1</f>
        <v>76454</v>
      </c>
      <c r="K5" s="15">
        <f t="shared" si="2"/>
        <v>78829</v>
      </c>
      <c r="L5" s="15">
        <f t="shared" ref="L5" si="3">L3/1</f>
        <v>83410</v>
      </c>
    </row>
    <row r="6" spans="1:14">
      <c r="D6" s="17"/>
      <c r="E6" s="17"/>
      <c r="F6" s="17"/>
      <c r="G6" s="17"/>
      <c r="H6" s="17"/>
      <c r="I6" s="17"/>
      <c r="J6" s="17"/>
      <c r="K6" s="17"/>
      <c r="L6" s="17"/>
    </row>
    <row r="7" spans="1:14">
      <c r="A7" s="12" t="s">
        <v>5689</v>
      </c>
      <c r="D7" s="17">
        <f>HAMMERSMITH!D7</f>
        <v>39542</v>
      </c>
      <c r="E7" s="17">
        <f>HAMMERSMITH!E7</f>
        <v>39330</v>
      </c>
      <c r="F7" s="17">
        <f>HAMMERSMITH!F7</f>
        <v>39502</v>
      </c>
      <c r="G7" s="17">
        <f>HAMMERSMITH!G7</f>
        <v>39494</v>
      </c>
      <c r="H7" s="17">
        <f>HAMMERSMITH!H7</f>
        <v>39896</v>
      </c>
      <c r="I7" s="17">
        <f>HAMMERSMITH!I7</f>
        <v>38737</v>
      </c>
      <c r="J7" s="17">
        <f>HAMMERSMITH!J7</f>
        <v>37905</v>
      </c>
      <c r="K7" s="17">
        <f>HAMMERSMITH!K7</f>
        <v>39529</v>
      </c>
      <c r="L7" s="17">
        <f>HAMMERSMITH!L7</f>
        <v>39712</v>
      </c>
      <c r="N7" s="13" t="s">
        <v>5690</v>
      </c>
    </row>
    <row r="8" spans="1:14" ht="15.75" thickBot="1">
      <c r="A8" s="12"/>
      <c r="D8" s="18">
        <f t="shared" ref="D8:H8" si="4">D22+D26+D37+D40+D42</f>
        <v>24165</v>
      </c>
      <c r="E8" s="18">
        <f t="shared" si="4"/>
        <v>23628</v>
      </c>
      <c r="F8" s="18">
        <f t="shared" si="4"/>
        <v>23327</v>
      </c>
      <c r="G8" s="18">
        <f t="shared" si="4"/>
        <v>23260</v>
      </c>
      <c r="H8" s="18">
        <f t="shared" si="4"/>
        <v>23167</v>
      </c>
      <c r="I8" s="18">
        <f>I22+I26+I37+I40+I42</f>
        <v>21866</v>
      </c>
      <c r="J8" s="18">
        <f>J22+J26+J37+J40+J42</f>
        <v>21022</v>
      </c>
      <c r="K8" s="18">
        <f>K22+K26+K37+K40+K42</f>
        <v>21608</v>
      </c>
      <c r="L8" s="18">
        <f>L22+L26+L37+L40+L42</f>
        <v>22736</v>
      </c>
      <c r="N8" s="12" t="s">
        <v>5691</v>
      </c>
    </row>
    <row r="9" spans="1:14" ht="15.75" thickBot="1">
      <c r="A9" s="12"/>
      <c r="D9" s="19">
        <f>D7+D8</f>
        <v>63707</v>
      </c>
      <c r="E9" s="19">
        <f>E7+E8</f>
        <v>62958</v>
      </c>
      <c r="F9" s="19">
        <f>F7+F8</f>
        <v>62829</v>
      </c>
      <c r="G9" s="19">
        <f>G7+G8</f>
        <v>62754</v>
      </c>
      <c r="H9" s="19">
        <f t="shared" ref="H9:I9" si="5">H7+H8</f>
        <v>63063</v>
      </c>
      <c r="I9" s="19">
        <f t="shared" si="5"/>
        <v>60603</v>
      </c>
      <c r="J9" s="19">
        <f t="shared" ref="J9:K9" si="6">J7+J8</f>
        <v>58927</v>
      </c>
      <c r="K9" s="19">
        <f t="shared" si="6"/>
        <v>61137</v>
      </c>
      <c r="L9" s="19">
        <f t="shared" ref="L9" si="7">L7+L8</f>
        <v>62448</v>
      </c>
      <c r="N9" s="12"/>
    </row>
    <row r="10" spans="1:14">
      <c r="D10" s="17"/>
      <c r="E10" s="17"/>
      <c r="F10" s="17"/>
      <c r="G10" s="17"/>
      <c r="H10" s="17"/>
      <c r="I10" s="17"/>
      <c r="J10" s="17"/>
      <c r="K10" s="17"/>
      <c r="L10" s="17"/>
    </row>
    <row r="11" spans="1:14">
      <c r="A11" s="12" t="s">
        <v>5693</v>
      </c>
      <c r="D11" s="15">
        <f t="shared" ref="D11:H11" si="8">D21+D23+D25+SUM(D27:D36)+D38+D41+D43</f>
        <v>63134</v>
      </c>
      <c r="E11" s="15">
        <f t="shared" si="8"/>
        <v>62784</v>
      </c>
      <c r="F11" s="15">
        <f t="shared" si="8"/>
        <v>62346</v>
      </c>
      <c r="G11" s="15">
        <f t="shared" si="8"/>
        <v>61803</v>
      </c>
      <c r="H11" s="15">
        <f t="shared" si="8"/>
        <v>61507</v>
      </c>
      <c r="I11" s="15">
        <f>I21+I23+I25+SUM(I27:I36)+I38+I41+I43</f>
        <v>58316</v>
      </c>
      <c r="J11" s="15">
        <f>J21+J23+J25+SUM(J27:J36)+J38+J41+J43</f>
        <v>55432</v>
      </c>
      <c r="K11" s="15">
        <f>K21+K23+K25+SUM(K27:K36)+K38+K41+K43</f>
        <v>57221</v>
      </c>
      <c r="L11" s="15">
        <f>L21+L23+L25+SUM(L27:L36)+L38+L41+L43</f>
        <v>60674</v>
      </c>
      <c r="N11" s="12" t="s">
        <v>5691</v>
      </c>
    </row>
    <row r="12" spans="1:14">
      <c r="D12" s="17"/>
      <c r="E12" s="17"/>
      <c r="F12" s="17"/>
      <c r="G12" s="17"/>
      <c r="H12" s="17"/>
      <c r="I12" s="17"/>
      <c r="J12" s="17"/>
      <c r="K12" s="17"/>
      <c r="L12" s="17"/>
    </row>
    <row r="13" spans="1:14">
      <c r="A13" s="12" t="s">
        <v>5692</v>
      </c>
      <c r="D13" s="15">
        <f>HAMMERSMITH!D11</f>
        <v>69774</v>
      </c>
      <c r="E13" s="15">
        <f>HAMMERSMITH!E11</f>
        <v>70008</v>
      </c>
      <c r="F13" s="15">
        <f>HAMMERSMITH!F11</f>
        <v>70769</v>
      </c>
      <c r="G13" s="15">
        <f>HAMMERSMITH!G11</f>
        <v>70814</v>
      </c>
      <c r="H13" s="15">
        <f>HAMMERSMITH!H11</f>
        <v>70860</v>
      </c>
      <c r="I13" s="15">
        <f>HAMMERSMITH!I11</f>
        <v>69449</v>
      </c>
      <c r="J13" s="15">
        <f>HAMMERSMITH!J11</f>
        <v>67526</v>
      </c>
      <c r="K13" s="15">
        <f>HAMMERSMITH!K11</f>
        <v>70277</v>
      </c>
      <c r="L13" s="15">
        <f>HAMMERSMITH!L11</f>
        <v>70233</v>
      </c>
      <c r="N13" s="13" t="s">
        <v>5690</v>
      </c>
    </row>
    <row r="14" spans="1:14" s="20" customFormat="1">
      <c r="D14" s="21"/>
      <c r="E14" s="21"/>
      <c r="F14" s="21"/>
      <c r="G14" s="21"/>
      <c r="H14" s="21"/>
      <c r="I14" s="21"/>
      <c r="J14" s="21"/>
      <c r="K14" s="21"/>
      <c r="L14" s="21"/>
    </row>
    <row r="15" spans="1:14">
      <c r="A15" s="12" t="s">
        <v>8697</v>
      </c>
      <c r="D15" s="15">
        <f>D8+D11</f>
        <v>87299</v>
      </c>
      <c r="E15" s="15">
        <f>E8+E11</f>
        <v>86412</v>
      </c>
      <c r="F15" s="15">
        <f>F8+F11</f>
        <v>85673</v>
      </c>
      <c r="G15" s="15">
        <f>G8+G11</f>
        <v>85063</v>
      </c>
      <c r="H15" s="15">
        <f t="shared" ref="H15:I15" si="9">H8+H11</f>
        <v>84674</v>
      </c>
      <c r="I15" s="15">
        <f t="shared" si="9"/>
        <v>80182</v>
      </c>
      <c r="J15" s="15">
        <f t="shared" ref="J15:K15" si="10">J8+J11</f>
        <v>76454</v>
      </c>
      <c r="K15" s="15">
        <f t="shared" si="10"/>
        <v>78829</v>
      </c>
      <c r="L15" s="15">
        <f t="shared" ref="L15" si="11">L8+L11</f>
        <v>83410</v>
      </c>
    </row>
    <row r="16" spans="1:14">
      <c r="D16" s="17"/>
      <c r="E16" s="17"/>
      <c r="F16" s="17"/>
      <c r="G16" s="17"/>
      <c r="H16" s="17"/>
      <c r="I16" s="17"/>
      <c r="J16" s="17"/>
      <c r="K16" s="17"/>
      <c r="L16" s="17"/>
    </row>
    <row r="17" spans="1:18">
      <c r="A17" s="12" t="s">
        <v>8698</v>
      </c>
      <c r="D17" s="15">
        <f>MAX(D9,D11,D13)-MIN(D9,D11,D13)</f>
        <v>6640</v>
      </c>
      <c r="E17" s="15">
        <f>MAX(E9,E11,E13)-MIN(E9,E11,E13)</f>
        <v>7224</v>
      </c>
      <c r="F17" s="15">
        <f>MAX(F9,F11,F13)-MIN(F9,F11,F13)</f>
        <v>8423</v>
      </c>
      <c r="G17" s="15">
        <f>MAX(G9,G11,G13)-MIN(G9,G11,G13)</f>
        <v>9011</v>
      </c>
      <c r="H17" s="15">
        <f t="shared" ref="H17:I17" si="12">MAX(H9,H11,H13)-MIN(H9,H11,H13)</f>
        <v>9353</v>
      </c>
      <c r="I17" s="15">
        <f t="shared" si="12"/>
        <v>11133</v>
      </c>
      <c r="J17" s="15">
        <f t="shared" ref="J17:K17" si="13">MAX(J9,J11,J13)-MIN(J9,J11,J13)</f>
        <v>12094</v>
      </c>
      <c r="K17" s="15">
        <f t="shared" si="13"/>
        <v>13056</v>
      </c>
      <c r="L17" s="15">
        <f t="shared" ref="L17" si="14">MAX(L9,L11,L13)-MIN(L9,L11,L13)</f>
        <v>9559</v>
      </c>
    </row>
    <row r="18" spans="1:18">
      <c r="D18" s="15"/>
      <c r="E18" s="15"/>
      <c r="F18" s="15"/>
      <c r="G18" s="15"/>
      <c r="H18" s="15"/>
      <c r="I18" s="15"/>
      <c r="J18" s="15"/>
      <c r="K18" s="15"/>
      <c r="L18" s="15"/>
    </row>
    <row r="19" spans="1:18">
      <c r="A19" s="16" t="s">
        <v>8701</v>
      </c>
      <c r="D19" s="15">
        <f>STDEVP(D9,D11,D13)</f>
        <v>3004.1899999093857</v>
      </c>
      <c r="E19" s="15">
        <f>STDEVP(E9,E11,E13)</f>
        <v>3365.1638890253175</v>
      </c>
      <c r="F19" s="15">
        <f>STDEVP(F9,F11,F13)</f>
        <v>3861.833444823269</v>
      </c>
      <c r="G19" s="15">
        <f>STDEVP(G9,G11,G13)</f>
        <v>4042.3607239114899</v>
      </c>
      <c r="H19" s="15">
        <f t="shared" ref="H19:I19" si="15">STDEVP(H9,H11,H13)</f>
        <v>4091.9019484288183</v>
      </c>
      <c r="I19" s="15">
        <f t="shared" si="15"/>
        <v>4800.7612127893035</v>
      </c>
      <c r="J19" s="15">
        <f t="shared" ref="J19:K19" si="16">STDEVP(J9,J11,J13)</f>
        <v>5081.8048193749264</v>
      </c>
      <c r="K19" s="15">
        <f t="shared" si="16"/>
        <v>5470.4640469423512</v>
      </c>
      <c r="L19" s="15">
        <f t="shared" ref="L19" si="17">STDEVP(L9,L11,L13)</f>
        <v>4151.6767964549235</v>
      </c>
    </row>
    <row r="20" spans="1:18">
      <c r="D20" s="17"/>
      <c r="E20" s="17"/>
      <c r="F20" s="17"/>
      <c r="G20" s="17"/>
      <c r="H20" s="17"/>
      <c r="I20" s="17"/>
      <c r="J20" s="17"/>
      <c r="K20" s="17"/>
      <c r="L20" s="17"/>
    </row>
    <row r="21" spans="1:18">
      <c r="A21" s="12" t="s">
        <v>6957</v>
      </c>
      <c r="B21" s="12" t="s">
        <v>1897</v>
      </c>
      <c r="C21" s="72" t="s">
        <v>13676</v>
      </c>
      <c r="D21" s="22">
        <v>63134</v>
      </c>
      <c r="E21" s="22">
        <v>62784</v>
      </c>
      <c r="F21" s="22">
        <v>62346</v>
      </c>
      <c r="G21" s="22">
        <v>61803</v>
      </c>
      <c r="H21" s="48">
        <v>61507</v>
      </c>
      <c r="I21" s="48">
        <v>4261</v>
      </c>
      <c r="J21" s="30">
        <v>4115</v>
      </c>
      <c r="K21" s="30">
        <v>4139</v>
      </c>
      <c r="L21" s="30">
        <v>4382</v>
      </c>
      <c r="N21" s="12" t="s">
        <v>5693</v>
      </c>
      <c r="P21" s="1"/>
      <c r="R21" s="4"/>
    </row>
    <row r="22" spans="1:18">
      <c r="A22" s="12" t="s">
        <v>6959</v>
      </c>
      <c r="B22" s="12" t="s">
        <v>13677</v>
      </c>
      <c r="C22" s="72" t="s">
        <v>13678</v>
      </c>
      <c r="D22" s="23">
        <v>0</v>
      </c>
      <c r="E22" s="23">
        <v>0</v>
      </c>
      <c r="F22" s="23">
        <v>0</v>
      </c>
      <c r="G22" s="23">
        <v>0</v>
      </c>
      <c r="H22" s="48">
        <v>0</v>
      </c>
      <c r="I22" s="48">
        <v>2674</v>
      </c>
      <c r="J22" s="30">
        <v>2454</v>
      </c>
      <c r="K22" s="30">
        <v>2431</v>
      </c>
      <c r="L22" s="30">
        <v>2616</v>
      </c>
      <c r="N22" s="12" t="s">
        <v>5689</v>
      </c>
      <c r="P22" s="1"/>
      <c r="R22" s="4"/>
    </row>
    <row r="23" spans="1:18" ht="15.75" thickBot="1">
      <c r="A23" s="12"/>
      <c r="B23" s="12"/>
      <c r="C23" s="72" t="s">
        <v>13678</v>
      </c>
      <c r="D23" s="22">
        <v>0</v>
      </c>
      <c r="E23" s="22">
        <v>0</v>
      </c>
      <c r="F23" s="22">
        <v>0</v>
      </c>
      <c r="G23" s="22">
        <v>0</v>
      </c>
      <c r="H23" s="48">
        <v>0</v>
      </c>
      <c r="I23" s="48">
        <v>1977</v>
      </c>
      <c r="J23" s="30">
        <v>1830</v>
      </c>
      <c r="K23" s="30">
        <v>1915</v>
      </c>
      <c r="L23" s="30">
        <v>2046</v>
      </c>
      <c r="N23" s="12" t="s">
        <v>5693</v>
      </c>
      <c r="P23" s="1"/>
      <c r="R23" s="4"/>
    </row>
    <row r="24" spans="1:18" ht="15.75" thickBot="1">
      <c r="A24" s="12"/>
      <c r="B24" s="12"/>
      <c r="C24" s="72" t="s">
        <v>13678</v>
      </c>
      <c r="D24" s="897">
        <f t="shared" ref="D24:H24" si="18">D22+D23</f>
        <v>0</v>
      </c>
      <c r="E24" s="897">
        <f t="shared" si="18"/>
        <v>0</v>
      </c>
      <c r="F24" s="897">
        <f t="shared" si="18"/>
        <v>0</v>
      </c>
      <c r="G24" s="897">
        <f t="shared" si="18"/>
        <v>0</v>
      </c>
      <c r="H24" s="897">
        <f t="shared" si="18"/>
        <v>0</v>
      </c>
      <c r="I24" s="897">
        <f>I22+I23</f>
        <v>4651</v>
      </c>
      <c r="J24" s="897">
        <f>J22+J23</f>
        <v>4284</v>
      </c>
      <c r="K24" s="897">
        <f>K22+K23</f>
        <v>4346</v>
      </c>
      <c r="L24" s="897">
        <f>L22+L23</f>
        <v>4662</v>
      </c>
      <c r="N24" s="12"/>
      <c r="P24" s="1"/>
      <c r="R24" s="4"/>
    </row>
    <row r="25" spans="1:18">
      <c r="A25" s="12" t="s">
        <v>6961</v>
      </c>
      <c r="B25" s="12" t="s">
        <v>1898</v>
      </c>
      <c r="C25" s="72" t="s">
        <v>13679</v>
      </c>
      <c r="D25" s="22">
        <v>0</v>
      </c>
      <c r="E25" s="22">
        <v>0</v>
      </c>
      <c r="F25" s="22">
        <v>0</v>
      </c>
      <c r="G25" s="22">
        <v>0</v>
      </c>
      <c r="H25" s="48">
        <v>0</v>
      </c>
      <c r="I25" s="48">
        <v>4418</v>
      </c>
      <c r="J25" s="30">
        <v>4218</v>
      </c>
      <c r="K25" s="30">
        <v>4408</v>
      </c>
      <c r="L25" s="30">
        <v>4616</v>
      </c>
      <c r="N25" s="12" t="s">
        <v>5693</v>
      </c>
      <c r="P25" s="1"/>
      <c r="R25" s="4"/>
    </row>
    <row r="26" spans="1:18">
      <c r="A26" s="12" t="s">
        <v>6963</v>
      </c>
      <c r="B26" s="12" t="s">
        <v>13680</v>
      </c>
      <c r="C26" s="72" t="s">
        <v>13681</v>
      </c>
      <c r="D26" s="22">
        <v>24165</v>
      </c>
      <c r="E26" s="22">
        <v>23628</v>
      </c>
      <c r="F26" s="22">
        <v>23327</v>
      </c>
      <c r="G26" s="22">
        <v>23260</v>
      </c>
      <c r="H26" s="48">
        <v>23167</v>
      </c>
      <c r="I26" s="48">
        <v>5193</v>
      </c>
      <c r="J26" s="30">
        <v>5036</v>
      </c>
      <c r="K26" s="30">
        <v>5205</v>
      </c>
      <c r="L26" s="30">
        <v>5399</v>
      </c>
      <c r="N26" s="12" t="s">
        <v>5689</v>
      </c>
      <c r="P26" s="1"/>
      <c r="R26" s="4"/>
    </row>
    <row r="27" spans="1:18">
      <c r="A27" s="12" t="s">
        <v>6965</v>
      </c>
      <c r="B27" s="12" t="s">
        <v>1899</v>
      </c>
      <c r="C27" s="72" t="s">
        <v>13682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48">
        <v>5274</v>
      </c>
      <c r="J27" s="30">
        <v>5093</v>
      </c>
      <c r="K27" s="30">
        <v>5344</v>
      </c>
      <c r="L27" s="30">
        <v>5568</v>
      </c>
      <c r="N27" s="12" t="s">
        <v>5693</v>
      </c>
      <c r="P27" s="1"/>
      <c r="R27" s="4"/>
    </row>
    <row r="28" spans="1:18">
      <c r="A28" s="12" t="s">
        <v>6997</v>
      </c>
      <c r="B28" s="12" t="s">
        <v>1900</v>
      </c>
      <c r="C28" s="72" t="s">
        <v>13683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48">
        <v>4255</v>
      </c>
      <c r="J28" s="30">
        <v>3758</v>
      </c>
      <c r="K28" s="30">
        <v>3887</v>
      </c>
      <c r="L28" s="30">
        <v>4175</v>
      </c>
      <c r="N28" s="12" t="s">
        <v>5693</v>
      </c>
      <c r="P28" s="1"/>
      <c r="R28" s="4"/>
    </row>
    <row r="29" spans="1:18">
      <c r="A29" s="12" t="s">
        <v>6999</v>
      </c>
      <c r="B29" s="12" t="s">
        <v>13684</v>
      </c>
      <c r="C29" s="72" t="s">
        <v>13685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48">
        <v>3853</v>
      </c>
      <c r="J29" s="30">
        <v>3898</v>
      </c>
      <c r="K29" s="30">
        <v>3927</v>
      </c>
      <c r="L29" s="30">
        <v>4209</v>
      </c>
      <c r="N29" s="12" t="s">
        <v>5693</v>
      </c>
      <c r="P29" s="1"/>
      <c r="R29" s="4"/>
    </row>
    <row r="30" spans="1:18">
      <c r="A30" s="12" t="s">
        <v>7001</v>
      </c>
      <c r="B30" s="12" t="s">
        <v>1901</v>
      </c>
      <c r="C30" s="72" t="s">
        <v>13686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48">
        <v>4506</v>
      </c>
      <c r="J30" s="30">
        <v>4288</v>
      </c>
      <c r="K30" s="30">
        <v>4431</v>
      </c>
      <c r="L30" s="30">
        <v>4794</v>
      </c>
      <c r="N30" s="12" t="s">
        <v>5693</v>
      </c>
      <c r="P30" s="1"/>
      <c r="R30" s="4"/>
    </row>
    <row r="31" spans="1:18">
      <c r="A31" s="12" t="s">
        <v>7003</v>
      </c>
      <c r="B31" s="12" t="s">
        <v>1902</v>
      </c>
      <c r="C31" s="72" t="s">
        <v>13687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48">
        <v>5157</v>
      </c>
      <c r="J31" s="30">
        <v>4709</v>
      </c>
      <c r="K31" s="30">
        <v>4913</v>
      </c>
      <c r="L31" s="30">
        <v>5332</v>
      </c>
      <c r="N31" s="12" t="s">
        <v>5693</v>
      </c>
      <c r="P31" s="1"/>
      <c r="R31" s="4"/>
    </row>
    <row r="32" spans="1:18">
      <c r="A32" s="12" t="s">
        <v>7005</v>
      </c>
      <c r="B32" s="12" t="s">
        <v>1903</v>
      </c>
      <c r="C32" s="72" t="s">
        <v>13688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48">
        <v>4240</v>
      </c>
      <c r="J32" s="30">
        <v>4107</v>
      </c>
      <c r="K32" s="30">
        <v>4351</v>
      </c>
      <c r="L32" s="30">
        <v>4638</v>
      </c>
      <c r="N32" s="12" t="s">
        <v>5693</v>
      </c>
      <c r="P32" s="1"/>
      <c r="R32" s="4"/>
    </row>
    <row r="33" spans="1:18">
      <c r="A33" s="12" t="s">
        <v>7007</v>
      </c>
      <c r="B33" s="12" t="s">
        <v>1904</v>
      </c>
      <c r="C33" s="72" t="s">
        <v>13689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48">
        <v>3587</v>
      </c>
      <c r="J33" s="30">
        <v>3391</v>
      </c>
      <c r="K33" s="30">
        <v>3416</v>
      </c>
      <c r="L33" s="30">
        <v>3560</v>
      </c>
      <c r="N33" s="12" t="s">
        <v>5693</v>
      </c>
      <c r="P33" s="1"/>
      <c r="R33" s="4"/>
    </row>
    <row r="34" spans="1:18">
      <c r="A34" s="12" t="s">
        <v>7009</v>
      </c>
      <c r="B34" s="12" t="s">
        <v>13690</v>
      </c>
      <c r="C34" s="72" t="s">
        <v>13691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48">
        <v>5322</v>
      </c>
      <c r="J34" s="31">
        <v>5185</v>
      </c>
      <c r="K34" s="31">
        <v>5327</v>
      </c>
      <c r="L34" s="31">
        <v>5474</v>
      </c>
      <c r="N34" s="12" t="s">
        <v>5693</v>
      </c>
      <c r="P34" s="1"/>
      <c r="R34" s="4"/>
    </row>
    <row r="35" spans="1:18">
      <c r="A35" s="12" t="s">
        <v>7011</v>
      </c>
      <c r="B35" s="12" t="s">
        <v>3611</v>
      </c>
      <c r="C35" s="72" t="s">
        <v>13692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48">
        <v>3059</v>
      </c>
      <c r="J35" s="31">
        <v>2872</v>
      </c>
      <c r="K35" s="31">
        <v>2957</v>
      </c>
      <c r="L35" s="31">
        <v>3155</v>
      </c>
      <c r="N35" s="12" t="s">
        <v>5693</v>
      </c>
      <c r="P35" s="1"/>
      <c r="R35" s="4"/>
    </row>
    <row r="36" spans="1:18">
      <c r="A36" s="12" t="s">
        <v>7013</v>
      </c>
      <c r="B36" s="12" t="s">
        <v>3612</v>
      </c>
      <c r="C36" s="72" t="s">
        <v>13693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48">
        <v>3795</v>
      </c>
      <c r="J36" s="31">
        <v>3537</v>
      </c>
      <c r="K36" s="31">
        <v>3614</v>
      </c>
      <c r="L36" s="31">
        <v>3844</v>
      </c>
      <c r="N36" s="12" t="s">
        <v>5693</v>
      </c>
      <c r="P36" s="1"/>
      <c r="R36" s="4"/>
    </row>
    <row r="37" spans="1:18">
      <c r="A37" s="12" t="s">
        <v>7015</v>
      </c>
      <c r="B37" s="12" t="s">
        <v>3613</v>
      </c>
      <c r="C37" s="72" t="s">
        <v>13694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48">
        <v>4245</v>
      </c>
      <c r="J37" s="30">
        <v>3986</v>
      </c>
      <c r="K37" s="30">
        <v>4204</v>
      </c>
      <c r="L37" s="30">
        <v>4487</v>
      </c>
      <c r="N37" s="12" t="s">
        <v>5689</v>
      </c>
      <c r="P37" s="1"/>
      <c r="R37" s="4"/>
    </row>
    <row r="38" spans="1:18" ht="15.75" thickBot="1">
      <c r="A38" s="12"/>
      <c r="B38" s="12"/>
      <c r="C38" s="72" t="s">
        <v>13694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48">
        <v>190</v>
      </c>
      <c r="J38" s="31">
        <v>172</v>
      </c>
      <c r="K38" s="31">
        <v>174</v>
      </c>
      <c r="L38" s="31">
        <v>192</v>
      </c>
      <c r="N38" s="12" t="s">
        <v>5693</v>
      </c>
      <c r="P38" s="1"/>
      <c r="R38" s="4"/>
    </row>
    <row r="39" spans="1:18" ht="15.75" thickBot="1">
      <c r="A39" s="12"/>
      <c r="B39" s="12"/>
      <c r="C39" s="72" t="s">
        <v>13694</v>
      </c>
      <c r="D39" s="897">
        <f t="shared" ref="D39:H39" si="19">D37+D38</f>
        <v>0</v>
      </c>
      <c r="E39" s="897">
        <f t="shared" si="19"/>
        <v>0</v>
      </c>
      <c r="F39" s="897">
        <f t="shared" si="19"/>
        <v>0</v>
      </c>
      <c r="G39" s="897">
        <f t="shared" si="19"/>
        <v>0</v>
      </c>
      <c r="H39" s="897">
        <f t="shared" si="19"/>
        <v>0</v>
      </c>
      <c r="I39" s="897">
        <f>I37+I38</f>
        <v>4435</v>
      </c>
      <c r="J39" s="897">
        <f>J37+J38</f>
        <v>4158</v>
      </c>
      <c r="K39" s="897">
        <f>K37+K38</f>
        <v>4378</v>
      </c>
      <c r="L39" s="897">
        <f>L37+L38</f>
        <v>4679</v>
      </c>
      <c r="N39" s="12"/>
    </row>
    <row r="40" spans="1:18">
      <c r="A40" s="12" t="s">
        <v>7017</v>
      </c>
      <c r="B40" s="12" t="s">
        <v>3614</v>
      </c>
      <c r="C40" s="72" t="s">
        <v>13695</v>
      </c>
      <c r="D40" s="892">
        <v>0</v>
      </c>
      <c r="E40" s="892">
        <v>0</v>
      </c>
      <c r="F40" s="892">
        <v>0</v>
      </c>
      <c r="G40" s="892">
        <v>0</v>
      </c>
      <c r="H40" s="892">
        <v>0</v>
      </c>
      <c r="I40" s="48">
        <v>5334</v>
      </c>
      <c r="J40" s="30">
        <v>5151</v>
      </c>
      <c r="K40" s="30">
        <v>5262</v>
      </c>
      <c r="L40" s="30">
        <v>5503</v>
      </c>
      <c r="N40" s="12" t="s">
        <v>5689</v>
      </c>
    </row>
    <row r="41" spans="1:18">
      <c r="A41" s="12" t="s">
        <v>7019</v>
      </c>
      <c r="B41" s="12" t="s">
        <v>5356</v>
      </c>
      <c r="C41" s="72" t="s">
        <v>13696</v>
      </c>
      <c r="D41" s="892">
        <v>0</v>
      </c>
      <c r="E41" s="892">
        <v>0</v>
      </c>
      <c r="F41" s="892">
        <v>0</v>
      </c>
      <c r="G41" s="892">
        <v>0</v>
      </c>
      <c r="H41" s="892">
        <v>0</v>
      </c>
      <c r="I41" s="48">
        <v>3760</v>
      </c>
      <c r="J41" s="31">
        <v>3610</v>
      </c>
      <c r="K41" s="31">
        <v>3772</v>
      </c>
      <c r="L41" s="31">
        <v>4020</v>
      </c>
      <c r="N41" s="12" t="s">
        <v>5693</v>
      </c>
    </row>
    <row r="42" spans="1:18">
      <c r="A42" s="12" t="s">
        <v>7021</v>
      </c>
      <c r="B42" s="12" t="s">
        <v>5385</v>
      </c>
      <c r="C42" s="72" t="s">
        <v>13697</v>
      </c>
      <c r="D42" s="892">
        <v>0</v>
      </c>
      <c r="E42" s="892">
        <v>0</v>
      </c>
      <c r="F42" s="892">
        <v>0</v>
      </c>
      <c r="G42" s="892">
        <v>0</v>
      </c>
      <c r="H42" s="892">
        <v>0</v>
      </c>
      <c r="I42" s="48">
        <v>4420</v>
      </c>
      <c r="J42" s="30">
        <v>4395</v>
      </c>
      <c r="K42" s="30">
        <v>4506</v>
      </c>
      <c r="L42" s="30">
        <v>4731</v>
      </c>
      <c r="N42" s="12" t="s">
        <v>5689</v>
      </c>
    </row>
    <row r="43" spans="1:18" ht="15.75" thickBot="1">
      <c r="A43" s="12"/>
      <c r="B43" s="12"/>
      <c r="C43" s="72" t="s">
        <v>13697</v>
      </c>
      <c r="D43" s="892">
        <v>0</v>
      </c>
      <c r="E43" s="892">
        <v>0</v>
      </c>
      <c r="F43" s="892">
        <v>0</v>
      </c>
      <c r="G43" s="892">
        <v>0</v>
      </c>
      <c r="H43" s="892">
        <v>0</v>
      </c>
      <c r="I43" s="48">
        <v>662</v>
      </c>
      <c r="J43" s="31">
        <v>649</v>
      </c>
      <c r="K43" s="31">
        <v>646</v>
      </c>
      <c r="L43" s="31">
        <v>669</v>
      </c>
      <c r="N43" s="12" t="s">
        <v>5693</v>
      </c>
    </row>
    <row r="44" spans="1:18" ht="15.75" thickBot="1">
      <c r="A44" s="12"/>
      <c r="B44" s="12"/>
      <c r="C44" s="72" t="s">
        <v>13697</v>
      </c>
      <c r="D44" s="897">
        <f t="shared" ref="D44:H44" si="20">D42+D43</f>
        <v>0</v>
      </c>
      <c r="E44" s="897">
        <f t="shared" si="20"/>
        <v>0</v>
      </c>
      <c r="F44" s="897">
        <f t="shared" si="20"/>
        <v>0</v>
      </c>
      <c r="G44" s="897">
        <f t="shared" si="20"/>
        <v>0</v>
      </c>
      <c r="H44" s="897">
        <f t="shared" si="20"/>
        <v>0</v>
      </c>
      <c r="I44" s="897">
        <f>I42+I43</f>
        <v>5082</v>
      </c>
      <c r="J44" s="897">
        <f>J42+J43</f>
        <v>5044</v>
      </c>
      <c r="K44" s="897">
        <f>K42+K43</f>
        <v>5152</v>
      </c>
      <c r="L44" s="897">
        <f>L42+L43</f>
        <v>5400</v>
      </c>
      <c r="N44" s="12"/>
    </row>
    <row r="46" spans="1:18">
      <c r="A46" s="12" t="s">
        <v>13698</v>
      </c>
    </row>
    <row r="47" spans="1:18">
      <c r="A47" s="13" t="s">
        <v>13404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9" orientation="portrait" horizontalDpi="300" verticalDpi="300" r:id="rId1"/>
  <headerFooter alignWithMargins="0">
    <oddFooter>&amp;C&amp;"Times New Roman,Regular"&amp;8&amp;P of &amp;N</oddFooter>
  </headerFooter>
  <ignoredErrors>
    <ignoredError sqref="D12:D19 E12:E19 F12:F19 G12:G19 H12:H19 H9:H10 H5:H7 D9:D10 E9:E10 F9:F10 G9:G10 G5:G7 F5:F7 E5:E7 D5:D7 G4 F4 E4 D4 D3:H3 H4 D8:H8 D11:H11 D24:H44 I24:L24 I39:K39 I44:K44 I3:I7 I12:I19 I9:I10 I8 I11 J3:J19 K3:K19 L3:L19 L39:L44" unlockedFormula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577"/>
  <sheetViews>
    <sheetView showGridLines="0" zoomScaleNormal="100" workbookViewId="0"/>
  </sheetViews>
  <sheetFormatPr defaultColWidth="12.5703125" defaultRowHeight="15"/>
  <cols>
    <col min="1" max="1" width="4.85546875" style="645" customWidth="1"/>
    <col min="2" max="2" width="46.28515625" style="645" customWidth="1"/>
    <col min="3" max="12" width="11.5703125" style="645" customWidth="1"/>
    <col min="13" max="13" width="2.28515625" style="645" customWidth="1"/>
    <col min="14" max="14" width="30.85546875" style="645" customWidth="1"/>
    <col min="15" max="16384" width="12.5703125" style="645"/>
  </cols>
  <sheetData>
    <row r="1" spans="1:19">
      <c r="A1" s="642" t="s">
        <v>8847</v>
      </c>
      <c r="B1" s="643"/>
      <c r="C1" s="643"/>
      <c r="D1" s="644">
        <v>2010</v>
      </c>
      <c r="E1" s="644">
        <v>2011</v>
      </c>
      <c r="F1" s="644">
        <v>2012</v>
      </c>
      <c r="G1" s="644">
        <v>2013</v>
      </c>
      <c r="H1" s="644">
        <v>2014</v>
      </c>
      <c r="I1" s="644">
        <v>2015</v>
      </c>
      <c r="J1" s="644">
        <v>2016</v>
      </c>
      <c r="K1" s="644">
        <v>2017</v>
      </c>
      <c r="L1" s="644">
        <v>2018</v>
      </c>
      <c r="M1" s="643"/>
      <c r="O1" s="643"/>
      <c r="P1" s="643"/>
      <c r="Q1" s="643"/>
      <c r="R1" s="643"/>
      <c r="S1" s="643"/>
    </row>
    <row r="2" spans="1:19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</row>
    <row r="3" spans="1:19">
      <c r="A3" s="642" t="s">
        <v>2022</v>
      </c>
      <c r="C3" s="642"/>
      <c r="D3" s="646">
        <f t="shared" ref="D3:I3" si="0">SUM(D7:D18)</f>
        <v>1044549</v>
      </c>
      <c r="E3" s="646">
        <f t="shared" si="0"/>
        <v>1049072</v>
      </c>
      <c r="F3" s="646">
        <f t="shared" si="0"/>
        <v>1063161</v>
      </c>
      <c r="G3" s="646">
        <f t="shared" si="0"/>
        <v>1076700</v>
      </c>
      <c r="H3" s="646">
        <f t="shared" si="0"/>
        <v>1064219</v>
      </c>
      <c r="I3" s="646">
        <f t="shared" si="0"/>
        <v>1051482</v>
      </c>
      <c r="J3" s="646">
        <f t="shared" ref="J3:K3" si="1">SUM(J7:J18)</f>
        <v>1044763</v>
      </c>
      <c r="K3" s="646">
        <f t="shared" si="1"/>
        <v>1080616</v>
      </c>
      <c r="L3" s="646">
        <f t="shared" ref="L3" si="2">SUM(L7:L18)</f>
        <v>1086361</v>
      </c>
      <c r="M3" s="643"/>
      <c r="O3" s="643"/>
      <c r="P3" s="643"/>
      <c r="Q3" s="643"/>
      <c r="R3" s="643"/>
      <c r="S3" s="643"/>
    </row>
    <row r="4" spans="1:19" ht="15.75" thickBot="1">
      <c r="A4" s="642" t="s">
        <v>2023</v>
      </c>
      <c r="C4" s="642"/>
      <c r="D4" s="647">
        <f t="shared" ref="D4:I4" si="3">D85</f>
        <v>185837</v>
      </c>
      <c r="E4" s="647">
        <f t="shared" si="3"/>
        <v>186433</v>
      </c>
      <c r="F4" s="647">
        <f t="shared" si="3"/>
        <v>189356</v>
      </c>
      <c r="G4" s="647">
        <f t="shared" si="3"/>
        <v>189930</v>
      </c>
      <c r="H4" s="647">
        <f t="shared" si="3"/>
        <v>193662</v>
      </c>
      <c r="I4" s="647">
        <f t="shared" si="3"/>
        <v>186805</v>
      </c>
      <c r="J4" s="647">
        <f t="shared" ref="J4:K4" si="4">J85</f>
        <v>182325</v>
      </c>
      <c r="K4" s="647">
        <f t="shared" si="4"/>
        <v>190863</v>
      </c>
      <c r="L4" s="647">
        <f t="shared" ref="L4" si="5">L85</f>
        <v>191406</v>
      </c>
      <c r="M4" s="643"/>
      <c r="O4" s="643"/>
      <c r="P4" s="643"/>
      <c r="Q4" s="643"/>
      <c r="R4" s="643"/>
      <c r="S4" s="643"/>
    </row>
    <row r="5" spans="1:19" s="20" customFormat="1" ht="15.75" thickBot="1">
      <c r="A5" s="64"/>
      <c r="C5" s="64"/>
      <c r="D5" s="648">
        <f t="shared" ref="D5:I5" si="6">D3+D4</f>
        <v>1230386</v>
      </c>
      <c r="E5" s="648">
        <f t="shared" si="6"/>
        <v>1235505</v>
      </c>
      <c r="F5" s="648">
        <f t="shared" si="6"/>
        <v>1252517</v>
      </c>
      <c r="G5" s="648">
        <f t="shared" si="6"/>
        <v>1266630</v>
      </c>
      <c r="H5" s="648">
        <f t="shared" si="6"/>
        <v>1257881</v>
      </c>
      <c r="I5" s="648">
        <f t="shared" si="6"/>
        <v>1238287</v>
      </c>
      <c r="J5" s="648">
        <f t="shared" ref="J5:K5" si="7">J3+J4</f>
        <v>1227088</v>
      </c>
      <c r="K5" s="648">
        <f t="shared" si="7"/>
        <v>1271479</v>
      </c>
      <c r="L5" s="648">
        <f t="shared" ref="L5" si="8">L3+L4</f>
        <v>1277767</v>
      </c>
      <c r="M5" s="64"/>
      <c r="O5" s="64"/>
      <c r="P5" s="64"/>
      <c r="Q5" s="64"/>
      <c r="R5" s="64"/>
      <c r="S5" s="64"/>
    </row>
    <row r="6" spans="1:19" s="20" customFormat="1">
      <c r="A6" s="64"/>
      <c r="C6" s="64"/>
      <c r="D6" s="649"/>
      <c r="E6" s="649"/>
      <c r="F6" s="649"/>
      <c r="G6" s="649"/>
      <c r="H6" s="649"/>
      <c r="I6" s="649"/>
      <c r="J6" s="649"/>
      <c r="K6" s="649"/>
      <c r="L6" s="649"/>
      <c r="M6" s="64"/>
      <c r="N6" s="64"/>
      <c r="O6" s="64"/>
      <c r="P6" s="64"/>
      <c r="Q6" s="64"/>
      <c r="R6" s="64"/>
      <c r="S6" s="64"/>
    </row>
    <row r="7" spans="1:19">
      <c r="A7" s="642" t="s">
        <v>2024</v>
      </c>
      <c r="C7" s="642"/>
      <c r="D7" s="646">
        <f t="shared" ref="D7:I7" si="9">D118</f>
        <v>85182</v>
      </c>
      <c r="E7" s="646">
        <f t="shared" si="9"/>
        <v>86043</v>
      </c>
      <c r="F7" s="646">
        <f t="shared" si="9"/>
        <v>87420</v>
      </c>
      <c r="G7" s="646">
        <f t="shared" si="9"/>
        <v>88804</v>
      </c>
      <c r="H7" s="646">
        <f t="shared" si="9"/>
        <v>89111</v>
      </c>
      <c r="I7" s="646">
        <f t="shared" si="9"/>
        <v>88043</v>
      </c>
      <c r="J7" s="646">
        <f t="shared" ref="J7:K7" si="10">J118</f>
        <v>86610</v>
      </c>
      <c r="K7" s="646">
        <f t="shared" si="10"/>
        <v>89236</v>
      </c>
      <c r="L7" s="646">
        <f t="shared" ref="L7" si="11">L118</f>
        <v>90894</v>
      </c>
      <c r="M7" s="643"/>
      <c r="N7" s="650"/>
      <c r="O7" s="643"/>
      <c r="P7" s="643"/>
      <c r="Q7" s="643"/>
      <c r="R7" s="643"/>
      <c r="S7" s="643"/>
    </row>
    <row r="8" spans="1:19">
      <c r="A8" s="642" t="s">
        <v>2025</v>
      </c>
      <c r="C8" s="642"/>
      <c r="D8" s="646">
        <f t="shared" ref="D8:I8" si="12">D163</f>
        <v>104420</v>
      </c>
      <c r="E8" s="646">
        <f t="shared" si="12"/>
        <v>104803</v>
      </c>
      <c r="F8" s="646">
        <f t="shared" si="12"/>
        <v>107231</v>
      </c>
      <c r="G8" s="646">
        <f t="shared" si="12"/>
        <v>110594</v>
      </c>
      <c r="H8" s="646">
        <f t="shared" si="12"/>
        <v>110929</v>
      </c>
      <c r="I8" s="646">
        <f t="shared" si="12"/>
        <v>111301</v>
      </c>
      <c r="J8" s="646">
        <f t="shared" ref="J8:K8" si="13">J163</f>
        <v>100437</v>
      </c>
      <c r="K8" s="646">
        <f t="shared" si="13"/>
        <v>103642</v>
      </c>
      <c r="L8" s="646">
        <f t="shared" ref="L8" si="14">L163</f>
        <v>105777</v>
      </c>
      <c r="M8" s="643"/>
      <c r="N8" s="650"/>
      <c r="O8" s="643"/>
      <c r="P8" s="643"/>
      <c r="Q8" s="643"/>
      <c r="R8" s="643"/>
      <c r="S8" s="643"/>
    </row>
    <row r="9" spans="1:19">
      <c r="A9" s="642" t="s">
        <v>2026</v>
      </c>
      <c r="C9" s="642"/>
      <c r="D9" s="646">
        <f t="shared" ref="D9:I9" si="15">D198</f>
        <v>70176</v>
      </c>
      <c r="E9" s="646">
        <f t="shared" si="15"/>
        <v>69972</v>
      </c>
      <c r="F9" s="646">
        <f t="shared" si="15"/>
        <v>70539</v>
      </c>
      <c r="G9" s="646">
        <f t="shared" si="15"/>
        <v>70841</v>
      </c>
      <c r="H9" s="646">
        <f t="shared" si="15"/>
        <v>71396</v>
      </c>
      <c r="I9" s="646">
        <f t="shared" si="15"/>
        <v>70507</v>
      </c>
      <c r="J9" s="646">
        <f t="shared" ref="J9:K9" si="16">J198</f>
        <v>72180</v>
      </c>
      <c r="K9" s="646">
        <f t="shared" si="16"/>
        <v>73292</v>
      </c>
      <c r="L9" s="646">
        <f t="shared" ref="L9" si="17">L198</f>
        <v>74276</v>
      </c>
      <c r="M9" s="643"/>
      <c r="N9" s="650"/>
      <c r="O9" s="643"/>
      <c r="P9" s="643"/>
      <c r="Q9" s="643"/>
      <c r="R9" s="643"/>
      <c r="S9" s="643"/>
    </row>
    <row r="10" spans="1:19">
      <c r="A10" s="642" t="s">
        <v>2027</v>
      </c>
      <c r="C10" s="642"/>
      <c r="D10" s="646">
        <f t="shared" ref="D10:I10" si="18">D224</f>
        <v>82433</v>
      </c>
      <c r="E10" s="646">
        <f t="shared" si="18"/>
        <v>82962</v>
      </c>
      <c r="F10" s="646">
        <f t="shared" si="18"/>
        <v>83385</v>
      </c>
      <c r="G10" s="646">
        <f t="shared" si="18"/>
        <v>83800</v>
      </c>
      <c r="H10" s="646">
        <f t="shared" si="18"/>
        <v>84296</v>
      </c>
      <c r="I10" s="646">
        <f t="shared" si="18"/>
        <v>83480</v>
      </c>
      <c r="J10" s="646">
        <f t="shared" ref="J10:K10" si="19">J224</f>
        <v>84023</v>
      </c>
      <c r="K10" s="646">
        <f t="shared" si="19"/>
        <v>85899</v>
      </c>
      <c r="L10" s="646">
        <f t="shared" ref="L10" si="20">L224</f>
        <v>85530</v>
      </c>
      <c r="M10" s="643"/>
      <c r="N10" s="650"/>
      <c r="O10" s="643"/>
      <c r="P10" s="643"/>
      <c r="Q10" s="643"/>
      <c r="R10" s="643"/>
      <c r="S10" s="643"/>
    </row>
    <row r="11" spans="1:19">
      <c r="A11" s="642" t="s">
        <v>2028</v>
      </c>
      <c r="C11" s="642"/>
      <c r="D11" s="646">
        <f t="shared" ref="D11:I11" si="21">D255</f>
        <v>69898</v>
      </c>
      <c r="E11" s="646">
        <f t="shared" si="21"/>
        <v>70412</v>
      </c>
      <c r="F11" s="646">
        <f t="shared" si="21"/>
        <v>71521</v>
      </c>
      <c r="G11" s="646">
        <f t="shared" si="21"/>
        <v>72182</v>
      </c>
      <c r="H11" s="646">
        <f t="shared" si="21"/>
        <v>72466</v>
      </c>
      <c r="I11" s="646">
        <f t="shared" si="21"/>
        <v>70140</v>
      </c>
      <c r="J11" s="646">
        <f t="shared" ref="J11:K11" si="22">J255</f>
        <v>70477</v>
      </c>
      <c r="K11" s="646">
        <f t="shared" si="22"/>
        <v>73088</v>
      </c>
      <c r="L11" s="646">
        <f t="shared" ref="L11" si="23">L255</f>
        <v>71601</v>
      </c>
      <c r="M11" s="643"/>
      <c r="N11" s="650"/>
      <c r="O11" s="643"/>
      <c r="P11" s="643"/>
      <c r="Q11" s="643"/>
      <c r="R11" s="643"/>
      <c r="S11" s="643"/>
    </row>
    <row r="12" spans="1:19">
      <c r="A12" s="642" t="s">
        <v>2029</v>
      </c>
      <c r="C12" s="642"/>
      <c r="D12" s="646">
        <f t="shared" ref="D12:I12" si="24">D282</f>
        <v>113017</v>
      </c>
      <c r="E12" s="646">
        <f t="shared" si="24"/>
        <v>111822</v>
      </c>
      <c r="F12" s="646">
        <f t="shared" si="24"/>
        <v>115949</v>
      </c>
      <c r="G12" s="646">
        <f t="shared" si="24"/>
        <v>117140</v>
      </c>
      <c r="H12" s="646">
        <f t="shared" si="24"/>
        <v>108059</v>
      </c>
      <c r="I12" s="646">
        <f t="shared" si="24"/>
        <v>109871</v>
      </c>
      <c r="J12" s="646">
        <f t="shared" ref="J12:K12" si="25">J282</f>
        <v>108432</v>
      </c>
      <c r="K12" s="646">
        <f t="shared" si="25"/>
        <v>115012</v>
      </c>
      <c r="L12" s="646">
        <f t="shared" ref="L12" si="26">L282</f>
        <v>113830</v>
      </c>
      <c r="M12" s="643"/>
      <c r="N12" s="650"/>
      <c r="O12" s="643"/>
      <c r="P12" s="643"/>
      <c r="Q12" s="643"/>
      <c r="R12" s="643"/>
      <c r="S12" s="643"/>
    </row>
    <row r="13" spans="1:19">
      <c r="A13" s="642" t="s">
        <v>2030</v>
      </c>
      <c r="C13" s="642"/>
      <c r="D13" s="646">
        <f t="shared" ref="D13:I13" si="27">D319</f>
        <v>86849</v>
      </c>
      <c r="E13" s="646">
        <f t="shared" si="27"/>
        <v>86547</v>
      </c>
      <c r="F13" s="646">
        <f t="shared" si="27"/>
        <v>87289</v>
      </c>
      <c r="G13" s="646">
        <f t="shared" si="27"/>
        <v>87556</v>
      </c>
      <c r="H13" s="646">
        <f t="shared" si="27"/>
        <v>85648</v>
      </c>
      <c r="I13" s="646">
        <f t="shared" si="27"/>
        <v>85835</v>
      </c>
      <c r="J13" s="646">
        <f t="shared" ref="J13:K13" si="28">J319</f>
        <v>85867</v>
      </c>
      <c r="K13" s="646">
        <f t="shared" si="28"/>
        <v>87056</v>
      </c>
      <c r="L13" s="646">
        <f t="shared" ref="L13" si="29">L319</f>
        <v>87537</v>
      </c>
      <c r="M13" s="643"/>
      <c r="N13" s="650"/>
      <c r="O13" s="643"/>
      <c r="P13" s="643"/>
      <c r="Q13" s="643"/>
      <c r="R13" s="643"/>
      <c r="S13" s="643"/>
    </row>
    <row r="14" spans="1:19">
      <c r="A14" s="642" t="s">
        <v>2031</v>
      </c>
      <c r="C14" s="642"/>
      <c r="D14" s="646">
        <f t="shared" ref="D14:I14" si="30">D357</f>
        <v>73479</v>
      </c>
      <c r="E14" s="646">
        <f t="shared" si="30"/>
        <v>80060</v>
      </c>
      <c r="F14" s="646">
        <f t="shared" si="30"/>
        <v>80849</v>
      </c>
      <c r="G14" s="646">
        <f t="shared" si="30"/>
        <v>81387</v>
      </c>
      <c r="H14" s="646">
        <f t="shared" si="30"/>
        <v>80513</v>
      </c>
      <c r="I14" s="646">
        <f t="shared" si="30"/>
        <v>77897</v>
      </c>
      <c r="J14" s="646">
        <f t="shared" ref="J14:K14" si="31">J357</f>
        <v>77333</v>
      </c>
      <c r="K14" s="646">
        <f t="shared" si="31"/>
        <v>79886</v>
      </c>
      <c r="L14" s="646">
        <f t="shared" ref="L14" si="32">L357</f>
        <v>81245</v>
      </c>
      <c r="M14" s="643"/>
      <c r="N14" s="650"/>
      <c r="O14" s="643"/>
      <c r="P14" s="643"/>
      <c r="Q14" s="643"/>
      <c r="R14" s="643"/>
      <c r="S14" s="643"/>
    </row>
    <row r="15" spans="1:19">
      <c r="A15" s="642" t="s">
        <v>2032</v>
      </c>
      <c r="C15" s="642"/>
      <c r="D15" s="646">
        <f t="shared" ref="D15:I15" si="33">D379</f>
        <v>95947</v>
      </c>
      <c r="E15" s="646">
        <f t="shared" si="33"/>
        <v>95264</v>
      </c>
      <c r="F15" s="646">
        <f t="shared" si="33"/>
        <v>96360</v>
      </c>
      <c r="G15" s="646">
        <f t="shared" si="33"/>
        <v>96760</v>
      </c>
      <c r="H15" s="646">
        <f t="shared" si="33"/>
        <v>97494</v>
      </c>
      <c r="I15" s="646">
        <f t="shared" si="33"/>
        <v>92331</v>
      </c>
      <c r="J15" s="646">
        <f t="shared" ref="J15:K15" si="34">J379</f>
        <v>96025</v>
      </c>
      <c r="K15" s="646">
        <f t="shared" si="34"/>
        <v>101034</v>
      </c>
      <c r="L15" s="646">
        <f t="shared" ref="L15" si="35">L379</f>
        <v>102276</v>
      </c>
      <c r="M15" s="643"/>
      <c r="N15" s="650"/>
      <c r="O15" s="643"/>
      <c r="P15" s="643"/>
      <c r="Q15" s="643"/>
      <c r="R15" s="643"/>
      <c r="S15" s="643"/>
    </row>
    <row r="16" spans="1:19">
      <c r="A16" s="642" t="s">
        <v>2033</v>
      </c>
      <c r="C16" s="642"/>
      <c r="D16" s="646">
        <f t="shared" ref="D16:I16" si="36">D413</f>
        <v>97254</v>
      </c>
      <c r="E16" s="646">
        <f t="shared" si="36"/>
        <v>93087</v>
      </c>
      <c r="F16" s="646">
        <f t="shared" si="36"/>
        <v>93568</v>
      </c>
      <c r="G16" s="646">
        <f t="shared" si="36"/>
        <v>96861</v>
      </c>
      <c r="H16" s="646">
        <f t="shared" si="36"/>
        <v>99158</v>
      </c>
      <c r="I16" s="646">
        <f t="shared" si="36"/>
        <v>95394</v>
      </c>
      <c r="J16" s="646">
        <f t="shared" ref="J16:K16" si="37">J413</f>
        <v>96967</v>
      </c>
      <c r="K16" s="646">
        <f t="shared" si="37"/>
        <v>97551</v>
      </c>
      <c r="L16" s="646">
        <f t="shared" ref="L16" si="38">L413</f>
        <v>98389</v>
      </c>
      <c r="M16" s="643"/>
      <c r="N16" s="650"/>
      <c r="O16" s="643"/>
      <c r="P16" s="643"/>
      <c r="Q16" s="643"/>
      <c r="R16" s="643"/>
      <c r="S16" s="643"/>
    </row>
    <row r="17" spans="1:19">
      <c r="A17" s="642" t="s">
        <v>2034</v>
      </c>
      <c r="C17" s="642"/>
      <c r="D17" s="646">
        <f t="shared" ref="D17:I17" si="39">D446</f>
        <v>86711</v>
      </c>
      <c r="E17" s="646">
        <f t="shared" si="39"/>
        <v>88265</v>
      </c>
      <c r="F17" s="646">
        <f t="shared" si="39"/>
        <v>89315</v>
      </c>
      <c r="G17" s="646">
        <f t="shared" si="39"/>
        <v>90368</v>
      </c>
      <c r="H17" s="646">
        <f t="shared" si="39"/>
        <v>84991</v>
      </c>
      <c r="I17" s="646">
        <f t="shared" si="39"/>
        <v>88590</v>
      </c>
      <c r="J17" s="646">
        <f t="shared" ref="J17:K17" si="40">J446</f>
        <v>90032</v>
      </c>
      <c r="K17" s="646">
        <f t="shared" si="40"/>
        <v>94397</v>
      </c>
      <c r="L17" s="646">
        <f t="shared" ref="L17" si="41">L446</f>
        <v>95384</v>
      </c>
      <c r="M17" s="643"/>
      <c r="N17" s="650"/>
      <c r="O17" s="643"/>
      <c r="P17" s="643"/>
      <c r="Q17" s="643"/>
      <c r="R17" s="643"/>
      <c r="S17" s="643"/>
    </row>
    <row r="18" spans="1:19">
      <c r="A18" s="642" t="s">
        <v>2035</v>
      </c>
      <c r="C18" s="642"/>
      <c r="D18" s="646">
        <f t="shared" ref="D18:I18" si="42">D480</f>
        <v>79183</v>
      </c>
      <c r="E18" s="646">
        <f t="shared" si="42"/>
        <v>79835</v>
      </c>
      <c r="F18" s="646">
        <f t="shared" si="42"/>
        <v>79735</v>
      </c>
      <c r="G18" s="646">
        <f t="shared" si="42"/>
        <v>80407</v>
      </c>
      <c r="H18" s="646">
        <f t="shared" si="42"/>
        <v>80158</v>
      </c>
      <c r="I18" s="646">
        <f t="shared" si="42"/>
        <v>78093</v>
      </c>
      <c r="J18" s="646">
        <f t="shared" ref="J18:K18" si="43">J480</f>
        <v>76380</v>
      </c>
      <c r="K18" s="646">
        <f t="shared" si="43"/>
        <v>80523</v>
      </c>
      <c r="L18" s="646">
        <f t="shared" ref="L18" si="44">L480</f>
        <v>79622</v>
      </c>
      <c r="M18" s="643"/>
      <c r="N18" s="650"/>
      <c r="O18" s="643"/>
      <c r="P18" s="643"/>
      <c r="Q18" s="643"/>
      <c r="R18" s="643"/>
      <c r="S18" s="643"/>
    </row>
    <row r="19" spans="1:19">
      <c r="A19" s="643"/>
      <c r="B19" s="643"/>
      <c r="C19" s="643"/>
      <c r="D19" s="643"/>
      <c r="E19" s="643"/>
      <c r="F19" s="643"/>
      <c r="G19" s="643"/>
      <c r="H19" s="643"/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</row>
    <row r="20" spans="1:19">
      <c r="A20" s="642" t="s">
        <v>3984</v>
      </c>
      <c r="B20" s="643"/>
      <c r="C20" s="643"/>
      <c r="D20" s="646">
        <f t="shared" ref="D20:I20" si="45">D3/14</f>
        <v>74610.642857142855</v>
      </c>
      <c r="E20" s="646">
        <f t="shared" si="45"/>
        <v>74933.71428571429</v>
      </c>
      <c r="F20" s="646">
        <f t="shared" si="45"/>
        <v>75940.071428571435</v>
      </c>
      <c r="G20" s="646">
        <f t="shared" si="45"/>
        <v>76907.142857142855</v>
      </c>
      <c r="H20" s="646">
        <f t="shared" si="45"/>
        <v>76015.642857142855</v>
      </c>
      <c r="I20" s="646">
        <f t="shared" si="45"/>
        <v>75105.857142857145</v>
      </c>
      <c r="J20" s="646">
        <f t="shared" ref="J20:K20" si="46">J3/14</f>
        <v>74625.928571428565</v>
      </c>
      <c r="K20" s="646">
        <f t="shared" si="46"/>
        <v>77186.857142857145</v>
      </c>
      <c r="L20" s="646">
        <f t="shared" ref="L20" si="47">L3/14</f>
        <v>77597.21428571429</v>
      </c>
      <c r="M20" s="643"/>
      <c r="N20" s="643"/>
      <c r="O20" s="643"/>
      <c r="P20" s="643"/>
      <c r="Q20" s="643"/>
      <c r="R20" s="643"/>
      <c r="S20" s="643"/>
    </row>
    <row r="21" spans="1:19">
      <c r="A21" s="642" t="s">
        <v>3985</v>
      </c>
      <c r="B21" s="643"/>
      <c r="C21" s="643"/>
      <c r="D21" s="646">
        <f t="shared" ref="D21:I21" si="48">D4/3</f>
        <v>61945.666666666664</v>
      </c>
      <c r="E21" s="646">
        <f t="shared" si="48"/>
        <v>62144.333333333336</v>
      </c>
      <c r="F21" s="646">
        <f t="shared" si="48"/>
        <v>63118.666666666664</v>
      </c>
      <c r="G21" s="646">
        <f t="shared" si="48"/>
        <v>63310</v>
      </c>
      <c r="H21" s="646">
        <f t="shared" si="48"/>
        <v>64554</v>
      </c>
      <c r="I21" s="646">
        <f t="shared" si="48"/>
        <v>62268.333333333336</v>
      </c>
      <c r="J21" s="646">
        <f t="shared" ref="J21:K21" si="49">J4/3</f>
        <v>60775</v>
      </c>
      <c r="K21" s="646">
        <f t="shared" si="49"/>
        <v>63621</v>
      </c>
      <c r="L21" s="646">
        <f t="shared" ref="L21" si="50">L4/3</f>
        <v>63802</v>
      </c>
      <c r="M21" s="643"/>
      <c r="N21" s="643"/>
      <c r="O21" s="643"/>
      <c r="P21" s="643"/>
      <c r="Q21" s="643"/>
      <c r="R21" s="643"/>
      <c r="S21" s="643"/>
    </row>
    <row r="22" spans="1:19">
      <c r="A22" s="642" t="s">
        <v>4637</v>
      </c>
      <c r="B22" s="643"/>
      <c r="C22" s="643"/>
      <c r="D22" s="646">
        <f t="shared" ref="D22:I22" si="51">D5/16</f>
        <v>76899.125</v>
      </c>
      <c r="E22" s="646">
        <f t="shared" si="51"/>
        <v>77219.0625</v>
      </c>
      <c r="F22" s="646">
        <f t="shared" si="51"/>
        <v>78282.3125</v>
      </c>
      <c r="G22" s="646">
        <f t="shared" si="51"/>
        <v>79164.375</v>
      </c>
      <c r="H22" s="646">
        <f t="shared" si="51"/>
        <v>78617.5625</v>
      </c>
      <c r="I22" s="646">
        <f t="shared" si="51"/>
        <v>77392.9375</v>
      </c>
      <c r="J22" s="646">
        <f t="shared" ref="J22:K22" si="52">J5/16</f>
        <v>76693</v>
      </c>
      <c r="K22" s="646">
        <f t="shared" si="52"/>
        <v>79467.4375</v>
      </c>
      <c r="L22" s="646">
        <f t="shared" ref="L22" si="53">L5/16</f>
        <v>79860.4375</v>
      </c>
      <c r="M22" s="643"/>
      <c r="N22" s="643"/>
      <c r="O22" s="643"/>
      <c r="P22" s="643"/>
      <c r="Q22" s="643"/>
      <c r="R22" s="643"/>
      <c r="S22" s="643"/>
    </row>
    <row r="23" spans="1:19">
      <c r="A23" s="642"/>
      <c r="B23" s="643"/>
      <c r="C23" s="643"/>
      <c r="D23" s="651"/>
      <c r="E23" s="651"/>
      <c r="F23" s="651"/>
      <c r="G23" s="651"/>
      <c r="H23" s="651"/>
      <c r="I23" s="651"/>
      <c r="J23" s="651"/>
      <c r="K23" s="651"/>
      <c r="L23" s="651"/>
      <c r="M23" s="643"/>
      <c r="N23" s="643"/>
      <c r="O23" s="643"/>
      <c r="P23" s="643"/>
      <c r="Q23" s="643"/>
      <c r="R23" s="643"/>
      <c r="S23" s="643"/>
    </row>
    <row r="24" spans="1:19">
      <c r="A24" s="642" t="s">
        <v>2281</v>
      </c>
      <c r="D24" s="646">
        <f t="shared" ref="D24:I24" si="54">D155</f>
        <v>81088</v>
      </c>
      <c r="E24" s="646">
        <f t="shared" si="54"/>
        <v>81947</v>
      </c>
      <c r="F24" s="646">
        <f t="shared" si="54"/>
        <v>83339</v>
      </c>
      <c r="G24" s="646">
        <f t="shared" si="54"/>
        <v>84643</v>
      </c>
      <c r="H24" s="646">
        <f t="shared" si="54"/>
        <v>84941</v>
      </c>
      <c r="I24" s="646">
        <f t="shared" si="54"/>
        <v>83940</v>
      </c>
      <c r="J24" s="646">
        <f t="shared" ref="J24:K24" si="55">J155</f>
        <v>82527</v>
      </c>
      <c r="K24" s="646">
        <f t="shared" si="55"/>
        <v>85127</v>
      </c>
      <c r="L24" s="646">
        <f t="shared" ref="L24" si="56">L155</f>
        <v>86621</v>
      </c>
      <c r="M24" s="643"/>
      <c r="N24" s="642" t="s">
        <v>2282</v>
      </c>
      <c r="O24" s="643"/>
      <c r="P24" s="643"/>
      <c r="Q24" s="643"/>
      <c r="R24" s="643"/>
      <c r="S24" s="643"/>
    </row>
    <row r="25" spans="1:19">
      <c r="A25" s="643"/>
      <c r="D25" s="652"/>
      <c r="E25" s="652"/>
      <c r="F25" s="652"/>
      <c r="G25" s="652"/>
      <c r="H25" s="652"/>
      <c r="I25" s="652"/>
      <c r="J25" s="652"/>
      <c r="K25" s="652"/>
      <c r="L25" s="652"/>
      <c r="M25" s="643"/>
      <c r="N25" s="643"/>
      <c r="O25" s="643"/>
      <c r="P25" s="643"/>
      <c r="Q25" s="643"/>
      <c r="R25" s="643"/>
      <c r="S25" s="643"/>
    </row>
    <row r="26" spans="1:19">
      <c r="A26" s="642" t="s">
        <v>2283</v>
      </c>
      <c r="D26" s="653">
        <f t="shared" ref="D26:I26" si="57">D190</f>
        <v>73637</v>
      </c>
      <c r="E26" s="653">
        <f t="shared" si="57"/>
        <v>73779</v>
      </c>
      <c r="F26" s="653">
        <f t="shared" si="57"/>
        <v>76030</v>
      </c>
      <c r="G26" s="653">
        <f t="shared" si="57"/>
        <v>78826</v>
      </c>
      <c r="H26" s="653">
        <f t="shared" si="57"/>
        <v>78781</v>
      </c>
      <c r="I26" s="653">
        <f t="shared" si="57"/>
        <v>78850</v>
      </c>
      <c r="J26" s="653">
        <f t="shared" ref="J26:K26" si="58">J190</f>
        <v>68695</v>
      </c>
      <c r="K26" s="653">
        <f t="shared" si="58"/>
        <v>71009</v>
      </c>
      <c r="L26" s="653">
        <f t="shared" ref="L26" si="59">L190</f>
        <v>72949</v>
      </c>
      <c r="M26" s="643"/>
      <c r="N26" s="642" t="s">
        <v>2284</v>
      </c>
      <c r="O26" s="643"/>
      <c r="P26" s="643"/>
      <c r="Q26" s="643"/>
      <c r="R26" s="643"/>
      <c r="S26" s="643"/>
    </row>
    <row r="27" spans="1:19">
      <c r="A27" s="643"/>
      <c r="D27" s="652"/>
      <c r="E27" s="652"/>
      <c r="F27" s="652"/>
      <c r="G27" s="652"/>
      <c r="H27" s="652"/>
      <c r="I27" s="652"/>
      <c r="J27" s="652"/>
      <c r="K27" s="652"/>
      <c r="L27" s="652"/>
      <c r="M27" s="643"/>
      <c r="N27" s="643"/>
      <c r="O27" s="643"/>
      <c r="P27" s="643"/>
      <c r="Q27" s="643"/>
      <c r="R27" s="643"/>
      <c r="S27" s="643"/>
    </row>
    <row r="28" spans="1:19">
      <c r="A28" s="642" t="s">
        <v>2285</v>
      </c>
      <c r="D28" s="646">
        <f t="shared" ref="D28:I28" si="60">D109</f>
        <v>40266</v>
      </c>
      <c r="E28" s="646">
        <f t="shared" si="60"/>
        <v>40323</v>
      </c>
      <c r="F28" s="646">
        <f t="shared" si="60"/>
        <v>41018</v>
      </c>
      <c r="G28" s="646">
        <f t="shared" si="60"/>
        <v>40695</v>
      </c>
      <c r="H28" s="646">
        <f t="shared" si="60"/>
        <v>41086</v>
      </c>
      <c r="I28" s="646">
        <f t="shared" si="60"/>
        <v>38702</v>
      </c>
      <c r="J28" s="646">
        <f t="shared" ref="J28:K28" si="61">J109</f>
        <v>38118</v>
      </c>
      <c r="K28" s="646">
        <f t="shared" si="61"/>
        <v>39960</v>
      </c>
      <c r="L28" s="646">
        <f t="shared" ref="L28" si="62">L109</f>
        <v>39986</v>
      </c>
      <c r="M28" s="643"/>
      <c r="N28" s="642" t="s">
        <v>2286</v>
      </c>
      <c r="O28" s="643"/>
      <c r="P28" s="643"/>
      <c r="Q28" s="643"/>
      <c r="R28" s="643"/>
      <c r="S28" s="643"/>
    </row>
    <row r="29" spans="1:19" ht="15.75" thickBot="1">
      <c r="A29" s="643"/>
      <c r="D29" s="647">
        <f t="shared" ref="D29:I29" si="63">D472</f>
        <v>27563</v>
      </c>
      <c r="E29" s="647">
        <f t="shared" si="63"/>
        <v>28114</v>
      </c>
      <c r="F29" s="647">
        <f t="shared" si="63"/>
        <v>28408</v>
      </c>
      <c r="G29" s="647">
        <f t="shared" si="63"/>
        <v>28783</v>
      </c>
      <c r="H29" s="647">
        <f t="shared" si="63"/>
        <v>26601</v>
      </c>
      <c r="I29" s="647">
        <f t="shared" si="63"/>
        <v>27838</v>
      </c>
      <c r="J29" s="647">
        <f t="shared" ref="J29:K29" si="64">J472</f>
        <v>28263</v>
      </c>
      <c r="K29" s="647">
        <f t="shared" si="64"/>
        <v>29681</v>
      </c>
      <c r="L29" s="647">
        <f t="shared" ref="L29" si="65">L472</f>
        <v>29925</v>
      </c>
      <c r="M29" s="643"/>
      <c r="N29" s="642" t="s">
        <v>2287</v>
      </c>
      <c r="O29" s="643"/>
      <c r="P29" s="643"/>
      <c r="Q29" s="643"/>
      <c r="R29" s="643"/>
      <c r="S29" s="643"/>
    </row>
    <row r="30" spans="1:19" ht="15.75" thickBot="1">
      <c r="A30" s="643"/>
      <c r="D30" s="647">
        <f t="shared" ref="D30:I30" si="66">SUM(D28:D29)</f>
        <v>67829</v>
      </c>
      <c r="E30" s="647">
        <f t="shared" si="66"/>
        <v>68437</v>
      </c>
      <c r="F30" s="647">
        <f t="shared" si="66"/>
        <v>69426</v>
      </c>
      <c r="G30" s="647">
        <f t="shared" si="66"/>
        <v>69478</v>
      </c>
      <c r="H30" s="647">
        <f t="shared" si="66"/>
        <v>67687</v>
      </c>
      <c r="I30" s="647">
        <f t="shared" si="66"/>
        <v>66540</v>
      </c>
      <c r="J30" s="647">
        <f t="shared" ref="J30:K30" si="67">SUM(J28:J29)</f>
        <v>66381</v>
      </c>
      <c r="K30" s="647">
        <f t="shared" si="67"/>
        <v>69641</v>
      </c>
      <c r="L30" s="647">
        <f t="shared" ref="L30" si="68">SUM(L28:L29)</f>
        <v>69911</v>
      </c>
      <c r="M30" s="643"/>
      <c r="N30" s="643"/>
      <c r="O30" s="643"/>
      <c r="P30" s="643"/>
      <c r="Q30" s="643"/>
      <c r="R30" s="643"/>
      <c r="S30" s="643"/>
    </row>
    <row r="31" spans="1:19">
      <c r="A31" s="643"/>
      <c r="D31" s="652"/>
      <c r="E31" s="652"/>
      <c r="F31" s="652"/>
      <c r="G31" s="652"/>
      <c r="H31" s="652"/>
      <c r="I31" s="652"/>
      <c r="J31" s="652"/>
      <c r="K31" s="652"/>
      <c r="L31" s="652"/>
      <c r="M31" s="643"/>
      <c r="N31" s="643"/>
      <c r="O31" s="643"/>
      <c r="P31" s="643"/>
      <c r="Q31" s="643"/>
      <c r="R31" s="643"/>
      <c r="S31" s="643"/>
    </row>
    <row r="32" spans="1:19">
      <c r="A32" s="642" t="s">
        <v>2288</v>
      </c>
      <c r="D32" s="646">
        <f t="shared" ref="D32:I32" si="69">D217</f>
        <v>70176</v>
      </c>
      <c r="E32" s="646">
        <f t="shared" si="69"/>
        <v>69972</v>
      </c>
      <c r="F32" s="646">
        <f t="shared" si="69"/>
        <v>70539</v>
      </c>
      <c r="G32" s="646">
        <f t="shared" si="69"/>
        <v>70841</v>
      </c>
      <c r="H32" s="646">
        <f t="shared" si="69"/>
        <v>71396</v>
      </c>
      <c r="I32" s="646">
        <f t="shared" si="69"/>
        <v>70507</v>
      </c>
      <c r="J32" s="646">
        <f t="shared" ref="J32:K32" si="70">J217</f>
        <v>72180</v>
      </c>
      <c r="K32" s="646">
        <f t="shared" si="70"/>
        <v>73292</v>
      </c>
      <c r="L32" s="646">
        <f t="shared" ref="L32" si="71">L217</f>
        <v>74276</v>
      </c>
      <c r="M32" s="643"/>
      <c r="N32" s="642" t="s">
        <v>5062</v>
      </c>
      <c r="O32" s="643"/>
      <c r="P32" s="643"/>
      <c r="Q32" s="643"/>
      <c r="R32" s="643"/>
      <c r="S32" s="643"/>
    </row>
    <row r="33" spans="1:19" ht="15.75" thickBot="1">
      <c r="A33" s="643"/>
      <c r="D33" s="647">
        <f t="shared" ref="D33:I33" si="72">D347</f>
        <v>4909</v>
      </c>
      <c r="E33" s="647">
        <f t="shared" si="72"/>
        <v>4784</v>
      </c>
      <c r="F33" s="647">
        <f t="shared" si="72"/>
        <v>4827</v>
      </c>
      <c r="G33" s="647">
        <f t="shared" si="72"/>
        <v>4845</v>
      </c>
      <c r="H33" s="647">
        <f t="shared" si="72"/>
        <v>4768</v>
      </c>
      <c r="I33" s="647">
        <f t="shared" si="72"/>
        <v>4758</v>
      </c>
      <c r="J33" s="647">
        <f t="shared" ref="J33:K33" si="73">J347</f>
        <v>4731</v>
      </c>
      <c r="K33" s="647">
        <f t="shared" si="73"/>
        <v>4794</v>
      </c>
      <c r="L33" s="647">
        <f t="shared" ref="L33" si="74">L347</f>
        <v>4831</v>
      </c>
      <c r="M33" s="643"/>
      <c r="N33" s="642" t="s">
        <v>2289</v>
      </c>
      <c r="O33" s="643"/>
      <c r="P33" s="643"/>
      <c r="Q33" s="643"/>
      <c r="R33" s="643"/>
      <c r="S33" s="643"/>
    </row>
    <row r="34" spans="1:19" ht="15.75" thickBot="1">
      <c r="A34" s="643"/>
      <c r="D34" s="647">
        <f t="shared" ref="D34:I34" si="75">SUM(D32:D33)</f>
        <v>75085</v>
      </c>
      <c r="E34" s="647">
        <f t="shared" si="75"/>
        <v>74756</v>
      </c>
      <c r="F34" s="647">
        <f t="shared" si="75"/>
        <v>75366</v>
      </c>
      <c r="G34" s="647">
        <f t="shared" si="75"/>
        <v>75686</v>
      </c>
      <c r="H34" s="647">
        <f t="shared" si="75"/>
        <v>76164</v>
      </c>
      <c r="I34" s="647">
        <f t="shared" si="75"/>
        <v>75265</v>
      </c>
      <c r="J34" s="647">
        <f t="shared" ref="J34:K34" si="76">SUM(J32:J33)</f>
        <v>76911</v>
      </c>
      <c r="K34" s="647">
        <f t="shared" si="76"/>
        <v>78086</v>
      </c>
      <c r="L34" s="647">
        <f t="shared" ref="L34" si="77">SUM(L32:L33)</f>
        <v>79107</v>
      </c>
      <c r="M34" s="643"/>
      <c r="N34" s="643"/>
      <c r="O34" s="643"/>
      <c r="P34" s="643"/>
      <c r="Q34" s="643"/>
      <c r="R34" s="643"/>
      <c r="S34" s="643"/>
    </row>
    <row r="35" spans="1:19" ht="15" customHeight="1">
      <c r="A35" s="643"/>
      <c r="D35" s="652"/>
      <c r="E35" s="652"/>
      <c r="F35" s="652"/>
      <c r="G35" s="652"/>
      <c r="H35" s="652"/>
      <c r="I35" s="652"/>
      <c r="J35" s="652"/>
      <c r="K35" s="652"/>
      <c r="L35" s="652"/>
      <c r="M35" s="643"/>
      <c r="N35" s="643"/>
      <c r="O35" s="643"/>
      <c r="P35" s="643"/>
      <c r="Q35" s="643"/>
      <c r="R35" s="643"/>
      <c r="S35" s="643"/>
    </row>
    <row r="36" spans="1:19" ht="15" customHeight="1">
      <c r="A36" s="642" t="s">
        <v>2290</v>
      </c>
      <c r="D36" s="646">
        <f t="shared" ref="D36:I36" si="78">D247</f>
        <v>71535</v>
      </c>
      <c r="E36" s="646">
        <f t="shared" si="78"/>
        <v>71993</v>
      </c>
      <c r="F36" s="646">
        <f t="shared" si="78"/>
        <v>72490</v>
      </c>
      <c r="G36" s="646">
        <f t="shared" si="78"/>
        <v>72898</v>
      </c>
      <c r="H36" s="646">
        <f t="shared" si="78"/>
        <v>73248</v>
      </c>
      <c r="I36" s="646">
        <f t="shared" si="78"/>
        <v>72478</v>
      </c>
      <c r="J36" s="646">
        <f t="shared" ref="J36:K36" si="79">J247</f>
        <v>72940</v>
      </c>
      <c r="K36" s="646">
        <f t="shared" si="79"/>
        <v>74600</v>
      </c>
      <c r="L36" s="646">
        <f t="shared" ref="L36" si="80">L247</f>
        <v>74304</v>
      </c>
      <c r="M36" s="643"/>
      <c r="N36" s="642" t="s">
        <v>2291</v>
      </c>
      <c r="O36" s="643"/>
      <c r="P36" s="643"/>
      <c r="Q36" s="643"/>
      <c r="R36" s="643"/>
      <c r="S36" s="643"/>
    </row>
    <row r="37" spans="1:19" ht="15" customHeight="1">
      <c r="A37" s="643"/>
      <c r="D37" s="652"/>
      <c r="E37" s="652"/>
      <c r="F37" s="652"/>
      <c r="G37" s="652"/>
      <c r="H37" s="652"/>
      <c r="I37" s="652"/>
      <c r="J37" s="652"/>
      <c r="K37" s="652"/>
      <c r="L37" s="652"/>
      <c r="M37" s="643"/>
      <c r="N37" s="643"/>
      <c r="O37" s="643"/>
      <c r="P37" s="643"/>
      <c r="Q37" s="643"/>
      <c r="R37" s="643"/>
      <c r="S37" s="643"/>
    </row>
    <row r="38" spans="1:19">
      <c r="A38" s="642" t="s">
        <v>4891</v>
      </c>
      <c r="D38" s="646">
        <f t="shared" ref="D38:I38" si="81">D310</f>
        <v>48637</v>
      </c>
      <c r="E38" s="646">
        <f t="shared" si="81"/>
        <v>48053</v>
      </c>
      <c r="F38" s="646">
        <f t="shared" si="81"/>
        <v>49810</v>
      </c>
      <c r="G38" s="646">
        <f t="shared" si="81"/>
        <v>50257</v>
      </c>
      <c r="H38" s="646">
        <f t="shared" si="81"/>
        <v>46199</v>
      </c>
      <c r="I38" s="646">
        <f t="shared" si="81"/>
        <v>46914</v>
      </c>
      <c r="J38" s="646">
        <f t="shared" ref="J38:K38" si="82">J310</f>
        <v>46260</v>
      </c>
      <c r="K38" s="646">
        <f t="shared" si="82"/>
        <v>49226</v>
      </c>
      <c r="L38" s="646">
        <f t="shared" ref="L38" si="83">L310</f>
        <v>48770</v>
      </c>
      <c r="M38" s="643"/>
      <c r="N38" s="642" t="s">
        <v>4892</v>
      </c>
      <c r="O38" s="643"/>
      <c r="P38" s="643"/>
      <c r="Q38" s="643"/>
      <c r="R38" s="643"/>
      <c r="S38" s="643"/>
    </row>
    <row r="39" spans="1:19" ht="15.75" thickBot="1">
      <c r="A39" s="643"/>
      <c r="D39" s="647">
        <f t="shared" ref="D39:I39" si="84">D405</f>
        <v>20438</v>
      </c>
      <c r="E39" s="647">
        <f t="shared" si="84"/>
        <v>20468</v>
      </c>
      <c r="F39" s="647">
        <f t="shared" si="84"/>
        <v>20590</v>
      </c>
      <c r="G39" s="647">
        <f t="shared" si="84"/>
        <v>20649</v>
      </c>
      <c r="H39" s="647">
        <f t="shared" si="84"/>
        <v>20655</v>
      </c>
      <c r="I39" s="647">
        <f t="shared" si="84"/>
        <v>19716</v>
      </c>
      <c r="J39" s="647">
        <f t="shared" ref="J39:K39" si="85">J405</f>
        <v>20387</v>
      </c>
      <c r="K39" s="647">
        <f t="shared" si="85"/>
        <v>21068</v>
      </c>
      <c r="L39" s="647">
        <f t="shared" ref="L39" si="86">L405</f>
        <v>21184</v>
      </c>
      <c r="M39" s="643"/>
      <c r="N39" s="642" t="s">
        <v>4893</v>
      </c>
      <c r="O39" s="643"/>
      <c r="P39" s="643"/>
      <c r="Q39" s="643"/>
      <c r="R39" s="643"/>
      <c r="S39" s="643"/>
    </row>
    <row r="40" spans="1:19" ht="15.75" thickBot="1">
      <c r="A40" s="643"/>
      <c r="D40" s="647">
        <f t="shared" ref="D40:I40" si="87">SUM(D38:D39)</f>
        <v>69075</v>
      </c>
      <c r="E40" s="647">
        <f t="shared" si="87"/>
        <v>68521</v>
      </c>
      <c r="F40" s="647">
        <f t="shared" si="87"/>
        <v>70400</v>
      </c>
      <c r="G40" s="647">
        <f t="shared" si="87"/>
        <v>70906</v>
      </c>
      <c r="H40" s="647">
        <f t="shared" si="87"/>
        <v>66854</v>
      </c>
      <c r="I40" s="647">
        <f t="shared" si="87"/>
        <v>66630</v>
      </c>
      <c r="J40" s="647">
        <f t="shared" ref="J40:K40" si="88">SUM(J38:J39)</f>
        <v>66647</v>
      </c>
      <c r="K40" s="647">
        <f t="shared" si="88"/>
        <v>70294</v>
      </c>
      <c r="L40" s="647">
        <f t="shared" ref="L40" si="89">SUM(L38:L39)</f>
        <v>69954</v>
      </c>
      <c r="M40" s="643"/>
      <c r="N40" s="643"/>
      <c r="O40" s="643"/>
      <c r="P40" s="643"/>
      <c r="Q40" s="643"/>
      <c r="R40" s="643"/>
      <c r="S40" s="643"/>
    </row>
    <row r="41" spans="1:19">
      <c r="A41" s="643"/>
      <c r="D41" s="652"/>
      <c r="E41" s="652"/>
      <c r="F41" s="652"/>
      <c r="G41" s="652"/>
      <c r="H41" s="652"/>
      <c r="I41" s="652"/>
      <c r="J41" s="652"/>
      <c r="K41" s="652"/>
      <c r="L41" s="652"/>
      <c r="M41" s="643"/>
      <c r="N41" s="643"/>
      <c r="O41" s="643"/>
      <c r="P41" s="643"/>
      <c r="Q41" s="643"/>
      <c r="R41" s="643"/>
      <c r="S41" s="643"/>
    </row>
    <row r="42" spans="1:19">
      <c r="A42" s="642" t="s">
        <v>4894</v>
      </c>
      <c r="D42" s="654">
        <f t="shared" ref="D42:I42" si="90">D156</f>
        <v>4094</v>
      </c>
      <c r="E42" s="654">
        <f t="shared" si="90"/>
        <v>4096</v>
      </c>
      <c r="F42" s="654">
        <f t="shared" si="90"/>
        <v>4081</v>
      </c>
      <c r="G42" s="654">
        <f t="shared" si="90"/>
        <v>4161</v>
      </c>
      <c r="H42" s="654">
        <f t="shared" si="90"/>
        <v>4170</v>
      </c>
      <c r="I42" s="654">
        <f t="shared" si="90"/>
        <v>4103</v>
      </c>
      <c r="J42" s="654">
        <f t="shared" ref="J42:K42" si="91">J156</f>
        <v>4083</v>
      </c>
      <c r="K42" s="654">
        <f t="shared" si="91"/>
        <v>4109</v>
      </c>
      <c r="L42" s="654">
        <f t="shared" ref="L42" si="92">L156</f>
        <v>4273</v>
      </c>
      <c r="N42" s="642" t="s">
        <v>2282</v>
      </c>
      <c r="O42" s="643"/>
      <c r="P42" s="643"/>
      <c r="Q42" s="643"/>
      <c r="R42" s="643"/>
      <c r="S42" s="643"/>
    </row>
    <row r="43" spans="1:19" ht="15.75" thickBot="1">
      <c r="A43" s="642"/>
      <c r="D43" s="647">
        <f t="shared" ref="D43:I43" si="93">D372</f>
        <v>73479</v>
      </c>
      <c r="E43" s="647">
        <f t="shared" si="93"/>
        <v>80060</v>
      </c>
      <c r="F43" s="647">
        <f t="shared" si="93"/>
        <v>80849</v>
      </c>
      <c r="G43" s="647">
        <f t="shared" si="93"/>
        <v>81387</v>
      </c>
      <c r="H43" s="647">
        <f t="shared" si="93"/>
        <v>80513</v>
      </c>
      <c r="I43" s="647">
        <f t="shared" si="93"/>
        <v>77897</v>
      </c>
      <c r="J43" s="647">
        <f t="shared" ref="J43:K43" si="94">J372</f>
        <v>77333</v>
      </c>
      <c r="K43" s="647">
        <f t="shared" si="94"/>
        <v>79886</v>
      </c>
      <c r="L43" s="647">
        <f t="shared" ref="L43" si="95">L372</f>
        <v>81245</v>
      </c>
      <c r="M43" s="643"/>
      <c r="N43" s="642" t="s">
        <v>5067</v>
      </c>
      <c r="O43" s="643"/>
      <c r="P43" s="643"/>
      <c r="Q43" s="643"/>
      <c r="R43" s="643"/>
      <c r="S43" s="643"/>
    </row>
    <row r="44" spans="1:19" ht="15.75" thickBot="1">
      <c r="A44" s="642"/>
      <c r="D44" s="655">
        <f t="shared" ref="D44:I44" si="96">D42+D43</f>
        <v>77573</v>
      </c>
      <c r="E44" s="655">
        <f t="shared" si="96"/>
        <v>84156</v>
      </c>
      <c r="F44" s="655">
        <f t="shared" si="96"/>
        <v>84930</v>
      </c>
      <c r="G44" s="655">
        <f t="shared" si="96"/>
        <v>85548</v>
      </c>
      <c r="H44" s="655">
        <f t="shared" si="96"/>
        <v>84683</v>
      </c>
      <c r="I44" s="655">
        <f t="shared" si="96"/>
        <v>82000</v>
      </c>
      <c r="J44" s="655">
        <f t="shared" ref="J44:K44" si="97">J42+J43</f>
        <v>81416</v>
      </c>
      <c r="K44" s="655">
        <f t="shared" si="97"/>
        <v>83995</v>
      </c>
      <c r="L44" s="655">
        <f t="shared" ref="L44" si="98">L42+L43</f>
        <v>85518</v>
      </c>
      <c r="M44" s="643"/>
      <c r="N44" s="642"/>
      <c r="O44" s="643"/>
      <c r="P44" s="643"/>
      <c r="Q44" s="643"/>
      <c r="R44" s="643"/>
      <c r="S44" s="643"/>
    </row>
    <row r="45" spans="1:19">
      <c r="A45" s="643"/>
      <c r="D45" s="652"/>
      <c r="E45" s="652"/>
      <c r="F45" s="652"/>
      <c r="G45" s="652"/>
      <c r="H45" s="652"/>
      <c r="I45" s="652"/>
      <c r="J45" s="652"/>
      <c r="K45" s="652"/>
      <c r="L45" s="652"/>
      <c r="M45" s="643"/>
      <c r="N45" s="643"/>
      <c r="O45" s="643"/>
      <c r="P45" s="643"/>
      <c r="Q45" s="643"/>
      <c r="R45" s="643"/>
      <c r="S45" s="643"/>
    </row>
    <row r="46" spans="1:19">
      <c r="A46" s="642" t="s">
        <v>4895</v>
      </c>
      <c r="D46" s="646">
        <f t="shared" ref="D46:I46" si="99">D110</f>
        <v>71302</v>
      </c>
      <c r="E46" s="646">
        <f t="shared" si="99"/>
        <v>71109</v>
      </c>
      <c r="F46" s="646">
        <f t="shared" si="99"/>
        <v>72004</v>
      </c>
      <c r="G46" s="646">
        <f t="shared" si="99"/>
        <v>72528</v>
      </c>
      <c r="H46" s="646">
        <f t="shared" si="99"/>
        <v>73724</v>
      </c>
      <c r="I46" s="646">
        <f t="shared" si="99"/>
        <v>70984</v>
      </c>
      <c r="J46" s="646">
        <f t="shared" ref="J46:K46" si="100">J110</f>
        <v>68890</v>
      </c>
      <c r="K46" s="646">
        <f t="shared" si="100"/>
        <v>71819</v>
      </c>
      <c r="L46" s="646">
        <f t="shared" ref="L46" si="101">L110</f>
        <v>71936</v>
      </c>
      <c r="M46" s="643"/>
      <c r="N46" s="642" t="s">
        <v>2286</v>
      </c>
      <c r="O46" s="643"/>
      <c r="P46" s="643"/>
      <c r="Q46" s="643"/>
      <c r="R46" s="643"/>
      <c r="S46" s="643"/>
    </row>
    <row r="47" spans="1:19">
      <c r="A47" s="643"/>
      <c r="D47" s="652"/>
      <c r="E47" s="652"/>
      <c r="F47" s="652"/>
      <c r="G47" s="652"/>
      <c r="H47" s="652"/>
      <c r="I47" s="652"/>
      <c r="J47" s="652"/>
      <c r="K47" s="652"/>
      <c r="L47" s="652"/>
      <c r="M47" s="643"/>
      <c r="N47" s="643"/>
      <c r="O47" s="643"/>
      <c r="P47" s="643"/>
      <c r="Q47" s="643"/>
      <c r="R47" s="643"/>
      <c r="S47" s="643"/>
    </row>
    <row r="48" spans="1:19">
      <c r="A48" s="642" t="s">
        <v>4896</v>
      </c>
      <c r="D48" s="646">
        <f t="shared" ref="D48:I48" si="102">D275</f>
        <v>69898</v>
      </c>
      <c r="E48" s="646">
        <f t="shared" si="102"/>
        <v>70412</v>
      </c>
      <c r="F48" s="646">
        <f t="shared" si="102"/>
        <v>71521</v>
      </c>
      <c r="G48" s="646">
        <f t="shared" si="102"/>
        <v>72182</v>
      </c>
      <c r="H48" s="646">
        <f t="shared" si="102"/>
        <v>72466</v>
      </c>
      <c r="I48" s="646">
        <f t="shared" si="102"/>
        <v>70140</v>
      </c>
      <c r="J48" s="646">
        <f t="shared" ref="J48:K48" si="103">J275</f>
        <v>70477</v>
      </c>
      <c r="K48" s="646">
        <f t="shared" si="103"/>
        <v>73088</v>
      </c>
      <c r="L48" s="646">
        <f t="shared" ref="L48" si="104">L275</f>
        <v>71601</v>
      </c>
      <c r="M48" s="643"/>
      <c r="N48" s="642" t="s">
        <v>5064</v>
      </c>
      <c r="O48" s="643"/>
      <c r="P48" s="643"/>
      <c r="Q48" s="643"/>
      <c r="R48" s="643"/>
      <c r="S48" s="643"/>
    </row>
    <row r="49" spans="1:19">
      <c r="A49" s="643"/>
      <c r="D49" s="652"/>
      <c r="E49" s="652"/>
      <c r="F49" s="652"/>
      <c r="G49" s="652"/>
      <c r="H49" s="652"/>
      <c r="I49" s="652"/>
      <c r="J49" s="652"/>
      <c r="K49" s="652"/>
      <c r="L49" s="652"/>
      <c r="M49" s="643"/>
      <c r="N49" s="643"/>
      <c r="O49" s="643"/>
      <c r="P49" s="643"/>
      <c r="Q49" s="643"/>
      <c r="R49" s="643"/>
      <c r="S49" s="643"/>
    </row>
    <row r="50" spans="1:19">
      <c r="A50" s="642" t="s">
        <v>1486</v>
      </c>
      <c r="D50" s="646">
        <f t="shared" ref="D50:I50" si="105">D311</f>
        <v>64380</v>
      </c>
      <c r="E50" s="646">
        <f t="shared" si="105"/>
        <v>63769</v>
      </c>
      <c r="F50" s="646">
        <f t="shared" si="105"/>
        <v>66139</v>
      </c>
      <c r="G50" s="646">
        <f t="shared" si="105"/>
        <v>66883</v>
      </c>
      <c r="H50" s="646">
        <f t="shared" si="105"/>
        <v>61860</v>
      </c>
      <c r="I50" s="646">
        <f t="shared" si="105"/>
        <v>62957</v>
      </c>
      <c r="J50" s="646">
        <f t="shared" ref="J50:K50" si="106">J311</f>
        <v>62172</v>
      </c>
      <c r="K50" s="646">
        <f t="shared" si="106"/>
        <v>65786</v>
      </c>
      <c r="L50" s="646">
        <f t="shared" ref="L50" si="107">L311</f>
        <v>65060</v>
      </c>
      <c r="M50" s="643"/>
      <c r="N50" s="642" t="s">
        <v>4892</v>
      </c>
      <c r="O50" s="643"/>
      <c r="P50" s="643"/>
      <c r="Q50" s="643"/>
      <c r="R50" s="643"/>
      <c r="S50" s="643"/>
    </row>
    <row r="51" spans="1:19" ht="15.75" thickBot="1">
      <c r="A51" s="642"/>
      <c r="D51" s="647">
        <f t="shared" ref="D51:I51" si="108">D502</f>
        <v>6819</v>
      </c>
      <c r="E51" s="647">
        <f t="shared" si="108"/>
        <v>6807</v>
      </c>
      <c r="F51" s="647">
        <f t="shared" si="108"/>
        <v>6833</v>
      </c>
      <c r="G51" s="647">
        <f t="shared" si="108"/>
        <v>6908</v>
      </c>
      <c r="H51" s="647">
        <f t="shared" si="108"/>
        <v>6966</v>
      </c>
      <c r="I51" s="647">
        <f t="shared" si="108"/>
        <v>6858</v>
      </c>
      <c r="J51" s="647">
        <f t="shared" ref="J51:K51" si="109">J502</f>
        <v>6615</v>
      </c>
      <c r="K51" s="647">
        <f t="shared" si="109"/>
        <v>6927</v>
      </c>
      <c r="L51" s="647">
        <f t="shared" ref="L51" si="110">L502</f>
        <v>6896</v>
      </c>
      <c r="M51" s="643"/>
      <c r="N51" s="642" t="s">
        <v>1487</v>
      </c>
      <c r="O51" s="643"/>
      <c r="P51" s="643"/>
      <c r="Q51" s="643"/>
      <c r="R51" s="643"/>
      <c r="S51" s="643"/>
    </row>
    <row r="52" spans="1:19" ht="15.75" thickBot="1">
      <c r="A52" s="643"/>
      <c r="D52" s="647">
        <f t="shared" ref="D52:I52" si="111">SUM(D50:D51)</f>
        <v>71199</v>
      </c>
      <c r="E52" s="647">
        <f t="shared" si="111"/>
        <v>70576</v>
      </c>
      <c r="F52" s="647">
        <f t="shared" si="111"/>
        <v>72972</v>
      </c>
      <c r="G52" s="647">
        <f t="shared" si="111"/>
        <v>73791</v>
      </c>
      <c r="H52" s="647">
        <f t="shared" si="111"/>
        <v>68826</v>
      </c>
      <c r="I52" s="647">
        <f t="shared" si="111"/>
        <v>69815</v>
      </c>
      <c r="J52" s="647">
        <f t="shared" ref="J52:K52" si="112">SUM(J50:J51)</f>
        <v>68787</v>
      </c>
      <c r="K52" s="647">
        <f t="shared" si="112"/>
        <v>72713</v>
      </c>
      <c r="L52" s="647">
        <f t="shared" ref="L52" si="113">SUM(L50:L51)</f>
        <v>71956</v>
      </c>
      <c r="M52" s="643"/>
      <c r="N52" s="643"/>
      <c r="O52" s="643"/>
      <c r="P52" s="643"/>
      <c r="Q52" s="643"/>
      <c r="R52" s="643"/>
      <c r="S52" s="643"/>
    </row>
    <row r="53" spans="1:19">
      <c r="A53" s="643"/>
      <c r="D53" s="652"/>
      <c r="E53" s="652"/>
      <c r="F53" s="652"/>
      <c r="G53" s="652"/>
      <c r="H53" s="652"/>
      <c r="I53" s="652"/>
      <c r="J53" s="652"/>
      <c r="K53" s="652"/>
      <c r="L53" s="652"/>
      <c r="M53" s="643"/>
      <c r="N53" s="643"/>
      <c r="O53" s="643"/>
      <c r="P53" s="643"/>
      <c r="Q53" s="643"/>
      <c r="R53" s="643"/>
      <c r="S53" s="643"/>
    </row>
    <row r="54" spans="1:19">
      <c r="A54" s="642" t="s">
        <v>1488</v>
      </c>
      <c r="D54" s="646">
        <f t="shared" ref="D54:I54" si="114">D191</f>
        <v>30783</v>
      </c>
      <c r="E54" s="646">
        <f t="shared" si="114"/>
        <v>31024</v>
      </c>
      <c r="F54" s="646">
        <f t="shared" si="114"/>
        <v>31201</v>
      </c>
      <c r="G54" s="646">
        <f t="shared" si="114"/>
        <v>31768</v>
      </c>
      <c r="H54" s="646">
        <f t="shared" si="114"/>
        <v>32148</v>
      </c>
      <c r="I54" s="646">
        <f t="shared" si="114"/>
        <v>32451</v>
      </c>
      <c r="J54" s="646">
        <f t="shared" ref="J54:K54" si="115">J191</f>
        <v>31742</v>
      </c>
      <c r="K54" s="646">
        <f t="shared" si="115"/>
        <v>32633</v>
      </c>
      <c r="L54" s="646">
        <f t="shared" ref="L54" si="116">L191</f>
        <v>32828</v>
      </c>
      <c r="M54" s="643"/>
      <c r="N54" s="642" t="s">
        <v>2284</v>
      </c>
      <c r="O54" s="643"/>
      <c r="P54" s="643"/>
      <c r="Q54" s="643"/>
      <c r="R54" s="643"/>
      <c r="S54" s="643"/>
    </row>
    <row r="55" spans="1:19" ht="15.75" thickBot="1">
      <c r="A55" s="643"/>
      <c r="D55" s="647">
        <f t="shared" ref="D55:I55" si="117">D438</f>
        <v>37785</v>
      </c>
      <c r="E55" s="647">
        <f t="shared" si="117"/>
        <v>36086</v>
      </c>
      <c r="F55" s="647">
        <f t="shared" si="117"/>
        <v>36472</v>
      </c>
      <c r="G55" s="647">
        <f t="shared" si="117"/>
        <v>38426</v>
      </c>
      <c r="H55" s="647">
        <f t="shared" si="117"/>
        <v>38994</v>
      </c>
      <c r="I55" s="647">
        <f t="shared" si="117"/>
        <v>37413</v>
      </c>
      <c r="J55" s="647">
        <f t="shared" ref="J55:K55" si="118">J438</f>
        <v>38038</v>
      </c>
      <c r="K55" s="647">
        <f t="shared" si="118"/>
        <v>38437</v>
      </c>
      <c r="L55" s="647">
        <f t="shared" ref="L55" si="119">L438</f>
        <v>38724</v>
      </c>
      <c r="M55" s="643"/>
      <c r="N55" s="642" t="s">
        <v>1489</v>
      </c>
      <c r="O55" s="643"/>
      <c r="P55" s="643"/>
      <c r="Q55" s="643"/>
      <c r="R55" s="643"/>
      <c r="S55" s="643"/>
    </row>
    <row r="56" spans="1:19" ht="15.75" thickBot="1">
      <c r="A56" s="643"/>
      <c r="D56" s="647">
        <f t="shared" ref="D56:I56" si="120">D54+D55</f>
        <v>68568</v>
      </c>
      <c r="E56" s="647">
        <f t="shared" si="120"/>
        <v>67110</v>
      </c>
      <c r="F56" s="647">
        <f t="shared" si="120"/>
        <v>67673</v>
      </c>
      <c r="G56" s="647">
        <f t="shared" si="120"/>
        <v>70194</v>
      </c>
      <c r="H56" s="647">
        <f t="shared" si="120"/>
        <v>71142</v>
      </c>
      <c r="I56" s="647">
        <f t="shared" si="120"/>
        <v>69864</v>
      </c>
      <c r="J56" s="647">
        <f t="shared" ref="J56:K56" si="121">J54+J55</f>
        <v>69780</v>
      </c>
      <c r="K56" s="647">
        <f t="shared" si="121"/>
        <v>71070</v>
      </c>
      <c r="L56" s="647">
        <f t="shared" ref="L56" si="122">L54+L55</f>
        <v>71552</v>
      </c>
      <c r="M56" s="643"/>
      <c r="N56" s="643"/>
      <c r="O56" s="643"/>
      <c r="P56" s="643"/>
      <c r="Q56" s="643"/>
      <c r="R56" s="643"/>
      <c r="S56" s="643"/>
    </row>
    <row r="57" spans="1:19">
      <c r="A57" s="643"/>
      <c r="D57" s="652"/>
      <c r="E57" s="652"/>
      <c r="F57" s="652"/>
      <c r="G57" s="652"/>
      <c r="H57" s="652"/>
      <c r="I57" s="652"/>
      <c r="J57" s="652"/>
      <c r="K57" s="652"/>
      <c r="L57" s="652"/>
      <c r="M57" s="643"/>
      <c r="N57" s="643"/>
      <c r="O57" s="643"/>
      <c r="P57" s="643"/>
      <c r="Q57" s="643"/>
      <c r="R57" s="643"/>
      <c r="S57" s="643"/>
    </row>
    <row r="58" spans="1:19">
      <c r="A58" s="642" t="s">
        <v>1490</v>
      </c>
      <c r="D58" s="646">
        <f t="shared" ref="D58:I58" si="123">D111</f>
        <v>74269</v>
      </c>
      <c r="E58" s="646">
        <f t="shared" si="123"/>
        <v>75001</v>
      </c>
      <c r="F58" s="646">
        <f t="shared" si="123"/>
        <v>76334</v>
      </c>
      <c r="G58" s="646">
        <f t="shared" si="123"/>
        <v>76707</v>
      </c>
      <c r="H58" s="646">
        <f t="shared" si="123"/>
        <v>78852</v>
      </c>
      <c r="I58" s="646">
        <f t="shared" si="123"/>
        <v>77119</v>
      </c>
      <c r="J58" s="646">
        <f t="shared" ref="J58:K58" si="124">J111</f>
        <v>75317</v>
      </c>
      <c r="K58" s="646">
        <f t="shared" si="124"/>
        <v>79084</v>
      </c>
      <c r="L58" s="646">
        <f t="shared" ref="L58" si="125">L111</f>
        <v>79484</v>
      </c>
      <c r="M58" s="643"/>
      <c r="N58" s="642" t="s">
        <v>2286</v>
      </c>
      <c r="O58" s="643"/>
      <c r="P58" s="643"/>
      <c r="Q58" s="643"/>
      <c r="R58" s="643"/>
      <c r="S58" s="643"/>
    </row>
    <row r="59" spans="1:19">
      <c r="A59" s="643"/>
      <c r="D59" s="652"/>
      <c r="E59" s="652"/>
      <c r="F59" s="652"/>
      <c r="G59" s="652"/>
      <c r="H59" s="652"/>
      <c r="I59" s="652"/>
      <c r="J59" s="652"/>
      <c r="K59" s="652"/>
      <c r="L59" s="652"/>
      <c r="M59" s="643"/>
      <c r="N59" s="643"/>
      <c r="O59" s="643"/>
      <c r="P59" s="643"/>
      <c r="Q59" s="643"/>
      <c r="R59" s="643"/>
      <c r="S59" s="643"/>
    </row>
    <row r="60" spans="1:19">
      <c r="A60" s="642" t="s">
        <v>1491</v>
      </c>
      <c r="D60" s="646">
        <f t="shared" ref="D60:I60" si="126">D348</f>
        <v>70079</v>
      </c>
      <c r="E60" s="646">
        <f t="shared" si="126"/>
        <v>69925</v>
      </c>
      <c r="F60" s="646">
        <f t="shared" si="126"/>
        <v>70533</v>
      </c>
      <c r="G60" s="646">
        <f t="shared" si="126"/>
        <v>70689</v>
      </c>
      <c r="H60" s="646">
        <f t="shared" si="126"/>
        <v>69071</v>
      </c>
      <c r="I60" s="646">
        <f t="shared" si="126"/>
        <v>69158</v>
      </c>
      <c r="J60" s="646">
        <f t="shared" ref="J60:K60" si="127">J348</f>
        <v>69288</v>
      </c>
      <c r="K60" s="646">
        <f t="shared" si="127"/>
        <v>70289</v>
      </c>
      <c r="L60" s="646">
        <f t="shared" ref="L60" si="128">L348</f>
        <v>70620</v>
      </c>
      <c r="M60" s="643"/>
      <c r="N60" s="642" t="s">
        <v>2289</v>
      </c>
      <c r="O60" s="643"/>
      <c r="P60" s="643"/>
      <c r="Q60" s="643"/>
      <c r="R60" s="643"/>
      <c r="S60" s="643"/>
    </row>
    <row r="61" spans="1:19">
      <c r="A61" s="643"/>
      <c r="D61" s="652"/>
      <c r="E61" s="652"/>
      <c r="F61" s="652"/>
      <c r="G61" s="652"/>
      <c r="H61" s="652"/>
      <c r="I61" s="652"/>
      <c r="J61" s="652"/>
      <c r="K61" s="652"/>
      <c r="L61" s="652"/>
      <c r="M61" s="643"/>
      <c r="N61" s="643"/>
      <c r="O61" s="643"/>
      <c r="P61" s="643"/>
      <c r="Q61" s="643"/>
      <c r="R61" s="643"/>
      <c r="S61" s="643"/>
    </row>
    <row r="62" spans="1:19">
      <c r="A62" s="642" t="s">
        <v>1492</v>
      </c>
      <c r="D62" s="646">
        <f t="shared" ref="D62:I62" si="129">D406</f>
        <v>75509</v>
      </c>
      <c r="E62" s="646">
        <f t="shared" si="129"/>
        <v>74796</v>
      </c>
      <c r="F62" s="646">
        <f t="shared" si="129"/>
        <v>75770</v>
      </c>
      <c r="G62" s="646">
        <f t="shared" si="129"/>
        <v>76111</v>
      </c>
      <c r="H62" s="646">
        <f t="shared" si="129"/>
        <v>76839</v>
      </c>
      <c r="I62" s="646">
        <f t="shared" si="129"/>
        <v>72615</v>
      </c>
      <c r="J62" s="646">
        <f t="shared" ref="J62:K62" si="130">J406</f>
        <v>75638</v>
      </c>
      <c r="K62" s="646">
        <f t="shared" si="130"/>
        <v>79966</v>
      </c>
      <c r="L62" s="646">
        <f t="shared" ref="L62" si="131">L406</f>
        <v>81092</v>
      </c>
      <c r="M62" s="643"/>
      <c r="N62" s="642" t="s">
        <v>4893</v>
      </c>
      <c r="O62" s="643"/>
      <c r="P62" s="643"/>
      <c r="Q62" s="643"/>
      <c r="R62" s="643"/>
      <c r="S62" s="643"/>
    </row>
    <row r="63" spans="1:19">
      <c r="A63" s="643"/>
      <c r="D63" s="652"/>
      <c r="E63" s="652"/>
      <c r="F63" s="652"/>
      <c r="G63" s="652"/>
      <c r="H63" s="652"/>
      <c r="I63" s="652"/>
      <c r="J63" s="652"/>
      <c r="K63" s="652"/>
      <c r="L63" s="652"/>
      <c r="M63" s="643"/>
      <c r="N63" s="643"/>
      <c r="O63" s="643"/>
      <c r="P63" s="643"/>
      <c r="Q63" s="643"/>
      <c r="R63" s="643"/>
      <c r="S63" s="643"/>
    </row>
    <row r="64" spans="1:19">
      <c r="A64" s="642" t="s">
        <v>1493</v>
      </c>
      <c r="D64" s="646">
        <f t="shared" ref="D64:I64" si="132">D248</f>
        <v>10898</v>
      </c>
      <c r="E64" s="646">
        <f t="shared" si="132"/>
        <v>10969</v>
      </c>
      <c r="F64" s="646">
        <f t="shared" si="132"/>
        <v>10895</v>
      </c>
      <c r="G64" s="646">
        <f t="shared" si="132"/>
        <v>10902</v>
      </c>
      <c r="H64" s="646">
        <f t="shared" si="132"/>
        <v>11048</v>
      </c>
      <c r="I64" s="646">
        <f t="shared" si="132"/>
        <v>11002</v>
      </c>
      <c r="J64" s="646">
        <f t="shared" ref="J64:K64" si="133">J248</f>
        <v>11083</v>
      </c>
      <c r="K64" s="646">
        <f t="shared" si="133"/>
        <v>11299</v>
      </c>
      <c r="L64" s="646">
        <f t="shared" ref="L64" si="134">L248</f>
        <v>11226</v>
      </c>
      <c r="M64" s="643"/>
      <c r="N64" s="642" t="s">
        <v>2291</v>
      </c>
      <c r="O64" s="643"/>
      <c r="P64" s="643"/>
      <c r="Q64" s="643"/>
      <c r="R64" s="643"/>
      <c r="S64" s="643"/>
    </row>
    <row r="65" spans="1:19" ht="15.75" thickBot="1">
      <c r="A65" s="643"/>
      <c r="D65" s="647">
        <f t="shared" ref="D65:I65" si="135">D439</f>
        <v>59469</v>
      </c>
      <c r="E65" s="647">
        <f t="shared" si="135"/>
        <v>57001</v>
      </c>
      <c r="F65" s="647">
        <f t="shared" si="135"/>
        <v>57096</v>
      </c>
      <c r="G65" s="647">
        <f t="shared" si="135"/>
        <v>58435</v>
      </c>
      <c r="H65" s="647">
        <f t="shared" si="135"/>
        <v>60164</v>
      </c>
      <c r="I65" s="647">
        <f t="shared" si="135"/>
        <v>57981</v>
      </c>
      <c r="J65" s="647">
        <f t="shared" ref="J65:K65" si="136">J439</f>
        <v>58929</v>
      </c>
      <c r="K65" s="647">
        <f t="shared" si="136"/>
        <v>59114</v>
      </c>
      <c r="L65" s="647">
        <f t="shared" ref="L65" si="137">L439</f>
        <v>59665</v>
      </c>
      <c r="M65" s="643"/>
      <c r="N65" s="642" t="s">
        <v>1489</v>
      </c>
      <c r="O65" s="643"/>
      <c r="P65" s="643"/>
      <c r="Q65" s="643"/>
      <c r="R65" s="643"/>
      <c r="S65" s="643"/>
    </row>
    <row r="66" spans="1:19" ht="15.75" thickBot="1">
      <c r="A66" s="643"/>
      <c r="D66" s="647">
        <f t="shared" ref="D66:I66" si="138">D64+D65</f>
        <v>70367</v>
      </c>
      <c r="E66" s="647">
        <f t="shared" si="138"/>
        <v>67970</v>
      </c>
      <c r="F66" s="647">
        <f t="shared" si="138"/>
        <v>67991</v>
      </c>
      <c r="G66" s="647">
        <f t="shared" si="138"/>
        <v>69337</v>
      </c>
      <c r="H66" s="647">
        <f t="shared" si="138"/>
        <v>71212</v>
      </c>
      <c r="I66" s="647">
        <f t="shared" si="138"/>
        <v>68983</v>
      </c>
      <c r="J66" s="647">
        <f t="shared" ref="J66:K66" si="139">J64+J65</f>
        <v>70012</v>
      </c>
      <c r="K66" s="647">
        <f t="shared" si="139"/>
        <v>70413</v>
      </c>
      <c r="L66" s="647">
        <f t="shared" ref="L66" si="140">L64+L65</f>
        <v>70891</v>
      </c>
      <c r="M66" s="643"/>
      <c r="N66" s="643"/>
      <c r="O66" s="643"/>
      <c r="P66" s="643"/>
      <c r="Q66" s="643"/>
      <c r="R66" s="643"/>
      <c r="S66" s="643"/>
    </row>
    <row r="67" spans="1:19">
      <c r="A67" s="643"/>
      <c r="D67" s="652"/>
      <c r="E67" s="652"/>
      <c r="F67" s="652"/>
      <c r="G67" s="652"/>
      <c r="H67" s="652"/>
      <c r="I67" s="652"/>
      <c r="J67" s="652"/>
      <c r="K67" s="652"/>
      <c r="L67" s="652"/>
      <c r="M67" s="643"/>
      <c r="N67" s="643"/>
      <c r="O67" s="643"/>
      <c r="P67" s="643"/>
      <c r="Q67" s="643"/>
      <c r="R67" s="643"/>
      <c r="S67" s="643"/>
    </row>
    <row r="68" spans="1:19">
      <c r="A68" s="642" t="s">
        <v>1494</v>
      </c>
      <c r="D68" s="646">
        <f t="shared" ref="D68:I68" si="141">D349</f>
        <v>11861</v>
      </c>
      <c r="E68" s="646">
        <f t="shared" si="141"/>
        <v>11838</v>
      </c>
      <c r="F68" s="646">
        <f t="shared" si="141"/>
        <v>11929</v>
      </c>
      <c r="G68" s="646">
        <f t="shared" si="141"/>
        <v>12022</v>
      </c>
      <c r="H68" s="646">
        <f t="shared" si="141"/>
        <v>11809</v>
      </c>
      <c r="I68" s="646">
        <f t="shared" si="141"/>
        <v>11919</v>
      </c>
      <c r="J68" s="646">
        <f t="shared" ref="J68:K68" si="142">J349</f>
        <v>11848</v>
      </c>
      <c r="K68" s="646">
        <f t="shared" si="142"/>
        <v>11973</v>
      </c>
      <c r="L68" s="646">
        <f t="shared" ref="L68" si="143">L349</f>
        <v>12086</v>
      </c>
      <c r="M68" s="643"/>
      <c r="N68" s="642" t="s">
        <v>2289</v>
      </c>
      <c r="O68" s="643"/>
      <c r="P68" s="643"/>
      <c r="Q68" s="643"/>
      <c r="R68" s="643"/>
      <c r="S68" s="643"/>
    </row>
    <row r="69" spans="1:19" ht="15.75" thickBot="1">
      <c r="A69" s="643"/>
      <c r="D69" s="647">
        <f t="shared" ref="D69:I69" si="144">D473</f>
        <v>59148</v>
      </c>
      <c r="E69" s="647">
        <f t="shared" si="144"/>
        <v>60151</v>
      </c>
      <c r="F69" s="647">
        <f t="shared" si="144"/>
        <v>60907</v>
      </c>
      <c r="G69" s="647">
        <f t="shared" si="144"/>
        <v>61585</v>
      </c>
      <c r="H69" s="647">
        <f t="shared" si="144"/>
        <v>58390</v>
      </c>
      <c r="I69" s="647">
        <f t="shared" si="144"/>
        <v>60752</v>
      </c>
      <c r="J69" s="647">
        <f t="shared" ref="J69:K69" si="145">J473</f>
        <v>61769</v>
      </c>
      <c r="K69" s="647">
        <f t="shared" si="145"/>
        <v>64716</v>
      </c>
      <c r="L69" s="647">
        <f t="shared" ref="L69" si="146">L473</f>
        <v>65459</v>
      </c>
      <c r="M69" s="643"/>
      <c r="N69" s="642" t="s">
        <v>2287</v>
      </c>
      <c r="O69" s="643"/>
      <c r="P69" s="643"/>
      <c r="Q69" s="643"/>
      <c r="R69" s="643"/>
      <c r="S69" s="643"/>
    </row>
    <row r="70" spans="1:19" ht="15.75" thickBot="1">
      <c r="A70" s="643"/>
      <c r="D70" s="647">
        <f t="shared" ref="D70:I70" si="147">D68+D69</f>
        <v>71009</v>
      </c>
      <c r="E70" s="647">
        <f t="shared" si="147"/>
        <v>71989</v>
      </c>
      <c r="F70" s="647">
        <f t="shared" si="147"/>
        <v>72836</v>
      </c>
      <c r="G70" s="647">
        <f t="shared" si="147"/>
        <v>73607</v>
      </c>
      <c r="H70" s="647">
        <f t="shared" si="147"/>
        <v>70199</v>
      </c>
      <c r="I70" s="647">
        <f t="shared" si="147"/>
        <v>72671</v>
      </c>
      <c r="J70" s="647">
        <f t="shared" ref="J70:K70" si="148">J68+J69</f>
        <v>73617</v>
      </c>
      <c r="K70" s="647">
        <f t="shared" si="148"/>
        <v>76689</v>
      </c>
      <c r="L70" s="647">
        <f t="shared" ref="L70" si="149">L68+L69</f>
        <v>77545</v>
      </c>
      <c r="M70" s="643"/>
      <c r="N70" s="643"/>
      <c r="O70" s="643"/>
      <c r="P70" s="643"/>
      <c r="Q70" s="643"/>
      <c r="R70" s="643"/>
      <c r="S70" s="643"/>
    </row>
    <row r="71" spans="1:19">
      <c r="A71" s="643"/>
      <c r="D71" s="652"/>
      <c r="E71" s="652"/>
      <c r="F71" s="652"/>
      <c r="G71" s="652"/>
      <c r="H71" s="652"/>
      <c r="I71" s="652"/>
      <c r="J71" s="652"/>
      <c r="K71" s="652"/>
      <c r="L71" s="652"/>
      <c r="M71" s="643"/>
      <c r="N71" s="643"/>
      <c r="O71" s="643"/>
      <c r="P71" s="643"/>
      <c r="Q71" s="643"/>
      <c r="R71" s="643"/>
      <c r="S71" s="643"/>
    </row>
    <row r="72" spans="1:19">
      <c r="A72" s="642" t="s">
        <v>1495</v>
      </c>
      <c r="D72" s="646">
        <f t="shared" ref="D72:I72" si="150">D503</f>
        <v>72364</v>
      </c>
      <c r="E72" s="646">
        <f t="shared" si="150"/>
        <v>73028</v>
      </c>
      <c r="F72" s="646">
        <f t="shared" si="150"/>
        <v>72902</v>
      </c>
      <c r="G72" s="646">
        <f t="shared" si="150"/>
        <v>73499</v>
      </c>
      <c r="H72" s="646">
        <f t="shared" si="150"/>
        <v>73192</v>
      </c>
      <c r="I72" s="646">
        <f t="shared" si="150"/>
        <v>71235</v>
      </c>
      <c r="J72" s="646">
        <f t="shared" ref="J72:K72" si="151">J503</f>
        <v>69765</v>
      </c>
      <c r="K72" s="646">
        <f t="shared" si="151"/>
        <v>73596</v>
      </c>
      <c r="L72" s="646">
        <f t="shared" ref="L72" si="152">L503</f>
        <v>72726</v>
      </c>
      <c r="M72" s="643"/>
      <c r="N72" s="642" t="s">
        <v>1487</v>
      </c>
      <c r="O72" s="643"/>
      <c r="P72" s="643"/>
      <c r="Q72" s="643"/>
      <c r="R72" s="643"/>
      <c r="S72" s="643"/>
    </row>
    <row r="73" spans="1:19">
      <c r="A73" s="643"/>
      <c r="B73" s="643"/>
      <c r="C73" s="643"/>
      <c r="D73" s="652"/>
      <c r="E73" s="652"/>
      <c r="F73" s="652"/>
      <c r="G73" s="652"/>
      <c r="H73" s="652"/>
      <c r="I73" s="652"/>
      <c r="J73" s="652"/>
      <c r="K73" s="652"/>
      <c r="L73" s="652"/>
      <c r="M73" s="643"/>
      <c r="N73" s="643"/>
      <c r="O73" s="643"/>
      <c r="P73" s="643"/>
      <c r="Q73" s="643"/>
      <c r="R73" s="643"/>
      <c r="S73" s="643"/>
    </row>
    <row r="74" spans="1:19">
      <c r="A74" s="642" t="s">
        <v>8697</v>
      </c>
      <c r="B74" s="643"/>
      <c r="C74" s="643"/>
      <c r="D74" s="646">
        <f t="shared" ref="D74:I74" si="153">D24+D26+D30+D34+D36+D40+D44+D46+D48+D52+D56+D58+D60+D62+D66+D70+D72</f>
        <v>1230386</v>
      </c>
      <c r="E74" s="646">
        <f t="shared" si="153"/>
        <v>1235505</v>
      </c>
      <c r="F74" s="646">
        <f t="shared" si="153"/>
        <v>1252517</v>
      </c>
      <c r="G74" s="646">
        <f t="shared" si="153"/>
        <v>1266630</v>
      </c>
      <c r="H74" s="646">
        <f t="shared" si="153"/>
        <v>1257881</v>
      </c>
      <c r="I74" s="646">
        <f t="shared" si="153"/>
        <v>1238287</v>
      </c>
      <c r="J74" s="646">
        <f t="shared" ref="J74:K74" si="154">J24+J26+J30+J34+J36+J40+J44+J46+J48+J52+J56+J58+J60+J62+J66+J70+J72</f>
        <v>1227088</v>
      </c>
      <c r="K74" s="646">
        <f t="shared" si="154"/>
        <v>1271479</v>
      </c>
      <c r="L74" s="646">
        <f t="shared" ref="L74" si="155">L24+L26+L30+L34+L36+L40+L44+L46+L48+L52+L56+L58+L60+L62+L66+L70+L72</f>
        <v>1277767</v>
      </c>
      <c r="M74" s="643"/>
      <c r="N74" s="643"/>
      <c r="O74" s="643"/>
      <c r="P74" s="643"/>
      <c r="Q74" s="643"/>
      <c r="R74" s="643"/>
      <c r="S74" s="643"/>
    </row>
    <row r="75" spans="1:19">
      <c r="A75" s="643"/>
      <c r="B75" s="643"/>
      <c r="C75" s="643"/>
      <c r="D75" s="652"/>
      <c r="E75" s="652"/>
      <c r="F75" s="652"/>
      <c r="G75" s="652"/>
      <c r="H75" s="652"/>
      <c r="I75" s="652"/>
      <c r="J75" s="652"/>
      <c r="K75" s="652"/>
      <c r="L75" s="652"/>
      <c r="M75" s="643"/>
      <c r="N75" s="643"/>
      <c r="O75" s="643"/>
      <c r="P75" s="643"/>
      <c r="Q75" s="643"/>
      <c r="R75" s="643"/>
      <c r="S75" s="643"/>
    </row>
    <row r="76" spans="1:19">
      <c r="A76" s="642" t="s">
        <v>8698</v>
      </c>
      <c r="B76" s="643"/>
      <c r="C76" s="643"/>
      <c r="D76" s="646">
        <f t="shared" ref="D76:I76" si="156">MAX(D24,D26,D30,D34,D36,D40,D44,D46,D48,D52,D56,D58,D60,D62,D66,D70,D72)-MIN(D24,D26,D30,D34,D36,D40,D44,D46,D48,D52,D56,D58,D60,D62,D66,D70,D72)</f>
        <v>13259</v>
      </c>
      <c r="E76" s="646">
        <f t="shared" si="156"/>
        <v>17046</v>
      </c>
      <c r="F76" s="646">
        <f t="shared" si="156"/>
        <v>17257</v>
      </c>
      <c r="G76" s="646">
        <f t="shared" si="156"/>
        <v>16211</v>
      </c>
      <c r="H76" s="646">
        <f t="shared" si="156"/>
        <v>18087</v>
      </c>
      <c r="I76" s="646">
        <f t="shared" si="156"/>
        <v>17400</v>
      </c>
      <c r="J76" s="646">
        <f t="shared" ref="J76:K76" si="157">MAX(J24,J26,J30,J34,J36,J40,J44,J46,J48,J52,J56,J58,J60,J62,J66,J70,J72)-MIN(J24,J26,J30,J34,J36,J40,J44,J46,J48,J52,J56,J58,J60,J62,J66,J70,J72)</f>
        <v>16146</v>
      </c>
      <c r="K76" s="646">
        <f t="shared" si="157"/>
        <v>15486</v>
      </c>
      <c r="L76" s="646">
        <f t="shared" ref="L76" si="158">MAX(L24,L26,L30,L34,L36,L40,L44,L46,L48,L52,L56,L58,L60,L62,L66,L70,L72)-MIN(L24,L26,L30,L34,L36,L40,L44,L46,L48,L52,L56,L58,L60,L62,L66,L70,L72)</f>
        <v>16710</v>
      </c>
      <c r="M76" s="643"/>
      <c r="N76" s="643"/>
      <c r="O76" s="643"/>
      <c r="P76" s="643"/>
      <c r="Q76" s="643"/>
      <c r="R76" s="643"/>
      <c r="S76" s="643"/>
    </row>
    <row r="77" spans="1:19">
      <c r="A77" s="643"/>
      <c r="B77" s="643"/>
      <c r="C77" s="643"/>
      <c r="D77" s="652"/>
      <c r="E77" s="652"/>
      <c r="F77" s="652"/>
      <c r="G77" s="652"/>
      <c r="H77" s="652"/>
      <c r="I77" s="652"/>
      <c r="J77" s="652"/>
      <c r="K77" s="652"/>
      <c r="L77" s="652"/>
      <c r="M77" s="643"/>
      <c r="N77" s="643"/>
      <c r="O77" s="643"/>
      <c r="P77" s="643"/>
      <c r="Q77" s="643"/>
      <c r="R77" s="643"/>
      <c r="S77" s="643"/>
    </row>
    <row r="78" spans="1:19">
      <c r="A78" s="642" t="s">
        <v>8701</v>
      </c>
      <c r="B78" s="643"/>
      <c r="C78" s="643"/>
      <c r="D78" s="646">
        <f t="shared" ref="D78:I78" si="159">STDEVP(D24,D26,D30,D34,D36,D40,D44,D46,D48,D52,D56,D58,D60,D62,D66,D70,D72)</f>
        <v>3359.5873160636943</v>
      </c>
      <c r="E78" s="646">
        <f t="shared" si="159"/>
        <v>4486.3607094419995</v>
      </c>
      <c r="F78" s="646">
        <f t="shared" si="159"/>
        <v>4586.0922763047411</v>
      </c>
      <c r="G78" s="646">
        <f t="shared" si="159"/>
        <v>4630.5538347598331</v>
      </c>
      <c r="H78" s="646">
        <f t="shared" si="159"/>
        <v>5252.4214583818948</v>
      </c>
      <c r="I78" s="646">
        <f t="shared" si="159"/>
        <v>4884.8025314874603</v>
      </c>
      <c r="J78" s="646">
        <f t="shared" ref="J78:K78" si="160">STDEVP(J24,J26,J30,J34,J36,J40,J44,J46,J48,J52,J56,J58,J60,J62,J66,J70,J72)</f>
        <v>4636.6069483060119</v>
      </c>
      <c r="K78" s="646">
        <f t="shared" si="160"/>
        <v>4746.8980569030291</v>
      </c>
      <c r="L78" s="646">
        <f t="shared" ref="L78" si="161">STDEVP(L24,L26,L30,L34,L36,L40,L44,L46,L48,L52,L56,L58,L60,L62,L66,L70,L72)</f>
        <v>5230.9887551400243</v>
      </c>
      <c r="M78" s="643"/>
      <c r="N78" s="643"/>
      <c r="O78" s="643"/>
      <c r="P78" s="643"/>
      <c r="Q78" s="643"/>
      <c r="R78" s="643"/>
      <c r="S78" s="643"/>
    </row>
    <row r="79" spans="1:19">
      <c r="A79" s="642"/>
      <c r="B79" s="643"/>
      <c r="C79" s="643"/>
      <c r="D79" s="646"/>
      <c r="E79" s="646"/>
      <c r="F79" s="646"/>
      <c r="G79" s="646"/>
      <c r="H79" s="646"/>
      <c r="I79" s="646"/>
      <c r="J79" s="646"/>
      <c r="K79" s="646"/>
      <c r="L79" s="646"/>
      <c r="M79" s="643"/>
      <c r="N79" s="643"/>
      <c r="O79" s="643"/>
      <c r="P79" s="643"/>
      <c r="Q79" s="643"/>
      <c r="R79" s="643"/>
      <c r="S79" s="643"/>
    </row>
    <row r="80" spans="1:19">
      <c r="A80" s="642" t="s">
        <v>2280</v>
      </c>
      <c r="B80" s="643"/>
      <c r="C80" s="643"/>
      <c r="D80" s="646"/>
      <c r="E80" s="646"/>
      <c r="F80" s="646"/>
      <c r="G80" s="646"/>
      <c r="H80" s="646"/>
      <c r="I80" s="646"/>
      <c r="J80" s="646"/>
      <c r="K80" s="646"/>
      <c r="L80" s="646"/>
      <c r="M80" s="643"/>
      <c r="N80" s="643"/>
      <c r="O80" s="643"/>
      <c r="P80" s="643"/>
      <c r="Q80" s="643"/>
      <c r="R80" s="643"/>
      <c r="S80" s="643"/>
    </row>
    <row r="81" spans="1:19">
      <c r="A81" s="642"/>
      <c r="B81" s="643"/>
      <c r="C81" s="643"/>
      <c r="D81" s="651"/>
      <c r="E81" s="651"/>
      <c r="F81" s="651"/>
      <c r="G81" s="651"/>
      <c r="H81" s="651"/>
      <c r="I81" s="651"/>
      <c r="J81" s="651"/>
      <c r="K81" s="651"/>
      <c r="L81" s="651"/>
      <c r="M81" s="643"/>
      <c r="N81" s="643"/>
      <c r="O81" s="643"/>
      <c r="P81" s="643"/>
      <c r="Q81" s="643"/>
      <c r="R81" s="643"/>
      <c r="S81" s="643"/>
    </row>
    <row r="82" spans="1:19">
      <c r="A82" s="64"/>
      <c r="B82" s="643"/>
      <c r="C82" s="643"/>
      <c r="D82" s="651"/>
      <c r="E82" s="651"/>
      <c r="F82" s="651"/>
      <c r="G82" s="651"/>
      <c r="H82" s="651"/>
      <c r="I82" s="651"/>
      <c r="J82" s="651"/>
      <c r="K82" s="651"/>
      <c r="L82" s="651"/>
      <c r="M82" s="643"/>
      <c r="N82" s="643"/>
      <c r="O82" s="643"/>
      <c r="P82" s="643"/>
      <c r="Q82" s="643"/>
      <c r="R82" s="643"/>
      <c r="S82" s="643"/>
    </row>
    <row r="83" spans="1:19">
      <c r="A83" s="643"/>
      <c r="B83" s="643"/>
      <c r="C83" s="643"/>
      <c r="E83" s="42" t="s">
        <v>2303</v>
      </c>
      <c r="F83" s="42"/>
      <c r="G83" s="42"/>
      <c r="H83" s="42"/>
      <c r="I83" s="42"/>
      <c r="J83" s="42"/>
      <c r="K83" s="42"/>
      <c r="L83" s="42"/>
      <c r="M83" s="65"/>
      <c r="N83" s="66" t="s">
        <v>13319</v>
      </c>
      <c r="O83" s="643"/>
      <c r="P83" s="643"/>
      <c r="Q83" s="643"/>
      <c r="R83" s="643"/>
      <c r="S83" s="643"/>
    </row>
    <row r="84" spans="1:19">
      <c r="A84" s="643"/>
      <c r="B84" s="643"/>
      <c r="C84" s="643"/>
      <c r="D84" s="55">
        <v>2010</v>
      </c>
      <c r="E84" s="55">
        <v>2011</v>
      </c>
      <c r="F84" s="55">
        <v>2012</v>
      </c>
      <c r="G84" s="55">
        <v>2013</v>
      </c>
      <c r="H84" s="55">
        <v>2014</v>
      </c>
      <c r="I84" s="55">
        <v>2015</v>
      </c>
      <c r="J84" s="55">
        <v>2016</v>
      </c>
      <c r="K84" s="55">
        <v>2017</v>
      </c>
      <c r="L84" s="55">
        <v>2018</v>
      </c>
      <c r="M84" s="643"/>
      <c r="N84" s="67" t="s">
        <v>2304</v>
      </c>
      <c r="O84" s="643"/>
      <c r="P84" s="643"/>
      <c r="Q84" s="643"/>
      <c r="R84" s="643"/>
      <c r="S84" s="643"/>
    </row>
    <row r="85" spans="1:19">
      <c r="A85" s="642" t="s">
        <v>2023</v>
      </c>
      <c r="C85" s="642"/>
      <c r="D85" s="646">
        <f t="shared" ref="D85:I85" si="162">SUM(D86:D107)</f>
        <v>185837</v>
      </c>
      <c r="E85" s="646">
        <f t="shared" si="162"/>
        <v>186433</v>
      </c>
      <c r="F85" s="646">
        <f t="shared" si="162"/>
        <v>189356</v>
      </c>
      <c r="G85" s="646">
        <f t="shared" si="162"/>
        <v>189930</v>
      </c>
      <c r="H85" s="646">
        <f t="shared" si="162"/>
        <v>193662</v>
      </c>
      <c r="I85" s="646">
        <f t="shared" si="162"/>
        <v>186805</v>
      </c>
      <c r="J85" s="646">
        <f t="shared" ref="J85:K85" si="163">SUM(J86:J107)</f>
        <v>182325</v>
      </c>
      <c r="K85" s="646">
        <f t="shared" si="163"/>
        <v>190863</v>
      </c>
      <c r="L85" s="646">
        <f t="shared" ref="L85" si="164">SUM(L86:L107)</f>
        <v>191406</v>
      </c>
      <c r="M85" s="643"/>
      <c r="N85" s="643"/>
      <c r="O85" s="643"/>
      <c r="P85" s="643"/>
      <c r="Q85" s="643"/>
      <c r="R85" s="643"/>
      <c r="S85" s="643"/>
    </row>
    <row r="86" spans="1:19">
      <c r="A86" s="656">
        <v>1</v>
      </c>
      <c r="B86" s="642" t="s">
        <v>1496</v>
      </c>
      <c r="C86" s="4" t="s">
        <v>9841</v>
      </c>
      <c r="D86" s="646">
        <v>9557</v>
      </c>
      <c r="E86" s="646">
        <v>9913</v>
      </c>
      <c r="F86" s="646">
        <v>10130</v>
      </c>
      <c r="G86" s="646">
        <v>10072</v>
      </c>
      <c r="H86" s="48">
        <v>10018</v>
      </c>
      <c r="I86" s="48">
        <v>9069</v>
      </c>
      <c r="J86" s="48">
        <v>8996</v>
      </c>
      <c r="K86" s="931">
        <v>9601</v>
      </c>
      <c r="L86" s="931">
        <v>9593</v>
      </c>
      <c r="M86" s="643"/>
      <c r="N86" s="642" t="s">
        <v>2285</v>
      </c>
      <c r="O86" s="4"/>
      <c r="Q86" s="4"/>
      <c r="R86" s="643"/>
      <c r="S86" s="643"/>
    </row>
    <row r="87" spans="1:19">
      <c r="A87" s="656">
        <v>2</v>
      </c>
      <c r="B87" s="642" t="s">
        <v>4877</v>
      </c>
      <c r="C87" s="4" t="s">
        <v>9842</v>
      </c>
      <c r="D87" s="646">
        <v>4083</v>
      </c>
      <c r="E87" s="646">
        <v>4228</v>
      </c>
      <c r="F87" s="646">
        <v>4291</v>
      </c>
      <c r="G87" s="646">
        <v>4325</v>
      </c>
      <c r="H87" s="48">
        <v>4396</v>
      </c>
      <c r="I87" s="48">
        <v>4289</v>
      </c>
      <c r="J87" s="48">
        <v>4384</v>
      </c>
      <c r="K87" s="931">
        <v>4743</v>
      </c>
      <c r="L87" s="931">
        <v>4909</v>
      </c>
      <c r="M87" s="643"/>
      <c r="N87" s="642" t="s">
        <v>1490</v>
      </c>
      <c r="O87" s="4"/>
      <c r="Q87" s="4"/>
      <c r="R87" s="643"/>
      <c r="S87" s="643"/>
    </row>
    <row r="88" spans="1:19">
      <c r="A88" s="656">
        <v>3</v>
      </c>
      <c r="B88" s="642" t="s">
        <v>6592</v>
      </c>
      <c r="C88" s="4" t="s">
        <v>9843</v>
      </c>
      <c r="D88" s="646">
        <v>10869</v>
      </c>
      <c r="E88" s="646">
        <v>10714</v>
      </c>
      <c r="F88" s="646">
        <v>11017</v>
      </c>
      <c r="G88" s="646">
        <v>10981</v>
      </c>
      <c r="H88" s="48">
        <v>11454</v>
      </c>
      <c r="I88" s="48">
        <v>10743</v>
      </c>
      <c r="J88" s="48">
        <v>10351</v>
      </c>
      <c r="K88" s="931">
        <v>10940</v>
      </c>
      <c r="L88" s="931">
        <v>11006</v>
      </c>
      <c r="M88" s="643"/>
      <c r="N88" s="642" t="s">
        <v>4895</v>
      </c>
      <c r="O88" s="4"/>
      <c r="Q88" s="4"/>
      <c r="R88" s="643"/>
      <c r="S88" s="643"/>
    </row>
    <row r="89" spans="1:19">
      <c r="A89" s="656">
        <v>4</v>
      </c>
      <c r="B89" s="642" t="s">
        <v>6593</v>
      </c>
      <c r="C89" s="4" t="s">
        <v>9844</v>
      </c>
      <c r="D89" s="653">
        <v>10776</v>
      </c>
      <c r="E89" s="653">
        <v>10463</v>
      </c>
      <c r="F89" s="653">
        <v>10738</v>
      </c>
      <c r="G89" s="653">
        <v>10648</v>
      </c>
      <c r="H89" s="48">
        <v>11012</v>
      </c>
      <c r="I89" s="48">
        <v>10608</v>
      </c>
      <c r="J89" s="48">
        <v>10137</v>
      </c>
      <c r="K89" s="931">
        <v>10413</v>
      </c>
      <c r="L89" s="931">
        <v>10534</v>
      </c>
      <c r="M89" s="643"/>
      <c r="N89" s="642" t="s">
        <v>4895</v>
      </c>
      <c r="O89" s="4"/>
      <c r="Q89" s="4"/>
      <c r="R89" s="643"/>
      <c r="S89" s="643"/>
    </row>
    <row r="90" spans="1:19">
      <c r="A90" s="656">
        <v>5</v>
      </c>
      <c r="B90" s="642" t="s">
        <v>6594</v>
      </c>
      <c r="C90" s="4" t="s">
        <v>9845</v>
      </c>
      <c r="D90" s="646">
        <v>6455</v>
      </c>
      <c r="E90" s="646">
        <v>6481</v>
      </c>
      <c r="F90" s="646">
        <v>6482</v>
      </c>
      <c r="G90" s="646">
        <v>6575</v>
      </c>
      <c r="H90" s="48">
        <v>6534</v>
      </c>
      <c r="I90" s="48">
        <v>6328</v>
      </c>
      <c r="J90" s="48">
        <v>6269</v>
      </c>
      <c r="K90" s="931">
        <v>6463</v>
      </c>
      <c r="L90" s="931">
        <v>6460</v>
      </c>
      <c r="M90" s="643"/>
      <c r="N90" s="642" t="s">
        <v>4895</v>
      </c>
      <c r="O90" s="4"/>
      <c r="Q90" s="4"/>
      <c r="R90" s="643"/>
      <c r="S90" s="643"/>
    </row>
    <row r="91" spans="1:19">
      <c r="A91" s="656">
        <v>6</v>
      </c>
      <c r="B91" s="642" t="s">
        <v>6595</v>
      </c>
      <c r="C91" s="4" t="s">
        <v>9846</v>
      </c>
      <c r="D91" s="653">
        <v>6852</v>
      </c>
      <c r="E91" s="653">
        <v>6904</v>
      </c>
      <c r="F91" s="653">
        <v>6946</v>
      </c>
      <c r="G91" s="653">
        <v>6748</v>
      </c>
      <c r="H91" s="48">
        <v>6731</v>
      </c>
      <c r="I91" s="48">
        <v>6327</v>
      </c>
      <c r="J91" s="48">
        <v>6393</v>
      </c>
      <c r="K91" s="931">
        <v>6732</v>
      </c>
      <c r="L91" s="931">
        <v>6788</v>
      </c>
      <c r="M91" s="643"/>
      <c r="N91" s="642" t="s">
        <v>2285</v>
      </c>
      <c r="O91" s="4"/>
      <c r="Q91" s="4"/>
      <c r="R91" s="643"/>
      <c r="S91" s="643"/>
    </row>
    <row r="92" spans="1:19">
      <c r="A92" s="656">
        <v>7</v>
      </c>
      <c r="B92" s="642" t="s">
        <v>6596</v>
      </c>
      <c r="C92" s="4" t="s">
        <v>9847</v>
      </c>
      <c r="D92" s="646">
        <v>9306</v>
      </c>
      <c r="E92" s="646">
        <v>9169</v>
      </c>
      <c r="F92" s="646">
        <v>9470</v>
      </c>
      <c r="G92" s="646">
        <v>9319</v>
      </c>
      <c r="H92" s="48">
        <v>9663</v>
      </c>
      <c r="I92" s="48">
        <v>9335</v>
      </c>
      <c r="J92" s="48">
        <v>8936</v>
      </c>
      <c r="K92" s="931">
        <v>9160</v>
      </c>
      <c r="L92" s="931">
        <v>9135</v>
      </c>
      <c r="M92" s="643"/>
      <c r="N92" s="642" t="s">
        <v>2285</v>
      </c>
      <c r="O92" s="4"/>
      <c r="Q92" s="4"/>
      <c r="R92" s="643"/>
      <c r="S92" s="643"/>
    </row>
    <row r="93" spans="1:19">
      <c r="A93" s="656">
        <v>8</v>
      </c>
      <c r="B93" s="642" t="s">
        <v>6156</v>
      </c>
      <c r="C93" s="4" t="s">
        <v>9848</v>
      </c>
      <c r="D93" s="646">
        <v>10031</v>
      </c>
      <c r="E93" s="646">
        <v>9925</v>
      </c>
      <c r="F93" s="646">
        <v>10253</v>
      </c>
      <c r="G93" s="646">
        <v>10272</v>
      </c>
      <c r="H93" s="48">
        <v>10753</v>
      </c>
      <c r="I93" s="48">
        <v>10518</v>
      </c>
      <c r="J93" s="48">
        <v>10544</v>
      </c>
      <c r="K93" s="931">
        <v>11148</v>
      </c>
      <c r="L93" s="931">
        <v>11259</v>
      </c>
      <c r="M93" s="643"/>
      <c r="N93" s="642" t="s">
        <v>1490</v>
      </c>
      <c r="O93" s="4"/>
      <c r="Q93" s="4"/>
      <c r="R93" s="643"/>
      <c r="S93" s="643"/>
    </row>
    <row r="94" spans="1:19">
      <c r="A94" s="656">
        <v>9</v>
      </c>
      <c r="B94" s="642" t="s">
        <v>6597</v>
      </c>
      <c r="C94" s="4" t="s">
        <v>9849</v>
      </c>
      <c r="D94" s="646">
        <v>7365</v>
      </c>
      <c r="E94" s="646">
        <v>7122</v>
      </c>
      <c r="F94" s="646">
        <v>7267</v>
      </c>
      <c r="G94" s="646">
        <v>7320</v>
      </c>
      <c r="H94" s="48">
        <v>7290</v>
      </c>
      <c r="I94" s="48">
        <v>6787</v>
      </c>
      <c r="J94" s="48">
        <v>6837</v>
      </c>
      <c r="K94" s="931">
        <v>7291</v>
      </c>
      <c r="L94" s="931">
        <v>7309</v>
      </c>
      <c r="M94" s="643"/>
      <c r="N94" s="642" t="s">
        <v>2285</v>
      </c>
      <c r="O94" s="4"/>
      <c r="Q94" s="4"/>
      <c r="R94" s="643"/>
      <c r="S94" s="643"/>
    </row>
    <row r="95" spans="1:19">
      <c r="A95" s="656">
        <v>10</v>
      </c>
      <c r="B95" s="642" t="s">
        <v>6598</v>
      </c>
      <c r="C95" s="4" t="s">
        <v>9850</v>
      </c>
      <c r="D95" s="646">
        <v>9843</v>
      </c>
      <c r="E95" s="646">
        <v>9815</v>
      </c>
      <c r="F95" s="646">
        <v>9884</v>
      </c>
      <c r="G95" s="646">
        <v>9969</v>
      </c>
      <c r="H95" s="48">
        <v>9988</v>
      </c>
      <c r="I95" s="48">
        <v>9703</v>
      </c>
      <c r="J95" s="48">
        <v>9488</v>
      </c>
      <c r="K95" s="931">
        <v>9814</v>
      </c>
      <c r="L95" s="931">
        <v>9768</v>
      </c>
      <c r="M95" s="643"/>
      <c r="N95" s="642" t="s">
        <v>4895</v>
      </c>
      <c r="O95" s="4"/>
      <c r="Q95" s="4"/>
      <c r="R95" s="643"/>
      <c r="S95" s="643"/>
    </row>
    <row r="96" spans="1:19">
      <c r="A96" s="656">
        <v>11</v>
      </c>
      <c r="B96" s="642" t="s">
        <v>6599</v>
      </c>
      <c r="C96" s="4" t="s">
        <v>9851</v>
      </c>
      <c r="D96" s="646">
        <v>6756</v>
      </c>
      <c r="E96" s="646">
        <v>6693</v>
      </c>
      <c r="F96" s="646">
        <v>6750</v>
      </c>
      <c r="G96" s="646">
        <v>6817</v>
      </c>
      <c r="H96" s="48">
        <v>6888</v>
      </c>
      <c r="I96" s="48">
        <v>6665</v>
      </c>
      <c r="J96" s="48">
        <v>6546</v>
      </c>
      <c r="K96" s="931">
        <v>6861</v>
      </c>
      <c r="L96" s="931">
        <v>6882</v>
      </c>
      <c r="M96" s="643"/>
      <c r="N96" s="642" t="s">
        <v>4895</v>
      </c>
      <c r="O96" s="4"/>
      <c r="Q96" s="4"/>
      <c r="R96" s="643"/>
      <c r="S96" s="643"/>
    </row>
    <row r="97" spans="1:19">
      <c r="A97" s="656">
        <v>12</v>
      </c>
      <c r="B97" s="642" t="s">
        <v>6600</v>
      </c>
      <c r="C97" s="4" t="s">
        <v>9852</v>
      </c>
      <c r="D97" s="646">
        <v>10051</v>
      </c>
      <c r="E97" s="646">
        <v>10106</v>
      </c>
      <c r="F97" s="646">
        <v>10174</v>
      </c>
      <c r="G97" s="646">
        <v>10185</v>
      </c>
      <c r="H97" s="48">
        <v>10216</v>
      </c>
      <c r="I97" s="48">
        <v>9856</v>
      </c>
      <c r="J97" s="48">
        <v>9613</v>
      </c>
      <c r="K97" s="931">
        <v>10118</v>
      </c>
      <c r="L97" s="931">
        <v>10099</v>
      </c>
      <c r="M97" s="643"/>
      <c r="N97" s="642" t="s">
        <v>4895</v>
      </c>
      <c r="O97" s="4"/>
      <c r="Q97" s="4"/>
      <c r="R97" s="643"/>
      <c r="S97" s="643"/>
    </row>
    <row r="98" spans="1:19">
      <c r="A98" s="656">
        <v>13</v>
      </c>
      <c r="B98" s="642" t="s">
        <v>8211</v>
      </c>
      <c r="C98" s="4" t="s">
        <v>9853</v>
      </c>
      <c r="D98" s="653">
        <v>5177</v>
      </c>
      <c r="E98" s="653">
        <v>5378</v>
      </c>
      <c r="F98" s="653">
        <v>5575</v>
      </c>
      <c r="G98" s="653">
        <v>5387</v>
      </c>
      <c r="H98" s="48">
        <v>5990</v>
      </c>
      <c r="I98" s="48">
        <v>5961</v>
      </c>
      <c r="J98" s="48">
        <v>5741</v>
      </c>
      <c r="K98" s="931">
        <v>6263</v>
      </c>
      <c r="L98" s="931">
        <v>6257</v>
      </c>
      <c r="M98" s="643"/>
      <c r="N98" s="642" t="s">
        <v>1490</v>
      </c>
      <c r="O98" s="4"/>
      <c r="Q98" s="4"/>
      <c r="R98" s="643"/>
      <c r="S98" s="643"/>
    </row>
    <row r="99" spans="1:19">
      <c r="A99" s="656">
        <v>14</v>
      </c>
      <c r="B99" s="642" t="s">
        <v>6601</v>
      </c>
      <c r="C99" s="4" t="s">
        <v>9854</v>
      </c>
      <c r="D99" s="646">
        <v>6943</v>
      </c>
      <c r="E99" s="646">
        <v>7142</v>
      </c>
      <c r="F99" s="646">
        <v>7391</v>
      </c>
      <c r="G99" s="646">
        <v>7579</v>
      </c>
      <c r="H99" s="48">
        <v>7656</v>
      </c>
      <c r="I99" s="48">
        <v>7528</v>
      </c>
      <c r="J99" s="48">
        <v>7181</v>
      </c>
      <c r="K99" s="931">
        <v>7397</v>
      </c>
      <c r="L99" s="931">
        <v>7355</v>
      </c>
      <c r="M99" s="643"/>
      <c r="N99" s="642" t="s">
        <v>1490</v>
      </c>
      <c r="O99" s="4"/>
      <c r="Q99" s="4"/>
      <c r="R99" s="643"/>
      <c r="S99" s="643"/>
    </row>
    <row r="100" spans="1:19">
      <c r="A100" s="656">
        <v>15</v>
      </c>
      <c r="B100" s="642" t="s">
        <v>6602</v>
      </c>
      <c r="C100" s="4" t="s">
        <v>9855</v>
      </c>
      <c r="D100" s="653">
        <v>9674</v>
      </c>
      <c r="E100" s="653">
        <v>9730</v>
      </c>
      <c r="F100" s="653">
        <v>9794</v>
      </c>
      <c r="G100" s="653">
        <v>9870</v>
      </c>
      <c r="H100" s="48">
        <v>10011</v>
      </c>
      <c r="I100" s="48">
        <v>9819</v>
      </c>
      <c r="J100" s="48">
        <v>9509</v>
      </c>
      <c r="K100" s="931">
        <v>9774</v>
      </c>
      <c r="L100" s="931">
        <v>9933</v>
      </c>
      <c r="M100" s="643"/>
      <c r="N100" s="642" t="s">
        <v>1490</v>
      </c>
      <c r="O100" s="4"/>
      <c r="Q100" s="4"/>
      <c r="R100" s="643"/>
      <c r="S100" s="643"/>
    </row>
    <row r="101" spans="1:19">
      <c r="A101" s="656">
        <v>16</v>
      </c>
      <c r="B101" s="642" t="s">
        <v>6603</v>
      </c>
      <c r="C101" s="4" t="s">
        <v>9856</v>
      </c>
      <c r="D101" s="646">
        <v>7434</v>
      </c>
      <c r="E101" s="646">
        <v>7431</v>
      </c>
      <c r="F101" s="646">
        <v>7574</v>
      </c>
      <c r="G101" s="646">
        <v>7624</v>
      </c>
      <c r="H101" s="48">
        <v>7655</v>
      </c>
      <c r="I101" s="48">
        <v>7656</v>
      </c>
      <c r="J101" s="48">
        <v>7318</v>
      </c>
      <c r="K101" s="931">
        <v>7601</v>
      </c>
      <c r="L101" s="931">
        <v>7543</v>
      </c>
      <c r="M101" s="643"/>
      <c r="N101" s="642" t="s">
        <v>1490</v>
      </c>
      <c r="O101" s="4"/>
      <c r="Q101" s="4"/>
      <c r="R101" s="643"/>
      <c r="S101" s="643"/>
    </row>
    <row r="102" spans="1:19">
      <c r="A102" s="656">
        <v>17</v>
      </c>
      <c r="B102" s="642" t="s">
        <v>6604</v>
      </c>
      <c r="C102" s="4" t="s">
        <v>9857</v>
      </c>
      <c r="D102" s="646">
        <v>10180</v>
      </c>
      <c r="E102" s="646">
        <v>10039</v>
      </c>
      <c r="F102" s="646">
        <v>10192</v>
      </c>
      <c r="G102" s="646">
        <v>10146</v>
      </c>
      <c r="H102" s="48">
        <v>10333</v>
      </c>
      <c r="I102" s="48">
        <v>9955</v>
      </c>
      <c r="J102" s="48">
        <v>9674</v>
      </c>
      <c r="K102" s="931">
        <v>10042</v>
      </c>
      <c r="L102" s="931">
        <v>10067</v>
      </c>
      <c r="M102" s="643"/>
      <c r="N102" s="642" t="s">
        <v>1490</v>
      </c>
      <c r="O102" s="4"/>
      <c r="Q102" s="4"/>
      <c r="R102" s="643"/>
      <c r="S102" s="643"/>
    </row>
    <row r="103" spans="1:19">
      <c r="A103" s="656">
        <v>18</v>
      </c>
      <c r="B103" s="642" t="s">
        <v>6605</v>
      </c>
      <c r="C103" s="4" t="s">
        <v>9858</v>
      </c>
      <c r="D103" s="646">
        <v>10205</v>
      </c>
      <c r="E103" s="646">
        <v>10440</v>
      </c>
      <c r="F103" s="646">
        <v>10539</v>
      </c>
      <c r="G103" s="646">
        <v>10789</v>
      </c>
      <c r="H103" s="48">
        <v>10945</v>
      </c>
      <c r="I103" s="48">
        <v>10827</v>
      </c>
      <c r="J103" s="48">
        <v>10681</v>
      </c>
      <c r="K103" s="931">
        <v>11268</v>
      </c>
      <c r="L103" s="931">
        <v>11376</v>
      </c>
      <c r="M103" s="643"/>
      <c r="N103" s="642" t="s">
        <v>1490</v>
      </c>
      <c r="O103" s="4"/>
      <c r="Q103" s="4"/>
      <c r="R103" s="643"/>
      <c r="S103" s="643"/>
    </row>
    <row r="104" spans="1:19">
      <c r="A104" s="656">
        <v>19</v>
      </c>
      <c r="B104" s="642" t="s">
        <v>6606</v>
      </c>
      <c r="C104" s="4" t="s">
        <v>9859</v>
      </c>
      <c r="D104" s="646">
        <v>10542</v>
      </c>
      <c r="E104" s="646">
        <v>10688</v>
      </c>
      <c r="F104" s="646">
        <v>10725</v>
      </c>
      <c r="G104" s="646">
        <v>10715</v>
      </c>
      <c r="H104" s="48">
        <v>11113</v>
      </c>
      <c r="I104" s="48">
        <v>10566</v>
      </c>
      <c r="J104" s="48">
        <v>10285</v>
      </c>
      <c r="K104" s="931">
        <v>10848</v>
      </c>
      <c r="L104" s="931">
        <v>10785</v>
      </c>
      <c r="M104" s="643"/>
      <c r="N104" s="642" t="s">
        <v>1490</v>
      </c>
      <c r="O104" s="4"/>
      <c r="Q104" s="4"/>
      <c r="R104" s="643"/>
      <c r="S104" s="643"/>
    </row>
    <row r="105" spans="1:19">
      <c r="A105" s="656">
        <v>20</v>
      </c>
      <c r="B105" s="642" t="s">
        <v>6607</v>
      </c>
      <c r="C105" s="4" t="s">
        <v>9860</v>
      </c>
      <c r="D105" s="646">
        <v>9662</v>
      </c>
      <c r="E105" s="646">
        <v>9909</v>
      </c>
      <c r="F105" s="646">
        <v>9946</v>
      </c>
      <c r="G105" s="646">
        <v>10150</v>
      </c>
      <c r="H105" s="48">
        <v>10279</v>
      </c>
      <c r="I105" s="48">
        <v>10024</v>
      </c>
      <c r="J105" s="48">
        <v>9642</v>
      </c>
      <c r="K105" s="931">
        <v>10033</v>
      </c>
      <c r="L105" s="931">
        <v>10080</v>
      </c>
      <c r="M105" s="643"/>
      <c r="N105" s="642" t="s">
        <v>4895</v>
      </c>
      <c r="O105" s="4"/>
      <c r="Q105" s="4"/>
      <c r="R105" s="643"/>
      <c r="S105" s="643"/>
    </row>
    <row r="106" spans="1:19">
      <c r="A106" s="656">
        <v>21</v>
      </c>
      <c r="B106" s="642" t="s">
        <v>6608</v>
      </c>
      <c r="C106" s="4" t="s">
        <v>9861</v>
      </c>
      <c r="D106" s="646">
        <v>7186</v>
      </c>
      <c r="E106" s="646">
        <v>7215</v>
      </c>
      <c r="F106" s="646">
        <v>7205</v>
      </c>
      <c r="G106" s="646">
        <v>7236</v>
      </c>
      <c r="H106" s="48">
        <v>7384</v>
      </c>
      <c r="I106" s="48">
        <v>7184</v>
      </c>
      <c r="J106" s="48">
        <v>6956</v>
      </c>
      <c r="K106" s="931">
        <v>7176</v>
      </c>
      <c r="L106" s="931">
        <v>7161</v>
      </c>
      <c r="M106" s="643"/>
      <c r="N106" s="642" t="s">
        <v>2285</v>
      </c>
      <c r="O106" s="4"/>
      <c r="Q106" s="4"/>
      <c r="R106" s="643"/>
      <c r="S106" s="643"/>
    </row>
    <row r="107" spans="1:19">
      <c r="A107" s="656">
        <v>22</v>
      </c>
      <c r="B107" s="642" t="s">
        <v>7621</v>
      </c>
      <c r="C107" s="4" t="s">
        <v>9862</v>
      </c>
      <c r="D107" s="653">
        <v>6890</v>
      </c>
      <c r="E107" s="653">
        <v>6928</v>
      </c>
      <c r="F107" s="653">
        <v>7013</v>
      </c>
      <c r="G107" s="653">
        <v>7203</v>
      </c>
      <c r="H107" s="48">
        <v>7353</v>
      </c>
      <c r="I107" s="48">
        <v>7057</v>
      </c>
      <c r="J107" s="48">
        <v>6844</v>
      </c>
      <c r="K107" s="931">
        <v>7177</v>
      </c>
      <c r="L107" s="931">
        <v>7107</v>
      </c>
      <c r="M107" s="643"/>
      <c r="N107" s="642" t="s">
        <v>4895</v>
      </c>
      <c r="O107" s="4"/>
      <c r="Q107" s="4"/>
      <c r="R107" s="643"/>
      <c r="S107" s="643"/>
    </row>
    <row r="108" spans="1:19">
      <c r="A108" s="64"/>
      <c r="B108" s="64"/>
      <c r="C108" s="643"/>
      <c r="D108" s="657"/>
      <c r="E108" s="657"/>
      <c r="F108" s="657"/>
      <c r="G108" s="657"/>
      <c r="H108" s="657"/>
      <c r="I108" s="657"/>
      <c r="J108" s="657"/>
      <c r="K108" s="657"/>
      <c r="L108" s="657"/>
      <c r="M108" s="64"/>
      <c r="N108" s="64"/>
      <c r="O108" s="643"/>
      <c r="Q108" s="643"/>
      <c r="R108" s="643"/>
      <c r="S108" s="643"/>
    </row>
    <row r="109" spans="1:19">
      <c r="A109" s="642" t="s">
        <v>6609</v>
      </c>
      <c r="C109" s="643"/>
      <c r="D109" s="646">
        <f t="shared" ref="D109:I109" si="165">D86+D91+D92+D94+D106</f>
        <v>40266</v>
      </c>
      <c r="E109" s="646">
        <f t="shared" si="165"/>
        <v>40323</v>
      </c>
      <c r="F109" s="646">
        <f t="shared" si="165"/>
        <v>41018</v>
      </c>
      <c r="G109" s="646">
        <f t="shared" si="165"/>
        <v>40695</v>
      </c>
      <c r="H109" s="646">
        <f t="shared" si="165"/>
        <v>41086</v>
      </c>
      <c r="I109" s="646">
        <f t="shared" si="165"/>
        <v>38702</v>
      </c>
      <c r="J109" s="646">
        <f t="shared" ref="J109:K109" si="166">J86+J91+J92+J94+J106</f>
        <v>38118</v>
      </c>
      <c r="K109" s="646">
        <f t="shared" si="166"/>
        <v>39960</v>
      </c>
      <c r="L109" s="646">
        <f t="shared" ref="L109" si="167">L86+L91+L92+L94+L106</f>
        <v>39986</v>
      </c>
      <c r="M109" s="643"/>
      <c r="N109" s="643"/>
      <c r="O109" s="643"/>
      <c r="Q109" s="643"/>
      <c r="R109" s="643"/>
      <c r="S109" s="643"/>
    </row>
    <row r="110" spans="1:19">
      <c r="A110" s="642" t="s">
        <v>4895</v>
      </c>
      <c r="C110" s="643"/>
      <c r="D110" s="646">
        <f t="shared" ref="D110:I110" si="168">SUM(D88:D90)+SUM(D95:D97)+D105+D107</f>
        <v>71302</v>
      </c>
      <c r="E110" s="646">
        <f t="shared" si="168"/>
        <v>71109</v>
      </c>
      <c r="F110" s="646">
        <f t="shared" si="168"/>
        <v>72004</v>
      </c>
      <c r="G110" s="646">
        <f t="shared" si="168"/>
        <v>72528</v>
      </c>
      <c r="H110" s="646">
        <f t="shared" si="168"/>
        <v>73724</v>
      </c>
      <c r="I110" s="646">
        <f t="shared" si="168"/>
        <v>70984</v>
      </c>
      <c r="J110" s="646">
        <f t="shared" ref="J110:K110" si="169">SUM(J88:J90)+SUM(J95:J97)+J105+J107</f>
        <v>68890</v>
      </c>
      <c r="K110" s="646">
        <f t="shared" si="169"/>
        <v>71819</v>
      </c>
      <c r="L110" s="646">
        <f t="shared" ref="L110" si="170">SUM(L88:L90)+SUM(L95:L97)+L105+L107</f>
        <v>71936</v>
      </c>
      <c r="M110" s="64"/>
      <c r="N110" s="643"/>
      <c r="O110" s="643"/>
      <c r="Q110" s="643"/>
      <c r="R110" s="643"/>
      <c r="S110" s="643"/>
    </row>
    <row r="111" spans="1:19">
      <c r="A111" s="642" t="s">
        <v>1490</v>
      </c>
      <c r="C111" s="643"/>
      <c r="D111" s="646">
        <f t="shared" ref="D111:I111" si="171">D87+D93+SUM(D98:D104)</f>
        <v>74269</v>
      </c>
      <c r="E111" s="646">
        <f t="shared" si="171"/>
        <v>75001</v>
      </c>
      <c r="F111" s="646">
        <f t="shared" si="171"/>
        <v>76334</v>
      </c>
      <c r="G111" s="646">
        <f t="shared" si="171"/>
        <v>76707</v>
      </c>
      <c r="H111" s="646">
        <f t="shared" si="171"/>
        <v>78852</v>
      </c>
      <c r="I111" s="646">
        <f t="shared" si="171"/>
        <v>77119</v>
      </c>
      <c r="J111" s="646">
        <f t="shared" ref="J111:K111" si="172">J87+J93+SUM(J98:J104)</f>
        <v>75317</v>
      </c>
      <c r="K111" s="646">
        <f t="shared" si="172"/>
        <v>79084</v>
      </c>
      <c r="L111" s="646">
        <f t="shared" ref="L111" si="173">L87+L93+SUM(L98:L104)</f>
        <v>79484</v>
      </c>
      <c r="M111" s="646"/>
      <c r="N111" s="643"/>
      <c r="O111" s="643"/>
      <c r="Q111" s="643"/>
      <c r="R111" s="643"/>
      <c r="S111" s="643"/>
    </row>
    <row r="112" spans="1:19">
      <c r="A112" s="642"/>
      <c r="B112" s="642"/>
      <c r="C112" s="643"/>
      <c r="D112" s="658"/>
      <c r="E112" s="658"/>
      <c r="F112" s="658"/>
      <c r="G112" s="658"/>
      <c r="H112" s="658"/>
      <c r="I112" s="658"/>
      <c r="J112" s="658"/>
      <c r="K112" s="658"/>
      <c r="L112" s="658"/>
      <c r="M112" s="643"/>
      <c r="N112" s="643"/>
      <c r="O112" s="643"/>
      <c r="Q112" s="643"/>
      <c r="R112" s="643"/>
      <c r="S112" s="643"/>
    </row>
    <row r="113" spans="1:19">
      <c r="A113" s="642" t="s">
        <v>6610</v>
      </c>
      <c r="B113" s="642"/>
      <c r="C113" s="643"/>
      <c r="D113" s="658"/>
      <c r="E113" s="658"/>
      <c r="F113" s="658"/>
      <c r="G113" s="658"/>
      <c r="H113" s="658"/>
      <c r="I113" s="658"/>
      <c r="J113" s="658"/>
      <c r="K113" s="658"/>
      <c r="L113" s="658"/>
      <c r="M113" s="643"/>
      <c r="N113" s="643"/>
      <c r="O113" s="643"/>
      <c r="Q113" s="643"/>
      <c r="R113" s="643"/>
      <c r="S113" s="643"/>
    </row>
    <row r="114" spans="1:19">
      <c r="B114" s="642"/>
      <c r="C114" s="643"/>
      <c r="D114" s="658"/>
      <c r="E114" s="658"/>
      <c r="F114" s="658"/>
      <c r="G114" s="658"/>
      <c r="H114" s="658"/>
      <c r="I114" s="658"/>
      <c r="J114" s="658"/>
      <c r="K114" s="658"/>
      <c r="L114" s="658"/>
      <c r="M114" s="643"/>
      <c r="N114" s="643"/>
      <c r="O114" s="643"/>
      <c r="Q114" s="643"/>
      <c r="R114" s="643"/>
      <c r="S114" s="643"/>
    </row>
    <row r="115" spans="1:19">
      <c r="B115" s="642"/>
      <c r="C115" s="643"/>
      <c r="D115" s="658"/>
      <c r="E115" s="658"/>
      <c r="F115" s="658"/>
      <c r="G115" s="658"/>
      <c r="H115" s="658"/>
      <c r="I115" s="658"/>
      <c r="J115" s="658"/>
      <c r="K115" s="658"/>
      <c r="L115" s="658"/>
      <c r="M115" s="643"/>
      <c r="N115" s="643"/>
      <c r="O115" s="643"/>
      <c r="Q115" s="643"/>
      <c r="R115" s="643"/>
      <c r="S115" s="643"/>
    </row>
    <row r="116" spans="1:19">
      <c r="A116" s="643"/>
      <c r="B116" s="643"/>
      <c r="C116" s="643"/>
      <c r="E116" s="42" t="s">
        <v>2303</v>
      </c>
      <c r="F116" s="42"/>
      <c r="G116" s="42"/>
      <c r="H116" s="42"/>
      <c r="I116" s="42"/>
      <c r="J116" s="42"/>
      <c r="K116" s="42"/>
      <c r="L116" s="42"/>
      <c r="M116" s="65"/>
      <c r="N116" s="66" t="s">
        <v>13319</v>
      </c>
      <c r="O116" s="643"/>
      <c r="Q116" s="643"/>
      <c r="R116" s="643"/>
      <c r="S116" s="643"/>
    </row>
    <row r="117" spans="1:19">
      <c r="A117" s="643"/>
      <c r="B117" s="643"/>
      <c r="C117" s="643"/>
      <c r="D117" s="55">
        <v>2010</v>
      </c>
      <c r="E117" s="55">
        <v>2011</v>
      </c>
      <c r="F117" s="55">
        <v>2012</v>
      </c>
      <c r="G117" s="55">
        <v>2013</v>
      </c>
      <c r="H117" s="55">
        <v>2014</v>
      </c>
      <c r="I117" s="55">
        <v>2015</v>
      </c>
      <c r="J117" s="55">
        <v>2016</v>
      </c>
      <c r="K117" s="55">
        <v>2017</v>
      </c>
      <c r="L117" s="55">
        <v>2018</v>
      </c>
      <c r="M117" s="643"/>
      <c r="N117" s="67" t="s">
        <v>2304</v>
      </c>
      <c r="O117" s="643"/>
      <c r="Q117" s="643"/>
      <c r="R117" s="643"/>
      <c r="S117" s="643"/>
    </row>
    <row r="118" spans="1:19">
      <c r="A118" s="642" t="s">
        <v>6611</v>
      </c>
      <c r="C118" s="643"/>
      <c r="D118" s="646">
        <f t="shared" ref="D118:I118" si="174">SUM(D119:D153)</f>
        <v>85182</v>
      </c>
      <c r="E118" s="646">
        <f t="shared" si="174"/>
        <v>86043</v>
      </c>
      <c r="F118" s="646">
        <f t="shared" si="174"/>
        <v>87420</v>
      </c>
      <c r="G118" s="646">
        <f t="shared" si="174"/>
        <v>88804</v>
      </c>
      <c r="H118" s="646">
        <f t="shared" si="174"/>
        <v>89111</v>
      </c>
      <c r="I118" s="646">
        <f t="shared" si="174"/>
        <v>88043</v>
      </c>
      <c r="J118" s="646">
        <f t="shared" ref="J118:K118" si="175">SUM(J119:J153)</f>
        <v>86610</v>
      </c>
      <c r="K118" s="646">
        <f t="shared" si="175"/>
        <v>89236</v>
      </c>
      <c r="L118" s="646">
        <f t="shared" ref="L118" si="176">SUM(L119:L153)</f>
        <v>90894</v>
      </c>
      <c r="M118" s="643"/>
      <c r="N118" s="643"/>
      <c r="O118" s="643"/>
      <c r="Q118" s="643"/>
      <c r="R118" s="643"/>
      <c r="S118" s="643"/>
    </row>
    <row r="119" spans="1:19">
      <c r="A119" s="642" t="s">
        <v>6957</v>
      </c>
      <c r="B119" s="642" t="s">
        <v>4859</v>
      </c>
      <c r="C119" s="4" t="s">
        <v>10810</v>
      </c>
      <c r="D119" s="646">
        <v>1902</v>
      </c>
      <c r="E119" s="646">
        <v>1906</v>
      </c>
      <c r="F119" s="646">
        <v>2114</v>
      </c>
      <c r="G119" s="30">
        <v>2346</v>
      </c>
      <c r="H119" s="30">
        <v>2434</v>
      </c>
      <c r="I119" s="30">
        <v>2380</v>
      </c>
      <c r="J119" s="30">
        <v>2341</v>
      </c>
      <c r="K119" s="30">
        <v>2470</v>
      </c>
      <c r="L119" s="30">
        <v>2522</v>
      </c>
      <c r="M119" s="643"/>
      <c r="N119" s="642" t="s">
        <v>2281</v>
      </c>
      <c r="O119" s="93"/>
      <c r="P119" s="4"/>
      <c r="Q119" s="4"/>
      <c r="R119" s="643"/>
      <c r="S119" s="643"/>
    </row>
    <row r="120" spans="1:19">
      <c r="A120" s="642" t="s">
        <v>6959</v>
      </c>
      <c r="B120" s="642" t="s">
        <v>4860</v>
      </c>
      <c r="C120" s="4" t="s">
        <v>10811</v>
      </c>
      <c r="D120" s="646">
        <v>3899</v>
      </c>
      <c r="E120" s="646">
        <v>3931</v>
      </c>
      <c r="F120" s="646">
        <v>4004</v>
      </c>
      <c r="G120" s="30">
        <v>4048</v>
      </c>
      <c r="H120" s="30">
        <v>4019</v>
      </c>
      <c r="I120" s="30">
        <v>3964</v>
      </c>
      <c r="J120" s="30">
        <v>3817</v>
      </c>
      <c r="K120" s="30">
        <v>3918</v>
      </c>
      <c r="L120" s="30">
        <v>3955</v>
      </c>
      <c r="M120" s="643"/>
      <c r="N120" s="642" t="s">
        <v>2281</v>
      </c>
      <c r="O120" s="93"/>
      <c r="P120" s="4"/>
      <c r="Q120" s="4"/>
      <c r="R120" s="643"/>
      <c r="S120" s="643"/>
    </row>
    <row r="121" spans="1:19">
      <c r="A121" s="642" t="s">
        <v>6961</v>
      </c>
      <c r="B121" s="642" t="s">
        <v>4902</v>
      </c>
      <c r="C121" s="4" t="s">
        <v>10812</v>
      </c>
      <c r="D121" s="646">
        <v>2060</v>
      </c>
      <c r="E121" s="646">
        <v>2102</v>
      </c>
      <c r="F121" s="646">
        <v>2066</v>
      </c>
      <c r="G121" s="30">
        <v>2061</v>
      </c>
      <c r="H121" s="30">
        <v>2021</v>
      </c>
      <c r="I121" s="30">
        <v>2017</v>
      </c>
      <c r="J121" s="30">
        <v>1977</v>
      </c>
      <c r="K121" s="30">
        <v>1998</v>
      </c>
      <c r="L121" s="30">
        <v>2048</v>
      </c>
      <c r="M121" s="643"/>
      <c r="N121" s="642" t="s">
        <v>2281</v>
      </c>
      <c r="O121" s="93"/>
      <c r="P121" s="4"/>
      <c r="Q121" s="4"/>
      <c r="R121" s="643"/>
      <c r="S121" s="643"/>
    </row>
    <row r="122" spans="1:19">
      <c r="A122" s="642" t="s">
        <v>6963</v>
      </c>
      <c r="B122" s="642" t="s">
        <v>4903</v>
      </c>
      <c r="C122" s="4" t="s">
        <v>10813</v>
      </c>
      <c r="D122" s="646">
        <v>1810</v>
      </c>
      <c r="E122" s="646">
        <v>1814</v>
      </c>
      <c r="F122" s="646">
        <v>1833</v>
      </c>
      <c r="G122" s="30">
        <v>1854</v>
      </c>
      <c r="H122" s="30">
        <v>1861</v>
      </c>
      <c r="I122" s="30">
        <v>1851</v>
      </c>
      <c r="J122" s="30">
        <v>1873</v>
      </c>
      <c r="K122" s="30">
        <v>2009</v>
      </c>
      <c r="L122" s="30">
        <v>2036</v>
      </c>
      <c r="M122" s="643"/>
      <c r="N122" s="642" t="s">
        <v>2281</v>
      </c>
      <c r="O122" s="93"/>
      <c r="P122" s="4"/>
      <c r="Q122" s="4"/>
      <c r="R122" s="643"/>
      <c r="S122" s="643"/>
    </row>
    <row r="123" spans="1:19">
      <c r="A123" s="642" t="s">
        <v>6965</v>
      </c>
      <c r="B123" s="642" t="s">
        <v>4904</v>
      </c>
      <c r="C123" s="4" t="s">
        <v>10814</v>
      </c>
      <c r="D123" s="646">
        <v>2271</v>
      </c>
      <c r="E123" s="646">
        <v>2287</v>
      </c>
      <c r="F123" s="646">
        <v>2302</v>
      </c>
      <c r="G123" s="30">
        <v>2340</v>
      </c>
      <c r="H123" s="30">
        <v>2358</v>
      </c>
      <c r="I123" s="30">
        <v>2329</v>
      </c>
      <c r="J123" s="30">
        <v>2262</v>
      </c>
      <c r="K123" s="30">
        <v>2314</v>
      </c>
      <c r="L123" s="30">
        <v>2294</v>
      </c>
      <c r="M123" s="643"/>
      <c r="N123" s="642" t="s">
        <v>2281</v>
      </c>
      <c r="O123" s="93"/>
      <c r="P123" s="4"/>
      <c r="Q123" s="4"/>
      <c r="R123" s="643"/>
      <c r="S123" s="643"/>
    </row>
    <row r="124" spans="1:19">
      <c r="A124" s="642" t="s">
        <v>6997</v>
      </c>
      <c r="B124" s="642" t="s">
        <v>4905</v>
      </c>
      <c r="C124" s="4" t="s">
        <v>10815</v>
      </c>
      <c r="D124" s="646">
        <v>1960</v>
      </c>
      <c r="E124" s="646">
        <v>1944</v>
      </c>
      <c r="F124" s="646">
        <v>1938</v>
      </c>
      <c r="G124" s="30">
        <v>1950</v>
      </c>
      <c r="H124" s="30">
        <v>1934</v>
      </c>
      <c r="I124" s="30">
        <v>1900</v>
      </c>
      <c r="J124" s="30">
        <v>1891</v>
      </c>
      <c r="K124" s="30">
        <v>1931</v>
      </c>
      <c r="L124" s="30">
        <v>1929</v>
      </c>
      <c r="M124" s="643"/>
      <c r="N124" s="642" t="s">
        <v>2281</v>
      </c>
      <c r="O124" s="93"/>
      <c r="P124" s="4"/>
      <c r="Q124" s="4"/>
      <c r="R124" s="643"/>
      <c r="S124" s="643"/>
    </row>
    <row r="125" spans="1:19">
      <c r="A125" s="642" t="s">
        <v>6999</v>
      </c>
      <c r="B125" s="642" t="s">
        <v>4906</v>
      </c>
      <c r="C125" s="4" t="s">
        <v>10816</v>
      </c>
      <c r="D125" s="646">
        <v>2019</v>
      </c>
      <c r="E125" s="646">
        <v>2026</v>
      </c>
      <c r="F125" s="646">
        <v>2042</v>
      </c>
      <c r="G125" s="30">
        <v>2045</v>
      </c>
      <c r="H125" s="30">
        <v>2015</v>
      </c>
      <c r="I125" s="30">
        <v>2015</v>
      </c>
      <c r="J125" s="30">
        <v>2008</v>
      </c>
      <c r="K125" s="30">
        <v>2106</v>
      </c>
      <c r="L125" s="30">
        <v>2110</v>
      </c>
      <c r="M125" s="643"/>
      <c r="N125" s="642" t="s">
        <v>2281</v>
      </c>
      <c r="O125" s="93"/>
      <c r="P125" s="4"/>
      <c r="Q125" s="4"/>
      <c r="R125" s="643"/>
      <c r="S125" s="643"/>
    </row>
    <row r="126" spans="1:19">
      <c r="A126" s="642" t="s">
        <v>7001</v>
      </c>
      <c r="B126" s="642" t="s">
        <v>4907</v>
      </c>
      <c r="C126" s="4" t="s">
        <v>10817</v>
      </c>
      <c r="D126" s="646">
        <v>1925</v>
      </c>
      <c r="E126" s="646">
        <v>1931</v>
      </c>
      <c r="F126" s="646">
        <v>1977</v>
      </c>
      <c r="G126" s="30">
        <v>2029</v>
      </c>
      <c r="H126" s="30">
        <v>1991</v>
      </c>
      <c r="I126" s="30">
        <v>1992</v>
      </c>
      <c r="J126" s="30">
        <v>1927</v>
      </c>
      <c r="K126" s="30">
        <v>1979</v>
      </c>
      <c r="L126" s="30">
        <v>2021</v>
      </c>
      <c r="M126" s="643"/>
      <c r="N126" s="642" t="s">
        <v>2281</v>
      </c>
      <c r="O126" s="93"/>
      <c r="P126" s="4"/>
      <c r="Q126" s="4"/>
      <c r="R126" s="643"/>
      <c r="S126" s="643"/>
    </row>
    <row r="127" spans="1:19">
      <c r="A127" s="642" t="s">
        <v>7003</v>
      </c>
      <c r="B127" s="642" t="s">
        <v>4908</v>
      </c>
      <c r="C127" s="4" t="s">
        <v>10818</v>
      </c>
      <c r="D127" s="646">
        <v>1919</v>
      </c>
      <c r="E127" s="646">
        <v>1892</v>
      </c>
      <c r="F127" s="646">
        <v>1943</v>
      </c>
      <c r="G127" s="30">
        <v>1960</v>
      </c>
      <c r="H127" s="30">
        <v>1986</v>
      </c>
      <c r="I127" s="30">
        <v>1973</v>
      </c>
      <c r="J127" s="30">
        <v>1932</v>
      </c>
      <c r="K127" s="30">
        <v>1969</v>
      </c>
      <c r="L127" s="30">
        <v>1990</v>
      </c>
      <c r="M127" s="643"/>
      <c r="N127" s="642" t="s">
        <v>2281</v>
      </c>
      <c r="O127" s="93"/>
      <c r="P127" s="4"/>
      <c r="Q127" s="4"/>
      <c r="R127" s="643"/>
      <c r="S127" s="643"/>
    </row>
    <row r="128" spans="1:19">
      <c r="A128" s="642" t="s">
        <v>7005</v>
      </c>
      <c r="B128" s="642" t="s">
        <v>4909</v>
      </c>
      <c r="C128" s="4" t="s">
        <v>10819</v>
      </c>
      <c r="D128" s="646">
        <v>3955</v>
      </c>
      <c r="E128" s="646">
        <v>4054</v>
      </c>
      <c r="F128" s="646">
        <v>4183</v>
      </c>
      <c r="G128" s="30">
        <v>4468</v>
      </c>
      <c r="H128" s="30">
        <v>4587</v>
      </c>
      <c r="I128" s="30">
        <v>4564</v>
      </c>
      <c r="J128" s="30">
        <v>4641</v>
      </c>
      <c r="K128" s="30">
        <v>4859</v>
      </c>
      <c r="L128" s="30">
        <v>5105</v>
      </c>
      <c r="M128" s="643"/>
      <c r="N128" s="642" t="s">
        <v>2281</v>
      </c>
      <c r="O128" s="93"/>
      <c r="P128" s="4"/>
      <c r="Q128" s="4"/>
      <c r="R128" s="643"/>
      <c r="S128" s="643"/>
    </row>
    <row r="129" spans="1:19">
      <c r="A129" s="642" t="s">
        <v>7007</v>
      </c>
      <c r="B129" s="642" t="s">
        <v>4910</v>
      </c>
      <c r="C129" s="4" t="s">
        <v>10820</v>
      </c>
      <c r="D129" s="646">
        <v>2516</v>
      </c>
      <c r="E129" s="646">
        <v>2571</v>
      </c>
      <c r="F129" s="646">
        <v>2575</v>
      </c>
      <c r="G129" s="30">
        <v>2594</v>
      </c>
      <c r="H129" s="30">
        <v>2635</v>
      </c>
      <c r="I129" s="30">
        <v>2599</v>
      </c>
      <c r="J129" s="30">
        <v>2533</v>
      </c>
      <c r="K129" s="30">
        <v>2663</v>
      </c>
      <c r="L129" s="30">
        <v>2632</v>
      </c>
      <c r="M129" s="643"/>
      <c r="N129" s="642" t="s">
        <v>2281</v>
      </c>
      <c r="O129" s="93"/>
      <c r="P129" s="4"/>
      <c r="Q129" s="4"/>
      <c r="R129" s="643"/>
      <c r="S129" s="643"/>
    </row>
    <row r="130" spans="1:19">
      <c r="A130" s="642" t="s">
        <v>7009</v>
      </c>
      <c r="B130" s="642" t="s">
        <v>1279</v>
      </c>
      <c r="C130" s="4" t="s">
        <v>10821</v>
      </c>
      <c r="D130" s="646">
        <v>1923</v>
      </c>
      <c r="E130" s="646">
        <v>1905</v>
      </c>
      <c r="F130" s="646">
        <v>1915</v>
      </c>
      <c r="G130" s="30">
        <v>1892</v>
      </c>
      <c r="H130" s="30">
        <v>1874</v>
      </c>
      <c r="I130" s="30">
        <v>1850</v>
      </c>
      <c r="J130" s="30">
        <v>1841</v>
      </c>
      <c r="K130" s="30">
        <v>1819</v>
      </c>
      <c r="L130" s="30">
        <v>1865</v>
      </c>
      <c r="M130" s="643"/>
      <c r="N130" s="642" t="s">
        <v>2281</v>
      </c>
      <c r="O130" s="93"/>
      <c r="P130" s="4"/>
      <c r="Q130" s="4"/>
      <c r="R130" s="643"/>
      <c r="S130" s="643"/>
    </row>
    <row r="131" spans="1:19">
      <c r="A131" s="642" t="s">
        <v>7011</v>
      </c>
      <c r="B131" s="642" t="s">
        <v>4911</v>
      </c>
      <c r="C131" s="4" t="s">
        <v>10822</v>
      </c>
      <c r="D131" s="646">
        <v>2135</v>
      </c>
      <c r="E131" s="646">
        <v>2135</v>
      </c>
      <c r="F131" s="646">
        <v>2138</v>
      </c>
      <c r="G131" s="30">
        <v>2168</v>
      </c>
      <c r="H131" s="30">
        <v>2134</v>
      </c>
      <c r="I131" s="30">
        <v>2135</v>
      </c>
      <c r="J131" s="30">
        <v>2105</v>
      </c>
      <c r="K131" s="30">
        <v>2163</v>
      </c>
      <c r="L131" s="30">
        <v>2181</v>
      </c>
      <c r="M131" s="643"/>
      <c r="N131" s="642" t="s">
        <v>2281</v>
      </c>
      <c r="O131" s="93"/>
      <c r="P131" s="4"/>
      <c r="Q131" s="4"/>
      <c r="R131" s="643"/>
      <c r="S131" s="643"/>
    </row>
    <row r="132" spans="1:19">
      <c r="A132" s="642" t="s">
        <v>7013</v>
      </c>
      <c r="B132" s="642" t="s">
        <v>4912</v>
      </c>
      <c r="C132" s="4" t="s">
        <v>10823</v>
      </c>
      <c r="D132" s="646">
        <v>1785</v>
      </c>
      <c r="E132" s="646">
        <v>1778</v>
      </c>
      <c r="F132" s="646">
        <v>1827</v>
      </c>
      <c r="G132" s="30">
        <v>1848</v>
      </c>
      <c r="H132" s="30">
        <v>1843</v>
      </c>
      <c r="I132" s="30">
        <v>1821</v>
      </c>
      <c r="J132" s="30">
        <v>1799</v>
      </c>
      <c r="K132" s="30">
        <v>1814</v>
      </c>
      <c r="L132" s="30">
        <v>1818</v>
      </c>
      <c r="M132" s="643"/>
      <c r="N132" s="642" t="s">
        <v>2281</v>
      </c>
      <c r="O132" s="93"/>
      <c r="P132" s="4"/>
      <c r="Q132" s="4"/>
      <c r="R132" s="643"/>
      <c r="S132" s="643"/>
    </row>
    <row r="133" spans="1:19">
      <c r="A133" s="642" t="s">
        <v>7015</v>
      </c>
      <c r="B133" s="642" t="s">
        <v>6664</v>
      </c>
      <c r="C133" s="4" t="s">
        <v>10824</v>
      </c>
      <c r="D133" s="646">
        <v>2183</v>
      </c>
      <c r="E133" s="646">
        <v>2171</v>
      </c>
      <c r="F133" s="646">
        <v>2173</v>
      </c>
      <c r="G133" s="30">
        <v>2180</v>
      </c>
      <c r="H133" s="30">
        <v>2179</v>
      </c>
      <c r="I133" s="30">
        <v>2169</v>
      </c>
      <c r="J133" s="30">
        <v>2131</v>
      </c>
      <c r="K133" s="30">
        <v>2148</v>
      </c>
      <c r="L133" s="30">
        <v>2188</v>
      </c>
      <c r="M133" s="643"/>
      <c r="N133" s="642" t="s">
        <v>2281</v>
      </c>
      <c r="O133" s="93"/>
      <c r="P133" s="4"/>
      <c r="Q133" s="4"/>
      <c r="R133" s="643"/>
      <c r="S133" s="643"/>
    </row>
    <row r="134" spans="1:19">
      <c r="A134" s="642" t="s">
        <v>7017</v>
      </c>
      <c r="B134" s="642" t="s">
        <v>6665</v>
      </c>
      <c r="C134" s="4" t="s">
        <v>10825</v>
      </c>
      <c r="D134" s="646">
        <v>1919</v>
      </c>
      <c r="E134" s="646">
        <v>1933</v>
      </c>
      <c r="F134" s="646">
        <v>1910</v>
      </c>
      <c r="G134" s="31">
        <v>1937</v>
      </c>
      <c r="H134" s="31">
        <v>1941</v>
      </c>
      <c r="I134" s="31">
        <v>1920</v>
      </c>
      <c r="J134" s="31">
        <v>1840</v>
      </c>
      <c r="K134" s="31">
        <v>1922</v>
      </c>
      <c r="L134" s="31">
        <v>1913</v>
      </c>
      <c r="M134" s="643"/>
      <c r="N134" s="642" t="s">
        <v>2281</v>
      </c>
      <c r="O134" s="93"/>
      <c r="P134" s="4"/>
      <c r="Q134" s="4"/>
      <c r="R134" s="643"/>
      <c r="S134" s="643"/>
    </row>
    <row r="135" spans="1:19">
      <c r="A135" s="642" t="s">
        <v>7019</v>
      </c>
      <c r="B135" s="642" t="s">
        <v>4924</v>
      </c>
      <c r="C135" s="4" t="s">
        <v>10826</v>
      </c>
      <c r="D135" s="646">
        <v>3897</v>
      </c>
      <c r="E135" s="646">
        <v>3862</v>
      </c>
      <c r="F135" s="646">
        <v>3877</v>
      </c>
      <c r="G135" s="31">
        <v>3843</v>
      </c>
      <c r="H135" s="31">
        <v>3903</v>
      </c>
      <c r="I135" s="31">
        <v>3841</v>
      </c>
      <c r="J135" s="31">
        <v>3742</v>
      </c>
      <c r="K135" s="31">
        <v>3770</v>
      </c>
      <c r="L135" s="31">
        <v>3843</v>
      </c>
      <c r="M135" s="643"/>
      <c r="N135" s="642" t="s">
        <v>2281</v>
      </c>
      <c r="O135" s="93"/>
      <c r="P135" s="4"/>
      <c r="Q135" s="4"/>
      <c r="R135" s="643"/>
      <c r="S135" s="643"/>
    </row>
    <row r="136" spans="1:19">
      <c r="A136" s="642" t="s">
        <v>7021</v>
      </c>
      <c r="B136" s="642" t="s">
        <v>4925</v>
      </c>
      <c r="C136" s="4" t="s">
        <v>10827</v>
      </c>
      <c r="D136" s="646">
        <v>2393</v>
      </c>
      <c r="E136" s="646">
        <v>2432</v>
      </c>
      <c r="F136" s="646">
        <v>2458</v>
      </c>
      <c r="G136" s="31">
        <v>2472</v>
      </c>
      <c r="H136" s="31">
        <v>2480</v>
      </c>
      <c r="I136" s="31">
        <v>2452</v>
      </c>
      <c r="J136" s="31">
        <v>2445</v>
      </c>
      <c r="K136" s="31">
        <v>2485</v>
      </c>
      <c r="L136" s="31">
        <v>2512</v>
      </c>
      <c r="M136" s="643"/>
      <c r="N136" s="642" t="s">
        <v>2281</v>
      </c>
      <c r="O136" s="93"/>
      <c r="P136" s="4"/>
      <c r="Q136" s="4"/>
      <c r="R136" s="643"/>
      <c r="S136" s="643"/>
    </row>
    <row r="137" spans="1:19">
      <c r="A137" s="642" t="s">
        <v>7023</v>
      </c>
      <c r="B137" s="642" t="s">
        <v>4926</v>
      </c>
      <c r="C137" s="4" t="s">
        <v>10828</v>
      </c>
      <c r="D137" s="646">
        <v>1927</v>
      </c>
      <c r="E137" s="646">
        <v>2045</v>
      </c>
      <c r="F137" s="646">
        <v>2033</v>
      </c>
      <c r="G137" s="31">
        <v>2083</v>
      </c>
      <c r="H137" s="31">
        <v>2041</v>
      </c>
      <c r="I137" s="31">
        <v>2007</v>
      </c>
      <c r="J137" s="31">
        <v>1932</v>
      </c>
      <c r="K137" s="31">
        <v>1975</v>
      </c>
      <c r="L137" s="31">
        <v>1993</v>
      </c>
      <c r="M137" s="643"/>
      <c r="N137" s="642" t="s">
        <v>2281</v>
      </c>
      <c r="O137" s="93"/>
      <c r="P137" s="4"/>
      <c r="Q137" s="4"/>
      <c r="R137" s="643"/>
      <c r="S137" s="643"/>
    </row>
    <row r="138" spans="1:19">
      <c r="A138" s="642" t="s">
        <v>7025</v>
      </c>
      <c r="B138" s="642" t="s">
        <v>4927</v>
      </c>
      <c r="C138" s="4" t="s">
        <v>10829</v>
      </c>
      <c r="D138" s="646">
        <v>1916</v>
      </c>
      <c r="E138" s="646">
        <v>1910</v>
      </c>
      <c r="F138" s="646">
        <v>1965</v>
      </c>
      <c r="G138" s="31">
        <v>1975</v>
      </c>
      <c r="H138" s="31">
        <v>2010</v>
      </c>
      <c r="I138" s="31">
        <v>2001</v>
      </c>
      <c r="J138" s="31">
        <v>1969</v>
      </c>
      <c r="K138" s="31">
        <v>2039</v>
      </c>
      <c r="L138" s="31">
        <v>2006</v>
      </c>
      <c r="M138" s="643"/>
      <c r="N138" s="642" t="s">
        <v>2281</v>
      </c>
      <c r="O138" s="93"/>
      <c r="P138" s="4"/>
      <c r="Q138" s="4"/>
      <c r="R138" s="643"/>
      <c r="S138" s="643"/>
    </row>
    <row r="139" spans="1:19">
      <c r="A139" s="642" t="s">
        <v>7570</v>
      </c>
      <c r="B139" s="642" t="s">
        <v>1508</v>
      </c>
      <c r="C139" s="4" t="s">
        <v>10830</v>
      </c>
      <c r="D139" s="646">
        <v>1934</v>
      </c>
      <c r="E139" s="646">
        <v>1900</v>
      </c>
      <c r="F139" s="646">
        <v>1872</v>
      </c>
      <c r="G139" s="31">
        <v>1859</v>
      </c>
      <c r="H139" s="31">
        <v>1854</v>
      </c>
      <c r="I139" s="31">
        <v>1840</v>
      </c>
      <c r="J139" s="31">
        <v>1832</v>
      </c>
      <c r="K139" s="31">
        <v>1835</v>
      </c>
      <c r="L139" s="31">
        <v>1899</v>
      </c>
      <c r="M139" s="643"/>
      <c r="N139" s="642" t="s">
        <v>2281</v>
      </c>
      <c r="O139" s="93"/>
      <c r="P139" s="4"/>
      <c r="Q139" s="4"/>
      <c r="R139" s="643"/>
      <c r="S139" s="643"/>
    </row>
    <row r="140" spans="1:19">
      <c r="A140" s="642" t="s">
        <v>7572</v>
      </c>
      <c r="B140" s="642" t="s">
        <v>1166</v>
      </c>
      <c r="C140" s="4" t="s">
        <v>10831</v>
      </c>
      <c r="D140" s="646">
        <v>4094</v>
      </c>
      <c r="E140" s="646">
        <v>4096</v>
      </c>
      <c r="F140" s="646">
        <v>4081</v>
      </c>
      <c r="G140" s="31">
        <v>4161</v>
      </c>
      <c r="H140" s="31">
        <v>4170</v>
      </c>
      <c r="I140" s="31">
        <v>4103</v>
      </c>
      <c r="J140" s="31">
        <v>4083</v>
      </c>
      <c r="K140" s="31">
        <v>4109</v>
      </c>
      <c r="L140" s="31">
        <v>4273</v>
      </c>
      <c r="M140" s="643"/>
      <c r="N140" s="642" t="s">
        <v>4894</v>
      </c>
      <c r="O140" s="93"/>
      <c r="P140" s="4"/>
      <c r="Q140" s="4"/>
      <c r="R140" s="643"/>
      <c r="S140" s="643"/>
    </row>
    <row r="141" spans="1:19">
      <c r="A141" s="642" t="s">
        <v>7573</v>
      </c>
      <c r="B141" s="642" t="s">
        <v>3770</v>
      </c>
      <c r="C141" s="4" t="s">
        <v>10832</v>
      </c>
      <c r="D141" s="646">
        <v>2118</v>
      </c>
      <c r="E141" s="646">
        <v>2240</v>
      </c>
      <c r="F141" s="646">
        <v>2244</v>
      </c>
      <c r="G141" s="31">
        <v>2299</v>
      </c>
      <c r="H141" s="31">
        <v>2337</v>
      </c>
      <c r="I141" s="31">
        <v>2283</v>
      </c>
      <c r="J141" s="31">
        <v>2267</v>
      </c>
      <c r="K141" s="31">
        <v>2275</v>
      </c>
      <c r="L141" s="31">
        <v>2296</v>
      </c>
      <c r="M141" s="643"/>
      <c r="N141" s="642" t="s">
        <v>2281</v>
      </c>
      <c r="O141" s="93"/>
      <c r="P141" s="4"/>
      <c r="Q141" s="4"/>
      <c r="R141" s="643"/>
      <c r="S141" s="643"/>
    </row>
    <row r="142" spans="1:19">
      <c r="A142" s="642" t="s">
        <v>5798</v>
      </c>
      <c r="B142" s="642" t="s">
        <v>3771</v>
      </c>
      <c r="C142" s="4" t="s">
        <v>10833</v>
      </c>
      <c r="D142" s="646">
        <v>2378</v>
      </c>
      <c r="E142" s="646">
        <v>2417</v>
      </c>
      <c r="F142" s="646">
        <v>2413</v>
      </c>
      <c r="G142" s="31">
        <v>2427</v>
      </c>
      <c r="H142" s="31">
        <v>2426</v>
      </c>
      <c r="I142" s="31">
        <v>2387</v>
      </c>
      <c r="J142" s="31">
        <v>2360</v>
      </c>
      <c r="K142" s="31">
        <v>2391</v>
      </c>
      <c r="L142" s="31">
        <v>2455</v>
      </c>
      <c r="M142" s="643"/>
      <c r="N142" s="642" t="s">
        <v>2281</v>
      </c>
      <c r="O142" s="93"/>
      <c r="P142" s="4"/>
      <c r="Q142" s="4"/>
      <c r="R142" s="643"/>
      <c r="S142" s="643"/>
    </row>
    <row r="143" spans="1:19">
      <c r="A143" s="642" t="s">
        <v>5799</v>
      </c>
      <c r="B143" s="642" t="s">
        <v>3772</v>
      </c>
      <c r="C143" s="4" t="s">
        <v>10834</v>
      </c>
      <c r="D143" s="646">
        <v>1764</v>
      </c>
      <c r="E143" s="646">
        <v>1745</v>
      </c>
      <c r="F143" s="646">
        <v>1906</v>
      </c>
      <c r="G143" s="31">
        <v>1990</v>
      </c>
      <c r="H143" s="31">
        <v>2005</v>
      </c>
      <c r="I143" s="31">
        <v>1974</v>
      </c>
      <c r="J143" s="31">
        <v>1900</v>
      </c>
      <c r="K143" s="31">
        <v>1943</v>
      </c>
      <c r="L143" s="31">
        <v>1942</v>
      </c>
      <c r="M143" s="643"/>
      <c r="N143" s="642" t="s">
        <v>2281</v>
      </c>
      <c r="O143" s="93"/>
      <c r="P143" s="4"/>
      <c r="Q143" s="4"/>
      <c r="R143" s="643"/>
      <c r="S143" s="643"/>
    </row>
    <row r="144" spans="1:19">
      <c r="A144" s="642" t="s">
        <v>5801</v>
      </c>
      <c r="B144" s="642" t="s">
        <v>5178</v>
      </c>
      <c r="C144" s="4" t="s">
        <v>10835</v>
      </c>
      <c r="D144" s="646">
        <v>3655</v>
      </c>
      <c r="E144" s="646">
        <v>3664</v>
      </c>
      <c r="F144" s="646">
        <v>3656</v>
      </c>
      <c r="G144" s="31">
        <v>3683</v>
      </c>
      <c r="H144" s="31">
        <v>3729</v>
      </c>
      <c r="I144" s="31">
        <v>3634</v>
      </c>
      <c r="J144" s="31">
        <v>3599</v>
      </c>
      <c r="K144" s="31">
        <v>3732</v>
      </c>
      <c r="L144" s="31">
        <v>3770</v>
      </c>
      <c r="M144" s="643"/>
      <c r="N144" s="642" t="s">
        <v>2281</v>
      </c>
      <c r="O144" s="93"/>
      <c r="P144" s="4"/>
      <c r="Q144" s="4"/>
      <c r="R144" s="643"/>
      <c r="S144" s="643"/>
    </row>
    <row r="145" spans="1:19">
      <c r="A145" s="642" t="s">
        <v>5927</v>
      </c>
      <c r="B145" s="642" t="s">
        <v>4965</v>
      </c>
      <c r="C145" s="4" t="s">
        <v>10836</v>
      </c>
      <c r="D145" s="646">
        <v>1832</v>
      </c>
      <c r="E145" s="646">
        <v>1850</v>
      </c>
      <c r="F145" s="646">
        <v>1808</v>
      </c>
      <c r="G145" s="31">
        <v>1850</v>
      </c>
      <c r="H145" s="31">
        <v>1846</v>
      </c>
      <c r="I145" s="31">
        <v>1811</v>
      </c>
      <c r="J145" s="31">
        <v>1744</v>
      </c>
      <c r="K145" s="31">
        <v>1790</v>
      </c>
      <c r="L145" s="31">
        <v>1829</v>
      </c>
      <c r="M145" s="643"/>
      <c r="N145" s="642" t="s">
        <v>2281</v>
      </c>
      <c r="O145" s="93"/>
      <c r="P145" s="4"/>
      <c r="Q145" s="4"/>
      <c r="R145" s="643"/>
      <c r="S145" s="643"/>
    </row>
    <row r="146" spans="1:19">
      <c r="A146" s="642" t="s">
        <v>5929</v>
      </c>
      <c r="B146" s="642" t="s">
        <v>4966</v>
      </c>
      <c r="C146" s="4" t="s">
        <v>10837</v>
      </c>
      <c r="D146" s="646">
        <v>1912</v>
      </c>
      <c r="E146" s="646">
        <v>1916</v>
      </c>
      <c r="F146" s="646">
        <v>1947</v>
      </c>
      <c r="G146" s="31">
        <v>1995</v>
      </c>
      <c r="H146" s="31">
        <v>1989</v>
      </c>
      <c r="I146" s="31">
        <v>1968</v>
      </c>
      <c r="J146" s="31">
        <v>1898</v>
      </c>
      <c r="K146" s="31">
        <v>1931</v>
      </c>
      <c r="L146" s="31">
        <v>1933</v>
      </c>
      <c r="M146" s="643"/>
      <c r="N146" s="642" t="s">
        <v>2281</v>
      </c>
      <c r="O146" s="93"/>
      <c r="P146" s="4"/>
      <c r="Q146" s="4"/>
      <c r="R146" s="643"/>
      <c r="S146" s="643"/>
    </row>
    <row r="147" spans="1:19">
      <c r="A147" s="642" t="s">
        <v>5931</v>
      </c>
      <c r="B147" s="642" t="s">
        <v>5932</v>
      </c>
      <c r="C147" s="4" t="s">
        <v>10838</v>
      </c>
      <c r="D147" s="646">
        <v>3653</v>
      </c>
      <c r="E147" s="646">
        <v>3675</v>
      </c>
      <c r="F147" s="646">
        <v>3715</v>
      </c>
      <c r="G147" s="31">
        <v>3764</v>
      </c>
      <c r="H147" s="31">
        <v>3703</v>
      </c>
      <c r="I147" s="31">
        <v>3657</v>
      </c>
      <c r="J147" s="31">
        <v>3521</v>
      </c>
      <c r="K147" s="31">
        <v>3697</v>
      </c>
      <c r="L147" s="31">
        <v>3829</v>
      </c>
      <c r="M147" s="643"/>
      <c r="N147" s="642" t="s">
        <v>2281</v>
      </c>
      <c r="O147" s="93"/>
      <c r="P147" s="4"/>
      <c r="Q147" s="4"/>
      <c r="R147" s="643"/>
      <c r="S147" s="643"/>
    </row>
    <row r="148" spans="1:19">
      <c r="A148" s="642" t="s">
        <v>5933</v>
      </c>
      <c r="B148" s="642" t="s">
        <v>4967</v>
      </c>
      <c r="C148" s="4" t="s">
        <v>10839</v>
      </c>
      <c r="D148" s="646">
        <v>2286</v>
      </c>
      <c r="E148" s="646">
        <v>2360</v>
      </c>
      <c r="F148" s="646">
        <v>2454</v>
      </c>
      <c r="G148" s="31">
        <v>2504</v>
      </c>
      <c r="H148" s="31">
        <v>2460</v>
      </c>
      <c r="I148" s="31">
        <v>2414</v>
      </c>
      <c r="J148" s="31">
        <v>2338</v>
      </c>
      <c r="K148" s="31">
        <v>2382</v>
      </c>
      <c r="L148" s="31">
        <v>2379</v>
      </c>
      <c r="M148" s="643"/>
      <c r="N148" s="642" t="s">
        <v>2281</v>
      </c>
      <c r="O148" s="93"/>
      <c r="P148" s="4"/>
      <c r="Q148" s="4"/>
      <c r="R148" s="643"/>
      <c r="S148" s="643"/>
    </row>
    <row r="149" spans="1:19">
      <c r="A149" s="642" t="s">
        <v>7897</v>
      </c>
      <c r="B149" s="642" t="s">
        <v>4968</v>
      </c>
      <c r="C149" s="4" t="s">
        <v>10840</v>
      </c>
      <c r="D149" s="646">
        <v>3890</v>
      </c>
      <c r="E149" s="646">
        <v>3889</v>
      </c>
      <c r="F149" s="646">
        <v>3972</v>
      </c>
      <c r="G149" s="31">
        <v>4032</v>
      </c>
      <c r="H149" s="31">
        <v>4083</v>
      </c>
      <c r="I149" s="31">
        <v>4081</v>
      </c>
      <c r="J149" s="31">
        <v>3996</v>
      </c>
      <c r="K149" s="31">
        <v>4172</v>
      </c>
      <c r="L149" s="31">
        <v>4235</v>
      </c>
      <c r="M149" s="643"/>
      <c r="N149" s="642" t="s">
        <v>2281</v>
      </c>
      <c r="O149" s="93"/>
      <c r="P149" s="4"/>
      <c r="Q149" s="4"/>
      <c r="R149" s="643"/>
      <c r="S149" s="643"/>
    </row>
    <row r="150" spans="1:19">
      <c r="A150" s="642" t="s">
        <v>7898</v>
      </c>
      <c r="B150" s="642" t="s">
        <v>4969</v>
      </c>
      <c r="C150" s="4" t="s">
        <v>10841</v>
      </c>
      <c r="D150" s="646">
        <v>1560</v>
      </c>
      <c r="E150" s="646">
        <v>1737</v>
      </c>
      <c r="F150" s="646">
        <v>2059</v>
      </c>
      <c r="G150" s="31">
        <v>2136</v>
      </c>
      <c r="H150" s="31">
        <v>2168</v>
      </c>
      <c r="I150" s="31">
        <v>2130</v>
      </c>
      <c r="J150" s="31">
        <v>2195</v>
      </c>
      <c r="K150" s="31">
        <v>2575</v>
      </c>
      <c r="L150" s="31">
        <v>2875</v>
      </c>
      <c r="M150" s="643"/>
      <c r="N150" s="642" t="s">
        <v>2281</v>
      </c>
      <c r="O150" s="93"/>
      <c r="P150" s="4"/>
      <c r="Q150" s="4"/>
      <c r="R150" s="643"/>
      <c r="S150" s="643"/>
    </row>
    <row r="151" spans="1:19">
      <c r="A151" s="642" t="s">
        <v>7899</v>
      </c>
      <c r="B151" s="642" t="s">
        <v>4970</v>
      </c>
      <c r="C151" s="4" t="s">
        <v>10842</v>
      </c>
      <c r="D151" s="646">
        <v>1900</v>
      </c>
      <c r="E151" s="646">
        <v>1920</v>
      </c>
      <c r="F151" s="646">
        <v>1948</v>
      </c>
      <c r="G151" s="31">
        <v>1938</v>
      </c>
      <c r="H151" s="31">
        <v>1963</v>
      </c>
      <c r="I151" s="31">
        <v>1949</v>
      </c>
      <c r="J151" s="31">
        <v>1891</v>
      </c>
      <c r="K151" s="31">
        <v>1930</v>
      </c>
      <c r="L151" s="31">
        <v>1959</v>
      </c>
      <c r="M151" s="643"/>
      <c r="N151" s="642" t="s">
        <v>2281</v>
      </c>
      <c r="O151" s="93"/>
      <c r="P151" s="4"/>
      <c r="Q151" s="4"/>
      <c r="R151" s="643"/>
      <c r="S151" s="643"/>
    </row>
    <row r="152" spans="1:19">
      <c r="A152" s="642" t="s">
        <v>7901</v>
      </c>
      <c r="B152" s="642" t="s">
        <v>4971</v>
      </c>
      <c r="C152" s="4" t="s">
        <v>10843</v>
      </c>
      <c r="D152" s="646">
        <v>4160</v>
      </c>
      <c r="E152" s="646">
        <v>4208</v>
      </c>
      <c r="F152" s="646">
        <v>4262</v>
      </c>
      <c r="G152" s="31">
        <v>4295</v>
      </c>
      <c r="H152" s="31">
        <v>4314</v>
      </c>
      <c r="I152" s="31">
        <v>4241</v>
      </c>
      <c r="J152" s="31">
        <v>4177</v>
      </c>
      <c r="K152" s="31">
        <v>4317</v>
      </c>
      <c r="L152" s="31">
        <v>4379</v>
      </c>
      <c r="M152" s="643"/>
      <c r="N152" s="642" t="s">
        <v>2281</v>
      </c>
      <c r="O152" s="93"/>
      <c r="P152" s="4"/>
      <c r="Q152" s="4"/>
      <c r="R152" s="643"/>
      <c r="S152" s="643"/>
    </row>
    <row r="153" spans="1:19">
      <c r="A153" s="642" t="s">
        <v>3125</v>
      </c>
      <c r="B153" s="642" t="s">
        <v>4972</v>
      </c>
      <c r="C153" s="4" t="s">
        <v>10844</v>
      </c>
      <c r="D153" s="646">
        <v>1732</v>
      </c>
      <c r="E153" s="646">
        <v>1797</v>
      </c>
      <c r="F153" s="646">
        <v>1810</v>
      </c>
      <c r="G153" s="31">
        <v>1778</v>
      </c>
      <c r="H153" s="31">
        <v>1818</v>
      </c>
      <c r="I153" s="31">
        <v>1791</v>
      </c>
      <c r="J153" s="31">
        <v>1803</v>
      </c>
      <c r="K153" s="31">
        <v>1806</v>
      </c>
      <c r="L153" s="31">
        <v>1880</v>
      </c>
      <c r="M153" s="643"/>
      <c r="N153" s="642" t="s">
        <v>2281</v>
      </c>
      <c r="O153" s="93"/>
      <c r="P153" s="4"/>
      <c r="Q153" s="4"/>
      <c r="R153" s="643"/>
      <c r="S153" s="643"/>
    </row>
    <row r="154" spans="1:19">
      <c r="A154" s="643"/>
      <c r="B154" s="643"/>
      <c r="C154" s="643"/>
      <c r="D154" s="646"/>
      <c r="E154" s="646"/>
      <c r="F154" s="646"/>
      <c r="G154" s="646"/>
      <c r="H154" s="646"/>
      <c r="I154" s="646"/>
      <c r="J154" s="646"/>
      <c r="K154" s="646"/>
      <c r="L154" s="646"/>
      <c r="M154" s="643"/>
      <c r="N154" s="643"/>
      <c r="R154" s="643"/>
      <c r="S154" s="643"/>
    </row>
    <row r="155" spans="1:19">
      <c r="A155" s="642" t="s">
        <v>3781</v>
      </c>
      <c r="C155" s="643"/>
      <c r="D155" s="646">
        <f t="shared" ref="D155:I155" si="177">SUM(D119:D139)+SUM(D141:D153)</f>
        <v>81088</v>
      </c>
      <c r="E155" s="646">
        <f t="shared" si="177"/>
        <v>81947</v>
      </c>
      <c r="F155" s="646">
        <f t="shared" si="177"/>
        <v>83339</v>
      </c>
      <c r="G155" s="646">
        <f t="shared" si="177"/>
        <v>84643</v>
      </c>
      <c r="H155" s="646">
        <f t="shared" si="177"/>
        <v>84941</v>
      </c>
      <c r="I155" s="646">
        <f t="shared" si="177"/>
        <v>83940</v>
      </c>
      <c r="J155" s="646">
        <f t="shared" ref="J155:K155" si="178">SUM(J119:J139)+SUM(J141:J153)</f>
        <v>82527</v>
      </c>
      <c r="K155" s="646">
        <f t="shared" si="178"/>
        <v>85127</v>
      </c>
      <c r="L155" s="646">
        <f t="shared" ref="L155" si="179">SUM(L119:L139)+SUM(L141:L153)</f>
        <v>86621</v>
      </c>
      <c r="M155" s="643"/>
      <c r="N155" s="643"/>
      <c r="R155" s="643"/>
      <c r="S155" s="643"/>
    </row>
    <row r="156" spans="1:19">
      <c r="A156" s="642" t="s">
        <v>3782</v>
      </c>
      <c r="C156" s="643"/>
      <c r="D156" s="646">
        <f t="shared" ref="D156:I156" si="180">D140</f>
        <v>4094</v>
      </c>
      <c r="E156" s="646">
        <f t="shared" si="180"/>
        <v>4096</v>
      </c>
      <c r="F156" s="646">
        <f t="shared" si="180"/>
        <v>4081</v>
      </c>
      <c r="G156" s="646">
        <f t="shared" si="180"/>
        <v>4161</v>
      </c>
      <c r="H156" s="646">
        <f t="shared" si="180"/>
        <v>4170</v>
      </c>
      <c r="I156" s="646">
        <f t="shared" si="180"/>
        <v>4103</v>
      </c>
      <c r="J156" s="646">
        <f t="shared" ref="J156:K156" si="181">J140</f>
        <v>4083</v>
      </c>
      <c r="K156" s="646">
        <f t="shared" si="181"/>
        <v>4109</v>
      </c>
      <c r="L156" s="646">
        <f t="shared" ref="L156" si="182">L140</f>
        <v>4273</v>
      </c>
      <c r="M156" s="643"/>
      <c r="N156" s="643"/>
      <c r="R156" s="643"/>
      <c r="S156" s="643"/>
    </row>
    <row r="157" spans="1:19">
      <c r="A157" s="642"/>
      <c r="C157" s="643"/>
      <c r="D157" s="646"/>
      <c r="E157" s="646"/>
      <c r="F157" s="646"/>
      <c r="G157" s="646"/>
      <c r="H157" s="646"/>
      <c r="I157" s="646"/>
      <c r="J157" s="646"/>
      <c r="K157" s="646"/>
      <c r="L157" s="646"/>
      <c r="M157" s="643"/>
      <c r="N157" s="643"/>
      <c r="R157" s="643"/>
      <c r="S157" s="643"/>
    </row>
    <row r="158" spans="1:19">
      <c r="A158" s="642" t="s">
        <v>3783</v>
      </c>
      <c r="C158" s="643"/>
      <c r="D158" s="646"/>
      <c r="E158" s="646"/>
      <c r="F158" s="646"/>
      <c r="G158" s="646"/>
      <c r="H158" s="646"/>
      <c r="I158" s="646"/>
      <c r="J158" s="646"/>
      <c r="K158" s="646"/>
      <c r="L158" s="646"/>
      <c r="M158" s="643"/>
      <c r="N158" s="643"/>
      <c r="R158" s="643"/>
      <c r="S158" s="643"/>
    </row>
    <row r="159" spans="1:19">
      <c r="A159" s="642"/>
      <c r="B159" s="642"/>
      <c r="C159" s="643"/>
      <c r="D159" s="658"/>
      <c r="E159" s="658"/>
      <c r="F159" s="658"/>
      <c r="G159" s="658"/>
      <c r="H159" s="658"/>
      <c r="I159" s="658"/>
      <c r="J159" s="658"/>
      <c r="K159" s="658"/>
      <c r="L159" s="658"/>
      <c r="M159" s="643"/>
      <c r="N159" s="643"/>
      <c r="R159" s="643"/>
      <c r="S159" s="643"/>
    </row>
    <row r="160" spans="1:19">
      <c r="A160" s="642"/>
      <c r="B160" s="642"/>
      <c r="C160" s="643"/>
      <c r="D160" s="658"/>
      <c r="E160" s="658"/>
      <c r="F160" s="658"/>
      <c r="G160" s="658"/>
      <c r="H160" s="658"/>
      <c r="I160" s="658"/>
      <c r="J160" s="658"/>
      <c r="K160" s="658"/>
      <c r="L160" s="658"/>
      <c r="M160" s="643"/>
      <c r="N160" s="643"/>
      <c r="R160" s="643"/>
      <c r="S160" s="643"/>
    </row>
    <row r="161" spans="1:19">
      <c r="A161" s="643"/>
      <c r="B161" s="643"/>
      <c r="C161" s="643"/>
      <c r="E161" s="42" t="s">
        <v>2303</v>
      </c>
      <c r="F161" s="42"/>
      <c r="G161" s="42"/>
      <c r="H161" s="42"/>
      <c r="I161" s="42"/>
      <c r="J161" s="42"/>
      <c r="K161" s="42"/>
      <c r="L161" s="42"/>
      <c r="M161" s="65"/>
      <c r="N161" s="66" t="s">
        <v>13319</v>
      </c>
      <c r="R161" s="643"/>
      <c r="S161" s="643"/>
    </row>
    <row r="162" spans="1:19">
      <c r="A162" s="643"/>
      <c r="B162" s="643"/>
      <c r="C162" s="643"/>
      <c r="D162" s="55">
        <v>2010</v>
      </c>
      <c r="E162" s="55">
        <v>2011</v>
      </c>
      <c r="F162" s="55">
        <v>2012</v>
      </c>
      <c r="G162" s="55">
        <v>2013</v>
      </c>
      <c r="H162" s="55">
        <v>2014</v>
      </c>
      <c r="I162" s="55">
        <v>2015</v>
      </c>
      <c r="J162" s="55">
        <v>2016</v>
      </c>
      <c r="K162" s="55">
        <v>2017</v>
      </c>
      <c r="L162" s="55">
        <v>2018</v>
      </c>
      <c r="M162" s="643"/>
      <c r="N162" s="67" t="s">
        <v>2304</v>
      </c>
      <c r="R162" s="643"/>
      <c r="S162" s="643"/>
    </row>
    <row r="163" spans="1:19">
      <c r="A163" s="642" t="s">
        <v>3784</v>
      </c>
      <c r="C163" s="643"/>
      <c r="D163" s="646">
        <f t="shared" ref="D163:H163" si="183">SUM(D164:D180)+D182+D183+SUM(D185:D188)</f>
        <v>104420</v>
      </c>
      <c r="E163" s="646">
        <f t="shared" si="183"/>
        <v>104803</v>
      </c>
      <c r="F163" s="646">
        <f t="shared" si="183"/>
        <v>107231</v>
      </c>
      <c r="G163" s="646">
        <f t="shared" si="183"/>
        <v>110594</v>
      </c>
      <c r="H163" s="646">
        <f t="shared" si="183"/>
        <v>110929</v>
      </c>
      <c r="I163" s="646">
        <f>SUM(I164:I180)+I182+I183+SUM(I185:I188)</f>
        <v>111301</v>
      </c>
      <c r="J163" s="646">
        <f>SUM(J164:J180)+J182+J183+SUM(J185:J188)</f>
        <v>100437</v>
      </c>
      <c r="K163" s="646">
        <f>SUM(K164:K180)+K182+K183+SUM(K185:K188)</f>
        <v>103642</v>
      </c>
      <c r="L163" s="646">
        <f>SUM(L164:L180)+L182+L183+SUM(L185:L188)</f>
        <v>105777</v>
      </c>
      <c r="M163" s="643"/>
      <c r="N163" s="643"/>
      <c r="R163" s="643"/>
      <c r="S163" s="643"/>
    </row>
    <row r="164" spans="1:19">
      <c r="A164" s="642" t="s">
        <v>6957</v>
      </c>
      <c r="B164" s="642" t="s">
        <v>5807</v>
      </c>
      <c r="C164" s="4" t="s">
        <v>15835</v>
      </c>
      <c r="D164" s="646">
        <v>73637</v>
      </c>
      <c r="E164" s="646">
        <v>73779</v>
      </c>
      <c r="F164" s="646">
        <v>76030</v>
      </c>
      <c r="G164" s="30">
        <v>78826</v>
      </c>
      <c r="H164" s="30">
        <v>78781</v>
      </c>
      <c r="I164" s="30">
        <v>7434</v>
      </c>
      <c r="J164" s="30">
        <v>5994</v>
      </c>
      <c r="K164" s="30">
        <v>5983</v>
      </c>
      <c r="L164" s="30">
        <v>6700</v>
      </c>
      <c r="M164" s="643"/>
      <c r="N164" s="642" t="s">
        <v>2283</v>
      </c>
      <c r="O164" s="93"/>
      <c r="P164" s="4"/>
      <c r="Q164" s="4"/>
      <c r="R164" s="643"/>
      <c r="S164" s="643"/>
    </row>
    <row r="165" spans="1:19">
      <c r="A165" s="642" t="s">
        <v>6959</v>
      </c>
      <c r="B165" s="642" t="s">
        <v>13861</v>
      </c>
      <c r="C165" s="4" t="s">
        <v>15836</v>
      </c>
      <c r="D165" s="646">
        <v>30783</v>
      </c>
      <c r="E165" s="646">
        <v>31024</v>
      </c>
      <c r="F165" s="646">
        <v>31201</v>
      </c>
      <c r="G165" s="30">
        <v>31768</v>
      </c>
      <c r="H165" s="30">
        <v>32148</v>
      </c>
      <c r="I165" s="30">
        <v>5969</v>
      </c>
      <c r="J165" s="31">
        <v>5901</v>
      </c>
      <c r="K165" s="31">
        <v>6025</v>
      </c>
      <c r="L165" s="31">
        <v>6025</v>
      </c>
      <c r="M165" s="643"/>
      <c r="N165" s="642" t="s">
        <v>1488</v>
      </c>
      <c r="O165" s="93"/>
      <c r="P165" s="4"/>
      <c r="Q165" s="4"/>
      <c r="R165" s="643"/>
      <c r="S165" s="643"/>
    </row>
    <row r="166" spans="1:19">
      <c r="A166" s="642" t="s">
        <v>6961</v>
      </c>
      <c r="B166" s="642" t="s">
        <v>3785</v>
      </c>
      <c r="C166" s="4" t="s">
        <v>15837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7036</v>
      </c>
      <c r="J166" s="30">
        <v>4034</v>
      </c>
      <c r="K166" s="30">
        <v>4559</v>
      </c>
      <c r="L166" s="30">
        <v>4742</v>
      </c>
      <c r="M166" s="643"/>
      <c r="N166" s="642" t="s">
        <v>2283</v>
      </c>
      <c r="O166" s="93"/>
      <c r="P166" s="4"/>
      <c r="Q166" s="4"/>
      <c r="R166" s="643"/>
      <c r="S166" s="643"/>
    </row>
    <row r="167" spans="1:19">
      <c r="A167" s="642" t="s">
        <v>6963</v>
      </c>
      <c r="B167" s="642" t="s">
        <v>13862</v>
      </c>
      <c r="C167" s="4" t="s">
        <v>15838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5423</v>
      </c>
      <c r="J167" s="30">
        <v>5240</v>
      </c>
      <c r="K167" s="30">
        <v>5455</v>
      </c>
      <c r="L167" s="30">
        <v>5494</v>
      </c>
      <c r="M167" s="643"/>
      <c r="N167" s="642" t="s">
        <v>2283</v>
      </c>
      <c r="O167" s="93"/>
      <c r="P167" s="4"/>
      <c r="Q167" s="4"/>
      <c r="R167" s="643"/>
      <c r="S167" s="643"/>
    </row>
    <row r="168" spans="1:19">
      <c r="A168" s="642" t="s">
        <v>6965</v>
      </c>
      <c r="B168" s="642" t="s">
        <v>13863</v>
      </c>
      <c r="C168" s="4" t="s">
        <v>15839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5669</v>
      </c>
      <c r="J168" s="30">
        <v>5569</v>
      </c>
      <c r="K168" s="30">
        <v>5742</v>
      </c>
      <c r="L168" s="30">
        <v>5754</v>
      </c>
      <c r="M168" s="643"/>
      <c r="N168" s="642" t="s">
        <v>2283</v>
      </c>
      <c r="O168" s="93"/>
      <c r="P168" s="4"/>
      <c r="Q168" s="4"/>
      <c r="R168" s="643"/>
      <c r="S168" s="643"/>
    </row>
    <row r="169" spans="1:19">
      <c r="A169" s="642" t="s">
        <v>6997</v>
      </c>
      <c r="B169" s="642" t="s">
        <v>3786</v>
      </c>
      <c r="C169" s="4" t="s">
        <v>15840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8329</v>
      </c>
      <c r="J169" s="30">
        <v>8177</v>
      </c>
      <c r="K169" s="30">
        <v>8369</v>
      </c>
      <c r="L169" s="30">
        <v>8372</v>
      </c>
      <c r="M169" s="643"/>
      <c r="N169" s="642" t="s">
        <v>2283</v>
      </c>
      <c r="O169" s="93"/>
      <c r="P169" s="4"/>
      <c r="Q169" s="4"/>
      <c r="R169" s="643"/>
      <c r="S169" s="643"/>
    </row>
    <row r="170" spans="1:19">
      <c r="A170" s="642" t="s">
        <v>6999</v>
      </c>
      <c r="B170" s="645" t="s">
        <v>5000</v>
      </c>
      <c r="C170" s="4" t="s">
        <v>15841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3142</v>
      </c>
      <c r="J170" s="31">
        <v>3038</v>
      </c>
      <c r="K170" s="31">
        <v>3158</v>
      </c>
      <c r="L170" s="31">
        <v>3133</v>
      </c>
      <c r="N170" s="642" t="s">
        <v>1488</v>
      </c>
      <c r="O170" s="93"/>
      <c r="P170" s="4"/>
      <c r="Q170" s="4"/>
      <c r="R170" s="643"/>
      <c r="S170" s="643"/>
    </row>
    <row r="171" spans="1:19">
      <c r="A171" s="642" t="s">
        <v>7001</v>
      </c>
      <c r="B171" s="642" t="s">
        <v>13864</v>
      </c>
      <c r="C171" s="4" t="s">
        <v>15842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6280</v>
      </c>
      <c r="J171" s="31">
        <v>6145</v>
      </c>
      <c r="K171" s="31">
        <v>6269</v>
      </c>
      <c r="L171" s="31">
        <v>6328</v>
      </c>
      <c r="M171" s="643"/>
      <c r="N171" s="642" t="s">
        <v>1488</v>
      </c>
      <c r="O171" s="93"/>
      <c r="P171" s="4"/>
      <c r="Q171" s="4"/>
      <c r="R171" s="643"/>
      <c r="S171" s="643"/>
    </row>
    <row r="172" spans="1:19">
      <c r="A172" s="642" t="s">
        <v>7003</v>
      </c>
      <c r="B172" s="642" t="s">
        <v>3787</v>
      </c>
      <c r="C172" s="4" t="s">
        <v>15843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9512</v>
      </c>
      <c r="J172" s="31">
        <v>9271</v>
      </c>
      <c r="K172" s="31">
        <v>9562</v>
      </c>
      <c r="L172" s="31">
        <v>9661</v>
      </c>
      <c r="M172" s="643"/>
      <c r="N172" s="642" t="s">
        <v>1488</v>
      </c>
      <c r="O172" s="93"/>
      <c r="P172" s="4"/>
      <c r="Q172" s="4"/>
      <c r="R172" s="643"/>
      <c r="S172" s="643"/>
    </row>
    <row r="173" spans="1:19">
      <c r="A173" s="642" t="s">
        <v>7005</v>
      </c>
      <c r="B173" s="642" t="s">
        <v>13865</v>
      </c>
      <c r="C173" s="4" t="s">
        <v>15844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3149</v>
      </c>
      <c r="J173" s="30">
        <v>3041</v>
      </c>
      <c r="K173" s="30">
        <v>3088</v>
      </c>
      <c r="L173" s="30">
        <v>3136</v>
      </c>
      <c r="M173" s="643"/>
      <c r="N173" s="642" t="s">
        <v>2283</v>
      </c>
      <c r="O173" s="93"/>
      <c r="P173" s="4"/>
      <c r="Q173" s="4"/>
      <c r="R173" s="643"/>
      <c r="S173" s="643"/>
    </row>
    <row r="174" spans="1:19">
      <c r="A174" s="642" t="s">
        <v>7007</v>
      </c>
      <c r="B174" s="642" t="s">
        <v>13866</v>
      </c>
      <c r="C174" s="4" t="s">
        <v>15845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3090</v>
      </c>
      <c r="J174" s="30">
        <v>3025</v>
      </c>
      <c r="K174" s="30">
        <v>3133</v>
      </c>
      <c r="L174" s="30">
        <v>3156</v>
      </c>
      <c r="M174" s="643"/>
      <c r="N174" s="642" t="s">
        <v>2283</v>
      </c>
      <c r="O174" s="93"/>
      <c r="P174" s="4"/>
      <c r="Q174" s="4"/>
      <c r="R174" s="643"/>
      <c r="S174" s="643"/>
    </row>
    <row r="175" spans="1:19">
      <c r="A175" s="642" t="s">
        <v>7009</v>
      </c>
      <c r="B175" s="642" t="s">
        <v>5298</v>
      </c>
      <c r="C175" s="4" t="s">
        <v>15846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4149</v>
      </c>
      <c r="J175" s="30">
        <v>3120</v>
      </c>
      <c r="K175" s="30">
        <v>3191</v>
      </c>
      <c r="L175" s="30">
        <v>3295</v>
      </c>
      <c r="M175" s="643"/>
      <c r="N175" s="642" t="s">
        <v>2283</v>
      </c>
      <c r="O175" s="93"/>
      <c r="P175" s="4"/>
      <c r="Q175" s="4"/>
      <c r="R175" s="643"/>
      <c r="S175" s="643"/>
    </row>
    <row r="176" spans="1:19">
      <c r="A176" s="642" t="s">
        <v>7011</v>
      </c>
      <c r="B176" s="642" t="s">
        <v>3788</v>
      </c>
      <c r="C176" s="4" t="s">
        <v>15847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3011</v>
      </c>
      <c r="J176" s="31">
        <v>2951</v>
      </c>
      <c r="K176" s="31">
        <v>3051</v>
      </c>
      <c r="L176" s="31">
        <v>3092</v>
      </c>
      <c r="M176" s="643"/>
      <c r="N176" s="642" t="s">
        <v>1488</v>
      </c>
      <c r="O176" s="93"/>
      <c r="P176" s="4"/>
      <c r="Q176" s="4"/>
      <c r="R176" s="643"/>
      <c r="S176" s="643"/>
    </row>
    <row r="177" spans="1:19">
      <c r="A177" s="642" t="s">
        <v>7013</v>
      </c>
      <c r="B177" s="642" t="s">
        <v>3789</v>
      </c>
      <c r="C177" s="4" t="s">
        <v>15848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6109</v>
      </c>
      <c r="J177" s="30">
        <v>6019</v>
      </c>
      <c r="K177" s="30">
        <v>6216</v>
      </c>
      <c r="L177" s="30">
        <v>6219</v>
      </c>
      <c r="M177" s="643"/>
      <c r="N177" s="642" t="s">
        <v>2283</v>
      </c>
      <c r="O177" s="93"/>
      <c r="P177" s="4"/>
      <c r="Q177" s="4"/>
      <c r="R177" s="643"/>
      <c r="S177" s="643"/>
    </row>
    <row r="178" spans="1:19">
      <c r="A178" s="642" t="s">
        <v>7015</v>
      </c>
      <c r="B178" s="642" t="s">
        <v>13867</v>
      </c>
      <c r="C178" s="4" t="s">
        <v>15849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6526</v>
      </c>
      <c r="J178" s="30">
        <v>4381</v>
      </c>
      <c r="K178" s="30">
        <v>4639</v>
      </c>
      <c r="L178" s="30">
        <v>4951</v>
      </c>
      <c r="M178" s="643"/>
      <c r="N178" s="642" t="s">
        <v>2283</v>
      </c>
      <c r="O178" s="93"/>
      <c r="P178" s="4"/>
      <c r="Q178" s="4"/>
      <c r="R178" s="643"/>
      <c r="S178" s="643"/>
    </row>
    <row r="179" spans="1:19">
      <c r="A179" s="642" t="s">
        <v>7017</v>
      </c>
      <c r="B179" s="642" t="s">
        <v>13868</v>
      </c>
      <c r="C179" s="4" t="s">
        <v>15850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4480</v>
      </c>
      <c r="J179" s="30">
        <v>4353</v>
      </c>
      <c r="K179" s="30">
        <v>4399</v>
      </c>
      <c r="L179" s="30">
        <v>4389</v>
      </c>
      <c r="M179" s="643"/>
      <c r="N179" s="642" t="s">
        <v>2283</v>
      </c>
      <c r="O179" s="93"/>
      <c r="P179" s="4"/>
      <c r="Q179" s="4"/>
      <c r="R179" s="643"/>
      <c r="S179" s="643"/>
    </row>
    <row r="180" spans="1:19" ht="15.75" thickBot="1">
      <c r="A180" s="642"/>
      <c r="B180" s="642"/>
      <c r="C180" s="4" t="s">
        <v>15850</v>
      </c>
      <c r="D180" s="905">
        <v>0</v>
      </c>
      <c r="E180" s="905">
        <v>0</v>
      </c>
      <c r="F180" s="905">
        <v>0</v>
      </c>
      <c r="G180" s="905">
        <v>0</v>
      </c>
      <c r="H180" s="905">
        <v>0</v>
      </c>
      <c r="I180" s="905">
        <v>1304</v>
      </c>
      <c r="J180" s="31">
        <v>1281</v>
      </c>
      <c r="K180" s="31">
        <v>1349</v>
      </c>
      <c r="L180" s="31">
        <v>1384</v>
      </c>
      <c r="M180" s="643"/>
      <c r="N180" s="642" t="s">
        <v>1488</v>
      </c>
      <c r="O180" s="93"/>
      <c r="P180" s="4"/>
      <c r="Q180" s="4"/>
      <c r="R180" s="643"/>
      <c r="S180" s="643"/>
    </row>
    <row r="181" spans="1:19" ht="15.75" thickBot="1">
      <c r="A181" s="642"/>
      <c r="B181" s="642"/>
      <c r="C181" s="4" t="s">
        <v>15850</v>
      </c>
      <c r="D181" s="906">
        <f>D179+D180</f>
        <v>0</v>
      </c>
      <c r="E181" s="906">
        <f t="shared" ref="E181:L181" si="184">E179+E180</f>
        <v>0</v>
      </c>
      <c r="F181" s="906">
        <f t="shared" si="184"/>
        <v>0</v>
      </c>
      <c r="G181" s="906">
        <f t="shared" si="184"/>
        <v>0</v>
      </c>
      <c r="H181" s="906">
        <f t="shared" si="184"/>
        <v>0</v>
      </c>
      <c r="I181" s="906">
        <f t="shared" si="184"/>
        <v>5784</v>
      </c>
      <c r="J181" s="906">
        <f t="shared" si="184"/>
        <v>5634</v>
      </c>
      <c r="K181" s="906">
        <f t="shared" si="184"/>
        <v>5748</v>
      </c>
      <c r="L181" s="906">
        <f t="shared" si="184"/>
        <v>5773</v>
      </c>
      <c r="M181" s="643"/>
      <c r="N181" s="642"/>
      <c r="O181" s="93"/>
      <c r="P181" s="4"/>
      <c r="Q181" s="4"/>
      <c r="R181" s="643"/>
      <c r="S181" s="643"/>
    </row>
    <row r="182" spans="1:19">
      <c r="A182" s="642" t="s">
        <v>7019</v>
      </c>
      <c r="B182" s="642" t="s">
        <v>13869</v>
      </c>
      <c r="C182" s="4" t="s">
        <v>15851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3225</v>
      </c>
      <c r="J182" s="30">
        <v>3168</v>
      </c>
      <c r="K182" s="30">
        <v>3219</v>
      </c>
      <c r="L182" s="30">
        <v>3266</v>
      </c>
      <c r="M182" s="643"/>
      <c r="N182" s="642" t="s">
        <v>2283</v>
      </c>
      <c r="O182" s="93"/>
      <c r="P182" s="4"/>
      <c r="Q182" s="4"/>
      <c r="R182" s="643"/>
      <c r="S182" s="643"/>
    </row>
    <row r="183" spans="1:19" ht="15.75" thickBot="1">
      <c r="A183" s="642"/>
      <c r="B183" s="642"/>
      <c r="C183" s="4" t="s">
        <v>15851</v>
      </c>
      <c r="D183" s="905">
        <v>0</v>
      </c>
      <c r="E183" s="905">
        <v>0</v>
      </c>
      <c r="F183" s="905">
        <v>0</v>
      </c>
      <c r="G183" s="905">
        <v>0</v>
      </c>
      <c r="H183" s="905">
        <v>0</v>
      </c>
      <c r="I183" s="905">
        <v>12</v>
      </c>
      <c r="J183" s="31">
        <v>9</v>
      </c>
      <c r="K183" s="31">
        <v>13</v>
      </c>
      <c r="L183" s="31">
        <v>13</v>
      </c>
      <c r="M183" s="643"/>
      <c r="N183" s="642" t="s">
        <v>1488</v>
      </c>
      <c r="O183" s="93"/>
      <c r="P183" s="4"/>
      <c r="Q183" s="4"/>
      <c r="R183" s="643"/>
      <c r="S183" s="643"/>
    </row>
    <row r="184" spans="1:19" ht="15.75" thickBot="1">
      <c r="A184" s="642"/>
      <c r="B184" s="642"/>
      <c r="C184" s="4" t="s">
        <v>15851</v>
      </c>
      <c r="D184" s="906">
        <f>D182+D183</f>
        <v>0</v>
      </c>
      <c r="E184" s="906">
        <f t="shared" ref="E184" si="185">E182+E183</f>
        <v>0</v>
      </c>
      <c r="F184" s="906">
        <f t="shared" ref="F184" si="186">F182+F183</f>
        <v>0</v>
      </c>
      <c r="G184" s="906">
        <f t="shared" ref="G184" si="187">G182+G183</f>
        <v>0</v>
      </c>
      <c r="H184" s="906">
        <f t="shared" ref="H184" si="188">H182+H183</f>
        <v>0</v>
      </c>
      <c r="I184" s="906">
        <f t="shared" ref="I184:L184" si="189">I182+I183</f>
        <v>3237</v>
      </c>
      <c r="J184" s="906">
        <f t="shared" si="189"/>
        <v>3177</v>
      </c>
      <c r="K184" s="906">
        <f t="shared" si="189"/>
        <v>3232</v>
      </c>
      <c r="L184" s="906">
        <f t="shared" si="189"/>
        <v>3279</v>
      </c>
      <c r="M184" s="643"/>
      <c r="N184" s="642"/>
      <c r="O184" s="93"/>
      <c r="P184" s="4"/>
      <c r="Q184" s="4"/>
      <c r="R184" s="643"/>
      <c r="S184" s="643"/>
    </row>
    <row r="185" spans="1:19">
      <c r="A185" s="642" t="s">
        <v>7021</v>
      </c>
      <c r="B185" s="642" t="s">
        <v>2072</v>
      </c>
      <c r="C185" s="4" t="s">
        <v>15852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2809</v>
      </c>
      <c r="J185" s="30">
        <v>2792</v>
      </c>
      <c r="K185" s="30">
        <v>2812</v>
      </c>
      <c r="L185" s="30">
        <v>2837</v>
      </c>
      <c r="M185" s="643"/>
      <c r="N185" s="642" t="s">
        <v>2283</v>
      </c>
      <c r="O185" s="93"/>
      <c r="P185" s="4"/>
      <c r="Q185" s="4"/>
      <c r="R185" s="643"/>
      <c r="S185" s="643"/>
    </row>
    <row r="186" spans="1:19">
      <c r="A186" s="642" t="s">
        <v>7023</v>
      </c>
      <c r="B186" s="642" t="s">
        <v>2073</v>
      </c>
      <c r="C186" s="4" t="s">
        <v>15853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3221</v>
      </c>
      <c r="J186" s="31">
        <v>3146</v>
      </c>
      <c r="K186" s="31">
        <v>3206</v>
      </c>
      <c r="L186" s="31">
        <v>3192</v>
      </c>
      <c r="M186" s="643"/>
      <c r="N186" s="642" t="s">
        <v>1488</v>
      </c>
      <c r="O186" s="93"/>
      <c r="P186" s="4"/>
      <c r="Q186" s="4"/>
      <c r="R186" s="643"/>
      <c r="S186" s="643"/>
    </row>
    <row r="187" spans="1:19">
      <c r="A187" s="642" t="s">
        <v>7025</v>
      </c>
      <c r="B187" s="642" t="s">
        <v>4281</v>
      </c>
      <c r="C187" s="4" t="s">
        <v>15854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5590</v>
      </c>
      <c r="J187" s="30">
        <v>4476</v>
      </c>
      <c r="K187" s="30">
        <v>4680</v>
      </c>
      <c r="L187" s="30">
        <v>4949</v>
      </c>
      <c r="M187" s="643"/>
      <c r="N187" s="642" t="s">
        <v>2283</v>
      </c>
      <c r="O187" s="4"/>
      <c r="P187" s="4"/>
      <c r="Q187" s="4"/>
      <c r="R187" s="643"/>
      <c r="S187" s="643"/>
    </row>
    <row r="188" spans="1:19">
      <c r="A188" s="642" t="s">
        <v>7570</v>
      </c>
      <c r="B188" s="642" t="s">
        <v>2074</v>
      </c>
      <c r="C188" s="4" t="s">
        <v>15855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5832</v>
      </c>
      <c r="J188" s="30">
        <v>5306</v>
      </c>
      <c r="K188" s="30">
        <v>5524</v>
      </c>
      <c r="L188" s="30">
        <v>5689</v>
      </c>
      <c r="M188" s="643"/>
      <c r="N188" s="642" t="s">
        <v>2283</v>
      </c>
      <c r="O188" s="4"/>
      <c r="P188" s="4"/>
      <c r="Q188" s="4"/>
      <c r="R188" s="643"/>
      <c r="S188" s="643"/>
    </row>
    <row r="189" spans="1:19">
      <c r="A189" s="643"/>
      <c r="B189" s="643"/>
      <c r="C189" s="643"/>
      <c r="D189" s="652"/>
      <c r="E189" s="652"/>
      <c r="F189" s="652"/>
      <c r="G189" s="652"/>
      <c r="H189" s="652"/>
      <c r="I189" s="652"/>
      <c r="J189" s="652"/>
      <c r="K189" s="652"/>
      <c r="L189" s="652"/>
      <c r="M189" s="643"/>
      <c r="N189" s="643"/>
      <c r="R189" s="643"/>
      <c r="S189" s="643"/>
    </row>
    <row r="190" spans="1:19">
      <c r="A190" s="642" t="s">
        <v>2283</v>
      </c>
      <c r="C190" s="643"/>
      <c r="D190" s="646">
        <f t="shared" ref="D190:H190" si="190">D164+SUM(D166:D169)+SUM(D173:D175)+SUM(D177:D179)+D182+D185+D187+D188</f>
        <v>73637</v>
      </c>
      <c r="E190" s="646">
        <f t="shared" si="190"/>
        <v>73779</v>
      </c>
      <c r="F190" s="646">
        <f t="shared" si="190"/>
        <v>76030</v>
      </c>
      <c r="G190" s="646">
        <f t="shared" si="190"/>
        <v>78826</v>
      </c>
      <c r="H190" s="646">
        <f t="shared" si="190"/>
        <v>78781</v>
      </c>
      <c r="I190" s="646">
        <f>I164+SUM(I166:I169)+SUM(I173:I175)+SUM(I177:I179)+I182+I185+I187+I188</f>
        <v>78850</v>
      </c>
      <c r="J190" s="646">
        <f>J164+SUM(J166:J169)+SUM(J173:J175)+SUM(J177:J179)+J182+J185+J187+J188</f>
        <v>68695</v>
      </c>
      <c r="K190" s="646">
        <f>K164+SUM(K166:K169)+SUM(K173:K175)+SUM(K177:K179)+K182+K185+K187+K188</f>
        <v>71009</v>
      </c>
      <c r="L190" s="646">
        <f>L164+SUM(L166:L169)+SUM(L173:L175)+SUM(L177:L179)+L182+L185+L187+L188</f>
        <v>72949</v>
      </c>
      <c r="M190" s="643"/>
      <c r="N190" s="643"/>
      <c r="R190" s="643"/>
      <c r="S190" s="643"/>
    </row>
    <row r="191" spans="1:19">
      <c r="A191" s="642" t="s">
        <v>2778</v>
      </c>
      <c r="C191" s="643"/>
      <c r="D191" s="646">
        <f t="shared" ref="D191:H191" si="191">D165+SUM(D170:D172)+D176+D180+D183+D186</f>
        <v>30783</v>
      </c>
      <c r="E191" s="646">
        <f t="shared" si="191"/>
        <v>31024</v>
      </c>
      <c r="F191" s="646">
        <f t="shared" si="191"/>
        <v>31201</v>
      </c>
      <c r="G191" s="646">
        <f t="shared" si="191"/>
        <v>31768</v>
      </c>
      <c r="H191" s="646">
        <f t="shared" si="191"/>
        <v>32148</v>
      </c>
      <c r="I191" s="646">
        <f>I165+SUM(I170:I172)+I176+I180+I183+I186</f>
        <v>32451</v>
      </c>
      <c r="J191" s="646">
        <f>J165+SUM(J170:J172)+J176+J180+J183+J186</f>
        <v>31742</v>
      </c>
      <c r="K191" s="646">
        <f>K165+SUM(K170:K172)+K176+K180+K183+K186</f>
        <v>32633</v>
      </c>
      <c r="L191" s="646">
        <f>L165+SUM(L170:L172)+L176+L180+L183+L186</f>
        <v>32828</v>
      </c>
      <c r="M191" s="643"/>
      <c r="N191" s="643"/>
      <c r="R191" s="643"/>
      <c r="S191" s="643"/>
    </row>
    <row r="192" spans="1:19">
      <c r="A192" s="642"/>
      <c r="C192" s="643"/>
      <c r="D192" s="646"/>
      <c r="E192" s="646"/>
      <c r="F192" s="646"/>
      <c r="G192" s="646"/>
      <c r="H192" s="646"/>
      <c r="I192" s="646"/>
      <c r="J192" s="646"/>
      <c r="K192" s="646"/>
      <c r="L192" s="646"/>
      <c r="M192" s="643"/>
      <c r="N192" s="643"/>
      <c r="R192" s="643"/>
      <c r="S192" s="643"/>
    </row>
    <row r="193" spans="1:19">
      <c r="A193" s="642" t="s">
        <v>13870</v>
      </c>
      <c r="C193" s="643"/>
      <c r="D193" s="646"/>
      <c r="E193" s="646"/>
      <c r="F193" s="646"/>
      <c r="G193" s="646"/>
      <c r="H193" s="646"/>
      <c r="I193" s="646"/>
      <c r="J193" s="646"/>
      <c r="K193" s="646"/>
      <c r="L193" s="646"/>
      <c r="M193" s="643"/>
      <c r="N193" s="643"/>
      <c r="R193" s="643"/>
      <c r="S193" s="643"/>
    </row>
    <row r="194" spans="1:19">
      <c r="A194" s="642"/>
      <c r="B194" s="642"/>
      <c r="C194" s="643"/>
      <c r="D194" s="658"/>
      <c r="E194" s="658"/>
      <c r="F194" s="658"/>
      <c r="G194" s="658"/>
      <c r="H194" s="658"/>
      <c r="I194" s="658"/>
      <c r="J194" s="658"/>
      <c r="K194" s="658"/>
      <c r="L194" s="658"/>
      <c r="M194" s="643"/>
      <c r="N194" s="643"/>
      <c r="R194" s="643"/>
      <c r="S194" s="643"/>
    </row>
    <row r="195" spans="1:19">
      <c r="A195" s="642"/>
      <c r="B195" s="642"/>
      <c r="C195" s="643"/>
      <c r="D195" s="658"/>
      <c r="E195" s="658"/>
      <c r="F195" s="658"/>
      <c r="G195" s="658"/>
      <c r="H195" s="658"/>
      <c r="I195" s="658"/>
      <c r="J195" s="658"/>
      <c r="K195" s="658"/>
      <c r="L195" s="658"/>
      <c r="M195" s="643"/>
      <c r="N195" s="643"/>
      <c r="R195" s="643"/>
      <c r="S195" s="643"/>
    </row>
    <row r="196" spans="1:19">
      <c r="A196" s="643"/>
      <c r="B196" s="643"/>
      <c r="C196" s="643"/>
      <c r="E196" s="42" t="s">
        <v>2303</v>
      </c>
      <c r="F196" s="42"/>
      <c r="G196" s="42"/>
      <c r="H196" s="42"/>
      <c r="I196" s="42"/>
      <c r="J196" s="42"/>
      <c r="K196" s="42"/>
      <c r="L196" s="42"/>
      <c r="M196" s="65"/>
      <c r="N196" s="66" t="s">
        <v>13319</v>
      </c>
      <c r="R196" s="643"/>
      <c r="S196" s="643"/>
    </row>
    <row r="197" spans="1:19">
      <c r="A197" s="643"/>
      <c r="B197" s="643"/>
      <c r="C197" s="643"/>
      <c r="D197" s="55">
        <v>2010</v>
      </c>
      <c r="E197" s="55">
        <v>2011</v>
      </c>
      <c r="F197" s="55">
        <v>2012</v>
      </c>
      <c r="G197" s="55">
        <v>2013</v>
      </c>
      <c r="H197" s="55">
        <v>2014</v>
      </c>
      <c r="I197" s="55">
        <v>2015</v>
      </c>
      <c r="J197" s="55">
        <v>2016</v>
      </c>
      <c r="K197" s="55">
        <v>2017</v>
      </c>
      <c r="L197" s="55">
        <v>2018</v>
      </c>
      <c r="M197" s="643"/>
      <c r="N197" s="67" t="s">
        <v>2304</v>
      </c>
      <c r="R197" s="643"/>
      <c r="S197" s="643"/>
    </row>
    <row r="198" spans="1:19">
      <c r="A198" s="642" t="s">
        <v>2779</v>
      </c>
      <c r="C198" s="643"/>
      <c r="D198" s="646">
        <f t="shared" ref="D198:I198" si="192">SUM(D199:D215)</f>
        <v>70176</v>
      </c>
      <c r="E198" s="646">
        <f t="shared" si="192"/>
        <v>69972</v>
      </c>
      <c r="F198" s="646">
        <f t="shared" si="192"/>
        <v>70539</v>
      </c>
      <c r="G198" s="646">
        <f t="shared" si="192"/>
        <v>70841</v>
      </c>
      <c r="H198" s="646">
        <f t="shared" si="192"/>
        <v>71396</v>
      </c>
      <c r="I198" s="646">
        <f t="shared" si="192"/>
        <v>70507</v>
      </c>
      <c r="J198" s="646">
        <f t="shared" ref="J198:K198" si="193">SUM(J199:J215)</f>
        <v>72180</v>
      </c>
      <c r="K198" s="646">
        <f t="shared" si="193"/>
        <v>73292</v>
      </c>
      <c r="L198" s="646">
        <f t="shared" ref="L198" si="194">SUM(L199:L215)</f>
        <v>74276</v>
      </c>
      <c r="M198" s="643"/>
      <c r="N198" s="643"/>
      <c r="R198" s="643"/>
      <c r="S198" s="643"/>
    </row>
    <row r="199" spans="1:19">
      <c r="A199" s="642" t="s">
        <v>6957</v>
      </c>
      <c r="B199" s="642" t="s">
        <v>2780</v>
      </c>
      <c r="C199" s="4" t="s">
        <v>10845</v>
      </c>
      <c r="D199" s="646">
        <v>4177</v>
      </c>
      <c r="E199" s="646">
        <v>4118</v>
      </c>
      <c r="F199" s="646">
        <v>4148</v>
      </c>
      <c r="G199" s="48">
        <v>4088</v>
      </c>
      <c r="H199" s="48">
        <v>4120</v>
      </c>
      <c r="I199" s="48">
        <v>4070</v>
      </c>
      <c r="J199" s="48">
        <v>4165</v>
      </c>
      <c r="K199" s="48">
        <v>4178</v>
      </c>
      <c r="L199" s="48">
        <v>4178</v>
      </c>
      <c r="M199" s="643"/>
      <c r="N199" s="642" t="s">
        <v>2288</v>
      </c>
      <c r="O199" s="4"/>
      <c r="P199" s="4"/>
      <c r="Q199" s="4"/>
      <c r="R199" s="643"/>
      <c r="S199" s="643"/>
    </row>
    <row r="200" spans="1:19">
      <c r="A200" s="642" t="s">
        <v>6959</v>
      </c>
      <c r="B200" s="642" t="s">
        <v>8787</v>
      </c>
      <c r="C200" s="4" t="s">
        <v>10846</v>
      </c>
      <c r="D200" s="646">
        <v>5073</v>
      </c>
      <c r="E200" s="646">
        <v>5038</v>
      </c>
      <c r="F200" s="646">
        <v>4984</v>
      </c>
      <c r="G200" s="48">
        <v>5047</v>
      </c>
      <c r="H200" s="48">
        <v>4931</v>
      </c>
      <c r="I200" s="48">
        <v>4892</v>
      </c>
      <c r="J200" s="48">
        <v>4903</v>
      </c>
      <c r="K200" s="48">
        <v>4896</v>
      </c>
      <c r="L200" s="48">
        <v>4956</v>
      </c>
      <c r="M200" s="643"/>
      <c r="N200" s="642" t="s">
        <v>2288</v>
      </c>
      <c r="O200" s="4"/>
      <c r="P200" s="4"/>
      <c r="Q200" s="4"/>
      <c r="R200" s="643"/>
      <c r="S200" s="643"/>
    </row>
    <row r="201" spans="1:19">
      <c r="A201" s="642" t="s">
        <v>6961</v>
      </c>
      <c r="B201" s="642" t="s">
        <v>7588</v>
      </c>
      <c r="C201" s="4" t="s">
        <v>10847</v>
      </c>
      <c r="D201" s="646">
        <v>1731</v>
      </c>
      <c r="E201" s="646">
        <v>1805</v>
      </c>
      <c r="F201" s="646">
        <v>1885</v>
      </c>
      <c r="G201" s="48">
        <v>1867</v>
      </c>
      <c r="H201" s="48">
        <v>1799</v>
      </c>
      <c r="I201" s="48">
        <v>1736</v>
      </c>
      <c r="J201" s="48">
        <v>1833</v>
      </c>
      <c r="K201" s="48">
        <v>1885</v>
      </c>
      <c r="L201" s="48">
        <v>2083</v>
      </c>
      <c r="M201" s="643"/>
      <c r="N201" s="642" t="s">
        <v>2288</v>
      </c>
      <c r="O201" s="4"/>
      <c r="P201" s="4"/>
      <c r="Q201" s="4"/>
      <c r="R201" s="643"/>
      <c r="S201" s="643"/>
    </row>
    <row r="202" spans="1:19">
      <c r="A202" s="642" t="s">
        <v>6963</v>
      </c>
      <c r="B202" s="642" t="s">
        <v>2781</v>
      </c>
      <c r="C202" s="4" t="s">
        <v>10848</v>
      </c>
      <c r="D202" s="646">
        <v>4412</v>
      </c>
      <c r="E202" s="646">
        <v>4525</v>
      </c>
      <c r="F202" s="646">
        <v>4827</v>
      </c>
      <c r="G202" s="48">
        <v>4882</v>
      </c>
      <c r="H202" s="48">
        <v>4844</v>
      </c>
      <c r="I202" s="48">
        <v>4779</v>
      </c>
      <c r="J202" s="48">
        <v>5042</v>
      </c>
      <c r="K202" s="48">
        <v>5094</v>
      </c>
      <c r="L202" s="48">
        <v>5384</v>
      </c>
      <c r="M202" s="643"/>
      <c r="N202" s="642" t="s">
        <v>2288</v>
      </c>
      <c r="O202" s="4"/>
      <c r="P202" s="4"/>
      <c r="Q202" s="4"/>
      <c r="R202" s="643"/>
      <c r="S202" s="643"/>
    </row>
    <row r="203" spans="1:19">
      <c r="A203" s="642" t="s">
        <v>6965</v>
      </c>
      <c r="B203" s="642" t="s">
        <v>8207</v>
      </c>
      <c r="C203" s="4" t="s">
        <v>10849</v>
      </c>
      <c r="D203" s="646">
        <v>4927</v>
      </c>
      <c r="E203" s="646">
        <v>4917</v>
      </c>
      <c r="F203" s="646">
        <v>4970</v>
      </c>
      <c r="G203" s="48">
        <v>4988</v>
      </c>
      <c r="H203" s="48">
        <v>5015</v>
      </c>
      <c r="I203" s="48">
        <v>4965</v>
      </c>
      <c r="J203" s="48">
        <v>5021</v>
      </c>
      <c r="K203" s="48">
        <v>4990</v>
      </c>
      <c r="L203" s="48">
        <v>4874</v>
      </c>
      <c r="M203" s="643"/>
      <c r="N203" s="642" t="s">
        <v>2288</v>
      </c>
      <c r="O203" s="4"/>
      <c r="P203" s="4"/>
      <c r="Q203" s="4"/>
      <c r="R203" s="643"/>
      <c r="S203" s="643"/>
    </row>
    <row r="204" spans="1:19">
      <c r="A204" s="642" t="s">
        <v>6997</v>
      </c>
      <c r="B204" s="642" t="s">
        <v>2782</v>
      </c>
      <c r="C204" s="4" t="s">
        <v>10850</v>
      </c>
      <c r="D204" s="646">
        <v>3036</v>
      </c>
      <c r="E204" s="646">
        <v>3031</v>
      </c>
      <c r="F204" s="646">
        <v>3103</v>
      </c>
      <c r="G204" s="48">
        <v>3110</v>
      </c>
      <c r="H204" s="48">
        <v>3243</v>
      </c>
      <c r="I204" s="48">
        <v>3336</v>
      </c>
      <c r="J204" s="48">
        <v>3642</v>
      </c>
      <c r="K204" s="48">
        <v>4122</v>
      </c>
      <c r="L204" s="48">
        <v>4783</v>
      </c>
      <c r="M204" s="643"/>
      <c r="N204" s="642" t="s">
        <v>2288</v>
      </c>
      <c r="O204" s="4"/>
      <c r="P204" s="4"/>
      <c r="Q204" s="4"/>
      <c r="R204" s="643"/>
      <c r="S204" s="643"/>
    </row>
    <row r="205" spans="1:19">
      <c r="A205" s="642" t="s">
        <v>6999</v>
      </c>
      <c r="B205" s="642" t="s">
        <v>2783</v>
      </c>
      <c r="C205" s="4" t="s">
        <v>10851</v>
      </c>
      <c r="D205" s="646">
        <v>5489</v>
      </c>
      <c r="E205" s="646">
        <v>5497</v>
      </c>
      <c r="F205" s="646">
        <v>5472</v>
      </c>
      <c r="G205" s="48">
        <v>5477</v>
      </c>
      <c r="H205" s="48">
        <v>5528</v>
      </c>
      <c r="I205" s="48">
        <v>5476</v>
      </c>
      <c r="J205" s="48">
        <v>5617</v>
      </c>
      <c r="K205" s="48">
        <v>5527</v>
      </c>
      <c r="L205" s="48">
        <v>5504</v>
      </c>
      <c r="M205" s="643"/>
      <c r="N205" s="642" t="s">
        <v>2288</v>
      </c>
      <c r="O205" s="4"/>
      <c r="P205" s="4"/>
      <c r="Q205" s="4"/>
      <c r="R205" s="643"/>
      <c r="S205" s="643"/>
    </row>
    <row r="206" spans="1:19">
      <c r="A206" s="642" t="s">
        <v>7001</v>
      </c>
      <c r="B206" s="642" t="s">
        <v>2784</v>
      </c>
      <c r="C206" s="4" t="s">
        <v>10852</v>
      </c>
      <c r="D206" s="646">
        <v>2977</v>
      </c>
      <c r="E206" s="646">
        <v>2954</v>
      </c>
      <c r="F206" s="646">
        <v>2963</v>
      </c>
      <c r="G206" s="48">
        <v>2969</v>
      </c>
      <c r="H206" s="48">
        <v>3042</v>
      </c>
      <c r="I206" s="48">
        <v>3058</v>
      </c>
      <c r="J206" s="48">
        <v>3106</v>
      </c>
      <c r="K206" s="48">
        <v>3284</v>
      </c>
      <c r="L206" s="48">
        <v>3337</v>
      </c>
      <c r="M206" s="643"/>
      <c r="N206" s="642" t="s">
        <v>2288</v>
      </c>
      <c r="O206" s="4"/>
      <c r="P206" s="4"/>
      <c r="Q206" s="4"/>
      <c r="R206" s="643"/>
      <c r="S206" s="643"/>
    </row>
    <row r="207" spans="1:19">
      <c r="A207" s="642" t="s">
        <v>7003</v>
      </c>
      <c r="B207" s="642" t="s">
        <v>2785</v>
      </c>
      <c r="C207" s="4" t="s">
        <v>10853</v>
      </c>
      <c r="D207" s="646">
        <v>5169</v>
      </c>
      <c r="E207" s="646">
        <v>5192</v>
      </c>
      <c r="F207" s="646">
        <v>5202</v>
      </c>
      <c r="G207" s="48">
        <v>5276</v>
      </c>
      <c r="H207" s="48">
        <v>5468</v>
      </c>
      <c r="I207" s="48">
        <v>5464</v>
      </c>
      <c r="J207" s="48">
        <v>5639</v>
      </c>
      <c r="K207" s="48">
        <v>5578</v>
      </c>
      <c r="L207" s="48">
        <v>5469</v>
      </c>
      <c r="M207" s="643"/>
      <c r="N207" s="642" t="s">
        <v>2288</v>
      </c>
      <c r="O207" s="4"/>
      <c r="P207" s="4"/>
      <c r="Q207" s="4"/>
      <c r="R207" s="643"/>
      <c r="S207" s="643"/>
    </row>
    <row r="208" spans="1:19">
      <c r="A208" s="642" t="s">
        <v>7005</v>
      </c>
      <c r="B208" s="642" t="s">
        <v>8435</v>
      </c>
      <c r="C208" s="4" t="s">
        <v>10854</v>
      </c>
      <c r="D208" s="646">
        <v>5105</v>
      </c>
      <c r="E208" s="646">
        <v>4977</v>
      </c>
      <c r="F208" s="646">
        <v>5021</v>
      </c>
      <c r="G208" s="48">
        <v>5004</v>
      </c>
      <c r="H208" s="48">
        <v>4950</v>
      </c>
      <c r="I208" s="48">
        <v>4846</v>
      </c>
      <c r="J208" s="48">
        <v>5112</v>
      </c>
      <c r="K208" s="48">
        <v>5153</v>
      </c>
      <c r="L208" s="48">
        <v>5128</v>
      </c>
      <c r="M208" s="643"/>
      <c r="N208" s="642" t="s">
        <v>2288</v>
      </c>
      <c r="O208" s="4"/>
      <c r="P208" s="4"/>
      <c r="Q208" s="4"/>
      <c r="R208" s="643"/>
      <c r="S208" s="643"/>
    </row>
    <row r="209" spans="1:19">
      <c r="A209" s="642" t="s">
        <v>7007</v>
      </c>
      <c r="B209" s="642" t="s">
        <v>2786</v>
      </c>
      <c r="C209" s="4" t="s">
        <v>10855</v>
      </c>
      <c r="D209" s="646">
        <v>4455</v>
      </c>
      <c r="E209" s="646">
        <v>4430</v>
      </c>
      <c r="F209" s="646">
        <v>4443</v>
      </c>
      <c r="G209" s="48">
        <v>4454</v>
      </c>
      <c r="H209" s="48">
        <v>4425</v>
      </c>
      <c r="I209" s="48">
        <v>4239</v>
      </c>
      <c r="J209" s="48">
        <v>4312</v>
      </c>
      <c r="K209" s="48">
        <v>4330</v>
      </c>
      <c r="L209" s="48">
        <v>4351</v>
      </c>
      <c r="M209" s="643"/>
      <c r="N209" s="642" t="s">
        <v>2288</v>
      </c>
      <c r="O209" s="4"/>
      <c r="P209" s="4"/>
      <c r="Q209" s="4"/>
      <c r="R209" s="643"/>
      <c r="S209" s="643"/>
    </row>
    <row r="210" spans="1:19">
      <c r="A210" s="642" t="s">
        <v>7009</v>
      </c>
      <c r="B210" s="642" t="s">
        <v>2787</v>
      </c>
      <c r="C210" s="4" t="s">
        <v>10856</v>
      </c>
      <c r="D210" s="646">
        <v>4501</v>
      </c>
      <c r="E210" s="646">
        <v>4475</v>
      </c>
      <c r="F210" s="646">
        <v>4439</v>
      </c>
      <c r="G210" s="48">
        <v>4466</v>
      </c>
      <c r="H210" s="48">
        <v>4795</v>
      </c>
      <c r="I210" s="48">
        <v>4765</v>
      </c>
      <c r="J210" s="48">
        <v>4803</v>
      </c>
      <c r="K210" s="48">
        <v>4903</v>
      </c>
      <c r="L210" s="48">
        <v>4870</v>
      </c>
      <c r="M210" s="643"/>
      <c r="N210" s="642" t="s">
        <v>2288</v>
      </c>
      <c r="O210" s="4"/>
      <c r="P210" s="4"/>
      <c r="Q210" s="4"/>
      <c r="R210" s="643"/>
      <c r="S210" s="643"/>
    </row>
    <row r="211" spans="1:19">
      <c r="A211" s="642" t="s">
        <v>7011</v>
      </c>
      <c r="B211" s="642" t="s">
        <v>2788</v>
      </c>
      <c r="C211" s="4" t="s">
        <v>10857</v>
      </c>
      <c r="D211" s="646">
        <v>3256</v>
      </c>
      <c r="E211" s="646">
        <v>3272</v>
      </c>
      <c r="F211" s="646">
        <v>3272</v>
      </c>
      <c r="G211" s="48">
        <v>3289</v>
      </c>
      <c r="H211" s="48">
        <v>3335</v>
      </c>
      <c r="I211" s="48">
        <v>3276</v>
      </c>
      <c r="J211" s="48">
        <v>3265</v>
      </c>
      <c r="K211" s="48">
        <v>3301</v>
      </c>
      <c r="L211" s="48">
        <v>3222</v>
      </c>
      <c r="M211" s="643"/>
      <c r="N211" s="642" t="s">
        <v>2288</v>
      </c>
      <c r="O211" s="4"/>
      <c r="P211" s="4"/>
      <c r="Q211" s="4"/>
      <c r="R211" s="643"/>
      <c r="S211" s="643"/>
    </row>
    <row r="212" spans="1:19">
      <c r="A212" s="642" t="s">
        <v>7013</v>
      </c>
      <c r="B212" s="642" t="s">
        <v>2789</v>
      </c>
      <c r="C212" s="4" t="s">
        <v>10858</v>
      </c>
      <c r="D212" s="646">
        <v>4930</v>
      </c>
      <c r="E212" s="646">
        <v>4847</v>
      </c>
      <c r="F212" s="646">
        <v>4892</v>
      </c>
      <c r="G212" s="48">
        <v>4969</v>
      </c>
      <c r="H212" s="48">
        <v>4900</v>
      </c>
      <c r="I212" s="48">
        <v>4826</v>
      </c>
      <c r="J212" s="48">
        <v>4822</v>
      </c>
      <c r="K212" s="48">
        <v>4827</v>
      </c>
      <c r="L212" s="48">
        <v>4922</v>
      </c>
      <c r="M212" s="643"/>
      <c r="N212" s="642" t="s">
        <v>2288</v>
      </c>
      <c r="O212" s="4"/>
      <c r="P212" s="4"/>
      <c r="Q212" s="4"/>
      <c r="R212" s="643"/>
      <c r="S212" s="643"/>
    </row>
    <row r="213" spans="1:19">
      <c r="A213" s="642" t="s">
        <v>7015</v>
      </c>
      <c r="B213" s="642" t="s">
        <v>4381</v>
      </c>
      <c r="C213" s="4" t="s">
        <v>10859</v>
      </c>
      <c r="D213" s="646">
        <v>2868</v>
      </c>
      <c r="E213" s="646">
        <v>2829</v>
      </c>
      <c r="F213" s="646">
        <v>2792</v>
      </c>
      <c r="G213" s="48">
        <v>2805</v>
      </c>
      <c r="H213" s="48">
        <v>2824</v>
      </c>
      <c r="I213" s="48">
        <v>2707</v>
      </c>
      <c r="J213" s="48">
        <v>2708</v>
      </c>
      <c r="K213" s="48">
        <v>3025</v>
      </c>
      <c r="L213" s="48">
        <v>3084</v>
      </c>
      <c r="M213" s="643"/>
      <c r="N213" s="642" t="s">
        <v>2288</v>
      </c>
      <c r="O213" s="4"/>
      <c r="P213" s="4"/>
      <c r="Q213" s="4"/>
      <c r="R213" s="643"/>
      <c r="S213" s="643"/>
    </row>
    <row r="214" spans="1:19">
      <c r="A214" s="642" t="s">
        <v>7017</v>
      </c>
      <c r="B214" s="642" t="s">
        <v>2790</v>
      </c>
      <c r="C214" s="4" t="s">
        <v>10860</v>
      </c>
      <c r="D214" s="646">
        <v>4837</v>
      </c>
      <c r="E214" s="646">
        <v>4889</v>
      </c>
      <c r="F214" s="646">
        <v>4968</v>
      </c>
      <c r="G214" s="48">
        <v>4973</v>
      </c>
      <c r="H214" s="48">
        <v>4992</v>
      </c>
      <c r="I214" s="48">
        <v>4937</v>
      </c>
      <c r="J214" s="48">
        <v>4981</v>
      </c>
      <c r="K214" s="48">
        <v>4969</v>
      </c>
      <c r="L214" s="48">
        <v>4923</v>
      </c>
      <c r="M214" s="643"/>
      <c r="N214" s="642" t="s">
        <v>2288</v>
      </c>
      <c r="O214" s="4"/>
      <c r="P214" s="4"/>
      <c r="Q214" s="4"/>
      <c r="R214" s="643"/>
      <c r="S214" s="643"/>
    </row>
    <row r="215" spans="1:19">
      <c r="A215" s="642" t="s">
        <v>7019</v>
      </c>
      <c r="B215" s="642" t="s">
        <v>2791</v>
      </c>
      <c r="C215" s="4" t="s">
        <v>10861</v>
      </c>
      <c r="D215" s="646">
        <v>3233</v>
      </c>
      <c r="E215" s="646">
        <v>3176</v>
      </c>
      <c r="F215" s="646">
        <v>3158</v>
      </c>
      <c r="G215" s="48">
        <v>3177</v>
      </c>
      <c r="H215" s="48">
        <v>3185</v>
      </c>
      <c r="I215" s="48">
        <v>3135</v>
      </c>
      <c r="J215" s="48">
        <v>3209</v>
      </c>
      <c r="K215" s="48">
        <v>3230</v>
      </c>
      <c r="L215" s="48">
        <v>3208</v>
      </c>
      <c r="M215" s="643"/>
      <c r="N215" s="642" t="s">
        <v>2288</v>
      </c>
      <c r="O215" s="4"/>
      <c r="P215" s="4"/>
      <c r="Q215" s="4"/>
      <c r="R215" s="643"/>
      <c r="S215" s="643"/>
    </row>
    <row r="216" spans="1:19">
      <c r="A216" s="643"/>
      <c r="B216" s="643"/>
      <c r="C216" s="643"/>
      <c r="D216" s="646"/>
      <c r="E216" s="646"/>
      <c r="F216" s="646"/>
      <c r="G216" s="646"/>
      <c r="H216" s="646"/>
      <c r="I216" s="646"/>
      <c r="J216" s="646"/>
      <c r="K216" s="646"/>
      <c r="L216" s="646"/>
      <c r="M216" s="643"/>
      <c r="N216" s="643"/>
      <c r="R216" s="643"/>
      <c r="S216" s="643"/>
    </row>
    <row r="217" spans="1:19">
      <c r="A217" s="642" t="s">
        <v>2792</v>
      </c>
      <c r="C217" s="643"/>
      <c r="D217" s="646">
        <f t="shared" ref="D217:I217" si="195">SUM(D199:D215)</f>
        <v>70176</v>
      </c>
      <c r="E217" s="646">
        <f t="shared" si="195"/>
        <v>69972</v>
      </c>
      <c r="F217" s="646">
        <f t="shared" si="195"/>
        <v>70539</v>
      </c>
      <c r="G217" s="646">
        <f t="shared" si="195"/>
        <v>70841</v>
      </c>
      <c r="H217" s="646">
        <f t="shared" si="195"/>
        <v>71396</v>
      </c>
      <c r="I217" s="646">
        <f t="shared" si="195"/>
        <v>70507</v>
      </c>
      <c r="J217" s="646">
        <f t="shared" ref="J217:K217" si="196">SUM(J199:J215)</f>
        <v>72180</v>
      </c>
      <c r="K217" s="646">
        <f t="shared" si="196"/>
        <v>73292</v>
      </c>
      <c r="L217" s="646">
        <f t="shared" ref="L217" si="197">SUM(L199:L215)</f>
        <v>74276</v>
      </c>
      <c r="M217" s="643"/>
      <c r="N217" s="643"/>
      <c r="R217" s="643"/>
      <c r="S217" s="643"/>
    </row>
    <row r="218" spans="1:19">
      <c r="A218" s="642"/>
      <c r="C218" s="643"/>
      <c r="D218" s="646"/>
      <c r="E218" s="646"/>
      <c r="F218" s="646"/>
      <c r="G218" s="646"/>
      <c r="H218" s="646"/>
      <c r="I218" s="646"/>
      <c r="J218" s="646"/>
      <c r="K218" s="646"/>
      <c r="L218" s="646"/>
      <c r="M218" s="643"/>
      <c r="N218" s="643"/>
      <c r="R218" s="643"/>
      <c r="S218" s="643"/>
    </row>
    <row r="219" spans="1:19">
      <c r="A219" s="642" t="s">
        <v>1037</v>
      </c>
      <c r="C219" s="643"/>
      <c r="D219" s="646"/>
      <c r="E219" s="646"/>
      <c r="F219" s="646"/>
      <c r="G219" s="646"/>
      <c r="H219" s="646"/>
      <c r="I219" s="646"/>
      <c r="J219" s="646"/>
      <c r="K219" s="646"/>
      <c r="L219" s="646"/>
      <c r="M219" s="643"/>
      <c r="N219" s="643"/>
      <c r="R219" s="643"/>
      <c r="S219" s="643"/>
    </row>
    <row r="220" spans="1:19">
      <c r="A220" s="642"/>
      <c r="B220" s="642"/>
      <c r="C220" s="643"/>
      <c r="D220" s="658"/>
      <c r="E220" s="658"/>
      <c r="F220" s="658"/>
      <c r="G220" s="658"/>
      <c r="H220" s="658"/>
      <c r="I220" s="658"/>
      <c r="J220" s="658"/>
      <c r="K220" s="658"/>
      <c r="L220" s="658"/>
      <c r="M220" s="643"/>
      <c r="N220" s="643"/>
      <c r="R220" s="643"/>
      <c r="S220" s="643"/>
    </row>
    <row r="221" spans="1:19">
      <c r="A221" s="642"/>
      <c r="B221" s="642"/>
      <c r="C221" s="643"/>
      <c r="D221" s="658"/>
      <c r="E221" s="658"/>
      <c r="F221" s="658"/>
      <c r="G221" s="658"/>
      <c r="H221" s="658"/>
      <c r="I221" s="658"/>
      <c r="J221" s="658"/>
      <c r="K221" s="658"/>
      <c r="L221" s="658"/>
      <c r="M221" s="643"/>
      <c r="N221" s="643"/>
      <c r="R221" s="643"/>
      <c r="S221" s="643"/>
    </row>
    <row r="222" spans="1:19">
      <c r="A222" s="643"/>
      <c r="B222" s="643"/>
      <c r="C222" s="643"/>
      <c r="E222" s="42" t="s">
        <v>2303</v>
      </c>
      <c r="F222" s="42"/>
      <c r="G222" s="42"/>
      <c r="H222" s="42"/>
      <c r="I222" s="42"/>
      <c r="J222" s="42"/>
      <c r="K222" s="42"/>
      <c r="L222" s="42"/>
      <c r="M222" s="65"/>
      <c r="N222" s="66" t="s">
        <v>13319</v>
      </c>
      <c r="R222" s="643"/>
      <c r="S222" s="643"/>
    </row>
    <row r="223" spans="1:19">
      <c r="A223" s="643"/>
      <c r="B223" s="643"/>
      <c r="C223" s="643"/>
      <c r="D223" s="55">
        <v>2010</v>
      </c>
      <c r="E223" s="55">
        <v>2011</v>
      </c>
      <c r="F223" s="55">
        <v>2012</v>
      </c>
      <c r="G223" s="55">
        <v>2013</v>
      </c>
      <c r="H223" s="55">
        <v>2014</v>
      </c>
      <c r="I223" s="55">
        <v>2015</v>
      </c>
      <c r="J223" s="55">
        <v>2016</v>
      </c>
      <c r="K223" s="55">
        <v>2017</v>
      </c>
      <c r="L223" s="55">
        <v>2018</v>
      </c>
      <c r="M223" s="643"/>
      <c r="N223" s="67" t="s">
        <v>2304</v>
      </c>
      <c r="R223" s="643"/>
      <c r="S223" s="643"/>
    </row>
    <row r="224" spans="1:19">
      <c r="A224" s="642" t="s">
        <v>1038</v>
      </c>
      <c r="C224" s="643"/>
      <c r="D224" s="646">
        <f t="shared" ref="D224:I224" si="198">SUM(D225:D245)</f>
        <v>82433</v>
      </c>
      <c r="E224" s="646">
        <f t="shared" si="198"/>
        <v>82962</v>
      </c>
      <c r="F224" s="646">
        <f t="shared" si="198"/>
        <v>83385</v>
      </c>
      <c r="G224" s="646">
        <f t="shared" si="198"/>
        <v>83800</v>
      </c>
      <c r="H224" s="646">
        <f t="shared" si="198"/>
        <v>84296</v>
      </c>
      <c r="I224" s="646">
        <f t="shared" si="198"/>
        <v>83480</v>
      </c>
      <c r="J224" s="646">
        <f t="shared" ref="J224:K224" si="199">SUM(J225:J245)</f>
        <v>84023</v>
      </c>
      <c r="K224" s="646">
        <f t="shared" si="199"/>
        <v>85899</v>
      </c>
      <c r="L224" s="646">
        <f t="shared" ref="L224" si="200">SUM(L225:L245)</f>
        <v>85530</v>
      </c>
      <c r="M224" s="643"/>
      <c r="N224" s="643"/>
      <c r="R224" s="643"/>
      <c r="S224" s="643"/>
    </row>
    <row r="225" spans="1:19">
      <c r="A225" s="642" t="s">
        <v>6957</v>
      </c>
      <c r="B225" s="642" t="s">
        <v>1039</v>
      </c>
      <c r="C225" s="4" t="s">
        <v>10862</v>
      </c>
      <c r="D225" s="646">
        <v>3521</v>
      </c>
      <c r="E225" s="646">
        <v>3530</v>
      </c>
      <c r="F225" s="646">
        <v>3547</v>
      </c>
      <c r="G225" s="30">
        <v>3612</v>
      </c>
      <c r="H225" s="30">
        <v>3654</v>
      </c>
      <c r="I225" s="30">
        <v>3641</v>
      </c>
      <c r="J225" s="30">
        <v>3650</v>
      </c>
      <c r="K225" s="30">
        <v>3975</v>
      </c>
      <c r="L225" s="30">
        <v>4111</v>
      </c>
      <c r="M225" s="643"/>
      <c r="N225" s="642" t="s">
        <v>2290</v>
      </c>
      <c r="O225" s="4"/>
      <c r="Q225" s="4"/>
      <c r="R225" s="643"/>
      <c r="S225" s="643"/>
    </row>
    <row r="226" spans="1:19">
      <c r="A226" s="642" t="s">
        <v>6959</v>
      </c>
      <c r="B226" s="642" t="s">
        <v>5562</v>
      </c>
      <c r="C226" s="4" t="s">
        <v>10863</v>
      </c>
      <c r="D226" s="646">
        <v>5316</v>
      </c>
      <c r="E226" s="646">
        <v>5347</v>
      </c>
      <c r="F226" s="646">
        <v>5417</v>
      </c>
      <c r="G226" s="30">
        <v>5427</v>
      </c>
      <c r="H226" s="30">
        <v>5394</v>
      </c>
      <c r="I226" s="30">
        <v>5299</v>
      </c>
      <c r="J226" s="30">
        <v>5355</v>
      </c>
      <c r="K226" s="30">
        <v>5418</v>
      </c>
      <c r="L226" s="30">
        <v>5358</v>
      </c>
      <c r="M226" s="643"/>
      <c r="N226" s="642" t="s">
        <v>2290</v>
      </c>
      <c r="O226" s="4"/>
      <c r="Q226" s="4"/>
      <c r="R226" s="643"/>
      <c r="S226" s="643"/>
    </row>
    <row r="227" spans="1:19">
      <c r="A227" s="642" t="s">
        <v>6961</v>
      </c>
      <c r="B227" s="642" t="s">
        <v>1592</v>
      </c>
      <c r="C227" s="4" t="s">
        <v>10864</v>
      </c>
      <c r="D227" s="646">
        <v>1878</v>
      </c>
      <c r="E227" s="646">
        <v>1904</v>
      </c>
      <c r="F227" s="646">
        <v>1967</v>
      </c>
      <c r="G227" s="30">
        <v>1977</v>
      </c>
      <c r="H227" s="30">
        <v>2028</v>
      </c>
      <c r="I227" s="30">
        <v>2026</v>
      </c>
      <c r="J227" s="30">
        <v>2012</v>
      </c>
      <c r="K227" s="30">
        <v>2079</v>
      </c>
      <c r="L227" s="30">
        <v>2081</v>
      </c>
      <c r="M227" s="643"/>
      <c r="N227" s="642" t="s">
        <v>2290</v>
      </c>
      <c r="O227" s="4"/>
      <c r="Q227" s="4"/>
      <c r="R227" s="643"/>
      <c r="S227" s="643"/>
    </row>
    <row r="228" spans="1:19">
      <c r="A228" s="642" t="s">
        <v>6963</v>
      </c>
      <c r="B228" s="642" t="s">
        <v>7588</v>
      </c>
      <c r="C228" s="4" t="s">
        <v>10865</v>
      </c>
      <c r="D228" s="646">
        <v>1679</v>
      </c>
      <c r="E228" s="646">
        <v>1704</v>
      </c>
      <c r="F228" s="646">
        <v>1715</v>
      </c>
      <c r="G228" s="30">
        <v>1708</v>
      </c>
      <c r="H228" s="30">
        <v>1713</v>
      </c>
      <c r="I228" s="30">
        <v>1697</v>
      </c>
      <c r="J228" s="30">
        <v>1637</v>
      </c>
      <c r="K228" s="30">
        <v>1778</v>
      </c>
      <c r="L228" s="30">
        <v>1705</v>
      </c>
      <c r="M228" s="643"/>
      <c r="N228" s="642" t="s">
        <v>2290</v>
      </c>
      <c r="O228" s="4"/>
      <c r="Q228" s="4"/>
      <c r="R228" s="643"/>
      <c r="S228" s="643"/>
    </row>
    <row r="229" spans="1:19">
      <c r="A229" s="642" t="s">
        <v>6965</v>
      </c>
      <c r="B229" s="642" t="s">
        <v>1593</v>
      </c>
      <c r="C229" s="4" t="s">
        <v>10866</v>
      </c>
      <c r="D229" s="646">
        <v>3903</v>
      </c>
      <c r="E229" s="646">
        <v>3946</v>
      </c>
      <c r="F229" s="646">
        <v>3951</v>
      </c>
      <c r="G229" s="30">
        <v>3987</v>
      </c>
      <c r="H229" s="30">
        <v>4021</v>
      </c>
      <c r="I229" s="30">
        <v>3971</v>
      </c>
      <c r="J229" s="30">
        <v>3980</v>
      </c>
      <c r="K229" s="30">
        <v>4081</v>
      </c>
      <c r="L229" s="30">
        <v>4072</v>
      </c>
      <c r="M229" s="643"/>
      <c r="N229" s="642" t="s">
        <v>2290</v>
      </c>
      <c r="O229" s="4"/>
      <c r="Q229" s="4"/>
      <c r="R229" s="643"/>
      <c r="S229" s="643"/>
    </row>
    <row r="230" spans="1:19">
      <c r="A230" s="642" t="s">
        <v>6997</v>
      </c>
      <c r="B230" s="642" t="s">
        <v>1594</v>
      </c>
      <c r="C230" s="4" t="s">
        <v>10867</v>
      </c>
      <c r="D230" s="646">
        <v>3677</v>
      </c>
      <c r="E230" s="646">
        <v>3702</v>
      </c>
      <c r="F230" s="646">
        <v>3699</v>
      </c>
      <c r="G230" s="30">
        <v>3711</v>
      </c>
      <c r="H230" s="30">
        <v>3710</v>
      </c>
      <c r="I230" s="30">
        <v>3687</v>
      </c>
      <c r="J230" s="30">
        <v>3723</v>
      </c>
      <c r="K230" s="30">
        <v>3788</v>
      </c>
      <c r="L230" s="30">
        <v>3760</v>
      </c>
      <c r="M230" s="643"/>
      <c r="N230" s="642" t="s">
        <v>2290</v>
      </c>
      <c r="O230" s="4"/>
      <c r="Q230" s="4"/>
      <c r="R230" s="643"/>
      <c r="S230" s="643"/>
    </row>
    <row r="231" spans="1:19">
      <c r="A231" s="642" t="s">
        <v>6999</v>
      </c>
      <c r="B231" s="642" t="s">
        <v>1527</v>
      </c>
      <c r="C231" s="4" t="s">
        <v>10868</v>
      </c>
      <c r="D231" s="653">
        <v>5435</v>
      </c>
      <c r="E231" s="653">
        <v>5397</v>
      </c>
      <c r="F231" s="653">
        <v>5384</v>
      </c>
      <c r="G231" s="31">
        <v>5396</v>
      </c>
      <c r="H231" s="31">
        <v>5466</v>
      </c>
      <c r="I231" s="31">
        <v>5447</v>
      </c>
      <c r="J231" s="31">
        <v>5445</v>
      </c>
      <c r="K231" s="31">
        <v>5535</v>
      </c>
      <c r="L231" s="31">
        <v>5504</v>
      </c>
      <c r="M231" s="643"/>
      <c r="N231" s="642" t="s">
        <v>1493</v>
      </c>
      <c r="O231" s="4"/>
      <c r="Q231" s="4"/>
      <c r="R231" s="643"/>
      <c r="S231" s="643"/>
    </row>
    <row r="232" spans="1:19">
      <c r="A232" s="642" t="s">
        <v>7001</v>
      </c>
      <c r="B232" s="642" t="s">
        <v>1528</v>
      </c>
      <c r="C232" s="4" t="s">
        <v>10869</v>
      </c>
      <c r="D232" s="646">
        <v>1907</v>
      </c>
      <c r="E232" s="646">
        <v>1902</v>
      </c>
      <c r="F232" s="646">
        <v>1911</v>
      </c>
      <c r="G232" s="30">
        <v>1935</v>
      </c>
      <c r="H232" s="30">
        <v>1963</v>
      </c>
      <c r="I232" s="30">
        <v>1917</v>
      </c>
      <c r="J232" s="30">
        <v>1957</v>
      </c>
      <c r="K232" s="30">
        <v>1991</v>
      </c>
      <c r="L232" s="30">
        <v>1952</v>
      </c>
      <c r="M232" s="643"/>
      <c r="N232" s="642" t="s">
        <v>2290</v>
      </c>
      <c r="O232" s="4"/>
      <c r="Q232" s="4"/>
      <c r="R232" s="643"/>
      <c r="S232" s="643"/>
    </row>
    <row r="233" spans="1:19">
      <c r="A233" s="642" t="s">
        <v>7003</v>
      </c>
      <c r="B233" s="642" t="s">
        <v>1529</v>
      </c>
      <c r="C233" s="4" t="s">
        <v>10870</v>
      </c>
      <c r="D233" s="646">
        <v>5235</v>
      </c>
      <c r="E233" s="646">
        <v>5249</v>
      </c>
      <c r="F233" s="646">
        <v>5294</v>
      </c>
      <c r="G233" s="30">
        <v>5295</v>
      </c>
      <c r="H233" s="30">
        <v>5268</v>
      </c>
      <c r="I233" s="30">
        <v>5164</v>
      </c>
      <c r="J233" s="30">
        <v>5128</v>
      </c>
      <c r="K233" s="30">
        <v>5237</v>
      </c>
      <c r="L233" s="30">
        <v>5227</v>
      </c>
      <c r="M233" s="643"/>
      <c r="N233" s="642" t="s">
        <v>2290</v>
      </c>
      <c r="O233" s="4"/>
      <c r="Q233" s="4"/>
      <c r="R233" s="643"/>
      <c r="S233" s="643"/>
    </row>
    <row r="234" spans="1:19">
      <c r="A234" s="642" t="s">
        <v>7005</v>
      </c>
      <c r="B234" s="642" t="s">
        <v>3253</v>
      </c>
      <c r="C234" s="4" t="s">
        <v>10871</v>
      </c>
      <c r="D234" s="646">
        <v>5852</v>
      </c>
      <c r="E234" s="646">
        <v>5833</v>
      </c>
      <c r="F234" s="646">
        <v>5850</v>
      </c>
      <c r="G234" s="30">
        <v>5882</v>
      </c>
      <c r="H234" s="30">
        <v>5891</v>
      </c>
      <c r="I234" s="30">
        <v>5844</v>
      </c>
      <c r="J234" s="30">
        <v>5966</v>
      </c>
      <c r="K234" s="30">
        <v>6290</v>
      </c>
      <c r="L234" s="30">
        <v>6465</v>
      </c>
      <c r="M234" s="643"/>
      <c r="N234" s="642" t="s">
        <v>2290</v>
      </c>
      <c r="O234" s="4"/>
      <c r="Q234" s="4"/>
      <c r="R234" s="643"/>
      <c r="S234" s="643"/>
    </row>
    <row r="235" spans="1:19">
      <c r="A235" s="642" t="s">
        <v>7007</v>
      </c>
      <c r="B235" s="642" t="s">
        <v>7016</v>
      </c>
      <c r="C235" s="4" t="s">
        <v>10872</v>
      </c>
      <c r="D235" s="646">
        <v>5792</v>
      </c>
      <c r="E235" s="646">
        <v>5852</v>
      </c>
      <c r="F235" s="646">
        <v>5899</v>
      </c>
      <c r="G235" s="30">
        <v>5983</v>
      </c>
      <c r="H235" s="30">
        <v>5989</v>
      </c>
      <c r="I235" s="30">
        <v>5926</v>
      </c>
      <c r="J235" s="30">
        <v>5995</v>
      </c>
      <c r="K235" s="30">
        <v>6064</v>
      </c>
      <c r="L235" s="30">
        <v>6036</v>
      </c>
      <c r="M235" s="643"/>
      <c r="N235" s="642" t="s">
        <v>2290</v>
      </c>
      <c r="O235" s="4"/>
      <c r="Q235" s="4"/>
      <c r="R235" s="643"/>
      <c r="S235" s="643"/>
    </row>
    <row r="236" spans="1:19">
      <c r="A236" s="642" t="s">
        <v>7009</v>
      </c>
      <c r="B236" s="642" t="s">
        <v>3254</v>
      </c>
      <c r="C236" s="4" t="s">
        <v>10873</v>
      </c>
      <c r="D236" s="646">
        <v>5548</v>
      </c>
      <c r="E236" s="646">
        <v>5513</v>
      </c>
      <c r="F236" s="646">
        <v>5555</v>
      </c>
      <c r="G236" s="30">
        <v>5524</v>
      </c>
      <c r="H236" s="30">
        <v>5610</v>
      </c>
      <c r="I236" s="30">
        <v>5560</v>
      </c>
      <c r="J236" s="30">
        <v>5593</v>
      </c>
      <c r="K236" s="30">
        <v>5586</v>
      </c>
      <c r="L236" s="30">
        <v>5489</v>
      </c>
      <c r="M236" s="643"/>
      <c r="N236" s="642" t="s">
        <v>2290</v>
      </c>
      <c r="O236" s="4"/>
      <c r="Q236" s="4"/>
      <c r="R236" s="643"/>
      <c r="S236" s="643"/>
    </row>
    <row r="237" spans="1:19">
      <c r="A237" s="642" t="s">
        <v>7011</v>
      </c>
      <c r="B237" s="642" t="s">
        <v>3255</v>
      </c>
      <c r="C237" s="4" t="s">
        <v>10874</v>
      </c>
      <c r="D237" s="646">
        <v>1705</v>
      </c>
      <c r="E237" s="646">
        <v>1687</v>
      </c>
      <c r="F237" s="646">
        <v>1679</v>
      </c>
      <c r="G237" s="30">
        <v>1715</v>
      </c>
      <c r="H237" s="30">
        <v>1706</v>
      </c>
      <c r="I237" s="30">
        <v>1672</v>
      </c>
      <c r="J237" s="30">
        <v>1687</v>
      </c>
      <c r="K237" s="30">
        <v>1656</v>
      </c>
      <c r="L237" s="30">
        <v>1646</v>
      </c>
      <c r="M237" s="643"/>
      <c r="N237" s="642" t="s">
        <v>2290</v>
      </c>
      <c r="O237" s="4"/>
      <c r="Q237" s="4"/>
      <c r="R237" s="643"/>
      <c r="S237" s="643"/>
    </row>
    <row r="238" spans="1:19">
      <c r="A238" s="642" t="s">
        <v>7013</v>
      </c>
      <c r="B238" s="642" t="s">
        <v>8211</v>
      </c>
      <c r="C238" s="4" t="s">
        <v>10875</v>
      </c>
      <c r="D238" s="646">
        <v>3687</v>
      </c>
      <c r="E238" s="646">
        <v>3737</v>
      </c>
      <c r="F238" s="646">
        <v>3750</v>
      </c>
      <c r="G238" s="30">
        <v>3786</v>
      </c>
      <c r="H238" s="30">
        <v>3777</v>
      </c>
      <c r="I238" s="30">
        <v>3726</v>
      </c>
      <c r="J238" s="30">
        <v>3765</v>
      </c>
      <c r="K238" s="30">
        <v>3783</v>
      </c>
      <c r="L238" s="30">
        <v>3724</v>
      </c>
      <c r="M238" s="643"/>
      <c r="N238" s="642" t="s">
        <v>2290</v>
      </c>
      <c r="O238" s="4"/>
      <c r="Q238" s="4"/>
      <c r="R238" s="643"/>
      <c r="S238" s="643"/>
    </row>
    <row r="239" spans="1:19">
      <c r="A239" s="642" t="s">
        <v>7015</v>
      </c>
      <c r="B239" s="642" t="s">
        <v>3256</v>
      </c>
      <c r="C239" s="4" t="s">
        <v>10876</v>
      </c>
      <c r="D239" s="646">
        <v>3426</v>
      </c>
      <c r="E239" s="646">
        <v>3441</v>
      </c>
      <c r="F239" s="646">
        <v>3434</v>
      </c>
      <c r="G239" s="30">
        <v>3477</v>
      </c>
      <c r="H239" s="30">
        <v>3487</v>
      </c>
      <c r="I239" s="30">
        <v>3457</v>
      </c>
      <c r="J239" s="30">
        <v>3481</v>
      </c>
      <c r="K239" s="30">
        <v>3561</v>
      </c>
      <c r="L239" s="30">
        <v>3470</v>
      </c>
      <c r="M239" s="643"/>
      <c r="N239" s="642" t="s">
        <v>2290</v>
      </c>
      <c r="O239" s="4"/>
      <c r="Q239" s="4"/>
      <c r="R239" s="643"/>
      <c r="S239" s="643"/>
    </row>
    <row r="240" spans="1:19">
      <c r="A240" s="642" t="s">
        <v>7017</v>
      </c>
      <c r="B240" s="642" t="s">
        <v>3257</v>
      </c>
      <c r="C240" s="4" t="s">
        <v>10877</v>
      </c>
      <c r="D240" s="646">
        <v>3462</v>
      </c>
      <c r="E240" s="646">
        <v>3518</v>
      </c>
      <c r="F240" s="646">
        <v>3595</v>
      </c>
      <c r="G240" s="30">
        <v>3532</v>
      </c>
      <c r="H240" s="30">
        <v>3539</v>
      </c>
      <c r="I240" s="30">
        <v>3482</v>
      </c>
      <c r="J240" s="30">
        <v>3540</v>
      </c>
      <c r="K240" s="30">
        <v>3579</v>
      </c>
      <c r="L240" s="30">
        <v>3576</v>
      </c>
      <c r="M240" s="643"/>
      <c r="N240" s="642" t="s">
        <v>2290</v>
      </c>
      <c r="O240" s="4"/>
      <c r="Q240" s="4"/>
      <c r="R240" s="643"/>
      <c r="S240" s="643"/>
    </row>
    <row r="241" spans="1:19">
      <c r="A241" s="642" t="s">
        <v>7019</v>
      </c>
      <c r="B241" s="642" t="s">
        <v>3258</v>
      </c>
      <c r="C241" s="4" t="s">
        <v>10878</v>
      </c>
      <c r="D241" s="646">
        <v>5463</v>
      </c>
      <c r="E241" s="646">
        <v>5572</v>
      </c>
      <c r="F241" s="646">
        <v>5511</v>
      </c>
      <c r="G241" s="31">
        <v>5506</v>
      </c>
      <c r="H241" s="31">
        <v>5582</v>
      </c>
      <c r="I241" s="31">
        <v>5555</v>
      </c>
      <c r="J241" s="31">
        <v>5638</v>
      </c>
      <c r="K241" s="31">
        <v>5764</v>
      </c>
      <c r="L241" s="31">
        <v>5722</v>
      </c>
      <c r="M241" s="643"/>
      <c r="N241" s="642" t="s">
        <v>1493</v>
      </c>
      <c r="O241" s="4"/>
      <c r="Q241" s="4"/>
      <c r="R241" s="643"/>
      <c r="S241" s="643"/>
    </row>
    <row r="242" spans="1:19">
      <c r="A242" s="642" t="s">
        <v>7021</v>
      </c>
      <c r="B242" s="642" t="s">
        <v>8812</v>
      </c>
      <c r="C242" s="4" t="s">
        <v>10879</v>
      </c>
      <c r="D242" s="646">
        <v>3747</v>
      </c>
      <c r="E242" s="646">
        <v>3744</v>
      </c>
      <c r="F242" s="646">
        <v>3728</v>
      </c>
      <c r="G242" s="31">
        <v>3774</v>
      </c>
      <c r="H242" s="31">
        <v>3910</v>
      </c>
      <c r="I242" s="31">
        <v>3918</v>
      </c>
      <c r="J242" s="31">
        <v>3931</v>
      </c>
      <c r="K242" s="31">
        <v>4028</v>
      </c>
      <c r="L242" s="31">
        <v>3962</v>
      </c>
      <c r="M242" s="643"/>
      <c r="N242" s="642" t="s">
        <v>2290</v>
      </c>
      <c r="O242" s="4"/>
      <c r="Q242" s="4"/>
      <c r="R242" s="643"/>
      <c r="S242" s="643"/>
    </row>
    <row r="243" spans="1:19">
      <c r="A243" s="642" t="s">
        <v>7023</v>
      </c>
      <c r="B243" s="642" t="s">
        <v>3259</v>
      </c>
      <c r="C243" s="4" t="s">
        <v>10880</v>
      </c>
      <c r="D243" s="646">
        <v>1454</v>
      </c>
      <c r="E243" s="646">
        <v>1456</v>
      </c>
      <c r="F243" s="646">
        <v>1452</v>
      </c>
      <c r="G243" s="31">
        <v>1481</v>
      </c>
      <c r="H243" s="31">
        <v>1459</v>
      </c>
      <c r="I243" s="31">
        <v>1403</v>
      </c>
      <c r="J243" s="31">
        <v>1427</v>
      </c>
      <c r="K243" s="31">
        <v>1441</v>
      </c>
      <c r="L243" s="31">
        <v>1459</v>
      </c>
      <c r="M243" s="643"/>
      <c r="N243" s="642" t="s">
        <v>2290</v>
      </c>
      <c r="O243" s="4"/>
      <c r="Q243" s="4"/>
      <c r="R243" s="643"/>
      <c r="S243" s="643"/>
    </row>
    <row r="244" spans="1:19">
      <c r="A244" s="642" t="s">
        <v>7025</v>
      </c>
      <c r="B244" s="642" t="s">
        <v>3260</v>
      </c>
      <c r="C244" s="4" t="s">
        <v>10881</v>
      </c>
      <c r="D244" s="646">
        <v>5960</v>
      </c>
      <c r="E244" s="646">
        <v>6039</v>
      </c>
      <c r="F244" s="646">
        <v>6124</v>
      </c>
      <c r="G244" s="31">
        <v>6124</v>
      </c>
      <c r="H244" s="31">
        <v>6178</v>
      </c>
      <c r="I244" s="31">
        <v>6096</v>
      </c>
      <c r="J244" s="31">
        <v>6093</v>
      </c>
      <c r="K244" s="31">
        <v>6108</v>
      </c>
      <c r="L244" s="31">
        <v>6013</v>
      </c>
      <c r="M244" s="643"/>
      <c r="N244" s="642" t="s">
        <v>2290</v>
      </c>
      <c r="O244" s="4"/>
      <c r="Q244" s="4"/>
      <c r="R244" s="643"/>
      <c r="S244" s="643"/>
    </row>
    <row r="245" spans="1:19">
      <c r="A245" s="642" t="s">
        <v>7570</v>
      </c>
      <c r="B245" s="642" t="s">
        <v>8076</v>
      </c>
      <c r="C245" s="4" t="s">
        <v>10882</v>
      </c>
      <c r="D245" s="646">
        <v>3786</v>
      </c>
      <c r="E245" s="646">
        <v>3889</v>
      </c>
      <c r="F245" s="646">
        <v>3923</v>
      </c>
      <c r="G245" s="31">
        <v>3968</v>
      </c>
      <c r="H245" s="31">
        <v>3951</v>
      </c>
      <c r="I245" s="31">
        <v>3992</v>
      </c>
      <c r="J245" s="31">
        <v>4020</v>
      </c>
      <c r="K245" s="31">
        <v>4157</v>
      </c>
      <c r="L245" s="31">
        <v>4198</v>
      </c>
      <c r="M245" s="643"/>
      <c r="N245" s="642" t="s">
        <v>2290</v>
      </c>
      <c r="O245" s="4"/>
      <c r="Q245" s="4"/>
      <c r="R245" s="643"/>
      <c r="S245" s="643"/>
    </row>
    <row r="246" spans="1:19">
      <c r="A246" s="643"/>
      <c r="B246" s="643"/>
      <c r="C246" s="643"/>
      <c r="D246" s="652"/>
      <c r="E246" s="652"/>
      <c r="F246" s="652"/>
      <c r="G246" s="652"/>
      <c r="H246" s="652"/>
      <c r="I246" s="652"/>
      <c r="J246" s="652"/>
      <c r="K246" s="652"/>
      <c r="L246" s="652"/>
      <c r="M246" s="643"/>
      <c r="N246" s="643"/>
      <c r="R246" s="643"/>
      <c r="S246" s="643"/>
    </row>
    <row r="247" spans="1:19">
      <c r="A247" s="642" t="s">
        <v>2290</v>
      </c>
      <c r="C247" s="643"/>
      <c r="D247" s="646">
        <f t="shared" ref="D247:I247" si="201">SUM(D225:D230)+SUM(D232:D240)+SUM(D242:D245)</f>
        <v>71535</v>
      </c>
      <c r="E247" s="646">
        <f t="shared" si="201"/>
        <v>71993</v>
      </c>
      <c r="F247" s="646">
        <f t="shared" si="201"/>
        <v>72490</v>
      </c>
      <c r="G247" s="646">
        <f t="shared" si="201"/>
        <v>72898</v>
      </c>
      <c r="H247" s="646">
        <f t="shared" si="201"/>
        <v>73248</v>
      </c>
      <c r="I247" s="646">
        <f t="shared" si="201"/>
        <v>72478</v>
      </c>
      <c r="J247" s="646">
        <f t="shared" ref="J247:K247" si="202">SUM(J225:J230)+SUM(J232:J240)+SUM(J242:J245)</f>
        <v>72940</v>
      </c>
      <c r="K247" s="646">
        <f t="shared" si="202"/>
        <v>74600</v>
      </c>
      <c r="L247" s="646">
        <f t="shared" ref="L247" si="203">SUM(L225:L230)+SUM(L232:L240)+SUM(L242:L245)</f>
        <v>74304</v>
      </c>
      <c r="M247" s="643"/>
      <c r="N247" s="643"/>
      <c r="R247" s="643"/>
      <c r="S247" s="643"/>
    </row>
    <row r="248" spans="1:19">
      <c r="A248" s="642" t="s">
        <v>3261</v>
      </c>
      <c r="C248" s="643"/>
      <c r="D248" s="646">
        <f t="shared" ref="D248:I248" si="204">D231+D241</f>
        <v>10898</v>
      </c>
      <c r="E248" s="646">
        <f t="shared" si="204"/>
        <v>10969</v>
      </c>
      <c r="F248" s="646">
        <f t="shared" si="204"/>
        <v>10895</v>
      </c>
      <c r="G248" s="646">
        <f t="shared" si="204"/>
        <v>10902</v>
      </c>
      <c r="H248" s="646">
        <f t="shared" si="204"/>
        <v>11048</v>
      </c>
      <c r="I248" s="646">
        <f t="shared" si="204"/>
        <v>11002</v>
      </c>
      <c r="J248" s="646">
        <f t="shared" ref="J248:K248" si="205">J231+J241</f>
        <v>11083</v>
      </c>
      <c r="K248" s="646">
        <f t="shared" si="205"/>
        <v>11299</v>
      </c>
      <c r="L248" s="646">
        <f t="shared" ref="L248" si="206">L231+L241</f>
        <v>11226</v>
      </c>
      <c r="M248" s="643"/>
      <c r="N248" s="643"/>
      <c r="R248" s="643"/>
      <c r="S248" s="643"/>
    </row>
    <row r="249" spans="1:19">
      <c r="A249" s="642"/>
      <c r="C249" s="643"/>
      <c r="D249" s="646"/>
      <c r="E249" s="646"/>
      <c r="F249" s="646"/>
      <c r="G249" s="646"/>
      <c r="H249" s="646"/>
      <c r="I249" s="646"/>
      <c r="J249" s="646"/>
      <c r="K249" s="646"/>
      <c r="L249" s="646"/>
      <c r="M249" s="643"/>
      <c r="N249" s="643"/>
      <c r="R249" s="643"/>
      <c r="S249" s="643"/>
    </row>
    <row r="250" spans="1:19">
      <c r="A250" s="642" t="s">
        <v>3262</v>
      </c>
      <c r="C250" s="643"/>
      <c r="D250" s="646"/>
      <c r="E250" s="646"/>
      <c r="F250" s="646"/>
      <c r="G250" s="646"/>
      <c r="H250" s="646"/>
      <c r="I250" s="646"/>
      <c r="J250" s="646"/>
      <c r="K250" s="646"/>
      <c r="L250" s="646"/>
      <c r="M250" s="643"/>
      <c r="N250" s="643"/>
      <c r="R250" s="643"/>
      <c r="S250" s="643"/>
    </row>
    <row r="251" spans="1:19">
      <c r="A251" s="642"/>
      <c r="B251" s="642"/>
      <c r="C251" s="643"/>
      <c r="D251" s="658"/>
      <c r="E251" s="658"/>
      <c r="F251" s="658"/>
      <c r="G251" s="658"/>
      <c r="H251" s="658"/>
      <c r="I251" s="658"/>
      <c r="J251" s="658"/>
      <c r="K251" s="658"/>
      <c r="L251" s="658"/>
      <c r="M251" s="643"/>
      <c r="N251" s="643"/>
      <c r="R251" s="643"/>
      <c r="S251" s="643"/>
    </row>
    <row r="252" spans="1:19">
      <c r="A252" s="642"/>
      <c r="B252" s="642"/>
      <c r="C252" s="643"/>
      <c r="D252" s="658"/>
      <c r="E252" s="658"/>
      <c r="F252" s="658"/>
      <c r="G252" s="658"/>
      <c r="H252" s="658"/>
      <c r="I252" s="658"/>
      <c r="J252" s="658"/>
      <c r="K252" s="658"/>
      <c r="L252" s="658"/>
      <c r="M252" s="643"/>
      <c r="N252" s="643"/>
      <c r="R252" s="643"/>
      <c r="S252" s="643"/>
    </row>
    <row r="253" spans="1:19">
      <c r="A253" s="643"/>
      <c r="B253" s="643"/>
      <c r="C253" s="643"/>
      <c r="E253" s="42" t="s">
        <v>2303</v>
      </c>
      <c r="F253" s="42"/>
      <c r="G253" s="42"/>
      <c r="H253" s="42"/>
      <c r="I253" s="42"/>
      <c r="J253" s="42"/>
      <c r="K253" s="42"/>
      <c r="L253" s="42"/>
      <c r="M253" s="65"/>
      <c r="N253" s="66" t="s">
        <v>13319</v>
      </c>
      <c r="R253" s="643"/>
      <c r="S253" s="643"/>
    </row>
    <row r="254" spans="1:19">
      <c r="A254" s="643"/>
      <c r="B254" s="643"/>
      <c r="C254" s="643"/>
      <c r="D254" s="55">
        <v>2010</v>
      </c>
      <c r="E254" s="55">
        <v>2011</v>
      </c>
      <c r="F254" s="55">
        <v>2012</v>
      </c>
      <c r="G254" s="55">
        <v>2013</v>
      </c>
      <c r="H254" s="55">
        <v>2014</v>
      </c>
      <c r="I254" s="55">
        <v>2015</v>
      </c>
      <c r="J254" s="55">
        <v>2016</v>
      </c>
      <c r="K254" s="55">
        <v>2017</v>
      </c>
      <c r="L254" s="55">
        <v>2018</v>
      </c>
      <c r="M254" s="643"/>
      <c r="N254" s="67" t="s">
        <v>2304</v>
      </c>
      <c r="R254" s="643"/>
      <c r="S254" s="643"/>
    </row>
    <row r="255" spans="1:19">
      <c r="A255" s="642" t="s">
        <v>4944</v>
      </c>
      <c r="C255" s="643"/>
      <c r="D255" s="646">
        <f t="shared" ref="D255:I255" si="207">SUM(D256:D273)</f>
        <v>69898</v>
      </c>
      <c r="E255" s="646">
        <f t="shared" si="207"/>
        <v>70412</v>
      </c>
      <c r="F255" s="646">
        <f t="shared" si="207"/>
        <v>71521</v>
      </c>
      <c r="G255" s="646">
        <f t="shared" si="207"/>
        <v>72182</v>
      </c>
      <c r="H255" s="646">
        <f t="shared" si="207"/>
        <v>72466</v>
      </c>
      <c r="I255" s="646">
        <f t="shared" si="207"/>
        <v>70140</v>
      </c>
      <c r="J255" s="646">
        <f t="shared" ref="J255:K255" si="208">SUM(J256:J273)</f>
        <v>70477</v>
      </c>
      <c r="K255" s="646">
        <f t="shared" si="208"/>
        <v>73088</v>
      </c>
      <c r="L255" s="646">
        <f t="shared" ref="L255" si="209">SUM(L256:L273)</f>
        <v>71601</v>
      </c>
      <c r="M255" s="643"/>
      <c r="N255" s="643"/>
      <c r="R255" s="643"/>
      <c r="S255" s="643"/>
    </row>
    <row r="256" spans="1:19">
      <c r="A256" s="642" t="s">
        <v>6957</v>
      </c>
      <c r="B256" s="642" t="s">
        <v>7725</v>
      </c>
      <c r="C256" s="4" t="s">
        <v>10883</v>
      </c>
      <c r="D256" s="646">
        <v>4474</v>
      </c>
      <c r="E256" s="646">
        <v>4466</v>
      </c>
      <c r="F256" s="646">
        <v>4556</v>
      </c>
      <c r="G256" s="48">
        <v>4602</v>
      </c>
      <c r="H256" s="48">
        <v>4647</v>
      </c>
      <c r="I256" s="48">
        <v>4441</v>
      </c>
      <c r="J256" s="48">
        <v>4477</v>
      </c>
      <c r="K256" s="48">
        <v>4684</v>
      </c>
      <c r="L256" s="48">
        <v>4560</v>
      </c>
      <c r="M256" s="643"/>
      <c r="N256" s="642" t="s">
        <v>4896</v>
      </c>
      <c r="O256" s="4"/>
      <c r="Q256" s="4"/>
      <c r="R256" s="643"/>
      <c r="S256" s="643"/>
    </row>
    <row r="257" spans="1:19">
      <c r="A257" s="642" t="s">
        <v>6959</v>
      </c>
      <c r="B257" s="642" t="s">
        <v>4945</v>
      </c>
      <c r="C257" s="4" t="s">
        <v>10884</v>
      </c>
      <c r="D257" s="646">
        <v>1708</v>
      </c>
      <c r="E257" s="646">
        <v>1727</v>
      </c>
      <c r="F257" s="646">
        <v>1742</v>
      </c>
      <c r="G257" s="48">
        <v>1742</v>
      </c>
      <c r="H257" s="48">
        <v>1730</v>
      </c>
      <c r="I257" s="48">
        <v>1710</v>
      </c>
      <c r="J257" s="48">
        <v>1727</v>
      </c>
      <c r="K257" s="48">
        <v>1767</v>
      </c>
      <c r="L257" s="48">
        <v>1716</v>
      </c>
      <c r="M257" s="643"/>
      <c r="N257" s="642" t="s">
        <v>4896</v>
      </c>
      <c r="O257" s="4"/>
      <c r="Q257" s="4"/>
      <c r="R257" s="643"/>
      <c r="S257" s="643"/>
    </row>
    <row r="258" spans="1:19">
      <c r="A258" s="642" t="s">
        <v>6961</v>
      </c>
      <c r="B258" s="642" t="s">
        <v>8100</v>
      </c>
      <c r="C258" s="4" t="s">
        <v>10885</v>
      </c>
      <c r="D258" s="646">
        <v>3216</v>
      </c>
      <c r="E258" s="646">
        <v>3165</v>
      </c>
      <c r="F258" s="646">
        <v>3241</v>
      </c>
      <c r="G258" s="48">
        <v>3319</v>
      </c>
      <c r="H258" s="48">
        <v>3280</v>
      </c>
      <c r="I258" s="48">
        <v>3214</v>
      </c>
      <c r="J258" s="48">
        <v>3196</v>
      </c>
      <c r="K258" s="48">
        <v>3300</v>
      </c>
      <c r="L258" s="48">
        <v>3279</v>
      </c>
      <c r="M258" s="643"/>
      <c r="N258" s="642" t="s">
        <v>4896</v>
      </c>
      <c r="O258" s="4"/>
      <c r="Q258" s="4"/>
      <c r="R258" s="643"/>
      <c r="S258" s="643"/>
    </row>
    <row r="259" spans="1:19">
      <c r="A259" s="642" t="s">
        <v>6963</v>
      </c>
      <c r="B259" s="642" t="s">
        <v>6735</v>
      </c>
      <c r="C259" s="4" t="s">
        <v>10886</v>
      </c>
      <c r="D259" s="646">
        <v>3170</v>
      </c>
      <c r="E259" s="646">
        <v>3178</v>
      </c>
      <c r="F259" s="646">
        <v>3132</v>
      </c>
      <c r="G259" s="48">
        <v>3182</v>
      </c>
      <c r="H259" s="48">
        <v>3175</v>
      </c>
      <c r="I259" s="48">
        <v>3119</v>
      </c>
      <c r="J259" s="48">
        <v>3138</v>
      </c>
      <c r="K259" s="48">
        <v>3222</v>
      </c>
      <c r="L259" s="48">
        <v>3159</v>
      </c>
      <c r="M259" s="643"/>
      <c r="N259" s="642" t="s">
        <v>4896</v>
      </c>
      <c r="O259" s="4"/>
      <c r="Q259" s="4"/>
      <c r="R259" s="643"/>
      <c r="S259" s="643"/>
    </row>
    <row r="260" spans="1:19">
      <c r="A260" s="642" t="s">
        <v>6965</v>
      </c>
      <c r="B260" s="642" t="s">
        <v>6736</v>
      </c>
      <c r="C260" s="4" t="s">
        <v>10887</v>
      </c>
      <c r="D260" s="646">
        <v>2806</v>
      </c>
      <c r="E260" s="646">
        <v>2819</v>
      </c>
      <c r="F260" s="646">
        <v>2850</v>
      </c>
      <c r="G260" s="48">
        <v>2880</v>
      </c>
      <c r="H260" s="48">
        <v>2865</v>
      </c>
      <c r="I260" s="48">
        <v>2835</v>
      </c>
      <c r="J260" s="48">
        <v>2841</v>
      </c>
      <c r="K260" s="48">
        <v>2930</v>
      </c>
      <c r="L260" s="48">
        <v>2840</v>
      </c>
      <c r="M260" s="643"/>
      <c r="N260" s="642" t="s">
        <v>4896</v>
      </c>
      <c r="O260" s="4"/>
      <c r="Q260" s="4"/>
      <c r="R260" s="643"/>
      <c r="S260" s="643"/>
    </row>
    <row r="261" spans="1:19">
      <c r="A261" s="642" t="s">
        <v>6997</v>
      </c>
      <c r="B261" s="642" t="s">
        <v>6737</v>
      </c>
      <c r="C261" s="4" t="s">
        <v>10888</v>
      </c>
      <c r="D261" s="646">
        <v>3468</v>
      </c>
      <c r="E261" s="646">
        <v>3492</v>
      </c>
      <c r="F261" s="646">
        <v>3497</v>
      </c>
      <c r="G261" s="48">
        <v>3498</v>
      </c>
      <c r="H261" s="48">
        <v>3517</v>
      </c>
      <c r="I261" s="48">
        <v>3473</v>
      </c>
      <c r="J261" s="48">
        <v>3485</v>
      </c>
      <c r="K261" s="48">
        <v>3584</v>
      </c>
      <c r="L261" s="48">
        <v>3536</v>
      </c>
      <c r="M261" s="643"/>
      <c r="N261" s="642" t="s">
        <v>4896</v>
      </c>
      <c r="O261" s="4"/>
      <c r="Q261" s="4"/>
      <c r="R261" s="643"/>
      <c r="S261" s="643"/>
    </row>
    <row r="262" spans="1:19">
      <c r="A262" s="642" t="s">
        <v>6999</v>
      </c>
      <c r="B262" s="642" t="s">
        <v>4946</v>
      </c>
      <c r="C262" s="4" t="s">
        <v>10889</v>
      </c>
      <c r="D262" s="646">
        <v>3450</v>
      </c>
      <c r="E262" s="646">
        <v>3450</v>
      </c>
      <c r="F262" s="646">
        <v>3464</v>
      </c>
      <c r="G262" s="48">
        <v>3472</v>
      </c>
      <c r="H262" s="48">
        <v>3509</v>
      </c>
      <c r="I262" s="48">
        <v>3407</v>
      </c>
      <c r="J262" s="48">
        <v>3434</v>
      </c>
      <c r="K262" s="48">
        <v>3578</v>
      </c>
      <c r="L262" s="48">
        <v>3502</v>
      </c>
      <c r="M262" s="643"/>
      <c r="N262" s="642" t="s">
        <v>4896</v>
      </c>
      <c r="O262" s="4"/>
      <c r="Q262" s="4"/>
      <c r="R262" s="643"/>
      <c r="S262" s="643"/>
    </row>
    <row r="263" spans="1:19">
      <c r="A263" s="642" t="s">
        <v>7001</v>
      </c>
      <c r="B263" s="642" t="s">
        <v>4947</v>
      </c>
      <c r="C263" s="4" t="s">
        <v>10890</v>
      </c>
      <c r="D263" s="646">
        <v>4701</v>
      </c>
      <c r="E263" s="646">
        <v>4745</v>
      </c>
      <c r="F263" s="646">
        <v>4902</v>
      </c>
      <c r="G263" s="48">
        <v>4910</v>
      </c>
      <c r="H263" s="48">
        <v>4897</v>
      </c>
      <c r="I263" s="48">
        <v>4632</v>
      </c>
      <c r="J263" s="48">
        <v>4742</v>
      </c>
      <c r="K263" s="48">
        <v>4978</v>
      </c>
      <c r="L263" s="48">
        <v>4854</v>
      </c>
      <c r="M263" s="643"/>
      <c r="N263" s="642" t="s">
        <v>4896</v>
      </c>
      <c r="O263" s="4"/>
      <c r="Q263" s="4"/>
      <c r="R263" s="643"/>
      <c r="S263" s="643"/>
    </row>
    <row r="264" spans="1:19">
      <c r="A264" s="642" t="s">
        <v>7003</v>
      </c>
      <c r="B264" s="642" t="s">
        <v>4948</v>
      </c>
      <c r="C264" s="4" t="s">
        <v>10891</v>
      </c>
      <c r="D264" s="646">
        <v>4758</v>
      </c>
      <c r="E264" s="646">
        <v>4876</v>
      </c>
      <c r="F264" s="646">
        <v>5118</v>
      </c>
      <c r="G264" s="48">
        <v>5119</v>
      </c>
      <c r="H264" s="48">
        <v>5166</v>
      </c>
      <c r="I264" s="48">
        <v>5001</v>
      </c>
      <c r="J264" s="48">
        <v>5055</v>
      </c>
      <c r="K264" s="48">
        <v>5213</v>
      </c>
      <c r="L264" s="48">
        <v>5077</v>
      </c>
      <c r="M264" s="643"/>
      <c r="N264" s="642" t="s">
        <v>4896</v>
      </c>
      <c r="O264" s="4"/>
      <c r="Q264" s="4"/>
      <c r="R264" s="643"/>
      <c r="S264" s="643"/>
    </row>
    <row r="265" spans="1:19">
      <c r="A265" s="642" t="s">
        <v>7005</v>
      </c>
      <c r="B265" s="642" t="s">
        <v>4949</v>
      </c>
      <c r="C265" s="4" t="s">
        <v>10892</v>
      </c>
      <c r="D265" s="646">
        <v>4477</v>
      </c>
      <c r="E265" s="646">
        <v>4517</v>
      </c>
      <c r="F265" s="646">
        <v>4576</v>
      </c>
      <c r="G265" s="48">
        <v>4564</v>
      </c>
      <c r="H265" s="48">
        <v>4492</v>
      </c>
      <c r="I265" s="48">
        <v>4416</v>
      </c>
      <c r="J265" s="48">
        <v>4363</v>
      </c>
      <c r="K265" s="48">
        <v>4474</v>
      </c>
      <c r="L265" s="48">
        <v>4350</v>
      </c>
      <c r="M265" s="643"/>
      <c r="N265" s="642" t="s">
        <v>4896</v>
      </c>
      <c r="O265" s="4"/>
      <c r="Q265" s="4"/>
      <c r="R265" s="643"/>
      <c r="S265" s="643"/>
    </row>
    <row r="266" spans="1:19">
      <c r="A266" s="642" t="s">
        <v>7007</v>
      </c>
      <c r="B266" s="642" t="s">
        <v>4950</v>
      </c>
      <c r="C266" s="4" t="s">
        <v>10893</v>
      </c>
      <c r="D266" s="646">
        <v>4824</v>
      </c>
      <c r="E266" s="646">
        <v>4933</v>
      </c>
      <c r="F266" s="646">
        <v>4947</v>
      </c>
      <c r="G266" s="48">
        <v>4992</v>
      </c>
      <c r="H266" s="48">
        <v>4928</v>
      </c>
      <c r="I266" s="48">
        <v>4611</v>
      </c>
      <c r="J266" s="48">
        <v>4667</v>
      </c>
      <c r="K266" s="48">
        <v>4855</v>
      </c>
      <c r="L266" s="48">
        <v>4775</v>
      </c>
      <c r="M266" s="643"/>
      <c r="N266" s="642" t="s">
        <v>4896</v>
      </c>
      <c r="O266" s="4"/>
      <c r="Q266" s="4"/>
      <c r="R266" s="643"/>
      <c r="S266" s="643"/>
    </row>
    <row r="267" spans="1:19">
      <c r="A267" s="642" t="s">
        <v>7009</v>
      </c>
      <c r="B267" s="642" t="s">
        <v>8572</v>
      </c>
      <c r="C267" s="4" t="s">
        <v>10894</v>
      </c>
      <c r="D267" s="646">
        <v>4804</v>
      </c>
      <c r="E267" s="646">
        <v>4809</v>
      </c>
      <c r="F267" s="646">
        <v>4994</v>
      </c>
      <c r="G267" s="48">
        <v>5118</v>
      </c>
      <c r="H267" s="48">
        <v>5147</v>
      </c>
      <c r="I267" s="48">
        <v>4820</v>
      </c>
      <c r="J267" s="48">
        <v>4842</v>
      </c>
      <c r="K267" s="48">
        <v>5078</v>
      </c>
      <c r="L267" s="48">
        <v>4963</v>
      </c>
      <c r="M267" s="643"/>
      <c r="N267" s="642" t="s">
        <v>4896</v>
      </c>
      <c r="O267" s="4"/>
      <c r="Q267" s="4"/>
      <c r="R267" s="643"/>
      <c r="S267" s="643"/>
    </row>
    <row r="268" spans="1:19">
      <c r="A268" s="642" t="s">
        <v>7011</v>
      </c>
      <c r="B268" s="642" t="s">
        <v>4951</v>
      </c>
      <c r="C268" s="4" t="s">
        <v>10895</v>
      </c>
      <c r="D268" s="646">
        <v>3416</v>
      </c>
      <c r="E268" s="646">
        <v>3419</v>
      </c>
      <c r="F268" s="646">
        <v>3411</v>
      </c>
      <c r="G268" s="48">
        <v>3447</v>
      </c>
      <c r="H268" s="48">
        <v>3423</v>
      </c>
      <c r="I268" s="48">
        <v>3364</v>
      </c>
      <c r="J268" s="48">
        <v>3370</v>
      </c>
      <c r="K268" s="48">
        <v>3429</v>
      </c>
      <c r="L268" s="48">
        <v>3354</v>
      </c>
      <c r="M268" s="643"/>
      <c r="N268" s="642" t="s">
        <v>4896</v>
      </c>
      <c r="O268" s="4"/>
      <c r="Q268" s="4"/>
      <c r="R268" s="643"/>
      <c r="S268" s="643"/>
    </row>
    <row r="269" spans="1:19">
      <c r="A269" s="642" t="s">
        <v>7013</v>
      </c>
      <c r="B269" s="642" t="s">
        <v>4952</v>
      </c>
      <c r="C269" s="4" t="s">
        <v>10896</v>
      </c>
      <c r="D269" s="646">
        <v>3290</v>
      </c>
      <c r="E269" s="646">
        <v>3321</v>
      </c>
      <c r="F269" s="646">
        <v>3318</v>
      </c>
      <c r="G269" s="48">
        <v>3336</v>
      </c>
      <c r="H269" s="48">
        <v>3320</v>
      </c>
      <c r="I269" s="48">
        <v>3284</v>
      </c>
      <c r="J269" s="48">
        <v>3243</v>
      </c>
      <c r="K269" s="48">
        <v>3316</v>
      </c>
      <c r="L269" s="48">
        <v>3294</v>
      </c>
      <c r="M269" s="643"/>
      <c r="N269" s="642" t="s">
        <v>4896</v>
      </c>
      <c r="O269" s="4"/>
      <c r="Q269" s="4"/>
      <c r="R269" s="643"/>
      <c r="S269" s="643"/>
    </row>
    <row r="270" spans="1:19">
      <c r="A270" s="642" t="s">
        <v>7015</v>
      </c>
      <c r="B270" s="642" t="s">
        <v>4953</v>
      </c>
      <c r="C270" s="4" t="s">
        <v>10897</v>
      </c>
      <c r="D270" s="646">
        <v>4898</v>
      </c>
      <c r="E270" s="646">
        <v>4954</v>
      </c>
      <c r="F270" s="646">
        <v>5059</v>
      </c>
      <c r="G270" s="48">
        <v>5162</v>
      </c>
      <c r="H270" s="48">
        <v>5390</v>
      </c>
      <c r="I270" s="48">
        <v>5164</v>
      </c>
      <c r="J270" s="48">
        <v>5280</v>
      </c>
      <c r="K270" s="48">
        <v>5507</v>
      </c>
      <c r="L270" s="48">
        <v>5417</v>
      </c>
      <c r="M270" s="643"/>
      <c r="N270" s="642" t="s">
        <v>4896</v>
      </c>
      <c r="O270" s="4"/>
      <c r="Q270" s="4"/>
      <c r="R270" s="643"/>
      <c r="S270" s="643"/>
    </row>
    <row r="271" spans="1:19">
      <c r="A271" s="642" t="s">
        <v>7017</v>
      </c>
      <c r="B271" s="642" t="s">
        <v>4954</v>
      </c>
      <c r="C271" s="4" t="s">
        <v>10898</v>
      </c>
      <c r="D271" s="646">
        <v>4675</v>
      </c>
      <c r="E271" s="646">
        <v>4665</v>
      </c>
      <c r="F271" s="646">
        <v>4700</v>
      </c>
      <c r="G271" s="48">
        <v>4753</v>
      </c>
      <c r="H271" s="48">
        <v>4760</v>
      </c>
      <c r="I271" s="48">
        <v>4582</v>
      </c>
      <c r="J271" s="48">
        <v>4555</v>
      </c>
      <c r="K271" s="48">
        <v>4769</v>
      </c>
      <c r="L271" s="48">
        <v>4656</v>
      </c>
      <c r="M271" s="643"/>
      <c r="N271" s="642" t="s">
        <v>4896</v>
      </c>
      <c r="O271" s="4"/>
      <c r="Q271" s="4"/>
      <c r="R271" s="643"/>
      <c r="S271" s="643"/>
    </row>
    <row r="272" spans="1:19">
      <c r="A272" s="642" t="s">
        <v>7019</v>
      </c>
      <c r="B272" s="642" t="s">
        <v>4955</v>
      </c>
      <c r="C272" s="4" t="s">
        <v>10899</v>
      </c>
      <c r="D272" s="646">
        <v>3144</v>
      </c>
      <c r="E272" s="646">
        <v>3114</v>
      </c>
      <c r="F272" s="646">
        <v>3136</v>
      </c>
      <c r="G272" s="48">
        <v>3196</v>
      </c>
      <c r="H272" s="48">
        <v>3220</v>
      </c>
      <c r="I272" s="48">
        <v>3142</v>
      </c>
      <c r="J272" s="48">
        <v>3115</v>
      </c>
      <c r="K272" s="48">
        <v>3306</v>
      </c>
      <c r="L272" s="48">
        <v>3253</v>
      </c>
      <c r="M272" s="643"/>
      <c r="N272" s="642" t="s">
        <v>4896</v>
      </c>
      <c r="O272" s="4"/>
      <c r="Q272" s="4"/>
      <c r="R272" s="643"/>
      <c r="S272" s="643"/>
    </row>
    <row r="273" spans="1:19">
      <c r="A273" s="642" t="s">
        <v>7021</v>
      </c>
      <c r="B273" s="642" t="s">
        <v>4956</v>
      </c>
      <c r="C273" s="4" t="s">
        <v>10900</v>
      </c>
      <c r="D273" s="646">
        <v>4619</v>
      </c>
      <c r="E273" s="646">
        <v>4762</v>
      </c>
      <c r="F273" s="646">
        <v>4878</v>
      </c>
      <c r="G273" s="48">
        <v>4890</v>
      </c>
      <c r="H273" s="48">
        <v>5000</v>
      </c>
      <c r="I273" s="48">
        <v>4925</v>
      </c>
      <c r="J273" s="48">
        <v>4947</v>
      </c>
      <c r="K273" s="48">
        <v>5098</v>
      </c>
      <c r="L273" s="48">
        <v>5016</v>
      </c>
      <c r="M273" s="643"/>
      <c r="N273" s="642" t="s">
        <v>4896</v>
      </c>
      <c r="O273" s="4"/>
      <c r="Q273" s="4"/>
      <c r="R273" s="643"/>
      <c r="S273" s="643"/>
    </row>
    <row r="274" spans="1:19">
      <c r="A274" s="643"/>
      <c r="B274" s="643"/>
      <c r="C274" s="643"/>
      <c r="D274" s="652"/>
      <c r="E274" s="652"/>
      <c r="F274" s="652"/>
      <c r="G274" s="652"/>
      <c r="H274" s="652"/>
      <c r="I274" s="652"/>
      <c r="J274" s="652"/>
      <c r="K274" s="652"/>
      <c r="L274" s="652"/>
      <c r="M274" s="643"/>
      <c r="N274" s="643"/>
      <c r="R274" s="643"/>
      <c r="S274" s="643"/>
    </row>
    <row r="275" spans="1:19">
      <c r="A275" s="642" t="s">
        <v>4896</v>
      </c>
      <c r="C275" s="643"/>
      <c r="D275" s="646">
        <f t="shared" ref="D275:I275" si="210">SUM(D256:D273)</f>
        <v>69898</v>
      </c>
      <c r="E275" s="646">
        <f t="shared" si="210"/>
        <v>70412</v>
      </c>
      <c r="F275" s="646">
        <f t="shared" si="210"/>
        <v>71521</v>
      </c>
      <c r="G275" s="646">
        <f t="shared" si="210"/>
        <v>72182</v>
      </c>
      <c r="H275" s="646">
        <f t="shared" si="210"/>
        <v>72466</v>
      </c>
      <c r="I275" s="646">
        <f t="shared" si="210"/>
        <v>70140</v>
      </c>
      <c r="J275" s="646">
        <f t="shared" ref="J275:K275" si="211">SUM(J256:J273)</f>
        <v>70477</v>
      </c>
      <c r="K275" s="646">
        <f t="shared" si="211"/>
        <v>73088</v>
      </c>
      <c r="L275" s="646">
        <f t="shared" ref="L275" si="212">SUM(L256:L273)</f>
        <v>71601</v>
      </c>
      <c r="M275" s="643"/>
      <c r="N275" s="643"/>
      <c r="R275" s="643"/>
      <c r="S275" s="643"/>
    </row>
    <row r="276" spans="1:19">
      <c r="A276" s="642"/>
      <c r="C276" s="643"/>
      <c r="D276" s="646"/>
      <c r="E276" s="646"/>
      <c r="F276" s="646"/>
      <c r="G276" s="646"/>
      <c r="H276" s="646"/>
      <c r="I276" s="646"/>
      <c r="J276" s="646"/>
      <c r="K276" s="646"/>
      <c r="L276" s="646"/>
      <c r="M276" s="643"/>
      <c r="N276" s="643"/>
      <c r="R276" s="643"/>
      <c r="S276" s="643"/>
    </row>
    <row r="277" spans="1:19">
      <c r="A277" s="642" t="s">
        <v>4957</v>
      </c>
      <c r="C277" s="643"/>
      <c r="D277" s="646"/>
      <c r="E277" s="646"/>
      <c r="F277" s="646"/>
      <c r="G277" s="646"/>
      <c r="H277" s="646"/>
      <c r="I277" s="646"/>
      <c r="J277" s="646"/>
      <c r="K277" s="646"/>
      <c r="L277" s="646"/>
      <c r="M277" s="643"/>
      <c r="N277" s="643"/>
      <c r="R277" s="643"/>
      <c r="S277" s="643"/>
    </row>
    <row r="278" spans="1:19">
      <c r="A278" s="642"/>
      <c r="B278" s="642"/>
      <c r="C278" s="643"/>
      <c r="D278" s="658"/>
      <c r="E278" s="658"/>
      <c r="F278" s="658"/>
      <c r="G278" s="658"/>
      <c r="H278" s="658"/>
      <c r="I278" s="658"/>
      <c r="J278" s="658"/>
      <c r="K278" s="658"/>
      <c r="L278" s="658"/>
      <c r="M278" s="643"/>
      <c r="N278" s="643"/>
      <c r="R278" s="643"/>
      <c r="S278" s="643"/>
    </row>
    <row r="279" spans="1:19">
      <c r="A279" s="642"/>
      <c r="B279" s="642"/>
      <c r="C279" s="643"/>
      <c r="D279" s="658"/>
      <c r="E279" s="658"/>
      <c r="F279" s="658"/>
      <c r="G279" s="658"/>
      <c r="H279" s="658"/>
      <c r="I279" s="658"/>
      <c r="J279" s="658"/>
      <c r="K279" s="658"/>
      <c r="L279" s="658"/>
      <c r="M279" s="643"/>
      <c r="N279" s="643"/>
      <c r="R279" s="643"/>
      <c r="S279" s="643"/>
    </row>
    <row r="280" spans="1:19">
      <c r="A280" s="643"/>
      <c r="B280" s="643"/>
      <c r="C280" s="643"/>
      <c r="E280" s="42" t="s">
        <v>2303</v>
      </c>
      <c r="F280" s="42"/>
      <c r="G280" s="42"/>
      <c r="H280" s="42"/>
      <c r="I280" s="42"/>
      <c r="J280" s="42"/>
      <c r="K280" s="42"/>
      <c r="L280" s="42"/>
      <c r="M280" s="65"/>
      <c r="N280" s="66" t="s">
        <v>13319</v>
      </c>
      <c r="R280" s="643"/>
      <c r="S280" s="643"/>
    </row>
    <row r="281" spans="1:19">
      <c r="A281" s="643"/>
      <c r="B281" s="643"/>
      <c r="C281" s="643"/>
      <c r="D281" s="55">
        <v>2010</v>
      </c>
      <c r="E281" s="55">
        <v>2011</v>
      </c>
      <c r="F281" s="55">
        <v>2012</v>
      </c>
      <c r="G281" s="55">
        <v>2013</v>
      </c>
      <c r="H281" s="55">
        <v>2014</v>
      </c>
      <c r="I281" s="55">
        <v>2015</v>
      </c>
      <c r="J281" s="55">
        <v>2016</v>
      </c>
      <c r="K281" s="55">
        <v>2017</v>
      </c>
      <c r="L281" s="55">
        <v>2018</v>
      </c>
      <c r="M281" s="643"/>
      <c r="N281" s="67" t="s">
        <v>2304</v>
      </c>
      <c r="R281" s="643"/>
      <c r="S281" s="643"/>
    </row>
    <row r="282" spans="1:19">
      <c r="A282" s="642" t="s">
        <v>4958</v>
      </c>
      <c r="C282" s="643"/>
      <c r="D282" s="646">
        <f t="shared" ref="D282:I282" si="213">SUM(D283:D308)</f>
        <v>113017</v>
      </c>
      <c r="E282" s="646">
        <f t="shared" si="213"/>
        <v>111822</v>
      </c>
      <c r="F282" s="646">
        <f t="shared" si="213"/>
        <v>115949</v>
      </c>
      <c r="G282" s="646">
        <f t="shared" si="213"/>
        <v>117140</v>
      </c>
      <c r="H282" s="646">
        <f t="shared" si="213"/>
        <v>108059</v>
      </c>
      <c r="I282" s="646">
        <f t="shared" si="213"/>
        <v>109871</v>
      </c>
      <c r="J282" s="646">
        <f t="shared" ref="J282:K282" si="214">SUM(J283:J308)</f>
        <v>108432</v>
      </c>
      <c r="K282" s="646">
        <f t="shared" si="214"/>
        <v>115012</v>
      </c>
      <c r="L282" s="646">
        <f t="shared" ref="L282" si="215">SUM(L283:L308)</f>
        <v>113830</v>
      </c>
      <c r="M282" s="643"/>
      <c r="N282" s="643"/>
      <c r="R282" s="643"/>
      <c r="S282" s="643"/>
    </row>
    <row r="283" spans="1:19">
      <c r="A283" s="642" t="s">
        <v>6957</v>
      </c>
      <c r="B283" s="642" t="s">
        <v>4959</v>
      </c>
      <c r="C283" s="4" t="s">
        <v>10901</v>
      </c>
      <c r="D283" s="646">
        <v>5645</v>
      </c>
      <c r="E283" s="646">
        <v>5502</v>
      </c>
      <c r="F283" s="646">
        <v>5586</v>
      </c>
      <c r="G283" s="646">
        <v>5638</v>
      </c>
      <c r="H283" s="48">
        <v>5303</v>
      </c>
      <c r="I283" s="48">
        <v>5444</v>
      </c>
      <c r="J283" s="48">
        <v>5356</v>
      </c>
      <c r="K283" s="48">
        <v>5616</v>
      </c>
      <c r="L283" s="48">
        <v>5655</v>
      </c>
      <c r="M283" s="643"/>
      <c r="N283" s="642" t="s">
        <v>1486</v>
      </c>
      <c r="O283" s="4"/>
      <c r="Q283" s="4"/>
      <c r="R283" s="643"/>
      <c r="S283" s="643"/>
    </row>
    <row r="284" spans="1:19">
      <c r="A284" s="642" t="s">
        <v>6959</v>
      </c>
      <c r="B284" s="642" t="s">
        <v>6708</v>
      </c>
      <c r="C284" s="4" t="s">
        <v>10902</v>
      </c>
      <c r="D284" s="646">
        <v>1969</v>
      </c>
      <c r="E284" s="646">
        <v>1952</v>
      </c>
      <c r="F284" s="646">
        <v>1949</v>
      </c>
      <c r="G284" s="646">
        <v>1966</v>
      </c>
      <c r="H284" s="48">
        <v>1944</v>
      </c>
      <c r="I284" s="48">
        <v>1951</v>
      </c>
      <c r="J284" s="48">
        <v>1880</v>
      </c>
      <c r="K284" s="48">
        <v>1922</v>
      </c>
      <c r="L284" s="48">
        <v>1896</v>
      </c>
      <c r="M284" s="643"/>
      <c r="N284" s="642" t="s">
        <v>1486</v>
      </c>
      <c r="O284" s="4"/>
      <c r="Q284" s="4"/>
      <c r="R284" s="643"/>
      <c r="S284" s="643"/>
    </row>
    <row r="285" spans="1:19">
      <c r="A285" s="642" t="s">
        <v>6961</v>
      </c>
      <c r="B285" s="642" t="s">
        <v>6709</v>
      </c>
      <c r="C285" s="4" t="s">
        <v>10903</v>
      </c>
      <c r="D285" s="646">
        <v>6674</v>
      </c>
      <c r="E285" s="646">
        <v>6583</v>
      </c>
      <c r="F285" s="646">
        <v>6715</v>
      </c>
      <c r="G285" s="646">
        <v>6754</v>
      </c>
      <c r="H285" s="48">
        <v>6300</v>
      </c>
      <c r="I285" s="48">
        <v>6379</v>
      </c>
      <c r="J285" s="48">
        <v>6367</v>
      </c>
      <c r="K285" s="48">
        <v>6616</v>
      </c>
      <c r="L285" s="48">
        <v>6486</v>
      </c>
      <c r="M285" s="643"/>
      <c r="N285" s="642" t="s">
        <v>4891</v>
      </c>
      <c r="O285" s="4"/>
      <c r="Q285" s="4"/>
      <c r="R285" s="643"/>
      <c r="S285" s="643"/>
    </row>
    <row r="286" spans="1:19">
      <c r="A286" s="642" t="s">
        <v>6963</v>
      </c>
      <c r="B286" s="642" t="s">
        <v>6710</v>
      </c>
      <c r="C286" s="4" t="s">
        <v>10904</v>
      </c>
      <c r="D286" s="646">
        <v>2009</v>
      </c>
      <c r="E286" s="646">
        <v>1892</v>
      </c>
      <c r="F286" s="646">
        <v>2031</v>
      </c>
      <c r="G286" s="646">
        <v>2051</v>
      </c>
      <c r="H286" s="48">
        <v>1926</v>
      </c>
      <c r="I286" s="48">
        <v>1943</v>
      </c>
      <c r="J286" s="48">
        <v>1925</v>
      </c>
      <c r="K286" s="48">
        <v>2008</v>
      </c>
      <c r="L286" s="48">
        <v>1971</v>
      </c>
      <c r="M286" s="643"/>
      <c r="N286" s="642" t="s">
        <v>4891</v>
      </c>
      <c r="O286" s="4"/>
      <c r="Q286" s="4"/>
      <c r="R286" s="643"/>
      <c r="S286" s="643"/>
    </row>
    <row r="287" spans="1:19">
      <c r="A287" s="642" t="s">
        <v>6965</v>
      </c>
      <c r="B287" s="642" t="s">
        <v>6711</v>
      </c>
      <c r="C287" s="4" t="s">
        <v>10905</v>
      </c>
      <c r="D287" s="646">
        <v>6641</v>
      </c>
      <c r="E287" s="646">
        <v>6359</v>
      </c>
      <c r="F287" s="646">
        <v>6654</v>
      </c>
      <c r="G287" s="646">
        <v>6677</v>
      </c>
      <c r="H287" s="48">
        <v>6182</v>
      </c>
      <c r="I287" s="48">
        <v>6315</v>
      </c>
      <c r="J287" s="48">
        <v>6162</v>
      </c>
      <c r="K287" s="48">
        <v>6474</v>
      </c>
      <c r="L287" s="48">
        <v>6331</v>
      </c>
      <c r="M287" s="643"/>
      <c r="N287" s="642" t="s">
        <v>4891</v>
      </c>
      <c r="O287" s="4"/>
      <c r="Q287" s="4"/>
      <c r="R287" s="643"/>
      <c r="S287" s="643"/>
    </row>
    <row r="288" spans="1:19">
      <c r="A288" s="642" t="s">
        <v>6997</v>
      </c>
      <c r="B288" s="642" t="s">
        <v>2854</v>
      </c>
      <c r="C288" s="4" t="s">
        <v>10906</v>
      </c>
      <c r="D288" s="646">
        <v>4319</v>
      </c>
      <c r="E288" s="646">
        <v>4120</v>
      </c>
      <c r="F288" s="646">
        <v>4383</v>
      </c>
      <c r="G288" s="646">
        <v>4409</v>
      </c>
      <c r="H288" s="48">
        <v>3947</v>
      </c>
      <c r="I288" s="48">
        <v>3988</v>
      </c>
      <c r="J288" s="48">
        <v>3965</v>
      </c>
      <c r="K288" s="48">
        <v>4375</v>
      </c>
      <c r="L288" s="48">
        <v>4192</v>
      </c>
      <c r="M288" s="643"/>
      <c r="N288" s="642" t="s">
        <v>1486</v>
      </c>
      <c r="O288" s="4"/>
      <c r="Q288" s="4"/>
      <c r="R288" s="643"/>
      <c r="S288" s="643"/>
    </row>
    <row r="289" spans="1:19">
      <c r="A289" s="642" t="s">
        <v>6999</v>
      </c>
      <c r="B289" s="642" t="s">
        <v>6712</v>
      </c>
      <c r="C289" s="4" t="s">
        <v>13052</v>
      </c>
      <c r="D289" s="646">
        <v>5576</v>
      </c>
      <c r="E289" s="646">
        <v>5718</v>
      </c>
      <c r="F289" s="646">
        <v>5797</v>
      </c>
      <c r="G289" s="646">
        <v>5820</v>
      </c>
      <c r="H289" s="48">
        <v>5432</v>
      </c>
      <c r="I289" s="48">
        <v>5551</v>
      </c>
      <c r="J289" s="48">
        <v>5456</v>
      </c>
      <c r="K289" s="48">
        <v>5752</v>
      </c>
      <c r="L289" s="48">
        <v>5732</v>
      </c>
      <c r="M289" s="643"/>
      <c r="N289" s="642" t="s">
        <v>1486</v>
      </c>
      <c r="O289" s="4"/>
      <c r="Q289" s="4"/>
      <c r="R289" s="643"/>
      <c r="S289" s="643"/>
    </row>
    <row r="290" spans="1:19">
      <c r="A290" s="642" t="s">
        <v>7001</v>
      </c>
      <c r="B290" s="642" t="s">
        <v>6713</v>
      </c>
      <c r="C290" s="4" t="s">
        <v>10907</v>
      </c>
      <c r="D290" s="646">
        <v>2337</v>
      </c>
      <c r="E290" s="646">
        <v>2331</v>
      </c>
      <c r="F290" s="646">
        <v>2354</v>
      </c>
      <c r="G290" s="646">
        <v>2389</v>
      </c>
      <c r="H290" s="48">
        <v>2222</v>
      </c>
      <c r="I290" s="48">
        <v>2263</v>
      </c>
      <c r="J290" s="48">
        <v>2265</v>
      </c>
      <c r="K290" s="48">
        <v>2391</v>
      </c>
      <c r="L290" s="48">
        <v>2383</v>
      </c>
      <c r="M290" s="643"/>
      <c r="N290" s="642" t="s">
        <v>4891</v>
      </c>
      <c r="O290" s="4"/>
      <c r="Q290" s="4"/>
      <c r="R290" s="643"/>
      <c r="S290" s="643"/>
    </row>
    <row r="291" spans="1:19">
      <c r="A291" s="642" t="s">
        <v>7003</v>
      </c>
      <c r="B291" s="642" t="s">
        <v>6714</v>
      </c>
      <c r="C291" s="4" t="s">
        <v>10908</v>
      </c>
      <c r="D291" s="646">
        <v>2072</v>
      </c>
      <c r="E291" s="646">
        <v>2071</v>
      </c>
      <c r="F291" s="646">
        <v>2094</v>
      </c>
      <c r="G291" s="646">
        <v>2084</v>
      </c>
      <c r="H291" s="48">
        <v>1955</v>
      </c>
      <c r="I291" s="48">
        <v>2012</v>
      </c>
      <c r="J291" s="48">
        <v>1909</v>
      </c>
      <c r="K291" s="48">
        <v>2120</v>
      </c>
      <c r="L291" s="48">
        <v>2132</v>
      </c>
      <c r="M291" s="643"/>
      <c r="N291" s="642" t="s">
        <v>4891</v>
      </c>
      <c r="O291" s="4"/>
      <c r="Q291" s="4"/>
      <c r="R291" s="643"/>
      <c r="S291" s="643"/>
    </row>
    <row r="292" spans="1:19">
      <c r="A292" s="642" t="s">
        <v>7005</v>
      </c>
      <c r="B292" s="642" t="s">
        <v>2885</v>
      </c>
      <c r="C292" s="4" t="s">
        <v>10909</v>
      </c>
      <c r="D292" s="646">
        <v>6421</v>
      </c>
      <c r="E292" s="646">
        <v>6281</v>
      </c>
      <c r="F292" s="646">
        <v>6394</v>
      </c>
      <c r="G292" s="646">
        <v>6388</v>
      </c>
      <c r="H292" s="48">
        <v>6057</v>
      </c>
      <c r="I292" s="48">
        <v>6055</v>
      </c>
      <c r="J292" s="48">
        <v>5839</v>
      </c>
      <c r="K292" s="48">
        <v>6036</v>
      </c>
      <c r="L292" s="48">
        <v>5883</v>
      </c>
      <c r="M292" s="643"/>
      <c r="N292" s="642" t="s">
        <v>1486</v>
      </c>
      <c r="O292" s="4"/>
      <c r="Q292" s="4"/>
      <c r="R292" s="643"/>
      <c r="S292" s="643"/>
    </row>
    <row r="293" spans="1:19">
      <c r="A293" s="642" t="s">
        <v>7007</v>
      </c>
      <c r="B293" s="642" t="s">
        <v>6715</v>
      </c>
      <c r="C293" s="4" t="s">
        <v>10910</v>
      </c>
      <c r="D293" s="646">
        <v>6244</v>
      </c>
      <c r="E293" s="646">
        <v>6232</v>
      </c>
      <c r="F293" s="646">
        <v>6534</v>
      </c>
      <c r="G293" s="646">
        <v>6509</v>
      </c>
      <c r="H293" s="48">
        <v>5855</v>
      </c>
      <c r="I293" s="48">
        <v>6060</v>
      </c>
      <c r="J293" s="48">
        <v>5972</v>
      </c>
      <c r="K293" s="48">
        <v>6308</v>
      </c>
      <c r="L293" s="48">
        <v>6168</v>
      </c>
      <c r="M293" s="643"/>
      <c r="N293" s="642" t="s">
        <v>1486</v>
      </c>
      <c r="O293" s="4"/>
      <c r="Q293" s="4"/>
      <c r="R293" s="643"/>
      <c r="S293" s="643"/>
    </row>
    <row r="294" spans="1:19">
      <c r="A294" s="642" t="s">
        <v>7009</v>
      </c>
      <c r="B294" s="642" t="s">
        <v>6716</v>
      </c>
      <c r="C294" s="4" t="s">
        <v>10911</v>
      </c>
      <c r="D294" s="646">
        <v>4393</v>
      </c>
      <c r="E294" s="646">
        <v>4361</v>
      </c>
      <c r="F294" s="646">
        <v>4431</v>
      </c>
      <c r="G294" s="646">
        <v>4489</v>
      </c>
      <c r="H294" s="48">
        <v>4316</v>
      </c>
      <c r="I294" s="48">
        <v>4430</v>
      </c>
      <c r="J294" s="48">
        <v>4418</v>
      </c>
      <c r="K294" s="48">
        <v>4746</v>
      </c>
      <c r="L294" s="48">
        <v>4804</v>
      </c>
      <c r="M294" s="643"/>
      <c r="N294" s="642" t="s">
        <v>4891</v>
      </c>
      <c r="O294" s="4"/>
      <c r="Q294" s="4"/>
      <c r="R294" s="643"/>
      <c r="S294" s="643"/>
    </row>
    <row r="295" spans="1:19">
      <c r="A295" s="642" t="s">
        <v>7011</v>
      </c>
      <c r="B295" s="642" t="s">
        <v>1532</v>
      </c>
      <c r="C295" s="4" t="s">
        <v>10912</v>
      </c>
      <c r="D295" s="646">
        <v>3880</v>
      </c>
      <c r="E295" s="646">
        <v>3811</v>
      </c>
      <c r="F295" s="646">
        <v>3956</v>
      </c>
      <c r="G295" s="646">
        <v>3996</v>
      </c>
      <c r="H295" s="48">
        <v>3812</v>
      </c>
      <c r="I295" s="48">
        <v>3859</v>
      </c>
      <c r="J295" s="48">
        <v>3778</v>
      </c>
      <c r="K295" s="48">
        <v>4030</v>
      </c>
      <c r="L295" s="48">
        <v>4033</v>
      </c>
      <c r="M295" s="643"/>
      <c r="N295" s="642" t="s">
        <v>4891</v>
      </c>
      <c r="O295" s="4"/>
      <c r="Q295" s="4"/>
      <c r="R295" s="643"/>
      <c r="S295" s="643"/>
    </row>
    <row r="296" spans="1:19">
      <c r="A296" s="642" t="s">
        <v>7013</v>
      </c>
      <c r="B296" s="642" t="s">
        <v>8207</v>
      </c>
      <c r="C296" s="4" t="s">
        <v>10913</v>
      </c>
      <c r="D296" s="646">
        <v>4065</v>
      </c>
      <c r="E296" s="646">
        <v>4039</v>
      </c>
      <c r="F296" s="646">
        <v>4245</v>
      </c>
      <c r="G296" s="646">
        <v>4298</v>
      </c>
      <c r="H296" s="48">
        <v>3788</v>
      </c>
      <c r="I296" s="48">
        <v>4007</v>
      </c>
      <c r="J296" s="48">
        <v>4037</v>
      </c>
      <c r="K296" s="48">
        <v>4266</v>
      </c>
      <c r="L296" s="48">
        <v>4277</v>
      </c>
      <c r="M296" s="643"/>
      <c r="N296" s="642" t="s">
        <v>1486</v>
      </c>
      <c r="O296" s="4"/>
      <c r="Q296" s="4"/>
      <c r="R296" s="643"/>
      <c r="S296" s="643"/>
    </row>
    <row r="297" spans="1:19">
      <c r="A297" s="642" t="s">
        <v>7015</v>
      </c>
      <c r="B297" s="642" t="s">
        <v>1533</v>
      </c>
      <c r="C297" s="4" t="s">
        <v>10914</v>
      </c>
      <c r="D297" s="646">
        <v>5838</v>
      </c>
      <c r="E297" s="646">
        <v>5967</v>
      </c>
      <c r="F297" s="646">
        <v>6340</v>
      </c>
      <c r="G297" s="646">
        <v>6477</v>
      </c>
      <c r="H297" s="48">
        <v>5828</v>
      </c>
      <c r="I297" s="48">
        <v>5886</v>
      </c>
      <c r="J297" s="48">
        <v>5715</v>
      </c>
      <c r="K297" s="48">
        <v>6031</v>
      </c>
      <c r="L297" s="48">
        <v>6143</v>
      </c>
      <c r="M297" s="643"/>
      <c r="N297" s="642" t="s">
        <v>1486</v>
      </c>
      <c r="O297" s="4"/>
      <c r="Q297" s="4"/>
      <c r="R297" s="643"/>
      <c r="S297" s="643"/>
    </row>
    <row r="298" spans="1:19">
      <c r="A298" s="642" t="s">
        <v>7017</v>
      </c>
      <c r="B298" s="642" t="s">
        <v>7664</v>
      </c>
      <c r="C298" s="4" t="s">
        <v>10915</v>
      </c>
      <c r="D298" s="646">
        <v>1884</v>
      </c>
      <c r="E298" s="646">
        <v>1825</v>
      </c>
      <c r="F298" s="646">
        <v>1988</v>
      </c>
      <c r="G298" s="646">
        <v>1977</v>
      </c>
      <c r="H298" s="48">
        <v>1757</v>
      </c>
      <c r="I298" s="48">
        <v>1786</v>
      </c>
      <c r="J298" s="48">
        <v>1770</v>
      </c>
      <c r="K298" s="48">
        <v>1867</v>
      </c>
      <c r="L298" s="48">
        <v>1868</v>
      </c>
      <c r="M298" s="643"/>
      <c r="N298" s="642" t="s">
        <v>4891</v>
      </c>
      <c r="O298" s="4"/>
      <c r="Q298" s="4"/>
      <c r="R298" s="643"/>
      <c r="S298" s="643"/>
    </row>
    <row r="299" spans="1:19">
      <c r="A299" s="642" t="s">
        <v>7019</v>
      </c>
      <c r="B299" s="642" t="s">
        <v>1597</v>
      </c>
      <c r="C299" s="4" t="s">
        <v>13053</v>
      </c>
      <c r="D299" s="646">
        <v>1972</v>
      </c>
      <c r="E299" s="646">
        <v>1975</v>
      </c>
      <c r="F299" s="646">
        <v>2032</v>
      </c>
      <c r="G299" s="646">
        <v>2072</v>
      </c>
      <c r="H299" s="48">
        <v>1936</v>
      </c>
      <c r="I299" s="48">
        <v>1994</v>
      </c>
      <c r="J299" s="48">
        <v>1976</v>
      </c>
      <c r="K299" s="48">
        <v>2071</v>
      </c>
      <c r="L299" s="48">
        <v>2025</v>
      </c>
      <c r="M299" s="643"/>
      <c r="N299" s="642" t="s">
        <v>1486</v>
      </c>
      <c r="O299" s="4"/>
      <c r="Q299" s="4"/>
      <c r="R299" s="643"/>
      <c r="S299" s="643"/>
    </row>
    <row r="300" spans="1:19">
      <c r="A300" s="642" t="s">
        <v>7021</v>
      </c>
      <c r="B300" s="642" t="s">
        <v>1598</v>
      </c>
      <c r="C300" s="4" t="s">
        <v>10916</v>
      </c>
      <c r="D300" s="646">
        <v>5868</v>
      </c>
      <c r="E300" s="646">
        <v>5705</v>
      </c>
      <c r="F300" s="646">
        <v>5913</v>
      </c>
      <c r="G300" s="646">
        <v>6010</v>
      </c>
      <c r="H300" s="48">
        <v>5382</v>
      </c>
      <c r="I300" s="48">
        <v>5541</v>
      </c>
      <c r="J300" s="48">
        <v>5618</v>
      </c>
      <c r="K300" s="48">
        <v>6107</v>
      </c>
      <c r="L300" s="48">
        <v>6097</v>
      </c>
      <c r="M300" s="643"/>
      <c r="N300" s="642" t="s">
        <v>1486</v>
      </c>
      <c r="O300" s="4"/>
      <c r="Q300" s="4"/>
      <c r="R300" s="643"/>
      <c r="S300" s="643"/>
    </row>
    <row r="301" spans="1:19">
      <c r="A301" s="642" t="s">
        <v>7023</v>
      </c>
      <c r="B301" s="642" t="s">
        <v>7872</v>
      </c>
      <c r="C301" s="4" t="s">
        <v>10917</v>
      </c>
      <c r="D301" s="646">
        <v>5880</v>
      </c>
      <c r="E301" s="646">
        <v>5871</v>
      </c>
      <c r="F301" s="646">
        <v>5958</v>
      </c>
      <c r="G301" s="646">
        <v>6067</v>
      </c>
      <c r="H301" s="48">
        <v>5421</v>
      </c>
      <c r="I301" s="48">
        <v>5441</v>
      </c>
      <c r="J301" s="48">
        <v>5564</v>
      </c>
      <c r="K301" s="48">
        <v>5881</v>
      </c>
      <c r="L301" s="48">
        <v>5750</v>
      </c>
      <c r="M301" s="643"/>
      <c r="N301" s="642" t="s">
        <v>1486</v>
      </c>
      <c r="O301" s="4"/>
      <c r="Q301" s="4"/>
      <c r="R301" s="643"/>
      <c r="S301" s="643"/>
    </row>
    <row r="302" spans="1:19">
      <c r="A302" s="642" t="s">
        <v>7025</v>
      </c>
      <c r="B302" s="642" t="s">
        <v>1599</v>
      </c>
      <c r="C302" s="4" t="s">
        <v>10918</v>
      </c>
      <c r="D302" s="646">
        <v>1948</v>
      </c>
      <c r="E302" s="646">
        <v>1893</v>
      </c>
      <c r="F302" s="646">
        <v>1963</v>
      </c>
      <c r="G302" s="646">
        <v>1995</v>
      </c>
      <c r="H302" s="48">
        <v>1825</v>
      </c>
      <c r="I302" s="48">
        <v>1891</v>
      </c>
      <c r="J302" s="48">
        <v>1834</v>
      </c>
      <c r="K302" s="48">
        <v>1954</v>
      </c>
      <c r="L302" s="48">
        <v>1988</v>
      </c>
      <c r="M302" s="643"/>
      <c r="N302" s="642" t="s">
        <v>4891</v>
      </c>
      <c r="O302" s="4"/>
      <c r="Q302" s="4"/>
      <c r="R302" s="643"/>
      <c r="S302" s="643"/>
    </row>
    <row r="303" spans="1:19">
      <c r="A303" s="642" t="s">
        <v>7570</v>
      </c>
      <c r="B303" s="642" t="s">
        <v>1600</v>
      </c>
      <c r="C303" s="4" t="s">
        <v>10919</v>
      </c>
      <c r="D303" s="646">
        <v>3895</v>
      </c>
      <c r="E303" s="646">
        <v>4063</v>
      </c>
      <c r="F303" s="646">
        <v>4398</v>
      </c>
      <c r="G303" s="646">
        <v>4551</v>
      </c>
      <c r="H303" s="48">
        <v>4276</v>
      </c>
      <c r="I303" s="48">
        <v>4230</v>
      </c>
      <c r="J303" s="48">
        <v>4039</v>
      </c>
      <c r="K303" s="48">
        <v>4428</v>
      </c>
      <c r="L303" s="48">
        <v>4567</v>
      </c>
      <c r="M303" s="643"/>
      <c r="N303" s="642" t="s">
        <v>4891</v>
      </c>
      <c r="O303" s="4"/>
      <c r="Q303" s="4"/>
      <c r="R303" s="643"/>
      <c r="S303" s="643"/>
    </row>
    <row r="304" spans="1:19">
      <c r="A304" s="642" t="s">
        <v>7572</v>
      </c>
      <c r="B304" s="642" t="s">
        <v>1601</v>
      </c>
      <c r="C304" s="4" t="s">
        <v>10920</v>
      </c>
      <c r="D304" s="646">
        <v>6381</v>
      </c>
      <c r="E304" s="646">
        <v>6465</v>
      </c>
      <c r="F304" s="646">
        <v>6593</v>
      </c>
      <c r="G304" s="646">
        <v>6617</v>
      </c>
      <c r="H304" s="48">
        <v>5589</v>
      </c>
      <c r="I304" s="48">
        <v>5719</v>
      </c>
      <c r="J304" s="48">
        <v>5770</v>
      </c>
      <c r="K304" s="48">
        <v>6207</v>
      </c>
      <c r="L304" s="48">
        <v>6059</v>
      </c>
      <c r="M304" s="643"/>
      <c r="N304" s="642" t="s">
        <v>4891</v>
      </c>
      <c r="O304" s="4"/>
      <c r="Q304" s="4"/>
      <c r="R304" s="643"/>
      <c r="S304" s="643"/>
    </row>
    <row r="305" spans="1:19">
      <c r="A305" s="642" t="s">
        <v>7573</v>
      </c>
      <c r="B305" s="642" t="s">
        <v>1602</v>
      </c>
      <c r="C305" s="4" t="s">
        <v>10921</v>
      </c>
      <c r="D305" s="646">
        <v>4363</v>
      </c>
      <c r="E305" s="646">
        <v>4381</v>
      </c>
      <c r="F305" s="646">
        <v>4471</v>
      </c>
      <c r="G305" s="646">
        <v>4524</v>
      </c>
      <c r="H305" s="48">
        <v>4109</v>
      </c>
      <c r="I305" s="48">
        <v>4120</v>
      </c>
      <c r="J305" s="48">
        <v>4019</v>
      </c>
      <c r="K305" s="48">
        <v>4243</v>
      </c>
      <c r="L305" s="48">
        <v>4004</v>
      </c>
      <c r="M305" s="643"/>
      <c r="N305" s="642" t="s">
        <v>4891</v>
      </c>
      <c r="O305" s="4"/>
      <c r="Q305" s="4"/>
      <c r="R305" s="643"/>
      <c r="S305" s="643"/>
    </row>
    <row r="306" spans="1:19">
      <c r="A306" s="642" t="s">
        <v>5798</v>
      </c>
      <c r="B306" s="642" t="s">
        <v>4070</v>
      </c>
      <c r="C306" s="4" t="s">
        <v>13054</v>
      </c>
      <c r="D306" s="646">
        <v>6160</v>
      </c>
      <c r="E306" s="646">
        <v>6100</v>
      </c>
      <c r="F306" s="646">
        <v>6403</v>
      </c>
      <c r="G306" s="646">
        <v>6571</v>
      </c>
      <c r="H306" s="48">
        <v>6495</v>
      </c>
      <c r="I306" s="48">
        <v>6525</v>
      </c>
      <c r="J306" s="48">
        <v>6464</v>
      </c>
      <c r="K306" s="48">
        <v>6804</v>
      </c>
      <c r="L306" s="48">
        <v>6705</v>
      </c>
      <c r="M306" s="643"/>
      <c r="N306" s="642" t="s">
        <v>1486</v>
      </c>
      <c r="O306" s="4"/>
      <c r="Q306" s="4"/>
      <c r="R306" s="643"/>
      <c r="S306" s="643"/>
    </row>
    <row r="307" spans="1:19">
      <c r="A307" s="642" t="s">
        <v>5799</v>
      </c>
      <c r="B307" s="642" t="s">
        <v>1603</v>
      </c>
      <c r="C307" s="4" t="s">
        <v>10922</v>
      </c>
      <c r="D307" s="646">
        <v>4423</v>
      </c>
      <c r="E307" s="646">
        <v>4307</v>
      </c>
      <c r="F307" s="646">
        <v>4605</v>
      </c>
      <c r="G307" s="646">
        <v>4658</v>
      </c>
      <c r="H307" s="48">
        <v>4472</v>
      </c>
      <c r="I307" s="48">
        <v>4514</v>
      </c>
      <c r="J307" s="48">
        <v>4330</v>
      </c>
      <c r="K307" s="48">
        <v>4617</v>
      </c>
      <c r="L307" s="48">
        <v>4537</v>
      </c>
      <c r="M307" s="643"/>
      <c r="N307" s="642" t="s">
        <v>1486</v>
      </c>
      <c r="O307" s="4"/>
      <c r="Q307" s="4"/>
      <c r="R307" s="643"/>
      <c r="S307" s="643"/>
    </row>
    <row r="308" spans="1:19">
      <c r="A308" s="642" t="s">
        <v>5801</v>
      </c>
      <c r="B308" s="642" t="s">
        <v>1604</v>
      </c>
      <c r="C308" s="4" t="s">
        <v>10923</v>
      </c>
      <c r="D308" s="646">
        <v>2160</v>
      </c>
      <c r="E308" s="646">
        <v>2018</v>
      </c>
      <c r="F308" s="646">
        <v>2162</v>
      </c>
      <c r="G308" s="646">
        <v>2153</v>
      </c>
      <c r="H308" s="48">
        <v>1930</v>
      </c>
      <c r="I308" s="48">
        <v>1967</v>
      </c>
      <c r="J308" s="48">
        <v>2004</v>
      </c>
      <c r="K308" s="48">
        <v>2142</v>
      </c>
      <c r="L308" s="48">
        <v>2144</v>
      </c>
      <c r="M308" s="643"/>
      <c r="N308" s="642" t="s">
        <v>4891</v>
      </c>
      <c r="O308" s="4"/>
      <c r="Q308" s="4"/>
      <c r="R308" s="643"/>
      <c r="S308" s="643"/>
    </row>
    <row r="309" spans="1:19">
      <c r="A309" s="643"/>
      <c r="B309" s="643"/>
      <c r="C309" s="643"/>
      <c r="D309" s="652"/>
      <c r="E309" s="652"/>
      <c r="F309" s="652"/>
      <c r="G309" s="652"/>
      <c r="H309" s="652"/>
      <c r="I309" s="652"/>
      <c r="J309" s="652"/>
      <c r="K309" s="652"/>
      <c r="L309" s="652"/>
      <c r="M309" s="643"/>
      <c r="N309" s="643"/>
      <c r="S309" s="643"/>
    </row>
    <row r="310" spans="1:19">
      <c r="A310" s="642" t="s">
        <v>1605</v>
      </c>
      <c r="C310" s="643"/>
      <c r="D310" s="646">
        <f t="shared" ref="D310:I310" si="216">SUM(D285:D287)+D290+D291+D294+D295+D298+SUM(D302:D305)+D308</f>
        <v>48637</v>
      </c>
      <c r="E310" s="646">
        <f t="shared" si="216"/>
        <v>48053</v>
      </c>
      <c r="F310" s="646">
        <f t="shared" si="216"/>
        <v>49810</v>
      </c>
      <c r="G310" s="646">
        <f t="shared" si="216"/>
        <v>50257</v>
      </c>
      <c r="H310" s="646">
        <f t="shared" si="216"/>
        <v>46199</v>
      </c>
      <c r="I310" s="646">
        <f t="shared" si="216"/>
        <v>46914</v>
      </c>
      <c r="J310" s="646">
        <f t="shared" ref="J310:K310" si="217">SUM(J285:J287)+J290+J291+J294+J295+J298+SUM(J302:J305)+J308</f>
        <v>46260</v>
      </c>
      <c r="K310" s="646">
        <f t="shared" si="217"/>
        <v>49226</v>
      </c>
      <c r="L310" s="646">
        <f t="shared" ref="L310" si="218">SUM(L285:L287)+L290+L291+L294+L295+L298+SUM(L302:L305)+L308</f>
        <v>48770</v>
      </c>
      <c r="M310" s="643"/>
      <c r="N310" s="643"/>
      <c r="S310" s="643"/>
    </row>
    <row r="311" spans="1:19">
      <c r="A311" s="642" t="s">
        <v>1606</v>
      </c>
      <c r="C311" s="643"/>
      <c r="D311" s="646">
        <f t="shared" ref="D311:I311" si="219">D283+D284+D288+D289+D292+D293+D296+D297+SUM(D299:D301)+D306+D307</f>
        <v>64380</v>
      </c>
      <c r="E311" s="646">
        <f t="shared" si="219"/>
        <v>63769</v>
      </c>
      <c r="F311" s="646">
        <f t="shared" si="219"/>
        <v>66139</v>
      </c>
      <c r="G311" s="646">
        <f t="shared" si="219"/>
        <v>66883</v>
      </c>
      <c r="H311" s="646">
        <f t="shared" si="219"/>
        <v>61860</v>
      </c>
      <c r="I311" s="646">
        <f t="shared" si="219"/>
        <v>62957</v>
      </c>
      <c r="J311" s="646">
        <f t="shared" ref="J311:K311" si="220">J283+J284+J288+J289+J292+J293+J296+J297+SUM(J299:J301)+J306+J307</f>
        <v>62172</v>
      </c>
      <c r="K311" s="646">
        <f t="shared" si="220"/>
        <v>65786</v>
      </c>
      <c r="L311" s="646">
        <f t="shared" ref="L311" si="221">L283+L284+L288+L289+L292+L293+L296+L297+SUM(L299:L301)+L306+L307</f>
        <v>65060</v>
      </c>
      <c r="M311" s="643"/>
      <c r="N311" s="643"/>
      <c r="S311" s="643"/>
    </row>
    <row r="312" spans="1:19">
      <c r="A312" s="642"/>
      <c r="B312" s="642"/>
      <c r="C312" s="643"/>
      <c r="D312" s="646"/>
      <c r="E312" s="646"/>
      <c r="F312" s="646"/>
      <c r="G312" s="646"/>
      <c r="H312" s="646"/>
      <c r="I312" s="646"/>
      <c r="J312" s="646"/>
      <c r="K312" s="646"/>
      <c r="L312" s="646"/>
      <c r="M312" s="643"/>
      <c r="N312" s="643"/>
      <c r="S312" s="643"/>
    </row>
    <row r="313" spans="1:19">
      <c r="A313" s="645" t="s">
        <v>13050</v>
      </c>
      <c r="C313" s="643"/>
      <c r="M313" s="643"/>
      <c r="N313" s="643"/>
      <c r="S313" s="643"/>
    </row>
    <row r="314" spans="1:19">
      <c r="A314" s="645" t="s">
        <v>13051</v>
      </c>
      <c r="B314" s="642"/>
      <c r="C314" s="643"/>
      <c r="D314" s="658"/>
      <c r="E314" s="658"/>
      <c r="F314" s="658"/>
      <c r="G314" s="658"/>
      <c r="H314" s="658"/>
      <c r="I314" s="658"/>
      <c r="J314" s="658"/>
      <c r="K314" s="658"/>
      <c r="L314" s="658"/>
      <c r="M314" s="643"/>
      <c r="N314" s="643"/>
      <c r="S314" s="643"/>
    </row>
    <row r="315" spans="1:19">
      <c r="A315" s="642"/>
      <c r="B315" s="642"/>
      <c r="C315" s="643"/>
      <c r="D315" s="658"/>
      <c r="E315" s="658"/>
      <c r="F315" s="658"/>
      <c r="G315" s="658"/>
      <c r="H315" s="658"/>
      <c r="I315" s="658"/>
      <c r="J315" s="658"/>
      <c r="K315" s="658"/>
      <c r="L315" s="658"/>
      <c r="M315" s="643"/>
      <c r="N315" s="643"/>
      <c r="S315" s="643"/>
    </row>
    <row r="316" spans="1:19">
      <c r="A316" s="642"/>
      <c r="B316" s="642"/>
      <c r="C316" s="643"/>
      <c r="D316" s="658"/>
      <c r="E316" s="658"/>
      <c r="F316" s="658"/>
      <c r="G316" s="658"/>
      <c r="H316" s="658"/>
      <c r="I316" s="658"/>
      <c r="J316" s="658"/>
      <c r="K316" s="658"/>
      <c r="L316" s="658"/>
      <c r="M316" s="643"/>
      <c r="N316" s="643"/>
      <c r="S316" s="643"/>
    </row>
    <row r="317" spans="1:19">
      <c r="A317" s="643"/>
      <c r="B317" s="643"/>
      <c r="C317" s="643"/>
      <c r="E317" s="42" t="s">
        <v>2303</v>
      </c>
      <c r="F317" s="42"/>
      <c r="G317" s="42"/>
      <c r="H317" s="42"/>
      <c r="I317" s="42"/>
      <c r="J317" s="42"/>
      <c r="K317" s="42"/>
      <c r="L317" s="42"/>
      <c r="M317" s="65"/>
      <c r="N317" s="66" t="s">
        <v>13319</v>
      </c>
      <c r="S317" s="643"/>
    </row>
    <row r="318" spans="1:19">
      <c r="A318" s="643"/>
      <c r="B318" s="643"/>
      <c r="C318" s="643"/>
      <c r="D318" s="55">
        <v>2010</v>
      </c>
      <c r="E318" s="55">
        <v>2011</v>
      </c>
      <c r="F318" s="55">
        <v>2012</v>
      </c>
      <c r="G318" s="55">
        <v>2013</v>
      </c>
      <c r="H318" s="55">
        <v>2014</v>
      </c>
      <c r="I318" s="55">
        <v>2015</v>
      </c>
      <c r="J318" s="55">
        <v>2016</v>
      </c>
      <c r="K318" s="55">
        <v>2017</v>
      </c>
      <c r="L318" s="55">
        <v>2018</v>
      </c>
      <c r="M318" s="643"/>
      <c r="N318" s="67" t="s">
        <v>2304</v>
      </c>
      <c r="S318" s="643"/>
    </row>
    <row r="319" spans="1:19">
      <c r="A319" s="642" t="s">
        <v>6787</v>
      </c>
      <c r="C319" s="643"/>
      <c r="D319" s="646">
        <f t="shared" ref="D319:I319" si="222">SUM(D320:D345)</f>
        <v>86849</v>
      </c>
      <c r="E319" s="646">
        <f t="shared" si="222"/>
        <v>86547</v>
      </c>
      <c r="F319" s="646">
        <f t="shared" si="222"/>
        <v>87289</v>
      </c>
      <c r="G319" s="646">
        <f t="shared" si="222"/>
        <v>87556</v>
      </c>
      <c r="H319" s="646">
        <f t="shared" si="222"/>
        <v>85648</v>
      </c>
      <c r="I319" s="646">
        <f t="shared" si="222"/>
        <v>85835</v>
      </c>
      <c r="J319" s="646">
        <f t="shared" ref="J319:K319" si="223">SUM(J320:J345)</f>
        <v>85867</v>
      </c>
      <c r="K319" s="646">
        <f t="shared" si="223"/>
        <v>87056</v>
      </c>
      <c r="L319" s="646">
        <f t="shared" ref="L319" si="224">SUM(L320:L345)</f>
        <v>87537</v>
      </c>
      <c r="M319" s="643"/>
      <c r="N319" s="643"/>
      <c r="S319" s="643"/>
    </row>
    <row r="320" spans="1:19">
      <c r="A320" s="642" t="s">
        <v>6957</v>
      </c>
      <c r="B320" s="642" t="s">
        <v>12836</v>
      </c>
      <c r="C320" s="4" t="s">
        <v>14256</v>
      </c>
      <c r="D320" s="646">
        <v>4691</v>
      </c>
      <c r="E320" s="646">
        <v>4631</v>
      </c>
      <c r="F320" s="646">
        <v>4607</v>
      </c>
      <c r="G320" s="48">
        <v>4623</v>
      </c>
      <c r="H320" s="48">
        <v>4531</v>
      </c>
      <c r="I320" s="30">
        <v>4535</v>
      </c>
      <c r="J320" s="30">
        <v>4513</v>
      </c>
      <c r="K320" s="30">
        <v>4568</v>
      </c>
      <c r="L320" s="30">
        <v>4581</v>
      </c>
      <c r="M320" s="643"/>
      <c r="N320" s="642" t="s">
        <v>1491</v>
      </c>
      <c r="O320" s="4"/>
      <c r="Q320" s="4"/>
      <c r="R320" s="643"/>
      <c r="S320" s="643"/>
    </row>
    <row r="321" spans="1:19">
      <c r="A321" s="642" t="s">
        <v>6959</v>
      </c>
      <c r="B321" s="642" t="s">
        <v>5031</v>
      </c>
      <c r="C321" s="4" t="s">
        <v>14257</v>
      </c>
      <c r="D321" s="646">
        <v>4821</v>
      </c>
      <c r="E321" s="646">
        <v>4856</v>
      </c>
      <c r="F321" s="646">
        <v>4918</v>
      </c>
      <c r="G321" s="48">
        <v>4935</v>
      </c>
      <c r="H321" s="48">
        <v>4880</v>
      </c>
      <c r="I321" s="30">
        <v>4825</v>
      </c>
      <c r="J321" s="30">
        <v>4861</v>
      </c>
      <c r="K321" s="30">
        <v>4885</v>
      </c>
      <c r="L321" s="30">
        <v>4840</v>
      </c>
      <c r="M321" s="643"/>
      <c r="N321" s="642" t="s">
        <v>1491</v>
      </c>
      <c r="O321" s="4"/>
      <c r="Q321" s="4"/>
      <c r="R321" s="643"/>
      <c r="S321" s="643"/>
    </row>
    <row r="322" spans="1:19">
      <c r="A322" s="642" t="s">
        <v>6961</v>
      </c>
      <c r="B322" s="642" t="s">
        <v>4628</v>
      </c>
      <c r="C322" s="4" t="s">
        <v>10924</v>
      </c>
      <c r="D322" s="646">
        <v>1560</v>
      </c>
      <c r="E322" s="646">
        <v>1568</v>
      </c>
      <c r="F322" s="646">
        <v>1580</v>
      </c>
      <c r="G322" s="48">
        <v>1558</v>
      </c>
      <c r="H322" s="48">
        <v>1559</v>
      </c>
      <c r="I322" s="31">
        <v>1558</v>
      </c>
      <c r="J322" s="31">
        <v>1561</v>
      </c>
      <c r="K322" s="31">
        <v>1602</v>
      </c>
      <c r="L322" s="31">
        <v>1595</v>
      </c>
      <c r="M322" s="643"/>
      <c r="N322" s="642" t="s">
        <v>1494</v>
      </c>
      <c r="O322" s="4"/>
      <c r="Q322" s="4"/>
      <c r="R322" s="643"/>
      <c r="S322" s="643"/>
    </row>
    <row r="323" spans="1:19">
      <c r="A323" s="642" t="s">
        <v>6963</v>
      </c>
      <c r="B323" s="642" t="s">
        <v>4629</v>
      </c>
      <c r="C323" s="4" t="s">
        <v>10925</v>
      </c>
      <c r="D323" s="646">
        <v>1508</v>
      </c>
      <c r="E323" s="646">
        <v>1500</v>
      </c>
      <c r="F323" s="646">
        <v>1513</v>
      </c>
      <c r="G323" s="48">
        <v>1519</v>
      </c>
      <c r="H323" s="48">
        <v>1516</v>
      </c>
      <c r="I323" s="30">
        <v>1528</v>
      </c>
      <c r="J323" s="30">
        <v>1513</v>
      </c>
      <c r="K323" s="30">
        <v>1539</v>
      </c>
      <c r="L323" s="30">
        <v>1537</v>
      </c>
      <c r="M323" s="643"/>
      <c r="N323" s="642" t="s">
        <v>1491</v>
      </c>
      <c r="O323" s="4"/>
      <c r="Q323" s="4"/>
      <c r="R323" s="643"/>
      <c r="S323" s="643"/>
    </row>
    <row r="324" spans="1:19">
      <c r="A324" s="642" t="s">
        <v>6965</v>
      </c>
      <c r="B324" s="642" t="s">
        <v>4630</v>
      </c>
      <c r="C324" s="4" t="s">
        <v>10926</v>
      </c>
      <c r="D324" s="646">
        <v>3478</v>
      </c>
      <c r="E324" s="646">
        <v>3461</v>
      </c>
      <c r="F324" s="646">
        <v>3448</v>
      </c>
      <c r="G324" s="48">
        <v>3442</v>
      </c>
      <c r="H324" s="48">
        <v>3465</v>
      </c>
      <c r="I324" s="30">
        <v>3477</v>
      </c>
      <c r="J324" s="30">
        <v>3589</v>
      </c>
      <c r="K324" s="30">
        <v>3795</v>
      </c>
      <c r="L324" s="30">
        <v>3819</v>
      </c>
      <c r="M324" s="643"/>
      <c r="N324" s="642" t="s">
        <v>1491</v>
      </c>
      <c r="O324" s="4"/>
      <c r="Q324" s="4"/>
      <c r="R324" s="643"/>
      <c r="S324" s="643"/>
    </row>
    <row r="325" spans="1:19">
      <c r="A325" s="642" t="s">
        <v>6997</v>
      </c>
      <c r="B325" s="642" t="s">
        <v>4631</v>
      </c>
      <c r="C325" s="4" t="s">
        <v>10927</v>
      </c>
      <c r="D325" s="646">
        <v>3516</v>
      </c>
      <c r="E325" s="646">
        <v>3482</v>
      </c>
      <c r="F325" s="646">
        <v>3544</v>
      </c>
      <c r="G325" s="48">
        <v>3635</v>
      </c>
      <c r="H325" s="48">
        <v>3611</v>
      </c>
      <c r="I325" s="31">
        <v>3654</v>
      </c>
      <c r="J325" s="31">
        <v>3616</v>
      </c>
      <c r="K325" s="31">
        <v>3604</v>
      </c>
      <c r="L325" s="31">
        <v>3631</v>
      </c>
      <c r="M325" s="643"/>
      <c r="N325" s="642" t="s">
        <v>1494</v>
      </c>
      <c r="O325" s="4"/>
      <c r="Q325" s="4"/>
      <c r="R325" s="643"/>
      <c r="S325" s="643"/>
    </row>
    <row r="326" spans="1:19">
      <c r="A326" s="642" t="s">
        <v>6999</v>
      </c>
      <c r="B326" s="642" t="s">
        <v>4632</v>
      </c>
      <c r="C326" s="4" t="s">
        <v>10928</v>
      </c>
      <c r="D326" s="646">
        <v>3133</v>
      </c>
      <c r="E326" s="646">
        <v>3135</v>
      </c>
      <c r="F326" s="646">
        <v>3147</v>
      </c>
      <c r="G326" s="48">
        <v>3161</v>
      </c>
      <c r="H326" s="48">
        <v>3077</v>
      </c>
      <c r="I326" s="31">
        <v>3096</v>
      </c>
      <c r="J326" s="31">
        <v>3015</v>
      </c>
      <c r="K326" s="31">
        <v>3069</v>
      </c>
      <c r="L326" s="31">
        <v>3117</v>
      </c>
      <c r="M326" s="643"/>
      <c r="N326" s="642" t="s">
        <v>1494</v>
      </c>
      <c r="O326" s="4"/>
      <c r="Q326" s="4"/>
      <c r="R326" s="643"/>
      <c r="S326" s="643"/>
    </row>
    <row r="327" spans="1:19">
      <c r="A327" s="642" t="s">
        <v>7001</v>
      </c>
      <c r="B327" s="642" t="s">
        <v>7858</v>
      </c>
      <c r="C327" s="4" t="s">
        <v>14258</v>
      </c>
      <c r="D327" s="646">
        <v>1477</v>
      </c>
      <c r="E327" s="646">
        <v>1448</v>
      </c>
      <c r="F327" s="646">
        <v>1423</v>
      </c>
      <c r="G327" s="48">
        <v>1446</v>
      </c>
      <c r="H327" s="48">
        <v>1434</v>
      </c>
      <c r="I327" s="30">
        <v>1449</v>
      </c>
      <c r="J327" s="30">
        <v>1498</v>
      </c>
      <c r="K327" s="30">
        <v>1503</v>
      </c>
      <c r="L327" s="30">
        <v>1508</v>
      </c>
      <c r="M327" s="643"/>
      <c r="N327" s="642" t="s">
        <v>1491</v>
      </c>
      <c r="O327" s="4"/>
      <c r="Q327" s="4"/>
      <c r="R327" s="643"/>
      <c r="S327" s="643"/>
    </row>
    <row r="328" spans="1:19">
      <c r="A328" s="642" t="s">
        <v>7003</v>
      </c>
      <c r="B328" s="642" t="s">
        <v>2904</v>
      </c>
      <c r="C328" s="4" t="s">
        <v>10929</v>
      </c>
      <c r="D328" s="646">
        <v>3540</v>
      </c>
      <c r="E328" s="646">
        <v>3650</v>
      </c>
      <c r="F328" s="646">
        <v>3774</v>
      </c>
      <c r="G328" s="48">
        <v>3815</v>
      </c>
      <c r="H328" s="48">
        <v>3685</v>
      </c>
      <c r="I328" s="30">
        <v>3681</v>
      </c>
      <c r="J328" s="30">
        <v>3724</v>
      </c>
      <c r="K328" s="30">
        <v>3763</v>
      </c>
      <c r="L328" s="30">
        <v>3817</v>
      </c>
      <c r="M328" s="643"/>
      <c r="N328" s="642" t="s">
        <v>1491</v>
      </c>
      <c r="O328" s="4"/>
      <c r="Q328" s="4"/>
      <c r="R328" s="643"/>
      <c r="S328" s="643"/>
    </row>
    <row r="329" spans="1:19">
      <c r="A329" s="642" t="s">
        <v>7005</v>
      </c>
      <c r="B329" s="642" t="s">
        <v>2905</v>
      </c>
      <c r="C329" s="4" t="s">
        <v>10930</v>
      </c>
      <c r="D329" s="653">
        <v>4856</v>
      </c>
      <c r="E329" s="653">
        <v>4776</v>
      </c>
      <c r="F329" s="653">
        <v>4840</v>
      </c>
      <c r="G329" s="48">
        <v>4831</v>
      </c>
      <c r="H329" s="48">
        <v>4753</v>
      </c>
      <c r="I329" s="30">
        <v>4770</v>
      </c>
      <c r="J329" s="30">
        <v>4801</v>
      </c>
      <c r="K329" s="30">
        <v>4951</v>
      </c>
      <c r="L329" s="30">
        <v>4946</v>
      </c>
      <c r="M329" s="643"/>
      <c r="N329" s="642" t="s">
        <v>1491</v>
      </c>
      <c r="O329" s="4"/>
      <c r="Q329" s="4"/>
      <c r="R329" s="643"/>
      <c r="S329" s="643"/>
    </row>
    <row r="330" spans="1:19">
      <c r="A330" s="642" t="s">
        <v>7007</v>
      </c>
      <c r="B330" s="642" t="s">
        <v>2906</v>
      </c>
      <c r="C330" s="4" t="s">
        <v>10931</v>
      </c>
      <c r="D330" s="646">
        <v>2737</v>
      </c>
      <c r="E330" s="646">
        <v>2742</v>
      </c>
      <c r="F330" s="646">
        <v>2751</v>
      </c>
      <c r="G330" s="48">
        <v>2728</v>
      </c>
      <c r="H330" s="48">
        <v>2721</v>
      </c>
      <c r="I330" s="30">
        <v>2706</v>
      </c>
      <c r="J330" s="30">
        <v>2675</v>
      </c>
      <c r="K330" s="30">
        <v>2649</v>
      </c>
      <c r="L330" s="30">
        <v>2688</v>
      </c>
      <c r="M330" s="643"/>
      <c r="N330" s="642" t="s">
        <v>1491</v>
      </c>
      <c r="O330" s="4"/>
      <c r="Q330" s="4"/>
      <c r="R330" s="643"/>
      <c r="S330" s="643"/>
    </row>
    <row r="331" spans="1:19">
      <c r="A331" s="642" t="s">
        <v>7009</v>
      </c>
      <c r="B331" s="642" t="s">
        <v>2907</v>
      </c>
      <c r="C331" s="4" t="s">
        <v>14259</v>
      </c>
      <c r="D331" s="653">
        <v>4909</v>
      </c>
      <c r="E331" s="653">
        <v>4784</v>
      </c>
      <c r="F331" s="653">
        <v>4827</v>
      </c>
      <c r="G331" s="48">
        <v>4845</v>
      </c>
      <c r="H331" s="48">
        <v>4768</v>
      </c>
      <c r="I331" s="30">
        <v>4758</v>
      </c>
      <c r="J331" s="30">
        <v>4731</v>
      </c>
      <c r="K331" s="30">
        <v>4794</v>
      </c>
      <c r="L331" s="30">
        <v>4831</v>
      </c>
      <c r="M331" s="643"/>
      <c r="N331" s="642" t="s">
        <v>2288</v>
      </c>
      <c r="O331" s="4"/>
      <c r="Q331" s="4"/>
      <c r="R331" s="643"/>
      <c r="S331" s="643"/>
    </row>
    <row r="332" spans="1:19">
      <c r="A332" s="642" t="s">
        <v>7011</v>
      </c>
      <c r="B332" s="642" t="s">
        <v>3366</v>
      </c>
      <c r="C332" s="4" t="s">
        <v>14260</v>
      </c>
      <c r="D332" s="646">
        <v>3377</v>
      </c>
      <c r="E332" s="646">
        <v>3374</v>
      </c>
      <c r="F332" s="646">
        <v>3422</v>
      </c>
      <c r="G332" s="48">
        <v>3407</v>
      </c>
      <c r="H332" s="48">
        <v>3242</v>
      </c>
      <c r="I332" s="30">
        <v>3281</v>
      </c>
      <c r="J332" s="30">
        <v>3287</v>
      </c>
      <c r="K332" s="30">
        <v>3267</v>
      </c>
      <c r="L332" s="30">
        <v>3291</v>
      </c>
      <c r="M332" s="643"/>
      <c r="N332" s="642" t="s">
        <v>1491</v>
      </c>
      <c r="O332" s="4"/>
      <c r="Q332" s="4"/>
      <c r="R332" s="643"/>
      <c r="S332" s="643"/>
    </row>
    <row r="333" spans="1:19">
      <c r="A333" s="642" t="s">
        <v>7013</v>
      </c>
      <c r="B333" s="642" t="s">
        <v>3367</v>
      </c>
      <c r="C333" s="4" t="s">
        <v>10932</v>
      </c>
      <c r="D333" s="646">
        <v>3221</v>
      </c>
      <c r="E333" s="646">
        <v>3223</v>
      </c>
      <c r="F333" s="646">
        <v>3272</v>
      </c>
      <c r="G333" s="48">
        <v>3292</v>
      </c>
      <c r="H333" s="48">
        <v>3200</v>
      </c>
      <c r="I333" s="30">
        <v>3231</v>
      </c>
      <c r="J333" s="30">
        <v>3241</v>
      </c>
      <c r="K333" s="30">
        <v>3240</v>
      </c>
      <c r="L333" s="30">
        <v>3214</v>
      </c>
      <c r="M333" s="643"/>
      <c r="N333" s="642" t="s">
        <v>1491</v>
      </c>
      <c r="O333" s="4"/>
      <c r="Q333" s="4"/>
      <c r="R333" s="643"/>
      <c r="S333" s="643"/>
    </row>
    <row r="334" spans="1:19">
      <c r="A334" s="642" t="s">
        <v>7015</v>
      </c>
      <c r="B334" s="642" t="s">
        <v>3368</v>
      </c>
      <c r="C334" s="4" t="s">
        <v>14261</v>
      </c>
      <c r="D334" s="646">
        <v>1737</v>
      </c>
      <c r="E334" s="646">
        <v>1731</v>
      </c>
      <c r="F334" s="646">
        <v>1716</v>
      </c>
      <c r="G334" s="48">
        <v>1726</v>
      </c>
      <c r="H334" s="48">
        <v>1669</v>
      </c>
      <c r="I334" s="31">
        <v>1681</v>
      </c>
      <c r="J334" s="31">
        <v>1690</v>
      </c>
      <c r="K334" s="31">
        <v>1711</v>
      </c>
      <c r="L334" s="31">
        <v>1779</v>
      </c>
      <c r="M334" s="643"/>
      <c r="N334" s="642" t="s">
        <v>1494</v>
      </c>
      <c r="O334" s="4"/>
      <c r="Q334" s="4"/>
      <c r="R334" s="643"/>
      <c r="S334" s="643"/>
    </row>
    <row r="335" spans="1:19">
      <c r="A335" s="642" t="s">
        <v>7017</v>
      </c>
      <c r="B335" s="642" t="s">
        <v>6796</v>
      </c>
      <c r="C335" s="4" t="s">
        <v>14262</v>
      </c>
      <c r="D335" s="646">
        <v>3491</v>
      </c>
      <c r="E335" s="646">
        <v>3506</v>
      </c>
      <c r="F335" s="646">
        <v>3505</v>
      </c>
      <c r="G335" s="48">
        <v>3519</v>
      </c>
      <c r="H335" s="48">
        <v>3497</v>
      </c>
      <c r="I335" s="30">
        <v>3504</v>
      </c>
      <c r="J335" s="30">
        <v>3485</v>
      </c>
      <c r="K335" s="30">
        <v>3507</v>
      </c>
      <c r="L335" s="30">
        <v>3513</v>
      </c>
      <c r="M335" s="643"/>
      <c r="N335" s="642" t="s">
        <v>1491</v>
      </c>
      <c r="O335" s="4"/>
      <c r="Q335" s="4"/>
      <c r="R335" s="643"/>
      <c r="S335" s="643"/>
    </row>
    <row r="336" spans="1:19">
      <c r="A336" s="642" t="s">
        <v>7019</v>
      </c>
      <c r="B336" s="642" t="s">
        <v>6797</v>
      </c>
      <c r="C336" s="4" t="s">
        <v>14263</v>
      </c>
      <c r="D336" s="646">
        <v>1915</v>
      </c>
      <c r="E336" s="646">
        <v>1922</v>
      </c>
      <c r="F336" s="646">
        <v>1942</v>
      </c>
      <c r="G336" s="48">
        <v>1942</v>
      </c>
      <c r="H336" s="48">
        <v>1893</v>
      </c>
      <c r="I336" s="31">
        <v>1930</v>
      </c>
      <c r="J336" s="31">
        <v>1966</v>
      </c>
      <c r="K336" s="31">
        <v>1987</v>
      </c>
      <c r="L336" s="31">
        <v>1964</v>
      </c>
      <c r="M336" s="643"/>
      <c r="N336" s="642" t="s">
        <v>1494</v>
      </c>
      <c r="O336" s="4"/>
      <c r="Q336" s="4"/>
      <c r="R336" s="643"/>
      <c r="S336" s="643"/>
    </row>
    <row r="337" spans="1:19">
      <c r="A337" s="642" t="s">
        <v>7021</v>
      </c>
      <c r="B337" s="642" t="s">
        <v>6798</v>
      </c>
      <c r="C337" s="4" t="s">
        <v>10933</v>
      </c>
      <c r="D337" s="646">
        <v>3162</v>
      </c>
      <c r="E337" s="646">
        <v>3130</v>
      </c>
      <c r="F337" s="646">
        <v>3129</v>
      </c>
      <c r="G337" s="48">
        <v>3141</v>
      </c>
      <c r="H337" s="48">
        <v>3064</v>
      </c>
      <c r="I337" s="30">
        <v>3078</v>
      </c>
      <c r="J337" s="30">
        <v>3045</v>
      </c>
      <c r="K337" s="30">
        <v>3123</v>
      </c>
      <c r="L337" s="30">
        <v>3109</v>
      </c>
      <c r="M337" s="643"/>
      <c r="N337" s="642" t="s">
        <v>1491</v>
      </c>
      <c r="O337" s="4"/>
      <c r="Q337" s="4"/>
      <c r="R337" s="643"/>
      <c r="S337" s="643"/>
    </row>
    <row r="338" spans="1:19">
      <c r="A338" s="642" t="s">
        <v>7023</v>
      </c>
      <c r="B338" s="642" t="s">
        <v>6799</v>
      </c>
      <c r="C338" s="4" t="s">
        <v>10934</v>
      </c>
      <c r="D338" s="646">
        <v>2955</v>
      </c>
      <c r="E338" s="646">
        <v>2955</v>
      </c>
      <c r="F338" s="646">
        <v>2923</v>
      </c>
      <c r="G338" s="48">
        <v>2955</v>
      </c>
      <c r="H338" s="48">
        <v>2888</v>
      </c>
      <c r="I338" s="30">
        <v>2896</v>
      </c>
      <c r="J338" s="30">
        <v>2924</v>
      </c>
      <c r="K338" s="30">
        <v>2943</v>
      </c>
      <c r="L338" s="30">
        <v>2905</v>
      </c>
      <c r="M338" s="643"/>
      <c r="N338" s="642" t="s">
        <v>1491</v>
      </c>
      <c r="O338" s="4"/>
      <c r="Q338" s="4"/>
      <c r="R338" s="643"/>
      <c r="S338" s="643"/>
    </row>
    <row r="339" spans="1:19">
      <c r="A339" s="642" t="s">
        <v>7025</v>
      </c>
      <c r="B339" s="642" t="s">
        <v>6800</v>
      </c>
      <c r="C339" s="4" t="s">
        <v>10935</v>
      </c>
      <c r="D339" s="646">
        <v>3571</v>
      </c>
      <c r="E339" s="646">
        <v>3546</v>
      </c>
      <c r="F339" s="646">
        <v>3551</v>
      </c>
      <c r="G339" s="48">
        <v>3566</v>
      </c>
      <c r="H339" s="48">
        <v>3510</v>
      </c>
      <c r="I339" s="30">
        <v>3511</v>
      </c>
      <c r="J339" s="30">
        <v>3561</v>
      </c>
      <c r="K339" s="30">
        <v>3612</v>
      </c>
      <c r="L339" s="30">
        <v>3618</v>
      </c>
      <c r="M339" s="643"/>
      <c r="N339" s="642" t="s">
        <v>1491</v>
      </c>
      <c r="O339" s="4"/>
      <c r="Q339" s="4"/>
      <c r="R339" s="643"/>
      <c r="S339" s="643"/>
    </row>
    <row r="340" spans="1:19">
      <c r="A340" s="642" t="s">
        <v>7570</v>
      </c>
      <c r="B340" s="642" t="s">
        <v>6801</v>
      </c>
      <c r="C340" s="4" t="s">
        <v>10936</v>
      </c>
      <c r="D340" s="646">
        <v>3110</v>
      </c>
      <c r="E340" s="646">
        <v>3102</v>
      </c>
      <c r="F340" s="646">
        <v>3129</v>
      </c>
      <c r="G340" s="48">
        <v>3133</v>
      </c>
      <c r="H340" s="48">
        <v>3045</v>
      </c>
      <c r="I340" s="31">
        <v>3049</v>
      </c>
      <c r="J340" s="31">
        <v>3030</v>
      </c>
      <c r="K340" s="31">
        <v>3074</v>
      </c>
      <c r="L340" s="31">
        <v>3084</v>
      </c>
      <c r="M340" s="643"/>
      <c r="N340" s="642" t="s">
        <v>1491</v>
      </c>
      <c r="O340" s="4"/>
      <c r="Q340" s="4"/>
      <c r="R340" s="643"/>
      <c r="S340" s="643"/>
    </row>
    <row r="341" spans="1:19">
      <c r="A341" s="642" t="s">
        <v>7572</v>
      </c>
      <c r="B341" s="642" t="s">
        <v>6802</v>
      </c>
      <c r="C341" s="4" t="s">
        <v>10937</v>
      </c>
      <c r="D341" s="646">
        <v>4542</v>
      </c>
      <c r="E341" s="646">
        <v>4526</v>
      </c>
      <c r="F341" s="646">
        <v>4577</v>
      </c>
      <c r="G341" s="48">
        <v>4576</v>
      </c>
      <c r="H341" s="48">
        <v>4396</v>
      </c>
      <c r="I341" s="31">
        <v>4413</v>
      </c>
      <c r="J341" s="31">
        <v>4351</v>
      </c>
      <c r="K341" s="31">
        <v>4436</v>
      </c>
      <c r="L341" s="31">
        <v>4556</v>
      </c>
      <c r="M341" s="643"/>
      <c r="N341" s="642" t="s">
        <v>1491</v>
      </c>
      <c r="O341" s="4"/>
      <c r="Q341" s="4"/>
      <c r="R341" s="643"/>
      <c r="S341" s="643"/>
    </row>
    <row r="342" spans="1:19">
      <c r="A342" s="642" t="s">
        <v>7573</v>
      </c>
      <c r="B342" s="642" t="s">
        <v>6803</v>
      </c>
      <c r="C342" s="4" t="s">
        <v>14264</v>
      </c>
      <c r="D342" s="646">
        <v>4399</v>
      </c>
      <c r="E342" s="646">
        <v>4379</v>
      </c>
      <c r="F342" s="646">
        <v>4463</v>
      </c>
      <c r="G342" s="48">
        <v>4457</v>
      </c>
      <c r="H342" s="48">
        <v>4370</v>
      </c>
      <c r="I342" s="31">
        <v>4361</v>
      </c>
      <c r="J342" s="31">
        <v>4299</v>
      </c>
      <c r="K342" s="31">
        <v>4379</v>
      </c>
      <c r="L342" s="31">
        <v>4451</v>
      </c>
      <c r="M342" s="643"/>
      <c r="N342" s="642" t="s">
        <v>1491</v>
      </c>
      <c r="O342" s="4"/>
      <c r="Q342" s="4"/>
      <c r="R342" s="643"/>
      <c r="S342" s="643"/>
    </row>
    <row r="343" spans="1:19">
      <c r="A343" s="642" t="s">
        <v>5798</v>
      </c>
      <c r="B343" s="642" t="s">
        <v>6804</v>
      </c>
      <c r="C343" s="4" t="s">
        <v>10938</v>
      </c>
      <c r="D343" s="646">
        <v>3181</v>
      </c>
      <c r="E343" s="646">
        <v>3153</v>
      </c>
      <c r="F343" s="646">
        <v>3159</v>
      </c>
      <c r="G343" s="48">
        <v>3165</v>
      </c>
      <c r="H343" s="48">
        <v>3005</v>
      </c>
      <c r="I343" s="31">
        <v>3029</v>
      </c>
      <c r="J343" s="31">
        <v>3004</v>
      </c>
      <c r="K343" s="31">
        <v>3068</v>
      </c>
      <c r="L343" s="31">
        <v>3131</v>
      </c>
      <c r="M343" s="643"/>
      <c r="N343" s="642" t="s">
        <v>1491</v>
      </c>
      <c r="O343" s="4"/>
      <c r="Q343" s="4"/>
      <c r="R343" s="643"/>
      <c r="S343" s="643"/>
    </row>
    <row r="344" spans="1:19">
      <c r="A344" s="642" t="s">
        <v>5799</v>
      </c>
      <c r="B344" s="642" t="s">
        <v>5041</v>
      </c>
      <c r="C344" s="4" t="s">
        <v>10939</v>
      </c>
      <c r="D344" s="646">
        <v>4616</v>
      </c>
      <c r="E344" s="646">
        <v>4598</v>
      </c>
      <c r="F344" s="646">
        <v>4738</v>
      </c>
      <c r="G344" s="48">
        <v>4767</v>
      </c>
      <c r="H344" s="48">
        <v>4551</v>
      </c>
      <c r="I344" s="31">
        <v>4547</v>
      </c>
      <c r="J344" s="31">
        <v>4603</v>
      </c>
      <c r="K344" s="31">
        <v>4643</v>
      </c>
      <c r="L344" s="31">
        <v>4650</v>
      </c>
      <c r="M344" s="643"/>
      <c r="N344" s="642" t="s">
        <v>1491</v>
      </c>
      <c r="O344" s="4"/>
      <c r="Q344" s="4"/>
      <c r="R344" s="643"/>
      <c r="S344" s="643"/>
    </row>
    <row r="345" spans="1:19">
      <c r="A345" s="642" t="s">
        <v>5801</v>
      </c>
      <c r="B345" s="642" t="s">
        <v>5042</v>
      </c>
      <c r="C345" s="4" t="s">
        <v>14265</v>
      </c>
      <c r="D345" s="646">
        <v>3346</v>
      </c>
      <c r="E345" s="646">
        <v>3369</v>
      </c>
      <c r="F345" s="646">
        <v>3391</v>
      </c>
      <c r="G345" s="48">
        <v>3372</v>
      </c>
      <c r="H345" s="48">
        <v>3318</v>
      </c>
      <c r="I345" s="31">
        <v>3287</v>
      </c>
      <c r="J345" s="31">
        <v>3284</v>
      </c>
      <c r="K345" s="31">
        <v>3344</v>
      </c>
      <c r="L345" s="31">
        <v>3362</v>
      </c>
      <c r="M345" s="643"/>
      <c r="N345" s="642" t="s">
        <v>1491</v>
      </c>
      <c r="O345" s="4"/>
      <c r="Q345" s="4"/>
      <c r="R345" s="643"/>
      <c r="S345" s="643"/>
    </row>
    <row r="346" spans="1:19">
      <c r="A346" s="643"/>
      <c r="B346" s="643"/>
      <c r="C346" s="643"/>
      <c r="D346" s="643"/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S346" s="643"/>
    </row>
    <row r="347" spans="1:19">
      <c r="A347" s="642" t="s">
        <v>2792</v>
      </c>
      <c r="C347" s="643"/>
      <c r="D347" s="646">
        <f t="shared" ref="D347:I347" si="225">D331</f>
        <v>4909</v>
      </c>
      <c r="E347" s="646">
        <f t="shared" si="225"/>
        <v>4784</v>
      </c>
      <c r="F347" s="646">
        <f t="shared" si="225"/>
        <v>4827</v>
      </c>
      <c r="G347" s="646">
        <f t="shared" si="225"/>
        <v>4845</v>
      </c>
      <c r="H347" s="646">
        <f t="shared" si="225"/>
        <v>4768</v>
      </c>
      <c r="I347" s="646">
        <f t="shared" si="225"/>
        <v>4758</v>
      </c>
      <c r="J347" s="646">
        <f t="shared" ref="J347:K347" si="226">J331</f>
        <v>4731</v>
      </c>
      <c r="K347" s="646">
        <f t="shared" si="226"/>
        <v>4794</v>
      </c>
      <c r="L347" s="646">
        <f t="shared" ref="L347" si="227">L331</f>
        <v>4831</v>
      </c>
      <c r="M347" s="643"/>
      <c r="N347" s="643"/>
      <c r="S347" s="643"/>
    </row>
    <row r="348" spans="1:19">
      <c r="A348" s="642" t="s">
        <v>1491</v>
      </c>
      <c r="C348" s="643"/>
      <c r="D348" s="646">
        <f t="shared" ref="D348:I348" si="228">D320+D321+D323+D324+SUM(D327:D330)+D332+D333+D335+SUM(D337:D345)</f>
        <v>70079</v>
      </c>
      <c r="E348" s="646">
        <f t="shared" si="228"/>
        <v>69925</v>
      </c>
      <c r="F348" s="646">
        <f t="shared" si="228"/>
        <v>70533</v>
      </c>
      <c r="G348" s="646">
        <f t="shared" si="228"/>
        <v>70689</v>
      </c>
      <c r="H348" s="646">
        <f t="shared" si="228"/>
        <v>69071</v>
      </c>
      <c r="I348" s="646">
        <f t="shared" si="228"/>
        <v>69158</v>
      </c>
      <c r="J348" s="646">
        <f t="shared" ref="J348:K348" si="229">J320+J321+J323+J324+SUM(J327:J330)+J332+J333+J335+SUM(J337:J345)</f>
        <v>69288</v>
      </c>
      <c r="K348" s="646">
        <f t="shared" si="229"/>
        <v>70289</v>
      </c>
      <c r="L348" s="646">
        <f t="shared" ref="L348" si="230">L320+L321+L323+L324+SUM(L327:L330)+L332+L333+L335+SUM(L337:L345)</f>
        <v>70620</v>
      </c>
      <c r="M348" s="643"/>
      <c r="N348" s="643"/>
      <c r="S348" s="643"/>
    </row>
    <row r="349" spans="1:19">
      <c r="A349" s="642" t="s">
        <v>5043</v>
      </c>
      <c r="C349" s="643"/>
      <c r="D349" s="646">
        <f t="shared" ref="D349:I349" si="231">D322+D325+D326+D334+D336</f>
        <v>11861</v>
      </c>
      <c r="E349" s="646">
        <f t="shared" si="231"/>
        <v>11838</v>
      </c>
      <c r="F349" s="646">
        <f t="shared" si="231"/>
        <v>11929</v>
      </c>
      <c r="G349" s="646">
        <f t="shared" si="231"/>
        <v>12022</v>
      </c>
      <c r="H349" s="646">
        <f t="shared" si="231"/>
        <v>11809</v>
      </c>
      <c r="I349" s="646">
        <f t="shared" si="231"/>
        <v>11919</v>
      </c>
      <c r="J349" s="646">
        <f t="shared" ref="J349:K349" si="232">J322+J325+J326+J334+J336</f>
        <v>11848</v>
      </c>
      <c r="K349" s="646">
        <f t="shared" si="232"/>
        <v>11973</v>
      </c>
      <c r="L349" s="646">
        <f t="shared" ref="L349" si="233">L322+L325+L326+L334+L336</f>
        <v>12086</v>
      </c>
      <c r="M349" s="643"/>
      <c r="N349" s="643"/>
      <c r="S349" s="643"/>
    </row>
    <row r="350" spans="1:19">
      <c r="A350" s="642"/>
      <c r="B350" s="642"/>
      <c r="C350" s="643"/>
      <c r="D350" s="646"/>
      <c r="E350" s="646"/>
      <c r="F350" s="646"/>
      <c r="G350" s="646"/>
      <c r="H350" s="646"/>
      <c r="I350" s="646"/>
      <c r="J350" s="646"/>
      <c r="K350" s="646"/>
      <c r="L350" s="646"/>
      <c r="M350" s="643"/>
      <c r="N350" s="643"/>
      <c r="S350" s="643"/>
    </row>
    <row r="351" spans="1:19">
      <c r="A351" s="645" t="s">
        <v>14254</v>
      </c>
      <c r="C351" s="643"/>
      <c r="M351" s="643"/>
      <c r="N351" s="643"/>
      <c r="S351" s="643"/>
    </row>
    <row r="352" spans="1:19">
      <c r="A352" s="645" t="s">
        <v>14255</v>
      </c>
      <c r="C352" s="643"/>
      <c r="M352" s="643"/>
      <c r="N352" s="643"/>
      <c r="S352" s="643"/>
    </row>
    <row r="353" spans="1:19">
      <c r="A353" s="642"/>
      <c r="B353" s="642"/>
      <c r="C353" s="643"/>
      <c r="D353" s="658"/>
      <c r="E353" s="658"/>
      <c r="F353" s="658"/>
      <c r="G353" s="658"/>
      <c r="H353" s="658"/>
      <c r="I353" s="658"/>
      <c r="J353" s="658"/>
      <c r="K353" s="658"/>
      <c r="L353" s="658"/>
      <c r="M353" s="643"/>
      <c r="N353" s="643"/>
      <c r="S353" s="643"/>
    </row>
    <row r="354" spans="1:19">
      <c r="A354" s="642"/>
      <c r="B354" s="642"/>
      <c r="C354" s="643"/>
      <c r="D354" s="658"/>
      <c r="E354" s="658"/>
      <c r="F354" s="658"/>
      <c r="G354" s="658"/>
      <c r="H354" s="658"/>
      <c r="I354" s="658"/>
      <c r="J354" s="658"/>
      <c r="K354" s="658"/>
      <c r="L354" s="658"/>
      <c r="M354" s="643"/>
      <c r="N354" s="643"/>
      <c r="S354" s="643"/>
    </row>
    <row r="355" spans="1:19">
      <c r="A355" s="643"/>
      <c r="B355" s="643"/>
      <c r="C355" s="643"/>
      <c r="E355" s="42" t="s">
        <v>2303</v>
      </c>
      <c r="F355" s="42"/>
      <c r="G355" s="42"/>
      <c r="H355" s="42"/>
      <c r="I355" s="42"/>
      <c r="J355" s="42"/>
      <c r="K355" s="42"/>
      <c r="L355" s="42"/>
      <c r="M355" s="65"/>
      <c r="N355" s="66" t="s">
        <v>13319</v>
      </c>
      <c r="S355" s="643"/>
    </row>
    <row r="356" spans="1:19">
      <c r="A356" s="643"/>
      <c r="B356" s="643"/>
      <c r="C356" s="643"/>
      <c r="D356" s="55">
        <v>2010</v>
      </c>
      <c r="E356" s="55">
        <v>2011</v>
      </c>
      <c r="F356" s="55">
        <v>2012</v>
      </c>
      <c r="G356" s="55">
        <v>2013</v>
      </c>
      <c r="H356" s="55">
        <v>2014</v>
      </c>
      <c r="I356" s="55">
        <v>2015</v>
      </c>
      <c r="J356" s="55">
        <v>2016</v>
      </c>
      <c r="K356" s="55">
        <v>2017</v>
      </c>
      <c r="L356" s="55">
        <v>2018</v>
      </c>
      <c r="M356" s="643"/>
      <c r="N356" s="67" t="s">
        <v>2304</v>
      </c>
      <c r="S356" s="643"/>
    </row>
    <row r="357" spans="1:19">
      <c r="A357" s="642" t="s">
        <v>3856</v>
      </c>
      <c r="C357" s="643"/>
      <c r="D357" s="646">
        <f t="shared" ref="D357:I357" si="234">SUM(D358:D370)</f>
        <v>73479</v>
      </c>
      <c r="E357" s="646">
        <f t="shared" si="234"/>
        <v>80060</v>
      </c>
      <c r="F357" s="646">
        <f t="shared" si="234"/>
        <v>80849</v>
      </c>
      <c r="G357" s="646">
        <f t="shared" si="234"/>
        <v>81387</v>
      </c>
      <c r="H357" s="646">
        <f t="shared" si="234"/>
        <v>80513</v>
      </c>
      <c r="I357" s="646">
        <f t="shared" si="234"/>
        <v>77897</v>
      </c>
      <c r="J357" s="646">
        <f t="shared" ref="J357:K357" si="235">SUM(J358:J370)</f>
        <v>77333</v>
      </c>
      <c r="K357" s="646">
        <f t="shared" si="235"/>
        <v>79886</v>
      </c>
      <c r="L357" s="646">
        <f t="shared" ref="L357" si="236">SUM(L358:L370)</f>
        <v>81245</v>
      </c>
      <c r="M357" s="643"/>
      <c r="N357" s="643"/>
      <c r="S357" s="643"/>
    </row>
    <row r="358" spans="1:19">
      <c r="A358" s="642" t="s">
        <v>6957</v>
      </c>
      <c r="B358" s="642" t="s">
        <v>13935</v>
      </c>
      <c r="C358" s="4" t="s">
        <v>14266</v>
      </c>
      <c r="D358" s="646">
        <v>73479</v>
      </c>
      <c r="E358" s="646">
        <v>80060</v>
      </c>
      <c r="F358" s="646">
        <v>80849</v>
      </c>
      <c r="G358" s="30">
        <v>81387</v>
      </c>
      <c r="H358" s="30">
        <v>80513</v>
      </c>
      <c r="I358" s="30">
        <v>2666</v>
      </c>
      <c r="J358" s="30">
        <v>2747</v>
      </c>
      <c r="K358" s="30">
        <v>2900</v>
      </c>
      <c r="L358" s="30">
        <v>3066</v>
      </c>
      <c r="M358" s="643"/>
      <c r="N358" s="642" t="s">
        <v>4894</v>
      </c>
      <c r="O358" s="4"/>
      <c r="Q358" s="4"/>
      <c r="R358" s="643"/>
      <c r="S358" s="643"/>
    </row>
    <row r="359" spans="1:19">
      <c r="A359" s="642" t="s">
        <v>6959</v>
      </c>
      <c r="B359" s="642" t="s">
        <v>13936</v>
      </c>
      <c r="C359" s="4" t="s">
        <v>14267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8325</v>
      </c>
      <c r="J359" s="30">
        <v>8180</v>
      </c>
      <c r="K359" s="30">
        <v>8522</v>
      </c>
      <c r="L359" s="30">
        <v>8565</v>
      </c>
      <c r="M359" s="643"/>
      <c r="N359" s="642" t="s">
        <v>4894</v>
      </c>
      <c r="O359" s="4"/>
      <c r="Q359" s="4"/>
      <c r="R359" s="643"/>
      <c r="S359" s="643"/>
    </row>
    <row r="360" spans="1:19">
      <c r="A360" s="642" t="s">
        <v>6961</v>
      </c>
      <c r="B360" s="642" t="s">
        <v>13937</v>
      </c>
      <c r="C360" s="4" t="s">
        <v>14268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7721</v>
      </c>
      <c r="J360" s="30">
        <v>7593</v>
      </c>
      <c r="K360" s="30">
        <v>7811</v>
      </c>
      <c r="L360" s="30">
        <v>8121</v>
      </c>
      <c r="M360" s="643"/>
      <c r="N360" s="642" t="s">
        <v>4894</v>
      </c>
      <c r="O360" s="4"/>
      <c r="Q360" s="4"/>
      <c r="R360" s="643"/>
      <c r="S360" s="643"/>
    </row>
    <row r="361" spans="1:19">
      <c r="A361" s="642" t="s">
        <v>6963</v>
      </c>
      <c r="B361" s="642" t="s">
        <v>13938</v>
      </c>
      <c r="C361" s="4" t="s">
        <v>14269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6572</v>
      </c>
      <c r="J361" s="30">
        <v>6417</v>
      </c>
      <c r="K361" s="30">
        <v>6846</v>
      </c>
      <c r="L361" s="30">
        <v>7224</v>
      </c>
      <c r="M361" s="643"/>
      <c r="N361" s="642" t="s">
        <v>4894</v>
      </c>
      <c r="O361" s="4"/>
      <c r="Q361" s="4"/>
      <c r="R361" s="643"/>
      <c r="S361" s="643"/>
    </row>
    <row r="362" spans="1:19">
      <c r="A362" s="642" t="s">
        <v>6965</v>
      </c>
      <c r="B362" s="642" t="s">
        <v>2149</v>
      </c>
      <c r="C362" s="4" t="s">
        <v>14270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4399</v>
      </c>
      <c r="J362" s="30">
        <v>4362</v>
      </c>
      <c r="K362" s="30">
        <v>4577</v>
      </c>
      <c r="L362" s="30">
        <v>4633</v>
      </c>
      <c r="M362" s="643"/>
      <c r="N362" s="642" t="s">
        <v>4894</v>
      </c>
      <c r="O362" s="4"/>
      <c r="Q362" s="4"/>
      <c r="R362" s="643"/>
      <c r="S362" s="643"/>
    </row>
    <row r="363" spans="1:19">
      <c r="A363" s="642" t="s">
        <v>6997</v>
      </c>
      <c r="B363" s="642" t="s">
        <v>13939</v>
      </c>
      <c r="C363" s="4" t="s">
        <v>14271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8968</v>
      </c>
      <c r="J363" s="30">
        <v>8884</v>
      </c>
      <c r="K363" s="30">
        <v>8984</v>
      </c>
      <c r="L363" s="30">
        <v>9015</v>
      </c>
      <c r="M363" s="643"/>
      <c r="N363" s="642" t="s">
        <v>4894</v>
      </c>
      <c r="O363" s="4"/>
      <c r="Q363" s="4"/>
      <c r="R363" s="643"/>
      <c r="S363" s="643"/>
    </row>
    <row r="364" spans="1:19">
      <c r="A364" s="642" t="s">
        <v>6999</v>
      </c>
      <c r="B364" s="642" t="s">
        <v>13940</v>
      </c>
      <c r="C364" s="4" t="s">
        <v>14272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4605</v>
      </c>
      <c r="J364" s="30">
        <v>4615</v>
      </c>
      <c r="K364" s="30">
        <v>4730</v>
      </c>
      <c r="L364" s="30">
        <v>4799</v>
      </c>
      <c r="M364" s="643"/>
      <c r="N364" s="642" t="s">
        <v>4894</v>
      </c>
      <c r="O364" s="4"/>
      <c r="Q364" s="4"/>
      <c r="R364" s="643"/>
      <c r="S364" s="643"/>
    </row>
    <row r="365" spans="1:19">
      <c r="A365" s="642" t="s">
        <v>7001</v>
      </c>
      <c r="B365" s="642" t="s">
        <v>13941</v>
      </c>
      <c r="C365" s="4" t="s">
        <v>14273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5528</v>
      </c>
      <c r="J365" s="30">
        <v>5570</v>
      </c>
      <c r="K365" s="30">
        <v>5785</v>
      </c>
      <c r="L365" s="30">
        <v>5833</v>
      </c>
      <c r="M365" s="643"/>
      <c r="N365" s="642" t="s">
        <v>4894</v>
      </c>
      <c r="O365" s="4"/>
      <c r="Q365" s="4"/>
      <c r="R365" s="643"/>
      <c r="S365" s="643"/>
    </row>
    <row r="366" spans="1:19">
      <c r="A366" s="642" t="s">
        <v>7003</v>
      </c>
      <c r="B366" s="642" t="s">
        <v>71</v>
      </c>
      <c r="C366" s="4" t="s">
        <v>14274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8492</v>
      </c>
      <c r="J366" s="30">
        <v>8468</v>
      </c>
      <c r="K366" s="30">
        <v>8609</v>
      </c>
      <c r="L366" s="30">
        <v>8638</v>
      </c>
      <c r="M366" s="643"/>
      <c r="N366" s="642" t="s">
        <v>4894</v>
      </c>
      <c r="O366" s="4"/>
      <c r="Q366" s="4"/>
      <c r="R366" s="643"/>
      <c r="S366" s="643"/>
    </row>
    <row r="367" spans="1:19">
      <c r="A367" s="642" t="s">
        <v>7005</v>
      </c>
      <c r="B367" s="642" t="s">
        <v>72</v>
      </c>
      <c r="C367" s="4" t="s">
        <v>14275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4833</v>
      </c>
      <c r="J367" s="30">
        <v>4843</v>
      </c>
      <c r="K367" s="30">
        <v>4955</v>
      </c>
      <c r="L367" s="30">
        <v>5038</v>
      </c>
      <c r="M367" s="643"/>
      <c r="N367" s="642" t="s">
        <v>4894</v>
      </c>
      <c r="O367" s="4"/>
      <c r="Q367" s="4"/>
      <c r="R367" s="643"/>
      <c r="S367" s="643"/>
    </row>
    <row r="368" spans="1:19">
      <c r="A368" s="642" t="s">
        <v>7007</v>
      </c>
      <c r="B368" s="642" t="s">
        <v>73</v>
      </c>
      <c r="C368" s="4" t="s">
        <v>14276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5884</v>
      </c>
      <c r="J368" s="30">
        <v>5767</v>
      </c>
      <c r="K368" s="30">
        <v>5944</v>
      </c>
      <c r="L368" s="30">
        <v>6033</v>
      </c>
      <c r="M368" s="643"/>
      <c r="N368" s="642" t="s">
        <v>4894</v>
      </c>
      <c r="O368" s="4"/>
      <c r="Q368" s="4"/>
      <c r="R368" s="643"/>
      <c r="S368" s="643"/>
    </row>
    <row r="369" spans="1:19">
      <c r="A369" s="642" t="s">
        <v>7009</v>
      </c>
      <c r="B369" s="642" t="s">
        <v>13942</v>
      </c>
      <c r="C369" s="4" t="s">
        <v>14277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4093</v>
      </c>
      <c r="J369" s="30">
        <v>4076</v>
      </c>
      <c r="K369" s="30">
        <v>4240</v>
      </c>
      <c r="L369" s="30">
        <v>4246</v>
      </c>
      <c r="M369" s="643"/>
      <c r="N369" s="642" t="s">
        <v>4894</v>
      </c>
      <c r="O369" s="4"/>
      <c r="Q369" s="4"/>
      <c r="R369" s="643"/>
      <c r="S369" s="643"/>
    </row>
    <row r="370" spans="1:19">
      <c r="A370" s="642" t="s">
        <v>7011</v>
      </c>
      <c r="B370" s="642" t="s">
        <v>13943</v>
      </c>
      <c r="C370" s="4" t="s">
        <v>14278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5811</v>
      </c>
      <c r="J370" s="30">
        <v>5811</v>
      </c>
      <c r="K370" s="30">
        <v>5983</v>
      </c>
      <c r="L370" s="30">
        <v>6034</v>
      </c>
      <c r="M370" s="643"/>
      <c r="N370" s="642" t="s">
        <v>4894</v>
      </c>
      <c r="O370" s="4"/>
      <c r="Q370" s="4"/>
      <c r="R370" s="643"/>
      <c r="S370" s="643"/>
    </row>
    <row r="371" spans="1:19">
      <c r="A371" s="643"/>
      <c r="B371" s="643"/>
      <c r="C371" s="643"/>
      <c r="D371" s="652"/>
      <c r="E371" s="652"/>
      <c r="F371" s="652"/>
      <c r="G371" s="652"/>
      <c r="H371" s="652"/>
      <c r="I371" s="652"/>
      <c r="J371" s="652"/>
      <c r="K371" s="652"/>
      <c r="L371" s="652"/>
      <c r="M371" s="643"/>
      <c r="N371" s="643"/>
      <c r="R371" s="643"/>
      <c r="S371" s="643"/>
    </row>
    <row r="372" spans="1:19">
      <c r="A372" s="642" t="s">
        <v>74</v>
      </c>
      <c r="C372" s="643"/>
      <c r="D372" s="646">
        <f t="shared" ref="D372:I372" si="237">SUM(D358:D370)</f>
        <v>73479</v>
      </c>
      <c r="E372" s="646">
        <f t="shared" si="237"/>
        <v>80060</v>
      </c>
      <c r="F372" s="646">
        <f t="shared" si="237"/>
        <v>80849</v>
      </c>
      <c r="G372" s="646">
        <f t="shared" si="237"/>
        <v>81387</v>
      </c>
      <c r="H372" s="646">
        <f t="shared" si="237"/>
        <v>80513</v>
      </c>
      <c r="I372" s="646">
        <f t="shared" si="237"/>
        <v>77897</v>
      </c>
      <c r="J372" s="646">
        <f t="shared" ref="J372:K372" si="238">SUM(J358:J370)</f>
        <v>77333</v>
      </c>
      <c r="K372" s="646">
        <f t="shared" si="238"/>
        <v>79886</v>
      </c>
      <c r="L372" s="646">
        <f t="shared" ref="L372" si="239">SUM(L358:L370)</f>
        <v>81245</v>
      </c>
      <c r="M372" s="643"/>
      <c r="N372" s="643"/>
      <c r="R372" s="643"/>
      <c r="S372" s="643"/>
    </row>
    <row r="373" spans="1:19">
      <c r="A373" s="642"/>
      <c r="C373" s="643"/>
      <c r="D373" s="646"/>
      <c r="E373" s="646"/>
      <c r="F373" s="646"/>
      <c r="G373" s="646"/>
      <c r="H373" s="646"/>
      <c r="I373" s="646"/>
      <c r="J373" s="646"/>
      <c r="K373" s="646"/>
      <c r="L373" s="646"/>
      <c r="M373" s="643"/>
      <c r="N373" s="643"/>
      <c r="R373" s="643"/>
      <c r="S373" s="643"/>
    </row>
    <row r="374" spans="1:19">
      <c r="A374" s="642" t="s">
        <v>13944</v>
      </c>
      <c r="C374" s="643"/>
      <c r="D374" s="646"/>
      <c r="E374" s="646"/>
      <c r="F374" s="646"/>
      <c r="G374" s="646"/>
      <c r="H374" s="646"/>
      <c r="I374" s="646"/>
      <c r="J374" s="646"/>
      <c r="K374" s="646"/>
      <c r="L374" s="646"/>
      <c r="M374" s="643"/>
      <c r="N374" s="643"/>
      <c r="R374" s="643"/>
      <c r="S374" s="643"/>
    </row>
    <row r="375" spans="1:19">
      <c r="A375" s="642"/>
      <c r="B375" s="642"/>
      <c r="C375" s="643"/>
      <c r="D375" s="658"/>
      <c r="E375" s="658"/>
      <c r="F375" s="658"/>
      <c r="G375" s="658"/>
      <c r="H375" s="658"/>
      <c r="I375" s="658"/>
      <c r="J375" s="658"/>
      <c r="K375" s="658"/>
      <c r="L375" s="658"/>
      <c r="M375" s="643"/>
      <c r="N375" s="643"/>
      <c r="R375" s="643"/>
      <c r="S375" s="643"/>
    </row>
    <row r="376" spans="1:19">
      <c r="A376" s="642"/>
      <c r="B376" s="642"/>
      <c r="C376" s="643"/>
      <c r="D376" s="658"/>
      <c r="E376" s="658"/>
      <c r="F376" s="658"/>
      <c r="G376" s="658"/>
      <c r="H376" s="658"/>
      <c r="I376" s="658"/>
      <c r="J376" s="658"/>
      <c r="K376" s="658"/>
      <c r="L376" s="658"/>
      <c r="M376" s="643"/>
      <c r="N376" s="643"/>
      <c r="R376" s="643"/>
      <c r="S376" s="643"/>
    </row>
    <row r="377" spans="1:19">
      <c r="A377" s="643"/>
      <c r="B377" s="643"/>
      <c r="C377" s="643"/>
      <c r="E377" s="42" t="s">
        <v>2303</v>
      </c>
      <c r="F377" s="42"/>
      <c r="G377" s="42"/>
      <c r="H377" s="42"/>
      <c r="I377" s="42"/>
      <c r="J377" s="42"/>
      <c r="K377" s="42"/>
      <c r="L377" s="42"/>
      <c r="M377" s="65"/>
      <c r="N377" s="66" t="s">
        <v>13319</v>
      </c>
      <c r="R377" s="643"/>
      <c r="S377" s="643"/>
    </row>
    <row r="378" spans="1:19">
      <c r="A378" s="643"/>
      <c r="B378" s="643"/>
      <c r="C378" s="643"/>
      <c r="D378" s="55">
        <v>2010</v>
      </c>
      <c r="E378" s="55">
        <v>2011</v>
      </c>
      <c r="F378" s="55">
        <v>2012</v>
      </c>
      <c r="G378" s="55">
        <v>2013</v>
      </c>
      <c r="H378" s="55">
        <v>2014</v>
      </c>
      <c r="I378" s="55">
        <v>2015</v>
      </c>
      <c r="J378" s="55">
        <v>2016</v>
      </c>
      <c r="K378" s="55">
        <v>2017</v>
      </c>
      <c r="L378" s="55">
        <v>2018</v>
      </c>
      <c r="M378" s="643"/>
      <c r="N378" s="67" t="s">
        <v>2304</v>
      </c>
      <c r="R378" s="643"/>
      <c r="S378" s="643"/>
    </row>
    <row r="379" spans="1:19">
      <c r="A379" s="642" t="s">
        <v>3419</v>
      </c>
      <c r="C379" s="643"/>
      <c r="D379" s="646">
        <f t="shared" ref="D379:J379" si="240">SUM(D380:D403)</f>
        <v>95947</v>
      </c>
      <c r="E379" s="646">
        <f t="shared" si="240"/>
        <v>95264</v>
      </c>
      <c r="F379" s="646">
        <f t="shared" si="240"/>
        <v>96360</v>
      </c>
      <c r="G379" s="646">
        <f t="shared" si="240"/>
        <v>96760</v>
      </c>
      <c r="H379" s="646">
        <f t="shared" si="240"/>
        <v>97494</v>
      </c>
      <c r="I379" s="646">
        <f t="shared" si="240"/>
        <v>92331</v>
      </c>
      <c r="J379" s="646">
        <f t="shared" si="240"/>
        <v>96025</v>
      </c>
      <c r="K379" s="646">
        <f t="shared" ref="K379:L379" si="241">SUM(K380:K403)</f>
        <v>101034</v>
      </c>
      <c r="L379" s="646">
        <f t="shared" si="241"/>
        <v>102276</v>
      </c>
      <c r="M379" s="643"/>
      <c r="N379" s="643"/>
      <c r="R379" s="643"/>
      <c r="S379" s="643"/>
    </row>
    <row r="380" spans="1:19">
      <c r="A380" s="642" t="s">
        <v>6957</v>
      </c>
      <c r="B380" s="642" t="s">
        <v>8199</v>
      </c>
      <c r="C380" s="4" t="s">
        <v>15006</v>
      </c>
      <c r="D380" s="646">
        <v>20438</v>
      </c>
      <c r="E380" s="646">
        <v>20468</v>
      </c>
      <c r="F380" s="646">
        <v>20590</v>
      </c>
      <c r="G380" s="646">
        <v>20649</v>
      </c>
      <c r="H380" s="48">
        <v>20655</v>
      </c>
      <c r="I380" s="48">
        <v>19716</v>
      </c>
      <c r="J380" s="48">
        <v>3835</v>
      </c>
      <c r="K380" s="48">
        <v>3953</v>
      </c>
      <c r="L380" s="48">
        <v>4011</v>
      </c>
      <c r="M380" s="643"/>
      <c r="N380" s="642" t="s">
        <v>4891</v>
      </c>
      <c r="O380" s="4"/>
      <c r="Q380" s="4"/>
      <c r="R380" s="643"/>
      <c r="S380" s="643"/>
    </row>
    <row r="381" spans="1:19">
      <c r="A381" s="642" t="s">
        <v>6959</v>
      </c>
      <c r="B381" s="642" t="s">
        <v>15009</v>
      </c>
      <c r="C381" s="4" t="s">
        <v>15013</v>
      </c>
      <c r="D381" s="646">
        <v>75509</v>
      </c>
      <c r="E381" s="646">
        <v>74796</v>
      </c>
      <c r="F381" s="646">
        <v>75770</v>
      </c>
      <c r="G381" s="646">
        <v>76111</v>
      </c>
      <c r="H381" s="48">
        <v>76839</v>
      </c>
      <c r="I381" s="48">
        <v>72615</v>
      </c>
      <c r="J381" s="48">
        <v>3895</v>
      </c>
      <c r="K381" s="48">
        <v>4600</v>
      </c>
      <c r="L381" s="48">
        <v>4420</v>
      </c>
      <c r="M381" s="643"/>
      <c r="N381" s="642" t="s">
        <v>1492</v>
      </c>
      <c r="O381" s="4"/>
      <c r="Q381" s="4"/>
      <c r="R381" s="643"/>
      <c r="S381" s="643"/>
    </row>
    <row r="382" spans="1:19">
      <c r="A382" s="642" t="s">
        <v>6961</v>
      </c>
      <c r="B382" s="642" t="s">
        <v>15008</v>
      </c>
      <c r="C382" s="4" t="s">
        <v>15014</v>
      </c>
      <c r="D382" s="646">
        <v>0</v>
      </c>
      <c r="E382" s="646">
        <v>0</v>
      </c>
      <c r="F382" s="646">
        <v>0</v>
      </c>
      <c r="G382" s="646">
        <v>0</v>
      </c>
      <c r="H382" s="48">
        <v>0</v>
      </c>
      <c r="I382" s="48">
        <v>0</v>
      </c>
      <c r="J382" s="48">
        <v>4423</v>
      </c>
      <c r="K382" s="48">
        <v>4248</v>
      </c>
      <c r="L382" s="48">
        <v>4597</v>
      </c>
      <c r="M382" s="643"/>
      <c r="N382" s="642" t="s">
        <v>1492</v>
      </c>
      <c r="O382" s="4"/>
      <c r="Q382" s="4"/>
      <c r="R382" s="643"/>
      <c r="S382" s="643"/>
    </row>
    <row r="383" spans="1:19">
      <c r="A383" s="642" t="s">
        <v>6963</v>
      </c>
      <c r="B383" s="642" t="s">
        <v>3420</v>
      </c>
      <c r="C383" s="4" t="s">
        <v>15015</v>
      </c>
      <c r="D383" s="646">
        <v>0</v>
      </c>
      <c r="E383" s="646">
        <v>0</v>
      </c>
      <c r="F383" s="646">
        <v>0</v>
      </c>
      <c r="G383" s="646">
        <v>0</v>
      </c>
      <c r="H383" s="48">
        <v>0</v>
      </c>
      <c r="I383" s="48">
        <v>0</v>
      </c>
      <c r="J383" s="48">
        <v>4277</v>
      </c>
      <c r="K383" s="48">
        <v>4414</v>
      </c>
      <c r="L383" s="48">
        <v>4462</v>
      </c>
      <c r="M383" s="643"/>
      <c r="N383" s="642" t="s">
        <v>4891</v>
      </c>
      <c r="O383" s="4"/>
      <c r="Q383" s="4"/>
      <c r="R383" s="643"/>
      <c r="S383" s="643"/>
    </row>
    <row r="384" spans="1:19">
      <c r="A384" s="642" t="s">
        <v>6965</v>
      </c>
      <c r="B384" s="642" t="s">
        <v>4231</v>
      </c>
      <c r="C384" s="4" t="s">
        <v>15016</v>
      </c>
      <c r="D384" s="646">
        <v>0</v>
      </c>
      <c r="E384" s="646">
        <v>0</v>
      </c>
      <c r="F384" s="646">
        <v>0</v>
      </c>
      <c r="G384" s="646">
        <v>0</v>
      </c>
      <c r="H384" s="48">
        <v>0</v>
      </c>
      <c r="I384" s="48">
        <v>0</v>
      </c>
      <c r="J384" s="48">
        <v>1914</v>
      </c>
      <c r="K384" s="48">
        <v>2042</v>
      </c>
      <c r="L384" s="48">
        <v>2063</v>
      </c>
      <c r="M384" s="643"/>
      <c r="N384" s="642" t="s">
        <v>1492</v>
      </c>
      <c r="O384" s="4"/>
      <c r="Q384" s="4"/>
      <c r="R384" s="643"/>
      <c r="S384" s="643"/>
    </row>
    <row r="385" spans="1:19">
      <c r="A385" s="642" t="s">
        <v>6997</v>
      </c>
      <c r="B385" s="642" t="s">
        <v>2484</v>
      </c>
      <c r="C385" s="4" t="s">
        <v>15017</v>
      </c>
      <c r="D385" s="646">
        <v>0</v>
      </c>
      <c r="E385" s="646">
        <v>0</v>
      </c>
      <c r="F385" s="646">
        <v>0</v>
      </c>
      <c r="G385" s="646">
        <v>0</v>
      </c>
      <c r="H385" s="48">
        <v>0</v>
      </c>
      <c r="I385" s="48">
        <v>0</v>
      </c>
      <c r="J385" s="48">
        <v>2128</v>
      </c>
      <c r="K385" s="48">
        <v>2196</v>
      </c>
      <c r="L385" s="48">
        <v>2230</v>
      </c>
      <c r="M385" s="643"/>
      <c r="N385" s="642" t="s">
        <v>4891</v>
      </c>
      <c r="O385" s="4"/>
      <c r="Q385" s="4"/>
      <c r="R385" s="643"/>
      <c r="S385" s="643"/>
    </row>
    <row r="386" spans="1:19">
      <c r="A386" s="642" t="s">
        <v>6999</v>
      </c>
      <c r="B386" s="642" t="s">
        <v>5090</v>
      </c>
      <c r="C386" s="4" t="s">
        <v>15018</v>
      </c>
      <c r="D386" s="646">
        <v>0</v>
      </c>
      <c r="E386" s="646">
        <v>0</v>
      </c>
      <c r="F386" s="646">
        <v>0</v>
      </c>
      <c r="G386" s="646">
        <v>0</v>
      </c>
      <c r="H386" s="48">
        <v>0</v>
      </c>
      <c r="I386" s="48">
        <v>0</v>
      </c>
      <c r="J386" s="48">
        <v>4403</v>
      </c>
      <c r="K386" s="48">
        <v>4539</v>
      </c>
      <c r="L386" s="48">
        <v>4629</v>
      </c>
      <c r="M386" s="643"/>
      <c r="N386" s="642" t="s">
        <v>1492</v>
      </c>
      <c r="O386" s="4"/>
      <c r="Q386" s="4"/>
      <c r="R386" s="643"/>
      <c r="S386" s="643"/>
    </row>
    <row r="387" spans="1:19">
      <c r="A387" s="642" t="s">
        <v>7001</v>
      </c>
      <c r="B387" s="642" t="s">
        <v>15729</v>
      </c>
      <c r="C387" s="4" t="s">
        <v>15019</v>
      </c>
      <c r="D387" s="646">
        <v>0</v>
      </c>
      <c r="E387" s="646">
        <v>0</v>
      </c>
      <c r="F387" s="646">
        <v>0</v>
      </c>
      <c r="G387" s="646">
        <v>0</v>
      </c>
      <c r="H387" s="48">
        <v>0</v>
      </c>
      <c r="I387" s="48">
        <v>0</v>
      </c>
      <c r="J387" s="48">
        <v>4569</v>
      </c>
      <c r="K387" s="48">
        <v>4797</v>
      </c>
      <c r="L387" s="48">
        <v>4779</v>
      </c>
      <c r="M387" s="643"/>
      <c r="N387" s="642" t="s">
        <v>1492</v>
      </c>
      <c r="O387" s="4"/>
      <c r="Q387" s="4"/>
      <c r="R387" s="643"/>
      <c r="S387" s="643"/>
    </row>
    <row r="388" spans="1:19">
      <c r="A388" s="642" t="s">
        <v>7003</v>
      </c>
      <c r="B388" s="642" t="s">
        <v>5091</v>
      </c>
      <c r="C388" s="4" t="s">
        <v>15020</v>
      </c>
      <c r="D388" s="646">
        <v>0</v>
      </c>
      <c r="E388" s="646">
        <v>0</v>
      </c>
      <c r="F388" s="646">
        <v>0</v>
      </c>
      <c r="G388" s="646">
        <v>0</v>
      </c>
      <c r="H388" s="48">
        <v>0</v>
      </c>
      <c r="I388" s="48">
        <v>0</v>
      </c>
      <c r="J388" s="48">
        <v>4103</v>
      </c>
      <c r="K388" s="48">
        <v>4286</v>
      </c>
      <c r="L388" s="48">
        <v>4355</v>
      </c>
      <c r="M388" s="643"/>
      <c r="N388" s="642" t="s">
        <v>1492</v>
      </c>
      <c r="O388" s="4"/>
      <c r="Q388" s="4"/>
      <c r="R388" s="643"/>
      <c r="S388" s="643"/>
    </row>
    <row r="389" spans="1:19">
      <c r="A389" s="642" t="s">
        <v>7005</v>
      </c>
      <c r="B389" s="642" t="s">
        <v>5092</v>
      </c>
      <c r="C389" s="4" t="s">
        <v>15021</v>
      </c>
      <c r="D389" s="646">
        <v>0</v>
      </c>
      <c r="E389" s="646">
        <v>0</v>
      </c>
      <c r="F389" s="646">
        <v>0</v>
      </c>
      <c r="G389" s="646">
        <v>0</v>
      </c>
      <c r="H389" s="48">
        <v>0</v>
      </c>
      <c r="I389" s="48">
        <v>0</v>
      </c>
      <c r="J389" s="48">
        <v>4107</v>
      </c>
      <c r="K389" s="48">
        <v>4360</v>
      </c>
      <c r="L389" s="48">
        <v>4374</v>
      </c>
      <c r="M389" s="643"/>
      <c r="N389" s="642" t="s">
        <v>1492</v>
      </c>
      <c r="O389" s="4"/>
      <c r="Q389" s="4"/>
      <c r="R389" s="643"/>
      <c r="S389" s="643"/>
    </row>
    <row r="390" spans="1:19">
      <c r="A390" s="642" t="s">
        <v>7007</v>
      </c>
      <c r="B390" s="642" t="s">
        <v>5093</v>
      </c>
      <c r="C390" s="4" t="s">
        <v>15022</v>
      </c>
      <c r="D390" s="646">
        <v>0</v>
      </c>
      <c r="E390" s="646">
        <v>0</v>
      </c>
      <c r="F390" s="646">
        <v>0</v>
      </c>
      <c r="G390" s="646">
        <v>0</v>
      </c>
      <c r="H390" s="48">
        <v>0</v>
      </c>
      <c r="I390" s="48">
        <v>0</v>
      </c>
      <c r="J390" s="48">
        <v>5652</v>
      </c>
      <c r="K390" s="48">
        <v>5859</v>
      </c>
      <c r="L390" s="48">
        <v>5876</v>
      </c>
      <c r="M390" s="643"/>
      <c r="N390" s="642" t="s">
        <v>1492</v>
      </c>
      <c r="O390" s="4"/>
      <c r="Q390" s="4"/>
      <c r="R390" s="643"/>
      <c r="S390" s="643"/>
    </row>
    <row r="391" spans="1:19">
      <c r="A391" s="642" t="s">
        <v>7009</v>
      </c>
      <c r="B391" s="642" t="s">
        <v>1648</v>
      </c>
      <c r="C391" s="4" t="s">
        <v>15023</v>
      </c>
      <c r="D391" s="646">
        <v>0</v>
      </c>
      <c r="E391" s="646">
        <v>0</v>
      </c>
      <c r="F391" s="646">
        <v>0</v>
      </c>
      <c r="G391" s="646">
        <v>0</v>
      </c>
      <c r="H391" s="48">
        <v>0</v>
      </c>
      <c r="I391" s="48">
        <v>0</v>
      </c>
      <c r="J391" s="48">
        <v>3905</v>
      </c>
      <c r="K391" s="48">
        <v>4146</v>
      </c>
      <c r="L391" s="48">
        <v>4151</v>
      </c>
      <c r="M391" s="643"/>
      <c r="N391" s="642" t="s">
        <v>1492</v>
      </c>
      <c r="O391" s="4"/>
      <c r="Q391" s="4"/>
      <c r="R391" s="643"/>
      <c r="S391" s="643"/>
    </row>
    <row r="392" spans="1:19">
      <c r="A392" s="642" t="s">
        <v>7011</v>
      </c>
      <c r="B392" s="642" t="s">
        <v>4097</v>
      </c>
      <c r="C392" s="4" t="s">
        <v>15024</v>
      </c>
      <c r="D392" s="646">
        <v>0</v>
      </c>
      <c r="E392" s="646">
        <v>0</v>
      </c>
      <c r="F392" s="646">
        <v>0</v>
      </c>
      <c r="G392" s="646">
        <v>0</v>
      </c>
      <c r="H392" s="48">
        <v>0</v>
      </c>
      <c r="I392" s="48">
        <v>0</v>
      </c>
      <c r="J392" s="48">
        <v>1978</v>
      </c>
      <c r="K392" s="48">
        <v>2053</v>
      </c>
      <c r="L392" s="48">
        <v>2050</v>
      </c>
      <c r="M392" s="643"/>
      <c r="N392" s="642" t="s">
        <v>4891</v>
      </c>
      <c r="O392" s="4"/>
      <c r="Q392" s="4"/>
      <c r="R392" s="643"/>
      <c r="S392" s="643"/>
    </row>
    <row r="393" spans="1:19">
      <c r="A393" s="642" t="s">
        <v>7013</v>
      </c>
      <c r="B393" s="642" t="s">
        <v>3395</v>
      </c>
      <c r="C393" s="4" t="s">
        <v>15025</v>
      </c>
      <c r="D393" s="646">
        <v>0</v>
      </c>
      <c r="E393" s="646">
        <v>0</v>
      </c>
      <c r="F393" s="646">
        <v>0</v>
      </c>
      <c r="G393" s="646">
        <v>0</v>
      </c>
      <c r="H393" s="48">
        <v>0</v>
      </c>
      <c r="I393" s="48">
        <v>0</v>
      </c>
      <c r="J393" s="48">
        <v>5375</v>
      </c>
      <c r="K393" s="48">
        <v>5648</v>
      </c>
      <c r="L393" s="48">
        <v>5636</v>
      </c>
      <c r="M393" s="643"/>
      <c r="N393" s="642" t="s">
        <v>1492</v>
      </c>
      <c r="O393" s="4"/>
      <c r="Q393" s="4"/>
      <c r="R393" s="643"/>
      <c r="S393" s="643"/>
    </row>
    <row r="394" spans="1:19">
      <c r="A394" s="642" t="s">
        <v>7015</v>
      </c>
      <c r="B394" s="642" t="s">
        <v>3396</v>
      </c>
      <c r="C394" s="4" t="s">
        <v>15026</v>
      </c>
      <c r="D394" s="646">
        <v>0</v>
      </c>
      <c r="E394" s="646">
        <v>0</v>
      </c>
      <c r="F394" s="646">
        <v>0</v>
      </c>
      <c r="G394" s="646">
        <v>0</v>
      </c>
      <c r="H394" s="48">
        <v>0</v>
      </c>
      <c r="I394" s="48">
        <v>0</v>
      </c>
      <c r="J394" s="48">
        <v>4287</v>
      </c>
      <c r="K394" s="48">
        <v>4486</v>
      </c>
      <c r="L394" s="48">
        <v>4455</v>
      </c>
      <c r="M394" s="643"/>
      <c r="N394" s="642" t="s">
        <v>1492</v>
      </c>
      <c r="O394" s="4"/>
      <c r="Q394" s="4"/>
      <c r="R394" s="643"/>
      <c r="S394" s="643"/>
    </row>
    <row r="395" spans="1:19">
      <c r="A395" s="642" t="s">
        <v>7017</v>
      </c>
      <c r="B395" s="642" t="s">
        <v>6751</v>
      </c>
      <c r="C395" s="4" t="s">
        <v>15027</v>
      </c>
      <c r="D395" s="646">
        <v>0</v>
      </c>
      <c r="E395" s="646">
        <v>0</v>
      </c>
      <c r="F395" s="646">
        <v>0</v>
      </c>
      <c r="G395" s="646">
        <v>0</v>
      </c>
      <c r="H395" s="48">
        <v>0</v>
      </c>
      <c r="I395" s="48">
        <v>0</v>
      </c>
      <c r="J395" s="48">
        <v>3906</v>
      </c>
      <c r="K395" s="48">
        <v>4071</v>
      </c>
      <c r="L395" s="48">
        <v>4095</v>
      </c>
      <c r="M395" s="643"/>
      <c r="N395" s="642" t="s">
        <v>4891</v>
      </c>
      <c r="O395" s="4"/>
      <c r="Q395" s="4"/>
      <c r="R395" s="643"/>
      <c r="S395" s="643"/>
    </row>
    <row r="396" spans="1:19">
      <c r="A396" s="642" t="s">
        <v>7019</v>
      </c>
      <c r="B396" s="642" t="s">
        <v>15010</v>
      </c>
      <c r="C396" s="4" t="s">
        <v>15028</v>
      </c>
      <c r="D396" s="646">
        <v>0</v>
      </c>
      <c r="E396" s="646">
        <v>0</v>
      </c>
      <c r="F396" s="646">
        <v>0</v>
      </c>
      <c r="G396" s="646">
        <v>0</v>
      </c>
      <c r="H396" s="48">
        <v>0</v>
      </c>
      <c r="I396" s="48">
        <v>0</v>
      </c>
      <c r="J396" s="48">
        <v>6927</v>
      </c>
      <c r="K396" s="48">
        <v>7475</v>
      </c>
      <c r="L396" s="48">
        <v>7598</v>
      </c>
      <c r="M396" s="643"/>
      <c r="N396" s="642" t="s">
        <v>1492</v>
      </c>
      <c r="O396" s="4"/>
      <c r="Q396" s="4"/>
      <c r="R396" s="643"/>
      <c r="S396" s="643"/>
    </row>
    <row r="397" spans="1:19">
      <c r="A397" s="642" t="s">
        <v>7021</v>
      </c>
      <c r="B397" s="642" t="s">
        <v>3397</v>
      </c>
      <c r="C397" s="4" t="s">
        <v>15029</v>
      </c>
      <c r="D397" s="646">
        <v>0</v>
      </c>
      <c r="E397" s="646">
        <v>0</v>
      </c>
      <c r="F397" s="646">
        <v>0</v>
      </c>
      <c r="G397" s="646">
        <v>0</v>
      </c>
      <c r="H397" s="48">
        <v>0</v>
      </c>
      <c r="I397" s="48">
        <v>0</v>
      </c>
      <c r="J397" s="48">
        <v>5815</v>
      </c>
      <c r="K397" s="48">
        <v>6282</v>
      </c>
      <c r="L397" s="48">
        <v>6398</v>
      </c>
      <c r="M397" s="643"/>
      <c r="N397" s="642" t="s">
        <v>1492</v>
      </c>
      <c r="O397" s="4"/>
      <c r="Q397" s="4"/>
      <c r="R397" s="643"/>
      <c r="S397" s="643"/>
    </row>
    <row r="398" spans="1:19">
      <c r="A398" s="642" t="s">
        <v>7023</v>
      </c>
      <c r="B398" s="642" t="s">
        <v>15011</v>
      </c>
      <c r="C398" s="4" t="s">
        <v>15030</v>
      </c>
      <c r="D398" s="646">
        <v>0</v>
      </c>
      <c r="E398" s="646">
        <v>0</v>
      </c>
      <c r="F398" s="646">
        <v>0</v>
      </c>
      <c r="G398" s="646">
        <v>0</v>
      </c>
      <c r="H398" s="48">
        <v>0</v>
      </c>
      <c r="I398" s="48">
        <v>0</v>
      </c>
      <c r="J398" s="48">
        <v>3734</v>
      </c>
      <c r="K398" s="48">
        <v>4058</v>
      </c>
      <c r="L398" s="48">
        <v>4182</v>
      </c>
      <c r="M398" s="643"/>
      <c r="N398" s="642" t="s">
        <v>1492</v>
      </c>
      <c r="O398" s="4"/>
      <c r="Q398" s="4"/>
      <c r="R398" s="643"/>
      <c r="S398" s="643"/>
    </row>
    <row r="399" spans="1:19">
      <c r="A399" s="642" t="s">
        <v>7025</v>
      </c>
      <c r="B399" s="642" t="s">
        <v>3398</v>
      </c>
      <c r="C399" s="4" t="s">
        <v>15031</v>
      </c>
      <c r="D399" s="646">
        <v>0</v>
      </c>
      <c r="E399" s="646">
        <v>0</v>
      </c>
      <c r="F399" s="646">
        <v>0</v>
      </c>
      <c r="G399" s="646">
        <v>0</v>
      </c>
      <c r="H399" s="48">
        <v>0</v>
      </c>
      <c r="I399" s="48">
        <v>0</v>
      </c>
      <c r="J399" s="48">
        <v>3951</v>
      </c>
      <c r="K399" s="48">
        <v>4126</v>
      </c>
      <c r="L399" s="48">
        <v>4365</v>
      </c>
      <c r="M399" s="643"/>
      <c r="N399" s="642" t="s">
        <v>1492</v>
      </c>
      <c r="O399" s="4"/>
      <c r="Q399" s="4"/>
      <c r="R399" s="643"/>
      <c r="S399" s="643"/>
    </row>
    <row r="400" spans="1:19">
      <c r="A400" s="642" t="s">
        <v>7570</v>
      </c>
      <c r="B400" s="642" t="s">
        <v>15012</v>
      </c>
      <c r="C400" s="4" t="s">
        <v>15032</v>
      </c>
      <c r="D400" s="646">
        <v>0</v>
      </c>
      <c r="E400" s="646">
        <v>0</v>
      </c>
      <c r="F400" s="646">
        <v>0</v>
      </c>
      <c r="G400" s="646">
        <v>0</v>
      </c>
      <c r="H400" s="48">
        <v>0</v>
      </c>
      <c r="I400" s="48">
        <v>0</v>
      </c>
      <c r="J400" s="48">
        <v>2075</v>
      </c>
      <c r="K400" s="48">
        <v>2315</v>
      </c>
      <c r="L400" s="48">
        <v>2474</v>
      </c>
      <c r="M400" s="643"/>
      <c r="N400" s="642" t="s">
        <v>1492</v>
      </c>
      <c r="O400" s="4"/>
      <c r="Q400" s="4"/>
      <c r="R400" s="643"/>
      <c r="S400" s="643"/>
    </row>
    <row r="401" spans="1:19">
      <c r="A401" s="642" t="s">
        <v>7572</v>
      </c>
      <c r="B401" s="642" t="s">
        <v>7621</v>
      </c>
      <c r="C401" s="4" t="s">
        <v>15033</v>
      </c>
      <c r="D401" s="646">
        <v>0</v>
      </c>
      <c r="E401" s="646">
        <v>0</v>
      </c>
      <c r="F401" s="646">
        <v>0</v>
      </c>
      <c r="G401" s="646">
        <v>0</v>
      </c>
      <c r="H401" s="48">
        <v>0</v>
      </c>
      <c r="I401" s="48">
        <v>0</v>
      </c>
      <c r="J401" s="48">
        <v>4263</v>
      </c>
      <c r="K401" s="48">
        <v>4381</v>
      </c>
      <c r="L401" s="48">
        <v>4336</v>
      </c>
      <c r="M401" s="643"/>
      <c r="N401" s="642" t="s">
        <v>4891</v>
      </c>
      <c r="O401" s="4"/>
      <c r="Q401" s="4"/>
      <c r="R401" s="643"/>
      <c r="S401" s="643"/>
    </row>
    <row r="402" spans="1:19">
      <c r="A402" s="642" t="s">
        <v>7573</v>
      </c>
      <c r="B402" s="642" t="s">
        <v>3399</v>
      </c>
      <c r="C402" s="4" t="s">
        <v>15034</v>
      </c>
      <c r="D402" s="646">
        <v>0</v>
      </c>
      <c r="E402" s="646">
        <v>0</v>
      </c>
      <c r="F402" s="646">
        <v>0</v>
      </c>
      <c r="G402" s="646">
        <v>0</v>
      </c>
      <c r="H402" s="48">
        <v>0</v>
      </c>
      <c r="I402" s="48">
        <v>0</v>
      </c>
      <c r="J402" s="48">
        <v>2110</v>
      </c>
      <c r="K402" s="48">
        <v>2181</v>
      </c>
      <c r="L402" s="48">
        <v>2193</v>
      </c>
      <c r="M402" s="643"/>
      <c r="N402" s="642" t="s">
        <v>1492</v>
      </c>
      <c r="O402" s="4"/>
      <c r="Q402" s="4"/>
      <c r="R402" s="643"/>
      <c r="S402" s="643"/>
    </row>
    <row r="403" spans="1:19">
      <c r="A403" s="642" t="s">
        <v>5798</v>
      </c>
      <c r="B403" s="642" t="s">
        <v>3400</v>
      </c>
      <c r="C403" s="4" t="s">
        <v>15035</v>
      </c>
      <c r="D403" s="646">
        <v>0</v>
      </c>
      <c r="E403" s="646">
        <v>0</v>
      </c>
      <c r="F403" s="646">
        <v>0</v>
      </c>
      <c r="G403" s="646">
        <v>0</v>
      </c>
      <c r="H403" s="48">
        <v>0</v>
      </c>
      <c r="I403" s="48">
        <v>0</v>
      </c>
      <c r="J403" s="48">
        <v>4393</v>
      </c>
      <c r="K403" s="48">
        <v>4518</v>
      </c>
      <c r="L403" s="48">
        <v>4547</v>
      </c>
      <c r="M403" s="643"/>
      <c r="N403" s="642" t="s">
        <v>1492</v>
      </c>
      <c r="O403" s="4"/>
      <c r="Q403" s="4"/>
      <c r="R403" s="643"/>
      <c r="S403" s="643"/>
    </row>
    <row r="404" spans="1:19">
      <c r="A404" s="643"/>
      <c r="B404" s="643"/>
      <c r="C404" s="643"/>
      <c r="D404" s="652"/>
      <c r="E404" s="652"/>
      <c r="F404" s="652"/>
      <c r="G404" s="652"/>
      <c r="H404" s="652"/>
      <c r="I404" s="652"/>
      <c r="J404" s="652"/>
      <c r="K404" s="652"/>
      <c r="L404" s="652"/>
      <c r="M404" s="643"/>
      <c r="N404" s="643"/>
      <c r="R404" s="643"/>
      <c r="S404" s="643"/>
    </row>
    <row r="405" spans="1:19">
      <c r="A405" s="642" t="s">
        <v>1605</v>
      </c>
      <c r="C405" s="643"/>
      <c r="D405" s="646">
        <f>D380+D383+D385+D392+D395+D401</f>
        <v>20438</v>
      </c>
      <c r="E405" s="646">
        <f t="shared" ref="E405:J405" si="242">E380+E383+E385+E392+E395+E401</f>
        <v>20468</v>
      </c>
      <c r="F405" s="646">
        <f t="shared" si="242"/>
        <v>20590</v>
      </c>
      <c r="G405" s="646">
        <f t="shared" si="242"/>
        <v>20649</v>
      </c>
      <c r="H405" s="646">
        <f t="shared" si="242"/>
        <v>20655</v>
      </c>
      <c r="I405" s="646">
        <f t="shared" si="242"/>
        <v>19716</v>
      </c>
      <c r="J405" s="646">
        <f t="shared" si="242"/>
        <v>20387</v>
      </c>
      <c r="K405" s="646">
        <f t="shared" ref="K405:L405" si="243">K380+K383+K385+K392+K395+K401</f>
        <v>21068</v>
      </c>
      <c r="L405" s="646">
        <f t="shared" si="243"/>
        <v>21184</v>
      </c>
      <c r="M405" s="643"/>
      <c r="N405" s="643"/>
      <c r="R405" s="643"/>
      <c r="S405" s="643"/>
    </row>
    <row r="406" spans="1:19">
      <c r="A406" s="642" t="s">
        <v>1492</v>
      </c>
      <c r="C406" s="643"/>
      <c r="D406" s="646">
        <f>D381+D382+D384+SUM(D386:D391)+D393+D394+SUM(D396:D400)+D402+D403</f>
        <v>75509</v>
      </c>
      <c r="E406" s="646">
        <f t="shared" ref="E406:J406" si="244">E381+E382+E384+SUM(E386:E391)+E393+E394+SUM(E396:E400)+E402+E403</f>
        <v>74796</v>
      </c>
      <c r="F406" s="646">
        <f t="shared" si="244"/>
        <v>75770</v>
      </c>
      <c r="G406" s="646">
        <f t="shared" si="244"/>
        <v>76111</v>
      </c>
      <c r="H406" s="646">
        <f t="shared" si="244"/>
        <v>76839</v>
      </c>
      <c r="I406" s="646">
        <f t="shared" si="244"/>
        <v>72615</v>
      </c>
      <c r="J406" s="646">
        <f t="shared" si="244"/>
        <v>75638</v>
      </c>
      <c r="K406" s="646">
        <f t="shared" ref="K406:L406" si="245">K381+K382+K384+SUM(K386:K391)+K393+K394+SUM(K396:K400)+K402+K403</f>
        <v>79966</v>
      </c>
      <c r="L406" s="646">
        <f t="shared" si="245"/>
        <v>81092</v>
      </c>
      <c r="M406" s="643"/>
      <c r="N406" s="643"/>
      <c r="R406" s="643"/>
      <c r="S406" s="643"/>
    </row>
    <row r="407" spans="1:19">
      <c r="A407" s="642"/>
      <c r="C407" s="643"/>
      <c r="D407" s="646"/>
      <c r="E407" s="646"/>
      <c r="F407" s="646"/>
      <c r="G407" s="646"/>
      <c r="H407" s="646"/>
      <c r="I407" s="646"/>
      <c r="J407" s="646"/>
      <c r="K407" s="646"/>
      <c r="L407" s="646"/>
      <c r="M407" s="643"/>
      <c r="N407" s="643"/>
      <c r="R407" s="643"/>
      <c r="S407" s="643"/>
    </row>
    <row r="408" spans="1:19">
      <c r="A408" s="642" t="s">
        <v>15007</v>
      </c>
      <c r="C408" s="643"/>
      <c r="D408" s="646"/>
      <c r="E408" s="646"/>
      <c r="F408" s="646"/>
      <c r="G408" s="646"/>
      <c r="H408" s="646"/>
      <c r="I408" s="646"/>
      <c r="J408" s="646"/>
      <c r="K408" s="646"/>
      <c r="L408" s="646"/>
      <c r="M408" s="643"/>
      <c r="N408" s="643"/>
      <c r="R408" s="643"/>
      <c r="S408" s="643"/>
    </row>
    <row r="409" spans="1:19">
      <c r="B409" s="642"/>
      <c r="C409" s="643"/>
      <c r="D409" s="658"/>
      <c r="E409" s="658"/>
      <c r="F409" s="658"/>
      <c r="G409" s="658"/>
      <c r="H409" s="658"/>
      <c r="I409" s="658"/>
      <c r="J409" s="658"/>
      <c r="K409" s="658"/>
      <c r="L409" s="658"/>
      <c r="M409" s="643"/>
      <c r="N409" s="643"/>
      <c r="R409" s="643"/>
      <c r="S409" s="643"/>
    </row>
    <row r="410" spans="1:19">
      <c r="A410" s="642"/>
      <c r="B410" s="642"/>
      <c r="C410" s="643"/>
      <c r="D410" s="658"/>
      <c r="E410" s="658"/>
      <c r="F410" s="658"/>
      <c r="G410" s="658"/>
      <c r="H410" s="658"/>
      <c r="I410" s="658"/>
      <c r="J410" s="658"/>
      <c r="K410" s="658"/>
      <c r="L410" s="658"/>
      <c r="M410" s="643"/>
      <c r="N410" s="643"/>
      <c r="R410" s="643"/>
      <c r="S410" s="643"/>
    </row>
    <row r="411" spans="1:19">
      <c r="A411" s="643"/>
      <c r="B411" s="643"/>
      <c r="C411" s="643"/>
      <c r="E411" s="42" t="s">
        <v>2303</v>
      </c>
      <c r="F411" s="42"/>
      <c r="G411" s="42"/>
      <c r="H411" s="42"/>
      <c r="I411" s="42"/>
      <c r="J411" s="42"/>
      <c r="K411" s="42"/>
      <c r="L411" s="42"/>
      <c r="M411" s="65"/>
      <c r="N411" s="66" t="s">
        <v>13319</v>
      </c>
      <c r="R411" s="643"/>
      <c r="S411" s="643"/>
    </row>
    <row r="412" spans="1:19">
      <c r="A412" s="643"/>
      <c r="B412" s="643"/>
      <c r="C412" s="643"/>
      <c r="D412" s="55">
        <v>2010</v>
      </c>
      <c r="E412" s="55">
        <v>2011</v>
      </c>
      <c r="F412" s="55">
        <v>2012</v>
      </c>
      <c r="G412" s="55">
        <v>2013</v>
      </c>
      <c r="H412" s="55">
        <v>2014</v>
      </c>
      <c r="I412" s="55">
        <v>2015</v>
      </c>
      <c r="J412" s="55">
        <v>2016</v>
      </c>
      <c r="K412" s="55">
        <v>2017</v>
      </c>
      <c r="L412" s="55">
        <v>2018</v>
      </c>
      <c r="M412" s="643"/>
      <c r="N412" s="67" t="s">
        <v>2304</v>
      </c>
      <c r="R412" s="643"/>
      <c r="S412" s="643"/>
    </row>
    <row r="413" spans="1:19">
      <c r="A413" s="642" t="s">
        <v>3401</v>
      </c>
      <c r="C413" s="643"/>
      <c r="D413" s="646">
        <f t="shared" ref="D413:I413" si="246">SUM(D414:D433)+SUM(D434:D436)</f>
        <v>97254</v>
      </c>
      <c r="E413" s="646">
        <f t="shared" si="246"/>
        <v>93087</v>
      </c>
      <c r="F413" s="646">
        <f t="shared" si="246"/>
        <v>93568</v>
      </c>
      <c r="G413" s="646">
        <f t="shared" si="246"/>
        <v>96861</v>
      </c>
      <c r="H413" s="646">
        <f t="shared" si="246"/>
        <v>99158</v>
      </c>
      <c r="I413" s="646">
        <f t="shared" si="246"/>
        <v>95394</v>
      </c>
      <c r="J413" s="646">
        <f t="shared" ref="J413:K413" si="247">SUM(J414:J433)+SUM(J434:J436)</f>
        <v>96967</v>
      </c>
      <c r="K413" s="646">
        <f t="shared" si="247"/>
        <v>97551</v>
      </c>
      <c r="L413" s="646">
        <f t="shared" ref="L413" si="248">SUM(L414:L433)+SUM(L434:L436)</f>
        <v>98389</v>
      </c>
      <c r="M413" s="643"/>
      <c r="N413" s="643"/>
      <c r="R413" s="643"/>
      <c r="S413" s="643"/>
    </row>
    <row r="414" spans="1:19">
      <c r="A414" s="642" t="s">
        <v>6957</v>
      </c>
      <c r="B414" s="642" t="s">
        <v>3402</v>
      </c>
      <c r="C414" s="4" t="s">
        <v>10940</v>
      </c>
      <c r="D414" s="646">
        <v>3353</v>
      </c>
      <c r="E414" s="646">
        <v>3246</v>
      </c>
      <c r="F414" s="646">
        <v>3184</v>
      </c>
      <c r="G414" s="30">
        <v>3387</v>
      </c>
      <c r="H414" s="30">
        <v>3470</v>
      </c>
      <c r="I414" s="30">
        <v>3345</v>
      </c>
      <c r="J414" s="30">
        <v>3395</v>
      </c>
      <c r="K414" s="30">
        <v>3396</v>
      </c>
      <c r="L414" s="30">
        <v>3402</v>
      </c>
      <c r="M414" s="643"/>
      <c r="N414" s="642" t="s">
        <v>1493</v>
      </c>
      <c r="O414" s="4"/>
      <c r="Q414" s="4"/>
      <c r="R414" s="643"/>
      <c r="S414" s="643"/>
    </row>
    <row r="415" spans="1:19">
      <c r="A415" s="642" t="s">
        <v>6959</v>
      </c>
      <c r="B415" s="642" t="s">
        <v>3403</v>
      </c>
      <c r="C415" s="4" t="s">
        <v>10941</v>
      </c>
      <c r="D415" s="646">
        <v>3252</v>
      </c>
      <c r="E415" s="646">
        <v>3181</v>
      </c>
      <c r="F415" s="646">
        <v>3127</v>
      </c>
      <c r="G415" s="30">
        <v>3200</v>
      </c>
      <c r="H415" s="30">
        <v>3287</v>
      </c>
      <c r="I415" s="30">
        <v>3196</v>
      </c>
      <c r="J415" s="30">
        <v>3252</v>
      </c>
      <c r="K415" s="30">
        <v>3279</v>
      </c>
      <c r="L415" s="30">
        <v>3242</v>
      </c>
      <c r="M415" s="643"/>
      <c r="N415" s="642" t="s">
        <v>1488</v>
      </c>
      <c r="O415" s="4"/>
      <c r="Q415" s="4"/>
      <c r="R415" s="643"/>
      <c r="S415" s="643"/>
    </row>
    <row r="416" spans="1:19">
      <c r="A416" s="642" t="s">
        <v>6961</v>
      </c>
      <c r="B416" s="642" t="s">
        <v>3404</v>
      </c>
      <c r="C416" s="4" t="s">
        <v>10942</v>
      </c>
      <c r="D416" s="646">
        <v>5116</v>
      </c>
      <c r="E416" s="646">
        <v>4973</v>
      </c>
      <c r="F416" s="646">
        <v>4978</v>
      </c>
      <c r="G416" s="30">
        <v>5246</v>
      </c>
      <c r="H416" s="30">
        <v>5262</v>
      </c>
      <c r="I416" s="30">
        <v>5095</v>
      </c>
      <c r="J416" s="30">
        <v>5203</v>
      </c>
      <c r="K416" s="30">
        <v>5231</v>
      </c>
      <c r="L416" s="30">
        <v>5215</v>
      </c>
      <c r="M416" s="643"/>
      <c r="N416" s="642" t="s">
        <v>1488</v>
      </c>
      <c r="O416" s="4"/>
      <c r="Q416" s="4"/>
      <c r="R416" s="643"/>
      <c r="S416" s="643"/>
    </row>
    <row r="417" spans="1:19">
      <c r="A417" s="642" t="s">
        <v>6963</v>
      </c>
      <c r="B417" s="642" t="s">
        <v>3405</v>
      </c>
      <c r="C417" s="4" t="s">
        <v>10943</v>
      </c>
      <c r="D417" s="646">
        <v>3300</v>
      </c>
      <c r="E417" s="646">
        <v>3230</v>
      </c>
      <c r="F417" s="646">
        <v>3198</v>
      </c>
      <c r="G417" s="30">
        <v>3157</v>
      </c>
      <c r="H417" s="30">
        <v>3229</v>
      </c>
      <c r="I417" s="30">
        <v>3185</v>
      </c>
      <c r="J417" s="30">
        <v>3240</v>
      </c>
      <c r="K417" s="30">
        <v>3235</v>
      </c>
      <c r="L417" s="30">
        <v>3230</v>
      </c>
      <c r="M417" s="643"/>
      <c r="N417" s="642" t="s">
        <v>1493</v>
      </c>
      <c r="O417" s="4"/>
      <c r="Q417" s="4"/>
      <c r="R417" s="643"/>
      <c r="S417" s="643"/>
    </row>
    <row r="418" spans="1:19">
      <c r="A418" s="642" t="s">
        <v>6965</v>
      </c>
      <c r="B418" s="642" t="s">
        <v>3406</v>
      </c>
      <c r="C418" s="4" t="s">
        <v>10944</v>
      </c>
      <c r="D418" s="646">
        <v>5596</v>
      </c>
      <c r="E418" s="646">
        <v>5319</v>
      </c>
      <c r="F418" s="646">
        <v>5400</v>
      </c>
      <c r="G418" s="30">
        <v>5421</v>
      </c>
      <c r="H418" s="30">
        <v>5629</v>
      </c>
      <c r="I418" s="30">
        <v>5378</v>
      </c>
      <c r="J418" s="30">
        <v>5511</v>
      </c>
      <c r="K418" s="30">
        <v>5614</v>
      </c>
      <c r="L418" s="30">
        <v>5731</v>
      </c>
      <c r="M418" s="643"/>
      <c r="N418" s="642" t="s">
        <v>1493</v>
      </c>
      <c r="O418" s="4"/>
      <c r="Q418" s="4"/>
      <c r="R418" s="643"/>
      <c r="S418" s="643"/>
    </row>
    <row r="419" spans="1:19">
      <c r="A419" s="642" t="s">
        <v>6997</v>
      </c>
      <c r="B419" s="642" t="s">
        <v>3407</v>
      </c>
      <c r="C419" s="4" t="s">
        <v>10945</v>
      </c>
      <c r="D419" s="646">
        <v>3843</v>
      </c>
      <c r="E419" s="646">
        <v>3710</v>
      </c>
      <c r="F419" s="646">
        <v>3739</v>
      </c>
      <c r="G419" s="30">
        <v>3792</v>
      </c>
      <c r="H419" s="30">
        <v>3878</v>
      </c>
      <c r="I419" s="30">
        <v>3806</v>
      </c>
      <c r="J419" s="30">
        <v>3862</v>
      </c>
      <c r="K419" s="30">
        <v>3924</v>
      </c>
      <c r="L419" s="30">
        <v>3933</v>
      </c>
      <c r="M419" s="643"/>
      <c r="N419" s="642" t="s">
        <v>1493</v>
      </c>
      <c r="O419" s="4"/>
      <c r="Q419" s="4"/>
      <c r="R419" s="643"/>
      <c r="S419" s="643"/>
    </row>
    <row r="420" spans="1:19">
      <c r="A420" s="642" t="s">
        <v>6999</v>
      </c>
      <c r="B420" s="642" t="s">
        <v>3408</v>
      </c>
      <c r="C420" s="4" t="s">
        <v>10946</v>
      </c>
      <c r="D420" s="646">
        <v>5100</v>
      </c>
      <c r="E420" s="646">
        <v>4987</v>
      </c>
      <c r="F420" s="646">
        <v>4974</v>
      </c>
      <c r="G420" s="30">
        <v>4959</v>
      </c>
      <c r="H420" s="30">
        <v>5087</v>
      </c>
      <c r="I420" s="30">
        <v>5016</v>
      </c>
      <c r="J420" s="30">
        <v>5133</v>
      </c>
      <c r="K420" s="30">
        <v>5084</v>
      </c>
      <c r="L420" s="30">
        <v>5106</v>
      </c>
      <c r="M420" s="643"/>
      <c r="N420" s="642" t="s">
        <v>1493</v>
      </c>
      <c r="O420" s="4"/>
      <c r="Q420" s="4"/>
      <c r="R420" s="643"/>
      <c r="S420" s="643"/>
    </row>
    <row r="421" spans="1:19">
      <c r="A421" s="642" t="s">
        <v>7001</v>
      </c>
      <c r="B421" s="642" t="s">
        <v>3386</v>
      </c>
      <c r="C421" s="4" t="s">
        <v>10947</v>
      </c>
      <c r="D421" s="646">
        <v>4869</v>
      </c>
      <c r="E421" s="646">
        <v>4319</v>
      </c>
      <c r="F421" s="646">
        <v>4498</v>
      </c>
      <c r="G421" s="30">
        <v>4694</v>
      </c>
      <c r="H421" s="30">
        <v>4788</v>
      </c>
      <c r="I421" s="30">
        <v>4300</v>
      </c>
      <c r="J421" s="30">
        <v>4571</v>
      </c>
      <c r="K421" s="30">
        <v>4559</v>
      </c>
      <c r="L421" s="30">
        <v>4811</v>
      </c>
      <c r="M421" s="643"/>
      <c r="N421" s="642" t="s">
        <v>1493</v>
      </c>
      <c r="O421" s="4"/>
      <c r="Q421" s="4"/>
      <c r="R421" s="643"/>
      <c r="S421" s="643"/>
    </row>
    <row r="422" spans="1:19">
      <c r="A422" s="642" t="s">
        <v>7003</v>
      </c>
      <c r="B422" s="642" t="s">
        <v>3387</v>
      </c>
      <c r="C422" s="4" t="s">
        <v>10948</v>
      </c>
      <c r="D422" s="646">
        <v>5383</v>
      </c>
      <c r="E422" s="646">
        <v>5167</v>
      </c>
      <c r="F422" s="646">
        <v>5175</v>
      </c>
      <c r="G422" s="30">
        <v>5345</v>
      </c>
      <c r="H422" s="30">
        <v>5386</v>
      </c>
      <c r="I422" s="30">
        <v>5179</v>
      </c>
      <c r="J422" s="30">
        <v>5256</v>
      </c>
      <c r="K422" s="30">
        <v>5195</v>
      </c>
      <c r="L422" s="30">
        <v>5173</v>
      </c>
      <c r="M422" s="643"/>
      <c r="N422" s="642" t="s">
        <v>1488</v>
      </c>
      <c r="O422" s="4"/>
      <c r="Q422" s="4"/>
      <c r="R422" s="643"/>
      <c r="S422" s="643"/>
    </row>
    <row r="423" spans="1:19">
      <c r="A423" s="642" t="s">
        <v>7005</v>
      </c>
      <c r="B423" s="642" t="s">
        <v>3388</v>
      </c>
      <c r="C423" s="4" t="s">
        <v>10949</v>
      </c>
      <c r="D423" s="646">
        <v>5187</v>
      </c>
      <c r="E423" s="646">
        <v>4741</v>
      </c>
      <c r="F423" s="646">
        <v>4778</v>
      </c>
      <c r="G423" s="31">
        <v>4934</v>
      </c>
      <c r="H423" s="31">
        <v>5144</v>
      </c>
      <c r="I423" s="31">
        <v>4739</v>
      </c>
      <c r="J423" s="31">
        <v>4920</v>
      </c>
      <c r="K423" s="31">
        <v>4949</v>
      </c>
      <c r="L423" s="31">
        <v>5076</v>
      </c>
      <c r="M423" s="643"/>
      <c r="N423" s="642" t="s">
        <v>1493</v>
      </c>
      <c r="O423" s="4"/>
      <c r="Q423" s="4"/>
      <c r="R423" s="643"/>
      <c r="S423" s="643"/>
    </row>
    <row r="424" spans="1:19">
      <c r="A424" s="642" t="s">
        <v>7007</v>
      </c>
      <c r="B424" s="642" t="s">
        <v>3389</v>
      </c>
      <c r="C424" s="4" t="s">
        <v>10950</v>
      </c>
      <c r="D424" s="646">
        <v>3672</v>
      </c>
      <c r="E424" s="646">
        <v>3463</v>
      </c>
      <c r="F424" s="646">
        <v>3518</v>
      </c>
      <c r="G424" s="30">
        <v>3737</v>
      </c>
      <c r="H424" s="30">
        <v>3806</v>
      </c>
      <c r="I424" s="30">
        <v>3706</v>
      </c>
      <c r="J424" s="30">
        <v>3699</v>
      </c>
      <c r="K424" s="30">
        <v>3709</v>
      </c>
      <c r="L424" s="30">
        <v>3703</v>
      </c>
      <c r="M424" s="643"/>
      <c r="N424" s="642" t="s">
        <v>1488</v>
      </c>
      <c r="O424" s="4"/>
      <c r="Q424" s="4"/>
      <c r="R424" s="643"/>
      <c r="S424" s="643"/>
    </row>
    <row r="425" spans="1:19">
      <c r="A425" s="642" t="s">
        <v>7009</v>
      </c>
      <c r="B425" s="642" t="s">
        <v>3390</v>
      </c>
      <c r="C425" s="4" t="s">
        <v>10951</v>
      </c>
      <c r="D425" s="646">
        <v>1758</v>
      </c>
      <c r="E425" s="646">
        <v>1746</v>
      </c>
      <c r="F425" s="646">
        <v>1729</v>
      </c>
      <c r="G425" s="31">
        <v>1732</v>
      </c>
      <c r="H425" s="31">
        <v>1753</v>
      </c>
      <c r="I425" s="31">
        <v>1695</v>
      </c>
      <c r="J425" s="31">
        <v>1708</v>
      </c>
      <c r="K425" s="31">
        <v>1735</v>
      </c>
      <c r="L425" s="31">
        <v>1733</v>
      </c>
      <c r="M425" s="643"/>
      <c r="N425" s="642" t="s">
        <v>1493</v>
      </c>
      <c r="O425" s="4"/>
      <c r="Q425" s="4"/>
      <c r="R425" s="643"/>
      <c r="S425" s="643"/>
    </row>
    <row r="426" spans="1:19">
      <c r="A426" s="642" t="s">
        <v>7011</v>
      </c>
      <c r="B426" s="642" t="s">
        <v>3391</v>
      </c>
      <c r="C426" s="4" t="s">
        <v>10952</v>
      </c>
      <c r="D426" s="646">
        <v>3198</v>
      </c>
      <c r="E426" s="646">
        <v>2884</v>
      </c>
      <c r="F426" s="646">
        <v>2957</v>
      </c>
      <c r="G426" s="30">
        <v>3214</v>
      </c>
      <c r="H426" s="30">
        <v>3290</v>
      </c>
      <c r="I426" s="30">
        <v>2989</v>
      </c>
      <c r="J426" s="30">
        <v>3199</v>
      </c>
      <c r="K426" s="30">
        <v>3220</v>
      </c>
      <c r="L426" s="30">
        <v>3317</v>
      </c>
      <c r="M426" s="643"/>
      <c r="N426" s="642" t="s">
        <v>1488</v>
      </c>
      <c r="O426" s="4"/>
      <c r="Q426" s="4"/>
      <c r="R426" s="643"/>
      <c r="S426" s="643"/>
    </row>
    <row r="427" spans="1:19">
      <c r="A427" s="642" t="s">
        <v>7013</v>
      </c>
      <c r="B427" s="642" t="s">
        <v>3392</v>
      </c>
      <c r="C427" s="4" t="s">
        <v>10953</v>
      </c>
      <c r="D427" s="646">
        <v>3474</v>
      </c>
      <c r="E427" s="646">
        <v>3393</v>
      </c>
      <c r="F427" s="646">
        <v>3418</v>
      </c>
      <c r="G427" s="31">
        <v>3471</v>
      </c>
      <c r="H427" s="31">
        <v>3563</v>
      </c>
      <c r="I427" s="31">
        <v>3495</v>
      </c>
      <c r="J427" s="31">
        <v>3498</v>
      </c>
      <c r="K427" s="31">
        <v>3570</v>
      </c>
      <c r="L427" s="31">
        <v>3582</v>
      </c>
      <c r="M427" s="643"/>
      <c r="N427" s="642" t="s">
        <v>1493</v>
      </c>
      <c r="O427" s="4"/>
      <c r="Q427" s="4"/>
      <c r="R427" s="643"/>
      <c r="S427" s="643"/>
    </row>
    <row r="428" spans="1:19">
      <c r="A428" s="642" t="s">
        <v>7015</v>
      </c>
      <c r="B428" s="642" t="s">
        <v>2597</v>
      </c>
      <c r="C428" s="4" t="s">
        <v>10954</v>
      </c>
      <c r="D428" s="646">
        <v>3325</v>
      </c>
      <c r="E428" s="646">
        <v>3177</v>
      </c>
      <c r="F428" s="646">
        <v>3223</v>
      </c>
      <c r="G428" s="31">
        <v>3527</v>
      </c>
      <c r="H428" s="31">
        <v>3724</v>
      </c>
      <c r="I428" s="31">
        <v>3621</v>
      </c>
      <c r="J428" s="31">
        <v>3530</v>
      </c>
      <c r="K428" s="31">
        <v>3561</v>
      </c>
      <c r="L428" s="31">
        <v>3523</v>
      </c>
      <c r="M428" s="643"/>
      <c r="N428" s="642" t="s">
        <v>1493</v>
      </c>
      <c r="O428" s="4"/>
      <c r="Q428" s="4"/>
      <c r="R428" s="643"/>
      <c r="S428" s="643"/>
    </row>
    <row r="429" spans="1:19">
      <c r="A429" s="642" t="s">
        <v>7017</v>
      </c>
      <c r="B429" s="642" t="s">
        <v>7778</v>
      </c>
      <c r="C429" s="4" t="s">
        <v>10955</v>
      </c>
      <c r="D429" s="646">
        <v>4894</v>
      </c>
      <c r="E429" s="646">
        <v>4808</v>
      </c>
      <c r="F429" s="646">
        <v>4797</v>
      </c>
      <c r="G429" s="31">
        <v>4801</v>
      </c>
      <c r="H429" s="31">
        <v>5055</v>
      </c>
      <c r="I429" s="31">
        <v>4913</v>
      </c>
      <c r="J429" s="31">
        <v>4914</v>
      </c>
      <c r="K429" s="31">
        <v>4776</v>
      </c>
      <c r="L429" s="31">
        <v>4801</v>
      </c>
      <c r="M429" s="643"/>
      <c r="N429" s="642" t="s">
        <v>1493</v>
      </c>
      <c r="O429" s="4"/>
      <c r="Q429" s="4"/>
      <c r="R429" s="643"/>
      <c r="S429" s="643"/>
    </row>
    <row r="430" spans="1:19">
      <c r="A430" s="642" t="s">
        <v>7019</v>
      </c>
      <c r="B430" s="642" t="s">
        <v>7087</v>
      </c>
      <c r="C430" s="4" t="s">
        <v>10956</v>
      </c>
      <c r="D430" s="646">
        <v>5619</v>
      </c>
      <c r="E430" s="646">
        <v>5522</v>
      </c>
      <c r="F430" s="646">
        <v>5502</v>
      </c>
      <c r="G430" s="31">
        <v>5515</v>
      </c>
      <c r="H430" s="31">
        <v>5558</v>
      </c>
      <c r="I430" s="31">
        <v>5404</v>
      </c>
      <c r="J430" s="31">
        <v>5459</v>
      </c>
      <c r="K430" s="31">
        <v>5406</v>
      </c>
      <c r="L430" s="31">
        <v>5419</v>
      </c>
      <c r="M430" s="643"/>
      <c r="N430" s="642" t="s">
        <v>1493</v>
      </c>
      <c r="O430" s="4"/>
      <c r="Q430" s="4"/>
      <c r="R430" s="643"/>
      <c r="S430" s="643"/>
    </row>
    <row r="431" spans="1:19">
      <c r="A431" s="642" t="s">
        <v>7021</v>
      </c>
      <c r="B431" s="642" t="s">
        <v>3393</v>
      </c>
      <c r="C431" s="4" t="s">
        <v>10957</v>
      </c>
      <c r="D431" s="646">
        <v>3769</v>
      </c>
      <c r="E431" s="646">
        <v>3549</v>
      </c>
      <c r="F431" s="646">
        <v>3720</v>
      </c>
      <c r="G431" s="30">
        <v>4042</v>
      </c>
      <c r="H431" s="30">
        <v>4156</v>
      </c>
      <c r="I431" s="30">
        <v>3939</v>
      </c>
      <c r="J431" s="30">
        <v>3886</v>
      </c>
      <c r="K431" s="30">
        <v>3911</v>
      </c>
      <c r="L431" s="30">
        <v>3943</v>
      </c>
      <c r="M431" s="643"/>
      <c r="N431" s="642" t="s">
        <v>1488</v>
      </c>
      <c r="O431" s="4"/>
      <c r="Q431" s="4"/>
      <c r="R431" s="643"/>
      <c r="S431" s="643"/>
    </row>
    <row r="432" spans="1:19">
      <c r="A432" s="642" t="s">
        <v>7023</v>
      </c>
      <c r="B432" s="642" t="s">
        <v>3394</v>
      </c>
      <c r="C432" s="4" t="s">
        <v>10958</v>
      </c>
      <c r="D432" s="646">
        <v>3643</v>
      </c>
      <c r="E432" s="646">
        <v>3456</v>
      </c>
      <c r="F432" s="646">
        <v>3414</v>
      </c>
      <c r="G432" s="31">
        <v>3647</v>
      </c>
      <c r="H432" s="31">
        <v>3733</v>
      </c>
      <c r="I432" s="31">
        <v>3557</v>
      </c>
      <c r="J432" s="31">
        <v>3630</v>
      </c>
      <c r="K432" s="31">
        <v>3610</v>
      </c>
      <c r="L432" s="31">
        <v>3632</v>
      </c>
      <c r="M432" s="643"/>
      <c r="N432" s="642" t="s">
        <v>1493</v>
      </c>
      <c r="O432" s="4"/>
      <c r="Q432" s="4"/>
      <c r="R432" s="643"/>
      <c r="S432" s="643"/>
    </row>
    <row r="433" spans="1:19">
      <c r="A433" s="642" t="s">
        <v>7025</v>
      </c>
      <c r="B433" s="642" t="s">
        <v>5098</v>
      </c>
      <c r="C433" s="4" t="s">
        <v>10959</v>
      </c>
      <c r="D433" s="646">
        <v>4900</v>
      </c>
      <c r="E433" s="646">
        <v>4753</v>
      </c>
      <c r="F433" s="646">
        <v>4826</v>
      </c>
      <c r="G433" s="30">
        <v>5166</v>
      </c>
      <c r="H433" s="30">
        <v>5225</v>
      </c>
      <c r="I433" s="30">
        <v>5076</v>
      </c>
      <c r="J433" s="30">
        <v>5193</v>
      </c>
      <c r="K433" s="30">
        <v>5256</v>
      </c>
      <c r="L433" s="30">
        <v>5451</v>
      </c>
      <c r="M433" s="643"/>
      <c r="N433" s="642" t="s">
        <v>1488</v>
      </c>
      <c r="O433" s="4"/>
      <c r="Q433" s="4"/>
      <c r="R433" s="643"/>
      <c r="S433" s="643"/>
    </row>
    <row r="434" spans="1:19">
      <c r="A434" s="642" t="s">
        <v>7570</v>
      </c>
      <c r="B434" s="642" t="s">
        <v>5099</v>
      </c>
      <c r="C434" s="4" t="s">
        <v>10960</v>
      </c>
      <c r="D434" s="646">
        <v>5508</v>
      </c>
      <c r="E434" s="646">
        <v>5347</v>
      </c>
      <c r="F434" s="646">
        <v>5242</v>
      </c>
      <c r="G434" s="31">
        <v>5398</v>
      </c>
      <c r="H434" s="31">
        <v>5553</v>
      </c>
      <c r="I434" s="31">
        <v>5527</v>
      </c>
      <c r="J434" s="31">
        <v>5558</v>
      </c>
      <c r="K434" s="31">
        <v>5695</v>
      </c>
      <c r="L434" s="31">
        <v>5686</v>
      </c>
      <c r="M434" s="643"/>
      <c r="N434" s="642" t="s">
        <v>1493</v>
      </c>
      <c r="O434" s="4"/>
      <c r="Q434" s="4"/>
      <c r="R434" s="643"/>
      <c r="S434" s="643"/>
    </row>
    <row r="435" spans="1:19">
      <c r="A435" s="642" t="s">
        <v>7572</v>
      </c>
      <c r="B435" s="642" t="s">
        <v>5100</v>
      </c>
      <c r="C435" s="4" t="s">
        <v>10961</v>
      </c>
      <c r="D435" s="646">
        <v>3228</v>
      </c>
      <c r="E435" s="646">
        <v>3048</v>
      </c>
      <c r="F435" s="646">
        <v>3039</v>
      </c>
      <c r="G435" s="30">
        <v>3152</v>
      </c>
      <c r="H435" s="30">
        <v>3234</v>
      </c>
      <c r="I435" s="30">
        <v>3108</v>
      </c>
      <c r="J435" s="30">
        <v>3161</v>
      </c>
      <c r="K435" s="30">
        <v>3246</v>
      </c>
      <c r="L435" s="30">
        <v>3244</v>
      </c>
      <c r="M435" s="643"/>
      <c r="N435" s="642" t="s">
        <v>1488</v>
      </c>
      <c r="O435" s="4"/>
      <c r="Q435" s="4"/>
      <c r="R435" s="643"/>
      <c r="S435" s="643"/>
    </row>
    <row r="436" spans="1:19">
      <c r="A436" s="642" t="s">
        <v>7573</v>
      </c>
      <c r="B436" s="642" t="s">
        <v>5101</v>
      </c>
      <c r="C436" s="4" t="s">
        <v>10962</v>
      </c>
      <c r="D436" s="646">
        <v>5267</v>
      </c>
      <c r="E436" s="646">
        <v>5068</v>
      </c>
      <c r="F436" s="646">
        <v>5132</v>
      </c>
      <c r="G436" s="30">
        <v>5324</v>
      </c>
      <c r="H436" s="30">
        <v>5348</v>
      </c>
      <c r="I436" s="30">
        <v>5125</v>
      </c>
      <c r="J436" s="30">
        <v>5189</v>
      </c>
      <c r="K436" s="30">
        <v>5390</v>
      </c>
      <c r="L436" s="30">
        <v>5436</v>
      </c>
      <c r="M436" s="643"/>
      <c r="N436" s="642" t="s">
        <v>1488</v>
      </c>
      <c r="O436" s="4"/>
      <c r="Q436" s="4"/>
      <c r="R436" s="643"/>
      <c r="S436" s="643"/>
    </row>
    <row r="437" spans="1:19">
      <c r="A437" s="643"/>
      <c r="B437" s="643"/>
      <c r="C437" s="643"/>
      <c r="D437" s="652"/>
      <c r="E437" s="652"/>
      <c r="F437" s="652"/>
      <c r="G437" s="652"/>
      <c r="H437" s="652"/>
      <c r="I437" s="652"/>
      <c r="J437" s="652"/>
      <c r="K437" s="652"/>
      <c r="L437" s="652"/>
      <c r="M437" s="643"/>
      <c r="N437" s="643"/>
      <c r="R437" s="643"/>
      <c r="S437" s="643"/>
    </row>
    <row r="438" spans="1:19">
      <c r="A438" s="642" t="s">
        <v>2778</v>
      </c>
      <c r="C438" s="643"/>
      <c r="D438" s="646">
        <f t="shared" ref="D438:I438" si="249">D415+D416+D422+D424+D426+D431+D433+D435+D436</f>
        <v>37785</v>
      </c>
      <c r="E438" s="646">
        <f t="shared" si="249"/>
        <v>36086</v>
      </c>
      <c r="F438" s="646">
        <f t="shared" si="249"/>
        <v>36472</v>
      </c>
      <c r="G438" s="646">
        <f t="shared" si="249"/>
        <v>38426</v>
      </c>
      <c r="H438" s="646">
        <f t="shared" si="249"/>
        <v>38994</v>
      </c>
      <c r="I438" s="646">
        <f t="shared" si="249"/>
        <v>37413</v>
      </c>
      <c r="J438" s="646">
        <f t="shared" ref="J438:K438" si="250">J415+J416+J422+J424+J426+J431+J433+J435+J436</f>
        <v>38038</v>
      </c>
      <c r="K438" s="646">
        <f t="shared" si="250"/>
        <v>38437</v>
      </c>
      <c r="L438" s="646">
        <f t="shared" ref="L438" si="251">L415+L416+L422+L424+L426+L431+L433+L435+L436</f>
        <v>38724</v>
      </c>
      <c r="M438" s="643"/>
      <c r="N438" s="643"/>
      <c r="R438" s="643"/>
      <c r="S438" s="643"/>
    </row>
    <row r="439" spans="1:19">
      <c r="A439" s="642" t="s">
        <v>3261</v>
      </c>
      <c r="C439" s="643"/>
      <c r="D439" s="646">
        <f t="shared" ref="D439:I439" si="252">D414+SUM(D417:D421)+D423+D425+SUM(D427:D430)+D432+D434</f>
        <v>59469</v>
      </c>
      <c r="E439" s="646">
        <f t="shared" si="252"/>
        <v>57001</v>
      </c>
      <c r="F439" s="646">
        <f t="shared" si="252"/>
        <v>57096</v>
      </c>
      <c r="G439" s="646">
        <f t="shared" si="252"/>
        <v>58435</v>
      </c>
      <c r="H439" s="646">
        <f t="shared" si="252"/>
        <v>60164</v>
      </c>
      <c r="I439" s="646">
        <f t="shared" si="252"/>
        <v>57981</v>
      </c>
      <c r="J439" s="646">
        <f t="shared" ref="J439:K439" si="253">J414+SUM(J417:J421)+J423+J425+SUM(J427:J430)+J432+J434</f>
        <v>58929</v>
      </c>
      <c r="K439" s="646">
        <f t="shared" si="253"/>
        <v>59114</v>
      </c>
      <c r="L439" s="646">
        <f t="shared" ref="L439" si="254">L414+SUM(L417:L421)+L423+L425+SUM(L427:L430)+L432+L434</f>
        <v>59665</v>
      </c>
      <c r="M439" s="643"/>
      <c r="N439" s="643"/>
      <c r="R439" s="643"/>
      <c r="S439" s="643"/>
    </row>
    <row r="440" spans="1:19">
      <c r="A440" s="642"/>
      <c r="C440" s="643"/>
      <c r="D440" s="646"/>
      <c r="E440" s="646"/>
      <c r="F440" s="646"/>
      <c r="G440" s="646"/>
      <c r="H440" s="646"/>
      <c r="I440" s="646"/>
      <c r="J440" s="646"/>
      <c r="K440" s="646"/>
      <c r="L440" s="646"/>
      <c r="M440" s="643"/>
      <c r="N440" s="643"/>
      <c r="R440" s="643"/>
      <c r="S440" s="643"/>
    </row>
    <row r="441" spans="1:19">
      <c r="A441" s="642" t="s">
        <v>5102</v>
      </c>
      <c r="C441" s="643"/>
      <c r="D441" s="646"/>
      <c r="E441" s="646"/>
      <c r="F441" s="646"/>
      <c r="G441" s="646"/>
      <c r="H441" s="646"/>
      <c r="I441" s="646"/>
      <c r="J441" s="646"/>
      <c r="K441" s="646"/>
      <c r="L441" s="646"/>
      <c r="M441" s="643"/>
      <c r="N441" s="643"/>
      <c r="R441" s="643"/>
      <c r="S441" s="643"/>
    </row>
    <row r="442" spans="1:19">
      <c r="A442" s="642"/>
      <c r="B442" s="642"/>
      <c r="C442" s="643"/>
      <c r="D442" s="658"/>
      <c r="E442" s="658"/>
      <c r="F442" s="658"/>
      <c r="G442" s="658"/>
      <c r="H442" s="658"/>
      <c r="I442" s="658"/>
      <c r="J442" s="658"/>
      <c r="K442" s="658"/>
      <c r="L442" s="658"/>
      <c r="M442" s="643"/>
      <c r="N442" s="643"/>
      <c r="R442" s="643"/>
      <c r="S442" s="643"/>
    </row>
    <row r="443" spans="1:19">
      <c r="A443" s="643"/>
      <c r="B443" s="643"/>
      <c r="C443" s="643"/>
      <c r="D443" s="55"/>
      <c r="E443" s="55"/>
      <c r="F443" s="55"/>
      <c r="G443" s="55"/>
      <c r="H443" s="55"/>
      <c r="I443" s="55"/>
      <c r="J443" s="55"/>
      <c r="K443" s="55"/>
      <c r="L443" s="55"/>
      <c r="M443" s="65"/>
      <c r="R443" s="643"/>
      <c r="S443" s="643"/>
    </row>
    <row r="444" spans="1:19">
      <c r="A444" s="643"/>
      <c r="B444" s="643"/>
      <c r="C444" s="643"/>
      <c r="E444" s="42" t="s">
        <v>2303</v>
      </c>
      <c r="F444" s="42"/>
      <c r="G444" s="42"/>
      <c r="H444" s="42"/>
      <c r="I444" s="42"/>
      <c r="J444" s="42"/>
      <c r="K444" s="42"/>
      <c r="L444" s="42"/>
      <c r="M444" s="65"/>
      <c r="N444" s="66" t="s">
        <v>13319</v>
      </c>
      <c r="R444" s="643"/>
      <c r="S444" s="643"/>
    </row>
    <row r="445" spans="1:19">
      <c r="A445" s="643"/>
      <c r="B445" s="643"/>
      <c r="C445" s="643"/>
      <c r="D445" s="55">
        <v>2010</v>
      </c>
      <c r="E445" s="55">
        <v>2011</v>
      </c>
      <c r="F445" s="55">
        <v>2012</v>
      </c>
      <c r="G445" s="55">
        <v>2013</v>
      </c>
      <c r="H445" s="55">
        <v>2014</v>
      </c>
      <c r="I445" s="55">
        <v>2015</v>
      </c>
      <c r="J445" s="55">
        <v>2016</v>
      </c>
      <c r="K445" s="55">
        <v>2017</v>
      </c>
      <c r="L445" s="55">
        <v>2018</v>
      </c>
      <c r="M445" s="643"/>
      <c r="N445" s="67" t="s">
        <v>2304</v>
      </c>
      <c r="R445" s="643"/>
      <c r="S445" s="643"/>
    </row>
    <row r="446" spans="1:19">
      <c r="A446" s="642" t="s">
        <v>5103</v>
      </c>
      <c r="C446" s="643"/>
      <c r="D446" s="646">
        <f t="shared" ref="D446:I446" si="255">SUM(D447:D470)</f>
        <v>86711</v>
      </c>
      <c r="E446" s="646">
        <f t="shared" si="255"/>
        <v>88265</v>
      </c>
      <c r="F446" s="646">
        <f t="shared" si="255"/>
        <v>89315</v>
      </c>
      <c r="G446" s="646">
        <f t="shared" si="255"/>
        <v>90368</v>
      </c>
      <c r="H446" s="646">
        <f t="shared" si="255"/>
        <v>84991</v>
      </c>
      <c r="I446" s="646">
        <f t="shared" si="255"/>
        <v>88590</v>
      </c>
      <c r="J446" s="646">
        <f>SUM(J447:J470)</f>
        <v>90032</v>
      </c>
      <c r="K446" s="646">
        <f>SUM(K447:K470)</f>
        <v>94397</v>
      </c>
      <c r="L446" s="646">
        <f>SUM(L447:L470)</f>
        <v>95384</v>
      </c>
      <c r="M446" s="643"/>
      <c r="N446" s="643"/>
      <c r="R446" s="643"/>
      <c r="S446" s="643"/>
    </row>
    <row r="447" spans="1:19">
      <c r="A447" s="642" t="s">
        <v>6957</v>
      </c>
      <c r="B447" s="642" t="s">
        <v>13914</v>
      </c>
      <c r="C447" s="4" t="s">
        <v>14279</v>
      </c>
      <c r="D447" s="646">
        <v>27563</v>
      </c>
      <c r="E447" s="646">
        <v>28114</v>
      </c>
      <c r="F447" s="646">
        <v>28408</v>
      </c>
      <c r="G447" s="646">
        <v>28783</v>
      </c>
      <c r="H447" s="48">
        <v>26601</v>
      </c>
      <c r="I447" s="48">
        <v>4950</v>
      </c>
      <c r="J447" s="48">
        <v>4948</v>
      </c>
      <c r="K447" s="48">
        <v>5173</v>
      </c>
      <c r="L447" s="48">
        <v>5187</v>
      </c>
      <c r="M447" s="643"/>
      <c r="N447" s="642" t="s">
        <v>2285</v>
      </c>
      <c r="O447" s="4"/>
      <c r="Q447" s="4"/>
      <c r="R447" s="643"/>
      <c r="S447" s="643"/>
    </row>
    <row r="448" spans="1:19">
      <c r="A448" s="642" t="s">
        <v>6959</v>
      </c>
      <c r="B448" s="642" t="s">
        <v>13915</v>
      </c>
      <c r="C448" s="4" t="s">
        <v>14280</v>
      </c>
      <c r="D448" s="646">
        <v>0</v>
      </c>
      <c r="E448" s="646">
        <v>0</v>
      </c>
      <c r="F448" s="646">
        <v>0</v>
      </c>
      <c r="G448" s="646">
        <v>0</v>
      </c>
      <c r="H448" s="48">
        <v>0</v>
      </c>
      <c r="I448" s="48">
        <v>3128</v>
      </c>
      <c r="J448" s="48">
        <v>3180</v>
      </c>
      <c r="K448" s="48">
        <v>3469</v>
      </c>
      <c r="L448" s="48">
        <v>3659</v>
      </c>
      <c r="M448" s="643"/>
      <c r="N448" s="642" t="s">
        <v>2285</v>
      </c>
      <c r="O448" s="4"/>
      <c r="Q448" s="4"/>
      <c r="R448" s="643"/>
      <c r="S448" s="643"/>
    </row>
    <row r="449" spans="1:19">
      <c r="A449" s="642" t="s">
        <v>6961</v>
      </c>
      <c r="B449" s="642" t="s">
        <v>5104</v>
      </c>
      <c r="C449" s="4" t="s">
        <v>14281</v>
      </c>
      <c r="D449" s="646">
        <v>59148</v>
      </c>
      <c r="E449" s="646">
        <v>60151</v>
      </c>
      <c r="F449" s="646">
        <v>60907</v>
      </c>
      <c r="G449" s="646">
        <v>61585</v>
      </c>
      <c r="H449" s="48">
        <v>58390</v>
      </c>
      <c r="I449" s="48">
        <v>5141</v>
      </c>
      <c r="J449" s="48">
        <v>5258</v>
      </c>
      <c r="K449" s="48">
        <v>5571</v>
      </c>
      <c r="L449" s="48">
        <v>5661</v>
      </c>
      <c r="M449" s="643"/>
      <c r="N449" s="642" t="s">
        <v>1494</v>
      </c>
      <c r="O449" s="4"/>
      <c r="Q449" s="4"/>
      <c r="R449" s="643"/>
      <c r="S449" s="643"/>
    </row>
    <row r="450" spans="1:19">
      <c r="A450" s="642" t="s">
        <v>6963</v>
      </c>
      <c r="B450" s="642" t="s">
        <v>13916</v>
      </c>
      <c r="C450" s="4" t="s">
        <v>14282</v>
      </c>
      <c r="D450" s="646">
        <v>0</v>
      </c>
      <c r="E450" s="646">
        <v>0</v>
      </c>
      <c r="F450" s="646">
        <v>0</v>
      </c>
      <c r="G450" s="646">
        <v>0</v>
      </c>
      <c r="H450" s="48">
        <v>0</v>
      </c>
      <c r="I450" s="48">
        <v>2038</v>
      </c>
      <c r="J450" s="48">
        <v>2065</v>
      </c>
      <c r="K450" s="48">
        <v>2137</v>
      </c>
      <c r="L450" s="48">
        <v>2177</v>
      </c>
      <c r="M450" s="643"/>
      <c r="N450" s="642" t="s">
        <v>2285</v>
      </c>
      <c r="O450" s="4"/>
      <c r="Q450" s="4"/>
      <c r="R450" s="643"/>
      <c r="S450" s="643"/>
    </row>
    <row r="451" spans="1:19">
      <c r="A451" s="642" t="s">
        <v>6965</v>
      </c>
      <c r="B451" s="642" t="s">
        <v>1694</v>
      </c>
      <c r="C451" s="4" t="s">
        <v>14283</v>
      </c>
      <c r="D451" s="646">
        <v>0</v>
      </c>
      <c r="E451" s="646">
        <v>0</v>
      </c>
      <c r="F451" s="646">
        <v>0</v>
      </c>
      <c r="G451" s="646">
        <v>0</v>
      </c>
      <c r="H451" s="48">
        <v>0</v>
      </c>
      <c r="I451" s="48">
        <v>3499</v>
      </c>
      <c r="J451" s="48">
        <v>3502</v>
      </c>
      <c r="K451" s="48">
        <v>3642</v>
      </c>
      <c r="L451" s="48">
        <v>3603</v>
      </c>
      <c r="M451" s="643"/>
      <c r="N451" s="642" t="s">
        <v>1494</v>
      </c>
      <c r="O451" s="4"/>
      <c r="Q451" s="4"/>
      <c r="R451" s="643"/>
      <c r="S451" s="643"/>
    </row>
    <row r="452" spans="1:19">
      <c r="A452" s="642" t="s">
        <v>6997</v>
      </c>
      <c r="B452" s="642" t="s">
        <v>7588</v>
      </c>
      <c r="C452" s="4" t="s">
        <v>14284</v>
      </c>
      <c r="D452" s="646">
        <v>0</v>
      </c>
      <c r="E452" s="646">
        <v>0</v>
      </c>
      <c r="F452" s="646">
        <v>0</v>
      </c>
      <c r="G452" s="646">
        <v>0</v>
      </c>
      <c r="H452" s="48">
        <v>0</v>
      </c>
      <c r="I452" s="48">
        <v>3254</v>
      </c>
      <c r="J452" s="48">
        <v>3287</v>
      </c>
      <c r="K452" s="48">
        <v>3462</v>
      </c>
      <c r="L452" s="48">
        <v>3462</v>
      </c>
      <c r="M452" s="643"/>
      <c r="N452" s="642" t="s">
        <v>1494</v>
      </c>
      <c r="O452" s="4"/>
      <c r="Q452" s="4"/>
      <c r="R452" s="643"/>
      <c r="S452" s="643"/>
    </row>
    <row r="453" spans="1:19">
      <c r="A453" s="642" t="s">
        <v>6999</v>
      </c>
      <c r="B453" s="642" t="s">
        <v>8561</v>
      </c>
      <c r="C453" s="4" t="s">
        <v>14285</v>
      </c>
      <c r="D453" s="646">
        <v>0</v>
      </c>
      <c r="E453" s="646">
        <v>0</v>
      </c>
      <c r="F453" s="646">
        <v>0</v>
      </c>
      <c r="G453" s="646">
        <v>0</v>
      </c>
      <c r="H453" s="48">
        <v>0</v>
      </c>
      <c r="I453" s="48">
        <v>3633</v>
      </c>
      <c r="J453" s="48">
        <v>3707</v>
      </c>
      <c r="K453" s="48">
        <v>3842</v>
      </c>
      <c r="L453" s="48">
        <v>3863</v>
      </c>
      <c r="M453" s="643"/>
      <c r="N453" s="642" t="s">
        <v>2285</v>
      </c>
      <c r="O453" s="4"/>
      <c r="Q453" s="4"/>
      <c r="R453" s="643"/>
      <c r="S453" s="643"/>
    </row>
    <row r="454" spans="1:19">
      <c r="A454" s="642" t="s">
        <v>7001</v>
      </c>
      <c r="B454" s="642" t="s">
        <v>13917</v>
      </c>
      <c r="C454" s="4" t="s">
        <v>14286</v>
      </c>
      <c r="D454" s="646">
        <v>0</v>
      </c>
      <c r="E454" s="646">
        <v>0</v>
      </c>
      <c r="F454" s="646">
        <v>0</v>
      </c>
      <c r="G454" s="646">
        <v>0</v>
      </c>
      <c r="H454" s="48">
        <v>0</v>
      </c>
      <c r="I454" s="48">
        <v>3289</v>
      </c>
      <c r="J454" s="48">
        <v>3305</v>
      </c>
      <c r="K454" s="48">
        <v>3442</v>
      </c>
      <c r="L454" s="48">
        <v>3530</v>
      </c>
      <c r="M454" s="643"/>
      <c r="N454" s="642" t="s">
        <v>1494</v>
      </c>
      <c r="O454" s="4"/>
      <c r="Q454" s="4"/>
      <c r="R454" s="643"/>
      <c r="S454" s="643"/>
    </row>
    <row r="455" spans="1:19">
      <c r="A455" s="642" t="s">
        <v>7003</v>
      </c>
      <c r="B455" s="642" t="s">
        <v>1695</v>
      </c>
      <c r="C455" s="4" t="s">
        <v>14287</v>
      </c>
      <c r="D455" s="646">
        <v>0</v>
      </c>
      <c r="E455" s="646">
        <v>0</v>
      </c>
      <c r="F455" s="646">
        <v>0</v>
      </c>
      <c r="G455" s="646">
        <v>0</v>
      </c>
      <c r="H455" s="48">
        <v>0</v>
      </c>
      <c r="I455" s="48">
        <v>3511</v>
      </c>
      <c r="J455" s="48">
        <v>3527</v>
      </c>
      <c r="K455" s="48">
        <v>3728</v>
      </c>
      <c r="L455" s="48">
        <v>3750</v>
      </c>
      <c r="M455" s="643"/>
      <c r="N455" s="642" t="s">
        <v>1494</v>
      </c>
      <c r="O455" s="4"/>
      <c r="Q455" s="4"/>
      <c r="R455" s="643"/>
      <c r="S455" s="643"/>
    </row>
    <row r="456" spans="1:19">
      <c r="A456" s="642" t="s">
        <v>7005</v>
      </c>
      <c r="B456" s="642" t="s">
        <v>13918</v>
      </c>
      <c r="C456" s="4" t="s">
        <v>14288</v>
      </c>
      <c r="D456" s="646">
        <v>0</v>
      </c>
      <c r="E456" s="646">
        <v>0</v>
      </c>
      <c r="F456" s="646">
        <v>0</v>
      </c>
      <c r="G456" s="646">
        <v>0</v>
      </c>
      <c r="H456" s="48">
        <v>0</v>
      </c>
      <c r="I456" s="48">
        <v>5494</v>
      </c>
      <c r="J456" s="48">
        <v>5371</v>
      </c>
      <c r="K456" s="48">
        <v>5575</v>
      </c>
      <c r="L456" s="48">
        <v>5516</v>
      </c>
      <c r="M456" s="643"/>
      <c r="N456" s="642" t="s">
        <v>1494</v>
      </c>
      <c r="O456" s="4"/>
      <c r="Q456" s="4"/>
      <c r="R456" s="643"/>
      <c r="S456" s="643"/>
    </row>
    <row r="457" spans="1:19">
      <c r="A457" s="642" t="s">
        <v>7007</v>
      </c>
      <c r="B457" s="642" t="s">
        <v>6735</v>
      </c>
      <c r="C457" s="4" t="s">
        <v>14289</v>
      </c>
      <c r="D457" s="646">
        <v>0</v>
      </c>
      <c r="E457" s="646">
        <v>0</v>
      </c>
      <c r="F457" s="646">
        <v>0</v>
      </c>
      <c r="G457" s="646">
        <v>0</v>
      </c>
      <c r="H457" s="48">
        <v>0</v>
      </c>
      <c r="I457" s="48">
        <v>3588</v>
      </c>
      <c r="J457" s="48">
        <v>3611</v>
      </c>
      <c r="K457" s="48">
        <v>3681</v>
      </c>
      <c r="L457" s="48">
        <v>3654</v>
      </c>
      <c r="M457" s="643"/>
      <c r="N457" s="642" t="s">
        <v>1494</v>
      </c>
      <c r="O457" s="4"/>
      <c r="Q457" s="4"/>
      <c r="R457" s="643"/>
      <c r="S457" s="643"/>
    </row>
    <row r="458" spans="1:19">
      <c r="A458" s="642" t="s">
        <v>7009</v>
      </c>
      <c r="B458" s="642" t="s">
        <v>1696</v>
      </c>
      <c r="C458" s="4" t="s">
        <v>14290</v>
      </c>
      <c r="D458" s="646">
        <v>0</v>
      </c>
      <c r="E458" s="646">
        <v>0</v>
      </c>
      <c r="F458" s="646">
        <v>0</v>
      </c>
      <c r="G458" s="646">
        <v>0</v>
      </c>
      <c r="H458" s="48">
        <v>0</v>
      </c>
      <c r="I458" s="48">
        <v>3708</v>
      </c>
      <c r="J458" s="48">
        <v>3686</v>
      </c>
      <c r="K458" s="48">
        <v>3768</v>
      </c>
      <c r="L458" s="48">
        <v>3743</v>
      </c>
      <c r="M458" s="643"/>
      <c r="N458" s="642" t="s">
        <v>1494</v>
      </c>
      <c r="O458" s="4"/>
      <c r="Q458" s="4"/>
      <c r="R458" s="643"/>
      <c r="S458" s="643"/>
    </row>
    <row r="459" spans="1:19">
      <c r="A459" s="642" t="s">
        <v>7011</v>
      </c>
      <c r="B459" s="642" t="s">
        <v>1697</v>
      </c>
      <c r="C459" s="4" t="s">
        <v>14291</v>
      </c>
      <c r="D459" s="646">
        <v>0</v>
      </c>
      <c r="E459" s="646">
        <v>0</v>
      </c>
      <c r="F459" s="646">
        <v>0</v>
      </c>
      <c r="G459" s="646">
        <v>0</v>
      </c>
      <c r="H459" s="48">
        <v>0</v>
      </c>
      <c r="I459" s="48">
        <v>3461</v>
      </c>
      <c r="J459" s="48">
        <v>3594</v>
      </c>
      <c r="K459" s="48">
        <v>3681</v>
      </c>
      <c r="L459" s="48">
        <v>3730</v>
      </c>
      <c r="M459" s="643"/>
      <c r="N459" s="642" t="s">
        <v>1494</v>
      </c>
      <c r="O459" s="4"/>
      <c r="Q459" s="4"/>
      <c r="R459" s="643"/>
      <c r="S459" s="643"/>
    </row>
    <row r="460" spans="1:19">
      <c r="A460" s="642" t="s">
        <v>7013</v>
      </c>
      <c r="B460" s="642" t="s">
        <v>3441</v>
      </c>
      <c r="C460" s="4" t="s">
        <v>14292</v>
      </c>
      <c r="D460" s="646">
        <v>0</v>
      </c>
      <c r="E460" s="646">
        <v>0</v>
      </c>
      <c r="F460" s="646">
        <v>0</v>
      </c>
      <c r="G460" s="646">
        <v>0</v>
      </c>
      <c r="H460" s="48">
        <v>0</v>
      </c>
      <c r="I460" s="48">
        <v>5318</v>
      </c>
      <c r="J460" s="48">
        <v>5645</v>
      </c>
      <c r="K460" s="48">
        <v>6008</v>
      </c>
      <c r="L460" s="48">
        <v>6147</v>
      </c>
      <c r="M460" s="643"/>
      <c r="N460" s="642" t="s">
        <v>1494</v>
      </c>
      <c r="O460" s="4"/>
      <c r="Q460" s="4"/>
      <c r="R460" s="643"/>
      <c r="S460" s="643"/>
    </row>
    <row r="461" spans="1:19">
      <c r="A461" s="642" t="s">
        <v>7015</v>
      </c>
      <c r="B461" s="642" t="s">
        <v>5140</v>
      </c>
      <c r="C461" s="4" t="s">
        <v>14293</v>
      </c>
      <c r="D461" s="646">
        <v>0</v>
      </c>
      <c r="E461" s="646">
        <v>0</v>
      </c>
      <c r="F461" s="646">
        <v>0</v>
      </c>
      <c r="G461" s="646">
        <v>0</v>
      </c>
      <c r="H461" s="48">
        <v>0</v>
      </c>
      <c r="I461" s="48">
        <v>3288</v>
      </c>
      <c r="J461" s="48">
        <v>3402</v>
      </c>
      <c r="K461" s="48">
        <v>3564</v>
      </c>
      <c r="L461" s="48">
        <v>3504</v>
      </c>
      <c r="M461" s="643"/>
      <c r="N461" s="642" t="s">
        <v>2285</v>
      </c>
      <c r="O461" s="4"/>
      <c r="Q461" s="4"/>
      <c r="R461" s="643"/>
      <c r="S461" s="643"/>
    </row>
    <row r="462" spans="1:19">
      <c r="A462" s="642" t="s">
        <v>7017</v>
      </c>
      <c r="B462" s="642" t="s">
        <v>5141</v>
      </c>
      <c r="C462" s="4" t="s">
        <v>14294</v>
      </c>
      <c r="D462" s="646">
        <v>0</v>
      </c>
      <c r="E462" s="646">
        <v>0</v>
      </c>
      <c r="F462" s="646">
        <v>0</v>
      </c>
      <c r="G462" s="646">
        <v>0</v>
      </c>
      <c r="H462" s="48">
        <v>0</v>
      </c>
      <c r="I462" s="48">
        <v>3191</v>
      </c>
      <c r="J462" s="48">
        <v>3228</v>
      </c>
      <c r="K462" s="48">
        <v>3320</v>
      </c>
      <c r="L462" s="48">
        <v>3310</v>
      </c>
      <c r="M462" s="643"/>
      <c r="N462" s="642" t="s">
        <v>2285</v>
      </c>
      <c r="O462" s="4"/>
      <c r="Q462" s="4"/>
      <c r="R462" s="643"/>
      <c r="S462" s="643"/>
    </row>
    <row r="463" spans="1:19">
      <c r="A463" s="642" t="s">
        <v>7019</v>
      </c>
      <c r="B463" s="642" t="s">
        <v>5142</v>
      </c>
      <c r="C463" s="4" t="s">
        <v>14295</v>
      </c>
      <c r="D463" s="646">
        <v>0</v>
      </c>
      <c r="E463" s="646">
        <v>0</v>
      </c>
      <c r="F463" s="646">
        <v>0</v>
      </c>
      <c r="G463" s="646">
        <v>0</v>
      </c>
      <c r="H463" s="48">
        <v>0</v>
      </c>
      <c r="I463" s="48">
        <v>3999</v>
      </c>
      <c r="J463" s="48">
        <v>4167</v>
      </c>
      <c r="K463" s="48">
        <v>4662</v>
      </c>
      <c r="L463" s="48">
        <v>4889</v>
      </c>
      <c r="M463" s="643"/>
      <c r="N463" s="642" t="s">
        <v>1494</v>
      </c>
      <c r="O463" s="4"/>
      <c r="Q463" s="4"/>
      <c r="R463" s="643"/>
      <c r="S463" s="643"/>
    </row>
    <row r="464" spans="1:19">
      <c r="A464" s="642" t="s">
        <v>7021</v>
      </c>
      <c r="B464" s="642" t="s">
        <v>13919</v>
      </c>
      <c r="C464" s="4" t="s">
        <v>14296</v>
      </c>
      <c r="D464" s="646">
        <v>0</v>
      </c>
      <c r="E464" s="646">
        <v>0</v>
      </c>
      <c r="F464" s="646">
        <v>0</v>
      </c>
      <c r="G464" s="646">
        <v>0</v>
      </c>
      <c r="H464" s="48">
        <v>0</v>
      </c>
      <c r="I464" s="48">
        <v>3484</v>
      </c>
      <c r="J464" s="48">
        <v>3476</v>
      </c>
      <c r="K464" s="48">
        <v>3639</v>
      </c>
      <c r="L464" s="48">
        <v>3659</v>
      </c>
      <c r="M464" s="643"/>
      <c r="N464" s="642" t="s">
        <v>2285</v>
      </c>
      <c r="O464" s="4"/>
      <c r="Q464" s="4"/>
      <c r="R464" s="643"/>
      <c r="S464" s="643"/>
    </row>
    <row r="465" spans="1:19">
      <c r="A465" s="642" t="s">
        <v>7023</v>
      </c>
      <c r="B465" s="642" t="s">
        <v>13920</v>
      </c>
      <c r="C465" s="4" t="s">
        <v>14297</v>
      </c>
      <c r="D465" s="646">
        <v>0</v>
      </c>
      <c r="E465" s="646">
        <v>0</v>
      </c>
      <c r="F465" s="646">
        <v>0</v>
      </c>
      <c r="G465" s="646">
        <v>0</v>
      </c>
      <c r="H465" s="48">
        <v>0</v>
      </c>
      <c r="I465" s="48">
        <v>4126</v>
      </c>
      <c r="J465" s="48">
        <v>4257</v>
      </c>
      <c r="K465" s="48">
        <v>4537</v>
      </c>
      <c r="L465" s="48">
        <v>4566</v>
      </c>
      <c r="M465" s="643"/>
      <c r="N465" s="642" t="s">
        <v>2285</v>
      </c>
      <c r="O465" s="4"/>
      <c r="Q465" s="4"/>
      <c r="R465" s="643"/>
      <c r="S465" s="643"/>
    </row>
    <row r="466" spans="1:19">
      <c r="A466" s="642" t="s">
        <v>7025</v>
      </c>
      <c r="B466" s="642" t="s">
        <v>81</v>
      </c>
      <c r="C466" s="4" t="s">
        <v>14298</v>
      </c>
      <c r="D466" s="646">
        <v>0</v>
      </c>
      <c r="E466" s="646">
        <v>0</v>
      </c>
      <c r="F466" s="646">
        <v>0</v>
      </c>
      <c r="G466" s="646">
        <v>0</v>
      </c>
      <c r="H466" s="48">
        <v>0</v>
      </c>
      <c r="I466" s="48">
        <v>3398</v>
      </c>
      <c r="J466" s="48">
        <v>3516</v>
      </c>
      <c r="K466" s="48">
        <v>3620</v>
      </c>
      <c r="L466" s="48">
        <v>3586</v>
      </c>
      <c r="M466" s="643"/>
      <c r="N466" s="642" t="s">
        <v>1494</v>
      </c>
      <c r="O466" s="4"/>
      <c r="Q466" s="4"/>
      <c r="R466" s="643"/>
      <c r="S466" s="643"/>
    </row>
    <row r="467" spans="1:19">
      <c r="A467" s="642" t="s">
        <v>7570</v>
      </c>
      <c r="B467" s="642" t="s">
        <v>82</v>
      </c>
      <c r="C467" s="4" t="s">
        <v>14299</v>
      </c>
      <c r="D467" s="646">
        <v>0</v>
      </c>
      <c r="E467" s="646">
        <v>0</v>
      </c>
      <c r="F467" s="646">
        <v>0</v>
      </c>
      <c r="G467" s="646">
        <v>0</v>
      </c>
      <c r="H467" s="48">
        <v>0</v>
      </c>
      <c r="I467" s="48">
        <v>3499</v>
      </c>
      <c r="J467" s="48">
        <v>3693</v>
      </c>
      <c r="K467" s="48">
        <v>3807</v>
      </c>
      <c r="L467" s="48">
        <v>3785</v>
      </c>
      <c r="M467" s="643"/>
      <c r="N467" s="642" t="s">
        <v>1494</v>
      </c>
      <c r="O467" s="4"/>
      <c r="Q467" s="4"/>
      <c r="R467" s="643"/>
      <c r="S467" s="643"/>
    </row>
    <row r="468" spans="1:19">
      <c r="A468" s="642" t="s">
        <v>7572</v>
      </c>
      <c r="B468" s="642" t="s">
        <v>83</v>
      </c>
      <c r="C468" s="4" t="s">
        <v>14302</v>
      </c>
      <c r="D468" s="646">
        <v>0</v>
      </c>
      <c r="E468" s="646">
        <v>0</v>
      </c>
      <c r="F468" s="646">
        <v>0</v>
      </c>
      <c r="G468" s="646">
        <v>0</v>
      </c>
      <c r="H468" s="48">
        <v>0</v>
      </c>
      <c r="I468" s="48">
        <v>1531</v>
      </c>
      <c r="J468" s="48">
        <v>1540</v>
      </c>
      <c r="K468" s="48">
        <v>1587</v>
      </c>
      <c r="L468" s="48">
        <v>1603</v>
      </c>
      <c r="M468" s="643"/>
      <c r="N468" s="642" t="s">
        <v>1494</v>
      </c>
      <c r="O468" s="4"/>
      <c r="Q468" s="4"/>
      <c r="R468" s="643"/>
      <c r="S468" s="643"/>
    </row>
    <row r="469" spans="1:19">
      <c r="A469" s="642" t="s">
        <v>7573</v>
      </c>
      <c r="B469" s="642" t="s">
        <v>84</v>
      </c>
      <c r="C469" s="4" t="s">
        <v>14300</v>
      </c>
      <c r="D469" s="646">
        <v>0</v>
      </c>
      <c r="E469" s="646">
        <v>0</v>
      </c>
      <c r="F469" s="646">
        <v>0</v>
      </c>
      <c r="G469" s="646">
        <v>0</v>
      </c>
      <c r="H469" s="48">
        <v>0</v>
      </c>
      <c r="I469" s="48">
        <v>4816</v>
      </c>
      <c r="J469" s="48">
        <v>4794</v>
      </c>
      <c r="K469" s="48">
        <v>5099</v>
      </c>
      <c r="L469" s="48">
        <v>5361</v>
      </c>
      <c r="M469" s="643"/>
      <c r="N469" s="642" t="s">
        <v>1494</v>
      </c>
      <c r="O469" s="4"/>
      <c r="Q469" s="4"/>
      <c r="R469" s="643"/>
      <c r="S469" s="643"/>
    </row>
    <row r="470" spans="1:19">
      <c r="A470" s="642" t="s">
        <v>5798</v>
      </c>
      <c r="B470" s="642" t="s">
        <v>13921</v>
      </c>
      <c r="C470" s="4" t="s">
        <v>14301</v>
      </c>
      <c r="D470" s="646">
        <v>0</v>
      </c>
      <c r="E470" s="646">
        <v>0</v>
      </c>
      <c r="F470" s="646">
        <v>0</v>
      </c>
      <c r="G470" s="646">
        <v>0</v>
      </c>
      <c r="H470" s="48">
        <v>0</v>
      </c>
      <c r="I470" s="48">
        <v>3246</v>
      </c>
      <c r="J470" s="48">
        <v>3273</v>
      </c>
      <c r="K470" s="48">
        <v>3383</v>
      </c>
      <c r="L470" s="48">
        <v>3439</v>
      </c>
      <c r="M470" s="643"/>
      <c r="N470" s="642" t="s">
        <v>1494</v>
      </c>
      <c r="O470" s="4"/>
      <c r="Q470" s="4"/>
      <c r="R470" s="643"/>
      <c r="S470" s="643"/>
    </row>
    <row r="471" spans="1:19">
      <c r="A471" s="643"/>
      <c r="B471" s="643"/>
      <c r="C471" s="643"/>
      <c r="D471" s="652"/>
      <c r="E471" s="652"/>
      <c r="F471" s="652"/>
      <c r="G471" s="652"/>
      <c r="H471" s="652"/>
      <c r="I471" s="652"/>
      <c r="J471" s="652"/>
      <c r="K471" s="652"/>
      <c r="L471" s="652"/>
      <c r="M471" s="643"/>
      <c r="N471" s="643"/>
      <c r="R471" s="643"/>
      <c r="S471" s="643"/>
    </row>
    <row r="472" spans="1:19">
      <c r="A472" s="642" t="s">
        <v>6609</v>
      </c>
      <c r="C472" s="643"/>
      <c r="D472" s="646">
        <f t="shared" ref="D472:I472" si="256">D447+D448+D450+D453+D461+D462+D464+D465</f>
        <v>27563</v>
      </c>
      <c r="E472" s="646">
        <f t="shared" si="256"/>
        <v>28114</v>
      </c>
      <c r="F472" s="646">
        <f t="shared" si="256"/>
        <v>28408</v>
      </c>
      <c r="G472" s="646">
        <f t="shared" si="256"/>
        <v>28783</v>
      </c>
      <c r="H472" s="646">
        <f t="shared" si="256"/>
        <v>26601</v>
      </c>
      <c r="I472" s="646">
        <f t="shared" si="256"/>
        <v>27838</v>
      </c>
      <c r="J472" s="646">
        <f t="shared" ref="J472:K472" si="257">J447+J448+J450+J453+J461+J462+J464+J465</f>
        <v>28263</v>
      </c>
      <c r="K472" s="646">
        <f t="shared" si="257"/>
        <v>29681</v>
      </c>
      <c r="L472" s="646">
        <f t="shared" ref="L472" si="258">L447+L448+L450+L453+L461+L462+L464+L465</f>
        <v>29925</v>
      </c>
      <c r="M472" s="643"/>
      <c r="N472" s="643"/>
      <c r="R472" s="643"/>
      <c r="S472" s="643"/>
    </row>
    <row r="473" spans="1:19">
      <c r="A473" s="642" t="s">
        <v>5043</v>
      </c>
      <c r="C473" s="643"/>
      <c r="D473" s="646">
        <f t="shared" ref="D473:I473" si="259">D449+D451+D452+SUM(D454:D460)+D463+SUM(D466:D470)</f>
        <v>59148</v>
      </c>
      <c r="E473" s="646">
        <f t="shared" si="259"/>
        <v>60151</v>
      </c>
      <c r="F473" s="646">
        <f t="shared" si="259"/>
        <v>60907</v>
      </c>
      <c r="G473" s="646">
        <f t="shared" si="259"/>
        <v>61585</v>
      </c>
      <c r="H473" s="646">
        <f t="shared" si="259"/>
        <v>58390</v>
      </c>
      <c r="I473" s="646">
        <f t="shared" si="259"/>
        <v>60752</v>
      </c>
      <c r="J473" s="646">
        <f t="shared" ref="J473:K473" si="260">J449+J451+J452+SUM(J454:J460)+J463+SUM(J466:J470)</f>
        <v>61769</v>
      </c>
      <c r="K473" s="646">
        <f t="shared" si="260"/>
        <v>64716</v>
      </c>
      <c r="L473" s="646">
        <f t="shared" ref="L473" si="261">L449+L451+L452+SUM(L454:L460)+L463+SUM(L466:L470)</f>
        <v>65459</v>
      </c>
      <c r="M473" s="643"/>
      <c r="N473" s="643"/>
      <c r="R473" s="643"/>
      <c r="S473" s="643"/>
    </row>
    <row r="474" spans="1:19">
      <c r="A474" s="642"/>
      <c r="B474" s="642"/>
      <c r="C474" s="643"/>
      <c r="D474" s="646"/>
      <c r="E474" s="646"/>
      <c r="F474" s="646"/>
      <c r="G474" s="646"/>
      <c r="H474" s="646"/>
      <c r="I474" s="646"/>
      <c r="J474" s="646"/>
      <c r="K474" s="646"/>
      <c r="L474" s="646"/>
      <c r="M474" s="643"/>
      <c r="N474" s="643"/>
      <c r="R474" s="643"/>
      <c r="S474" s="643"/>
    </row>
    <row r="475" spans="1:19">
      <c r="A475" s="645" t="s">
        <v>13922</v>
      </c>
      <c r="C475" s="643"/>
      <c r="M475" s="643"/>
      <c r="N475" s="643"/>
      <c r="R475" s="643"/>
      <c r="S475" s="643"/>
    </row>
    <row r="476" spans="1:19" ht="15.75" customHeight="1">
      <c r="A476" s="642"/>
      <c r="B476" s="642"/>
      <c r="C476" s="643"/>
      <c r="D476" s="658"/>
      <c r="E476" s="658"/>
      <c r="F476" s="658"/>
      <c r="G476" s="658"/>
      <c r="H476" s="658"/>
      <c r="I476" s="658"/>
      <c r="J476" s="658"/>
      <c r="K476" s="658"/>
      <c r="L476" s="658"/>
      <c r="M476" s="643"/>
      <c r="N476" s="643"/>
      <c r="R476" s="643"/>
      <c r="S476" s="643"/>
    </row>
    <row r="477" spans="1:19">
      <c r="A477" s="642"/>
      <c r="B477" s="642"/>
      <c r="C477" s="643"/>
      <c r="D477" s="658"/>
      <c r="E477" s="658"/>
      <c r="F477" s="658"/>
      <c r="G477" s="658"/>
      <c r="H477" s="658"/>
      <c r="I477" s="658"/>
      <c r="J477" s="658"/>
      <c r="K477" s="658"/>
      <c r="L477" s="658"/>
      <c r="M477" s="643"/>
      <c r="N477" s="643"/>
      <c r="R477" s="643"/>
      <c r="S477" s="643"/>
    </row>
    <row r="478" spans="1:19">
      <c r="A478" s="643"/>
      <c r="B478" s="643"/>
      <c r="C478" s="643"/>
      <c r="E478" s="42" t="s">
        <v>2303</v>
      </c>
      <c r="F478" s="42"/>
      <c r="G478" s="42"/>
      <c r="H478" s="42"/>
      <c r="I478" s="42"/>
      <c r="J478" s="42"/>
      <c r="K478" s="42"/>
      <c r="L478" s="42"/>
      <c r="M478" s="65"/>
      <c r="N478" s="66" t="s">
        <v>13319</v>
      </c>
      <c r="R478" s="643"/>
      <c r="S478" s="643"/>
    </row>
    <row r="479" spans="1:19">
      <c r="A479" s="643"/>
      <c r="B479" s="643"/>
      <c r="C479" s="643"/>
      <c r="D479" s="55">
        <v>2010</v>
      </c>
      <c r="E479" s="55">
        <v>2011</v>
      </c>
      <c r="F479" s="55">
        <v>2012</v>
      </c>
      <c r="G479" s="55">
        <v>2013</v>
      </c>
      <c r="H479" s="55">
        <v>2014</v>
      </c>
      <c r="I479" s="55">
        <v>2015</v>
      </c>
      <c r="J479" s="55">
        <v>2016</v>
      </c>
      <c r="K479" s="55">
        <v>2017</v>
      </c>
      <c r="L479" s="55">
        <v>2018</v>
      </c>
      <c r="M479" s="643"/>
      <c r="N479" s="67" t="s">
        <v>2304</v>
      </c>
      <c r="R479" s="643"/>
      <c r="S479" s="643"/>
    </row>
    <row r="480" spans="1:19">
      <c r="A480" s="642" t="s">
        <v>1305</v>
      </c>
      <c r="C480" s="643"/>
      <c r="D480" s="646">
        <f t="shared" ref="D480:I480" si="262">SUM(D481:D500)</f>
        <v>79183</v>
      </c>
      <c r="E480" s="646">
        <f t="shared" si="262"/>
        <v>79835</v>
      </c>
      <c r="F480" s="646">
        <f t="shared" si="262"/>
        <v>79735</v>
      </c>
      <c r="G480" s="646">
        <f t="shared" si="262"/>
        <v>80407</v>
      </c>
      <c r="H480" s="646">
        <f t="shared" si="262"/>
        <v>80158</v>
      </c>
      <c r="I480" s="646">
        <f t="shared" si="262"/>
        <v>78093</v>
      </c>
      <c r="J480" s="646">
        <f t="shared" ref="J480:K480" si="263">SUM(J481:J500)</f>
        <v>76380</v>
      </c>
      <c r="K480" s="646">
        <f t="shared" si="263"/>
        <v>80523</v>
      </c>
      <c r="L480" s="646">
        <f t="shared" ref="L480" si="264">SUM(L481:L500)</f>
        <v>79622</v>
      </c>
      <c r="M480" s="643"/>
      <c r="N480" s="643"/>
      <c r="R480" s="643"/>
      <c r="S480" s="643"/>
    </row>
    <row r="481" spans="1:19">
      <c r="A481" s="642" t="s">
        <v>6957</v>
      </c>
      <c r="B481" s="642" t="s">
        <v>1306</v>
      </c>
      <c r="C481" s="4" t="s">
        <v>10963</v>
      </c>
      <c r="D481" s="646">
        <v>5139</v>
      </c>
      <c r="E481" s="646">
        <v>5133</v>
      </c>
      <c r="F481" s="646">
        <v>5167</v>
      </c>
      <c r="G481" s="646">
        <v>5227</v>
      </c>
      <c r="H481" s="48">
        <v>5281</v>
      </c>
      <c r="I481" s="48">
        <v>5227</v>
      </c>
      <c r="J481" s="48">
        <v>5044</v>
      </c>
      <c r="K481" s="48">
        <v>5256</v>
      </c>
      <c r="L481" s="48">
        <v>5228</v>
      </c>
      <c r="M481" s="643"/>
      <c r="N481" s="642" t="s">
        <v>1486</v>
      </c>
      <c r="O481" s="4"/>
      <c r="Q481" s="4"/>
      <c r="R481" s="643"/>
      <c r="S481" s="643"/>
    </row>
    <row r="482" spans="1:19">
      <c r="A482" s="642" t="s">
        <v>6959</v>
      </c>
      <c r="B482" s="642" t="s">
        <v>1307</v>
      </c>
      <c r="C482" s="4" t="s">
        <v>10964</v>
      </c>
      <c r="D482" s="646">
        <v>3764</v>
      </c>
      <c r="E482" s="646">
        <v>3860</v>
      </c>
      <c r="F482" s="646">
        <v>3925</v>
      </c>
      <c r="G482" s="646">
        <v>3959</v>
      </c>
      <c r="H482" s="48">
        <v>3946</v>
      </c>
      <c r="I482" s="48">
        <v>3881</v>
      </c>
      <c r="J482" s="48">
        <v>3852</v>
      </c>
      <c r="K482" s="48">
        <v>3980</v>
      </c>
      <c r="L482" s="48">
        <v>3940</v>
      </c>
      <c r="M482" s="643"/>
      <c r="N482" s="642" t="s">
        <v>1495</v>
      </c>
      <c r="O482" s="4"/>
      <c r="Q482" s="4"/>
      <c r="R482" s="643"/>
      <c r="S482" s="643"/>
    </row>
    <row r="483" spans="1:19">
      <c r="A483" s="642" t="s">
        <v>6961</v>
      </c>
      <c r="B483" s="642" t="s">
        <v>1308</v>
      </c>
      <c r="C483" s="4" t="s">
        <v>10965</v>
      </c>
      <c r="D483" s="646">
        <v>3036</v>
      </c>
      <c r="E483" s="646">
        <v>3120</v>
      </c>
      <c r="F483" s="646">
        <v>3083</v>
      </c>
      <c r="G483" s="646">
        <v>3105</v>
      </c>
      <c r="H483" s="48">
        <v>3058</v>
      </c>
      <c r="I483" s="48">
        <v>2871</v>
      </c>
      <c r="J483" s="48">
        <v>2902</v>
      </c>
      <c r="K483" s="48">
        <v>3099</v>
      </c>
      <c r="L483" s="48">
        <v>3019</v>
      </c>
      <c r="M483" s="643"/>
      <c r="N483" s="642" t="s">
        <v>1495</v>
      </c>
      <c r="O483" s="4"/>
      <c r="Q483" s="4"/>
      <c r="R483" s="643"/>
      <c r="S483" s="643"/>
    </row>
    <row r="484" spans="1:19">
      <c r="A484" s="642" t="s">
        <v>6963</v>
      </c>
      <c r="B484" s="642" t="s">
        <v>1309</v>
      </c>
      <c r="C484" s="4" t="s">
        <v>10966</v>
      </c>
      <c r="D484" s="646">
        <v>1795</v>
      </c>
      <c r="E484" s="646">
        <v>1795</v>
      </c>
      <c r="F484" s="646">
        <v>1800</v>
      </c>
      <c r="G484" s="646">
        <v>1820</v>
      </c>
      <c r="H484" s="48">
        <v>1834</v>
      </c>
      <c r="I484" s="48">
        <v>1795</v>
      </c>
      <c r="J484" s="48">
        <v>1719</v>
      </c>
      <c r="K484" s="48">
        <v>1798</v>
      </c>
      <c r="L484" s="48">
        <v>1753</v>
      </c>
      <c r="M484" s="643"/>
      <c r="N484" s="642" t="s">
        <v>1495</v>
      </c>
      <c r="O484" s="4"/>
      <c r="Q484" s="4"/>
      <c r="R484" s="643"/>
      <c r="S484" s="643"/>
    </row>
    <row r="485" spans="1:19">
      <c r="A485" s="642" t="s">
        <v>6965</v>
      </c>
      <c r="B485" s="642" t="s">
        <v>1310</v>
      </c>
      <c r="C485" s="4" t="s">
        <v>10967</v>
      </c>
      <c r="D485" s="646">
        <v>5378</v>
      </c>
      <c r="E485" s="646">
        <v>5445</v>
      </c>
      <c r="F485" s="646">
        <v>5220</v>
      </c>
      <c r="G485" s="646">
        <v>5276</v>
      </c>
      <c r="H485" s="48">
        <v>5355</v>
      </c>
      <c r="I485" s="48">
        <v>5116</v>
      </c>
      <c r="J485" s="48">
        <v>4994</v>
      </c>
      <c r="K485" s="48">
        <v>5414</v>
      </c>
      <c r="L485" s="48">
        <v>5319</v>
      </c>
      <c r="M485" s="643"/>
      <c r="N485" s="642" t="s">
        <v>1495</v>
      </c>
      <c r="O485" s="4"/>
      <c r="Q485" s="4"/>
      <c r="R485" s="643"/>
      <c r="S485" s="643"/>
    </row>
    <row r="486" spans="1:19">
      <c r="A486" s="642" t="s">
        <v>6997</v>
      </c>
      <c r="B486" s="642" t="s">
        <v>1311</v>
      </c>
      <c r="C486" s="4" t="s">
        <v>10968</v>
      </c>
      <c r="D486" s="646">
        <v>1680</v>
      </c>
      <c r="E486" s="646">
        <v>1674</v>
      </c>
      <c r="F486" s="646">
        <v>1666</v>
      </c>
      <c r="G486" s="646">
        <v>1681</v>
      </c>
      <c r="H486" s="48">
        <v>1685</v>
      </c>
      <c r="I486" s="48">
        <v>1631</v>
      </c>
      <c r="J486" s="48">
        <v>1571</v>
      </c>
      <c r="K486" s="48">
        <v>1671</v>
      </c>
      <c r="L486" s="48">
        <v>1668</v>
      </c>
      <c r="M486" s="643"/>
      <c r="N486" s="642" t="s">
        <v>1486</v>
      </c>
      <c r="O486" s="4"/>
      <c r="Q486" s="4"/>
      <c r="R486" s="643"/>
      <c r="S486" s="643"/>
    </row>
    <row r="487" spans="1:19">
      <c r="A487" s="642" t="s">
        <v>6999</v>
      </c>
      <c r="B487" s="642" t="s">
        <v>1312</v>
      </c>
      <c r="C487" s="4" t="s">
        <v>10969</v>
      </c>
      <c r="D487" s="646">
        <v>3214</v>
      </c>
      <c r="E487" s="646">
        <v>3291</v>
      </c>
      <c r="F487" s="646">
        <v>3342</v>
      </c>
      <c r="G487" s="646">
        <v>3403</v>
      </c>
      <c r="H487" s="48">
        <v>3445</v>
      </c>
      <c r="I487" s="48">
        <v>3424</v>
      </c>
      <c r="J487" s="48">
        <v>3340</v>
      </c>
      <c r="K487" s="48">
        <v>3498</v>
      </c>
      <c r="L487" s="48">
        <v>3479</v>
      </c>
      <c r="M487" s="643"/>
      <c r="N487" s="642" t="s">
        <v>1495</v>
      </c>
      <c r="O487" s="4"/>
      <c r="Q487" s="4"/>
      <c r="R487" s="643"/>
      <c r="S487" s="643"/>
    </row>
    <row r="488" spans="1:19">
      <c r="A488" s="642" t="s">
        <v>7001</v>
      </c>
      <c r="B488" s="642" t="s">
        <v>1313</v>
      </c>
      <c r="C488" s="4" t="s">
        <v>10970</v>
      </c>
      <c r="D488" s="646">
        <v>4530</v>
      </c>
      <c r="E488" s="646">
        <v>4606</v>
      </c>
      <c r="F488" s="646">
        <v>4539</v>
      </c>
      <c r="G488" s="646">
        <v>4610</v>
      </c>
      <c r="H488" s="48">
        <v>4604</v>
      </c>
      <c r="I488" s="48">
        <v>4527</v>
      </c>
      <c r="J488" s="48">
        <v>4402</v>
      </c>
      <c r="K488" s="48">
        <v>4644</v>
      </c>
      <c r="L488" s="48">
        <v>4620</v>
      </c>
      <c r="M488" s="643"/>
      <c r="N488" s="642" t="s">
        <v>1495</v>
      </c>
      <c r="O488" s="4"/>
      <c r="Q488" s="4"/>
      <c r="R488" s="643"/>
      <c r="S488" s="643"/>
    </row>
    <row r="489" spans="1:19">
      <c r="A489" s="642" t="s">
        <v>7003</v>
      </c>
      <c r="B489" s="642" t="s">
        <v>94</v>
      </c>
      <c r="C489" s="4" t="s">
        <v>10971</v>
      </c>
      <c r="D489" s="646">
        <v>3064</v>
      </c>
      <c r="E489" s="646">
        <v>3141</v>
      </c>
      <c r="F489" s="646">
        <v>3132</v>
      </c>
      <c r="G489" s="646">
        <v>3114</v>
      </c>
      <c r="H489" s="48">
        <v>3101</v>
      </c>
      <c r="I489" s="48">
        <v>3019</v>
      </c>
      <c r="J489" s="48">
        <v>2913</v>
      </c>
      <c r="K489" s="48">
        <v>3049</v>
      </c>
      <c r="L489" s="48">
        <v>3000</v>
      </c>
      <c r="M489" s="643"/>
      <c r="N489" s="642" t="s">
        <v>1495</v>
      </c>
      <c r="O489" s="4"/>
      <c r="Q489" s="4"/>
      <c r="R489" s="643"/>
      <c r="S489" s="643"/>
    </row>
    <row r="490" spans="1:19">
      <c r="A490" s="642" t="s">
        <v>7005</v>
      </c>
      <c r="B490" s="642" t="s">
        <v>95</v>
      </c>
      <c r="C490" s="4" t="s">
        <v>10972</v>
      </c>
      <c r="D490" s="646">
        <v>2941</v>
      </c>
      <c r="E490" s="646">
        <v>2913</v>
      </c>
      <c r="F490" s="646">
        <v>2890</v>
      </c>
      <c r="G490" s="646">
        <v>2932</v>
      </c>
      <c r="H490" s="48">
        <v>2948</v>
      </c>
      <c r="I490" s="48">
        <v>2885</v>
      </c>
      <c r="J490" s="48">
        <v>2755</v>
      </c>
      <c r="K490" s="48">
        <v>2865</v>
      </c>
      <c r="L490" s="48">
        <v>2798</v>
      </c>
      <c r="M490" s="643"/>
      <c r="N490" s="642" t="s">
        <v>1495</v>
      </c>
      <c r="O490" s="4"/>
      <c r="Q490" s="4"/>
      <c r="R490" s="643"/>
      <c r="S490" s="643"/>
    </row>
    <row r="491" spans="1:19">
      <c r="A491" s="642" t="s">
        <v>7007</v>
      </c>
      <c r="B491" s="642" t="s">
        <v>96</v>
      </c>
      <c r="C491" s="4" t="s">
        <v>10973</v>
      </c>
      <c r="D491" s="646">
        <v>4999</v>
      </c>
      <c r="E491" s="646">
        <v>5091</v>
      </c>
      <c r="F491" s="646">
        <v>5087</v>
      </c>
      <c r="G491" s="646">
        <v>5079</v>
      </c>
      <c r="H491" s="48">
        <v>4985</v>
      </c>
      <c r="I491" s="48">
        <v>4820</v>
      </c>
      <c r="J491" s="48">
        <v>4745</v>
      </c>
      <c r="K491" s="48">
        <v>5018</v>
      </c>
      <c r="L491" s="48">
        <v>4939</v>
      </c>
      <c r="M491" s="643"/>
      <c r="N491" s="642" t="s">
        <v>1495</v>
      </c>
      <c r="O491" s="4"/>
      <c r="Q491" s="4"/>
      <c r="R491" s="643"/>
      <c r="S491" s="643"/>
    </row>
    <row r="492" spans="1:19">
      <c r="A492" s="642" t="s">
        <v>7009</v>
      </c>
      <c r="B492" s="642" t="s">
        <v>2442</v>
      </c>
      <c r="C492" s="4" t="s">
        <v>10974</v>
      </c>
      <c r="D492" s="646">
        <v>5271</v>
      </c>
      <c r="E492" s="646">
        <v>5316</v>
      </c>
      <c r="F492" s="646">
        <v>5280</v>
      </c>
      <c r="G492" s="646">
        <v>5489</v>
      </c>
      <c r="H492" s="48">
        <v>5403</v>
      </c>
      <c r="I492" s="48">
        <v>5216</v>
      </c>
      <c r="J492" s="48">
        <v>5054</v>
      </c>
      <c r="K492" s="48">
        <v>5414</v>
      </c>
      <c r="L492" s="48">
        <v>5342</v>
      </c>
      <c r="M492" s="643"/>
      <c r="N492" s="642" t="s">
        <v>1495</v>
      </c>
      <c r="O492" s="4"/>
      <c r="Q492" s="4"/>
      <c r="R492" s="643"/>
      <c r="S492" s="643"/>
    </row>
    <row r="493" spans="1:19">
      <c r="A493" s="642" t="s">
        <v>7011</v>
      </c>
      <c r="B493" s="642" t="s">
        <v>97</v>
      </c>
      <c r="C493" s="4" t="s">
        <v>10975</v>
      </c>
      <c r="D493" s="646">
        <v>4504</v>
      </c>
      <c r="E493" s="646">
        <v>4460</v>
      </c>
      <c r="F493" s="646">
        <v>4440</v>
      </c>
      <c r="G493" s="646">
        <v>4390</v>
      </c>
      <c r="H493" s="48">
        <v>4385</v>
      </c>
      <c r="I493" s="48">
        <v>4364</v>
      </c>
      <c r="J493" s="48">
        <v>4268</v>
      </c>
      <c r="K493" s="48">
        <v>4404</v>
      </c>
      <c r="L493" s="48">
        <v>4353</v>
      </c>
      <c r="M493" s="643"/>
      <c r="N493" s="642" t="s">
        <v>1495</v>
      </c>
      <c r="O493" s="4"/>
      <c r="Q493" s="4"/>
      <c r="R493" s="643"/>
      <c r="S493" s="643"/>
    </row>
    <row r="494" spans="1:19">
      <c r="A494" s="642" t="s">
        <v>7013</v>
      </c>
      <c r="B494" s="642" t="s">
        <v>98</v>
      </c>
      <c r="C494" s="4" t="s">
        <v>10976</v>
      </c>
      <c r="D494" s="646">
        <v>3558</v>
      </c>
      <c r="E494" s="646">
        <v>3526</v>
      </c>
      <c r="F494" s="646">
        <v>3555</v>
      </c>
      <c r="G494" s="646">
        <v>3626</v>
      </c>
      <c r="H494" s="48">
        <v>3556</v>
      </c>
      <c r="I494" s="48">
        <v>3370</v>
      </c>
      <c r="J494" s="48">
        <v>3371</v>
      </c>
      <c r="K494" s="48">
        <v>3560</v>
      </c>
      <c r="L494" s="48">
        <v>3457</v>
      </c>
      <c r="M494" s="643"/>
      <c r="N494" s="642" t="s">
        <v>1495</v>
      </c>
      <c r="O494" s="4"/>
      <c r="Q494" s="4"/>
      <c r="R494" s="643"/>
      <c r="S494" s="643"/>
    </row>
    <row r="495" spans="1:19">
      <c r="A495" s="642" t="s">
        <v>7015</v>
      </c>
      <c r="B495" s="642" t="s">
        <v>5596</v>
      </c>
      <c r="C495" s="4" t="s">
        <v>10977</v>
      </c>
      <c r="D495" s="646">
        <v>3866</v>
      </c>
      <c r="E495" s="646">
        <v>3866</v>
      </c>
      <c r="F495" s="646">
        <v>3843</v>
      </c>
      <c r="G495" s="646">
        <v>3831</v>
      </c>
      <c r="H495" s="48">
        <v>3932</v>
      </c>
      <c r="I495" s="48">
        <v>3794</v>
      </c>
      <c r="J495" s="48">
        <v>3753</v>
      </c>
      <c r="K495" s="48">
        <v>4019</v>
      </c>
      <c r="L495" s="48">
        <v>3883</v>
      </c>
      <c r="M495" s="643"/>
      <c r="N495" s="642" t="s">
        <v>1495</v>
      </c>
      <c r="O495" s="4"/>
      <c r="Q495" s="4"/>
      <c r="R495" s="643"/>
      <c r="S495" s="643"/>
    </row>
    <row r="496" spans="1:19">
      <c r="A496" s="642" t="s">
        <v>7017</v>
      </c>
      <c r="B496" s="642" t="s">
        <v>6414</v>
      </c>
      <c r="C496" s="4" t="s">
        <v>10978</v>
      </c>
      <c r="D496" s="646">
        <v>4864</v>
      </c>
      <c r="E496" s="646">
        <v>4931</v>
      </c>
      <c r="F496" s="646">
        <v>5056</v>
      </c>
      <c r="G496" s="646">
        <v>5047</v>
      </c>
      <c r="H496" s="48">
        <v>5061</v>
      </c>
      <c r="I496" s="48">
        <v>5001</v>
      </c>
      <c r="J496" s="48">
        <v>4811</v>
      </c>
      <c r="K496" s="48">
        <v>5015</v>
      </c>
      <c r="L496" s="48">
        <v>4929</v>
      </c>
      <c r="M496" s="643"/>
      <c r="N496" s="642" t="s">
        <v>1495</v>
      </c>
      <c r="O496" s="4"/>
      <c r="Q496" s="4"/>
      <c r="R496" s="643"/>
      <c r="S496" s="643"/>
    </row>
    <row r="497" spans="1:19">
      <c r="A497" s="642" t="s">
        <v>7019</v>
      </c>
      <c r="B497" s="642" t="s">
        <v>99</v>
      </c>
      <c r="C497" s="4" t="s">
        <v>10979</v>
      </c>
      <c r="D497" s="646">
        <v>4716</v>
      </c>
      <c r="E497" s="646">
        <v>4731</v>
      </c>
      <c r="F497" s="646">
        <v>4640</v>
      </c>
      <c r="G497" s="646">
        <v>4680</v>
      </c>
      <c r="H497" s="48">
        <v>4536</v>
      </c>
      <c r="I497" s="48">
        <v>4431</v>
      </c>
      <c r="J497" s="48">
        <v>4391</v>
      </c>
      <c r="K497" s="48">
        <v>4718</v>
      </c>
      <c r="L497" s="48">
        <v>4887</v>
      </c>
      <c r="M497" s="643"/>
      <c r="N497" s="642" t="s">
        <v>1495</v>
      </c>
      <c r="O497" s="4"/>
      <c r="Q497" s="4"/>
      <c r="R497" s="643"/>
      <c r="S497" s="643"/>
    </row>
    <row r="498" spans="1:19">
      <c r="A498" s="642" t="s">
        <v>7021</v>
      </c>
      <c r="B498" s="642" t="s">
        <v>1100</v>
      </c>
      <c r="C498" s="4" t="s">
        <v>10980</v>
      </c>
      <c r="D498" s="646">
        <v>5124</v>
      </c>
      <c r="E498" s="646">
        <v>5181</v>
      </c>
      <c r="F498" s="646">
        <v>5250</v>
      </c>
      <c r="G498" s="646">
        <v>5301</v>
      </c>
      <c r="H498" s="48">
        <v>5194</v>
      </c>
      <c r="I498" s="48">
        <v>5065</v>
      </c>
      <c r="J498" s="48">
        <v>4981</v>
      </c>
      <c r="K498" s="48">
        <v>5240</v>
      </c>
      <c r="L498" s="48">
        <v>5229</v>
      </c>
      <c r="M498" s="643"/>
      <c r="N498" s="642" t="s">
        <v>1495</v>
      </c>
      <c r="O498" s="4"/>
      <c r="Q498" s="4"/>
      <c r="R498" s="643"/>
      <c r="S498" s="643"/>
    </row>
    <row r="499" spans="1:19">
      <c r="A499" s="642" t="s">
        <v>7023</v>
      </c>
      <c r="B499" s="642" t="s">
        <v>1101</v>
      </c>
      <c r="C499" s="4" t="s">
        <v>10981</v>
      </c>
      <c r="D499" s="646">
        <v>3152</v>
      </c>
      <c r="E499" s="646">
        <v>3157</v>
      </c>
      <c r="F499" s="646">
        <v>3181</v>
      </c>
      <c r="G499" s="646">
        <v>3198</v>
      </c>
      <c r="H499" s="48">
        <v>3227</v>
      </c>
      <c r="I499" s="48">
        <v>3129</v>
      </c>
      <c r="J499" s="48">
        <v>3051</v>
      </c>
      <c r="K499" s="48">
        <v>3177</v>
      </c>
      <c r="L499" s="48">
        <v>3151</v>
      </c>
      <c r="M499" s="643"/>
      <c r="N499" s="642" t="s">
        <v>1495</v>
      </c>
      <c r="O499" s="4"/>
      <c r="Q499" s="4"/>
      <c r="R499" s="643"/>
      <c r="S499" s="643"/>
    </row>
    <row r="500" spans="1:19">
      <c r="A500" s="642" t="s">
        <v>7025</v>
      </c>
      <c r="B500" s="642" t="s">
        <v>1102</v>
      </c>
      <c r="C500" s="4" t="s">
        <v>10982</v>
      </c>
      <c r="D500" s="646">
        <v>4588</v>
      </c>
      <c r="E500" s="646">
        <v>4598</v>
      </c>
      <c r="F500" s="646">
        <v>4639</v>
      </c>
      <c r="G500" s="646">
        <v>4639</v>
      </c>
      <c r="H500" s="48">
        <v>4622</v>
      </c>
      <c r="I500" s="48">
        <v>4527</v>
      </c>
      <c r="J500" s="48">
        <v>4463</v>
      </c>
      <c r="K500" s="48">
        <v>4684</v>
      </c>
      <c r="L500" s="48">
        <v>4628</v>
      </c>
      <c r="M500" s="643"/>
      <c r="N500" s="642" t="s">
        <v>1495</v>
      </c>
      <c r="O500" s="4"/>
      <c r="Q500" s="4"/>
      <c r="R500" s="643"/>
      <c r="S500" s="643"/>
    </row>
    <row r="501" spans="1:19">
      <c r="A501" s="643"/>
      <c r="B501" s="643"/>
      <c r="C501" s="643"/>
      <c r="D501" s="652"/>
      <c r="E501" s="652"/>
      <c r="F501" s="652"/>
      <c r="G501" s="652"/>
      <c r="H501" s="652"/>
      <c r="I501" s="652"/>
      <c r="J501" s="652"/>
      <c r="K501" s="652"/>
      <c r="L501" s="652"/>
      <c r="M501" s="643"/>
      <c r="N501" s="643"/>
      <c r="R501" s="643"/>
      <c r="S501" s="643"/>
    </row>
    <row r="502" spans="1:19">
      <c r="A502" s="642" t="s">
        <v>1606</v>
      </c>
      <c r="D502" s="646">
        <f t="shared" ref="D502:I502" si="265">D481+D486</f>
        <v>6819</v>
      </c>
      <c r="E502" s="646">
        <f t="shared" si="265"/>
        <v>6807</v>
      </c>
      <c r="F502" s="646">
        <f t="shared" si="265"/>
        <v>6833</v>
      </c>
      <c r="G502" s="646">
        <f t="shared" si="265"/>
        <v>6908</v>
      </c>
      <c r="H502" s="646">
        <f t="shared" si="265"/>
        <v>6966</v>
      </c>
      <c r="I502" s="646">
        <f t="shared" si="265"/>
        <v>6858</v>
      </c>
      <c r="J502" s="646">
        <f t="shared" ref="J502:K502" si="266">J481+J486</f>
        <v>6615</v>
      </c>
      <c r="K502" s="646">
        <f t="shared" si="266"/>
        <v>6927</v>
      </c>
      <c r="L502" s="646">
        <f t="shared" ref="L502" si="267">L481+L486</f>
        <v>6896</v>
      </c>
      <c r="M502" s="643"/>
      <c r="N502" s="643"/>
      <c r="R502" s="643"/>
      <c r="S502" s="643"/>
    </row>
    <row r="503" spans="1:19">
      <c r="A503" s="642" t="s">
        <v>1495</v>
      </c>
      <c r="D503" s="646">
        <f t="shared" ref="D503:I503" si="268">SUM(D482:D485)+SUM(D487:D500)</f>
        <v>72364</v>
      </c>
      <c r="E503" s="646">
        <f t="shared" si="268"/>
        <v>73028</v>
      </c>
      <c r="F503" s="646">
        <f t="shared" si="268"/>
        <v>72902</v>
      </c>
      <c r="G503" s="646">
        <f t="shared" si="268"/>
        <v>73499</v>
      </c>
      <c r="H503" s="646">
        <f t="shared" si="268"/>
        <v>73192</v>
      </c>
      <c r="I503" s="646">
        <f t="shared" si="268"/>
        <v>71235</v>
      </c>
      <c r="J503" s="646">
        <f t="shared" ref="J503:K503" si="269">SUM(J482:J485)+SUM(J487:J500)</f>
        <v>69765</v>
      </c>
      <c r="K503" s="646">
        <f t="shared" si="269"/>
        <v>73596</v>
      </c>
      <c r="L503" s="646">
        <f t="shared" ref="L503" si="270">SUM(L482:L485)+SUM(L487:L500)</f>
        <v>72726</v>
      </c>
      <c r="M503" s="643"/>
      <c r="N503" s="643"/>
      <c r="R503" s="643"/>
      <c r="S503" s="643"/>
    </row>
    <row r="504" spans="1:19">
      <c r="A504" s="643"/>
      <c r="B504" s="643"/>
      <c r="C504" s="643"/>
      <c r="D504" s="643"/>
      <c r="E504" s="643"/>
      <c r="F504" s="643"/>
      <c r="G504" s="643"/>
      <c r="H504" s="643"/>
      <c r="I504" s="643"/>
      <c r="J504" s="643"/>
      <c r="K504" s="643"/>
      <c r="L504" s="643"/>
      <c r="M504" s="643"/>
      <c r="N504" s="643"/>
      <c r="R504" s="643"/>
      <c r="S504" s="643"/>
    </row>
    <row r="505" spans="1:19">
      <c r="A505" s="642" t="s">
        <v>1103</v>
      </c>
      <c r="B505" s="643"/>
      <c r="C505" s="643"/>
      <c r="D505" s="643"/>
      <c r="E505" s="643"/>
      <c r="F505" s="643"/>
      <c r="G505" s="643"/>
      <c r="H505" s="643"/>
      <c r="I505" s="643"/>
      <c r="J505" s="643"/>
      <c r="K505" s="643"/>
      <c r="L505" s="643"/>
      <c r="M505" s="643"/>
      <c r="N505" s="643"/>
      <c r="O505" s="643"/>
      <c r="P505" s="643"/>
      <c r="Q505" s="643"/>
      <c r="R505" s="643"/>
      <c r="S505" s="643"/>
    </row>
    <row r="506" spans="1:19">
      <c r="A506" s="643"/>
      <c r="B506" s="643"/>
      <c r="C506" s="643"/>
      <c r="D506" s="643"/>
      <c r="E506" s="643"/>
      <c r="F506" s="643"/>
      <c r="G506" s="643"/>
      <c r="H506" s="643"/>
      <c r="I506" s="643"/>
      <c r="J506" s="643"/>
      <c r="K506" s="643"/>
      <c r="L506" s="643"/>
      <c r="M506" s="643"/>
      <c r="N506" s="643"/>
      <c r="O506" s="643"/>
      <c r="P506" s="643"/>
      <c r="Q506" s="643"/>
      <c r="R506" s="643"/>
      <c r="S506" s="643"/>
    </row>
    <row r="507" spans="1:19">
      <c r="A507" s="643"/>
      <c r="B507" s="643"/>
      <c r="C507" s="643"/>
      <c r="D507" s="643"/>
      <c r="E507" s="643"/>
      <c r="F507" s="643"/>
      <c r="G507" s="643"/>
      <c r="H507" s="643"/>
      <c r="I507" s="643"/>
      <c r="J507" s="643"/>
      <c r="K507" s="643"/>
      <c r="L507" s="643"/>
      <c r="M507" s="643"/>
      <c r="N507" s="643"/>
      <c r="O507" s="643"/>
      <c r="P507" s="643"/>
      <c r="Q507" s="643"/>
      <c r="R507" s="643"/>
      <c r="S507" s="643"/>
    </row>
    <row r="508" spans="1:19">
      <c r="A508" s="643"/>
      <c r="B508" s="643"/>
      <c r="C508" s="643"/>
      <c r="D508" s="643"/>
      <c r="E508" s="643"/>
      <c r="F508" s="643"/>
      <c r="G508" s="643"/>
      <c r="H508" s="643"/>
      <c r="I508" s="643"/>
      <c r="J508" s="643"/>
      <c r="K508" s="643"/>
      <c r="L508" s="643"/>
      <c r="M508" s="643"/>
      <c r="N508" s="643"/>
      <c r="O508" s="643"/>
      <c r="P508" s="643"/>
      <c r="Q508" s="643"/>
      <c r="R508" s="643"/>
      <c r="S508" s="643"/>
    </row>
    <row r="509" spans="1:19">
      <c r="A509" s="643"/>
      <c r="B509" s="643"/>
      <c r="C509" s="643"/>
      <c r="D509" s="643"/>
      <c r="E509" s="643"/>
      <c r="F509" s="643"/>
      <c r="G509" s="643"/>
      <c r="H509" s="643"/>
      <c r="I509" s="643"/>
      <c r="J509" s="643"/>
      <c r="K509" s="643"/>
      <c r="L509" s="643"/>
      <c r="M509" s="643"/>
      <c r="N509" s="643"/>
      <c r="O509" s="643"/>
      <c r="P509" s="643"/>
      <c r="Q509" s="643"/>
      <c r="R509" s="643"/>
      <c r="S509" s="643"/>
    </row>
    <row r="510" spans="1:19">
      <c r="A510" s="643"/>
      <c r="B510" s="643"/>
      <c r="C510" s="643"/>
      <c r="D510" s="643"/>
      <c r="E510" s="643"/>
      <c r="F510" s="643"/>
      <c r="G510" s="643"/>
      <c r="H510" s="643"/>
      <c r="I510" s="643"/>
      <c r="J510" s="643"/>
      <c r="K510" s="643"/>
      <c r="L510" s="643"/>
      <c r="M510" s="643"/>
      <c r="N510" s="643"/>
      <c r="O510" s="643"/>
      <c r="P510" s="643"/>
      <c r="Q510" s="643"/>
      <c r="R510" s="643"/>
      <c r="S510" s="643"/>
    </row>
    <row r="511" spans="1:19">
      <c r="A511" s="643"/>
      <c r="B511" s="643"/>
      <c r="C511" s="643"/>
      <c r="D511" s="643"/>
      <c r="E511" s="643"/>
      <c r="F511" s="643"/>
      <c r="G511" s="643"/>
      <c r="H511" s="643"/>
      <c r="I511" s="643"/>
      <c r="J511" s="643"/>
      <c r="K511" s="643"/>
      <c r="L511" s="643"/>
      <c r="M511" s="643"/>
      <c r="N511" s="643"/>
      <c r="O511" s="643"/>
      <c r="P511" s="643"/>
      <c r="Q511" s="643"/>
      <c r="R511" s="643"/>
      <c r="S511" s="643"/>
    </row>
    <row r="512" spans="1:19">
      <c r="A512" s="643"/>
      <c r="B512" s="643"/>
      <c r="C512" s="643"/>
      <c r="D512" s="643"/>
      <c r="E512" s="643"/>
      <c r="F512" s="643"/>
      <c r="G512" s="643"/>
      <c r="H512" s="643"/>
      <c r="I512" s="643"/>
      <c r="J512" s="643"/>
      <c r="K512" s="643"/>
      <c r="L512" s="643"/>
      <c r="M512" s="643"/>
      <c r="N512" s="643"/>
      <c r="O512" s="643"/>
      <c r="P512" s="643"/>
      <c r="Q512" s="643"/>
      <c r="R512" s="643"/>
      <c r="S512" s="643"/>
    </row>
    <row r="513" spans="1:19">
      <c r="A513" s="643"/>
      <c r="B513" s="643"/>
      <c r="C513" s="643"/>
      <c r="D513" s="643"/>
      <c r="E513" s="643"/>
      <c r="F513" s="643"/>
      <c r="G513" s="643"/>
      <c r="H513" s="643"/>
      <c r="I513" s="643"/>
      <c r="J513" s="643"/>
      <c r="K513" s="643"/>
      <c r="L513" s="643"/>
      <c r="M513" s="643"/>
      <c r="N513" s="643"/>
      <c r="O513" s="643"/>
      <c r="P513" s="643"/>
      <c r="Q513" s="643"/>
      <c r="R513" s="643"/>
      <c r="S513" s="643"/>
    </row>
    <row r="514" spans="1:19">
      <c r="A514" s="643"/>
      <c r="B514" s="643"/>
      <c r="C514" s="643"/>
      <c r="D514" s="643"/>
      <c r="E514" s="643"/>
      <c r="F514" s="643"/>
      <c r="G514" s="643"/>
      <c r="H514" s="643"/>
      <c r="I514" s="643"/>
      <c r="J514" s="643"/>
      <c r="K514" s="643"/>
      <c r="L514" s="643"/>
      <c r="M514" s="643"/>
      <c r="N514" s="643"/>
      <c r="O514" s="643"/>
      <c r="P514" s="643"/>
      <c r="Q514" s="643"/>
      <c r="R514" s="643"/>
      <c r="S514" s="643"/>
    </row>
    <row r="515" spans="1:19">
      <c r="A515" s="643"/>
      <c r="B515" s="643"/>
      <c r="C515" s="643"/>
      <c r="D515" s="643"/>
      <c r="E515" s="643"/>
      <c r="F515" s="643"/>
      <c r="G515" s="643"/>
      <c r="H515" s="643"/>
      <c r="I515" s="643"/>
      <c r="J515" s="643"/>
      <c r="K515" s="643"/>
      <c r="L515" s="643"/>
      <c r="M515" s="643"/>
      <c r="N515" s="643"/>
      <c r="O515" s="643"/>
      <c r="P515" s="643"/>
      <c r="Q515" s="643"/>
      <c r="R515" s="643"/>
      <c r="S515" s="643"/>
    </row>
    <row r="516" spans="1:19">
      <c r="A516" s="643"/>
      <c r="B516" s="643"/>
      <c r="C516" s="643"/>
      <c r="D516" s="643"/>
      <c r="E516" s="643"/>
      <c r="F516" s="643"/>
      <c r="G516" s="643"/>
      <c r="H516" s="643"/>
      <c r="I516" s="643"/>
      <c r="J516" s="643"/>
      <c r="K516" s="643"/>
      <c r="L516" s="643"/>
      <c r="M516" s="643"/>
      <c r="N516" s="643"/>
      <c r="O516" s="643"/>
      <c r="P516" s="643"/>
      <c r="Q516" s="643"/>
      <c r="R516" s="643"/>
      <c r="S516" s="643"/>
    </row>
    <row r="517" spans="1:19">
      <c r="A517" s="643"/>
      <c r="B517" s="643"/>
      <c r="C517" s="643"/>
      <c r="D517" s="643"/>
      <c r="E517" s="643"/>
      <c r="F517" s="643"/>
      <c r="G517" s="643"/>
      <c r="H517" s="643"/>
      <c r="I517" s="643"/>
      <c r="J517" s="643"/>
      <c r="K517" s="643"/>
      <c r="L517" s="643"/>
      <c r="M517" s="643"/>
      <c r="N517" s="643"/>
      <c r="O517" s="643"/>
      <c r="P517" s="643"/>
      <c r="Q517" s="643"/>
      <c r="R517" s="643"/>
      <c r="S517" s="643"/>
    </row>
    <row r="518" spans="1:19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43"/>
      <c r="R518" s="643"/>
      <c r="S518" s="643"/>
    </row>
    <row r="519" spans="1:19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</row>
    <row r="520" spans="1:19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</row>
    <row r="521" spans="1:19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</row>
    <row r="522" spans="1:19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</row>
    <row r="523" spans="1:19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</row>
    <row r="524" spans="1:19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</row>
    <row r="525" spans="1:19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</row>
    <row r="526" spans="1:19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</row>
    <row r="527" spans="1:19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</row>
    <row r="528" spans="1:19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</row>
    <row r="529" spans="1:19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</row>
    <row r="530" spans="1:19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</row>
    <row r="531" spans="1:19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</row>
    <row r="532" spans="1:19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</row>
    <row r="533" spans="1:19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</row>
    <row r="534" spans="1:19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</row>
    <row r="535" spans="1:19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</row>
    <row r="536" spans="1:19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</row>
    <row r="537" spans="1:19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</row>
    <row r="538" spans="1:19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</row>
    <row r="539" spans="1:19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</row>
    <row r="540" spans="1:19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</row>
    <row r="541" spans="1:19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</row>
    <row r="542" spans="1:19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</row>
    <row r="543" spans="1:19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</row>
    <row r="544" spans="1:19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</row>
    <row r="545" spans="1:19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</row>
    <row r="546" spans="1:19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</row>
    <row r="547" spans="1:19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</row>
    <row r="548" spans="1:19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</row>
    <row r="549" spans="1:19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</row>
    <row r="550" spans="1:19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</row>
    <row r="551" spans="1:19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</row>
    <row r="552" spans="1:19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</row>
    <row r="553" spans="1:19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</row>
    <row r="554" spans="1:19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</row>
    <row r="555" spans="1:19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</row>
    <row r="556" spans="1:19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</row>
    <row r="557" spans="1:19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</row>
    <row r="558" spans="1:19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</row>
    <row r="559" spans="1:19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</row>
    <row r="560" spans="1:19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</row>
    <row r="561" spans="1:19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</row>
    <row r="562" spans="1:19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</row>
    <row r="563" spans="1:19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</row>
    <row r="564" spans="1:19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</row>
    <row r="565" spans="1:19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</row>
    <row r="566" spans="1:19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</row>
    <row r="567" spans="1:19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</row>
    <row r="568" spans="1:19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</row>
    <row r="569" spans="1:19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</row>
    <row r="570" spans="1:19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</row>
    <row r="571" spans="1:19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</row>
    <row r="572" spans="1:19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</row>
    <row r="573" spans="1:19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</row>
    <row r="574" spans="1:19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</row>
    <row r="575" spans="1:19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</row>
    <row r="576" spans="1:19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</row>
    <row r="577" spans="17:19">
      <c r="Q577" s="659"/>
      <c r="R577" s="659"/>
      <c r="S577" s="659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2" orientation="portrait" horizontalDpi="300" verticalDpi="300" r:id="rId1"/>
  <headerFooter alignWithMargins="0">
    <oddFooter>&amp;C&amp;8&amp;P of &amp;N</oddFooter>
  </headerFooter>
  <ignoredErrors>
    <ignoredError sqref="D319:K319 D347:D349 D217:K217 D198:K198 D480:K480 D502:D503 D118:K118 D155:D156 D282:K282 D310:D311 D275:K275 D255:K255 D247:D248 D224:K224 D379:K379 D446:K446 D372:K372 D357:K357 D109:D111 D85:K85 D413:K413 D438:D439 D3:D19 E155:E156 E247:E248 E109:E111 E347:E349 E438:E439 E310:E311 E502:E503 E3:E19 F109:F111 F155:F156 F247:F248 F310:F311 F347:F349 F438:F439 F502:F503 F3:F19 G155:G156 G247:G248 G438:G439 G502:G503 G310:G311 G109:G111 G347:G349 G3:G19 D20:D21 E20:E21 F20:F21 G20:G21 D23 E23 F23 G23 D22:G22 H155:H156 H247:H248 H347:H349 H310:H311 H109:H111 H3:H19 H438:H439 H502:H503 H20:H23 D24:D78 E24:E78 F24:F78 G24:G78 H24:H78 I155:I156 I310:I311 I502:I503 I347:I349 I438:I439 D163:K163 D190:I191 D472:H473 I472:I473 I109:I111 I247:I248 I3:I78 E406:I406 E405:I405 D405:D406 J155:J156 J190:J191 J247:J248 J310:J311 J109:J111 J347:J349 J405:J406 J472:J473 J502:J503 J438:J439 J3:J78 K310:K311 K438:K439 K347:K349 K405:K406 K472:K473 K502:K503 K155:K156 K190:K191 K247:K248 K109:K111 K3:K78 L3:L503" unlockedFormula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67"/>
  <sheetViews>
    <sheetView showGridLines="0" zoomScaleNormal="100" workbookViewId="0"/>
  </sheetViews>
  <sheetFormatPr defaultColWidth="10" defaultRowHeight="15"/>
  <cols>
    <col min="1" max="1" width="4.85546875" style="212" customWidth="1"/>
    <col min="2" max="2" width="45.7109375" style="212" customWidth="1"/>
    <col min="3" max="3" width="11.5703125" style="212" customWidth="1"/>
    <col min="4" max="12" width="10" style="212" customWidth="1"/>
    <col min="13" max="13" width="2.28515625" style="212" customWidth="1"/>
    <col min="14" max="14" width="30.7109375" style="212" customWidth="1"/>
    <col min="15" max="16384" width="10" style="212"/>
  </cols>
  <sheetData>
    <row r="1" spans="1:14">
      <c r="A1" s="211" t="s">
        <v>7342</v>
      </c>
      <c r="D1" s="213">
        <v>2010</v>
      </c>
      <c r="E1" s="213">
        <v>2011</v>
      </c>
      <c r="F1" s="213">
        <v>2012</v>
      </c>
      <c r="G1" s="213">
        <v>2013</v>
      </c>
      <c r="H1" s="213">
        <v>2014</v>
      </c>
      <c r="I1" s="213">
        <v>2015</v>
      </c>
      <c r="J1" s="213">
        <v>2016</v>
      </c>
      <c r="K1" s="213">
        <v>2017</v>
      </c>
      <c r="L1" s="213">
        <v>2018</v>
      </c>
    </row>
    <row r="3" spans="1:14">
      <c r="A3" s="211" t="s">
        <v>1787</v>
      </c>
      <c r="D3" s="214">
        <f t="shared" ref="D3:I3" si="0">SUM(D21:D36)</f>
        <v>107103</v>
      </c>
      <c r="E3" s="214">
        <f t="shared" si="0"/>
        <v>107615</v>
      </c>
      <c r="F3" s="214">
        <f t="shared" si="0"/>
        <v>109226</v>
      </c>
      <c r="G3" s="214">
        <f t="shared" si="0"/>
        <v>108780</v>
      </c>
      <c r="H3" s="214">
        <f t="shared" si="0"/>
        <v>109266</v>
      </c>
      <c r="I3" s="214">
        <f t="shared" si="0"/>
        <v>104321</v>
      </c>
      <c r="J3" s="214">
        <f t="shared" ref="J3:K3" si="1">SUM(J21:J36)</f>
        <v>104458</v>
      </c>
      <c r="K3" s="214">
        <f t="shared" si="1"/>
        <v>107946</v>
      </c>
      <c r="L3" s="214">
        <f t="shared" ref="L3" si="2">SUM(L21:L36)</f>
        <v>107239</v>
      </c>
    </row>
    <row r="5" spans="1:14">
      <c r="A5" s="211" t="s">
        <v>7343</v>
      </c>
      <c r="D5" s="214">
        <f t="shared" ref="D5:I5" si="3">D3/2</f>
        <v>53551.5</v>
      </c>
      <c r="E5" s="214">
        <f t="shared" si="3"/>
        <v>53807.5</v>
      </c>
      <c r="F5" s="214">
        <f t="shared" si="3"/>
        <v>54613</v>
      </c>
      <c r="G5" s="214">
        <f t="shared" si="3"/>
        <v>54390</v>
      </c>
      <c r="H5" s="214">
        <f t="shared" si="3"/>
        <v>54633</v>
      </c>
      <c r="I5" s="214">
        <f t="shared" si="3"/>
        <v>52160.5</v>
      </c>
      <c r="J5" s="214">
        <f t="shared" ref="J5:K5" si="4">J3/2</f>
        <v>52229</v>
      </c>
      <c r="K5" s="214">
        <f t="shared" si="4"/>
        <v>53973</v>
      </c>
      <c r="L5" s="214">
        <f t="shared" ref="L5" si="5">L3/2</f>
        <v>53619.5</v>
      </c>
    </row>
    <row r="6" spans="1:14">
      <c r="D6" s="215"/>
      <c r="E6" s="215"/>
      <c r="F6" s="215"/>
      <c r="G6" s="215"/>
      <c r="H6" s="215"/>
      <c r="I6" s="215"/>
      <c r="J6" s="215"/>
      <c r="K6" s="215"/>
      <c r="L6" s="215"/>
    </row>
    <row r="7" spans="1:14">
      <c r="A7" s="211" t="s">
        <v>1788</v>
      </c>
      <c r="D7" s="214">
        <f t="shared" ref="D7:I7" si="6">SUM(D21:D23)+D25+D26+SUM(D29:D35)</f>
        <v>80229</v>
      </c>
      <c r="E7" s="214">
        <f t="shared" si="6"/>
        <v>80639</v>
      </c>
      <c r="F7" s="214">
        <f t="shared" si="6"/>
        <v>81735</v>
      </c>
      <c r="G7" s="214">
        <f t="shared" si="6"/>
        <v>81293</v>
      </c>
      <c r="H7" s="214">
        <f t="shared" si="6"/>
        <v>81792</v>
      </c>
      <c r="I7" s="214">
        <f t="shared" si="6"/>
        <v>77932</v>
      </c>
      <c r="J7" s="214">
        <f t="shared" ref="J7:K7" si="7">SUM(J21:J23)+J25+J26+SUM(J29:J35)</f>
        <v>77995</v>
      </c>
      <c r="K7" s="214">
        <f t="shared" si="7"/>
        <v>80379</v>
      </c>
      <c r="L7" s="214">
        <f t="shared" ref="L7" si="8">SUM(L21:L23)+L25+L26+SUM(L29:L35)</f>
        <v>79885</v>
      </c>
      <c r="N7" s="211" t="s">
        <v>1789</v>
      </c>
    </row>
    <row r="8" spans="1:14">
      <c r="D8" s="215"/>
      <c r="E8" s="215"/>
      <c r="F8" s="215"/>
      <c r="G8" s="215"/>
      <c r="H8" s="215"/>
      <c r="I8" s="215"/>
      <c r="J8" s="215"/>
      <c r="K8" s="215"/>
      <c r="L8" s="215"/>
    </row>
    <row r="9" spans="1:14">
      <c r="A9" s="211" t="s">
        <v>1790</v>
      </c>
      <c r="D9" s="214">
        <f t="shared" ref="D9:I9" si="9">D24+D27+D28+D36</f>
        <v>26874</v>
      </c>
      <c r="E9" s="214">
        <f t="shared" si="9"/>
        <v>26976</v>
      </c>
      <c r="F9" s="214">
        <f t="shared" si="9"/>
        <v>27491</v>
      </c>
      <c r="G9" s="214">
        <f t="shared" si="9"/>
        <v>27487</v>
      </c>
      <c r="H9" s="214">
        <f t="shared" si="9"/>
        <v>27474</v>
      </c>
      <c r="I9" s="214">
        <f t="shared" si="9"/>
        <v>26389</v>
      </c>
      <c r="J9" s="214">
        <f t="shared" ref="J9:K9" si="10">J24+J27+J28+J36</f>
        <v>26463</v>
      </c>
      <c r="K9" s="214">
        <f t="shared" si="10"/>
        <v>27567</v>
      </c>
      <c r="L9" s="214">
        <f t="shared" ref="L9" si="11">L24+L27+L28+L36</f>
        <v>27354</v>
      </c>
      <c r="N9" s="211" t="s">
        <v>1789</v>
      </c>
    </row>
    <row r="10" spans="1:14" ht="15.75" thickBot="1">
      <c r="D10" s="216">
        <f>RICHMOND!D8</f>
        <v>48621</v>
      </c>
      <c r="E10" s="216">
        <f>RICHMOND!E8</f>
        <v>49674</v>
      </c>
      <c r="F10" s="216">
        <f>RICHMOND!F8</f>
        <v>49287</v>
      </c>
      <c r="G10" s="216">
        <f>RICHMOND!G8</f>
        <v>49375</v>
      </c>
      <c r="H10" s="216">
        <f>RICHMOND!H8</f>
        <v>48919</v>
      </c>
      <c r="I10" s="216">
        <f>RICHMOND!I8</f>
        <v>47668</v>
      </c>
      <c r="J10" s="216">
        <f>RICHMOND!J8</f>
        <v>48277</v>
      </c>
      <c r="K10" s="216">
        <f>RICHMOND!K8</f>
        <v>50367</v>
      </c>
      <c r="L10" s="216">
        <f>RICHMOND!L8</f>
        <v>50753</v>
      </c>
      <c r="N10" s="211" t="s">
        <v>1791</v>
      </c>
    </row>
    <row r="11" spans="1:14" ht="15.75" thickBot="1">
      <c r="D11" s="216">
        <f t="shared" ref="D11:I11" si="12">D9+D10</f>
        <v>75495</v>
      </c>
      <c r="E11" s="216">
        <f t="shared" si="12"/>
        <v>76650</v>
      </c>
      <c r="F11" s="216">
        <f t="shared" si="12"/>
        <v>76778</v>
      </c>
      <c r="G11" s="216">
        <f t="shared" si="12"/>
        <v>76862</v>
      </c>
      <c r="H11" s="216">
        <f t="shared" si="12"/>
        <v>76393</v>
      </c>
      <c r="I11" s="216">
        <f t="shared" si="12"/>
        <v>74057</v>
      </c>
      <c r="J11" s="216">
        <f t="shared" ref="J11:K11" si="13">J9+J10</f>
        <v>74740</v>
      </c>
      <c r="K11" s="216">
        <f t="shared" si="13"/>
        <v>77934</v>
      </c>
      <c r="L11" s="216">
        <f t="shared" ref="L11" si="14">L9+L10</f>
        <v>78107</v>
      </c>
    </row>
    <row r="12" spans="1:14">
      <c r="D12" s="215"/>
      <c r="E12" s="215"/>
      <c r="F12" s="215"/>
      <c r="G12" s="215"/>
      <c r="H12" s="215"/>
      <c r="I12" s="215"/>
      <c r="J12" s="215"/>
      <c r="K12" s="215"/>
      <c r="L12" s="215"/>
    </row>
    <row r="13" spans="1:14">
      <c r="A13" s="211" t="s">
        <v>1792</v>
      </c>
      <c r="D13" s="214">
        <f>RICHMOND!D11</f>
        <v>78667</v>
      </c>
      <c r="E13" s="214">
        <f>RICHMOND!E11</f>
        <v>79172</v>
      </c>
      <c r="F13" s="214">
        <f>RICHMOND!F11</f>
        <v>79940</v>
      </c>
      <c r="G13" s="214">
        <f>RICHMOND!G11</f>
        <v>80050</v>
      </c>
      <c r="H13" s="214">
        <f>RICHMOND!H11</f>
        <v>80318</v>
      </c>
      <c r="I13" s="214">
        <f>RICHMOND!I11</f>
        <v>77649</v>
      </c>
      <c r="J13" s="214">
        <f>RICHMOND!J11</f>
        <v>78247</v>
      </c>
      <c r="K13" s="214">
        <f>RICHMOND!K11</f>
        <v>80689</v>
      </c>
      <c r="L13" s="214">
        <f>RICHMOND!L11</f>
        <v>81420</v>
      </c>
      <c r="N13" s="211" t="s">
        <v>1791</v>
      </c>
    </row>
    <row r="14" spans="1:14">
      <c r="D14" s="215"/>
      <c r="E14" s="215"/>
      <c r="F14" s="215"/>
      <c r="G14" s="215"/>
      <c r="H14" s="215"/>
      <c r="I14" s="215"/>
      <c r="J14" s="215"/>
      <c r="K14" s="215"/>
      <c r="L14" s="215"/>
    </row>
    <row r="15" spans="1:14">
      <c r="A15" s="211" t="s">
        <v>8697</v>
      </c>
      <c r="D15" s="214">
        <f t="shared" ref="D15:I15" si="15">D7+D9</f>
        <v>107103</v>
      </c>
      <c r="E15" s="214">
        <f t="shared" si="15"/>
        <v>107615</v>
      </c>
      <c r="F15" s="214">
        <f t="shared" si="15"/>
        <v>109226</v>
      </c>
      <c r="G15" s="214">
        <f t="shared" si="15"/>
        <v>108780</v>
      </c>
      <c r="H15" s="214">
        <f t="shared" si="15"/>
        <v>109266</v>
      </c>
      <c r="I15" s="214">
        <f t="shared" si="15"/>
        <v>104321</v>
      </c>
      <c r="J15" s="214">
        <f t="shared" ref="J15:K15" si="16">J7+J9</f>
        <v>104458</v>
      </c>
      <c r="K15" s="214">
        <f t="shared" si="16"/>
        <v>107946</v>
      </c>
      <c r="L15" s="214">
        <f t="shared" ref="L15" si="17">L7+L9</f>
        <v>107239</v>
      </c>
    </row>
    <row r="16" spans="1:14">
      <c r="D16" s="215"/>
      <c r="E16" s="215"/>
      <c r="F16" s="215"/>
      <c r="G16" s="215"/>
      <c r="H16" s="215"/>
      <c r="I16" s="215"/>
      <c r="J16" s="215"/>
      <c r="K16" s="215"/>
      <c r="L16" s="215"/>
    </row>
    <row r="17" spans="1:18">
      <c r="A17" s="211" t="s">
        <v>8698</v>
      </c>
      <c r="D17" s="214">
        <f t="shared" ref="D17:I17" si="18">MAX(D7,D11,D13)-MIN(D7,D11,D13)</f>
        <v>4734</v>
      </c>
      <c r="E17" s="214">
        <f t="shared" si="18"/>
        <v>3989</v>
      </c>
      <c r="F17" s="214">
        <f t="shared" si="18"/>
        <v>4957</v>
      </c>
      <c r="G17" s="214">
        <f t="shared" si="18"/>
        <v>4431</v>
      </c>
      <c r="H17" s="214">
        <f t="shared" si="18"/>
        <v>5399</v>
      </c>
      <c r="I17" s="214">
        <f t="shared" si="18"/>
        <v>3875</v>
      </c>
      <c r="J17" s="214">
        <f t="shared" ref="J17:K17" si="19">MAX(J7,J11,J13)-MIN(J7,J11,J13)</f>
        <v>3507</v>
      </c>
      <c r="K17" s="214">
        <f t="shared" si="19"/>
        <v>2755</v>
      </c>
      <c r="L17" s="214">
        <f t="shared" ref="L17" si="20">MAX(L7,L11,L13)-MIN(L7,L11,L13)</f>
        <v>3313</v>
      </c>
    </row>
    <row r="18" spans="1:18">
      <c r="D18" s="215"/>
      <c r="E18" s="215"/>
      <c r="F18" s="215"/>
      <c r="G18" s="215"/>
      <c r="H18" s="215"/>
      <c r="I18" s="215"/>
      <c r="J18" s="215"/>
      <c r="K18" s="215"/>
      <c r="L18" s="215"/>
    </row>
    <row r="19" spans="1:18">
      <c r="A19" s="211" t="s">
        <v>8701</v>
      </c>
      <c r="D19" s="214">
        <f t="shared" ref="D19:I19" si="21">STDEVP(D7,D11,D13)</f>
        <v>1969.5511050885568</v>
      </c>
      <c r="E19" s="214">
        <f t="shared" si="21"/>
        <v>1647.3781863582171</v>
      </c>
      <c r="F19" s="214">
        <f t="shared" si="21"/>
        <v>2049.1764741530251</v>
      </c>
      <c r="G19" s="214">
        <f t="shared" si="21"/>
        <v>1866.1354601302542</v>
      </c>
      <c r="H19" s="214">
        <f t="shared" si="21"/>
        <v>2278.5839169683145</v>
      </c>
      <c r="I19" s="214">
        <f t="shared" si="21"/>
        <v>1763.7768188369714</v>
      </c>
      <c r="J19" s="214">
        <f t="shared" ref="J19:K19" si="22">STDEVP(J7,J11,J13)</f>
        <v>1597.1355609340117</v>
      </c>
      <c r="K19" s="214">
        <f t="shared" si="22"/>
        <v>1232.1683687259988</v>
      </c>
      <c r="L19" s="214">
        <f t="shared" ref="L19" si="23">STDEVP(L7,L11,L13)</f>
        <v>1353.7387734222089</v>
      </c>
    </row>
    <row r="20" spans="1:18">
      <c r="D20" s="215"/>
      <c r="E20" s="215"/>
      <c r="F20" s="215"/>
      <c r="G20" s="215"/>
      <c r="H20" s="215"/>
      <c r="I20" s="215"/>
      <c r="J20" s="215"/>
      <c r="K20" s="215"/>
      <c r="L20" s="215"/>
    </row>
    <row r="21" spans="1:18">
      <c r="A21" s="211" t="s">
        <v>6957</v>
      </c>
      <c r="B21" s="211" t="s">
        <v>7394</v>
      </c>
      <c r="C21" s="4" t="s">
        <v>896</v>
      </c>
      <c r="D21" s="217">
        <v>6492</v>
      </c>
      <c r="E21" s="217">
        <v>6502</v>
      </c>
      <c r="F21" s="217">
        <v>6542</v>
      </c>
      <c r="G21" s="217">
        <v>6534</v>
      </c>
      <c r="H21" s="30">
        <v>6569</v>
      </c>
      <c r="I21" s="30">
        <v>6461</v>
      </c>
      <c r="J21" s="30">
        <v>6494</v>
      </c>
      <c r="K21" s="30">
        <v>6570</v>
      </c>
      <c r="L21" s="30">
        <v>6548</v>
      </c>
      <c r="N21" s="211" t="s">
        <v>1788</v>
      </c>
      <c r="P21" s="4"/>
      <c r="R21" s="4"/>
    </row>
    <row r="22" spans="1:18">
      <c r="A22" s="211" t="s">
        <v>6959</v>
      </c>
      <c r="B22" s="211" t="s">
        <v>1793</v>
      </c>
      <c r="C22" s="4" t="s">
        <v>897</v>
      </c>
      <c r="D22" s="217">
        <v>6569</v>
      </c>
      <c r="E22" s="217">
        <v>6666</v>
      </c>
      <c r="F22" s="217">
        <v>6739</v>
      </c>
      <c r="G22" s="217">
        <v>6681</v>
      </c>
      <c r="H22" s="30">
        <v>6517</v>
      </c>
      <c r="I22" s="30">
        <v>6289</v>
      </c>
      <c r="J22" s="30">
        <v>6287</v>
      </c>
      <c r="K22" s="30">
        <v>6543</v>
      </c>
      <c r="L22" s="30">
        <v>6480</v>
      </c>
      <c r="N22" s="211" t="s">
        <v>1788</v>
      </c>
      <c r="P22" s="4"/>
      <c r="R22" s="4"/>
    </row>
    <row r="23" spans="1:18">
      <c r="A23" s="211" t="s">
        <v>6961</v>
      </c>
      <c r="B23" s="211" t="s">
        <v>2520</v>
      </c>
      <c r="C23" s="4" t="s">
        <v>898</v>
      </c>
      <c r="D23" s="214">
        <v>6466</v>
      </c>
      <c r="E23" s="214">
        <v>6544</v>
      </c>
      <c r="F23" s="214">
        <v>6541</v>
      </c>
      <c r="G23" s="214">
        <v>6618</v>
      </c>
      <c r="H23" s="30">
        <v>6691</v>
      </c>
      <c r="I23" s="30">
        <v>6535</v>
      </c>
      <c r="J23" s="30">
        <v>6671</v>
      </c>
      <c r="K23" s="30">
        <v>6843</v>
      </c>
      <c r="L23" s="30">
        <v>6802</v>
      </c>
      <c r="N23" s="211" t="s">
        <v>1788</v>
      </c>
      <c r="P23" s="4"/>
      <c r="R23" s="4"/>
    </row>
    <row r="24" spans="1:18">
      <c r="A24" s="211" t="s">
        <v>6963</v>
      </c>
      <c r="B24" s="211" t="s">
        <v>1794</v>
      </c>
      <c r="C24" s="4" t="s">
        <v>899</v>
      </c>
      <c r="D24" s="217">
        <v>7681</v>
      </c>
      <c r="E24" s="217">
        <v>7718</v>
      </c>
      <c r="F24" s="217">
        <v>7942</v>
      </c>
      <c r="G24" s="217">
        <v>7864</v>
      </c>
      <c r="H24" s="30">
        <v>7936</v>
      </c>
      <c r="I24" s="30">
        <v>7700</v>
      </c>
      <c r="J24" s="30">
        <v>7844</v>
      </c>
      <c r="K24" s="30">
        <v>8247</v>
      </c>
      <c r="L24" s="30">
        <v>8218</v>
      </c>
      <c r="N24" s="211" t="s">
        <v>1790</v>
      </c>
      <c r="P24" s="4"/>
      <c r="R24" s="4"/>
    </row>
    <row r="25" spans="1:18">
      <c r="A25" s="211" t="s">
        <v>6965</v>
      </c>
      <c r="B25" s="211" t="s">
        <v>1795</v>
      </c>
      <c r="C25" s="4" t="s">
        <v>900</v>
      </c>
      <c r="D25" s="217">
        <v>6279</v>
      </c>
      <c r="E25" s="217">
        <v>6319</v>
      </c>
      <c r="F25" s="217">
        <v>6348</v>
      </c>
      <c r="G25" s="217">
        <v>6377</v>
      </c>
      <c r="H25" s="30">
        <v>6467</v>
      </c>
      <c r="I25" s="30">
        <v>6294</v>
      </c>
      <c r="J25" s="30">
        <v>6254</v>
      </c>
      <c r="K25" s="30">
        <v>6401</v>
      </c>
      <c r="L25" s="30">
        <v>6372</v>
      </c>
      <c r="N25" s="211" t="s">
        <v>1788</v>
      </c>
      <c r="P25" s="4"/>
      <c r="R25" s="4"/>
    </row>
    <row r="26" spans="1:18">
      <c r="A26" s="211" t="s">
        <v>6997</v>
      </c>
      <c r="B26" s="211" t="s">
        <v>1796</v>
      </c>
      <c r="C26" s="4" t="s">
        <v>901</v>
      </c>
      <c r="D26" s="217">
        <v>7191</v>
      </c>
      <c r="E26" s="217">
        <v>7219</v>
      </c>
      <c r="F26" s="217">
        <v>7377</v>
      </c>
      <c r="G26" s="217">
        <v>7308</v>
      </c>
      <c r="H26" s="30">
        <v>7497</v>
      </c>
      <c r="I26" s="30">
        <v>7325</v>
      </c>
      <c r="J26" s="30">
        <v>7335</v>
      </c>
      <c r="K26" s="30">
        <v>7468</v>
      </c>
      <c r="L26" s="30">
        <v>7464</v>
      </c>
      <c r="N26" s="211" t="s">
        <v>1788</v>
      </c>
      <c r="P26" s="4"/>
      <c r="R26" s="4"/>
    </row>
    <row r="27" spans="1:18">
      <c r="A27" s="211" t="s">
        <v>6999</v>
      </c>
      <c r="B27" s="211" t="s">
        <v>8586</v>
      </c>
      <c r="C27" s="4" t="s">
        <v>902</v>
      </c>
      <c r="D27" s="217">
        <v>6515</v>
      </c>
      <c r="E27" s="217">
        <v>6457</v>
      </c>
      <c r="F27" s="217">
        <v>6602</v>
      </c>
      <c r="G27" s="217">
        <v>6641</v>
      </c>
      <c r="H27" s="30">
        <v>6594</v>
      </c>
      <c r="I27" s="30">
        <v>6057</v>
      </c>
      <c r="J27" s="30">
        <v>5953</v>
      </c>
      <c r="K27" s="30">
        <v>6141</v>
      </c>
      <c r="L27" s="30">
        <v>6052</v>
      </c>
      <c r="N27" s="211" t="s">
        <v>1790</v>
      </c>
      <c r="P27" s="4"/>
      <c r="R27" s="4"/>
    </row>
    <row r="28" spans="1:18">
      <c r="A28" s="211" t="s">
        <v>7001</v>
      </c>
      <c r="B28" s="211" t="s">
        <v>1797</v>
      </c>
      <c r="C28" s="4" t="s">
        <v>903</v>
      </c>
      <c r="D28" s="217">
        <v>6277</v>
      </c>
      <c r="E28" s="217">
        <v>6380</v>
      </c>
      <c r="F28" s="217">
        <v>6461</v>
      </c>
      <c r="G28" s="217">
        <v>6506</v>
      </c>
      <c r="H28" s="30">
        <v>6525</v>
      </c>
      <c r="I28" s="30">
        <v>6348</v>
      </c>
      <c r="J28" s="30">
        <v>6365</v>
      </c>
      <c r="K28" s="30">
        <v>6647</v>
      </c>
      <c r="L28" s="30">
        <v>6575</v>
      </c>
      <c r="N28" s="211" t="s">
        <v>1790</v>
      </c>
      <c r="P28" s="4"/>
      <c r="R28" s="4"/>
    </row>
    <row r="29" spans="1:18">
      <c r="A29" s="211" t="s">
        <v>7003</v>
      </c>
      <c r="B29" s="211" t="s">
        <v>6571</v>
      </c>
      <c r="C29" s="4" t="s">
        <v>904</v>
      </c>
      <c r="D29" s="217">
        <v>7104</v>
      </c>
      <c r="E29" s="217">
        <v>7145</v>
      </c>
      <c r="F29" s="217">
        <v>7240</v>
      </c>
      <c r="G29" s="217">
        <v>7127</v>
      </c>
      <c r="H29" s="30">
        <v>7287</v>
      </c>
      <c r="I29" s="30">
        <v>6317</v>
      </c>
      <c r="J29" s="30">
        <v>6303</v>
      </c>
      <c r="K29" s="30">
        <v>6787</v>
      </c>
      <c r="L29" s="30">
        <v>6624</v>
      </c>
      <c r="N29" s="211" t="s">
        <v>1788</v>
      </c>
      <c r="P29" s="4"/>
      <c r="R29" s="4"/>
    </row>
    <row r="30" spans="1:18">
      <c r="A30" s="211" t="s">
        <v>7005</v>
      </c>
      <c r="B30" s="211" t="s">
        <v>1798</v>
      </c>
      <c r="C30" s="4" t="s">
        <v>905</v>
      </c>
      <c r="D30" s="218">
        <v>6151</v>
      </c>
      <c r="E30" s="218">
        <v>6195</v>
      </c>
      <c r="F30" s="218">
        <v>6482</v>
      </c>
      <c r="G30" s="218">
        <v>6313</v>
      </c>
      <c r="H30" s="30">
        <v>6158</v>
      </c>
      <c r="I30" s="30">
        <v>5918</v>
      </c>
      <c r="J30" s="30">
        <v>5942</v>
      </c>
      <c r="K30" s="30">
        <v>6213</v>
      </c>
      <c r="L30" s="30">
        <v>6153</v>
      </c>
      <c r="N30" s="211" t="s">
        <v>1788</v>
      </c>
      <c r="P30" s="4"/>
      <c r="R30" s="4"/>
    </row>
    <row r="31" spans="1:18">
      <c r="A31" s="211" t="s">
        <v>7007</v>
      </c>
      <c r="B31" s="211" t="s">
        <v>1799</v>
      </c>
      <c r="C31" s="4" t="s">
        <v>906</v>
      </c>
      <c r="D31" s="217">
        <v>6603</v>
      </c>
      <c r="E31" s="217">
        <v>6573</v>
      </c>
      <c r="F31" s="217">
        <v>6726</v>
      </c>
      <c r="G31" s="217">
        <v>6744</v>
      </c>
      <c r="H31" s="30">
        <v>6787</v>
      </c>
      <c r="I31" s="30">
        <v>6673</v>
      </c>
      <c r="J31" s="30">
        <v>6694</v>
      </c>
      <c r="K31" s="30">
        <v>6861</v>
      </c>
      <c r="L31" s="30">
        <v>6876</v>
      </c>
      <c r="N31" s="211" t="s">
        <v>1788</v>
      </c>
      <c r="P31" s="4"/>
      <c r="R31" s="4"/>
    </row>
    <row r="32" spans="1:18">
      <c r="A32" s="211" t="s">
        <v>7009</v>
      </c>
      <c r="B32" s="211" t="s">
        <v>4099</v>
      </c>
      <c r="C32" s="4" t="s">
        <v>907</v>
      </c>
      <c r="D32" s="217">
        <v>6259</v>
      </c>
      <c r="E32" s="217">
        <v>6277</v>
      </c>
      <c r="F32" s="217">
        <v>6347</v>
      </c>
      <c r="G32" s="217">
        <v>6378</v>
      </c>
      <c r="H32" s="30">
        <v>6423</v>
      </c>
      <c r="I32" s="30">
        <v>6294</v>
      </c>
      <c r="J32" s="30">
        <v>6232</v>
      </c>
      <c r="K32" s="30">
        <v>6293</v>
      </c>
      <c r="L32" s="30">
        <v>6349</v>
      </c>
      <c r="N32" s="211" t="s">
        <v>1788</v>
      </c>
      <c r="P32" s="4"/>
      <c r="R32" s="4"/>
    </row>
    <row r="33" spans="1:18">
      <c r="A33" s="211" t="s">
        <v>7011</v>
      </c>
      <c r="B33" s="211" t="s">
        <v>8605</v>
      </c>
      <c r="C33" s="4" t="s">
        <v>908</v>
      </c>
      <c r="D33" s="217">
        <v>7377</v>
      </c>
      <c r="E33" s="217">
        <v>7297</v>
      </c>
      <c r="F33" s="217">
        <v>7460</v>
      </c>
      <c r="G33" s="217">
        <v>7331</v>
      </c>
      <c r="H33" s="30">
        <v>7319</v>
      </c>
      <c r="I33" s="30">
        <v>6152</v>
      </c>
      <c r="J33" s="30">
        <v>6136</v>
      </c>
      <c r="K33" s="30">
        <v>6320</v>
      </c>
      <c r="L33" s="30">
        <v>6360</v>
      </c>
      <c r="N33" s="211" t="s">
        <v>1788</v>
      </c>
      <c r="P33" s="4"/>
      <c r="R33" s="4"/>
    </row>
    <row r="34" spans="1:18">
      <c r="A34" s="211" t="s">
        <v>7013</v>
      </c>
      <c r="B34" s="211" t="s">
        <v>1800</v>
      </c>
      <c r="C34" s="4" t="s">
        <v>909</v>
      </c>
      <c r="D34" s="217">
        <v>7154</v>
      </c>
      <c r="E34" s="217">
        <v>7195</v>
      </c>
      <c r="F34" s="217">
        <v>7182</v>
      </c>
      <c r="G34" s="217">
        <v>7202</v>
      </c>
      <c r="H34" s="30">
        <v>7250</v>
      </c>
      <c r="I34" s="30">
        <v>7023</v>
      </c>
      <c r="J34" s="30">
        <v>7026</v>
      </c>
      <c r="K34" s="30">
        <v>7254</v>
      </c>
      <c r="L34" s="30">
        <v>7102</v>
      </c>
      <c r="N34" s="211" t="s">
        <v>1788</v>
      </c>
      <c r="P34" s="4"/>
      <c r="R34" s="4"/>
    </row>
    <row r="35" spans="1:18">
      <c r="A35" s="211" t="s">
        <v>7015</v>
      </c>
      <c r="B35" s="211" t="s">
        <v>1801</v>
      </c>
      <c r="C35" s="4" t="s">
        <v>910</v>
      </c>
      <c r="D35" s="217">
        <v>6584</v>
      </c>
      <c r="E35" s="217">
        <v>6707</v>
      </c>
      <c r="F35" s="217">
        <v>6751</v>
      </c>
      <c r="G35" s="217">
        <v>6680</v>
      </c>
      <c r="H35" s="30">
        <v>6827</v>
      </c>
      <c r="I35" s="30">
        <v>6651</v>
      </c>
      <c r="J35" s="30">
        <v>6621</v>
      </c>
      <c r="K35" s="30">
        <v>6826</v>
      </c>
      <c r="L35" s="30">
        <v>6755</v>
      </c>
      <c r="N35" s="211" t="s">
        <v>1788</v>
      </c>
      <c r="P35" s="4"/>
      <c r="R35" s="4"/>
    </row>
    <row r="36" spans="1:18">
      <c r="A36" s="211" t="s">
        <v>7017</v>
      </c>
      <c r="B36" s="211" t="s">
        <v>6202</v>
      </c>
      <c r="C36" s="4" t="s">
        <v>911</v>
      </c>
      <c r="D36" s="217">
        <v>6401</v>
      </c>
      <c r="E36" s="217">
        <v>6421</v>
      </c>
      <c r="F36" s="217">
        <v>6486</v>
      </c>
      <c r="G36" s="217">
        <v>6476</v>
      </c>
      <c r="H36" s="31">
        <v>6419</v>
      </c>
      <c r="I36" s="31">
        <v>6284</v>
      </c>
      <c r="J36" s="31">
        <v>6301</v>
      </c>
      <c r="K36" s="31">
        <v>6532</v>
      </c>
      <c r="L36" s="31">
        <v>6509</v>
      </c>
      <c r="N36" s="211" t="s">
        <v>1790</v>
      </c>
      <c r="P36" s="4"/>
      <c r="R36" s="4"/>
    </row>
    <row r="38" spans="1:18">
      <c r="A38" s="211" t="s">
        <v>1802</v>
      </c>
    </row>
    <row r="39" spans="1:18">
      <c r="A39" s="212" t="s">
        <v>1803</v>
      </c>
    </row>
    <row r="41" spans="1:18" ht="20.25" customHeight="1">
      <c r="A41" s="211"/>
      <c r="D41" s="213"/>
      <c r="E41" s="213"/>
      <c r="F41" s="213"/>
      <c r="G41" s="213"/>
      <c r="H41" s="213"/>
      <c r="I41" s="213"/>
      <c r="J41" s="213"/>
      <c r="K41" s="213"/>
      <c r="L41" s="213"/>
    </row>
    <row r="43" spans="1:18">
      <c r="A43" s="211"/>
      <c r="B43" s="211"/>
      <c r="C43" s="211"/>
      <c r="D43" s="213"/>
      <c r="E43" s="213"/>
      <c r="F43" s="213"/>
      <c r="G43" s="213"/>
      <c r="H43" s="213"/>
      <c r="I43" s="213"/>
      <c r="J43" s="213"/>
      <c r="K43" s="213"/>
      <c r="L43" s="213"/>
      <c r="N43" s="211"/>
    </row>
    <row r="44" spans="1:18">
      <c r="A44" s="211"/>
      <c r="B44" s="211"/>
      <c r="C44" s="211"/>
      <c r="D44" s="213"/>
      <c r="E44" s="213"/>
      <c r="F44" s="213"/>
      <c r="G44" s="213"/>
      <c r="H44" s="213"/>
      <c r="I44" s="213"/>
      <c r="J44" s="213"/>
      <c r="K44" s="213"/>
      <c r="L44" s="213"/>
      <c r="N44" s="211"/>
    </row>
    <row r="45" spans="1:18">
      <c r="A45" s="211"/>
      <c r="B45" s="211"/>
      <c r="C45" s="211"/>
      <c r="D45" s="213"/>
      <c r="E45" s="213"/>
      <c r="F45" s="213"/>
      <c r="G45" s="213"/>
      <c r="H45" s="213"/>
      <c r="I45" s="213"/>
      <c r="J45" s="213"/>
      <c r="K45" s="213"/>
      <c r="L45" s="213"/>
      <c r="N45" s="211"/>
    </row>
    <row r="46" spans="1:18">
      <c r="A46" s="211"/>
      <c r="B46" s="211"/>
      <c r="C46" s="211"/>
      <c r="D46" s="213"/>
      <c r="E46" s="213"/>
      <c r="F46" s="213"/>
      <c r="G46" s="213"/>
      <c r="H46" s="213"/>
      <c r="I46" s="213"/>
      <c r="J46" s="213"/>
      <c r="K46" s="213"/>
      <c r="L46" s="213"/>
      <c r="N46" s="211"/>
    </row>
    <row r="47" spans="1:18">
      <c r="A47" s="211"/>
      <c r="B47" s="211"/>
      <c r="C47" s="211"/>
      <c r="D47" s="213"/>
      <c r="E47" s="213"/>
      <c r="F47" s="213"/>
      <c r="G47" s="213"/>
      <c r="H47" s="213"/>
      <c r="I47" s="213"/>
      <c r="J47" s="213"/>
      <c r="K47" s="213"/>
      <c r="L47" s="213"/>
      <c r="N47" s="211"/>
    </row>
    <row r="48" spans="1:18">
      <c r="A48" s="211"/>
      <c r="B48" s="211"/>
      <c r="C48" s="211"/>
      <c r="D48" s="213"/>
      <c r="E48" s="213"/>
      <c r="F48" s="213"/>
      <c r="G48" s="213"/>
      <c r="H48" s="213"/>
      <c r="I48" s="213"/>
      <c r="J48" s="213"/>
      <c r="K48" s="213"/>
      <c r="L48" s="213"/>
      <c r="N48" s="211"/>
    </row>
    <row r="49" spans="1:14">
      <c r="A49" s="211"/>
      <c r="B49" s="211"/>
      <c r="C49" s="211"/>
      <c r="D49" s="213"/>
      <c r="E49" s="213"/>
      <c r="F49" s="213"/>
      <c r="G49" s="213"/>
      <c r="H49" s="213"/>
      <c r="I49" s="213"/>
      <c r="J49" s="213"/>
      <c r="K49" s="213"/>
      <c r="L49" s="213"/>
      <c r="N49" s="211"/>
    </row>
    <row r="50" spans="1:14">
      <c r="A50" s="211"/>
      <c r="B50" s="211"/>
      <c r="C50" s="211"/>
      <c r="D50" s="213"/>
      <c r="E50" s="213"/>
      <c r="F50" s="213"/>
      <c r="G50" s="213"/>
      <c r="H50" s="213"/>
      <c r="I50" s="213"/>
      <c r="J50" s="213"/>
      <c r="K50" s="213"/>
      <c r="L50" s="213"/>
      <c r="N50" s="211"/>
    </row>
    <row r="51" spans="1:14">
      <c r="A51" s="211"/>
      <c r="B51" s="211"/>
      <c r="C51" s="211"/>
      <c r="D51" s="213"/>
      <c r="E51" s="213"/>
      <c r="F51" s="213"/>
      <c r="G51" s="213"/>
      <c r="H51" s="213"/>
      <c r="I51" s="213"/>
      <c r="J51" s="213"/>
      <c r="K51" s="213"/>
      <c r="L51" s="213"/>
      <c r="N51" s="211"/>
    </row>
    <row r="52" spans="1:14">
      <c r="A52" s="211"/>
      <c r="B52" s="211"/>
      <c r="C52" s="211"/>
      <c r="D52" s="213"/>
      <c r="E52" s="213"/>
      <c r="F52" s="213"/>
      <c r="G52" s="213"/>
      <c r="H52" s="213"/>
      <c r="I52" s="213"/>
      <c r="J52" s="213"/>
      <c r="K52" s="213"/>
      <c r="L52" s="213"/>
      <c r="N52" s="211"/>
    </row>
    <row r="53" spans="1:14">
      <c r="A53" s="211"/>
      <c r="B53" s="211"/>
      <c r="C53" s="211"/>
      <c r="D53" s="213"/>
      <c r="E53" s="213"/>
      <c r="F53" s="213"/>
      <c r="G53" s="213"/>
      <c r="H53" s="213"/>
      <c r="I53" s="213"/>
      <c r="J53" s="213"/>
      <c r="K53" s="213"/>
      <c r="L53" s="213"/>
      <c r="N53" s="211"/>
    </row>
    <row r="54" spans="1:14">
      <c r="A54" s="211"/>
      <c r="B54" s="211"/>
      <c r="C54" s="211"/>
      <c r="D54" s="213"/>
      <c r="E54" s="213"/>
      <c r="F54" s="213"/>
      <c r="G54" s="213"/>
      <c r="H54" s="213"/>
      <c r="I54" s="213"/>
      <c r="J54" s="213"/>
      <c r="K54" s="213"/>
      <c r="L54" s="213"/>
      <c r="N54" s="211"/>
    </row>
    <row r="55" spans="1:14">
      <c r="A55" s="211"/>
      <c r="B55" s="211"/>
      <c r="C55" s="211"/>
      <c r="D55" s="213"/>
      <c r="E55" s="213"/>
      <c r="F55" s="213"/>
      <c r="G55" s="213"/>
      <c r="H55" s="213"/>
      <c r="I55" s="213"/>
      <c r="J55" s="213"/>
      <c r="K55" s="213"/>
      <c r="L55" s="213"/>
      <c r="N55" s="211"/>
    </row>
    <row r="56" spans="1:14">
      <c r="A56" s="211"/>
      <c r="B56" s="211"/>
      <c r="C56" s="211"/>
      <c r="D56" s="213"/>
      <c r="E56" s="213"/>
      <c r="F56" s="213"/>
      <c r="G56" s="213"/>
      <c r="H56" s="213"/>
      <c r="I56" s="213"/>
      <c r="J56" s="213"/>
      <c r="K56" s="213"/>
      <c r="L56" s="213"/>
      <c r="N56" s="211"/>
    </row>
    <row r="57" spans="1:14">
      <c r="A57" s="211"/>
      <c r="B57" s="211"/>
      <c r="C57" s="211"/>
      <c r="D57" s="213"/>
      <c r="E57" s="213"/>
      <c r="F57" s="213"/>
      <c r="G57" s="213"/>
      <c r="H57" s="213"/>
      <c r="I57" s="213"/>
      <c r="J57" s="213"/>
      <c r="K57" s="213"/>
      <c r="L57" s="213"/>
      <c r="N57" s="211"/>
    </row>
    <row r="58" spans="1:14">
      <c r="A58" s="211"/>
      <c r="B58" s="211"/>
      <c r="C58" s="211"/>
      <c r="D58" s="213"/>
      <c r="E58" s="213"/>
      <c r="F58" s="213"/>
      <c r="G58" s="213"/>
      <c r="H58" s="213"/>
      <c r="I58" s="213"/>
      <c r="J58" s="213"/>
      <c r="K58" s="213"/>
      <c r="L58" s="213"/>
      <c r="N58" s="211"/>
    </row>
    <row r="59" spans="1:14">
      <c r="A59" s="211"/>
      <c r="B59" s="211"/>
      <c r="C59" s="211"/>
      <c r="D59" s="213"/>
      <c r="E59" s="213"/>
      <c r="F59" s="213"/>
      <c r="G59" s="213"/>
      <c r="H59" s="213"/>
      <c r="I59" s="213"/>
      <c r="J59" s="213"/>
      <c r="K59" s="213"/>
      <c r="L59" s="213"/>
      <c r="N59" s="211"/>
    </row>
    <row r="60" spans="1:14">
      <c r="A60" s="211"/>
      <c r="B60" s="211"/>
      <c r="C60" s="211"/>
      <c r="D60" s="213"/>
      <c r="E60" s="213"/>
      <c r="F60" s="213"/>
      <c r="G60" s="213"/>
      <c r="H60" s="213"/>
      <c r="I60" s="213"/>
      <c r="J60" s="213"/>
      <c r="K60" s="213"/>
      <c r="L60" s="213"/>
      <c r="N60" s="211"/>
    </row>
    <row r="61" spans="1:14">
      <c r="A61" s="211"/>
      <c r="B61" s="211"/>
      <c r="C61" s="211"/>
      <c r="D61" s="213"/>
      <c r="E61" s="213"/>
      <c r="F61" s="213"/>
      <c r="G61" s="213"/>
      <c r="H61" s="213"/>
      <c r="I61" s="213"/>
      <c r="J61" s="213"/>
      <c r="K61" s="213"/>
      <c r="L61" s="213"/>
      <c r="N61" s="211"/>
    </row>
    <row r="64" spans="1:14">
      <c r="A64" s="211"/>
      <c r="D64" s="213"/>
      <c r="E64" s="213"/>
      <c r="F64" s="213"/>
      <c r="G64" s="213"/>
      <c r="H64" s="213"/>
      <c r="I64" s="213"/>
      <c r="J64" s="213"/>
      <c r="K64" s="213"/>
      <c r="L64" s="213"/>
    </row>
    <row r="65" spans="1:12">
      <c r="A65" s="211"/>
      <c r="D65" s="213"/>
      <c r="E65" s="213"/>
      <c r="F65" s="213"/>
      <c r="G65" s="213"/>
      <c r="H65" s="213"/>
      <c r="I65" s="213"/>
      <c r="J65" s="213"/>
      <c r="K65" s="213"/>
      <c r="L65" s="213"/>
    </row>
    <row r="67" spans="1:12">
      <c r="A67" s="211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0 E5:E19 F5:F19 G5:G19 H3:H4 H5:H19 I3:I19 J3:J19 K3:K19 L3:L19" unlockedFormula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85"/>
  <sheetViews>
    <sheetView showGridLines="0" zoomScaleNormal="100" workbookViewId="0"/>
  </sheetViews>
  <sheetFormatPr defaultColWidth="12.5703125" defaultRowHeight="15"/>
  <cols>
    <col min="1" max="1" width="4.85546875" style="222" customWidth="1"/>
    <col min="2" max="2" width="40.5703125" style="222" customWidth="1"/>
    <col min="3" max="3" width="11.85546875" style="222" customWidth="1"/>
    <col min="4" max="12" width="10" style="222" customWidth="1"/>
    <col min="13" max="13" width="2.28515625" style="222" customWidth="1"/>
    <col min="14" max="14" width="29.42578125" style="222" customWidth="1"/>
    <col min="15" max="16384" width="12.5703125" style="222"/>
  </cols>
  <sheetData>
    <row r="1" spans="1:14">
      <c r="A1" s="219" t="s">
        <v>7342</v>
      </c>
      <c r="B1" s="220"/>
      <c r="C1" s="220"/>
      <c r="D1" s="221">
        <v>2010</v>
      </c>
      <c r="E1" s="221">
        <v>2011</v>
      </c>
      <c r="F1" s="221">
        <v>2012</v>
      </c>
      <c r="G1" s="221">
        <v>2013</v>
      </c>
      <c r="H1" s="221">
        <v>2014</v>
      </c>
      <c r="I1" s="221">
        <v>2015</v>
      </c>
      <c r="J1" s="221">
        <v>2016</v>
      </c>
      <c r="K1" s="221">
        <v>2017</v>
      </c>
      <c r="L1" s="221">
        <v>2018</v>
      </c>
      <c r="M1" s="220"/>
    </row>
    <row r="2" spans="1:14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</row>
    <row r="3" spans="1:14">
      <c r="A3" s="219" t="s">
        <v>1104</v>
      </c>
      <c r="B3" s="220"/>
      <c r="C3" s="220"/>
      <c r="D3" s="223">
        <f t="shared" ref="D3:I3" si="0">SUM(D25:D45)</f>
        <v>189729</v>
      </c>
      <c r="E3" s="223">
        <f t="shared" si="0"/>
        <v>191664</v>
      </c>
      <c r="F3" s="223">
        <f t="shared" si="0"/>
        <v>193037</v>
      </c>
      <c r="G3" s="223">
        <f t="shared" si="0"/>
        <v>193547</v>
      </c>
      <c r="H3" s="223">
        <f t="shared" si="0"/>
        <v>193774</v>
      </c>
      <c r="I3" s="223">
        <f t="shared" si="0"/>
        <v>193576</v>
      </c>
      <c r="J3" s="223">
        <f t="shared" ref="J3:K3" si="1">SUM(J25:J45)</f>
        <v>188189</v>
      </c>
      <c r="K3" s="223">
        <f t="shared" si="1"/>
        <v>198161</v>
      </c>
      <c r="L3" s="223">
        <f t="shared" ref="L3" si="2">SUM(L25:L45)</f>
        <v>200854</v>
      </c>
      <c r="M3" s="220"/>
    </row>
    <row r="4" spans="1:14">
      <c r="A4" s="220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</row>
    <row r="5" spans="1:14">
      <c r="A5" s="219" t="s">
        <v>6952</v>
      </c>
      <c r="B5" s="220"/>
      <c r="C5" s="220"/>
      <c r="D5" s="223">
        <f t="shared" ref="D5:I5" si="3">D3/3</f>
        <v>63243</v>
      </c>
      <c r="E5" s="223">
        <f t="shared" si="3"/>
        <v>63888</v>
      </c>
      <c r="F5" s="223">
        <f t="shared" si="3"/>
        <v>64345.666666666664</v>
      </c>
      <c r="G5" s="223">
        <f t="shared" si="3"/>
        <v>64515.666666666664</v>
      </c>
      <c r="H5" s="223">
        <f t="shared" si="3"/>
        <v>64591.333333333336</v>
      </c>
      <c r="I5" s="223">
        <f t="shared" si="3"/>
        <v>64525.333333333336</v>
      </c>
      <c r="J5" s="223">
        <f t="shared" ref="J5:K5" si="4">J3/3</f>
        <v>62729.666666666664</v>
      </c>
      <c r="K5" s="223">
        <f t="shared" si="4"/>
        <v>66053.666666666672</v>
      </c>
      <c r="L5" s="223">
        <f t="shared" ref="L5" si="5">L3/3</f>
        <v>66951.333333333328</v>
      </c>
      <c r="M5" s="220"/>
      <c r="N5" s="220"/>
    </row>
    <row r="6" spans="1:14">
      <c r="A6" s="173"/>
      <c r="B6" s="220"/>
      <c r="C6" s="220"/>
      <c r="D6" s="224"/>
      <c r="E6" s="224"/>
      <c r="F6" s="224"/>
      <c r="G6" s="224"/>
      <c r="H6" s="224"/>
      <c r="I6" s="224"/>
      <c r="J6" s="224"/>
      <c r="K6" s="224"/>
      <c r="L6" s="224"/>
      <c r="M6" s="220"/>
      <c r="N6" s="220"/>
    </row>
    <row r="7" spans="1:14">
      <c r="A7" s="219" t="s">
        <v>1105</v>
      </c>
      <c r="D7" s="223">
        <f t="shared" ref="D7:I7" si="6">D29+SUM(D31:D33)+D43</f>
        <v>46046</v>
      </c>
      <c r="E7" s="223">
        <f t="shared" si="6"/>
        <v>46477</v>
      </c>
      <c r="F7" s="223">
        <f t="shared" si="6"/>
        <v>46571</v>
      </c>
      <c r="G7" s="223">
        <f t="shared" si="6"/>
        <v>46651</v>
      </c>
      <c r="H7" s="223">
        <f t="shared" si="6"/>
        <v>47274</v>
      </c>
      <c r="I7" s="223">
        <f t="shared" si="6"/>
        <v>47294</v>
      </c>
      <c r="J7" s="223">
        <f t="shared" ref="J7:K7" si="7">J29+SUM(J31:J33)+J43</f>
        <v>46545</v>
      </c>
      <c r="K7" s="223">
        <f t="shared" si="7"/>
        <v>48087</v>
      </c>
      <c r="L7" s="223">
        <f t="shared" ref="L7" si="8">L29+SUM(L31:L33)+L43</f>
        <v>48705</v>
      </c>
      <c r="M7" s="220"/>
      <c r="N7" s="219" t="s">
        <v>1106</v>
      </c>
    </row>
    <row r="8" spans="1:14" ht="15.75" thickBot="1">
      <c r="A8" s="220"/>
      <c r="D8" s="225">
        <f>SOUTHWARK!D12</f>
        <v>24740</v>
      </c>
      <c r="E8" s="225">
        <f>SOUTHWARK!E12</f>
        <v>25046</v>
      </c>
      <c r="F8" s="225">
        <f>SOUTHWARK!F12</f>
        <v>25345</v>
      </c>
      <c r="G8" s="225">
        <f>SOUTHWARK!G12</f>
        <v>25241</v>
      </c>
      <c r="H8" s="225">
        <f>SOUTHWARK!H12</f>
        <v>25256</v>
      </c>
      <c r="I8" s="225">
        <f>SOUTHWARK!I12</f>
        <v>24949</v>
      </c>
      <c r="J8" s="225">
        <f>SOUTHWARK!J12</f>
        <v>26031</v>
      </c>
      <c r="K8" s="225">
        <f>SOUTHWARK!K12</f>
        <v>25684</v>
      </c>
      <c r="L8" s="225">
        <f>SOUTHWARK!L12</f>
        <v>26159</v>
      </c>
      <c r="M8" s="220"/>
      <c r="N8" s="219" t="s">
        <v>1107</v>
      </c>
    </row>
    <row r="9" spans="1:14" ht="15.75" thickBot="1">
      <c r="A9" s="220"/>
      <c r="D9" s="225">
        <f t="shared" ref="D9:I9" si="9">D7+D8</f>
        <v>70786</v>
      </c>
      <c r="E9" s="225">
        <f t="shared" si="9"/>
        <v>71523</v>
      </c>
      <c r="F9" s="225">
        <f t="shared" si="9"/>
        <v>71916</v>
      </c>
      <c r="G9" s="225">
        <f t="shared" si="9"/>
        <v>71892</v>
      </c>
      <c r="H9" s="225">
        <f t="shared" si="9"/>
        <v>72530</v>
      </c>
      <c r="I9" s="225">
        <f t="shared" si="9"/>
        <v>72243</v>
      </c>
      <c r="J9" s="225">
        <f t="shared" ref="J9:K9" si="10">J7+J8</f>
        <v>72576</v>
      </c>
      <c r="K9" s="225">
        <f t="shared" si="10"/>
        <v>73771</v>
      </c>
      <c r="L9" s="225">
        <f t="shared" ref="L9" si="11">L7+L8</f>
        <v>74864</v>
      </c>
      <c r="M9" s="220"/>
      <c r="N9" s="220"/>
    </row>
    <row r="10" spans="1:14">
      <c r="A10" s="220"/>
      <c r="D10" s="224"/>
      <c r="E10" s="224"/>
      <c r="F10" s="224"/>
      <c r="G10" s="224"/>
      <c r="H10" s="224"/>
      <c r="I10" s="224"/>
      <c r="J10" s="224"/>
      <c r="K10" s="224"/>
      <c r="L10" s="224"/>
      <c r="M10" s="220"/>
      <c r="N10" s="220"/>
    </row>
    <row r="11" spans="1:14">
      <c r="A11" s="219" t="s">
        <v>1108</v>
      </c>
      <c r="D11" s="223">
        <f t="shared" ref="D11:I11" si="12">D26+D27+D37+SUM(D39:D42)+D44</f>
        <v>71902</v>
      </c>
      <c r="E11" s="223">
        <f t="shared" si="12"/>
        <v>71913</v>
      </c>
      <c r="F11" s="223">
        <f t="shared" si="12"/>
        <v>72460</v>
      </c>
      <c r="G11" s="223">
        <f t="shared" si="12"/>
        <v>72887</v>
      </c>
      <c r="H11" s="223">
        <f t="shared" si="12"/>
        <v>72622</v>
      </c>
      <c r="I11" s="223">
        <f t="shared" si="12"/>
        <v>72574</v>
      </c>
      <c r="J11" s="223">
        <f t="shared" ref="J11:K11" si="13">J26+J27+J37+SUM(J39:J42)+J44</f>
        <v>70286</v>
      </c>
      <c r="K11" s="223">
        <f t="shared" si="13"/>
        <v>73840</v>
      </c>
      <c r="L11" s="223">
        <f t="shared" ref="L11" si="14">L26+L27+L37+SUM(L39:L42)+L44</f>
        <v>74414</v>
      </c>
      <c r="M11" s="220"/>
      <c r="N11" s="219" t="s">
        <v>1106</v>
      </c>
    </row>
    <row r="12" spans="1:14">
      <c r="A12" s="220"/>
      <c r="D12" s="224"/>
      <c r="E12" s="224"/>
      <c r="F12" s="224"/>
      <c r="G12" s="224"/>
      <c r="H12" s="224"/>
      <c r="I12" s="224"/>
      <c r="J12" s="224"/>
      <c r="K12" s="224"/>
      <c r="L12" s="224"/>
      <c r="M12" s="220"/>
      <c r="N12" s="220"/>
    </row>
    <row r="13" spans="1:14">
      <c r="A13" s="219" t="s">
        <v>1109</v>
      </c>
      <c r="D13" s="223">
        <f t="shared" ref="D13:I13" si="15">D25+D28+D30+SUM(D34:D36)+D38+D45</f>
        <v>71781</v>
      </c>
      <c r="E13" s="223">
        <f t="shared" si="15"/>
        <v>73274</v>
      </c>
      <c r="F13" s="223">
        <f t="shared" si="15"/>
        <v>74006</v>
      </c>
      <c r="G13" s="223">
        <f t="shared" si="15"/>
        <v>74009</v>
      </c>
      <c r="H13" s="223">
        <f t="shared" si="15"/>
        <v>73878</v>
      </c>
      <c r="I13" s="223">
        <f t="shared" si="15"/>
        <v>73708</v>
      </c>
      <c r="J13" s="223">
        <f t="shared" ref="J13:K13" si="16">J25+J28+J30+SUM(J34:J36)+J38+J45</f>
        <v>71358</v>
      </c>
      <c r="K13" s="223">
        <f t="shared" si="16"/>
        <v>76234</v>
      </c>
      <c r="L13" s="223">
        <f t="shared" ref="L13" si="17">L25+L28+L30+SUM(L34:L36)+L38+L45</f>
        <v>77735</v>
      </c>
      <c r="M13" s="220"/>
      <c r="N13" s="219" t="s">
        <v>1106</v>
      </c>
    </row>
    <row r="14" spans="1:14" s="20" customFormat="1">
      <c r="A14" s="173"/>
      <c r="D14" s="180"/>
      <c r="E14" s="180"/>
      <c r="F14" s="180"/>
      <c r="G14" s="180"/>
      <c r="H14" s="180"/>
      <c r="I14" s="180"/>
      <c r="J14" s="180"/>
      <c r="K14" s="180"/>
      <c r="L14" s="180"/>
      <c r="M14" s="173"/>
      <c r="N14" s="173"/>
    </row>
    <row r="15" spans="1:14" s="20" customFormat="1">
      <c r="A15" s="219" t="s">
        <v>1110</v>
      </c>
      <c r="B15" s="222"/>
      <c r="C15" s="222"/>
      <c r="D15" s="223">
        <f>SOUTHWARK!D7</f>
        <v>75838</v>
      </c>
      <c r="E15" s="223">
        <f>SOUTHWARK!E7</f>
        <v>77186</v>
      </c>
      <c r="F15" s="223">
        <f>SOUTHWARK!F7</f>
        <v>78459</v>
      </c>
      <c r="G15" s="223">
        <f>SOUTHWARK!G7</f>
        <v>79067</v>
      </c>
      <c r="H15" s="223">
        <f>SOUTHWARK!H7</f>
        <v>80467</v>
      </c>
      <c r="I15" s="223">
        <f>SOUTHWARK!I7</f>
        <v>78127</v>
      </c>
      <c r="J15" s="223">
        <f>SOUTHWARK!J7</f>
        <v>80174</v>
      </c>
      <c r="K15" s="223">
        <f>SOUTHWARK!K7</f>
        <v>80084</v>
      </c>
      <c r="L15" s="223">
        <f>SOUTHWARK!L7</f>
        <v>83643</v>
      </c>
      <c r="M15" s="220"/>
      <c r="N15" s="219" t="s">
        <v>1107</v>
      </c>
    </row>
    <row r="16" spans="1:14" s="20" customFormat="1">
      <c r="A16" s="219"/>
      <c r="B16" s="222"/>
      <c r="C16" s="222"/>
      <c r="D16" s="223"/>
      <c r="E16" s="223"/>
      <c r="F16" s="223"/>
      <c r="G16" s="223"/>
      <c r="H16" s="223"/>
      <c r="I16" s="223"/>
      <c r="J16" s="223"/>
      <c r="K16" s="223"/>
      <c r="L16" s="223"/>
      <c r="M16" s="220"/>
      <c r="N16" s="219"/>
    </row>
    <row r="17" spans="1:19">
      <c r="A17" s="219" t="s">
        <v>1111</v>
      </c>
      <c r="D17" s="223">
        <f>SOUTHWARK!D9</f>
        <v>76967</v>
      </c>
      <c r="E17" s="223">
        <f>SOUTHWARK!E9</f>
        <v>78605</v>
      </c>
      <c r="F17" s="223">
        <f>SOUTHWARK!F9</f>
        <v>79172</v>
      </c>
      <c r="G17" s="223">
        <f>SOUTHWARK!G9</f>
        <v>79260</v>
      </c>
      <c r="H17" s="223">
        <f>SOUTHWARK!H9</f>
        <v>79764</v>
      </c>
      <c r="I17" s="223">
        <f>SOUTHWARK!I9</f>
        <v>78081</v>
      </c>
      <c r="J17" s="223">
        <f>SOUTHWARK!J9</f>
        <v>80375</v>
      </c>
      <c r="K17" s="223">
        <f>SOUTHWARK!K9</f>
        <v>79947</v>
      </c>
      <c r="L17" s="223">
        <f>SOUTHWARK!L9</f>
        <v>82759</v>
      </c>
      <c r="M17" s="220"/>
      <c r="N17" s="219" t="s">
        <v>1107</v>
      </c>
    </row>
    <row r="18" spans="1:19" s="20" customFormat="1">
      <c r="A18" s="173"/>
      <c r="D18" s="180"/>
      <c r="E18" s="180"/>
      <c r="F18" s="180"/>
      <c r="G18" s="180"/>
      <c r="H18" s="180"/>
      <c r="I18" s="180"/>
      <c r="J18" s="180"/>
      <c r="K18" s="180"/>
      <c r="L18" s="180"/>
      <c r="M18" s="173"/>
      <c r="N18" s="173"/>
    </row>
    <row r="19" spans="1:19">
      <c r="A19" s="219" t="s">
        <v>8697</v>
      </c>
      <c r="B19" s="220"/>
      <c r="C19" s="220"/>
      <c r="D19" s="223">
        <f t="shared" ref="D19:I19" si="18">D7+D11+D13</f>
        <v>189729</v>
      </c>
      <c r="E19" s="223">
        <f t="shared" si="18"/>
        <v>191664</v>
      </c>
      <c r="F19" s="223">
        <f t="shared" si="18"/>
        <v>193037</v>
      </c>
      <c r="G19" s="223">
        <f t="shared" si="18"/>
        <v>193547</v>
      </c>
      <c r="H19" s="223">
        <f t="shared" si="18"/>
        <v>193774</v>
      </c>
      <c r="I19" s="223">
        <f t="shared" si="18"/>
        <v>193576</v>
      </c>
      <c r="J19" s="223">
        <f t="shared" ref="J19:K19" si="19">J7+J11+J13</f>
        <v>188189</v>
      </c>
      <c r="K19" s="223">
        <f t="shared" si="19"/>
        <v>198161</v>
      </c>
      <c r="L19" s="223">
        <f t="shared" ref="L19" si="20">L7+L11+L13</f>
        <v>200854</v>
      </c>
      <c r="M19" s="220"/>
      <c r="N19" s="220"/>
    </row>
    <row r="20" spans="1:19">
      <c r="A20" s="220"/>
      <c r="B20" s="220"/>
      <c r="C20" s="220"/>
      <c r="D20" s="224"/>
      <c r="E20" s="224"/>
      <c r="F20" s="224"/>
      <c r="G20" s="224"/>
      <c r="H20" s="224"/>
      <c r="I20" s="224"/>
      <c r="J20" s="224"/>
      <c r="K20" s="224"/>
      <c r="L20" s="224"/>
      <c r="M20" s="220"/>
      <c r="N20" s="220"/>
    </row>
    <row r="21" spans="1:19">
      <c r="A21" s="219" t="s">
        <v>8698</v>
      </c>
      <c r="B21" s="220"/>
      <c r="C21" s="220"/>
      <c r="D21" s="223">
        <f t="shared" ref="D21:I21" si="21">MAX(D9,D11,D13,D15,D17)-MIN(D9,D11,D13,D15,D17)</f>
        <v>6181</v>
      </c>
      <c r="E21" s="223">
        <f t="shared" si="21"/>
        <v>7082</v>
      </c>
      <c r="F21" s="223">
        <f t="shared" si="21"/>
        <v>7256</v>
      </c>
      <c r="G21" s="223">
        <f t="shared" si="21"/>
        <v>7368</v>
      </c>
      <c r="H21" s="223">
        <f t="shared" si="21"/>
        <v>7937</v>
      </c>
      <c r="I21" s="223">
        <f t="shared" si="21"/>
        <v>5884</v>
      </c>
      <c r="J21" s="223">
        <f t="shared" ref="J21:K21" si="22">MAX(J9,J11,J13,J15,J17)-MIN(J9,J11,J13,J15,J17)</f>
        <v>10089</v>
      </c>
      <c r="K21" s="223">
        <f t="shared" si="22"/>
        <v>6313</v>
      </c>
      <c r="L21" s="223">
        <f t="shared" ref="L21" si="23">MAX(L9,L11,L13,L15,L17)-MIN(L9,L11,L13,L15,L17)</f>
        <v>9229</v>
      </c>
      <c r="M21" s="220"/>
      <c r="N21" s="220"/>
    </row>
    <row r="22" spans="1:19">
      <c r="A22" s="220"/>
      <c r="B22" s="220"/>
      <c r="C22" s="220"/>
      <c r="D22" s="224"/>
      <c r="E22" s="224"/>
      <c r="F22" s="224"/>
      <c r="G22" s="224"/>
      <c r="H22" s="224"/>
      <c r="I22" s="224"/>
      <c r="J22" s="224"/>
      <c r="K22" s="224"/>
      <c r="L22" s="224"/>
      <c r="M22" s="220"/>
      <c r="N22" s="220"/>
    </row>
    <row r="23" spans="1:19">
      <c r="A23" s="219" t="s">
        <v>8701</v>
      </c>
      <c r="B23" s="220"/>
      <c r="C23" s="220"/>
      <c r="D23" s="223">
        <f t="shared" ref="D23:I23" si="24">STDEVP(D9,D11,D13,D15,D17)</f>
        <v>2463.7564327668429</v>
      </c>
      <c r="E23" s="223">
        <f t="shared" si="24"/>
        <v>2867.8840562337941</v>
      </c>
      <c r="F23" s="223">
        <f t="shared" si="24"/>
        <v>3036.9630620078342</v>
      </c>
      <c r="G23" s="223">
        <f t="shared" si="24"/>
        <v>3127.2978112101828</v>
      </c>
      <c r="H23" s="223">
        <f t="shared" si="24"/>
        <v>3520.4326097796561</v>
      </c>
      <c r="I23" s="223">
        <f t="shared" si="24"/>
        <v>2623.441297227746</v>
      </c>
      <c r="J23" s="223">
        <f t="shared" ref="J23:K23" si="25">STDEVP(J9,J11,J13,J15,J17)</f>
        <v>4404.8147475234418</v>
      </c>
      <c r="K23" s="223">
        <f t="shared" si="25"/>
        <v>2790.770029937974</v>
      </c>
      <c r="L23" s="223">
        <f t="shared" ref="L23" si="26">STDEVP(L9,L11,L13,L15,L17)</f>
        <v>3870.999922500645</v>
      </c>
      <c r="M23" s="220"/>
      <c r="N23" s="220"/>
    </row>
    <row r="24" spans="1:19">
      <c r="A24" s="220"/>
      <c r="B24" s="220"/>
      <c r="C24" s="220"/>
      <c r="D24" s="224"/>
      <c r="E24" s="224"/>
      <c r="F24" s="224"/>
      <c r="G24" s="224"/>
      <c r="H24" s="224"/>
      <c r="I24" s="224"/>
      <c r="J24" s="224"/>
      <c r="K24" s="224"/>
      <c r="L24" s="224"/>
      <c r="M24" s="220"/>
      <c r="N24" s="220"/>
    </row>
    <row r="25" spans="1:19">
      <c r="A25" s="219" t="s">
        <v>6957</v>
      </c>
      <c r="B25" s="219" t="s">
        <v>1112</v>
      </c>
      <c r="C25" s="4" t="s">
        <v>912</v>
      </c>
      <c r="D25" s="226">
        <v>6728</v>
      </c>
      <c r="E25" s="226">
        <v>6855</v>
      </c>
      <c r="F25" s="226">
        <v>6732</v>
      </c>
      <c r="G25" s="226">
        <v>6725</v>
      </c>
      <c r="H25" s="48">
        <v>6635</v>
      </c>
      <c r="I25" s="48">
        <v>6276</v>
      </c>
      <c r="J25" s="30">
        <v>6094</v>
      </c>
      <c r="K25" s="30">
        <v>6525</v>
      </c>
      <c r="L25" s="30">
        <v>6531</v>
      </c>
      <c r="M25" s="220"/>
      <c r="N25" s="219" t="s">
        <v>1109</v>
      </c>
      <c r="Q25" s="4"/>
      <c r="S25" s="4"/>
    </row>
    <row r="26" spans="1:19">
      <c r="A26" s="219" t="s">
        <v>6959</v>
      </c>
      <c r="B26" s="219" t="s">
        <v>1113</v>
      </c>
      <c r="C26" s="4" t="s">
        <v>913</v>
      </c>
      <c r="D26" s="226">
        <v>9713</v>
      </c>
      <c r="E26" s="226">
        <v>9842</v>
      </c>
      <c r="F26" s="226">
        <v>9928</v>
      </c>
      <c r="G26" s="226">
        <v>10098</v>
      </c>
      <c r="H26" s="48">
        <v>9983</v>
      </c>
      <c r="I26" s="48">
        <v>10011</v>
      </c>
      <c r="J26" s="30">
        <v>9625</v>
      </c>
      <c r="K26" s="30">
        <v>10034</v>
      </c>
      <c r="L26" s="30">
        <v>10142</v>
      </c>
      <c r="M26" s="220"/>
      <c r="N26" s="219" t="s">
        <v>1108</v>
      </c>
      <c r="Q26" s="4"/>
      <c r="S26" s="4"/>
    </row>
    <row r="27" spans="1:19">
      <c r="A27" s="219" t="s">
        <v>6961</v>
      </c>
      <c r="B27" s="219" t="s">
        <v>1114</v>
      </c>
      <c r="C27" s="4" t="s">
        <v>914</v>
      </c>
      <c r="D27" s="226">
        <v>8779</v>
      </c>
      <c r="E27" s="226">
        <v>8758</v>
      </c>
      <c r="F27" s="226">
        <v>8875</v>
      </c>
      <c r="G27" s="226">
        <v>8935</v>
      </c>
      <c r="H27" s="48">
        <v>8847</v>
      </c>
      <c r="I27" s="48">
        <v>8694</v>
      </c>
      <c r="J27" s="30">
        <v>8296</v>
      </c>
      <c r="K27" s="30">
        <v>9059</v>
      </c>
      <c r="L27" s="30">
        <v>9105</v>
      </c>
      <c r="M27" s="220"/>
      <c r="N27" s="219" t="s">
        <v>1108</v>
      </c>
      <c r="Q27" s="4"/>
      <c r="S27" s="4"/>
    </row>
    <row r="28" spans="1:19">
      <c r="A28" s="219" t="s">
        <v>6963</v>
      </c>
      <c r="B28" s="219" t="s">
        <v>1115</v>
      </c>
      <c r="C28" s="4" t="s">
        <v>915</v>
      </c>
      <c r="D28" s="226">
        <v>9351</v>
      </c>
      <c r="E28" s="226">
        <v>9605</v>
      </c>
      <c r="F28" s="226">
        <v>9653</v>
      </c>
      <c r="G28" s="226">
        <v>9609</v>
      </c>
      <c r="H28" s="48">
        <v>9650</v>
      </c>
      <c r="I28" s="48">
        <v>9639</v>
      </c>
      <c r="J28" s="30">
        <v>9187</v>
      </c>
      <c r="K28" s="30">
        <v>9867</v>
      </c>
      <c r="L28" s="30">
        <v>9845</v>
      </c>
      <c r="M28" s="220"/>
      <c r="N28" s="219" t="s">
        <v>1109</v>
      </c>
      <c r="Q28" s="4"/>
      <c r="S28" s="4"/>
    </row>
    <row r="29" spans="1:19">
      <c r="A29" s="219" t="s">
        <v>6965</v>
      </c>
      <c r="B29" s="219" t="s">
        <v>8100</v>
      </c>
      <c r="C29" s="4" t="s">
        <v>916</v>
      </c>
      <c r="D29" s="223">
        <v>10207</v>
      </c>
      <c r="E29" s="223">
        <v>10216</v>
      </c>
      <c r="F29" s="223">
        <v>10055</v>
      </c>
      <c r="G29" s="223">
        <v>9825</v>
      </c>
      <c r="H29" s="48">
        <v>10232</v>
      </c>
      <c r="I29" s="48">
        <v>10232</v>
      </c>
      <c r="J29" s="30">
        <v>10101</v>
      </c>
      <c r="K29" s="30">
        <v>10589</v>
      </c>
      <c r="L29" s="30">
        <v>10755</v>
      </c>
      <c r="M29" s="220"/>
      <c r="N29" s="219" t="s">
        <v>1105</v>
      </c>
      <c r="Q29" s="4"/>
      <c r="S29" s="4"/>
    </row>
    <row r="30" spans="1:19">
      <c r="A30" s="219" t="s">
        <v>6997</v>
      </c>
      <c r="B30" s="219" t="s">
        <v>1116</v>
      </c>
      <c r="C30" s="4" t="s">
        <v>917</v>
      </c>
      <c r="D30" s="226">
        <v>9778</v>
      </c>
      <c r="E30" s="226">
        <v>9879</v>
      </c>
      <c r="F30" s="226">
        <v>9861</v>
      </c>
      <c r="G30" s="226">
        <v>9920</v>
      </c>
      <c r="H30" s="48">
        <v>9873</v>
      </c>
      <c r="I30" s="48">
        <v>9917</v>
      </c>
      <c r="J30" s="31">
        <v>9382</v>
      </c>
      <c r="K30" s="31">
        <v>10385</v>
      </c>
      <c r="L30" s="31">
        <v>10621</v>
      </c>
      <c r="M30" s="220"/>
      <c r="N30" s="219" t="s">
        <v>1109</v>
      </c>
      <c r="Q30" s="4"/>
      <c r="S30" s="4"/>
    </row>
    <row r="31" spans="1:19">
      <c r="A31" s="219" t="s">
        <v>6999</v>
      </c>
      <c r="B31" s="219" t="s">
        <v>1117</v>
      </c>
      <c r="C31" s="4" t="s">
        <v>918</v>
      </c>
      <c r="D31" s="226">
        <v>8858</v>
      </c>
      <c r="E31" s="226">
        <v>9023</v>
      </c>
      <c r="F31" s="226">
        <v>9097</v>
      </c>
      <c r="G31" s="226">
        <v>9011</v>
      </c>
      <c r="H31" s="48">
        <v>9192</v>
      </c>
      <c r="I31" s="48">
        <v>9223</v>
      </c>
      <c r="J31" s="30">
        <v>9064</v>
      </c>
      <c r="K31" s="30">
        <v>9212</v>
      </c>
      <c r="L31" s="30">
        <v>9300</v>
      </c>
      <c r="M31" s="220"/>
      <c r="N31" s="219" t="s">
        <v>1105</v>
      </c>
      <c r="Q31" s="4"/>
      <c r="S31" s="4"/>
    </row>
    <row r="32" spans="1:19">
      <c r="A32" s="219" t="s">
        <v>7001</v>
      </c>
      <c r="B32" s="219" t="s">
        <v>1118</v>
      </c>
      <c r="C32" s="4" t="s">
        <v>919</v>
      </c>
      <c r="D32" s="223">
        <v>9522</v>
      </c>
      <c r="E32" s="223">
        <v>9613</v>
      </c>
      <c r="F32" s="223">
        <v>9750</v>
      </c>
      <c r="G32" s="223">
        <v>10039</v>
      </c>
      <c r="H32" s="48">
        <v>10102</v>
      </c>
      <c r="I32" s="48">
        <v>10075</v>
      </c>
      <c r="J32" s="30">
        <v>9975</v>
      </c>
      <c r="K32" s="30">
        <v>10348</v>
      </c>
      <c r="L32" s="30">
        <v>10456</v>
      </c>
      <c r="M32" s="220"/>
      <c r="N32" s="219" t="s">
        <v>1105</v>
      </c>
      <c r="Q32" s="4"/>
      <c r="S32" s="4"/>
    </row>
    <row r="33" spans="1:19">
      <c r="A33" s="219" t="s">
        <v>7003</v>
      </c>
      <c r="B33" s="219" t="s">
        <v>1119</v>
      </c>
      <c r="C33" s="4" t="s">
        <v>920</v>
      </c>
      <c r="D33" s="226">
        <v>8690</v>
      </c>
      <c r="E33" s="226">
        <v>8754</v>
      </c>
      <c r="F33" s="226">
        <v>8857</v>
      </c>
      <c r="G33" s="226">
        <v>8896</v>
      </c>
      <c r="H33" s="48">
        <v>8752</v>
      </c>
      <c r="I33" s="48">
        <v>8782</v>
      </c>
      <c r="J33" s="30">
        <v>8629</v>
      </c>
      <c r="K33" s="30">
        <v>8797</v>
      </c>
      <c r="L33" s="30">
        <v>8911</v>
      </c>
      <c r="M33" s="220"/>
      <c r="N33" s="219" t="s">
        <v>1105</v>
      </c>
      <c r="Q33" s="4"/>
      <c r="S33" s="4"/>
    </row>
    <row r="34" spans="1:19">
      <c r="A34" s="219" t="s">
        <v>7005</v>
      </c>
      <c r="B34" s="219" t="s">
        <v>1120</v>
      </c>
      <c r="C34" s="4" t="s">
        <v>921</v>
      </c>
      <c r="D34" s="226">
        <v>10103</v>
      </c>
      <c r="E34" s="226">
        <v>10516</v>
      </c>
      <c r="F34" s="226">
        <v>10715</v>
      </c>
      <c r="G34" s="226">
        <v>10640</v>
      </c>
      <c r="H34" s="48">
        <v>10602</v>
      </c>
      <c r="I34" s="48">
        <v>10630</v>
      </c>
      <c r="J34" s="31">
        <v>10139</v>
      </c>
      <c r="K34" s="31">
        <v>10828</v>
      </c>
      <c r="L34" s="31">
        <v>11188</v>
      </c>
      <c r="M34" s="220"/>
      <c r="N34" s="219" t="s">
        <v>1109</v>
      </c>
      <c r="Q34" s="4"/>
      <c r="S34" s="4"/>
    </row>
    <row r="35" spans="1:19">
      <c r="A35" s="219" t="s">
        <v>7007</v>
      </c>
      <c r="B35" s="219" t="s">
        <v>1121</v>
      </c>
      <c r="C35" s="4" t="s">
        <v>922</v>
      </c>
      <c r="D35" s="226">
        <v>9141</v>
      </c>
      <c r="E35" s="226">
        <v>9387</v>
      </c>
      <c r="F35" s="226">
        <v>9370</v>
      </c>
      <c r="G35" s="226">
        <v>9269</v>
      </c>
      <c r="H35" s="48">
        <v>9159</v>
      </c>
      <c r="I35" s="48">
        <v>9222</v>
      </c>
      <c r="J35" s="31">
        <v>8870</v>
      </c>
      <c r="K35" s="31">
        <v>9375</v>
      </c>
      <c r="L35" s="31">
        <v>9668</v>
      </c>
      <c r="M35" s="220"/>
      <c r="N35" s="219" t="s">
        <v>1109</v>
      </c>
      <c r="Q35" s="4"/>
      <c r="S35" s="4"/>
    </row>
    <row r="36" spans="1:19">
      <c r="A36" s="219" t="s">
        <v>7009</v>
      </c>
      <c r="B36" s="219" t="s">
        <v>1122</v>
      </c>
      <c r="C36" s="4" t="s">
        <v>923</v>
      </c>
      <c r="D36" s="226">
        <v>9333</v>
      </c>
      <c r="E36" s="226">
        <v>9630</v>
      </c>
      <c r="F36" s="226">
        <v>9896</v>
      </c>
      <c r="G36" s="226">
        <v>9952</v>
      </c>
      <c r="H36" s="48">
        <v>9895</v>
      </c>
      <c r="I36" s="48">
        <v>9894</v>
      </c>
      <c r="J36" s="31">
        <v>9813</v>
      </c>
      <c r="K36" s="31">
        <v>10206</v>
      </c>
      <c r="L36" s="31">
        <v>10298</v>
      </c>
      <c r="M36" s="220"/>
      <c r="N36" s="219" t="s">
        <v>1109</v>
      </c>
      <c r="Q36" s="4"/>
      <c r="S36" s="4"/>
    </row>
    <row r="37" spans="1:19">
      <c r="A37" s="219" t="s">
        <v>7011</v>
      </c>
      <c r="B37" s="219" t="s">
        <v>5357</v>
      </c>
      <c r="C37" s="4" t="s">
        <v>924</v>
      </c>
      <c r="D37" s="226">
        <v>8843</v>
      </c>
      <c r="E37" s="226">
        <v>8713</v>
      </c>
      <c r="F37" s="226">
        <v>8776</v>
      </c>
      <c r="G37" s="226">
        <v>8802</v>
      </c>
      <c r="H37" s="48">
        <v>8853</v>
      </c>
      <c r="I37" s="48">
        <v>8749</v>
      </c>
      <c r="J37" s="30">
        <v>8684</v>
      </c>
      <c r="K37" s="30">
        <v>9074</v>
      </c>
      <c r="L37" s="30">
        <v>9154</v>
      </c>
      <c r="M37" s="220"/>
      <c r="N37" s="219" t="s">
        <v>1108</v>
      </c>
      <c r="Q37" s="4"/>
      <c r="S37" s="4"/>
    </row>
    <row r="38" spans="1:19">
      <c r="A38" s="219" t="s">
        <v>7013</v>
      </c>
      <c r="B38" s="219" t="s">
        <v>1123</v>
      </c>
      <c r="C38" s="4" t="s">
        <v>925</v>
      </c>
      <c r="D38" s="226">
        <v>8339</v>
      </c>
      <c r="E38" s="226">
        <v>8465</v>
      </c>
      <c r="F38" s="226">
        <v>8614</v>
      </c>
      <c r="G38" s="226">
        <v>8568</v>
      </c>
      <c r="H38" s="48">
        <v>8670</v>
      </c>
      <c r="I38" s="48">
        <v>8725</v>
      </c>
      <c r="J38" s="31">
        <v>8434</v>
      </c>
      <c r="K38" s="31">
        <v>8919</v>
      </c>
      <c r="L38" s="31">
        <v>9037</v>
      </c>
      <c r="M38" s="220"/>
      <c r="N38" s="219" t="s">
        <v>1109</v>
      </c>
      <c r="Q38" s="4"/>
      <c r="S38" s="4"/>
    </row>
    <row r="39" spans="1:19">
      <c r="A39" s="219" t="s">
        <v>7015</v>
      </c>
      <c r="B39" s="219" t="s">
        <v>1124</v>
      </c>
      <c r="C39" s="4" t="s">
        <v>926</v>
      </c>
      <c r="D39" s="226">
        <v>9095</v>
      </c>
      <c r="E39" s="226">
        <v>9107</v>
      </c>
      <c r="F39" s="226">
        <v>9101</v>
      </c>
      <c r="G39" s="226">
        <v>9066</v>
      </c>
      <c r="H39" s="48">
        <v>9141</v>
      </c>
      <c r="I39" s="48">
        <v>9114</v>
      </c>
      <c r="J39" s="30">
        <v>9010</v>
      </c>
      <c r="K39" s="30">
        <v>9501</v>
      </c>
      <c r="L39" s="30">
        <v>9505</v>
      </c>
      <c r="M39" s="220"/>
      <c r="N39" s="219" t="s">
        <v>1108</v>
      </c>
      <c r="Q39" s="4"/>
      <c r="S39" s="4"/>
    </row>
    <row r="40" spans="1:19">
      <c r="A40" s="219" t="s">
        <v>7017</v>
      </c>
      <c r="B40" s="219" t="s">
        <v>1125</v>
      </c>
      <c r="C40" s="4" t="s">
        <v>927</v>
      </c>
      <c r="D40" s="226">
        <v>8664</v>
      </c>
      <c r="E40" s="226">
        <v>8645</v>
      </c>
      <c r="F40" s="226">
        <v>8719</v>
      </c>
      <c r="G40" s="226">
        <v>8739</v>
      </c>
      <c r="H40" s="48">
        <v>8540</v>
      </c>
      <c r="I40" s="48">
        <v>8555</v>
      </c>
      <c r="J40" s="30">
        <v>8241</v>
      </c>
      <c r="K40" s="30">
        <v>8489</v>
      </c>
      <c r="L40" s="30">
        <v>8504</v>
      </c>
      <c r="M40" s="220"/>
      <c r="N40" s="219" t="s">
        <v>1108</v>
      </c>
      <c r="Q40" s="4"/>
      <c r="S40" s="4"/>
    </row>
    <row r="41" spans="1:19">
      <c r="A41" s="219" t="s">
        <v>7019</v>
      </c>
      <c r="B41" s="219" t="s">
        <v>2000</v>
      </c>
      <c r="C41" s="4" t="s">
        <v>928</v>
      </c>
      <c r="D41" s="226">
        <v>8764</v>
      </c>
      <c r="E41" s="226">
        <v>8766</v>
      </c>
      <c r="F41" s="226">
        <v>8866</v>
      </c>
      <c r="G41" s="226">
        <v>8925</v>
      </c>
      <c r="H41" s="48">
        <v>9040</v>
      </c>
      <c r="I41" s="48">
        <v>9097</v>
      </c>
      <c r="J41" s="30">
        <v>8830</v>
      </c>
      <c r="K41" s="30">
        <v>9331</v>
      </c>
      <c r="L41" s="30">
        <v>9443</v>
      </c>
      <c r="M41" s="220"/>
      <c r="N41" s="219" t="s">
        <v>1108</v>
      </c>
      <c r="Q41" s="4"/>
      <c r="S41" s="4"/>
    </row>
    <row r="42" spans="1:19">
      <c r="A42" s="219" t="s">
        <v>7021</v>
      </c>
      <c r="B42" s="219" t="s">
        <v>2001</v>
      </c>
      <c r="C42" s="4" t="s">
        <v>929</v>
      </c>
      <c r="D42" s="226">
        <v>8380</v>
      </c>
      <c r="E42" s="226">
        <v>8381</v>
      </c>
      <c r="F42" s="226">
        <v>8343</v>
      </c>
      <c r="G42" s="226">
        <v>8365</v>
      </c>
      <c r="H42" s="48">
        <v>8359</v>
      </c>
      <c r="I42" s="48">
        <v>8420</v>
      </c>
      <c r="J42" s="30">
        <v>8078</v>
      </c>
      <c r="K42" s="30">
        <v>8432</v>
      </c>
      <c r="L42" s="30">
        <v>8491</v>
      </c>
      <c r="M42" s="220"/>
      <c r="N42" s="219" t="s">
        <v>1108</v>
      </c>
      <c r="Q42" s="4"/>
      <c r="S42" s="4"/>
    </row>
    <row r="43" spans="1:19">
      <c r="A43" s="219" t="s">
        <v>7023</v>
      </c>
      <c r="B43" s="219" t="s">
        <v>2002</v>
      </c>
      <c r="C43" s="4" t="s">
        <v>930</v>
      </c>
      <c r="D43" s="223">
        <v>8769</v>
      </c>
      <c r="E43" s="223">
        <v>8871</v>
      </c>
      <c r="F43" s="223">
        <v>8812</v>
      </c>
      <c r="G43" s="223">
        <v>8880</v>
      </c>
      <c r="H43" s="48">
        <v>8996</v>
      </c>
      <c r="I43" s="48">
        <v>8982</v>
      </c>
      <c r="J43" s="30">
        <v>8776</v>
      </c>
      <c r="K43" s="30">
        <v>9141</v>
      </c>
      <c r="L43" s="30">
        <v>9283</v>
      </c>
      <c r="M43" s="220"/>
      <c r="N43" s="219" t="s">
        <v>1105</v>
      </c>
      <c r="Q43" s="4"/>
      <c r="S43" s="4"/>
    </row>
    <row r="44" spans="1:19">
      <c r="A44" s="219" t="s">
        <v>7025</v>
      </c>
      <c r="B44" s="219" t="s">
        <v>2003</v>
      </c>
      <c r="C44" s="4" t="s">
        <v>931</v>
      </c>
      <c r="D44" s="226">
        <v>9664</v>
      </c>
      <c r="E44" s="226">
        <v>9701</v>
      </c>
      <c r="F44" s="226">
        <v>9852</v>
      </c>
      <c r="G44" s="226">
        <v>9957</v>
      </c>
      <c r="H44" s="48">
        <v>9859</v>
      </c>
      <c r="I44" s="48">
        <v>9934</v>
      </c>
      <c r="J44" s="30">
        <v>9522</v>
      </c>
      <c r="K44" s="30">
        <v>9920</v>
      </c>
      <c r="L44" s="30">
        <v>10070</v>
      </c>
      <c r="M44" s="220"/>
      <c r="N44" s="219" t="s">
        <v>1108</v>
      </c>
      <c r="Q44" s="4"/>
      <c r="S44" s="4"/>
    </row>
    <row r="45" spans="1:19">
      <c r="A45" s="219" t="s">
        <v>7570</v>
      </c>
      <c r="B45" s="219" t="s">
        <v>2004</v>
      </c>
      <c r="C45" s="4" t="s">
        <v>932</v>
      </c>
      <c r="D45" s="226">
        <v>9008</v>
      </c>
      <c r="E45" s="226">
        <v>8937</v>
      </c>
      <c r="F45" s="226">
        <v>9165</v>
      </c>
      <c r="G45" s="226">
        <v>9326</v>
      </c>
      <c r="H45" s="48">
        <v>9394</v>
      </c>
      <c r="I45" s="48">
        <v>9405</v>
      </c>
      <c r="J45" s="31">
        <v>9439</v>
      </c>
      <c r="K45" s="31">
        <v>10129</v>
      </c>
      <c r="L45" s="31">
        <v>10547</v>
      </c>
      <c r="M45" s="220"/>
      <c r="N45" s="219" t="s">
        <v>1109</v>
      </c>
      <c r="Q45" s="4"/>
      <c r="S45" s="4"/>
    </row>
    <row r="46" spans="1:19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</row>
    <row r="47" spans="1:19">
      <c r="A47" s="220" t="s">
        <v>11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</row>
    <row r="48" spans="1:19">
      <c r="A48" s="220" t="s">
        <v>12</v>
      </c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</row>
    <row r="49" spans="1:14">
      <c r="A49" s="227"/>
      <c r="D49" s="228"/>
      <c r="E49" s="228"/>
      <c r="F49" s="228"/>
      <c r="G49" s="228"/>
      <c r="H49" s="228"/>
      <c r="I49" s="228"/>
      <c r="J49" s="228"/>
      <c r="K49" s="228"/>
      <c r="L49" s="228"/>
    </row>
    <row r="50" spans="1:14">
      <c r="A50" s="227"/>
      <c r="D50" s="228"/>
      <c r="E50" s="228"/>
      <c r="F50" s="228"/>
      <c r="G50" s="228"/>
      <c r="H50" s="228"/>
      <c r="I50" s="228"/>
      <c r="J50" s="228"/>
      <c r="K50" s="228"/>
      <c r="L50" s="228"/>
    </row>
    <row r="51" spans="1:14">
      <c r="A51" s="227"/>
      <c r="D51" s="228"/>
      <c r="E51" s="228"/>
      <c r="F51" s="228"/>
      <c r="G51" s="228"/>
      <c r="H51" s="228"/>
      <c r="I51" s="228"/>
      <c r="J51" s="228"/>
      <c r="K51" s="228"/>
      <c r="L51" s="228"/>
    </row>
    <row r="54" spans="1:14">
      <c r="A54" s="227"/>
      <c r="D54" s="228"/>
      <c r="E54" s="228"/>
      <c r="F54" s="228"/>
      <c r="G54" s="228"/>
      <c r="H54" s="228"/>
      <c r="I54" s="228"/>
      <c r="J54" s="228"/>
      <c r="K54" s="228"/>
      <c r="L54" s="228"/>
    </row>
    <row r="56" spans="1:14">
      <c r="A56" s="227"/>
      <c r="B56" s="227"/>
      <c r="C56" s="227"/>
      <c r="D56" s="228"/>
      <c r="E56" s="228"/>
      <c r="F56" s="228"/>
      <c r="G56" s="228"/>
      <c r="H56" s="228"/>
      <c r="I56" s="228"/>
      <c r="J56" s="228"/>
      <c r="K56" s="228"/>
      <c r="L56" s="228"/>
      <c r="N56" s="227"/>
    </row>
    <row r="57" spans="1:14">
      <c r="A57" s="227"/>
      <c r="B57" s="227"/>
      <c r="C57" s="227"/>
      <c r="D57" s="228"/>
      <c r="E57" s="228"/>
      <c r="F57" s="228"/>
      <c r="G57" s="228"/>
      <c r="H57" s="228"/>
      <c r="I57" s="228"/>
      <c r="J57" s="228"/>
      <c r="K57" s="228"/>
      <c r="L57" s="228"/>
      <c r="N57" s="227"/>
    </row>
    <row r="58" spans="1:14">
      <c r="A58" s="227"/>
      <c r="B58" s="227"/>
      <c r="C58" s="227"/>
      <c r="D58" s="228"/>
      <c r="E58" s="228"/>
      <c r="F58" s="228"/>
      <c r="G58" s="228"/>
      <c r="H58" s="228"/>
      <c r="I58" s="228"/>
      <c r="J58" s="228"/>
      <c r="K58" s="228"/>
      <c r="L58" s="228"/>
      <c r="N58" s="227"/>
    </row>
    <row r="59" spans="1:14">
      <c r="A59" s="227"/>
      <c r="B59" s="227"/>
      <c r="C59" s="227"/>
      <c r="D59" s="228"/>
      <c r="E59" s="228"/>
      <c r="F59" s="228"/>
      <c r="G59" s="228"/>
      <c r="H59" s="228"/>
      <c r="I59" s="228"/>
      <c r="J59" s="228"/>
      <c r="K59" s="228"/>
      <c r="L59" s="228"/>
      <c r="N59" s="227"/>
    </row>
    <row r="60" spans="1:14">
      <c r="A60" s="227"/>
      <c r="B60" s="227"/>
      <c r="C60" s="227"/>
      <c r="D60" s="228"/>
      <c r="E60" s="228"/>
      <c r="F60" s="228"/>
      <c r="G60" s="228"/>
      <c r="H60" s="228"/>
      <c r="I60" s="228"/>
      <c r="J60" s="228"/>
      <c r="K60" s="228"/>
      <c r="L60" s="228"/>
      <c r="N60" s="227"/>
    </row>
    <row r="61" spans="1:14">
      <c r="A61" s="227"/>
      <c r="B61" s="227"/>
      <c r="C61" s="227"/>
      <c r="D61" s="228"/>
      <c r="E61" s="228"/>
      <c r="F61" s="228"/>
      <c r="G61" s="228"/>
      <c r="H61" s="228"/>
      <c r="I61" s="228"/>
      <c r="J61" s="228"/>
      <c r="K61" s="228"/>
      <c r="L61" s="228"/>
      <c r="N61" s="227"/>
    </row>
    <row r="62" spans="1:14">
      <c r="A62" s="227"/>
      <c r="B62" s="227"/>
      <c r="C62" s="227"/>
      <c r="D62" s="228"/>
      <c r="E62" s="228"/>
      <c r="F62" s="228"/>
      <c r="G62" s="228"/>
      <c r="H62" s="228"/>
      <c r="I62" s="228"/>
      <c r="J62" s="228"/>
      <c r="K62" s="228"/>
      <c r="L62" s="228"/>
      <c r="N62" s="227"/>
    </row>
    <row r="63" spans="1:14">
      <c r="A63" s="227"/>
      <c r="B63" s="227"/>
      <c r="C63" s="227"/>
      <c r="D63" s="228"/>
      <c r="E63" s="228"/>
      <c r="F63" s="228"/>
      <c r="G63" s="228"/>
      <c r="H63" s="228"/>
      <c r="I63" s="228"/>
      <c r="J63" s="228"/>
      <c r="K63" s="228"/>
      <c r="L63" s="228"/>
      <c r="N63" s="227"/>
    </row>
    <row r="64" spans="1:14">
      <c r="A64" s="227"/>
      <c r="B64" s="227"/>
      <c r="C64" s="227"/>
      <c r="D64" s="228"/>
      <c r="E64" s="228"/>
      <c r="F64" s="228"/>
      <c r="G64" s="228"/>
      <c r="H64" s="228"/>
      <c r="I64" s="228"/>
      <c r="J64" s="228"/>
      <c r="K64" s="228"/>
      <c r="L64" s="228"/>
      <c r="N64" s="227"/>
    </row>
    <row r="65" spans="1:14">
      <c r="A65" s="227"/>
      <c r="B65" s="227"/>
      <c r="C65" s="227"/>
      <c r="D65" s="228"/>
      <c r="E65" s="228"/>
      <c r="F65" s="228"/>
      <c r="G65" s="228"/>
      <c r="H65" s="228"/>
      <c r="I65" s="228"/>
      <c r="J65" s="228"/>
      <c r="K65" s="228"/>
      <c r="L65" s="228"/>
      <c r="N65" s="227"/>
    </row>
    <row r="66" spans="1:14">
      <c r="A66" s="227"/>
      <c r="B66" s="227"/>
      <c r="C66" s="227"/>
      <c r="D66" s="228"/>
      <c r="E66" s="228"/>
      <c r="F66" s="228"/>
      <c r="G66" s="228"/>
      <c r="H66" s="228"/>
      <c r="I66" s="228"/>
      <c r="J66" s="228"/>
      <c r="K66" s="228"/>
      <c r="L66" s="228"/>
      <c r="N66" s="227"/>
    </row>
    <row r="67" spans="1:14">
      <c r="A67" s="227"/>
      <c r="B67" s="227"/>
      <c r="C67" s="227"/>
      <c r="D67" s="228"/>
      <c r="E67" s="228"/>
      <c r="F67" s="228"/>
      <c r="G67" s="228"/>
      <c r="H67" s="228"/>
      <c r="I67" s="228"/>
      <c r="J67" s="228"/>
      <c r="K67" s="228"/>
      <c r="L67" s="228"/>
      <c r="N67" s="227"/>
    </row>
    <row r="68" spans="1:14">
      <c r="A68" s="227"/>
      <c r="B68" s="227"/>
      <c r="C68" s="227"/>
      <c r="D68" s="228"/>
      <c r="E68" s="228"/>
      <c r="F68" s="228"/>
      <c r="G68" s="228"/>
      <c r="H68" s="228"/>
      <c r="I68" s="228"/>
      <c r="J68" s="228"/>
      <c r="K68" s="228"/>
      <c r="L68" s="228"/>
      <c r="N68" s="227"/>
    </row>
    <row r="69" spans="1:14">
      <c r="A69" s="227"/>
      <c r="B69" s="227"/>
      <c r="C69" s="227"/>
      <c r="D69" s="228"/>
      <c r="E69" s="228"/>
      <c r="F69" s="228"/>
      <c r="G69" s="228"/>
      <c r="H69" s="228"/>
      <c r="I69" s="228"/>
      <c r="J69" s="228"/>
      <c r="K69" s="228"/>
      <c r="L69" s="228"/>
      <c r="N69" s="227"/>
    </row>
    <row r="70" spans="1:14">
      <c r="A70" s="227"/>
      <c r="B70" s="227"/>
      <c r="C70" s="227"/>
      <c r="D70" s="228"/>
      <c r="E70" s="228"/>
      <c r="F70" s="228"/>
      <c r="G70" s="228"/>
      <c r="H70" s="228"/>
      <c r="I70" s="228"/>
      <c r="J70" s="228"/>
      <c r="K70" s="228"/>
      <c r="L70" s="228"/>
      <c r="N70" s="227"/>
    </row>
    <row r="71" spans="1:14">
      <c r="A71" s="227"/>
      <c r="B71" s="227"/>
      <c r="C71" s="227"/>
      <c r="D71" s="228"/>
      <c r="E71" s="228"/>
      <c r="F71" s="228"/>
      <c r="G71" s="228"/>
      <c r="H71" s="228"/>
      <c r="I71" s="228"/>
      <c r="J71" s="228"/>
      <c r="K71" s="228"/>
      <c r="L71" s="228"/>
      <c r="N71" s="227"/>
    </row>
    <row r="72" spans="1:14">
      <c r="A72" s="227"/>
      <c r="B72" s="227"/>
      <c r="C72" s="227"/>
      <c r="D72" s="228"/>
      <c r="E72" s="228"/>
      <c r="F72" s="228"/>
      <c r="G72" s="228"/>
      <c r="H72" s="228"/>
      <c r="I72" s="228"/>
      <c r="J72" s="228"/>
      <c r="K72" s="228"/>
      <c r="L72" s="228"/>
      <c r="N72" s="227"/>
    </row>
    <row r="73" spans="1:14">
      <c r="A73" s="227"/>
      <c r="B73" s="227"/>
      <c r="C73" s="227"/>
      <c r="D73" s="228"/>
      <c r="E73" s="228"/>
      <c r="F73" s="228"/>
      <c r="G73" s="228"/>
      <c r="H73" s="228"/>
      <c r="I73" s="228"/>
      <c r="J73" s="228"/>
      <c r="K73" s="228"/>
      <c r="L73" s="228"/>
      <c r="N73" s="227"/>
    </row>
    <row r="74" spans="1:14">
      <c r="A74" s="227"/>
      <c r="B74" s="227"/>
      <c r="C74" s="227"/>
      <c r="D74" s="228"/>
      <c r="E74" s="228"/>
      <c r="F74" s="228"/>
      <c r="G74" s="228"/>
      <c r="H74" s="228"/>
      <c r="I74" s="228"/>
      <c r="J74" s="228"/>
      <c r="K74" s="228"/>
      <c r="L74" s="228"/>
      <c r="N74" s="227"/>
    </row>
    <row r="75" spans="1:14">
      <c r="A75" s="227"/>
      <c r="B75" s="227"/>
      <c r="C75" s="227"/>
      <c r="D75" s="228"/>
      <c r="E75" s="228"/>
      <c r="F75" s="228"/>
      <c r="G75" s="228"/>
      <c r="H75" s="228"/>
      <c r="I75" s="228"/>
      <c r="J75" s="228"/>
      <c r="K75" s="228"/>
      <c r="L75" s="228"/>
      <c r="N75" s="227"/>
    </row>
    <row r="76" spans="1:14">
      <c r="A76" s="227"/>
      <c r="B76" s="227"/>
      <c r="C76" s="227"/>
      <c r="D76" s="228"/>
      <c r="E76" s="228"/>
      <c r="F76" s="228"/>
      <c r="G76" s="228"/>
      <c r="H76" s="228"/>
      <c r="I76" s="228"/>
      <c r="J76" s="228"/>
      <c r="K76" s="228"/>
      <c r="L76" s="228"/>
      <c r="N76" s="227"/>
    </row>
    <row r="77" spans="1:14">
      <c r="A77" s="227"/>
      <c r="B77" s="227"/>
      <c r="C77" s="227"/>
      <c r="D77" s="228"/>
      <c r="E77" s="228"/>
      <c r="F77" s="228"/>
      <c r="G77" s="228"/>
      <c r="H77" s="228"/>
      <c r="I77" s="228"/>
      <c r="J77" s="228"/>
      <c r="K77" s="228"/>
      <c r="L77" s="228"/>
      <c r="N77" s="227"/>
    </row>
    <row r="78" spans="1:14">
      <c r="A78" s="227"/>
      <c r="B78" s="227"/>
      <c r="C78" s="227"/>
      <c r="D78" s="228"/>
      <c r="E78" s="228"/>
      <c r="F78" s="228"/>
      <c r="G78" s="228"/>
      <c r="H78" s="228"/>
      <c r="I78" s="228"/>
      <c r="J78" s="228"/>
      <c r="K78" s="228"/>
      <c r="L78" s="228"/>
      <c r="N78" s="227"/>
    </row>
    <row r="79" spans="1:14">
      <c r="A79" s="227"/>
      <c r="B79" s="227"/>
      <c r="C79" s="227"/>
      <c r="D79" s="228"/>
      <c r="E79" s="228"/>
      <c r="F79" s="228"/>
      <c r="G79" s="228"/>
      <c r="H79" s="228"/>
      <c r="I79" s="228"/>
      <c r="J79" s="228"/>
      <c r="K79" s="228"/>
      <c r="L79" s="228"/>
      <c r="N79" s="227"/>
    </row>
    <row r="80" spans="1:14">
      <c r="A80" s="227"/>
      <c r="B80" s="227"/>
      <c r="C80" s="227"/>
      <c r="D80" s="228"/>
      <c r="E80" s="228"/>
      <c r="F80" s="228"/>
      <c r="G80" s="228"/>
      <c r="H80" s="228"/>
      <c r="I80" s="228"/>
      <c r="J80" s="228"/>
      <c r="K80" s="228"/>
      <c r="L80" s="228"/>
      <c r="N80" s="227"/>
    </row>
    <row r="83" spans="1:12">
      <c r="A83" s="227"/>
      <c r="D83" s="228"/>
      <c r="E83" s="228"/>
      <c r="F83" s="228"/>
      <c r="G83" s="228"/>
      <c r="H83" s="228"/>
      <c r="I83" s="228"/>
      <c r="J83" s="228"/>
      <c r="K83" s="228"/>
      <c r="L83" s="228"/>
    </row>
    <row r="84" spans="1:12">
      <c r="A84" s="227"/>
      <c r="D84" s="228"/>
      <c r="E84" s="228"/>
      <c r="F84" s="228"/>
      <c r="G84" s="228"/>
      <c r="H84" s="228"/>
      <c r="I84" s="228"/>
      <c r="J84" s="228"/>
      <c r="K84" s="228"/>
      <c r="L84" s="228"/>
    </row>
    <row r="85" spans="1:12">
      <c r="A85" s="227"/>
      <c r="D85" s="228"/>
      <c r="E85" s="228"/>
      <c r="F85" s="228"/>
      <c r="G85" s="228"/>
      <c r="H85" s="228"/>
      <c r="I85" s="228"/>
      <c r="J85" s="228"/>
      <c r="K85" s="228"/>
      <c r="L85" s="228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5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3 E5:E23 F5:F23 G5:G23 H3:H4 H5:H23 I3:I23 J3:J23 K3:K23 L3:L23" unlockedFormula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555"/>
  <sheetViews>
    <sheetView showGridLines="0" zoomScaleNormal="100" workbookViewId="0"/>
  </sheetViews>
  <sheetFormatPr defaultColWidth="12.5703125" defaultRowHeight="15"/>
  <cols>
    <col min="1" max="1" width="4.85546875" style="306" customWidth="1"/>
    <col min="2" max="2" width="46" style="306" customWidth="1"/>
    <col min="3" max="3" width="11.5703125" style="306" customWidth="1"/>
    <col min="4" max="12" width="10.140625" style="306" customWidth="1"/>
    <col min="13" max="13" width="2.28515625" style="306" customWidth="1"/>
    <col min="14" max="14" width="35.7109375" style="306" customWidth="1"/>
    <col min="15" max="16384" width="12.5703125" style="306"/>
  </cols>
  <sheetData>
    <row r="1" spans="1:14">
      <c r="A1" s="434" t="s">
        <v>8847</v>
      </c>
      <c r="B1" s="435"/>
      <c r="C1" s="435"/>
      <c r="D1" s="436">
        <v>2010</v>
      </c>
      <c r="E1" s="436">
        <v>2011</v>
      </c>
      <c r="F1" s="436">
        <v>2012</v>
      </c>
      <c r="G1" s="436">
        <v>2013</v>
      </c>
      <c r="H1" s="436">
        <v>2014</v>
      </c>
      <c r="I1" s="436">
        <v>2015</v>
      </c>
      <c r="J1" s="436">
        <v>2016</v>
      </c>
      <c r="K1" s="436">
        <v>2017</v>
      </c>
      <c r="L1" s="436">
        <v>2018</v>
      </c>
      <c r="M1" s="435"/>
    </row>
    <row r="2" spans="1:14">
      <c r="A2" s="435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</row>
    <row r="3" spans="1:14">
      <c r="A3" s="437" t="s">
        <v>2848</v>
      </c>
      <c r="C3" s="437"/>
      <c r="D3" s="438">
        <f t="shared" ref="D3:I3" si="0">SUM(D8:D19)</f>
        <v>890719</v>
      </c>
      <c r="E3" s="438">
        <f t="shared" si="0"/>
        <v>897715</v>
      </c>
      <c r="F3" s="438">
        <f t="shared" si="0"/>
        <v>896386</v>
      </c>
      <c r="G3" s="438">
        <f t="shared" si="0"/>
        <v>894747</v>
      </c>
      <c r="H3" s="438">
        <f t="shared" si="0"/>
        <v>890475</v>
      </c>
      <c r="I3" s="438">
        <f t="shared" si="0"/>
        <v>864738</v>
      </c>
      <c r="J3" s="438">
        <f t="shared" ref="J3:K3" si="1">SUM(J8:J19)</f>
        <v>857159</v>
      </c>
      <c r="K3" s="438">
        <f t="shared" si="1"/>
        <v>880095</v>
      </c>
      <c r="L3" s="438">
        <f t="shared" ref="L3" si="2">SUM(L8:L19)</f>
        <v>887566</v>
      </c>
      <c r="M3" s="435"/>
    </row>
    <row r="4" spans="1:14">
      <c r="A4" s="437" t="s">
        <v>2849</v>
      </c>
      <c r="C4" s="437"/>
      <c r="D4" s="438">
        <f t="shared" ref="D4:I4" si="3">D87</f>
        <v>101354</v>
      </c>
      <c r="E4" s="438">
        <f t="shared" si="3"/>
        <v>101809</v>
      </c>
      <c r="F4" s="438">
        <f t="shared" si="3"/>
        <v>103306</v>
      </c>
      <c r="G4" s="438">
        <f t="shared" si="3"/>
        <v>104152</v>
      </c>
      <c r="H4" s="438">
        <f t="shared" si="3"/>
        <v>103291</v>
      </c>
      <c r="I4" s="438">
        <f t="shared" si="3"/>
        <v>102110</v>
      </c>
      <c r="J4" s="438">
        <f t="shared" ref="J4:K4" si="4">J87</f>
        <v>96731</v>
      </c>
      <c r="K4" s="438">
        <f t="shared" si="4"/>
        <v>98883</v>
      </c>
      <c r="L4" s="438">
        <f t="shared" ref="L4" si="5">L87</f>
        <v>98540</v>
      </c>
      <c r="M4" s="435"/>
    </row>
    <row r="5" spans="1:14" ht="15.75" thickBot="1">
      <c r="A5" s="437" t="s">
        <v>2850</v>
      </c>
      <c r="C5" s="437"/>
      <c r="D5" s="439">
        <f t="shared" ref="D5:I5" si="6">D120</f>
        <v>111499</v>
      </c>
      <c r="E5" s="439">
        <f t="shared" si="6"/>
        <v>112268</v>
      </c>
      <c r="F5" s="439">
        <f t="shared" si="6"/>
        <v>112618</v>
      </c>
      <c r="G5" s="439">
        <f t="shared" si="6"/>
        <v>110956</v>
      </c>
      <c r="H5" s="439">
        <f t="shared" si="6"/>
        <v>109362</v>
      </c>
      <c r="I5" s="439">
        <f t="shared" si="6"/>
        <v>100358</v>
      </c>
      <c r="J5" s="439">
        <f t="shared" ref="J5:K5" si="7">J120</f>
        <v>97419</v>
      </c>
      <c r="K5" s="439">
        <f t="shared" si="7"/>
        <v>99724</v>
      </c>
      <c r="L5" s="439">
        <f t="shared" ref="L5" si="8">L120</f>
        <v>101148</v>
      </c>
      <c r="M5" s="440"/>
    </row>
    <row r="6" spans="1:14" ht="15.75" thickBot="1">
      <c r="A6" s="435"/>
      <c r="C6" s="435"/>
      <c r="D6" s="441">
        <f t="shared" ref="D6:I6" si="9">SUM(D3:D5)</f>
        <v>1103572</v>
      </c>
      <c r="E6" s="441">
        <f t="shared" si="9"/>
        <v>1111792</v>
      </c>
      <c r="F6" s="441">
        <f t="shared" si="9"/>
        <v>1112310</v>
      </c>
      <c r="G6" s="441">
        <f t="shared" si="9"/>
        <v>1109855</v>
      </c>
      <c r="H6" s="441">
        <f t="shared" si="9"/>
        <v>1103128</v>
      </c>
      <c r="I6" s="441">
        <f t="shared" si="9"/>
        <v>1067206</v>
      </c>
      <c r="J6" s="441">
        <f t="shared" ref="J6:K6" si="10">SUM(J3:J5)</f>
        <v>1051309</v>
      </c>
      <c r="K6" s="441">
        <f t="shared" si="10"/>
        <v>1078702</v>
      </c>
      <c r="L6" s="441">
        <f t="shared" ref="L6" si="11">SUM(L3:L5)</f>
        <v>1087254</v>
      </c>
      <c r="M6" s="435"/>
    </row>
    <row r="7" spans="1:14">
      <c r="A7" s="173"/>
      <c r="C7" s="173"/>
      <c r="D7" s="180"/>
      <c r="E7" s="180"/>
      <c r="F7" s="180"/>
      <c r="G7" s="180"/>
      <c r="H7" s="180"/>
      <c r="I7" s="180"/>
      <c r="J7" s="180"/>
      <c r="K7" s="180"/>
      <c r="L7" s="180"/>
      <c r="M7" s="173"/>
      <c r="N7" s="173"/>
    </row>
    <row r="8" spans="1:14">
      <c r="A8" s="437" t="s">
        <v>2887</v>
      </c>
      <c r="C8" s="437"/>
      <c r="D8" s="438">
        <f t="shared" ref="D8:I8" si="12">D151</f>
        <v>66876</v>
      </c>
      <c r="E8" s="438">
        <f t="shared" si="12"/>
        <v>67003</v>
      </c>
      <c r="F8" s="438">
        <f t="shared" si="12"/>
        <v>66950</v>
      </c>
      <c r="G8" s="438">
        <f t="shared" si="12"/>
        <v>65897</v>
      </c>
      <c r="H8" s="438">
        <f t="shared" si="12"/>
        <v>66830</v>
      </c>
      <c r="I8" s="438">
        <f t="shared" si="12"/>
        <v>63833</v>
      </c>
      <c r="J8" s="438">
        <f t="shared" ref="J8:K8" si="13">J151</f>
        <v>63228</v>
      </c>
      <c r="K8" s="438">
        <f t="shared" si="13"/>
        <v>64147</v>
      </c>
      <c r="L8" s="438">
        <f t="shared" ref="L8" si="14">L151</f>
        <v>64338</v>
      </c>
      <c r="M8" s="435"/>
      <c r="N8" s="442"/>
    </row>
    <row r="9" spans="1:14">
      <c r="A9" s="437" t="s">
        <v>2888</v>
      </c>
      <c r="C9" s="437"/>
      <c r="D9" s="438">
        <f t="shared" ref="D9:I9" si="15">D175</f>
        <v>79444</v>
      </c>
      <c r="E9" s="438">
        <f t="shared" si="15"/>
        <v>79612</v>
      </c>
      <c r="F9" s="438">
        <f t="shared" si="15"/>
        <v>80727</v>
      </c>
      <c r="G9" s="438">
        <f t="shared" si="15"/>
        <v>81776</v>
      </c>
      <c r="H9" s="438">
        <f t="shared" si="15"/>
        <v>82425</v>
      </c>
      <c r="I9" s="438">
        <f t="shared" si="15"/>
        <v>80674</v>
      </c>
      <c r="J9" s="438">
        <f t="shared" ref="J9:K9" si="16">J175</f>
        <v>81668</v>
      </c>
      <c r="K9" s="438">
        <f t="shared" si="16"/>
        <v>83952</v>
      </c>
      <c r="L9" s="438">
        <f t="shared" ref="L9" si="17">L175</f>
        <v>84565</v>
      </c>
      <c r="M9" s="435"/>
      <c r="N9" s="442"/>
    </row>
    <row r="10" spans="1:14">
      <c r="A10" s="437" t="s">
        <v>2889</v>
      </c>
      <c r="C10" s="437"/>
      <c r="D10" s="438">
        <f t="shared" ref="D10:I10" si="18">D205</f>
        <v>61208</v>
      </c>
      <c r="E10" s="438">
        <f t="shared" si="18"/>
        <v>61748</v>
      </c>
      <c r="F10" s="438">
        <f t="shared" si="18"/>
        <v>60559</v>
      </c>
      <c r="G10" s="438">
        <f t="shared" si="18"/>
        <v>61240</v>
      </c>
      <c r="H10" s="438">
        <f t="shared" si="18"/>
        <v>60486</v>
      </c>
      <c r="I10" s="438">
        <f t="shared" si="18"/>
        <v>59258</v>
      </c>
      <c r="J10" s="438">
        <f t="shared" ref="J10:K10" si="19">J205</f>
        <v>59381</v>
      </c>
      <c r="K10" s="438">
        <f t="shared" si="19"/>
        <v>60098</v>
      </c>
      <c r="L10" s="438">
        <f t="shared" ref="L10" si="20">L205</f>
        <v>60428</v>
      </c>
      <c r="M10" s="435"/>
      <c r="N10" s="442"/>
    </row>
    <row r="11" spans="1:14">
      <c r="A11" s="437" t="s">
        <v>2890</v>
      </c>
      <c r="C11" s="437"/>
      <c r="D11" s="438">
        <f t="shared" ref="D11:I11" si="21">D235</f>
        <v>57978</v>
      </c>
      <c r="E11" s="438">
        <f t="shared" si="21"/>
        <v>60671</v>
      </c>
      <c r="F11" s="438">
        <f t="shared" si="21"/>
        <v>60554</v>
      </c>
      <c r="G11" s="438">
        <f t="shared" si="21"/>
        <v>60099</v>
      </c>
      <c r="H11" s="438">
        <f t="shared" si="21"/>
        <v>60381</v>
      </c>
      <c r="I11" s="438">
        <f t="shared" si="21"/>
        <v>58870</v>
      </c>
      <c r="J11" s="438">
        <f t="shared" ref="J11:K11" si="22">J235</f>
        <v>59715</v>
      </c>
      <c r="K11" s="438">
        <f t="shared" si="22"/>
        <v>63001</v>
      </c>
      <c r="L11" s="438">
        <f t="shared" ref="L11" si="23">L235</f>
        <v>59021</v>
      </c>
      <c r="M11" s="435"/>
      <c r="N11" s="442"/>
    </row>
    <row r="12" spans="1:14">
      <c r="A12" s="437" t="s">
        <v>2891</v>
      </c>
      <c r="C12" s="437"/>
      <c r="D12" s="438">
        <f t="shared" ref="D12:I12" si="24">D260</f>
        <v>107588</v>
      </c>
      <c r="E12" s="438">
        <f t="shared" si="24"/>
        <v>109144</v>
      </c>
      <c r="F12" s="438">
        <f t="shared" si="24"/>
        <v>106678</v>
      </c>
      <c r="G12" s="438">
        <f t="shared" si="24"/>
        <v>105377</v>
      </c>
      <c r="H12" s="438">
        <f t="shared" si="24"/>
        <v>99352</v>
      </c>
      <c r="I12" s="438">
        <f t="shared" si="24"/>
        <v>98929</v>
      </c>
      <c r="J12" s="438">
        <f t="shared" ref="J12:K12" si="25">J260</f>
        <v>96357</v>
      </c>
      <c r="K12" s="438">
        <f t="shared" si="25"/>
        <v>102565</v>
      </c>
      <c r="L12" s="438">
        <f t="shared" ref="L12" si="26">L260</f>
        <v>109336</v>
      </c>
      <c r="M12" s="435"/>
      <c r="N12" s="442"/>
    </row>
    <row r="13" spans="1:14">
      <c r="A13" s="437" t="s">
        <v>2892</v>
      </c>
      <c r="C13" s="437"/>
      <c r="D13" s="438">
        <f t="shared" ref="D13:I13" si="27">D297</f>
        <v>66461</v>
      </c>
      <c r="E13" s="438">
        <f t="shared" si="27"/>
        <v>66735</v>
      </c>
      <c r="F13" s="438">
        <f t="shared" si="27"/>
        <v>66918</v>
      </c>
      <c r="G13" s="438">
        <f t="shared" si="27"/>
        <v>66780</v>
      </c>
      <c r="H13" s="438">
        <f t="shared" si="27"/>
        <v>66688</v>
      </c>
      <c r="I13" s="438">
        <f t="shared" si="27"/>
        <v>64241</v>
      </c>
      <c r="J13" s="438">
        <f t="shared" ref="J13:K13" si="28">J297</f>
        <v>62891</v>
      </c>
      <c r="K13" s="438">
        <f t="shared" si="28"/>
        <v>63972</v>
      </c>
      <c r="L13" s="438">
        <f t="shared" ref="L13" si="29">L297</f>
        <v>64257</v>
      </c>
      <c r="M13" s="435"/>
      <c r="N13" s="442"/>
    </row>
    <row r="14" spans="1:14">
      <c r="A14" s="437" t="s">
        <v>2893</v>
      </c>
      <c r="C14" s="437"/>
      <c r="D14" s="438">
        <f t="shared" ref="D14:I14" si="30">D327</f>
        <v>96714</v>
      </c>
      <c r="E14" s="438">
        <f t="shared" si="30"/>
        <v>97094</v>
      </c>
      <c r="F14" s="438">
        <f t="shared" si="30"/>
        <v>97619</v>
      </c>
      <c r="G14" s="438">
        <f t="shared" si="30"/>
        <v>98089</v>
      </c>
      <c r="H14" s="438">
        <f t="shared" si="30"/>
        <v>96919</v>
      </c>
      <c r="I14" s="438">
        <f t="shared" si="30"/>
        <v>92823</v>
      </c>
      <c r="J14" s="438">
        <f t="shared" ref="J14:K14" si="31">J327</f>
        <v>90766</v>
      </c>
      <c r="K14" s="438">
        <f t="shared" si="31"/>
        <v>92063</v>
      </c>
      <c r="L14" s="438">
        <f t="shared" ref="L14" si="32">L327</f>
        <v>92030</v>
      </c>
      <c r="M14" s="435"/>
      <c r="N14" s="442"/>
    </row>
    <row r="15" spans="1:14">
      <c r="A15" s="437" t="s">
        <v>2894</v>
      </c>
      <c r="C15" s="437"/>
      <c r="D15" s="438">
        <f t="shared" ref="D15:I15" si="33">D364</f>
        <v>45891</v>
      </c>
      <c r="E15" s="438">
        <f t="shared" si="33"/>
        <v>46058</v>
      </c>
      <c r="F15" s="438">
        <f t="shared" si="33"/>
        <v>45845</v>
      </c>
      <c r="G15" s="438">
        <f t="shared" si="33"/>
        <v>45909</v>
      </c>
      <c r="H15" s="438">
        <f t="shared" si="33"/>
        <v>46181</v>
      </c>
      <c r="I15" s="438">
        <f t="shared" si="33"/>
        <v>46114</v>
      </c>
      <c r="J15" s="438">
        <f t="shared" ref="J15:K15" si="34">J364</f>
        <v>45804</v>
      </c>
      <c r="K15" s="438">
        <f t="shared" si="34"/>
        <v>45181</v>
      </c>
      <c r="L15" s="438">
        <f t="shared" ref="L15" si="35">L364</f>
        <v>46375</v>
      </c>
      <c r="M15" s="435"/>
      <c r="N15" s="442"/>
    </row>
    <row r="16" spans="1:14">
      <c r="A16" s="437" t="s">
        <v>2895</v>
      </c>
      <c r="C16" s="437"/>
      <c r="D16" s="438">
        <f t="shared" ref="D16:I16" si="36">D397</f>
        <v>52506</v>
      </c>
      <c r="E16" s="438">
        <f t="shared" si="36"/>
        <v>52692</v>
      </c>
      <c r="F16" s="438">
        <f t="shared" si="36"/>
        <v>52934</v>
      </c>
      <c r="G16" s="438">
        <f t="shared" si="36"/>
        <v>53014</v>
      </c>
      <c r="H16" s="438">
        <f t="shared" si="36"/>
        <v>53123</v>
      </c>
      <c r="I16" s="438">
        <f t="shared" si="36"/>
        <v>52269</v>
      </c>
      <c r="J16" s="438">
        <f t="shared" ref="J16:K16" si="37">J397</f>
        <v>51076</v>
      </c>
      <c r="K16" s="438">
        <f t="shared" si="37"/>
        <v>52211</v>
      </c>
      <c r="L16" s="438">
        <f t="shared" ref="L16" si="38">L397</f>
        <v>51427</v>
      </c>
      <c r="M16" s="435"/>
      <c r="N16" s="442"/>
    </row>
    <row r="17" spans="1:14">
      <c r="A17" s="437" t="s">
        <v>4633</v>
      </c>
      <c r="C17" s="437"/>
      <c r="D17" s="438">
        <f t="shared" ref="D17:I17" si="39">D421</f>
        <v>85769</v>
      </c>
      <c r="E17" s="438">
        <f t="shared" si="39"/>
        <v>85661</v>
      </c>
      <c r="F17" s="438">
        <f t="shared" si="39"/>
        <v>85680</v>
      </c>
      <c r="G17" s="438">
        <f t="shared" si="39"/>
        <v>85731</v>
      </c>
      <c r="H17" s="438">
        <f t="shared" si="39"/>
        <v>85801</v>
      </c>
      <c r="I17" s="438">
        <f t="shared" si="39"/>
        <v>83999</v>
      </c>
      <c r="J17" s="438">
        <f t="shared" ref="J17:K17" si="40">J421</f>
        <v>81624</v>
      </c>
      <c r="K17" s="438">
        <f t="shared" si="40"/>
        <v>83283</v>
      </c>
      <c r="L17" s="438">
        <f t="shared" ref="L17" si="41">L421</f>
        <v>83964</v>
      </c>
      <c r="M17" s="435"/>
      <c r="N17" s="442"/>
    </row>
    <row r="18" spans="1:14">
      <c r="A18" s="437" t="s">
        <v>8475</v>
      </c>
      <c r="C18" s="437"/>
      <c r="D18" s="438">
        <f t="shared" ref="D18:I18" si="42">D458</f>
        <v>84768</v>
      </c>
      <c r="E18" s="438">
        <f t="shared" si="42"/>
        <v>85583</v>
      </c>
      <c r="F18" s="438">
        <f t="shared" si="42"/>
        <v>86433</v>
      </c>
      <c r="G18" s="438">
        <f t="shared" si="42"/>
        <v>84744</v>
      </c>
      <c r="H18" s="438">
        <f t="shared" si="42"/>
        <v>86819</v>
      </c>
      <c r="I18" s="438">
        <f t="shared" si="42"/>
        <v>81784</v>
      </c>
      <c r="J18" s="438">
        <f t="shared" ref="J18:K18" si="43">J458</f>
        <v>82644</v>
      </c>
      <c r="K18" s="438">
        <f t="shared" si="43"/>
        <v>83690</v>
      </c>
      <c r="L18" s="438">
        <f t="shared" ref="L18" si="44">L458</f>
        <v>84994</v>
      </c>
      <c r="M18" s="435"/>
      <c r="N18" s="442"/>
    </row>
    <row r="19" spans="1:14">
      <c r="A19" s="437" t="s">
        <v>4634</v>
      </c>
      <c r="C19" s="437"/>
      <c r="D19" s="438">
        <f t="shared" ref="D19:I19" si="45">D495</f>
        <v>85516</v>
      </c>
      <c r="E19" s="438">
        <f t="shared" si="45"/>
        <v>85714</v>
      </c>
      <c r="F19" s="438">
        <f t="shared" si="45"/>
        <v>85489</v>
      </c>
      <c r="G19" s="438">
        <f t="shared" si="45"/>
        <v>86091</v>
      </c>
      <c r="H19" s="438">
        <f t="shared" si="45"/>
        <v>85470</v>
      </c>
      <c r="I19" s="438">
        <f t="shared" si="45"/>
        <v>81944</v>
      </c>
      <c r="J19" s="438">
        <f t="shared" ref="J19:K19" si="46">J495</f>
        <v>82005</v>
      </c>
      <c r="K19" s="438">
        <f t="shared" si="46"/>
        <v>85932</v>
      </c>
      <c r="L19" s="438">
        <f t="shared" ref="L19" si="47">L495</f>
        <v>86831</v>
      </c>
      <c r="M19" s="435"/>
      <c r="N19" s="442"/>
    </row>
    <row r="20" spans="1:14">
      <c r="A20" s="435"/>
      <c r="B20" s="435"/>
      <c r="C20" s="435"/>
      <c r="D20" s="435"/>
      <c r="E20" s="435"/>
      <c r="F20" s="435"/>
      <c r="G20" s="435"/>
      <c r="H20" s="435"/>
      <c r="I20" s="435"/>
      <c r="J20" s="435"/>
      <c r="K20" s="435"/>
      <c r="L20" s="435"/>
      <c r="M20" s="435"/>
      <c r="N20" s="435"/>
    </row>
    <row r="21" spans="1:14">
      <c r="A21" s="437" t="s">
        <v>13401</v>
      </c>
      <c r="B21" s="435"/>
      <c r="C21" s="435"/>
      <c r="D21" s="438">
        <f t="shared" ref="D21:I21" si="48">D3/12</f>
        <v>74226.583333333328</v>
      </c>
      <c r="E21" s="438">
        <f t="shared" si="48"/>
        <v>74809.583333333328</v>
      </c>
      <c r="F21" s="438">
        <f t="shared" si="48"/>
        <v>74698.833333333328</v>
      </c>
      <c r="G21" s="438">
        <f t="shared" si="48"/>
        <v>74562.25</v>
      </c>
      <c r="H21" s="438">
        <f t="shared" si="48"/>
        <v>74206.25</v>
      </c>
      <c r="I21" s="438">
        <f t="shared" si="48"/>
        <v>72061.5</v>
      </c>
      <c r="J21" s="438">
        <f t="shared" ref="J21:K21" si="49">J3/12</f>
        <v>71429.916666666672</v>
      </c>
      <c r="K21" s="438">
        <f t="shared" si="49"/>
        <v>73341.25</v>
      </c>
      <c r="L21" s="438">
        <f t="shared" ref="L21" si="50">L3/12</f>
        <v>73963.833333333328</v>
      </c>
      <c r="M21" s="435"/>
      <c r="N21" s="435"/>
    </row>
    <row r="22" spans="1:14">
      <c r="A22" s="437" t="s">
        <v>15733</v>
      </c>
      <c r="B22" s="435"/>
      <c r="C22" s="435"/>
      <c r="D22" s="438">
        <f>D3/11</f>
        <v>80974.454545454544</v>
      </c>
      <c r="E22" s="438">
        <f t="shared" ref="E22:J22" si="51">E3/11</f>
        <v>81610.454545454544</v>
      </c>
      <c r="F22" s="438">
        <f t="shared" si="51"/>
        <v>81489.636363636368</v>
      </c>
      <c r="G22" s="438">
        <f t="shared" si="51"/>
        <v>81340.636363636368</v>
      </c>
      <c r="H22" s="438">
        <f t="shared" si="51"/>
        <v>80952.272727272721</v>
      </c>
      <c r="I22" s="438">
        <f t="shared" si="51"/>
        <v>78612.545454545456</v>
      </c>
      <c r="J22" s="438">
        <f t="shared" si="51"/>
        <v>77923.545454545456</v>
      </c>
      <c r="K22" s="438">
        <f t="shared" ref="K22:L22" si="52">K3/11</f>
        <v>80008.636363636368</v>
      </c>
      <c r="L22" s="438">
        <f t="shared" si="52"/>
        <v>80687.818181818177</v>
      </c>
      <c r="M22" s="435"/>
      <c r="N22" s="435"/>
    </row>
    <row r="23" spans="1:14">
      <c r="A23" s="437" t="s">
        <v>4635</v>
      </c>
      <c r="B23" s="435"/>
      <c r="C23" s="435"/>
      <c r="D23" s="438">
        <f t="shared" ref="D23:J24" si="53">D4/2</f>
        <v>50677</v>
      </c>
      <c r="E23" s="438">
        <f t="shared" si="53"/>
        <v>50904.5</v>
      </c>
      <c r="F23" s="438">
        <f t="shared" si="53"/>
        <v>51653</v>
      </c>
      <c r="G23" s="438">
        <f t="shared" si="53"/>
        <v>52076</v>
      </c>
      <c r="H23" s="438">
        <f t="shared" si="53"/>
        <v>51645.5</v>
      </c>
      <c r="I23" s="438">
        <f t="shared" si="53"/>
        <v>51055</v>
      </c>
      <c r="J23" s="438">
        <f t="shared" si="53"/>
        <v>48365.5</v>
      </c>
      <c r="K23" s="438">
        <f t="shared" ref="K23:L23" si="54">K4/2</f>
        <v>49441.5</v>
      </c>
      <c r="L23" s="438">
        <f t="shared" si="54"/>
        <v>49270</v>
      </c>
      <c r="M23" s="435"/>
      <c r="N23" s="435"/>
    </row>
    <row r="24" spans="1:14">
      <c r="A24" s="437" t="s">
        <v>4636</v>
      </c>
      <c r="B24" s="435"/>
      <c r="C24" s="435"/>
      <c r="D24" s="438">
        <f t="shared" si="53"/>
        <v>55749.5</v>
      </c>
      <c r="E24" s="438">
        <f t="shared" si="53"/>
        <v>56134</v>
      </c>
      <c r="F24" s="438">
        <f t="shared" si="53"/>
        <v>56309</v>
      </c>
      <c r="G24" s="438">
        <f t="shared" si="53"/>
        <v>55478</v>
      </c>
      <c r="H24" s="438">
        <f t="shared" si="53"/>
        <v>54681</v>
      </c>
      <c r="I24" s="438">
        <f t="shared" si="53"/>
        <v>50179</v>
      </c>
      <c r="J24" s="438">
        <f t="shared" si="53"/>
        <v>48709.5</v>
      </c>
      <c r="K24" s="438">
        <f t="shared" ref="K24:L24" si="55">K5/2</f>
        <v>49862</v>
      </c>
      <c r="L24" s="438">
        <f t="shared" si="55"/>
        <v>50574</v>
      </c>
      <c r="M24" s="435"/>
      <c r="N24" s="435"/>
    </row>
    <row r="25" spans="1:14">
      <c r="A25" s="437" t="s">
        <v>13402</v>
      </c>
      <c r="B25" s="435"/>
      <c r="C25" s="435"/>
      <c r="D25" s="438">
        <f t="shared" ref="D25:J25" si="56">D6/14</f>
        <v>78826.571428571435</v>
      </c>
      <c r="E25" s="438">
        <f t="shared" si="56"/>
        <v>79413.71428571429</v>
      </c>
      <c r="F25" s="438">
        <f t="shared" si="56"/>
        <v>79450.71428571429</v>
      </c>
      <c r="G25" s="438">
        <f t="shared" si="56"/>
        <v>79275.357142857145</v>
      </c>
      <c r="H25" s="438">
        <f t="shared" si="56"/>
        <v>78794.857142857145</v>
      </c>
      <c r="I25" s="438">
        <f t="shared" si="56"/>
        <v>76229</v>
      </c>
      <c r="J25" s="438">
        <f t="shared" si="56"/>
        <v>75093.5</v>
      </c>
      <c r="K25" s="438">
        <f t="shared" ref="K25:L25" si="57">K6/14</f>
        <v>77050.142857142855</v>
      </c>
      <c r="L25" s="438">
        <f t="shared" si="57"/>
        <v>77661</v>
      </c>
      <c r="M25" s="435"/>
      <c r="N25" s="435"/>
    </row>
    <row r="26" spans="1:14">
      <c r="A26" s="437"/>
      <c r="B26" s="435"/>
      <c r="C26" s="435"/>
      <c r="D26" s="443"/>
      <c r="E26" s="443"/>
      <c r="F26" s="443"/>
      <c r="G26" s="443"/>
      <c r="H26" s="443"/>
      <c r="I26" s="443"/>
      <c r="J26" s="443"/>
      <c r="K26" s="443"/>
      <c r="L26" s="443"/>
      <c r="M26" s="435"/>
      <c r="N26" s="435"/>
    </row>
    <row r="27" spans="1:14">
      <c r="A27" s="437" t="s">
        <v>4639</v>
      </c>
      <c r="D27" s="438">
        <f t="shared" ref="D27:I27" si="58">D112</f>
        <v>71822</v>
      </c>
      <c r="E27" s="438">
        <f t="shared" si="58"/>
        <v>72112</v>
      </c>
      <c r="F27" s="438">
        <f t="shared" si="58"/>
        <v>73317</v>
      </c>
      <c r="G27" s="438">
        <f t="shared" si="58"/>
        <v>74060</v>
      </c>
      <c r="H27" s="438">
        <f t="shared" si="58"/>
        <v>73405</v>
      </c>
      <c r="I27" s="438">
        <f t="shared" si="58"/>
        <v>72560</v>
      </c>
      <c r="J27" s="438">
        <f t="shared" ref="J27:K27" si="59">J112</f>
        <v>68691</v>
      </c>
      <c r="K27" s="438">
        <f t="shared" si="59"/>
        <v>70031</v>
      </c>
      <c r="L27" s="438">
        <f t="shared" ref="L27" si="60">L112</f>
        <v>69954</v>
      </c>
      <c r="M27" s="435"/>
      <c r="N27" s="437" t="s">
        <v>2918</v>
      </c>
    </row>
    <row r="28" spans="1:14">
      <c r="A28" s="435"/>
      <c r="D28" s="444"/>
      <c r="E28" s="444"/>
      <c r="F28" s="444"/>
      <c r="G28" s="444"/>
      <c r="H28" s="444"/>
      <c r="I28" s="444"/>
      <c r="J28" s="444"/>
      <c r="K28" s="444"/>
      <c r="L28" s="444"/>
      <c r="M28" s="435"/>
      <c r="N28" s="435"/>
    </row>
    <row r="29" spans="1:14">
      <c r="A29" s="437" t="s">
        <v>2919</v>
      </c>
      <c r="D29" s="438">
        <f t="shared" ref="D29:I29" si="61">D143</f>
        <v>48038</v>
      </c>
      <c r="E29" s="438">
        <f t="shared" si="61"/>
        <v>48187</v>
      </c>
      <c r="F29" s="438">
        <f t="shared" si="61"/>
        <v>48329</v>
      </c>
      <c r="G29" s="438">
        <f t="shared" si="61"/>
        <v>47868</v>
      </c>
      <c r="H29" s="438">
        <f t="shared" si="61"/>
        <v>47413</v>
      </c>
      <c r="I29" s="438">
        <f t="shared" si="61"/>
        <v>44054</v>
      </c>
      <c r="J29" s="438">
        <f t="shared" ref="J29:K29" si="62">J143</f>
        <v>42812</v>
      </c>
      <c r="K29" s="438">
        <f t="shared" si="62"/>
        <v>43792</v>
      </c>
      <c r="L29" s="438">
        <f t="shared" ref="L29" si="63">L143</f>
        <v>44298</v>
      </c>
      <c r="M29" s="435"/>
      <c r="N29" s="437" t="s">
        <v>2920</v>
      </c>
    </row>
    <row r="30" spans="1:14" ht="15.75" thickBot="1">
      <c r="A30" s="435"/>
      <c r="D30" s="439">
        <f t="shared" ref="D30:I30" si="64">D525</f>
        <v>17973</v>
      </c>
      <c r="E30" s="439">
        <f t="shared" si="64"/>
        <v>18000</v>
      </c>
      <c r="F30" s="439">
        <f t="shared" si="64"/>
        <v>17997</v>
      </c>
      <c r="G30" s="439">
        <f t="shared" si="64"/>
        <v>18272</v>
      </c>
      <c r="H30" s="439">
        <f t="shared" si="64"/>
        <v>18075</v>
      </c>
      <c r="I30" s="439">
        <f t="shared" si="64"/>
        <v>17519</v>
      </c>
      <c r="J30" s="439">
        <f t="shared" ref="J30:K30" si="65">J525</f>
        <v>17512</v>
      </c>
      <c r="K30" s="439">
        <f t="shared" si="65"/>
        <v>18195</v>
      </c>
      <c r="L30" s="439">
        <f t="shared" ref="L30" si="66">L525</f>
        <v>18399</v>
      </c>
      <c r="M30" s="435"/>
      <c r="N30" s="437" t="s">
        <v>2921</v>
      </c>
    </row>
    <row r="31" spans="1:14" ht="15.75" thickBot="1">
      <c r="A31" s="435"/>
      <c r="D31" s="439">
        <f t="shared" ref="D31:I31" si="67">SUM(D29:D30)</f>
        <v>66011</v>
      </c>
      <c r="E31" s="439">
        <f t="shared" si="67"/>
        <v>66187</v>
      </c>
      <c r="F31" s="439">
        <f t="shared" si="67"/>
        <v>66326</v>
      </c>
      <c r="G31" s="439">
        <f t="shared" si="67"/>
        <v>66140</v>
      </c>
      <c r="H31" s="439">
        <f t="shared" si="67"/>
        <v>65488</v>
      </c>
      <c r="I31" s="439">
        <f t="shared" si="67"/>
        <v>61573</v>
      </c>
      <c r="J31" s="439">
        <f t="shared" ref="J31:K31" si="68">SUM(J29:J30)</f>
        <v>60324</v>
      </c>
      <c r="K31" s="439">
        <f t="shared" si="68"/>
        <v>61987</v>
      </c>
      <c r="L31" s="439">
        <f t="shared" ref="L31" si="69">SUM(L29:L30)</f>
        <v>62697</v>
      </c>
      <c r="M31" s="435"/>
      <c r="N31" s="435"/>
    </row>
    <row r="32" spans="1:14">
      <c r="A32" s="435"/>
      <c r="D32" s="444"/>
      <c r="E32" s="444"/>
      <c r="F32" s="444"/>
      <c r="G32" s="444"/>
      <c r="H32" s="444"/>
      <c r="I32" s="444"/>
      <c r="J32" s="444"/>
      <c r="K32" s="444"/>
      <c r="L32" s="444"/>
      <c r="M32" s="435"/>
      <c r="N32" s="435"/>
    </row>
    <row r="33" spans="1:14">
      <c r="A33" s="437" t="s">
        <v>2922</v>
      </c>
      <c r="D33" s="438">
        <f t="shared" ref="D33:I33" si="70">D144</f>
        <v>63461</v>
      </c>
      <c r="E33" s="438">
        <f t="shared" si="70"/>
        <v>64081</v>
      </c>
      <c r="F33" s="438">
        <f t="shared" si="70"/>
        <v>64289</v>
      </c>
      <c r="G33" s="438">
        <f t="shared" si="70"/>
        <v>63088</v>
      </c>
      <c r="H33" s="438">
        <f t="shared" si="70"/>
        <v>61949</v>
      </c>
      <c r="I33" s="438">
        <f t="shared" si="70"/>
        <v>56304</v>
      </c>
      <c r="J33" s="438">
        <f t="shared" ref="J33:K33" si="71">J144</f>
        <v>54607</v>
      </c>
      <c r="K33" s="438">
        <f t="shared" si="71"/>
        <v>55932</v>
      </c>
      <c r="L33" s="438">
        <f t="shared" ref="L33" si="72">L144</f>
        <v>56850</v>
      </c>
      <c r="M33" s="435"/>
      <c r="N33" s="437" t="s">
        <v>2920</v>
      </c>
    </row>
    <row r="34" spans="1:14">
      <c r="A34" s="435"/>
      <c r="D34" s="444"/>
      <c r="E34" s="444"/>
      <c r="F34" s="444"/>
      <c r="G34" s="444"/>
      <c r="H34" s="444"/>
      <c r="I34" s="444"/>
      <c r="J34" s="444"/>
      <c r="K34" s="444"/>
      <c r="L34" s="444"/>
      <c r="M34" s="435"/>
      <c r="N34" s="435"/>
    </row>
    <row r="35" spans="1:14">
      <c r="A35" s="437" t="s">
        <v>2923</v>
      </c>
      <c r="D35" s="438">
        <f t="shared" ref="D35:I35" si="73">D168</f>
        <v>66876</v>
      </c>
      <c r="E35" s="438">
        <f t="shared" si="73"/>
        <v>67003</v>
      </c>
      <c r="F35" s="438">
        <f t="shared" si="73"/>
        <v>66950</v>
      </c>
      <c r="G35" s="438">
        <f t="shared" si="73"/>
        <v>65897</v>
      </c>
      <c r="H35" s="438">
        <f t="shared" si="73"/>
        <v>66830</v>
      </c>
      <c r="I35" s="438">
        <f t="shared" si="73"/>
        <v>63833</v>
      </c>
      <c r="J35" s="438">
        <f t="shared" ref="J35:K35" si="74">J168</f>
        <v>63228</v>
      </c>
      <c r="K35" s="438">
        <f t="shared" si="74"/>
        <v>64147</v>
      </c>
      <c r="L35" s="438">
        <f t="shared" ref="L35" si="75">L168</f>
        <v>64338</v>
      </c>
      <c r="M35" s="435"/>
      <c r="N35" s="437" t="s">
        <v>5075</v>
      </c>
    </row>
    <row r="36" spans="1:14">
      <c r="A36" s="435"/>
      <c r="D36" s="444"/>
      <c r="E36" s="444"/>
      <c r="F36" s="444"/>
      <c r="G36" s="444"/>
      <c r="H36" s="444"/>
      <c r="I36" s="444"/>
      <c r="J36" s="444"/>
      <c r="K36" s="444"/>
      <c r="L36" s="444"/>
      <c r="M36" s="435"/>
      <c r="N36" s="435"/>
    </row>
    <row r="37" spans="1:14">
      <c r="A37" s="437" t="s">
        <v>2924</v>
      </c>
      <c r="D37" s="438">
        <f t="shared" ref="D37:I37" si="76">D197</f>
        <v>71204</v>
      </c>
      <c r="E37" s="438">
        <f t="shared" si="76"/>
        <v>71333</v>
      </c>
      <c r="F37" s="438">
        <f t="shared" si="76"/>
        <v>72453</v>
      </c>
      <c r="G37" s="438">
        <f t="shared" si="76"/>
        <v>73562</v>
      </c>
      <c r="H37" s="438">
        <f t="shared" si="76"/>
        <v>74078</v>
      </c>
      <c r="I37" s="438">
        <f t="shared" si="76"/>
        <v>72480</v>
      </c>
      <c r="J37" s="438">
        <f t="shared" ref="J37:K37" si="77">J197</f>
        <v>73323</v>
      </c>
      <c r="K37" s="438">
        <f t="shared" si="77"/>
        <v>75380</v>
      </c>
      <c r="L37" s="438">
        <f t="shared" ref="L37" si="78">L197</f>
        <v>75938</v>
      </c>
      <c r="M37" s="435"/>
      <c r="N37" s="437" t="s">
        <v>2925</v>
      </c>
    </row>
    <row r="38" spans="1:14">
      <c r="A38" s="435"/>
      <c r="D38" s="444"/>
      <c r="E38" s="444"/>
      <c r="F38" s="444"/>
      <c r="G38" s="444"/>
      <c r="H38" s="444"/>
      <c r="I38" s="444"/>
      <c r="J38" s="444"/>
      <c r="K38" s="444"/>
      <c r="L38" s="444"/>
      <c r="M38" s="435"/>
      <c r="N38" s="435"/>
    </row>
    <row r="39" spans="1:14">
      <c r="A39" s="437" t="s">
        <v>2700</v>
      </c>
      <c r="D39" s="438">
        <f t="shared" ref="D39:I39" si="79">D228</f>
        <v>61208</v>
      </c>
      <c r="E39" s="438">
        <f t="shared" si="79"/>
        <v>61748</v>
      </c>
      <c r="F39" s="438">
        <f t="shared" si="79"/>
        <v>60559</v>
      </c>
      <c r="G39" s="438">
        <f t="shared" si="79"/>
        <v>61240</v>
      </c>
      <c r="H39" s="438">
        <f t="shared" si="79"/>
        <v>60486</v>
      </c>
      <c r="I39" s="438">
        <f t="shared" si="79"/>
        <v>59258</v>
      </c>
      <c r="J39" s="438">
        <f t="shared" ref="J39:K39" si="80">J228</f>
        <v>59381</v>
      </c>
      <c r="K39" s="438">
        <f t="shared" si="80"/>
        <v>60098</v>
      </c>
      <c r="L39" s="438">
        <f t="shared" ref="L39" si="81">L228</f>
        <v>60428</v>
      </c>
      <c r="M39" s="435"/>
      <c r="N39" s="437" t="s">
        <v>5077</v>
      </c>
    </row>
    <row r="40" spans="1:14" ht="15.75" thickBot="1">
      <c r="A40" s="435"/>
      <c r="D40" s="439">
        <f t="shared" ref="D40:I40" si="82">D353</f>
        <v>4725</v>
      </c>
      <c r="E40" s="439">
        <f t="shared" si="82"/>
        <v>4756</v>
      </c>
      <c r="F40" s="439">
        <f t="shared" si="82"/>
        <v>4756</v>
      </c>
      <c r="G40" s="439">
        <f t="shared" si="82"/>
        <v>4721</v>
      </c>
      <c r="H40" s="439">
        <f t="shared" si="82"/>
        <v>4736</v>
      </c>
      <c r="I40" s="439">
        <f t="shared" si="82"/>
        <v>4670</v>
      </c>
      <c r="J40" s="439">
        <f t="shared" ref="J40:K40" si="83">J353</f>
        <v>4562</v>
      </c>
      <c r="K40" s="439">
        <f t="shared" si="83"/>
        <v>4684</v>
      </c>
      <c r="L40" s="439">
        <f t="shared" ref="L40" si="84">L353</f>
        <v>4760</v>
      </c>
      <c r="M40" s="435"/>
      <c r="N40" s="437" t="s">
        <v>2701</v>
      </c>
    </row>
    <row r="41" spans="1:14" ht="15.75" thickBot="1">
      <c r="A41" s="435"/>
      <c r="D41" s="439">
        <f t="shared" ref="D41:I41" si="85">SUM(D39:D40)</f>
        <v>65933</v>
      </c>
      <c r="E41" s="439">
        <f t="shared" si="85"/>
        <v>66504</v>
      </c>
      <c r="F41" s="439">
        <f t="shared" si="85"/>
        <v>65315</v>
      </c>
      <c r="G41" s="439">
        <f t="shared" si="85"/>
        <v>65961</v>
      </c>
      <c r="H41" s="439">
        <f t="shared" si="85"/>
        <v>65222</v>
      </c>
      <c r="I41" s="439">
        <f t="shared" si="85"/>
        <v>63928</v>
      </c>
      <c r="J41" s="439">
        <f t="shared" ref="J41:K41" si="86">SUM(J39:J40)</f>
        <v>63943</v>
      </c>
      <c r="K41" s="439">
        <f t="shared" si="86"/>
        <v>64782</v>
      </c>
      <c r="L41" s="439">
        <f t="shared" ref="L41" si="87">SUM(L39:L40)</f>
        <v>65188</v>
      </c>
      <c r="M41" s="435"/>
      <c r="N41" s="435"/>
    </row>
    <row r="42" spans="1:14">
      <c r="A42" s="435"/>
      <c r="D42" s="444"/>
      <c r="E42" s="444"/>
      <c r="F42" s="444"/>
      <c r="G42" s="444"/>
      <c r="H42" s="444"/>
      <c r="I42" s="444"/>
      <c r="J42" s="444"/>
      <c r="K42" s="444"/>
      <c r="L42" s="444"/>
      <c r="M42" s="435"/>
      <c r="N42" s="435"/>
    </row>
    <row r="43" spans="1:14">
      <c r="A43" s="437" t="s">
        <v>2702</v>
      </c>
      <c r="D43" s="438">
        <f t="shared" ref="D43:I43" si="88">D253</f>
        <v>57978</v>
      </c>
      <c r="E43" s="438">
        <f t="shared" si="88"/>
        <v>60671</v>
      </c>
      <c r="F43" s="438">
        <f t="shared" si="88"/>
        <v>60554</v>
      </c>
      <c r="G43" s="438">
        <f t="shared" si="88"/>
        <v>60099</v>
      </c>
      <c r="H43" s="438">
        <f t="shared" si="88"/>
        <v>60381</v>
      </c>
      <c r="I43" s="438">
        <f t="shared" si="88"/>
        <v>58870</v>
      </c>
      <c r="J43" s="438">
        <f t="shared" ref="J43:K43" si="89">J253</f>
        <v>59715</v>
      </c>
      <c r="K43" s="438">
        <f t="shared" si="89"/>
        <v>63001</v>
      </c>
      <c r="L43" s="438">
        <f t="shared" ref="L43" si="90">L253</f>
        <v>59021</v>
      </c>
      <c r="M43" s="435"/>
      <c r="N43" s="437" t="s">
        <v>5078</v>
      </c>
    </row>
    <row r="44" spans="1:14" ht="15.75" thickBot="1">
      <c r="A44" s="435"/>
      <c r="D44" s="439">
        <f t="shared" ref="D44:I44" si="91">D413</f>
        <v>8946</v>
      </c>
      <c r="E44" s="439">
        <f t="shared" si="91"/>
        <v>8946</v>
      </c>
      <c r="F44" s="439">
        <f t="shared" si="91"/>
        <v>8965</v>
      </c>
      <c r="G44" s="439">
        <f t="shared" si="91"/>
        <v>8921</v>
      </c>
      <c r="H44" s="439">
        <f t="shared" si="91"/>
        <v>8875</v>
      </c>
      <c r="I44" s="439">
        <f t="shared" si="91"/>
        <v>8682</v>
      </c>
      <c r="J44" s="439">
        <f t="shared" ref="J44:K44" si="92">J413</f>
        <v>8378</v>
      </c>
      <c r="K44" s="439">
        <f t="shared" si="92"/>
        <v>8657</v>
      </c>
      <c r="L44" s="439">
        <f t="shared" ref="L44" si="93">L413</f>
        <v>8397</v>
      </c>
      <c r="M44" s="435"/>
      <c r="N44" s="437" t="s">
        <v>2703</v>
      </c>
    </row>
    <row r="45" spans="1:14" ht="15.75" thickBot="1">
      <c r="A45" s="435"/>
      <c r="D45" s="439">
        <f t="shared" ref="D45:I45" si="94">SUM(D43:D44)</f>
        <v>66924</v>
      </c>
      <c r="E45" s="439">
        <f t="shared" si="94"/>
        <v>69617</v>
      </c>
      <c r="F45" s="439">
        <f t="shared" si="94"/>
        <v>69519</v>
      </c>
      <c r="G45" s="439">
        <f t="shared" si="94"/>
        <v>69020</v>
      </c>
      <c r="H45" s="439">
        <f t="shared" si="94"/>
        <v>69256</v>
      </c>
      <c r="I45" s="439">
        <f t="shared" si="94"/>
        <v>67552</v>
      </c>
      <c r="J45" s="439">
        <f t="shared" ref="J45:K45" si="95">SUM(J43:J44)</f>
        <v>68093</v>
      </c>
      <c r="K45" s="439">
        <f t="shared" si="95"/>
        <v>71658</v>
      </c>
      <c r="L45" s="439">
        <f t="shared" ref="L45" si="96">SUM(L43:L44)</f>
        <v>67418</v>
      </c>
      <c r="M45" s="435"/>
      <c r="N45" s="435"/>
    </row>
    <row r="46" spans="1:14">
      <c r="A46" s="435"/>
      <c r="D46" s="444"/>
      <c r="E46" s="444"/>
      <c r="F46" s="444"/>
      <c r="G46" s="444"/>
      <c r="H46" s="444"/>
      <c r="I46" s="444"/>
      <c r="J46" s="444"/>
      <c r="K46" s="444"/>
      <c r="L46" s="444"/>
      <c r="M46" s="435"/>
      <c r="N46" s="435"/>
    </row>
    <row r="47" spans="1:14">
      <c r="A47" s="437" t="s">
        <v>2704</v>
      </c>
      <c r="D47" s="438">
        <f t="shared" ref="D47:I47" si="97">D289</f>
        <v>38838</v>
      </c>
      <c r="E47" s="438">
        <f t="shared" si="97"/>
        <v>39890</v>
      </c>
      <c r="F47" s="438">
        <f t="shared" si="97"/>
        <v>38175</v>
      </c>
      <c r="G47" s="438">
        <f t="shared" si="97"/>
        <v>37096</v>
      </c>
      <c r="H47" s="438">
        <f t="shared" si="97"/>
        <v>35013</v>
      </c>
      <c r="I47" s="438">
        <f t="shared" si="97"/>
        <v>33464</v>
      </c>
      <c r="J47" s="438">
        <f t="shared" ref="J47:K47" si="98">J289</f>
        <v>33074</v>
      </c>
      <c r="K47" s="438">
        <f t="shared" si="98"/>
        <v>37505</v>
      </c>
      <c r="L47" s="438">
        <f t="shared" ref="L47" si="99">L289</f>
        <v>41090</v>
      </c>
      <c r="M47" s="435"/>
      <c r="N47" s="437" t="s">
        <v>2705</v>
      </c>
    </row>
    <row r="48" spans="1:14" ht="15.75" thickBot="1">
      <c r="A48" s="435"/>
      <c r="D48" s="439">
        <f t="shared" ref="D48:I48" si="100">D526</f>
        <v>27422</v>
      </c>
      <c r="E48" s="439">
        <f t="shared" si="100"/>
        <v>27415</v>
      </c>
      <c r="F48" s="439">
        <f t="shared" si="100"/>
        <v>27245</v>
      </c>
      <c r="G48" s="439">
        <f t="shared" si="100"/>
        <v>27236</v>
      </c>
      <c r="H48" s="439">
        <f t="shared" si="100"/>
        <v>27022</v>
      </c>
      <c r="I48" s="439">
        <f t="shared" si="100"/>
        <v>25374</v>
      </c>
      <c r="J48" s="439">
        <f t="shared" ref="J48:K48" si="101">J526</f>
        <v>25715</v>
      </c>
      <c r="K48" s="439">
        <f t="shared" si="101"/>
        <v>27214</v>
      </c>
      <c r="L48" s="439">
        <f t="shared" ref="L48" si="102">L526</f>
        <v>27511</v>
      </c>
      <c r="M48" s="435"/>
      <c r="N48" s="437" t="s">
        <v>2706</v>
      </c>
    </row>
    <row r="49" spans="1:14" ht="15.75" thickBot="1">
      <c r="A49" s="435"/>
      <c r="D49" s="439">
        <f t="shared" ref="D49:I49" si="103">SUM(D47:D48)</f>
        <v>66260</v>
      </c>
      <c r="E49" s="439">
        <f t="shared" si="103"/>
        <v>67305</v>
      </c>
      <c r="F49" s="439">
        <f t="shared" si="103"/>
        <v>65420</v>
      </c>
      <c r="G49" s="439">
        <f t="shared" si="103"/>
        <v>64332</v>
      </c>
      <c r="H49" s="439">
        <f t="shared" si="103"/>
        <v>62035</v>
      </c>
      <c r="I49" s="439">
        <f t="shared" si="103"/>
        <v>58838</v>
      </c>
      <c r="J49" s="439">
        <f t="shared" ref="J49:K49" si="104">SUM(J47:J48)</f>
        <v>58789</v>
      </c>
      <c r="K49" s="439">
        <f t="shared" si="104"/>
        <v>64719</v>
      </c>
      <c r="L49" s="439">
        <f t="shared" ref="L49" si="105">SUM(L47:L48)</f>
        <v>68601</v>
      </c>
      <c r="M49" s="435"/>
      <c r="N49" s="435"/>
    </row>
    <row r="50" spans="1:14">
      <c r="A50" s="435"/>
      <c r="D50" s="444"/>
      <c r="E50" s="444"/>
      <c r="F50" s="444"/>
      <c r="G50" s="444"/>
      <c r="H50" s="444"/>
      <c r="I50" s="444"/>
      <c r="J50" s="444"/>
      <c r="K50" s="444"/>
      <c r="L50" s="444"/>
      <c r="M50" s="435"/>
      <c r="N50" s="435"/>
    </row>
    <row r="51" spans="1:14">
      <c r="A51" s="437" t="s">
        <v>2707</v>
      </c>
      <c r="D51" s="438">
        <f t="shared" ref="D51:I51" si="106">D290</f>
        <v>68750</v>
      </c>
      <c r="E51" s="438">
        <f t="shared" si="106"/>
        <v>69254</v>
      </c>
      <c r="F51" s="438">
        <f t="shared" si="106"/>
        <v>68503</v>
      </c>
      <c r="G51" s="438">
        <f t="shared" si="106"/>
        <v>68281</v>
      </c>
      <c r="H51" s="438">
        <f t="shared" si="106"/>
        <v>64339</v>
      </c>
      <c r="I51" s="438">
        <f t="shared" si="106"/>
        <v>65465</v>
      </c>
      <c r="J51" s="438">
        <f t="shared" ref="J51:K51" si="107">J290</f>
        <v>63283</v>
      </c>
      <c r="K51" s="438">
        <f t="shared" si="107"/>
        <v>65060</v>
      </c>
      <c r="L51" s="438">
        <f t="shared" ref="L51" si="108">L290</f>
        <v>68246</v>
      </c>
      <c r="M51" s="435"/>
      <c r="N51" s="437" t="s">
        <v>2705</v>
      </c>
    </row>
    <row r="52" spans="1:14">
      <c r="A52" s="435"/>
      <c r="D52" s="444"/>
      <c r="E52" s="444"/>
      <c r="F52" s="444"/>
      <c r="G52" s="444"/>
      <c r="H52" s="444"/>
      <c r="I52" s="444"/>
      <c r="J52" s="444"/>
      <c r="K52" s="444"/>
      <c r="L52" s="444"/>
      <c r="M52" s="435"/>
      <c r="N52" s="435"/>
    </row>
    <row r="53" spans="1:14">
      <c r="A53" s="437" t="s">
        <v>2708</v>
      </c>
      <c r="D53" s="438">
        <f t="shared" ref="D53:I53" si="109">D319</f>
        <v>66461</v>
      </c>
      <c r="E53" s="438">
        <f t="shared" si="109"/>
        <v>66735</v>
      </c>
      <c r="F53" s="438">
        <f t="shared" si="109"/>
        <v>66918</v>
      </c>
      <c r="G53" s="438">
        <f t="shared" si="109"/>
        <v>66780</v>
      </c>
      <c r="H53" s="438">
        <f t="shared" si="109"/>
        <v>66688</v>
      </c>
      <c r="I53" s="438">
        <f t="shared" si="109"/>
        <v>64241</v>
      </c>
      <c r="J53" s="438">
        <f t="shared" ref="J53:K53" si="110">J319</f>
        <v>62891</v>
      </c>
      <c r="K53" s="438">
        <f t="shared" si="110"/>
        <v>63972</v>
      </c>
      <c r="L53" s="438">
        <f t="shared" ref="L53" si="111">L319</f>
        <v>64257</v>
      </c>
      <c r="M53" s="435"/>
      <c r="N53" s="437" t="s">
        <v>5080</v>
      </c>
    </row>
    <row r="54" spans="1:14">
      <c r="A54" s="435"/>
      <c r="D54" s="444"/>
      <c r="E54" s="444"/>
      <c r="F54" s="444"/>
      <c r="G54" s="444"/>
      <c r="H54" s="444"/>
      <c r="I54" s="444"/>
      <c r="J54" s="444"/>
      <c r="K54" s="444"/>
      <c r="L54" s="444"/>
      <c r="M54" s="435"/>
      <c r="N54" s="435"/>
    </row>
    <row r="55" spans="1:14">
      <c r="A55" s="437" t="s">
        <v>2709</v>
      </c>
      <c r="D55" s="438">
        <f t="shared" ref="D55:I55" si="112">D354</f>
        <v>60746</v>
      </c>
      <c r="E55" s="438">
        <f t="shared" si="112"/>
        <v>61025</v>
      </c>
      <c r="F55" s="438">
        <f t="shared" si="112"/>
        <v>61548</v>
      </c>
      <c r="G55" s="438">
        <f t="shared" si="112"/>
        <v>61844</v>
      </c>
      <c r="H55" s="438">
        <f t="shared" si="112"/>
        <v>60948</v>
      </c>
      <c r="I55" s="438">
        <f t="shared" si="112"/>
        <v>57542</v>
      </c>
      <c r="J55" s="438">
        <f t="shared" ref="J55:K55" si="113">J354</f>
        <v>56110</v>
      </c>
      <c r="K55" s="438">
        <f t="shared" si="113"/>
        <v>56623</v>
      </c>
      <c r="L55" s="438">
        <f t="shared" ref="L55" si="114">L354</f>
        <v>55937</v>
      </c>
      <c r="M55" s="435"/>
      <c r="N55" s="437" t="s">
        <v>2701</v>
      </c>
    </row>
    <row r="56" spans="1:14">
      <c r="A56" s="435"/>
      <c r="D56" s="444"/>
      <c r="E56" s="444"/>
      <c r="F56" s="444"/>
      <c r="G56" s="444"/>
      <c r="H56" s="444"/>
      <c r="I56" s="444"/>
      <c r="J56" s="444"/>
      <c r="K56" s="444"/>
      <c r="L56" s="444"/>
      <c r="M56" s="435"/>
      <c r="N56" s="435"/>
    </row>
    <row r="57" spans="1:14">
      <c r="A57" s="437" t="s">
        <v>2710</v>
      </c>
      <c r="D57" s="438">
        <f t="shared" ref="D57:I57" si="115">D390</f>
        <v>45891</v>
      </c>
      <c r="E57" s="438">
        <f t="shared" si="115"/>
        <v>46058</v>
      </c>
      <c r="F57" s="438">
        <f t="shared" si="115"/>
        <v>45845</v>
      </c>
      <c r="G57" s="438">
        <f t="shared" si="115"/>
        <v>45909</v>
      </c>
      <c r="H57" s="438">
        <f t="shared" si="115"/>
        <v>46181</v>
      </c>
      <c r="I57" s="438">
        <f t="shared" si="115"/>
        <v>46114</v>
      </c>
      <c r="J57" s="438">
        <f t="shared" ref="J57:K57" si="116">J390</f>
        <v>45804</v>
      </c>
      <c r="K57" s="438">
        <f t="shared" si="116"/>
        <v>45181</v>
      </c>
      <c r="L57" s="438">
        <f t="shared" ref="L57" si="117">L390</f>
        <v>46375</v>
      </c>
      <c r="M57" s="435"/>
      <c r="N57" s="437" t="s">
        <v>5082</v>
      </c>
    </row>
    <row r="58" spans="1:14" ht="15.75" thickBot="1">
      <c r="A58" s="435"/>
      <c r="D58" s="439">
        <f t="shared" ref="D58:I58" si="118">D450</f>
        <v>31391</v>
      </c>
      <c r="E58" s="439">
        <f t="shared" si="118"/>
        <v>31379</v>
      </c>
      <c r="F58" s="439">
        <f t="shared" si="118"/>
        <v>31371</v>
      </c>
      <c r="G58" s="439">
        <f t="shared" si="118"/>
        <v>31406</v>
      </c>
      <c r="H58" s="439">
        <f t="shared" si="118"/>
        <v>31181</v>
      </c>
      <c r="I58" s="439">
        <f t="shared" si="118"/>
        <v>30299</v>
      </c>
      <c r="J58" s="439">
        <f t="shared" ref="J58:K58" si="119">J450</f>
        <v>29544</v>
      </c>
      <c r="K58" s="439">
        <f t="shared" si="119"/>
        <v>30184</v>
      </c>
      <c r="L58" s="439">
        <f t="shared" ref="L58" si="120">L450</f>
        <v>30599</v>
      </c>
      <c r="M58" s="435"/>
      <c r="N58" s="437" t="s">
        <v>2711</v>
      </c>
    </row>
    <row r="59" spans="1:14" ht="15.75" thickBot="1">
      <c r="A59" s="435"/>
      <c r="D59" s="439">
        <f t="shared" ref="D59:I59" si="121">D57+D58</f>
        <v>77282</v>
      </c>
      <c r="E59" s="439">
        <f t="shared" si="121"/>
        <v>77437</v>
      </c>
      <c r="F59" s="439">
        <f t="shared" si="121"/>
        <v>77216</v>
      </c>
      <c r="G59" s="439">
        <f t="shared" si="121"/>
        <v>77315</v>
      </c>
      <c r="H59" s="439">
        <f t="shared" si="121"/>
        <v>77362</v>
      </c>
      <c r="I59" s="439">
        <f t="shared" si="121"/>
        <v>76413</v>
      </c>
      <c r="J59" s="439">
        <f t="shared" ref="J59:K59" si="122">J57+J58</f>
        <v>75348</v>
      </c>
      <c r="K59" s="439">
        <f t="shared" si="122"/>
        <v>75365</v>
      </c>
      <c r="L59" s="439">
        <f t="shared" ref="L59" si="123">L57+L58</f>
        <v>76974</v>
      </c>
      <c r="M59" s="435"/>
      <c r="N59" s="435"/>
    </row>
    <row r="60" spans="1:14">
      <c r="A60" s="435"/>
      <c r="D60" s="444"/>
      <c r="E60" s="444"/>
      <c r="F60" s="444"/>
      <c r="G60" s="444"/>
      <c r="H60" s="444"/>
      <c r="I60" s="444"/>
      <c r="J60" s="444"/>
      <c r="K60" s="444"/>
      <c r="L60" s="444"/>
      <c r="M60" s="435"/>
      <c r="N60" s="435"/>
    </row>
    <row r="61" spans="1:14">
      <c r="A61" s="437" t="s">
        <v>2712</v>
      </c>
      <c r="D61" s="438">
        <f t="shared" ref="D61:I61" si="124">D113</f>
        <v>29532</v>
      </c>
      <c r="E61" s="438">
        <f t="shared" si="124"/>
        <v>29697</v>
      </c>
      <c r="F61" s="438">
        <f t="shared" si="124"/>
        <v>29989</v>
      </c>
      <c r="G61" s="438">
        <f t="shared" si="124"/>
        <v>30092</v>
      </c>
      <c r="H61" s="438">
        <f t="shared" si="124"/>
        <v>29886</v>
      </c>
      <c r="I61" s="438">
        <f t="shared" si="124"/>
        <v>29550</v>
      </c>
      <c r="J61" s="438">
        <f t="shared" ref="J61:K61" si="125">J113</f>
        <v>28040</v>
      </c>
      <c r="K61" s="438">
        <f t="shared" si="125"/>
        <v>28852</v>
      </c>
      <c r="L61" s="438">
        <f t="shared" ref="L61" si="126">L113</f>
        <v>28586</v>
      </c>
      <c r="M61" s="435"/>
      <c r="N61" s="437" t="s">
        <v>2918</v>
      </c>
    </row>
    <row r="62" spans="1:14" ht="15.75" thickBot="1">
      <c r="A62" s="435"/>
      <c r="D62" s="439">
        <f t="shared" ref="D62:I62" si="127">D414</f>
        <v>43560</v>
      </c>
      <c r="E62" s="439">
        <f t="shared" si="127"/>
        <v>43746</v>
      </c>
      <c r="F62" s="439">
        <f t="shared" si="127"/>
        <v>43969</v>
      </c>
      <c r="G62" s="439">
        <f t="shared" si="127"/>
        <v>44093</v>
      </c>
      <c r="H62" s="439">
        <f t="shared" si="127"/>
        <v>44248</v>
      </c>
      <c r="I62" s="439">
        <f t="shared" si="127"/>
        <v>43587</v>
      </c>
      <c r="J62" s="439">
        <f t="shared" ref="J62:K62" si="128">J414</f>
        <v>42698</v>
      </c>
      <c r="K62" s="439">
        <f t="shared" si="128"/>
        <v>43554</v>
      </c>
      <c r="L62" s="439">
        <f t="shared" ref="L62" si="129">L414</f>
        <v>43030</v>
      </c>
      <c r="M62" s="435"/>
      <c r="N62" s="437" t="s">
        <v>2703</v>
      </c>
    </row>
    <row r="63" spans="1:14" ht="15.75" thickBot="1">
      <c r="A63" s="435"/>
      <c r="D63" s="439">
        <f t="shared" ref="D63:I63" si="130">SUM(D61:D62)</f>
        <v>73092</v>
      </c>
      <c r="E63" s="439">
        <f t="shared" si="130"/>
        <v>73443</v>
      </c>
      <c r="F63" s="439">
        <f t="shared" si="130"/>
        <v>73958</v>
      </c>
      <c r="G63" s="439">
        <f t="shared" si="130"/>
        <v>74185</v>
      </c>
      <c r="H63" s="439">
        <f t="shared" si="130"/>
        <v>74134</v>
      </c>
      <c r="I63" s="439">
        <f t="shared" si="130"/>
        <v>73137</v>
      </c>
      <c r="J63" s="439">
        <f t="shared" ref="J63:K63" si="131">SUM(J61:J62)</f>
        <v>70738</v>
      </c>
      <c r="K63" s="439">
        <f t="shared" si="131"/>
        <v>72406</v>
      </c>
      <c r="L63" s="439">
        <f t="shared" ref="L63" si="132">SUM(L61:L62)</f>
        <v>71616</v>
      </c>
      <c r="M63" s="435"/>
      <c r="N63" s="435"/>
    </row>
    <row r="64" spans="1:14">
      <c r="A64" s="435"/>
      <c r="D64" s="444"/>
      <c r="E64" s="444"/>
      <c r="F64" s="444"/>
      <c r="G64" s="444"/>
      <c r="H64" s="444"/>
      <c r="I64" s="444"/>
      <c r="J64" s="444"/>
      <c r="K64" s="444"/>
      <c r="L64" s="444"/>
      <c r="M64" s="435"/>
      <c r="N64" s="435"/>
    </row>
    <row r="65" spans="1:14">
      <c r="A65" s="437" t="s">
        <v>2713</v>
      </c>
      <c r="D65" s="438">
        <f t="shared" ref="D65:I65" si="133">D198</f>
        <v>8240</v>
      </c>
      <c r="E65" s="438">
        <f t="shared" si="133"/>
        <v>8279</v>
      </c>
      <c r="F65" s="438">
        <f t="shared" si="133"/>
        <v>8274</v>
      </c>
      <c r="G65" s="438">
        <f t="shared" si="133"/>
        <v>8214</v>
      </c>
      <c r="H65" s="438">
        <f t="shared" si="133"/>
        <v>8347</v>
      </c>
      <c r="I65" s="438">
        <f t="shared" si="133"/>
        <v>8194</v>
      </c>
      <c r="J65" s="438">
        <f t="shared" ref="J65:K65" si="134">J198</f>
        <v>8345</v>
      </c>
      <c r="K65" s="438">
        <f t="shared" si="134"/>
        <v>8572</v>
      </c>
      <c r="L65" s="438">
        <f t="shared" ref="L65" si="135">L198</f>
        <v>8627</v>
      </c>
      <c r="M65" s="435"/>
      <c r="N65" s="437" t="s">
        <v>2925</v>
      </c>
    </row>
    <row r="66" spans="1:14">
      <c r="A66" s="437"/>
      <c r="D66" s="438">
        <f t="shared" ref="D66:I66" si="136">D451</f>
        <v>54378</v>
      </c>
      <c r="E66" s="438">
        <f t="shared" si="136"/>
        <v>54282</v>
      </c>
      <c r="F66" s="438">
        <f t="shared" si="136"/>
        <v>54309</v>
      </c>
      <c r="G66" s="438">
        <f t="shared" si="136"/>
        <v>54325</v>
      </c>
      <c r="H66" s="438">
        <f t="shared" si="136"/>
        <v>54620</v>
      </c>
      <c r="I66" s="438">
        <f t="shared" si="136"/>
        <v>53700</v>
      </c>
      <c r="J66" s="438">
        <f t="shared" ref="J66:K66" si="137">J451</f>
        <v>52080</v>
      </c>
      <c r="K66" s="438">
        <f t="shared" si="137"/>
        <v>53099</v>
      </c>
      <c r="L66" s="438">
        <f t="shared" ref="L66" si="138">L451</f>
        <v>53365</v>
      </c>
      <c r="M66" s="435"/>
      <c r="N66" s="437" t="s">
        <v>2714</v>
      </c>
    </row>
    <row r="67" spans="1:14" ht="15.75" thickBot="1">
      <c r="A67" s="435"/>
      <c r="D67" s="439">
        <f t="shared" ref="D67:I67" si="139">D485</f>
        <v>12421</v>
      </c>
      <c r="E67" s="439">
        <f t="shared" si="139"/>
        <v>12555</v>
      </c>
      <c r="F67" s="439">
        <f t="shared" si="139"/>
        <v>12556</v>
      </c>
      <c r="G67" s="439">
        <f t="shared" si="139"/>
        <v>12392</v>
      </c>
      <c r="H67" s="439">
        <f t="shared" si="139"/>
        <v>12568</v>
      </c>
      <c r="I67" s="439">
        <f t="shared" si="139"/>
        <v>12265</v>
      </c>
      <c r="J67" s="439">
        <f t="shared" ref="J67:K67" si="140">J485</f>
        <v>12384</v>
      </c>
      <c r="K67" s="439">
        <f t="shared" si="140"/>
        <v>12692</v>
      </c>
      <c r="L67" s="439">
        <f t="shared" ref="L67" si="141">L485</f>
        <v>12945</v>
      </c>
      <c r="M67" s="435"/>
      <c r="N67" s="437" t="s">
        <v>2715</v>
      </c>
    </row>
    <row r="68" spans="1:14" ht="15.75" thickBot="1">
      <c r="A68" s="435"/>
      <c r="D68" s="439">
        <f t="shared" ref="D68:I68" si="142">SUM(D65:D67)</f>
        <v>75039</v>
      </c>
      <c r="E68" s="439">
        <f t="shared" si="142"/>
        <v>75116</v>
      </c>
      <c r="F68" s="439">
        <f t="shared" si="142"/>
        <v>75139</v>
      </c>
      <c r="G68" s="439">
        <f t="shared" si="142"/>
        <v>74931</v>
      </c>
      <c r="H68" s="439">
        <f t="shared" si="142"/>
        <v>75535</v>
      </c>
      <c r="I68" s="439">
        <f t="shared" si="142"/>
        <v>74159</v>
      </c>
      <c r="J68" s="439">
        <f t="shared" ref="J68:K68" si="143">SUM(J65:J67)</f>
        <v>72809</v>
      </c>
      <c r="K68" s="439">
        <f t="shared" si="143"/>
        <v>74363</v>
      </c>
      <c r="L68" s="439">
        <f t="shared" ref="L68" si="144">SUM(L65:L67)</f>
        <v>74937</v>
      </c>
      <c r="M68" s="435"/>
      <c r="N68" s="435"/>
    </row>
    <row r="69" spans="1:14">
      <c r="A69" s="435"/>
      <c r="D69" s="444"/>
      <c r="E69" s="444"/>
      <c r="F69" s="444"/>
      <c r="G69" s="444"/>
      <c r="H69" s="444"/>
      <c r="I69" s="444"/>
      <c r="J69" s="444"/>
      <c r="K69" s="444"/>
      <c r="L69" s="444"/>
      <c r="M69" s="435"/>
      <c r="N69" s="435"/>
    </row>
    <row r="70" spans="1:14">
      <c r="A70" s="437" t="s">
        <v>2716</v>
      </c>
      <c r="D70" s="438">
        <f t="shared" ref="D70:I70" si="145">D486</f>
        <v>72347</v>
      </c>
      <c r="E70" s="438">
        <f t="shared" si="145"/>
        <v>73028</v>
      </c>
      <c r="F70" s="438">
        <f t="shared" si="145"/>
        <v>73877</v>
      </c>
      <c r="G70" s="438">
        <f t="shared" si="145"/>
        <v>72352</v>
      </c>
      <c r="H70" s="438">
        <f t="shared" si="145"/>
        <v>74251</v>
      </c>
      <c r="I70" s="438">
        <f t="shared" si="145"/>
        <v>69519</v>
      </c>
      <c r="J70" s="438">
        <f t="shared" ref="J70:K70" si="146">J486</f>
        <v>70260</v>
      </c>
      <c r="K70" s="438">
        <f t="shared" si="146"/>
        <v>70998</v>
      </c>
      <c r="L70" s="438">
        <f t="shared" ref="L70" si="147">L486</f>
        <v>72049</v>
      </c>
      <c r="M70" s="435"/>
      <c r="N70" s="437" t="s">
        <v>2715</v>
      </c>
    </row>
    <row r="71" spans="1:14">
      <c r="A71" s="435"/>
      <c r="B71" s="435"/>
      <c r="C71" s="435"/>
      <c r="D71" s="444"/>
      <c r="E71" s="444"/>
      <c r="F71" s="444"/>
      <c r="G71" s="444"/>
      <c r="H71" s="444"/>
      <c r="I71" s="444"/>
      <c r="J71" s="444"/>
      <c r="K71" s="444"/>
      <c r="L71" s="444"/>
      <c r="M71" s="435"/>
      <c r="N71" s="435"/>
    </row>
    <row r="72" spans="1:14">
      <c r="A72" s="435" t="s">
        <v>2717</v>
      </c>
      <c r="B72" s="435"/>
      <c r="C72" s="435"/>
      <c r="D72" s="444">
        <f t="shared" ref="D72:I72" si="148">D355</f>
        <v>31243</v>
      </c>
      <c r="E72" s="444">
        <f t="shared" si="148"/>
        <v>31313</v>
      </c>
      <c r="F72" s="444">
        <f t="shared" si="148"/>
        <v>31315</v>
      </c>
      <c r="G72" s="444">
        <f t="shared" si="148"/>
        <v>31524</v>
      </c>
      <c r="H72" s="444">
        <f t="shared" si="148"/>
        <v>31235</v>
      </c>
      <c r="I72" s="444">
        <f t="shared" si="148"/>
        <v>30611</v>
      </c>
      <c r="J72" s="444">
        <f t="shared" ref="J72:K72" si="149">J355</f>
        <v>30094</v>
      </c>
      <c r="K72" s="444">
        <f t="shared" si="149"/>
        <v>30756</v>
      </c>
      <c r="L72" s="444">
        <f t="shared" ref="L72" si="150">L355</f>
        <v>31333</v>
      </c>
      <c r="M72" s="435"/>
      <c r="N72" s="437" t="s">
        <v>2701</v>
      </c>
    </row>
    <row r="73" spans="1:14" ht="15.75" thickBot="1">
      <c r="A73" s="435"/>
      <c r="B73" s="435"/>
      <c r="C73" s="435"/>
      <c r="D73" s="441">
        <f t="shared" ref="D73:I73" si="151">D527</f>
        <v>40121</v>
      </c>
      <c r="E73" s="441">
        <f t="shared" si="151"/>
        <v>40299</v>
      </c>
      <c r="F73" s="441">
        <f t="shared" si="151"/>
        <v>40247</v>
      </c>
      <c r="G73" s="441">
        <f t="shared" si="151"/>
        <v>40583</v>
      </c>
      <c r="H73" s="441">
        <f t="shared" si="151"/>
        <v>40373</v>
      </c>
      <c r="I73" s="441">
        <f t="shared" si="151"/>
        <v>39051</v>
      </c>
      <c r="J73" s="441">
        <f t="shared" ref="J73:K73" si="152">J527</f>
        <v>38778</v>
      </c>
      <c r="K73" s="441">
        <f t="shared" si="152"/>
        <v>40523</v>
      </c>
      <c r="L73" s="441">
        <f t="shared" ref="L73" si="153">L527</f>
        <v>40921</v>
      </c>
      <c r="M73" s="435"/>
      <c r="N73" s="437" t="s">
        <v>2706</v>
      </c>
    </row>
    <row r="74" spans="1:14" ht="15.75" thickBot="1">
      <c r="A74" s="435"/>
      <c r="B74" s="435"/>
      <c r="C74" s="435"/>
      <c r="D74" s="445">
        <f t="shared" ref="D74:I74" si="154">D72+D73</f>
        <v>71364</v>
      </c>
      <c r="E74" s="445">
        <f t="shared" si="154"/>
        <v>71612</v>
      </c>
      <c r="F74" s="445">
        <f t="shared" si="154"/>
        <v>71562</v>
      </c>
      <c r="G74" s="445">
        <f t="shared" si="154"/>
        <v>72107</v>
      </c>
      <c r="H74" s="445">
        <f t="shared" si="154"/>
        <v>71608</v>
      </c>
      <c r="I74" s="445">
        <f t="shared" si="154"/>
        <v>69662</v>
      </c>
      <c r="J74" s="445">
        <f t="shared" ref="J74:K74" si="155">J72+J73</f>
        <v>68872</v>
      </c>
      <c r="K74" s="445">
        <f t="shared" si="155"/>
        <v>71279</v>
      </c>
      <c r="L74" s="445">
        <f t="shared" ref="L74" si="156">L72+L73</f>
        <v>72254</v>
      </c>
      <c r="M74" s="435"/>
      <c r="N74" s="435"/>
    </row>
    <row r="75" spans="1:14">
      <c r="A75" s="435"/>
      <c r="B75" s="435"/>
      <c r="C75" s="435"/>
      <c r="D75" s="444"/>
      <c r="E75" s="444"/>
      <c r="F75" s="444"/>
      <c r="G75" s="444"/>
      <c r="H75" s="444"/>
      <c r="I75" s="444"/>
      <c r="J75" s="444"/>
      <c r="K75" s="444"/>
      <c r="L75" s="444"/>
      <c r="M75" s="435"/>
      <c r="N75" s="435"/>
    </row>
    <row r="76" spans="1:14">
      <c r="A76" s="437" t="s">
        <v>8697</v>
      </c>
      <c r="B76" s="435"/>
      <c r="C76" s="435"/>
      <c r="D76" s="438">
        <f t="shared" ref="D76:I76" si="157">D27+D31+D33+D35+D37+D41+D45+D49+D51+D53+D55+D59+D63+D68+D70+D74</f>
        <v>1103572</v>
      </c>
      <c r="E76" s="438">
        <f t="shared" si="157"/>
        <v>1111792</v>
      </c>
      <c r="F76" s="438">
        <f t="shared" si="157"/>
        <v>1112310</v>
      </c>
      <c r="G76" s="438">
        <f t="shared" si="157"/>
        <v>1109855</v>
      </c>
      <c r="H76" s="438">
        <f t="shared" si="157"/>
        <v>1103128</v>
      </c>
      <c r="I76" s="438">
        <f t="shared" si="157"/>
        <v>1067206</v>
      </c>
      <c r="J76" s="438">
        <f t="shared" ref="J76:K76" si="158">J27+J31+J33+J35+J37+J41+J45+J49+J51+J53+J55+J59+J63+J68+J70+J74</f>
        <v>1051309</v>
      </c>
      <c r="K76" s="438">
        <f t="shared" si="158"/>
        <v>1078702</v>
      </c>
      <c r="L76" s="438">
        <f t="shared" ref="L76" si="159">L27+L31+L33+L35+L37+L41+L45+L49+L51+L53+L55+L59+L63+L68+L70+L74</f>
        <v>1087254</v>
      </c>
      <c r="M76" s="435"/>
      <c r="N76" s="435"/>
    </row>
    <row r="77" spans="1:14">
      <c r="A77" s="435"/>
      <c r="B77" s="435"/>
      <c r="C77" s="435"/>
      <c r="D77" s="444"/>
      <c r="E77" s="444"/>
      <c r="F77" s="444"/>
      <c r="G77" s="444"/>
      <c r="H77" s="444"/>
      <c r="I77" s="444"/>
      <c r="J77" s="444"/>
      <c r="K77" s="444"/>
      <c r="L77" s="444"/>
      <c r="M77" s="435"/>
      <c r="N77" s="435"/>
    </row>
    <row r="78" spans="1:14">
      <c r="A78" s="437" t="s">
        <v>8698</v>
      </c>
      <c r="B78" s="435"/>
      <c r="C78" s="435"/>
      <c r="D78" s="438">
        <f t="shared" ref="D78:I78" si="160">MAX(D27:D74)-MIN(D27,D31,D33,D35,D37,D41,D45,D49,D51,D53,D55,D59,D63,D68,D70,D74)</f>
        <v>16536</v>
      </c>
      <c r="E78" s="438">
        <f t="shared" si="160"/>
        <v>16412</v>
      </c>
      <c r="F78" s="438">
        <f t="shared" si="160"/>
        <v>15668</v>
      </c>
      <c r="G78" s="438">
        <f t="shared" si="160"/>
        <v>15471</v>
      </c>
      <c r="H78" s="438">
        <f t="shared" si="160"/>
        <v>16414</v>
      </c>
      <c r="I78" s="438">
        <f t="shared" si="160"/>
        <v>20109</v>
      </c>
      <c r="J78" s="438">
        <f t="shared" ref="J78:K78" si="161">MAX(J27:J74)-MIN(J27,J31,J33,J35,J37,J41,J45,J49,J51,J53,J55,J59,J63,J68,J70,J74)</f>
        <v>20741</v>
      </c>
      <c r="K78" s="438">
        <f t="shared" si="161"/>
        <v>19448</v>
      </c>
      <c r="L78" s="438">
        <f t="shared" ref="L78" si="162">MAX(L27:L74)-MIN(L27,L31,L33,L35,L37,L41,L45,L49,L51,L53,L55,L59,L63,L68,L70,L74)</f>
        <v>21037</v>
      </c>
      <c r="M78" s="435"/>
      <c r="N78" s="435"/>
    </row>
    <row r="79" spans="1:14">
      <c r="A79" s="435"/>
      <c r="B79" s="435"/>
      <c r="C79" s="435"/>
      <c r="D79" s="444"/>
      <c r="E79" s="444"/>
      <c r="F79" s="444"/>
      <c r="G79" s="444"/>
      <c r="H79" s="444"/>
      <c r="I79" s="444"/>
      <c r="J79" s="444"/>
      <c r="K79" s="444"/>
      <c r="L79" s="444"/>
      <c r="M79" s="435"/>
      <c r="N79" s="435"/>
    </row>
    <row r="80" spans="1:14">
      <c r="A80" s="446" t="s">
        <v>8701</v>
      </c>
      <c r="B80" s="435"/>
      <c r="C80" s="435"/>
      <c r="D80" s="438">
        <f t="shared" ref="D80:I80" si="163">STDEVP(D27,D31,D33,D35,D37,D41,D45,D49,D51,D53,D55,D59,D63,D68,D70,D74)</f>
        <v>4267.564330212258</v>
      </c>
      <c r="E80" s="438">
        <f t="shared" si="163"/>
        <v>4161.4703381136815</v>
      </c>
      <c r="F80" s="438">
        <f t="shared" si="163"/>
        <v>4378.1397715668008</v>
      </c>
      <c r="G80" s="438">
        <f t="shared" si="163"/>
        <v>4588.0431486194366</v>
      </c>
      <c r="H80" s="438">
        <f t="shared" si="163"/>
        <v>5244.158261818573</v>
      </c>
      <c r="I80" s="438">
        <f t="shared" si="163"/>
        <v>6021.454650611844</v>
      </c>
      <c r="J80" s="438">
        <f t="shared" ref="J80:K80" si="164">STDEVP(J27,J31,J33,J35,J37,J41,J45,J49,J51,J53,J55,J59,J63,J68,J70,J74)</f>
        <v>6058.3443408528501</v>
      </c>
      <c r="K80" s="438">
        <f t="shared" si="164"/>
        <v>5981.8167168825057</v>
      </c>
      <c r="L80" s="438">
        <f t="shared" ref="L80" si="165">STDEVP(L27,L31,L33,L35,L37,L41,L45,L49,L51,L53,L55,L59,L63,L68,L70,L74)</f>
        <v>6005.5419809018904</v>
      </c>
      <c r="M80" s="435"/>
      <c r="N80" s="435"/>
    </row>
    <row r="81" spans="1:18">
      <c r="A81" s="446"/>
      <c r="B81" s="435"/>
      <c r="C81" s="435"/>
      <c r="D81" s="438"/>
      <c r="E81" s="438"/>
      <c r="F81" s="438"/>
      <c r="G81" s="438"/>
      <c r="H81" s="438"/>
      <c r="I81" s="438"/>
      <c r="J81" s="438"/>
      <c r="K81" s="438"/>
      <c r="L81" s="438"/>
      <c r="M81" s="435"/>
      <c r="N81" s="435"/>
    </row>
    <row r="82" spans="1:18">
      <c r="A82" s="435" t="s">
        <v>4638</v>
      </c>
      <c r="B82" s="435"/>
      <c r="C82" s="435"/>
      <c r="D82" s="438"/>
      <c r="E82" s="438"/>
      <c r="F82" s="438"/>
      <c r="G82" s="438"/>
      <c r="H82" s="438"/>
      <c r="I82" s="438"/>
      <c r="J82" s="438"/>
      <c r="K82" s="438"/>
      <c r="L82" s="438"/>
      <c r="M82" s="435"/>
      <c r="N82" s="435"/>
    </row>
    <row r="83" spans="1:18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</row>
    <row r="84" spans="1:18">
      <c r="A84" s="173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</row>
    <row r="85" spans="1:18">
      <c r="A85" s="435"/>
      <c r="B85" s="435"/>
      <c r="C85" s="435"/>
      <c r="E85" s="42" t="s">
        <v>2303</v>
      </c>
      <c r="F85" s="42"/>
      <c r="G85" s="42"/>
      <c r="H85" s="42"/>
      <c r="I85" s="42"/>
      <c r="J85" s="42"/>
      <c r="K85" s="42"/>
      <c r="L85" s="42"/>
      <c r="M85" s="109"/>
      <c r="N85" s="109" t="s">
        <v>13319</v>
      </c>
    </row>
    <row r="86" spans="1:18">
      <c r="A86" s="435"/>
      <c r="B86" s="435"/>
      <c r="C86" s="435"/>
      <c r="D86" s="110">
        <v>2010</v>
      </c>
      <c r="E86" s="110">
        <v>2011</v>
      </c>
      <c r="F86" s="110">
        <v>2012</v>
      </c>
      <c r="G86" s="110">
        <v>2013</v>
      </c>
      <c r="H86" s="110">
        <v>2014</v>
      </c>
      <c r="I86" s="110">
        <v>2015</v>
      </c>
      <c r="J86" s="110">
        <v>2016</v>
      </c>
      <c r="K86" s="110">
        <v>2017</v>
      </c>
      <c r="L86" s="110">
        <v>2018</v>
      </c>
      <c r="M86" s="435"/>
      <c r="N86" s="112" t="s">
        <v>2304</v>
      </c>
    </row>
    <row r="87" spans="1:18">
      <c r="A87" s="437" t="s">
        <v>2849</v>
      </c>
      <c r="C87" s="437"/>
      <c r="D87" s="438">
        <f t="shared" ref="D87:I87" si="166">SUM(D88:D110)</f>
        <v>101354</v>
      </c>
      <c r="E87" s="438">
        <f t="shared" si="166"/>
        <v>101809</v>
      </c>
      <c r="F87" s="438">
        <f t="shared" si="166"/>
        <v>103306</v>
      </c>
      <c r="G87" s="438">
        <f t="shared" si="166"/>
        <v>104152</v>
      </c>
      <c r="H87" s="438">
        <f t="shared" si="166"/>
        <v>103291</v>
      </c>
      <c r="I87" s="438">
        <f t="shared" si="166"/>
        <v>102110</v>
      </c>
      <c r="J87" s="438">
        <f t="shared" ref="J87:K87" si="167">SUM(J88:J110)</f>
        <v>96731</v>
      </c>
      <c r="K87" s="438">
        <f t="shared" si="167"/>
        <v>98883</v>
      </c>
      <c r="L87" s="438">
        <f t="shared" ref="L87" si="168">SUM(L88:L110)</f>
        <v>98540</v>
      </c>
      <c r="M87" s="435"/>
      <c r="N87" s="435"/>
    </row>
    <row r="88" spans="1:18">
      <c r="A88" s="437" t="s">
        <v>6957</v>
      </c>
      <c r="B88" s="437" t="s">
        <v>2718</v>
      </c>
      <c r="C88" s="4" t="s">
        <v>8320</v>
      </c>
      <c r="D88" s="438">
        <v>5692</v>
      </c>
      <c r="E88" s="438">
        <v>5665</v>
      </c>
      <c r="F88" s="438">
        <v>5798</v>
      </c>
      <c r="G88" s="438">
        <v>5879</v>
      </c>
      <c r="H88" s="48">
        <v>5869</v>
      </c>
      <c r="I88" s="30">
        <v>5833</v>
      </c>
      <c r="J88" s="30">
        <v>5595</v>
      </c>
      <c r="K88" s="30">
        <v>5699</v>
      </c>
      <c r="L88" s="30">
        <v>5749</v>
      </c>
      <c r="M88" s="435"/>
      <c r="N88" s="437" t="s">
        <v>4639</v>
      </c>
      <c r="P88" s="4"/>
      <c r="R88" s="4"/>
    </row>
    <row r="89" spans="1:18">
      <c r="A89" s="437" t="s">
        <v>6959</v>
      </c>
      <c r="B89" s="437" t="s">
        <v>2719</v>
      </c>
      <c r="C89" s="4" t="s">
        <v>8321</v>
      </c>
      <c r="D89" s="438">
        <v>4992</v>
      </c>
      <c r="E89" s="438">
        <v>5125</v>
      </c>
      <c r="F89" s="438">
        <v>5115</v>
      </c>
      <c r="G89" s="438">
        <v>5200</v>
      </c>
      <c r="H89" s="48">
        <v>5162</v>
      </c>
      <c r="I89" s="30">
        <v>5135</v>
      </c>
      <c r="J89" s="30">
        <v>4883</v>
      </c>
      <c r="K89" s="30">
        <v>4896</v>
      </c>
      <c r="L89" s="30">
        <v>4906</v>
      </c>
      <c r="M89" s="435"/>
      <c r="N89" s="437" t="s">
        <v>4639</v>
      </c>
      <c r="P89" s="4"/>
      <c r="R89" s="4"/>
    </row>
    <row r="90" spans="1:18">
      <c r="A90" s="437" t="s">
        <v>6961</v>
      </c>
      <c r="B90" s="437" t="s">
        <v>2720</v>
      </c>
      <c r="C90" s="4" t="s">
        <v>8322</v>
      </c>
      <c r="D90" s="438">
        <v>4595</v>
      </c>
      <c r="E90" s="438">
        <v>4561</v>
      </c>
      <c r="F90" s="438">
        <v>4576</v>
      </c>
      <c r="G90" s="438">
        <v>4566</v>
      </c>
      <c r="H90" s="48">
        <v>4568</v>
      </c>
      <c r="I90" s="30">
        <v>4566</v>
      </c>
      <c r="J90" s="30">
        <v>4445</v>
      </c>
      <c r="K90" s="30">
        <v>4493</v>
      </c>
      <c r="L90" s="30">
        <v>4481</v>
      </c>
      <c r="M90" s="435"/>
      <c r="N90" s="437" t="s">
        <v>4639</v>
      </c>
      <c r="P90" s="4"/>
      <c r="R90" s="4"/>
    </row>
    <row r="91" spans="1:18">
      <c r="A91" s="437" t="s">
        <v>6963</v>
      </c>
      <c r="B91" s="437" t="s">
        <v>2721</v>
      </c>
      <c r="C91" s="4" t="s">
        <v>8323</v>
      </c>
      <c r="D91" s="438">
        <v>4619</v>
      </c>
      <c r="E91" s="438">
        <v>4803</v>
      </c>
      <c r="F91" s="438">
        <v>4880</v>
      </c>
      <c r="G91" s="438">
        <v>4981</v>
      </c>
      <c r="H91" s="48">
        <v>5037</v>
      </c>
      <c r="I91" s="30">
        <v>4952</v>
      </c>
      <c r="J91" s="30">
        <v>4666</v>
      </c>
      <c r="K91" s="30">
        <v>4828</v>
      </c>
      <c r="L91" s="30">
        <v>4839</v>
      </c>
      <c r="M91" s="435"/>
      <c r="N91" s="437" t="s">
        <v>4639</v>
      </c>
      <c r="P91" s="4"/>
      <c r="R91" s="4"/>
    </row>
    <row r="92" spans="1:18">
      <c r="A92" s="437" t="s">
        <v>6965</v>
      </c>
      <c r="B92" s="437" t="s">
        <v>2722</v>
      </c>
      <c r="C92" s="4" t="s">
        <v>8324</v>
      </c>
      <c r="D92" s="438">
        <v>3274</v>
      </c>
      <c r="E92" s="438">
        <v>3281</v>
      </c>
      <c r="F92" s="438">
        <v>3288</v>
      </c>
      <c r="G92" s="438">
        <v>3294</v>
      </c>
      <c r="H92" s="48">
        <v>3269</v>
      </c>
      <c r="I92" s="31">
        <v>3214</v>
      </c>
      <c r="J92" s="31">
        <v>2943</v>
      </c>
      <c r="K92" s="31">
        <v>3011</v>
      </c>
      <c r="L92" s="31">
        <v>3038</v>
      </c>
      <c r="M92" s="435"/>
      <c r="N92" s="437" t="s">
        <v>2712</v>
      </c>
      <c r="P92" s="4"/>
      <c r="R92" s="4"/>
    </row>
    <row r="93" spans="1:18">
      <c r="A93" s="437" t="s">
        <v>6997</v>
      </c>
      <c r="B93" s="173" t="s">
        <v>2723</v>
      </c>
      <c r="C93" s="4" t="s">
        <v>8325</v>
      </c>
      <c r="D93" s="447">
        <v>1586</v>
      </c>
      <c r="E93" s="447">
        <v>1581</v>
      </c>
      <c r="F93" s="447">
        <v>1572</v>
      </c>
      <c r="G93" s="447">
        <v>1549</v>
      </c>
      <c r="H93" s="48">
        <v>1534</v>
      </c>
      <c r="I93" s="31">
        <v>1516</v>
      </c>
      <c r="J93" s="31">
        <v>1462</v>
      </c>
      <c r="K93" s="31">
        <v>1540</v>
      </c>
      <c r="L93" s="31">
        <v>1504</v>
      </c>
      <c r="M93" s="435"/>
      <c r="N93" s="437" t="s">
        <v>2712</v>
      </c>
      <c r="P93" s="4"/>
      <c r="R93" s="4"/>
    </row>
    <row r="94" spans="1:18">
      <c r="A94" s="437" t="s">
        <v>6999</v>
      </c>
      <c r="B94" s="437" t="s">
        <v>2724</v>
      </c>
      <c r="C94" s="4" t="s">
        <v>8326</v>
      </c>
      <c r="D94" s="438">
        <v>4516</v>
      </c>
      <c r="E94" s="438">
        <v>4615</v>
      </c>
      <c r="F94" s="438">
        <v>4709</v>
      </c>
      <c r="G94" s="438">
        <v>4770</v>
      </c>
      <c r="H94" s="48">
        <v>4753</v>
      </c>
      <c r="I94" s="30">
        <v>4657</v>
      </c>
      <c r="J94" s="30">
        <v>4360</v>
      </c>
      <c r="K94" s="30">
        <v>4477</v>
      </c>
      <c r="L94" s="30">
        <v>4425</v>
      </c>
      <c r="M94" s="435"/>
      <c r="N94" s="437" t="s">
        <v>4639</v>
      </c>
      <c r="P94" s="4"/>
      <c r="R94" s="4"/>
    </row>
    <row r="95" spans="1:18">
      <c r="A95" s="437" t="s">
        <v>7001</v>
      </c>
      <c r="B95" s="437" t="s">
        <v>3640</v>
      </c>
      <c r="C95" s="4" t="s">
        <v>8327</v>
      </c>
      <c r="D95" s="447">
        <v>4315</v>
      </c>
      <c r="E95" s="447">
        <v>4356</v>
      </c>
      <c r="F95" s="447">
        <v>4327</v>
      </c>
      <c r="G95" s="447">
        <v>4336</v>
      </c>
      <c r="H95" s="48">
        <v>4314</v>
      </c>
      <c r="I95" s="31">
        <v>4278</v>
      </c>
      <c r="J95" s="31">
        <v>4125</v>
      </c>
      <c r="K95" s="31">
        <v>4137</v>
      </c>
      <c r="L95" s="31">
        <v>4141</v>
      </c>
      <c r="M95" s="435"/>
      <c r="N95" s="437" t="s">
        <v>2712</v>
      </c>
      <c r="P95" s="4"/>
      <c r="R95" s="4"/>
    </row>
    <row r="96" spans="1:18">
      <c r="A96" s="437" t="s">
        <v>7003</v>
      </c>
      <c r="B96" s="437" t="s">
        <v>3641</v>
      </c>
      <c r="C96" s="4" t="s">
        <v>8328</v>
      </c>
      <c r="D96" s="438">
        <v>5248</v>
      </c>
      <c r="E96" s="438">
        <v>5201</v>
      </c>
      <c r="F96" s="438">
        <v>5247</v>
      </c>
      <c r="G96" s="438">
        <v>5314</v>
      </c>
      <c r="H96" s="48">
        <v>5240</v>
      </c>
      <c r="I96" s="30">
        <v>5185</v>
      </c>
      <c r="J96" s="30">
        <v>4818</v>
      </c>
      <c r="K96" s="30">
        <v>4868</v>
      </c>
      <c r="L96" s="30">
        <v>4822</v>
      </c>
      <c r="M96" s="435"/>
      <c r="N96" s="437" t="s">
        <v>4639</v>
      </c>
      <c r="P96" s="4"/>
      <c r="R96" s="4"/>
    </row>
    <row r="97" spans="1:18">
      <c r="A97" s="437" t="s">
        <v>7005</v>
      </c>
      <c r="B97" s="437" t="s">
        <v>3642</v>
      </c>
      <c r="C97" s="4" t="s">
        <v>8329</v>
      </c>
      <c r="D97" s="438">
        <v>4393</v>
      </c>
      <c r="E97" s="438">
        <v>4391</v>
      </c>
      <c r="F97" s="438">
        <v>4422</v>
      </c>
      <c r="G97" s="438">
        <v>4571</v>
      </c>
      <c r="H97" s="48">
        <v>4589</v>
      </c>
      <c r="I97" s="30">
        <v>4683</v>
      </c>
      <c r="J97" s="30">
        <v>4511</v>
      </c>
      <c r="K97" s="30">
        <v>4650</v>
      </c>
      <c r="L97" s="30">
        <v>4654</v>
      </c>
      <c r="M97" s="435"/>
      <c r="N97" s="437" t="s">
        <v>4639</v>
      </c>
      <c r="P97" s="4"/>
      <c r="R97" s="4"/>
    </row>
    <row r="98" spans="1:18">
      <c r="A98" s="437" t="s">
        <v>7007</v>
      </c>
      <c r="B98" s="173" t="s">
        <v>3643</v>
      </c>
      <c r="C98" s="4" t="s">
        <v>8330</v>
      </c>
      <c r="D98" s="438">
        <v>5469</v>
      </c>
      <c r="E98" s="438">
        <v>5462</v>
      </c>
      <c r="F98" s="438">
        <v>5497</v>
      </c>
      <c r="G98" s="438">
        <v>5490</v>
      </c>
      <c r="H98" s="48">
        <v>5465</v>
      </c>
      <c r="I98" s="30">
        <v>5399</v>
      </c>
      <c r="J98" s="30">
        <v>5289</v>
      </c>
      <c r="K98" s="30">
        <v>5380</v>
      </c>
      <c r="L98" s="30">
        <v>5406</v>
      </c>
      <c r="M98" s="435"/>
      <c r="N98" s="437" t="s">
        <v>4639</v>
      </c>
      <c r="P98" s="4"/>
      <c r="R98" s="4"/>
    </row>
    <row r="99" spans="1:18">
      <c r="A99" s="437" t="s">
        <v>7009</v>
      </c>
      <c r="B99" s="437" t="s">
        <v>3644</v>
      </c>
      <c r="C99" s="4" t="s">
        <v>8331</v>
      </c>
      <c r="D99" s="438">
        <v>4729</v>
      </c>
      <c r="E99" s="438">
        <v>4661</v>
      </c>
      <c r="F99" s="438">
        <v>4737</v>
      </c>
      <c r="G99" s="438">
        <v>4737</v>
      </c>
      <c r="H99" s="48">
        <v>4741</v>
      </c>
      <c r="I99" s="31">
        <v>4701</v>
      </c>
      <c r="J99" s="31">
        <v>4442</v>
      </c>
      <c r="K99" s="31">
        <v>4524</v>
      </c>
      <c r="L99" s="31">
        <v>4501</v>
      </c>
      <c r="M99" s="435"/>
      <c r="N99" s="437" t="s">
        <v>2712</v>
      </c>
      <c r="P99" s="4"/>
      <c r="R99" s="4"/>
    </row>
    <row r="100" spans="1:18">
      <c r="A100" s="437" t="s">
        <v>7011</v>
      </c>
      <c r="B100" s="437" t="s">
        <v>3645</v>
      </c>
      <c r="C100" s="4" t="s">
        <v>8332</v>
      </c>
      <c r="D100" s="447">
        <v>4405</v>
      </c>
      <c r="E100" s="447">
        <v>4392</v>
      </c>
      <c r="F100" s="447">
        <v>4423</v>
      </c>
      <c r="G100" s="447">
        <v>4447</v>
      </c>
      <c r="H100" s="48">
        <v>4430</v>
      </c>
      <c r="I100" s="30">
        <v>4330</v>
      </c>
      <c r="J100" s="30">
        <v>4107</v>
      </c>
      <c r="K100" s="30">
        <v>4181</v>
      </c>
      <c r="L100" s="30">
        <v>4142</v>
      </c>
      <c r="M100" s="435"/>
      <c r="N100" s="437" t="s">
        <v>4639</v>
      </c>
      <c r="P100" s="4"/>
      <c r="R100" s="4"/>
    </row>
    <row r="101" spans="1:18">
      <c r="A101" s="437" t="s">
        <v>7013</v>
      </c>
      <c r="B101" s="437" t="s">
        <v>7016</v>
      </c>
      <c r="C101" s="4" t="s">
        <v>8333</v>
      </c>
      <c r="D101" s="447">
        <v>4265</v>
      </c>
      <c r="E101" s="447">
        <v>4218</v>
      </c>
      <c r="F101" s="447">
        <v>4268</v>
      </c>
      <c r="G101" s="447">
        <v>4241</v>
      </c>
      <c r="H101" s="48">
        <v>4110</v>
      </c>
      <c r="I101" s="30">
        <v>4051</v>
      </c>
      <c r="J101" s="30">
        <v>3721</v>
      </c>
      <c r="K101" s="30">
        <v>3802</v>
      </c>
      <c r="L101" s="30">
        <v>3714</v>
      </c>
      <c r="M101" s="435"/>
      <c r="N101" s="437" t="s">
        <v>4639</v>
      </c>
      <c r="P101" s="4"/>
      <c r="R101" s="4"/>
    </row>
    <row r="102" spans="1:18">
      <c r="A102" s="437" t="s">
        <v>7015</v>
      </c>
      <c r="B102" s="437" t="s">
        <v>3646</v>
      </c>
      <c r="C102" s="4" t="s">
        <v>8334</v>
      </c>
      <c r="D102" s="438">
        <v>3526</v>
      </c>
      <c r="E102" s="438">
        <v>3518</v>
      </c>
      <c r="F102" s="438">
        <v>3550</v>
      </c>
      <c r="G102" s="438">
        <v>3557</v>
      </c>
      <c r="H102" s="48">
        <v>3479</v>
      </c>
      <c r="I102" s="31">
        <v>3479</v>
      </c>
      <c r="J102" s="31">
        <v>3466</v>
      </c>
      <c r="K102" s="31">
        <v>3577</v>
      </c>
      <c r="L102" s="31">
        <v>3569</v>
      </c>
      <c r="M102" s="435"/>
      <c r="N102" s="437" t="s">
        <v>2712</v>
      </c>
      <c r="P102" s="4"/>
      <c r="R102" s="4"/>
    </row>
    <row r="103" spans="1:18">
      <c r="A103" s="437" t="s">
        <v>7017</v>
      </c>
      <c r="B103" s="437" t="s">
        <v>7569</v>
      </c>
      <c r="C103" s="4" t="s">
        <v>8335</v>
      </c>
      <c r="D103" s="438">
        <v>4136</v>
      </c>
      <c r="E103" s="438">
        <v>4126</v>
      </c>
      <c r="F103" s="438">
        <v>4261</v>
      </c>
      <c r="G103" s="438">
        <v>4341</v>
      </c>
      <c r="H103" s="48">
        <v>4286</v>
      </c>
      <c r="I103" s="30">
        <v>4210</v>
      </c>
      <c r="J103" s="30">
        <v>3918</v>
      </c>
      <c r="K103" s="30">
        <v>4045</v>
      </c>
      <c r="L103" s="30">
        <v>3975</v>
      </c>
      <c r="M103" s="435"/>
      <c r="N103" s="437" t="s">
        <v>4639</v>
      </c>
      <c r="P103" s="4"/>
      <c r="R103" s="4"/>
    </row>
    <row r="104" spans="1:18">
      <c r="A104" s="437" t="s">
        <v>7019</v>
      </c>
      <c r="B104" s="437" t="s">
        <v>3647</v>
      </c>
      <c r="C104" s="4" t="s">
        <v>8336</v>
      </c>
      <c r="D104" s="438">
        <v>4677</v>
      </c>
      <c r="E104" s="438">
        <v>4653</v>
      </c>
      <c r="F104" s="438">
        <v>4650</v>
      </c>
      <c r="G104" s="438">
        <v>4703</v>
      </c>
      <c r="H104" s="48">
        <v>4652</v>
      </c>
      <c r="I104" s="30">
        <v>4656</v>
      </c>
      <c r="J104" s="30">
        <v>4450</v>
      </c>
      <c r="K104" s="30">
        <v>4526</v>
      </c>
      <c r="L104" s="30">
        <v>4576</v>
      </c>
      <c r="M104" s="435"/>
      <c r="N104" s="437" t="s">
        <v>4639</v>
      </c>
      <c r="P104" s="4"/>
      <c r="R104" s="4"/>
    </row>
    <row r="105" spans="1:18">
      <c r="A105" s="437" t="s">
        <v>7021</v>
      </c>
      <c r="B105" s="437" t="s">
        <v>3648</v>
      </c>
      <c r="C105" s="4" t="s">
        <v>8337</v>
      </c>
      <c r="D105" s="438">
        <v>5420</v>
      </c>
      <c r="E105" s="438">
        <v>5348</v>
      </c>
      <c r="F105" s="438">
        <v>5427</v>
      </c>
      <c r="G105" s="438">
        <v>5480</v>
      </c>
      <c r="H105" s="48">
        <v>5358</v>
      </c>
      <c r="I105" s="30">
        <v>5148</v>
      </c>
      <c r="J105" s="30">
        <v>4792</v>
      </c>
      <c r="K105" s="30">
        <v>4876</v>
      </c>
      <c r="L105" s="30">
        <v>4858</v>
      </c>
      <c r="M105" s="435"/>
      <c r="N105" s="437" t="s">
        <v>4639</v>
      </c>
      <c r="P105" s="4"/>
      <c r="R105" s="4"/>
    </row>
    <row r="106" spans="1:18">
      <c r="A106" s="437" t="s">
        <v>7023</v>
      </c>
      <c r="B106" s="437" t="s">
        <v>3649</v>
      </c>
      <c r="C106" s="4" t="s">
        <v>8338</v>
      </c>
      <c r="D106" s="438">
        <v>5070</v>
      </c>
      <c r="E106" s="438">
        <v>5142</v>
      </c>
      <c r="F106" s="438">
        <v>5300</v>
      </c>
      <c r="G106" s="438">
        <v>5333</v>
      </c>
      <c r="H106" s="48">
        <v>5281</v>
      </c>
      <c r="I106" s="30">
        <v>5281</v>
      </c>
      <c r="J106" s="30">
        <v>4962</v>
      </c>
      <c r="K106" s="30">
        <v>5079</v>
      </c>
      <c r="L106" s="30">
        <v>5204</v>
      </c>
      <c r="M106" s="435"/>
      <c r="N106" s="437" t="s">
        <v>4639</v>
      </c>
      <c r="P106" s="4"/>
      <c r="R106" s="4"/>
    </row>
    <row r="107" spans="1:18">
      <c r="A107" s="437" t="s">
        <v>7025</v>
      </c>
      <c r="B107" s="437" t="s">
        <v>3650</v>
      </c>
      <c r="C107" s="4" t="s">
        <v>8339</v>
      </c>
      <c r="D107" s="438">
        <v>4610</v>
      </c>
      <c r="E107" s="438">
        <v>4753</v>
      </c>
      <c r="F107" s="438">
        <v>4862</v>
      </c>
      <c r="G107" s="438">
        <v>4885</v>
      </c>
      <c r="H107" s="48">
        <v>4788</v>
      </c>
      <c r="I107" s="31">
        <v>4722</v>
      </c>
      <c r="J107" s="31">
        <v>4343</v>
      </c>
      <c r="K107" s="31">
        <v>4462</v>
      </c>
      <c r="L107" s="31">
        <v>4332</v>
      </c>
      <c r="M107" s="435"/>
      <c r="N107" s="437" t="s">
        <v>2712</v>
      </c>
      <c r="P107" s="4"/>
      <c r="R107" s="4"/>
    </row>
    <row r="108" spans="1:18">
      <c r="A108" s="437" t="s">
        <v>7570</v>
      </c>
      <c r="B108" s="437" t="s">
        <v>3651</v>
      </c>
      <c r="C108" s="4" t="s">
        <v>8340</v>
      </c>
      <c r="D108" s="438">
        <v>4395</v>
      </c>
      <c r="E108" s="438">
        <v>4464</v>
      </c>
      <c r="F108" s="438">
        <v>4513</v>
      </c>
      <c r="G108" s="438">
        <v>4548</v>
      </c>
      <c r="H108" s="48">
        <v>4571</v>
      </c>
      <c r="I108" s="31">
        <v>4543</v>
      </c>
      <c r="J108" s="31">
        <v>4295</v>
      </c>
      <c r="K108" s="31">
        <v>4540</v>
      </c>
      <c r="L108" s="31">
        <v>4527</v>
      </c>
      <c r="M108" s="435"/>
      <c r="N108" s="437" t="s">
        <v>2712</v>
      </c>
      <c r="P108" s="4"/>
      <c r="R108" s="4"/>
    </row>
    <row r="109" spans="1:18">
      <c r="A109" s="437" t="s">
        <v>7572</v>
      </c>
      <c r="B109" s="437" t="s">
        <v>3652</v>
      </c>
      <c r="C109" s="4" t="s">
        <v>8341</v>
      </c>
      <c r="D109" s="444">
        <v>4325</v>
      </c>
      <c r="E109" s="444">
        <v>4410</v>
      </c>
      <c r="F109" s="444">
        <v>4744</v>
      </c>
      <c r="G109" s="444">
        <v>4744</v>
      </c>
      <c r="H109" s="48">
        <v>4605</v>
      </c>
      <c r="I109" s="30">
        <v>4474</v>
      </c>
      <c r="J109" s="30">
        <v>4174</v>
      </c>
      <c r="K109" s="30">
        <v>4231</v>
      </c>
      <c r="L109" s="30">
        <v>4203</v>
      </c>
      <c r="M109" s="435"/>
      <c r="N109" s="437" t="s">
        <v>4639</v>
      </c>
      <c r="P109" s="4"/>
      <c r="R109" s="4"/>
    </row>
    <row r="110" spans="1:18">
      <c r="A110" s="448">
        <v>23</v>
      </c>
      <c r="B110" s="437" t="s">
        <v>3653</v>
      </c>
      <c r="C110" s="4" t="s">
        <v>8342</v>
      </c>
      <c r="D110" s="444">
        <v>3097</v>
      </c>
      <c r="E110" s="444">
        <v>3083</v>
      </c>
      <c r="F110" s="444">
        <v>3140</v>
      </c>
      <c r="G110" s="444">
        <v>3186</v>
      </c>
      <c r="H110" s="48">
        <v>3190</v>
      </c>
      <c r="I110" s="31">
        <v>3097</v>
      </c>
      <c r="J110" s="31">
        <v>2964</v>
      </c>
      <c r="K110" s="31">
        <v>3061</v>
      </c>
      <c r="L110" s="31">
        <v>2974</v>
      </c>
      <c r="M110" s="435"/>
      <c r="N110" s="437" t="s">
        <v>2712</v>
      </c>
      <c r="P110" s="4"/>
      <c r="R110" s="4"/>
    </row>
    <row r="111" spans="1:18">
      <c r="A111" s="435"/>
      <c r="B111" s="435"/>
      <c r="D111" s="444"/>
      <c r="E111" s="444"/>
      <c r="F111" s="444"/>
      <c r="G111" s="444"/>
      <c r="H111" s="444"/>
      <c r="I111" s="444"/>
      <c r="J111" s="444"/>
      <c r="K111" s="444"/>
      <c r="L111" s="444"/>
      <c r="M111" s="435"/>
      <c r="N111" s="435"/>
    </row>
    <row r="112" spans="1:18">
      <c r="A112" s="437" t="s">
        <v>4639</v>
      </c>
      <c r="D112" s="438">
        <f t="shared" ref="D112:I112" si="169">SUM(D88:D91)+D94+SUM(D96:D98)+D100+D101+SUM(D103:D106)+D109</f>
        <v>71822</v>
      </c>
      <c r="E112" s="438">
        <f t="shared" si="169"/>
        <v>72112</v>
      </c>
      <c r="F112" s="438">
        <f t="shared" si="169"/>
        <v>73317</v>
      </c>
      <c r="G112" s="438">
        <f t="shared" si="169"/>
        <v>74060</v>
      </c>
      <c r="H112" s="438">
        <f t="shared" si="169"/>
        <v>73405</v>
      </c>
      <c r="I112" s="438">
        <f t="shared" si="169"/>
        <v>72560</v>
      </c>
      <c r="J112" s="438">
        <f t="shared" ref="J112:K112" si="170">SUM(J88:J91)+J94+SUM(J96:J98)+J100+J101+SUM(J103:J106)+J109</f>
        <v>68691</v>
      </c>
      <c r="K112" s="438">
        <f t="shared" si="170"/>
        <v>70031</v>
      </c>
      <c r="L112" s="438">
        <f t="shared" ref="L112" si="171">SUM(L88:L91)+L94+SUM(L96:L98)+L100+L101+SUM(L103:L106)+L109</f>
        <v>69954</v>
      </c>
      <c r="M112" s="435"/>
      <c r="N112" s="435"/>
    </row>
    <row r="113" spans="1:18">
      <c r="A113" s="437" t="s">
        <v>3654</v>
      </c>
      <c r="D113" s="438">
        <f t="shared" ref="D113:I113" si="172">D92+D93+D95+D99+D102+D107+D108+D110</f>
        <v>29532</v>
      </c>
      <c r="E113" s="438">
        <f t="shared" si="172"/>
        <v>29697</v>
      </c>
      <c r="F113" s="438">
        <f t="shared" si="172"/>
        <v>29989</v>
      </c>
      <c r="G113" s="438">
        <f t="shared" si="172"/>
        <v>30092</v>
      </c>
      <c r="H113" s="438">
        <f t="shared" si="172"/>
        <v>29886</v>
      </c>
      <c r="I113" s="438">
        <f t="shared" si="172"/>
        <v>29550</v>
      </c>
      <c r="J113" s="438">
        <f t="shared" ref="J113:K113" si="173">J92+J93+J95+J99+J102+J107+J108+J110</f>
        <v>28040</v>
      </c>
      <c r="K113" s="438">
        <f t="shared" si="173"/>
        <v>28852</v>
      </c>
      <c r="L113" s="438">
        <f t="shared" ref="L113" si="174">L92+L93+L95+L99+L102+L107+L108+L110</f>
        <v>28586</v>
      </c>
      <c r="M113" s="435"/>
      <c r="N113" s="435"/>
    </row>
    <row r="114" spans="1:18">
      <c r="A114" s="435"/>
      <c r="B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</row>
    <row r="115" spans="1:18">
      <c r="A115" s="435" t="s">
        <v>1271</v>
      </c>
      <c r="B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</row>
    <row r="116" spans="1:18">
      <c r="A116" s="435"/>
      <c r="B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</row>
    <row r="117" spans="1:18">
      <c r="A117" s="435"/>
      <c r="B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</row>
    <row r="118" spans="1:18">
      <c r="A118" s="435"/>
      <c r="B118" s="435"/>
      <c r="E118" s="42" t="s">
        <v>2303</v>
      </c>
      <c r="F118" s="42"/>
      <c r="G118" s="42"/>
      <c r="H118" s="42"/>
      <c r="I118" s="42"/>
      <c r="J118" s="42"/>
      <c r="K118" s="42"/>
      <c r="L118" s="42"/>
      <c r="M118" s="109"/>
      <c r="N118" s="109" t="s">
        <v>13319</v>
      </c>
    </row>
    <row r="119" spans="1:18">
      <c r="A119" s="435"/>
      <c r="B119" s="435"/>
      <c r="D119" s="110">
        <v>2010</v>
      </c>
      <c r="E119" s="110">
        <v>2011</v>
      </c>
      <c r="F119" s="110">
        <v>2012</v>
      </c>
      <c r="G119" s="110">
        <v>2013</v>
      </c>
      <c r="H119" s="110">
        <v>2014</v>
      </c>
      <c r="I119" s="110">
        <v>2015</v>
      </c>
      <c r="J119" s="110">
        <v>2016</v>
      </c>
      <c r="K119" s="110">
        <v>2017</v>
      </c>
      <c r="L119" s="110">
        <v>2018</v>
      </c>
      <c r="M119" s="435"/>
      <c r="N119" s="112" t="s">
        <v>2304</v>
      </c>
    </row>
    <row r="120" spans="1:18">
      <c r="A120" s="437" t="s">
        <v>2850</v>
      </c>
      <c r="D120" s="438">
        <f t="shared" ref="D120:I120" si="175">SUM(D121:D124)+SUM(D125:D141)</f>
        <v>111499</v>
      </c>
      <c r="E120" s="438">
        <f t="shared" si="175"/>
        <v>112268</v>
      </c>
      <c r="F120" s="438">
        <f t="shared" si="175"/>
        <v>112618</v>
      </c>
      <c r="G120" s="438">
        <f t="shared" si="175"/>
        <v>110956</v>
      </c>
      <c r="H120" s="438">
        <f t="shared" si="175"/>
        <v>109362</v>
      </c>
      <c r="I120" s="438">
        <f t="shared" si="175"/>
        <v>100358</v>
      </c>
      <c r="J120" s="438">
        <f t="shared" ref="J120:K120" si="176">SUM(J121:J124)+SUM(J125:J141)</f>
        <v>97419</v>
      </c>
      <c r="K120" s="438">
        <f t="shared" si="176"/>
        <v>99724</v>
      </c>
      <c r="L120" s="438">
        <f t="shared" ref="L120" si="177">SUM(L121:L124)+SUM(L125:L141)</f>
        <v>101148</v>
      </c>
      <c r="M120" s="435"/>
      <c r="N120" s="435"/>
    </row>
    <row r="121" spans="1:18">
      <c r="A121" s="437" t="s">
        <v>6957</v>
      </c>
      <c r="B121" s="437" t="s">
        <v>1272</v>
      </c>
      <c r="C121" s="4" t="s">
        <v>8343</v>
      </c>
      <c r="D121" s="438">
        <v>5393</v>
      </c>
      <c r="E121" s="438">
        <v>5356</v>
      </c>
      <c r="F121" s="438">
        <v>5337</v>
      </c>
      <c r="G121" s="30">
        <v>5297</v>
      </c>
      <c r="H121" s="30">
        <v>5303</v>
      </c>
      <c r="I121" s="30">
        <v>5136</v>
      </c>
      <c r="J121" s="30">
        <v>4978</v>
      </c>
      <c r="K121" s="30">
        <v>5031</v>
      </c>
      <c r="L121" s="30">
        <v>5096</v>
      </c>
      <c r="M121" s="435"/>
      <c r="N121" s="437" t="s">
        <v>2919</v>
      </c>
      <c r="P121" s="4"/>
      <c r="R121" s="4"/>
    </row>
    <row r="122" spans="1:18">
      <c r="A122" s="437" t="s">
        <v>6959</v>
      </c>
      <c r="B122" s="437" t="s">
        <v>1273</v>
      </c>
      <c r="C122" s="4" t="s">
        <v>8344</v>
      </c>
      <c r="D122" s="438">
        <v>5187</v>
      </c>
      <c r="E122" s="438">
        <v>5199</v>
      </c>
      <c r="F122" s="438">
        <v>5229</v>
      </c>
      <c r="G122" s="30">
        <v>5179</v>
      </c>
      <c r="H122" s="30">
        <v>5095</v>
      </c>
      <c r="I122" s="30">
        <v>4820</v>
      </c>
      <c r="J122" s="30">
        <v>4731</v>
      </c>
      <c r="K122" s="30">
        <v>4750</v>
      </c>
      <c r="L122" s="30">
        <v>4853</v>
      </c>
      <c r="M122" s="435"/>
      <c r="N122" s="437" t="s">
        <v>2919</v>
      </c>
      <c r="P122" s="4"/>
      <c r="R122" s="4"/>
    </row>
    <row r="123" spans="1:18">
      <c r="A123" s="437" t="s">
        <v>6961</v>
      </c>
      <c r="B123" s="437" t="s">
        <v>1274</v>
      </c>
      <c r="C123" s="4" t="s">
        <v>8345</v>
      </c>
      <c r="D123" s="438">
        <v>5334</v>
      </c>
      <c r="E123" s="438">
        <v>5402</v>
      </c>
      <c r="F123" s="438">
        <v>5362</v>
      </c>
      <c r="G123" s="30">
        <v>5181</v>
      </c>
      <c r="H123" s="30">
        <v>4983</v>
      </c>
      <c r="I123" s="30">
        <v>4070</v>
      </c>
      <c r="J123" s="30">
        <v>3898</v>
      </c>
      <c r="K123" s="30">
        <v>4167</v>
      </c>
      <c r="L123" s="30">
        <v>4388</v>
      </c>
      <c r="M123" s="435"/>
      <c r="N123" s="437" t="s">
        <v>2922</v>
      </c>
      <c r="P123" s="4"/>
      <c r="R123" s="4"/>
    </row>
    <row r="124" spans="1:18">
      <c r="A124" s="437" t="s">
        <v>6963</v>
      </c>
      <c r="B124" s="437" t="s">
        <v>1275</v>
      </c>
      <c r="C124" s="4" t="s">
        <v>8346</v>
      </c>
      <c r="D124" s="447">
        <v>5151</v>
      </c>
      <c r="E124" s="447">
        <v>5190</v>
      </c>
      <c r="F124" s="447">
        <v>5262</v>
      </c>
      <c r="G124" s="30">
        <v>4947</v>
      </c>
      <c r="H124" s="30">
        <v>4720</v>
      </c>
      <c r="I124" s="30">
        <v>4369</v>
      </c>
      <c r="J124" s="30">
        <v>4174</v>
      </c>
      <c r="K124" s="30">
        <v>4207</v>
      </c>
      <c r="L124" s="30">
        <v>4244</v>
      </c>
      <c r="M124" s="435"/>
      <c r="N124" s="437" t="s">
        <v>2922</v>
      </c>
      <c r="P124" s="4"/>
      <c r="R124" s="4"/>
    </row>
    <row r="125" spans="1:18">
      <c r="A125" s="437" t="s">
        <v>6965</v>
      </c>
      <c r="B125" s="437" t="s">
        <v>1276</v>
      </c>
      <c r="C125" s="4" t="s">
        <v>8347</v>
      </c>
      <c r="D125" s="438">
        <v>5583</v>
      </c>
      <c r="E125" s="438">
        <v>5688</v>
      </c>
      <c r="F125" s="438">
        <v>5826</v>
      </c>
      <c r="G125" s="30">
        <v>5596</v>
      </c>
      <c r="H125" s="30">
        <v>5445</v>
      </c>
      <c r="I125" s="30">
        <v>4543</v>
      </c>
      <c r="J125" s="30">
        <v>4442</v>
      </c>
      <c r="K125" s="30">
        <v>4627</v>
      </c>
      <c r="L125" s="30">
        <v>4700</v>
      </c>
      <c r="M125" s="435"/>
      <c r="N125" s="437" t="s">
        <v>2919</v>
      </c>
      <c r="P125" s="4"/>
      <c r="R125" s="4"/>
    </row>
    <row r="126" spans="1:18">
      <c r="A126" s="437" t="s">
        <v>6997</v>
      </c>
      <c r="B126" s="437" t="s">
        <v>7935</v>
      </c>
      <c r="C126" s="4" t="s">
        <v>8348</v>
      </c>
      <c r="D126" s="438">
        <v>5201</v>
      </c>
      <c r="E126" s="438">
        <v>5281</v>
      </c>
      <c r="F126" s="438">
        <v>5354</v>
      </c>
      <c r="G126" s="30">
        <v>5310</v>
      </c>
      <c r="H126" s="30">
        <v>5270</v>
      </c>
      <c r="I126" s="30">
        <v>4873</v>
      </c>
      <c r="J126" s="30">
        <v>4706</v>
      </c>
      <c r="K126" s="30">
        <v>4791</v>
      </c>
      <c r="L126" s="30">
        <v>4804</v>
      </c>
      <c r="M126" s="435"/>
      <c r="N126" s="437" t="s">
        <v>2922</v>
      </c>
      <c r="P126" s="4"/>
      <c r="R126" s="4"/>
    </row>
    <row r="127" spans="1:18">
      <c r="A127" s="437" t="s">
        <v>6999</v>
      </c>
      <c r="B127" s="437" t="s">
        <v>1277</v>
      </c>
      <c r="C127" s="4" t="s">
        <v>8349</v>
      </c>
      <c r="D127" s="438">
        <v>5516</v>
      </c>
      <c r="E127" s="438">
        <v>5457</v>
      </c>
      <c r="F127" s="438">
        <v>5448</v>
      </c>
      <c r="G127" s="30">
        <v>5346</v>
      </c>
      <c r="H127" s="30">
        <v>5270</v>
      </c>
      <c r="I127" s="30">
        <v>5074</v>
      </c>
      <c r="J127" s="30">
        <v>4896</v>
      </c>
      <c r="K127" s="30">
        <v>4964</v>
      </c>
      <c r="L127" s="30">
        <v>4970</v>
      </c>
      <c r="M127" s="435"/>
      <c r="N127" s="437" t="s">
        <v>2919</v>
      </c>
      <c r="P127" s="4"/>
      <c r="R127" s="4"/>
    </row>
    <row r="128" spans="1:18">
      <c r="A128" s="437" t="s">
        <v>7001</v>
      </c>
      <c r="B128" s="437" t="s">
        <v>1278</v>
      </c>
      <c r="C128" s="4" t="s">
        <v>8350</v>
      </c>
      <c r="D128" s="438">
        <v>5413</v>
      </c>
      <c r="E128" s="438">
        <v>5516</v>
      </c>
      <c r="F128" s="438">
        <v>5485</v>
      </c>
      <c r="G128" s="30">
        <v>5414</v>
      </c>
      <c r="H128" s="30">
        <v>5373</v>
      </c>
      <c r="I128" s="30">
        <v>4968</v>
      </c>
      <c r="J128" s="30">
        <v>4743</v>
      </c>
      <c r="K128" s="30">
        <v>4826</v>
      </c>
      <c r="L128" s="30">
        <v>4836</v>
      </c>
      <c r="M128" s="435"/>
      <c r="N128" s="437" t="s">
        <v>2922</v>
      </c>
      <c r="P128" s="4"/>
      <c r="R128" s="4"/>
    </row>
    <row r="129" spans="1:18">
      <c r="A129" s="437" t="s">
        <v>7003</v>
      </c>
      <c r="B129" s="437" t="s">
        <v>1279</v>
      </c>
      <c r="C129" s="4" t="s">
        <v>8351</v>
      </c>
      <c r="D129" s="438">
        <v>5225</v>
      </c>
      <c r="E129" s="438">
        <v>5212</v>
      </c>
      <c r="F129" s="438">
        <v>5241</v>
      </c>
      <c r="G129" s="30">
        <v>5282</v>
      </c>
      <c r="H129" s="30">
        <v>5274</v>
      </c>
      <c r="I129" s="30">
        <v>5013</v>
      </c>
      <c r="J129" s="30">
        <v>4905</v>
      </c>
      <c r="K129" s="30">
        <v>4928</v>
      </c>
      <c r="L129" s="30">
        <v>4971</v>
      </c>
      <c r="M129" s="435"/>
      <c r="N129" s="437" t="s">
        <v>2922</v>
      </c>
      <c r="P129" s="4"/>
      <c r="R129" s="4"/>
    </row>
    <row r="130" spans="1:18">
      <c r="A130" s="437" t="s">
        <v>7005</v>
      </c>
      <c r="B130" s="437" t="s">
        <v>1280</v>
      </c>
      <c r="C130" s="4" t="s">
        <v>8352</v>
      </c>
      <c r="D130" s="438">
        <v>5220</v>
      </c>
      <c r="E130" s="438">
        <v>5277</v>
      </c>
      <c r="F130" s="438">
        <v>5296</v>
      </c>
      <c r="G130" s="30">
        <v>5315</v>
      </c>
      <c r="H130" s="30">
        <v>5319</v>
      </c>
      <c r="I130" s="30">
        <v>4941</v>
      </c>
      <c r="J130" s="30">
        <v>4866</v>
      </c>
      <c r="K130" s="30">
        <v>4987</v>
      </c>
      <c r="L130" s="30">
        <v>5064</v>
      </c>
      <c r="M130" s="435"/>
      <c r="N130" s="437" t="s">
        <v>2919</v>
      </c>
      <c r="P130" s="4"/>
      <c r="R130" s="4"/>
    </row>
    <row r="131" spans="1:18">
      <c r="A131" s="437" t="s">
        <v>7007</v>
      </c>
      <c r="B131" s="437" t="s">
        <v>1281</v>
      </c>
      <c r="C131" s="4" t="s">
        <v>8353</v>
      </c>
      <c r="D131" s="438">
        <v>5373</v>
      </c>
      <c r="E131" s="438">
        <v>5379</v>
      </c>
      <c r="F131" s="438">
        <v>5311</v>
      </c>
      <c r="G131" s="30">
        <v>5236</v>
      </c>
      <c r="H131" s="30">
        <v>5245</v>
      </c>
      <c r="I131" s="30">
        <v>4841</v>
      </c>
      <c r="J131" s="30">
        <v>4538</v>
      </c>
      <c r="K131" s="30">
        <v>4678</v>
      </c>
      <c r="L131" s="30">
        <v>4758</v>
      </c>
      <c r="M131" s="435"/>
      <c r="N131" s="437" t="s">
        <v>2919</v>
      </c>
      <c r="P131" s="4"/>
      <c r="R131" s="4"/>
    </row>
    <row r="132" spans="1:18">
      <c r="A132" s="437" t="s">
        <v>7009</v>
      </c>
      <c r="B132" s="437" t="s">
        <v>1282</v>
      </c>
      <c r="C132" s="4" t="s">
        <v>8354</v>
      </c>
      <c r="D132" s="438">
        <v>5396</v>
      </c>
      <c r="E132" s="438">
        <v>5468</v>
      </c>
      <c r="F132" s="438">
        <v>5505</v>
      </c>
      <c r="G132" s="30">
        <v>5422</v>
      </c>
      <c r="H132" s="30">
        <v>5347</v>
      </c>
      <c r="I132" s="30">
        <v>5006</v>
      </c>
      <c r="J132" s="30">
        <v>4965</v>
      </c>
      <c r="K132" s="30">
        <v>5036</v>
      </c>
      <c r="L132" s="30">
        <v>5071</v>
      </c>
      <c r="M132" s="435"/>
      <c r="N132" s="437" t="s">
        <v>2922</v>
      </c>
      <c r="P132" s="4"/>
      <c r="R132" s="4"/>
    </row>
    <row r="133" spans="1:18">
      <c r="A133" s="437" t="s">
        <v>7011</v>
      </c>
      <c r="B133" s="437" t="s">
        <v>1283</v>
      </c>
      <c r="C133" s="4" t="s">
        <v>8355</v>
      </c>
      <c r="D133" s="438">
        <v>5217</v>
      </c>
      <c r="E133" s="438">
        <v>5221</v>
      </c>
      <c r="F133" s="438">
        <v>5203</v>
      </c>
      <c r="G133" s="30">
        <v>5203</v>
      </c>
      <c r="H133" s="30">
        <v>5244</v>
      </c>
      <c r="I133" s="30">
        <v>5097</v>
      </c>
      <c r="J133" s="30">
        <v>4955</v>
      </c>
      <c r="K133" s="30">
        <v>5055</v>
      </c>
      <c r="L133" s="30">
        <v>5026</v>
      </c>
      <c r="M133" s="435"/>
      <c r="N133" s="437" t="s">
        <v>2919</v>
      </c>
      <c r="P133" s="4"/>
      <c r="R133" s="4"/>
    </row>
    <row r="134" spans="1:18">
      <c r="A134" s="437" t="s">
        <v>7013</v>
      </c>
      <c r="B134" s="437" t="s">
        <v>2442</v>
      </c>
      <c r="C134" s="4" t="s">
        <v>8356</v>
      </c>
      <c r="D134" s="438">
        <v>5310</v>
      </c>
      <c r="E134" s="438">
        <v>5356</v>
      </c>
      <c r="F134" s="438">
        <v>5416</v>
      </c>
      <c r="G134" s="30">
        <v>5477</v>
      </c>
      <c r="H134" s="30">
        <v>5408</v>
      </c>
      <c r="I134" s="30">
        <v>5026</v>
      </c>
      <c r="J134" s="30">
        <v>4822</v>
      </c>
      <c r="K134" s="30">
        <v>4911</v>
      </c>
      <c r="L134" s="30">
        <v>4950</v>
      </c>
      <c r="M134" s="435"/>
      <c r="N134" s="437" t="s">
        <v>2919</v>
      </c>
      <c r="P134" s="4"/>
      <c r="R134" s="4"/>
    </row>
    <row r="135" spans="1:18">
      <c r="A135" s="437" t="s">
        <v>7015</v>
      </c>
      <c r="B135" s="437" t="s">
        <v>1284</v>
      </c>
      <c r="C135" s="4" t="s">
        <v>8357</v>
      </c>
      <c r="D135" s="438">
        <v>5168</v>
      </c>
      <c r="E135" s="438">
        <v>5189</v>
      </c>
      <c r="F135" s="438">
        <v>5242</v>
      </c>
      <c r="G135" s="31">
        <v>5134</v>
      </c>
      <c r="H135" s="31">
        <v>5082</v>
      </c>
      <c r="I135" s="31">
        <v>4757</v>
      </c>
      <c r="J135" s="31">
        <v>4603</v>
      </c>
      <c r="K135" s="31">
        <v>4681</v>
      </c>
      <c r="L135" s="31">
        <v>4740</v>
      </c>
      <c r="M135" s="435"/>
      <c r="N135" s="437" t="s">
        <v>2922</v>
      </c>
      <c r="P135" s="4"/>
      <c r="R135" s="4"/>
    </row>
    <row r="136" spans="1:18">
      <c r="A136" s="437" t="s">
        <v>7017</v>
      </c>
      <c r="B136" s="437" t="s">
        <v>5385</v>
      </c>
      <c r="C136" s="4" t="s">
        <v>8358</v>
      </c>
      <c r="D136" s="438">
        <v>5443</v>
      </c>
      <c r="E136" s="438">
        <v>5483</v>
      </c>
      <c r="F136" s="438">
        <v>5494</v>
      </c>
      <c r="G136" s="31">
        <v>5444</v>
      </c>
      <c r="H136" s="31">
        <v>5345</v>
      </c>
      <c r="I136" s="31">
        <v>5028</v>
      </c>
      <c r="J136" s="31">
        <v>4980</v>
      </c>
      <c r="K136" s="31">
        <v>5094</v>
      </c>
      <c r="L136" s="31">
        <v>5238</v>
      </c>
      <c r="M136" s="435"/>
      <c r="N136" s="437" t="s">
        <v>2922</v>
      </c>
      <c r="P136" s="4"/>
      <c r="R136" s="4"/>
    </row>
    <row r="137" spans="1:18">
      <c r="A137" s="437" t="s">
        <v>7019</v>
      </c>
      <c r="B137" s="437" t="s">
        <v>1285</v>
      </c>
      <c r="C137" s="4" t="s">
        <v>8359</v>
      </c>
      <c r="D137" s="438">
        <v>5191</v>
      </c>
      <c r="E137" s="438">
        <v>5352</v>
      </c>
      <c r="F137" s="438">
        <v>5321</v>
      </c>
      <c r="G137" s="31">
        <v>5162</v>
      </c>
      <c r="H137" s="31">
        <v>5095</v>
      </c>
      <c r="I137" s="31">
        <v>4318</v>
      </c>
      <c r="J137" s="31">
        <v>4144</v>
      </c>
      <c r="K137" s="31">
        <v>4321</v>
      </c>
      <c r="L137" s="31">
        <v>4528</v>
      </c>
      <c r="M137" s="435"/>
      <c r="N137" s="437" t="s">
        <v>2922</v>
      </c>
      <c r="P137" s="4"/>
      <c r="R137" s="4"/>
    </row>
    <row r="138" spans="1:18">
      <c r="A138" s="437" t="s">
        <v>7021</v>
      </c>
      <c r="B138" s="437" t="s">
        <v>1286</v>
      </c>
      <c r="C138" s="4" t="s">
        <v>8360</v>
      </c>
      <c r="D138" s="438">
        <v>5340</v>
      </c>
      <c r="E138" s="438">
        <v>5322</v>
      </c>
      <c r="F138" s="438">
        <v>5281</v>
      </c>
      <c r="G138" s="31">
        <v>5195</v>
      </c>
      <c r="H138" s="31">
        <v>5155</v>
      </c>
      <c r="I138" s="31">
        <v>4757</v>
      </c>
      <c r="J138" s="31">
        <v>4546</v>
      </c>
      <c r="K138" s="31">
        <v>4652</v>
      </c>
      <c r="L138" s="31">
        <v>4753</v>
      </c>
      <c r="M138" s="435"/>
      <c r="N138" s="437" t="s">
        <v>2922</v>
      </c>
      <c r="P138" s="4"/>
      <c r="R138" s="4"/>
    </row>
    <row r="139" spans="1:18">
      <c r="A139" s="437" t="s">
        <v>7023</v>
      </c>
      <c r="B139" s="437" t="s">
        <v>5932</v>
      </c>
      <c r="C139" s="4" t="s">
        <v>8361</v>
      </c>
      <c r="D139" s="438">
        <v>5242</v>
      </c>
      <c r="E139" s="438">
        <v>5265</v>
      </c>
      <c r="F139" s="438">
        <v>5281</v>
      </c>
      <c r="G139" s="31">
        <v>5229</v>
      </c>
      <c r="H139" s="31">
        <v>5152</v>
      </c>
      <c r="I139" s="31">
        <v>4693</v>
      </c>
      <c r="J139" s="31">
        <v>4533</v>
      </c>
      <c r="K139" s="31">
        <v>4571</v>
      </c>
      <c r="L139" s="31">
        <v>4512</v>
      </c>
      <c r="M139" s="435"/>
      <c r="N139" s="437" t="s">
        <v>2922</v>
      </c>
      <c r="P139" s="4"/>
      <c r="R139" s="4"/>
    </row>
    <row r="140" spans="1:18">
      <c r="A140" s="437" t="s">
        <v>7025</v>
      </c>
      <c r="B140" s="437" t="s">
        <v>1200</v>
      </c>
      <c r="C140" s="4" t="s">
        <v>8362</v>
      </c>
      <c r="D140" s="438">
        <v>5239</v>
      </c>
      <c r="E140" s="438">
        <v>5254</v>
      </c>
      <c r="F140" s="438">
        <v>5263</v>
      </c>
      <c r="G140" s="30">
        <v>5219</v>
      </c>
      <c r="H140" s="30">
        <v>5084</v>
      </c>
      <c r="I140" s="30">
        <v>4576</v>
      </c>
      <c r="J140" s="30">
        <v>4584</v>
      </c>
      <c r="K140" s="30">
        <v>4789</v>
      </c>
      <c r="L140" s="30">
        <v>4881</v>
      </c>
      <c r="M140" s="435"/>
      <c r="N140" s="437" t="s">
        <v>2919</v>
      </c>
      <c r="P140" s="4"/>
      <c r="R140" s="4"/>
    </row>
    <row r="141" spans="1:18">
      <c r="A141" s="437" t="s">
        <v>7570</v>
      </c>
      <c r="B141" s="437" t="s">
        <v>1201</v>
      </c>
      <c r="C141" s="4" t="s">
        <v>8363</v>
      </c>
      <c r="D141" s="444">
        <v>5357</v>
      </c>
      <c r="E141" s="444">
        <v>5401</v>
      </c>
      <c r="F141" s="444">
        <v>5461</v>
      </c>
      <c r="G141" s="31">
        <v>5368</v>
      </c>
      <c r="H141" s="31">
        <v>5153</v>
      </c>
      <c r="I141" s="31">
        <v>4452</v>
      </c>
      <c r="J141" s="31">
        <v>4410</v>
      </c>
      <c r="K141" s="31">
        <v>4658</v>
      </c>
      <c r="L141" s="31">
        <v>4765</v>
      </c>
      <c r="M141" s="435"/>
      <c r="N141" s="437" t="s">
        <v>2922</v>
      </c>
      <c r="P141" s="4"/>
      <c r="R141" s="4"/>
    </row>
    <row r="142" spans="1:18">
      <c r="A142" s="435"/>
      <c r="B142" s="435"/>
      <c r="D142" s="444"/>
      <c r="E142" s="444"/>
      <c r="F142" s="444"/>
      <c r="G142" s="444"/>
      <c r="H142" s="444"/>
      <c r="I142" s="444"/>
      <c r="J142" s="444"/>
      <c r="K142" s="444"/>
      <c r="L142" s="444"/>
      <c r="M142" s="435"/>
      <c r="N142" s="435"/>
    </row>
    <row r="143" spans="1:18">
      <c r="A143" s="437" t="s">
        <v>1202</v>
      </c>
      <c r="D143" s="438">
        <f t="shared" ref="D143:I143" si="178">D121+D122+D125+D127+D130+D131+D133+D134+D140</f>
        <v>48038</v>
      </c>
      <c r="E143" s="438">
        <f t="shared" si="178"/>
        <v>48187</v>
      </c>
      <c r="F143" s="438">
        <f t="shared" si="178"/>
        <v>48329</v>
      </c>
      <c r="G143" s="438">
        <f t="shared" si="178"/>
        <v>47868</v>
      </c>
      <c r="H143" s="438">
        <f t="shared" si="178"/>
        <v>47413</v>
      </c>
      <c r="I143" s="438">
        <f t="shared" si="178"/>
        <v>44054</v>
      </c>
      <c r="J143" s="438">
        <f t="shared" ref="J143:K143" si="179">J121+J122+J125+J127+J130+J131+J133+J134+J140</f>
        <v>42812</v>
      </c>
      <c r="K143" s="438">
        <f t="shared" si="179"/>
        <v>43792</v>
      </c>
      <c r="L143" s="438">
        <f t="shared" ref="L143" si="180">L121+L122+L125+L127+L130+L131+L133+L134+L140</f>
        <v>44298</v>
      </c>
      <c r="M143" s="435"/>
      <c r="N143" s="435"/>
    </row>
    <row r="144" spans="1:18">
      <c r="A144" s="437" t="s">
        <v>2922</v>
      </c>
      <c r="D144" s="438">
        <f t="shared" ref="D144:I144" si="181">D123+D124+D126+D128+D129+D132+SUM(D135:D139)+D141</f>
        <v>63461</v>
      </c>
      <c r="E144" s="438">
        <f t="shared" si="181"/>
        <v>64081</v>
      </c>
      <c r="F144" s="438">
        <f t="shared" si="181"/>
        <v>64289</v>
      </c>
      <c r="G144" s="438">
        <f t="shared" si="181"/>
        <v>63088</v>
      </c>
      <c r="H144" s="438">
        <f t="shared" si="181"/>
        <v>61949</v>
      </c>
      <c r="I144" s="438">
        <f t="shared" si="181"/>
        <v>56304</v>
      </c>
      <c r="J144" s="438">
        <f t="shared" ref="J144:K144" si="182">J123+J124+J126+J128+J129+J132+SUM(J135:J139)+J141</f>
        <v>54607</v>
      </c>
      <c r="K144" s="438">
        <f t="shared" si="182"/>
        <v>55932</v>
      </c>
      <c r="L144" s="438">
        <f t="shared" ref="L144" si="183">L123+L124+L126+L128+L129+L132+SUM(L135:L139)+L141</f>
        <v>56850</v>
      </c>
      <c r="M144" s="435"/>
      <c r="N144" s="435"/>
    </row>
    <row r="145" spans="1:17">
      <c r="A145" s="435"/>
      <c r="B145" s="435"/>
      <c r="D145" s="435"/>
      <c r="E145" s="435"/>
      <c r="F145" s="435"/>
      <c r="G145" s="435"/>
      <c r="H145" s="435"/>
      <c r="I145" s="435"/>
      <c r="J145" s="435"/>
      <c r="K145" s="435"/>
      <c r="L145" s="435"/>
      <c r="M145" s="435"/>
      <c r="N145" s="435"/>
    </row>
    <row r="146" spans="1:17">
      <c r="A146" s="435" t="s">
        <v>1203</v>
      </c>
      <c r="B146" s="435"/>
      <c r="D146" s="435"/>
      <c r="E146" s="435"/>
      <c r="F146" s="435"/>
      <c r="G146" s="435"/>
      <c r="H146" s="435"/>
      <c r="I146" s="435"/>
      <c r="J146" s="435"/>
      <c r="K146" s="435"/>
      <c r="L146" s="435"/>
      <c r="M146" s="435"/>
      <c r="N146" s="435"/>
    </row>
    <row r="147" spans="1:17">
      <c r="A147" s="435"/>
      <c r="B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</row>
    <row r="148" spans="1:17">
      <c r="A148" s="435"/>
      <c r="B148" s="435"/>
      <c r="D148" s="435"/>
      <c r="E148" s="435"/>
      <c r="F148" s="435"/>
      <c r="G148" s="435"/>
      <c r="H148" s="435"/>
      <c r="I148" s="435"/>
      <c r="J148" s="435"/>
      <c r="K148" s="435"/>
      <c r="L148" s="435"/>
      <c r="M148" s="435"/>
      <c r="N148" s="435"/>
    </row>
    <row r="149" spans="1:17">
      <c r="A149" s="435"/>
      <c r="B149" s="435"/>
      <c r="E149" s="42" t="s">
        <v>2303</v>
      </c>
      <c r="F149" s="42"/>
      <c r="G149" s="42"/>
      <c r="H149" s="42"/>
      <c r="I149" s="42"/>
      <c r="J149" s="42"/>
      <c r="K149" s="42"/>
      <c r="L149" s="42"/>
      <c r="M149" s="109"/>
      <c r="N149" s="109" t="s">
        <v>13319</v>
      </c>
    </row>
    <row r="150" spans="1:17">
      <c r="A150" s="435"/>
      <c r="B150" s="435"/>
      <c r="D150" s="110">
        <v>2010</v>
      </c>
      <c r="E150" s="110">
        <v>2011</v>
      </c>
      <c r="F150" s="110">
        <v>2012</v>
      </c>
      <c r="G150" s="110">
        <v>2013</v>
      </c>
      <c r="H150" s="110">
        <v>2014</v>
      </c>
      <c r="I150" s="110">
        <v>2015</v>
      </c>
      <c r="J150" s="110">
        <v>2016</v>
      </c>
      <c r="K150" s="110">
        <v>2017</v>
      </c>
      <c r="L150" s="110">
        <v>2018</v>
      </c>
      <c r="M150" s="435"/>
      <c r="N150" s="112" t="s">
        <v>2304</v>
      </c>
    </row>
    <row r="151" spans="1:17">
      <c r="A151" s="437" t="s">
        <v>2067</v>
      </c>
      <c r="D151" s="438">
        <f t="shared" ref="D151:I151" si="184">SUM(D152:D166)</f>
        <v>66876</v>
      </c>
      <c r="E151" s="438">
        <f t="shared" si="184"/>
        <v>67003</v>
      </c>
      <c r="F151" s="438">
        <f t="shared" si="184"/>
        <v>66950</v>
      </c>
      <c r="G151" s="438">
        <f t="shared" si="184"/>
        <v>65897</v>
      </c>
      <c r="H151" s="438">
        <f t="shared" si="184"/>
        <v>66830</v>
      </c>
      <c r="I151" s="438">
        <f t="shared" si="184"/>
        <v>63833</v>
      </c>
      <c r="J151" s="438">
        <f t="shared" ref="J151:K151" si="185">SUM(J152:J166)</f>
        <v>63228</v>
      </c>
      <c r="K151" s="438">
        <f t="shared" si="185"/>
        <v>64147</v>
      </c>
      <c r="L151" s="438">
        <f t="shared" ref="L151" si="186">SUM(L152:L166)</f>
        <v>64338</v>
      </c>
      <c r="M151" s="435"/>
      <c r="N151" s="435"/>
    </row>
    <row r="152" spans="1:17">
      <c r="A152" s="437" t="s">
        <v>6957</v>
      </c>
      <c r="B152" s="437" t="s">
        <v>2068</v>
      </c>
      <c r="C152" s="4" t="s">
        <v>11499</v>
      </c>
      <c r="D152" s="438">
        <v>4373</v>
      </c>
      <c r="E152" s="438">
        <v>4339</v>
      </c>
      <c r="F152" s="438">
        <v>4337</v>
      </c>
      <c r="G152" s="30">
        <v>4118</v>
      </c>
      <c r="H152" s="30">
        <v>4392</v>
      </c>
      <c r="I152" s="30">
        <v>3981</v>
      </c>
      <c r="J152" s="30">
        <v>3971</v>
      </c>
      <c r="K152" s="30">
        <v>3980</v>
      </c>
      <c r="L152" s="30">
        <v>4002</v>
      </c>
      <c r="M152" s="435"/>
      <c r="N152" s="437" t="s">
        <v>2923</v>
      </c>
      <c r="O152" s="4"/>
      <c r="Q152" s="4"/>
    </row>
    <row r="153" spans="1:17">
      <c r="A153" s="437" t="s">
        <v>6959</v>
      </c>
      <c r="B153" s="437" t="s">
        <v>2069</v>
      </c>
      <c r="C153" s="4" t="s">
        <v>11500</v>
      </c>
      <c r="D153" s="438">
        <v>4613</v>
      </c>
      <c r="E153" s="438">
        <v>4595</v>
      </c>
      <c r="F153" s="438">
        <v>4567</v>
      </c>
      <c r="G153" s="30">
        <v>4554</v>
      </c>
      <c r="H153" s="30">
        <v>4552</v>
      </c>
      <c r="I153" s="30">
        <v>4421</v>
      </c>
      <c r="J153" s="30">
        <v>4337</v>
      </c>
      <c r="K153" s="30">
        <v>4421</v>
      </c>
      <c r="L153" s="30">
        <v>4438</v>
      </c>
      <c r="M153" s="435"/>
      <c r="N153" s="437" t="s">
        <v>2923</v>
      </c>
      <c r="O153" s="4"/>
      <c r="Q153" s="4"/>
    </row>
    <row r="154" spans="1:17">
      <c r="A154" s="437" t="s">
        <v>6961</v>
      </c>
      <c r="B154" s="437" t="s">
        <v>2070</v>
      </c>
      <c r="C154" s="4" t="s">
        <v>11501</v>
      </c>
      <c r="D154" s="438">
        <v>4994</v>
      </c>
      <c r="E154" s="438">
        <v>4986</v>
      </c>
      <c r="F154" s="438">
        <v>4980</v>
      </c>
      <c r="G154" s="30">
        <v>4893</v>
      </c>
      <c r="H154" s="30">
        <v>4908</v>
      </c>
      <c r="I154" s="30">
        <v>4733</v>
      </c>
      <c r="J154" s="30">
        <v>4669</v>
      </c>
      <c r="K154" s="30">
        <v>4697</v>
      </c>
      <c r="L154" s="30">
        <v>4702</v>
      </c>
      <c r="M154" s="435"/>
      <c r="N154" s="437" t="s">
        <v>2923</v>
      </c>
      <c r="O154" s="4"/>
      <c r="Q154" s="4"/>
    </row>
    <row r="155" spans="1:17">
      <c r="A155" s="437" t="s">
        <v>6963</v>
      </c>
      <c r="B155" s="437" t="s">
        <v>2071</v>
      </c>
      <c r="C155" s="4" t="s">
        <v>11502</v>
      </c>
      <c r="D155" s="438">
        <v>4406</v>
      </c>
      <c r="E155" s="438">
        <v>4383</v>
      </c>
      <c r="F155" s="438">
        <v>4332</v>
      </c>
      <c r="G155" s="30">
        <v>4306</v>
      </c>
      <c r="H155" s="30">
        <v>4294</v>
      </c>
      <c r="I155" s="30">
        <v>4254</v>
      </c>
      <c r="J155" s="30">
        <v>4209</v>
      </c>
      <c r="K155" s="30">
        <v>4291</v>
      </c>
      <c r="L155" s="30">
        <v>4300</v>
      </c>
      <c r="M155" s="435"/>
      <c r="N155" s="437" t="s">
        <v>2923</v>
      </c>
      <c r="O155" s="4"/>
      <c r="Q155" s="4"/>
    </row>
    <row r="156" spans="1:17">
      <c r="A156" s="437" t="s">
        <v>6965</v>
      </c>
      <c r="B156" s="437" t="s">
        <v>1296</v>
      </c>
      <c r="C156" s="4" t="s">
        <v>11503</v>
      </c>
      <c r="D156" s="438">
        <v>4127</v>
      </c>
      <c r="E156" s="438">
        <v>4126</v>
      </c>
      <c r="F156" s="438">
        <v>4079</v>
      </c>
      <c r="G156" s="30">
        <v>4037</v>
      </c>
      <c r="H156" s="30">
        <v>4058</v>
      </c>
      <c r="I156" s="30">
        <v>3955</v>
      </c>
      <c r="J156" s="30">
        <v>3892</v>
      </c>
      <c r="K156" s="30">
        <v>3907</v>
      </c>
      <c r="L156" s="30">
        <v>3905</v>
      </c>
      <c r="M156" s="435"/>
      <c r="N156" s="437" t="s">
        <v>2923</v>
      </c>
      <c r="O156" s="4"/>
      <c r="Q156" s="4"/>
    </row>
    <row r="157" spans="1:17">
      <c r="A157" s="437" t="s">
        <v>6997</v>
      </c>
      <c r="B157" s="437" t="s">
        <v>1297</v>
      </c>
      <c r="C157" s="4" t="s">
        <v>11504</v>
      </c>
      <c r="D157" s="438">
        <v>3760</v>
      </c>
      <c r="E157" s="438">
        <v>3801</v>
      </c>
      <c r="F157" s="438">
        <v>3803</v>
      </c>
      <c r="G157" s="30">
        <v>3791</v>
      </c>
      <c r="H157" s="30">
        <v>3962</v>
      </c>
      <c r="I157" s="30">
        <v>3720</v>
      </c>
      <c r="J157" s="30">
        <v>3685</v>
      </c>
      <c r="K157" s="30">
        <v>3722</v>
      </c>
      <c r="L157" s="30">
        <v>3872</v>
      </c>
      <c r="M157" s="435"/>
      <c r="N157" s="437" t="s">
        <v>2923</v>
      </c>
      <c r="O157" s="4"/>
      <c r="Q157" s="4"/>
    </row>
    <row r="158" spans="1:17">
      <c r="A158" s="437" t="s">
        <v>6999</v>
      </c>
      <c r="B158" s="437" t="s">
        <v>1298</v>
      </c>
      <c r="C158" s="4" t="s">
        <v>11505</v>
      </c>
      <c r="D158" s="438">
        <v>4432</v>
      </c>
      <c r="E158" s="438">
        <v>4381</v>
      </c>
      <c r="F158" s="438">
        <v>4412</v>
      </c>
      <c r="G158" s="30">
        <v>4313</v>
      </c>
      <c r="H158" s="30">
        <v>4419</v>
      </c>
      <c r="I158" s="30">
        <v>4187</v>
      </c>
      <c r="J158" s="30">
        <v>4150</v>
      </c>
      <c r="K158" s="30">
        <v>4214</v>
      </c>
      <c r="L158" s="30">
        <v>4213</v>
      </c>
      <c r="M158" s="435"/>
      <c r="N158" s="437" t="s">
        <v>2923</v>
      </c>
      <c r="O158" s="4"/>
      <c r="Q158" s="4"/>
    </row>
    <row r="159" spans="1:17">
      <c r="A159" s="437" t="s">
        <v>7001</v>
      </c>
      <c r="B159" s="437" t="s">
        <v>1299</v>
      </c>
      <c r="C159" s="4" t="s">
        <v>11506</v>
      </c>
      <c r="D159" s="438">
        <v>4727</v>
      </c>
      <c r="E159" s="438">
        <v>4751</v>
      </c>
      <c r="F159" s="438">
        <v>4775</v>
      </c>
      <c r="G159" s="30">
        <v>4621</v>
      </c>
      <c r="H159" s="30">
        <v>4723</v>
      </c>
      <c r="I159" s="30">
        <v>4478</v>
      </c>
      <c r="J159" s="30">
        <v>4417</v>
      </c>
      <c r="K159" s="30">
        <v>4412</v>
      </c>
      <c r="L159" s="30">
        <v>4393</v>
      </c>
      <c r="M159" s="435"/>
      <c r="N159" s="437" t="s">
        <v>2923</v>
      </c>
      <c r="O159" s="4"/>
      <c r="Q159" s="4"/>
    </row>
    <row r="160" spans="1:17">
      <c r="A160" s="437" t="s">
        <v>7003</v>
      </c>
      <c r="B160" s="437" t="s">
        <v>1300</v>
      </c>
      <c r="C160" s="4" t="s">
        <v>11507</v>
      </c>
      <c r="D160" s="438">
        <v>4728</v>
      </c>
      <c r="E160" s="438">
        <v>4727</v>
      </c>
      <c r="F160" s="438">
        <v>4709</v>
      </c>
      <c r="G160" s="30">
        <v>4682</v>
      </c>
      <c r="H160" s="30">
        <v>4711</v>
      </c>
      <c r="I160" s="30">
        <v>4544</v>
      </c>
      <c r="J160" s="30">
        <v>4489</v>
      </c>
      <c r="K160" s="30">
        <v>4612</v>
      </c>
      <c r="L160" s="30">
        <v>4578</v>
      </c>
      <c r="M160" s="435"/>
      <c r="N160" s="437" t="s">
        <v>2923</v>
      </c>
      <c r="O160" s="4"/>
      <c r="Q160" s="4"/>
    </row>
    <row r="161" spans="1:17">
      <c r="A161" s="437" t="s">
        <v>7005</v>
      </c>
      <c r="B161" s="437" t="s">
        <v>1301</v>
      </c>
      <c r="C161" s="4" t="s">
        <v>11508</v>
      </c>
      <c r="D161" s="438">
        <v>4537</v>
      </c>
      <c r="E161" s="438">
        <v>4510</v>
      </c>
      <c r="F161" s="438">
        <v>4472</v>
      </c>
      <c r="G161" s="30">
        <v>4446</v>
      </c>
      <c r="H161" s="30">
        <v>4536</v>
      </c>
      <c r="I161" s="30">
        <v>4435</v>
      </c>
      <c r="J161" s="30">
        <v>4416</v>
      </c>
      <c r="K161" s="30">
        <v>4491</v>
      </c>
      <c r="L161" s="30">
        <v>4528</v>
      </c>
      <c r="M161" s="435"/>
      <c r="N161" s="437" t="s">
        <v>2923</v>
      </c>
      <c r="O161" s="4"/>
      <c r="Q161" s="4"/>
    </row>
    <row r="162" spans="1:17">
      <c r="A162" s="437" t="s">
        <v>7007</v>
      </c>
      <c r="B162" s="437" t="s">
        <v>1302</v>
      </c>
      <c r="C162" s="4" t="s">
        <v>11509</v>
      </c>
      <c r="D162" s="438">
        <v>4173</v>
      </c>
      <c r="E162" s="438">
        <v>4233</v>
      </c>
      <c r="F162" s="438">
        <v>4214</v>
      </c>
      <c r="G162" s="30">
        <v>4237</v>
      </c>
      <c r="H162" s="30">
        <v>4260</v>
      </c>
      <c r="I162" s="30">
        <v>3946</v>
      </c>
      <c r="J162" s="30">
        <v>3887</v>
      </c>
      <c r="K162" s="30">
        <v>3969</v>
      </c>
      <c r="L162" s="30">
        <v>3951</v>
      </c>
      <c r="M162" s="435"/>
      <c r="N162" s="437" t="s">
        <v>2923</v>
      </c>
      <c r="O162" s="4"/>
      <c r="Q162" s="4"/>
    </row>
    <row r="163" spans="1:17">
      <c r="A163" s="437" t="s">
        <v>7009</v>
      </c>
      <c r="B163" s="437" t="s">
        <v>1303</v>
      </c>
      <c r="C163" s="4" t="s">
        <v>11510</v>
      </c>
      <c r="D163" s="438">
        <v>4819</v>
      </c>
      <c r="E163" s="438">
        <v>4836</v>
      </c>
      <c r="F163" s="438">
        <v>4872</v>
      </c>
      <c r="G163" s="30">
        <v>4750</v>
      </c>
      <c r="H163" s="30">
        <v>4764</v>
      </c>
      <c r="I163" s="30">
        <v>4531</v>
      </c>
      <c r="J163" s="30">
        <v>4456</v>
      </c>
      <c r="K163" s="30">
        <v>4571</v>
      </c>
      <c r="L163" s="30">
        <v>4541</v>
      </c>
      <c r="M163" s="435"/>
      <c r="N163" s="437" t="s">
        <v>2923</v>
      </c>
      <c r="O163" s="4"/>
      <c r="Q163" s="4"/>
    </row>
    <row r="164" spans="1:17">
      <c r="A164" s="437" t="s">
        <v>7011</v>
      </c>
      <c r="B164" s="437" t="s">
        <v>4689</v>
      </c>
      <c r="C164" s="4" t="s">
        <v>11511</v>
      </c>
      <c r="D164" s="438">
        <v>4509</v>
      </c>
      <c r="E164" s="438">
        <v>4521</v>
      </c>
      <c r="F164" s="438">
        <v>4488</v>
      </c>
      <c r="G164" s="30">
        <v>4478</v>
      </c>
      <c r="H164" s="30">
        <v>4495</v>
      </c>
      <c r="I164" s="30">
        <v>4294</v>
      </c>
      <c r="J164" s="30">
        <v>4293</v>
      </c>
      <c r="K164" s="30">
        <v>4381</v>
      </c>
      <c r="L164" s="30">
        <v>4415</v>
      </c>
      <c r="M164" s="435"/>
      <c r="N164" s="437" t="s">
        <v>2923</v>
      </c>
      <c r="O164" s="4"/>
      <c r="Q164" s="4"/>
    </row>
    <row r="165" spans="1:17">
      <c r="A165" s="437" t="s">
        <v>7013</v>
      </c>
      <c r="B165" s="437" t="s">
        <v>5546</v>
      </c>
      <c r="C165" s="4" t="s">
        <v>11512</v>
      </c>
      <c r="D165" s="438">
        <v>3817</v>
      </c>
      <c r="E165" s="438">
        <v>3968</v>
      </c>
      <c r="F165" s="438">
        <v>4062</v>
      </c>
      <c r="G165" s="30">
        <v>3890</v>
      </c>
      <c r="H165" s="30">
        <v>3933</v>
      </c>
      <c r="I165" s="30">
        <v>3670</v>
      </c>
      <c r="J165" s="30">
        <v>3682</v>
      </c>
      <c r="K165" s="30">
        <v>3775</v>
      </c>
      <c r="L165" s="30">
        <v>3787</v>
      </c>
      <c r="M165" s="435"/>
      <c r="N165" s="437" t="s">
        <v>2923</v>
      </c>
      <c r="O165" s="4"/>
      <c r="Q165" s="4"/>
    </row>
    <row r="166" spans="1:17">
      <c r="A166" s="437" t="s">
        <v>7015</v>
      </c>
      <c r="B166" s="437" t="s">
        <v>4690</v>
      </c>
      <c r="C166" s="4" t="s">
        <v>11513</v>
      </c>
      <c r="D166" s="438">
        <v>4861</v>
      </c>
      <c r="E166" s="438">
        <v>4846</v>
      </c>
      <c r="F166" s="438">
        <v>4848</v>
      </c>
      <c r="G166" s="30">
        <v>4781</v>
      </c>
      <c r="H166" s="30">
        <v>4823</v>
      </c>
      <c r="I166" s="30">
        <v>4684</v>
      </c>
      <c r="J166" s="30">
        <v>4675</v>
      </c>
      <c r="K166" s="30">
        <v>4704</v>
      </c>
      <c r="L166" s="30">
        <v>4713</v>
      </c>
      <c r="M166" s="435"/>
      <c r="N166" s="437" t="s">
        <v>2923</v>
      </c>
      <c r="O166" s="4"/>
      <c r="Q166" s="4"/>
    </row>
    <row r="167" spans="1:17">
      <c r="A167" s="435"/>
      <c r="B167" s="435"/>
      <c r="D167" s="444"/>
      <c r="E167" s="444"/>
      <c r="F167" s="444"/>
      <c r="G167" s="444"/>
      <c r="H167" s="676"/>
      <c r="I167" s="676"/>
      <c r="J167" s="676"/>
      <c r="K167" s="676"/>
      <c r="L167" s="676"/>
      <c r="M167" s="435"/>
      <c r="N167" s="435"/>
    </row>
    <row r="168" spans="1:17">
      <c r="A168" s="437" t="s">
        <v>2923</v>
      </c>
      <c r="D168" s="438">
        <f t="shared" ref="D168:I168" si="187">SUM(D152:D166)</f>
        <v>66876</v>
      </c>
      <c r="E168" s="438">
        <f t="shared" si="187"/>
        <v>67003</v>
      </c>
      <c r="F168" s="438">
        <f t="shared" si="187"/>
        <v>66950</v>
      </c>
      <c r="G168" s="438">
        <f t="shared" si="187"/>
        <v>65897</v>
      </c>
      <c r="H168" s="438">
        <f t="shared" si="187"/>
        <v>66830</v>
      </c>
      <c r="I168" s="438">
        <f t="shared" si="187"/>
        <v>63833</v>
      </c>
      <c r="J168" s="438">
        <f t="shared" ref="J168:K168" si="188">SUM(J152:J166)</f>
        <v>63228</v>
      </c>
      <c r="K168" s="438">
        <f t="shared" si="188"/>
        <v>64147</v>
      </c>
      <c r="L168" s="438">
        <f t="shared" ref="L168" si="189">SUM(L152:L166)</f>
        <v>64338</v>
      </c>
      <c r="M168" s="435"/>
      <c r="N168" s="435"/>
    </row>
    <row r="169" spans="1:17">
      <c r="A169" s="437"/>
      <c r="D169" s="438"/>
      <c r="E169" s="438"/>
      <c r="F169" s="438"/>
      <c r="G169" s="438"/>
      <c r="H169" s="438"/>
      <c r="I169" s="438"/>
      <c r="J169" s="438"/>
      <c r="K169" s="438"/>
      <c r="L169" s="438"/>
      <c r="M169" s="435"/>
      <c r="N169" s="435"/>
    </row>
    <row r="170" spans="1:17">
      <c r="A170" s="437" t="s">
        <v>4691</v>
      </c>
      <c r="D170" s="438"/>
      <c r="E170" s="438"/>
      <c r="F170" s="438"/>
      <c r="G170" s="438"/>
      <c r="H170" s="438"/>
      <c r="I170" s="438"/>
      <c r="J170" s="438"/>
      <c r="K170" s="438"/>
      <c r="L170" s="438"/>
      <c r="M170" s="435"/>
      <c r="N170" s="435"/>
    </row>
    <row r="171" spans="1:17">
      <c r="A171" s="437"/>
      <c r="B171" s="437"/>
      <c r="D171" s="449"/>
      <c r="E171" s="449"/>
      <c r="F171" s="449"/>
      <c r="G171" s="449"/>
      <c r="H171" s="449"/>
      <c r="I171" s="449"/>
      <c r="J171" s="449"/>
      <c r="K171" s="449"/>
      <c r="L171" s="449"/>
      <c r="M171" s="435"/>
      <c r="N171" s="435"/>
    </row>
    <row r="172" spans="1:17">
      <c r="A172" s="437"/>
      <c r="B172" s="437"/>
      <c r="D172" s="449"/>
      <c r="E172" s="449"/>
      <c r="F172" s="449"/>
      <c r="G172" s="449"/>
      <c r="H172" s="449"/>
      <c r="I172" s="449"/>
      <c r="J172" s="449"/>
      <c r="K172" s="449"/>
      <c r="L172" s="449"/>
      <c r="M172" s="435"/>
      <c r="N172" s="435"/>
    </row>
    <row r="173" spans="1:17">
      <c r="A173" s="435"/>
      <c r="B173" s="435"/>
      <c r="E173" s="42" t="s">
        <v>2303</v>
      </c>
      <c r="F173" s="42"/>
      <c r="G173" s="42"/>
      <c r="H173" s="42"/>
      <c r="I173" s="42"/>
      <c r="J173" s="42"/>
      <c r="K173" s="42"/>
      <c r="L173" s="42"/>
      <c r="M173" s="109"/>
      <c r="N173" s="109" t="s">
        <v>13319</v>
      </c>
    </row>
    <row r="174" spans="1:17">
      <c r="A174" s="435"/>
      <c r="B174" s="435"/>
      <c r="D174" s="110">
        <v>2010</v>
      </c>
      <c r="E174" s="110">
        <v>2011</v>
      </c>
      <c r="F174" s="110">
        <v>2012</v>
      </c>
      <c r="G174" s="110">
        <v>2013</v>
      </c>
      <c r="H174" s="110">
        <v>2014</v>
      </c>
      <c r="I174" s="110">
        <v>2015</v>
      </c>
      <c r="J174" s="110">
        <v>2016</v>
      </c>
      <c r="K174" s="110">
        <v>2017</v>
      </c>
      <c r="L174" s="110">
        <v>2018</v>
      </c>
      <c r="M174" s="435"/>
      <c r="N174" s="112" t="s">
        <v>2304</v>
      </c>
    </row>
    <row r="175" spans="1:17">
      <c r="A175" s="437" t="s">
        <v>1345</v>
      </c>
      <c r="D175" s="438">
        <f t="shared" ref="D175:I175" si="190">SUM(D176:D195)</f>
        <v>79444</v>
      </c>
      <c r="E175" s="438">
        <f t="shared" si="190"/>
        <v>79612</v>
      </c>
      <c r="F175" s="438">
        <f t="shared" si="190"/>
        <v>80727</v>
      </c>
      <c r="G175" s="438">
        <f t="shared" si="190"/>
        <v>81776</v>
      </c>
      <c r="H175" s="438">
        <f t="shared" si="190"/>
        <v>82425</v>
      </c>
      <c r="I175" s="438">
        <f t="shared" si="190"/>
        <v>80674</v>
      </c>
      <c r="J175" s="438">
        <f t="shared" ref="J175:K175" si="191">SUM(J176:J195)</f>
        <v>81668</v>
      </c>
      <c r="K175" s="438">
        <f t="shared" si="191"/>
        <v>83952</v>
      </c>
      <c r="L175" s="438">
        <f t="shared" ref="L175" si="192">SUM(L176:L195)</f>
        <v>84565</v>
      </c>
      <c r="M175" s="435"/>
      <c r="N175" s="435"/>
    </row>
    <row r="176" spans="1:17">
      <c r="A176" s="437" t="s">
        <v>6957</v>
      </c>
      <c r="B176" s="437" t="s">
        <v>1346</v>
      </c>
      <c r="C176" s="4" t="s">
        <v>11514</v>
      </c>
      <c r="D176" s="438">
        <v>5599</v>
      </c>
      <c r="E176" s="438">
        <v>5530</v>
      </c>
      <c r="F176" s="438">
        <v>5595</v>
      </c>
      <c r="G176" s="48">
        <v>5642</v>
      </c>
      <c r="H176" s="48">
        <v>5753</v>
      </c>
      <c r="I176" s="48">
        <v>5677</v>
      </c>
      <c r="J176" s="48">
        <v>5769</v>
      </c>
      <c r="K176" s="48">
        <v>5800</v>
      </c>
      <c r="L176" s="48">
        <v>5916</v>
      </c>
      <c r="M176" s="435"/>
      <c r="N176" s="437" t="s">
        <v>2924</v>
      </c>
      <c r="O176" s="4"/>
      <c r="Q176" s="4"/>
    </row>
    <row r="177" spans="1:17">
      <c r="A177" s="437" t="s">
        <v>6959</v>
      </c>
      <c r="B177" s="437" t="s">
        <v>1347</v>
      </c>
      <c r="C177" s="4" t="s">
        <v>11515</v>
      </c>
      <c r="D177" s="438">
        <v>3036</v>
      </c>
      <c r="E177" s="438">
        <v>3275</v>
      </c>
      <c r="F177" s="438">
        <v>3508</v>
      </c>
      <c r="G177" s="48">
        <v>3627</v>
      </c>
      <c r="H177" s="48">
        <v>3844</v>
      </c>
      <c r="I177" s="48">
        <v>3913</v>
      </c>
      <c r="J177" s="48">
        <v>4320</v>
      </c>
      <c r="K177" s="48">
        <v>4616</v>
      </c>
      <c r="L177" s="48">
        <v>4913</v>
      </c>
      <c r="M177" s="435"/>
      <c r="N177" s="437" t="s">
        <v>2924</v>
      </c>
      <c r="O177" s="4"/>
      <c r="Q177" s="4"/>
    </row>
    <row r="178" spans="1:17">
      <c r="A178" s="437" t="s">
        <v>6961</v>
      </c>
      <c r="B178" s="437" t="s">
        <v>1348</v>
      </c>
      <c r="C178" s="4" t="s">
        <v>11516</v>
      </c>
      <c r="D178" s="438">
        <v>1774</v>
      </c>
      <c r="E178" s="438">
        <v>1770</v>
      </c>
      <c r="F178" s="438">
        <v>1731</v>
      </c>
      <c r="G178" s="48">
        <v>1732</v>
      </c>
      <c r="H178" s="48">
        <v>1765</v>
      </c>
      <c r="I178" s="48">
        <v>1728</v>
      </c>
      <c r="J178" s="48">
        <v>1671</v>
      </c>
      <c r="K178" s="48">
        <v>1698</v>
      </c>
      <c r="L178" s="48">
        <v>1716</v>
      </c>
      <c r="M178" s="435"/>
      <c r="N178" s="437" t="s">
        <v>2924</v>
      </c>
      <c r="O178" s="48"/>
      <c r="Q178" s="4"/>
    </row>
    <row r="179" spans="1:17">
      <c r="A179" s="437" t="s">
        <v>6963</v>
      </c>
      <c r="B179" s="437" t="s">
        <v>1349</v>
      </c>
      <c r="C179" s="4" t="s">
        <v>11517</v>
      </c>
      <c r="D179" s="438">
        <v>3242</v>
      </c>
      <c r="E179" s="438">
        <v>3259</v>
      </c>
      <c r="F179" s="438">
        <v>3298</v>
      </c>
      <c r="G179" s="48">
        <v>3317</v>
      </c>
      <c r="H179" s="48">
        <v>3300</v>
      </c>
      <c r="I179" s="48">
        <v>3251</v>
      </c>
      <c r="J179" s="48">
        <v>3238</v>
      </c>
      <c r="K179" s="48">
        <v>3321</v>
      </c>
      <c r="L179" s="48">
        <v>3316</v>
      </c>
      <c r="M179" s="435"/>
      <c r="N179" s="437" t="s">
        <v>2924</v>
      </c>
      <c r="O179" s="48"/>
      <c r="Q179" s="4"/>
    </row>
    <row r="180" spans="1:17">
      <c r="A180" s="437" t="s">
        <v>6965</v>
      </c>
      <c r="B180" s="437" t="s">
        <v>1350</v>
      </c>
      <c r="C180" s="4" t="s">
        <v>11518</v>
      </c>
      <c r="D180" s="438">
        <v>4765</v>
      </c>
      <c r="E180" s="438">
        <v>4751</v>
      </c>
      <c r="F180" s="438">
        <v>4835</v>
      </c>
      <c r="G180" s="48">
        <v>5043</v>
      </c>
      <c r="H180" s="48">
        <v>5089</v>
      </c>
      <c r="I180" s="48">
        <v>4909</v>
      </c>
      <c r="J180" s="48">
        <v>4956</v>
      </c>
      <c r="K180" s="48">
        <v>5080</v>
      </c>
      <c r="L180" s="48">
        <v>5119</v>
      </c>
      <c r="M180" s="435"/>
      <c r="N180" s="437" t="s">
        <v>2924</v>
      </c>
      <c r="Q180" s="4"/>
    </row>
    <row r="181" spans="1:17">
      <c r="A181" s="437" t="s">
        <v>6997</v>
      </c>
      <c r="B181" s="437" t="s">
        <v>10</v>
      </c>
      <c r="C181" s="4" t="s">
        <v>11519</v>
      </c>
      <c r="D181" s="438">
        <v>4803</v>
      </c>
      <c r="E181" s="438">
        <v>4833</v>
      </c>
      <c r="F181" s="438">
        <v>4955</v>
      </c>
      <c r="G181" s="48">
        <v>4982</v>
      </c>
      <c r="H181" s="48">
        <v>4941</v>
      </c>
      <c r="I181" s="48">
        <v>4794</v>
      </c>
      <c r="J181" s="48">
        <v>4717</v>
      </c>
      <c r="K181" s="48">
        <v>4718</v>
      </c>
      <c r="L181" s="48">
        <v>4736</v>
      </c>
      <c r="M181" s="435"/>
      <c r="N181" s="437" t="s">
        <v>2924</v>
      </c>
      <c r="O181" s="4"/>
      <c r="Q181" s="4"/>
    </row>
    <row r="182" spans="1:17">
      <c r="A182" s="437" t="s">
        <v>6999</v>
      </c>
      <c r="B182" s="437" t="s">
        <v>6484</v>
      </c>
      <c r="C182" s="4" t="s">
        <v>11520</v>
      </c>
      <c r="D182" s="438">
        <v>4794</v>
      </c>
      <c r="E182" s="438">
        <v>4792</v>
      </c>
      <c r="F182" s="438">
        <v>4741</v>
      </c>
      <c r="G182" s="48">
        <v>4783</v>
      </c>
      <c r="H182" s="48">
        <v>4735</v>
      </c>
      <c r="I182" s="48">
        <v>4612</v>
      </c>
      <c r="J182" s="48">
        <v>4566</v>
      </c>
      <c r="K182" s="48">
        <v>4619</v>
      </c>
      <c r="L182" s="48">
        <v>4587</v>
      </c>
      <c r="M182" s="435"/>
      <c r="N182" s="437" t="s">
        <v>2924</v>
      </c>
      <c r="Q182" s="4"/>
    </row>
    <row r="183" spans="1:17">
      <c r="A183" s="437" t="s">
        <v>7001</v>
      </c>
      <c r="B183" s="437" t="s">
        <v>6485</v>
      </c>
      <c r="C183" s="4" t="s">
        <v>11521</v>
      </c>
      <c r="D183" s="438">
        <v>4815</v>
      </c>
      <c r="E183" s="438">
        <v>4793</v>
      </c>
      <c r="F183" s="438">
        <v>4989</v>
      </c>
      <c r="G183" s="48">
        <v>5193</v>
      </c>
      <c r="H183" s="48">
        <v>5364</v>
      </c>
      <c r="I183" s="48">
        <v>5230</v>
      </c>
      <c r="J183" s="48">
        <v>5411</v>
      </c>
      <c r="K183" s="48">
        <v>5614</v>
      </c>
      <c r="L183" s="48">
        <v>5625</v>
      </c>
      <c r="M183" s="435"/>
      <c r="N183" s="437" t="s">
        <v>2924</v>
      </c>
      <c r="O183" s="4"/>
      <c r="Q183" s="4"/>
    </row>
    <row r="184" spans="1:17">
      <c r="A184" s="437" t="s">
        <v>7003</v>
      </c>
      <c r="B184" s="437" t="s">
        <v>6486</v>
      </c>
      <c r="C184" s="4" t="s">
        <v>11522</v>
      </c>
      <c r="D184" s="438">
        <v>5755</v>
      </c>
      <c r="E184" s="438">
        <v>5808</v>
      </c>
      <c r="F184" s="438">
        <v>5856</v>
      </c>
      <c r="G184" s="48">
        <v>5853</v>
      </c>
      <c r="H184" s="48">
        <v>5826</v>
      </c>
      <c r="I184" s="48">
        <v>5616</v>
      </c>
      <c r="J184" s="48">
        <v>5817</v>
      </c>
      <c r="K184" s="48">
        <v>6074</v>
      </c>
      <c r="L184" s="48">
        <v>6065</v>
      </c>
      <c r="M184" s="435"/>
      <c r="N184" s="437" t="s">
        <v>2924</v>
      </c>
      <c r="O184" s="4"/>
      <c r="Q184" s="4"/>
    </row>
    <row r="185" spans="1:17">
      <c r="A185" s="437" t="s">
        <v>7005</v>
      </c>
      <c r="B185" s="437" t="s">
        <v>6487</v>
      </c>
      <c r="C185" s="4" t="s">
        <v>11523</v>
      </c>
      <c r="D185" s="438">
        <v>5810</v>
      </c>
      <c r="E185" s="438">
        <v>5863</v>
      </c>
      <c r="F185" s="438">
        <v>6081</v>
      </c>
      <c r="G185" s="48">
        <v>6297</v>
      </c>
      <c r="H185" s="48">
        <v>6462</v>
      </c>
      <c r="I185" s="48">
        <v>6327</v>
      </c>
      <c r="J185" s="48">
        <v>6425</v>
      </c>
      <c r="K185" s="48">
        <v>6614</v>
      </c>
      <c r="L185" s="48">
        <v>6543</v>
      </c>
      <c r="M185" s="435"/>
      <c r="N185" s="437" t="s">
        <v>2924</v>
      </c>
      <c r="Q185" s="4"/>
    </row>
    <row r="186" spans="1:17">
      <c r="A186" s="437" t="s">
        <v>7007</v>
      </c>
      <c r="B186" s="437" t="s">
        <v>4714</v>
      </c>
      <c r="C186" s="4" t="s">
        <v>11524</v>
      </c>
      <c r="D186" s="438">
        <v>5076</v>
      </c>
      <c r="E186" s="438">
        <v>5014</v>
      </c>
      <c r="F186" s="438">
        <v>5139</v>
      </c>
      <c r="G186" s="48">
        <v>5221</v>
      </c>
      <c r="H186" s="48">
        <v>5211</v>
      </c>
      <c r="I186" s="48">
        <v>5028</v>
      </c>
      <c r="J186" s="48">
        <v>4848</v>
      </c>
      <c r="K186" s="48">
        <v>4886</v>
      </c>
      <c r="L186" s="48">
        <v>4757</v>
      </c>
      <c r="M186" s="435"/>
      <c r="N186" s="437" t="s">
        <v>2924</v>
      </c>
      <c r="Q186" s="4"/>
    </row>
    <row r="187" spans="1:17">
      <c r="A187" s="437" t="s">
        <v>7009</v>
      </c>
      <c r="B187" s="437" t="s">
        <v>4715</v>
      </c>
      <c r="C187" s="4" t="s">
        <v>11525</v>
      </c>
      <c r="D187" s="438">
        <v>3355</v>
      </c>
      <c r="E187" s="438">
        <v>3357</v>
      </c>
      <c r="F187" s="438">
        <v>3404</v>
      </c>
      <c r="G187" s="48">
        <v>3401</v>
      </c>
      <c r="H187" s="48">
        <v>3391</v>
      </c>
      <c r="I187" s="48">
        <v>3317</v>
      </c>
      <c r="J187" s="48">
        <v>3451</v>
      </c>
      <c r="K187" s="48">
        <v>3660</v>
      </c>
      <c r="L187" s="48">
        <v>3866</v>
      </c>
      <c r="M187" s="435"/>
      <c r="N187" s="437" t="s">
        <v>2924</v>
      </c>
      <c r="Q187" s="4"/>
    </row>
    <row r="188" spans="1:17">
      <c r="A188" s="437" t="s">
        <v>7011</v>
      </c>
      <c r="B188" s="437" t="s">
        <v>4716</v>
      </c>
      <c r="C188" s="4" t="s">
        <v>11526</v>
      </c>
      <c r="D188" s="438">
        <v>4858</v>
      </c>
      <c r="E188" s="438">
        <v>4762</v>
      </c>
      <c r="F188" s="438">
        <v>4847</v>
      </c>
      <c r="G188" s="48">
        <v>4861</v>
      </c>
      <c r="H188" s="48">
        <v>4883</v>
      </c>
      <c r="I188" s="48">
        <v>4802</v>
      </c>
      <c r="J188" s="48">
        <v>4823</v>
      </c>
      <c r="K188" s="48">
        <v>4995</v>
      </c>
      <c r="L188" s="48">
        <v>5064</v>
      </c>
      <c r="M188" s="435"/>
      <c r="N188" s="437" t="s">
        <v>2924</v>
      </c>
      <c r="O188" s="4"/>
      <c r="Q188" s="4"/>
    </row>
    <row r="189" spans="1:17">
      <c r="A189" s="437" t="s">
        <v>7013</v>
      </c>
      <c r="B189" s="437" t="s">
        <v>4717</v>
      </c>
      <c r="C189" s="4" t="s">
        <v>11527</v>
      </c>
      <c r="D189" s="438">
        <v>4842</v>
      </c>
      <c r="E189" s="438">
        <v>4851</v>
      </c>
      <c r="F189" s="438">
        <v>4844</v>
      </c>
      <c r="G189" s="48">
        <v>4822</v>
      </c>
      <c r="H189" s="48">
        <v>4918</v>
      </c>
      <c r="I189" s="48">
        <v>4855</v>
      </c>
      <c r="J189" s="48">
        <v>4964</v>
      </c>
      <c r="K189" s="48">
        <v>5102</v>
      </c>
      <c r="L189" s="48">
        <v>5141</v>
      </c>
      <c r="M189" s="435"/>
      <c r="N189" s="437" t="s">
        <v>2713</v>
      </c>
      <c r="O189" s="4"/>
      <c r="Q189" s="4"/>
    </row>
    <row r="190" spans="1:17">
      <c r="A190" s="437" t="s">
        <v>7015</v>
      </c>
      <c r="B190" s="437" t="s">
        <v>4718</v>
      </c>
      <c r="C190" s="4" t="s">
        <v>11528</v>
      </c>
      <c r="D190" s="438">
        <v>3550</v>
      </c>
      <c r="E190" s="438">
        <v>3552</v>
      </c>
      <c r="F190" s="438">
        <v>3510</v>
      </c>
      <c r="G190" s="48">
        <v>3528</v>
      </c>
      <c r="H190" s="48">
        <v>3524</v>
      </c>
      <c r="I190" s="48">
        <v>3425</v>
      </c>
      <c r="J190" s="48">
        <v>3483</v>
      </c>
      <c r="K190" s="48">
        <v>3553</v>
      </c>
      <c r="L190" s="48">
        <v>3573</v>
      </c>
      <c r="M190" s="435"/>
      <c r="N190" s="437" t="s">
        <v>2924</v>
      </c>
      <c r="O190" s="4"/>
      <c r="Q190" s="4"/>
    </row>
    <row r="191" spans="1:17">
      <c r="A191" s="437" t="s">
        <v>7017</v>
      </c>
      <c r="B191" s="437" t="s">
        <v>1351</v>
      </c>
      <c r="C191" s="4" t="s">
        <v>11529</v>
      </c>
      <c r="D191" s="438">
        <v>3254</v>
      </c>
      <c r="E191" s="438">
        <v>3224</v>
      </c>
      <c r="F191" s="438">
        <v>3210</v>
      </c>
      <c r="G191" s="48">
        <v>3234</v>
      </c>
      <c r="H191" s="48">
        <v>3213</v>
      </c>
      <c r="I191" s="48">
        <v>3145</v>
      </c>
      <c r="J191" s="48">
        <v>3113</v>
      </c>
      <c r="K191" s="48">
        <v>3167</v>
      </c>
      <c r="L191" s="48">
        <v>3118</v>
      </c>
      <c r="M191" s="435"/>
      <c r="N191" s="437" t="s">
        <v>2924</v>
      </c>
      <c r="O191" s="4"/>
      <c r="Q191" s="4"/>
    </row>
    <row r="192" spans="1:17">
      <c r="A192" s="437" t="s">
        <v>7019</v>
      </c>
      <c r="B192" s="437" t="s">
        <v>1352</v>
      </c>
      <c r="C192" s="4" t="s">
        <v>11530</v>
      </c>
      <c r="D192" s="438">
        <v>1784</v>
      </c>
      <c r="E192" s="438">
        <v>1777</v>
      </c>
      <c r="F192" s="438">
        <v>1779</v>
      </c>
      <c r="G192" s="48">
        <v>1828</v>
      </c>
      <c r="H192" s="48">
        <v>1787</v>
      </c>
      <c r="I192" s="48">
        <v>1779</v>
      </c>
      <c r="J192" s="48">
        <v>1739</v>
      </c>
      <c r="K192" s="48">
        <v>1767</v>
      </c>
      <c r="L192" s="48">
        <v>1758</v>
      </c>
      <c r="M192" s="435"/>
      <c r="N192" s="437" t="s">
        <v>2924</v>
      </c>
      <c r="O192" s="4"/>
      <c r="Q192" s="4"/>
    </row>
    <row r="193" spans="1:17">
      <c r="A193" s="437" t="s">
        <v>7021</v>
      </c>
      <c r="B193" s="437" t="s">
        <v>1353</v>
      </c>
      <c r="C193" s="4" t="s">
        <v>11531</v>
      </c>
      <c r="D193" s="438">
        <v>3398</v>
      </c>
      <c r="E193" s="438">
        <v>3428</v>
      </c>
      <c r="F193" s="438">
        <v>3430</v>
      </c>
      <c r="G193" s="48">
        <v>3392</v>
      </c>
      <c r="H193" s="48">
        <v>3429</v>
      </c>
      <c r="I193" s="48">
        <v>3339</v>
      </c>
      <c r="J193" s="48">
        <v>3381</v>
      </c>
      <c r="K193" s="48">
        <v>3470</v>
      </c>
      <c r="L193" s="48">
        <v>3486</v>
      </c>
      <c r="M193" s="435"/>
      <c r="N193" s="437" t="s">
        <v>2713</v>
      </c>
      <c r="O193" s="4"/>
      <c r="Q193" s="4"/>
    </row>
    <row r="194" spans="1:17">
      <c r="A194" s="437" t="s">
        <v>7023</v>
      </c>
      <c r="B194" s="437" t="s">
        <v>1354</v>
      </c>
      <c r="C194" s="4" t="s">
        <v>11532</v>
      </c>
      <c r="D194" s="438">
        <v>1691</v>
      </c>
      <c r="E194" s="438">
        <v>1725</v>
      </c>
      <c r="F194" s="438">
        <v>1741</v>
      </c>
      <c r="G194" s="48">
        <v>1767</v>
      </c>
      <c r="H194" s="48">
        <v>1749</v>
      </c>
      <c r="I194" s="48">
        <v>1732</v>
      </c>
      <c r="J194" s="48">
        <v>1768</v>
      </c>
      <c r="K194" s="48">
        <v>1907</v>
      </c>
      <c r="L194" s="48">
        <v>1946</v>
      </c>
      <c r="M194" s="435"/>
      <c r="N194" s="437" t="s">
        <v>2924</v>
      </c>
      <c r="O194" s="4"/>
      <c r="Q194" s="4"/>
    </row>
    <row r="195" spans="1:17">
      <c r="A195" s="437" t="s">
        <v>7025</v>
      </c>
      <c r="B195" s="437" t="s">
        <v>1355</v>
      </c>
      <c r="C195" s="4" t="s">
        <v>11533</v>
      </c>
      <c r="D195" s="438">
        <v>3243</v>
      </c>
      <c r="E195" s="438">
        <v>3248</v>
      </c>
      <c r="F195" s="438">
        <v>3234</v>
      </c>
      <c r="G195" s="48">
        <v>3253</v>
      </c>
      <c r="H195" s="48">
        <v>3241</v>
      </c>
      <c r="I195" s="48">
        <v>3195</v>
      </c>
      <c r="J195" s="48">
        <v>3208</v>
      </c>
      <c r="K195" s="48">
        <v>3291</v>
      </c>
      <c r="L195" s="48">
        <v>3320</v>
      </c>
      <c r="M195" s="435"/>
      <c r="N195" s="437" t="s">
        <v>2924</v>
      </c>
      <c r="O195" s="4"/>
      <c r="Q195" s="4"/>
    </row>
    <row r="196" spans="1:17">
      <c r="A196" s="435"/>
      <c r="B196" s="435"/>
      <c r="D196" s="444"/>
      <c r="E196" s="444"/>
      <c r="F196" s="444"/>
      <c r="G196" s="444"/>
      <c r="H196" s="444"/>
      <c r="I196" s="444"/>
      <c r="J196" s="444"/>
      <c r="K196"/>
      <c r="L196"/>
      <c r="M196" s="435"/>
      <c r="N196" s="435"/>
    </row>
    <row r="197" spans="1:17">
      <c r="A197" s="437" t="s">
        <v>2924</v>
      </c>
      <c r="D197" s="438">
        <f t="shared" ref="D197:I197" si="193">SUM(D176:D188)+SUM(D190:D192)+D194+D195</f>
        <v>71204</v>
      </c>
      <c r="E197" s="438">
        <f t="shared" si="193"/>
        <v>71333</v>
      </c>
      <c r="F197" s="438">
        <f t="shared" si="193"/>
        <v>72453</v>
      </c>
      <c r="G197" s="438">
        <f t="shared" si="193"/>
        <v>73562</v>
      </c>
      <c r="H197" s="438">
        <f t="shared" si="193"/>
        <v>74078</v>
      </c>
      <c r="I197" s="438">
        <f t="shared" si="193"/>
        <v>72480</v>
      </c>
      <c r="J197" s="438">
        <f t="shared" ref="J197" si="194">SUM(J176:J188)+SUM(J190:J192)+J194+J195</f>
        <v>73323</v>
      </c>
      <c r="K197" s="438">
        <f>SUM(K176:K188)+SUM(K190:K192)+K194+K195</f>
        <v>75380</v>
      </c>
      <c r="L197" s="438">
        <f t="shared" ref="L197" si="195">SUM(L176:L188)+SUM(L190:L192)+L194+L195</f>
        <v>75938</v>
      </c>
      <c r="M197" s="435"/>
      <c r="N197" s="435"/>
    </row>
    <row r="198" spans="1:17">
      <c r="A198" s="437" t="s">
        <v>1356</v>
      </c>
      <c r="D198" s="438">
        <f t="shared" ref="D198:I198" si="196">D189+D193</f>
        <v>8240</v>
      </c>
      <c r="E198" s="438">
        <f t="shared" si="196"/>
        <v>8279</v>
      </c>
      <c r="F198" s="438">
        <f t="shared" si="196"/>
        <v>8274</v>
      </c>
      <c r="G198" s="438">
        <f t="shared" si="196"/>
        <v>8214</v>
      </c>
      <c r="H198" s="438">
        <f t="shared" si="196"/>
        <v>8347</v>
      </c>
      <c r="I198" s="438">
        <f t="shared" si="196"/>
        <v>8194</v>
      </c>
      <c r="J198" s="438">
        <f t="shared" ref="J198:K198" si="197">J189+J193</f>
        <v>8345</v>
      </c>
      <c r="K198" s="438">
        <f t="shared" si="197"/>
        <v>8572</v>
      </c>
      <c r="L198" s="438">
        <f t="shared" ref="L198" si="198">L189+L193</f>
        <v>8627</v>
      </c>
      <c r="M198" s="435"/>
      <c r="N198" s="435"/>
    </row>
    <row r="199" spans="1:17">
      <c r="A199" s="437"/>
      <c r="D199" s="438"/>
      <c r="E199" s="438"/>
      <c r="F199" s="438"/>
      <c r="G199" s="438"/>
      <c r="H199" s="438"/>
      <c r="I199" s="438"/>
      <c r="J199" s="438"/>
      <c r="K199" s="438"/>
      <c r="L199" s="438"/>
      <c r="M199" s="435"/>
      <c r="N199" s="435"/>
    </row>
    <row r="200" spans="1:17">
      <c r="A200" s="437" t="s">
        <v>26</v>
      </c>
      <c r="D200" s="438"/>
      <c r="E200" s="438"/>
      <c r="F200" s="438"/>
      <c r="G200" s="438"/>
      <c r="H200" s="438"/>
      <c r="I200" s="438"/>
      <c r="J200" s="438"/>
      <c r="K200" s="438"/>
      <c r="L200" s="438"/>
      <c r="M200" s="435"/>
      <c r="N200" s="435"/>
    </row>
    <row r="201" spans="1:17">
      <c r="A201" s="437"/>
      <c r="B201" s="437"/>
      <c r="D201" s="449"/>
      <c r="E201" s="449"/>
      <c r="F201" s="449"/>
      <c r="G201" s="449"/>
      <c r="H201" s="449"/>
      <c r="I201" s="449"/>
      <c r="J201" s="449"/>
      <c r="K201" s="449"/>
      <c r="L201" s="449"/>
      <c r="M201" s="435"/>
      <c r="N201" s="435"/>
    </row>
    <row r="202" spans="1:17">
      <c r="A202" s="437"/>
      <c r="B202" s="437"/>
      <c r="D202" s="449"/>
      <c r="E202" s="449"/>
      <c r="F202" s="449"/>
      <c r="G202" s="449"/>
      <c r="H202" s="449"/>
      <c r="I202" s="449"/>
      <c r="J202" s="449"/>
      <c r="K202" s="449"/>
      <c r="L202" s="449"/>
      <c r="M202" s="435"/>
      <c r="N202" s="435"/>
    </row>
    <row r="203" spans="1:17">
      <c r="A203" s="435"/>
      <c r="B203" s="435"/>
      <c r="E203" s="42" t="s">
        <v>2303</v>
      </c>
      <c r="F203" s="42"/>
      <c r="G203" s="42"/>
      <c r="H203" s="42"/>
      <c r="I203" s="42"/>
      <c r="J203" s="42"/>
      <c r="K203" s="42"/>
      <c r="L203" s="42"/>
      <c r="M203" s="109"/>
      <c r="N203" s="109" t="s">
        <v>13319</v>
      </c>
    </row>
    <row r="204" spans="1:17">
      <c r="A204" s="435"/>
      <c r="B204" s="435"/>
      <c r="D204" s="110">
        <v>2010</v>
      </c>
      <c r="E204" s="110">
        <v>2011</v>
      </c>
      <c r="F204" s="110">
        <v>2012</v>
      </c>
      <c r="G204" s="110">
        <v>2013</v>
      </c>
      <c r="H204" s="110">
        <v>2014</v>
      </c>
      <c r="I204" s="110">
        <v>2015</v>
      </c>
      <c r="J204" s="110">
        <v>2016</v>
      </c>
      <c r="K204" s="110">
        <v>2017</v>
      </c>
      <c r="L204" s="110">
        <v>2018</v>
      </c>
      <c r="M204" s="435"/>
      <c r="N204" s="112" t="s">
        <v>2304</v>
      </c>
    </row>
    <row r="205" spans="1:17">
      <c r="A205" s="437" t="s">
        <v>3655</v>
      </c>
      <c r="D205" s="438">
        <f t="shared" ref="D205:I205" si="199">SUM(D206:D226)</f>
        <v>61208</v>
      </c>
      <c r="E205" s="438">
        <f t="shared" si="199"/>
        <v>61748</v>
      </c>
      <c r="F205" s="438">
        <f t="shared" si="199"/>
        <v>60559</v>
      </c>
      <c r="G205" s="438">
        <f t="shared" si="199"/>
        <v>61240</v>
      </c>
      <c r="H205" s="438">
        <f t="shared" si="199"/>
        <v>60486</v>
      </c>
      <c r="I205" s="438">
        <f t="shared" si="199"/>
        <v>59258</v>
      </c>
      <c r="J205" s="438">
        <f t="shared" ref="J205:K205" si="200">SUM(J206:J226)</f>
        <v>59381</v>
      </c>
      <c r="K205" s="438">
        <f t="shared" si="200"/>
        <v>60098</v>
      </c>
      <c r="L205" s="438">
        <f t="shared" ref="L205" si="201">SUM(L206:L226)</f>
        <v>60428</v>
      </c>
      <c r="M205" s="435"/>
      <c r="N205" s="435"/>
    </row>
    <row r="206" spans="1:17">
      <c r="A206" s="437" t="s">
        <v>6957</v>
      </c>
      <c r="B206" s="437" t="s">
        <v>3656</v>
      </c>
      <c r="C206" s="4" t="s">
        <v>11534</v>
      </c>
      <c r="D206" s="438">
        <v>3549</v>
      </c>
      <c r="E206" s="438">
        <v>3594</v>
      </c>
      <c r="F206" s="438">
        <v>3549</v>
      </c>
      <c r="G206" s="30">
        <v>3567</v>
      </c>
      <c r="H206" s="30">
        <v>3510</v>
      </c>
      <c r="I206" s="30">
        <v>3439</v>
      </c>
      <c r="J206" s="30">
        <v>3443</v>
      </c>
      <c r="K206" s="30">
        <v>3450</v>
      </c>
      <c r="L206" s="30">
        <v>3408</v>
      </c>
      <c r="M206" s="435"/>
      <c r="N206" s="437" t="s">
        <v>2700</v>
      </c>
      <c r="O206" s="4"/>
      <c r="Q206" s="4"/>
    </row>
    <row r="207" spans="1:17">
      <c r="A207" s="437" t="s">
        <v>6959</v>
      </c>
      <c r="B207" s="437" t="s">
        <v>3657</v>
      </c>
      <c r="C207" s="4" t="s">
        <v>11535</v>
      </c>
      <c r="D207" s="438">
        <v>3679</v>
      </c>
      <c r="E207" s="438">
        <v>3735</v>
      </c>
      <c r="F207" s="438">
        <v>3600</v>
      </c>
      <c r="G207" s="30">
        <v>3665</v>
      </c>
      <c r="H207" s="30">
        <v>3581</v>
      </c>
      <c r="I207" s="30">
        <v>3558</v>
      </c>
      <c r="J207" s="30">
        <v>3621</v>
      </c>
      <c r="K207" s="30">
        <v>3634</v>
      </c>
      <c r="L207" s="30">
        <v>3611</v>
      </c>
      <c r="M207" s="435"/>
      <c r="N207" s="437" t="s">
        <v>2700</v>
      </c>
      <c r="O207" s="4"/>
      <c r="Q207" s="4"/>
    </row>
    <row r="208" spans="1:17">
      <c r="A208" s="437" t="s">
        <v>6961</v>
      </c>
      <c r="B208" s="437" t="s">
        <v>7725</v>
      </c>
      <c r="C208" s="4" t="s">
        <v>11536</v>
      </c>
      <c r="D208" s="438">
        <v>3592</v>
      </c>
      <c r="E208" s="438">
        <v>3516</v>
      </c>
      <c r="F208" s="438">
        <v>3287</v>
      </c>
      <c r="G208" s="30">
        <v>3407</v>
      </c>
      <c r="H208" s="30">
        <v>3205</v>
      </c>
      <c r="I208" s="30">
        <v>3015</v>
      </c>
      <c r="J208" s="30">
        <v>3073</v>
      </c>
      <c r="K208" s="30">
        <v>3201</v>
      </c>
      <c r="L208" s="30">
        <v>3232</v>
      </c>
      <c r="M208" s="435"/>
      <c r="N208" s="437" t="s">
        <v>2700</v>
      </c>
      <c r="O208" s="4"/>
      <c r="Q208" s="4"/>
    </row>
    <row r="209" spans="1:17">
      <c r="A209" s="437" t="s">
        <v>6963</v>
      </c>
      <c r="B209" s="437" t="s">
        <v>7935</v>
      </c>
      <c r="C209" s="4" t="s">
        <v>11537</v>
      </c>
      <c r="D209" s="438">
        <v>3373</v>
      </c>
      <c r="E209" s="438">
        <v>3400</v>
      </c>
      <c r="F209" s="438">
        <v>3329</v>
      </c>
      <c r="G209" s="30">
        <v>3361</v>
      </c>
      <c r="H209" s="30">
        <v>3345</v>
      </c>
      <c r="I209" s="30">
        <v>3267</v>
      </c>
      <c r="J209" s="30">
        <v>3246</v>
      </c>
      <c r="K209" s="30">
        <v>3330</v>
      </c>
      <c r="L209" s="30">
        <v>3290</v>
      </c>
      <c r="M209" s="435"/>
      <c r="N209" s="437" t="s">
        <v>2700</v>
      </c>
      <c r="O209" s="4"/>
      <c r="Q209" s="4"/>
    </row>
    <row r="210" spans="1:17">
      <c r="A210" s="437" t="s">
        <v>6965</v>
      </c>
      <c r="B210" s="437" t="s">
        <v>3658</v>
      </c>
      <c r="C210" s="4" t="s">
        <v>11538</v>
      </c>
      <c r="D210" s="438">
        <v>1258</v>
      </c>
      <c r="E210" s="438">
        <v>1282</v>
      </c>
      <c r="F210" s="438">
        <v>1248</v>
      </c>
      <c r="G210" s="30">
        <v>1247</v>
      </c>
      <c r="H210" s="30">
        <v>1240</v>
      </c>
      <c r="I210" s="30">
        <v>1220</v>
      </c>
      <c r="J210" s="30">
        <v>1228</v>
      </c>
      <c r="K210" s="30">
        <v>1267</v>
      </c>
      <c r="L210" s="30">
        <v>1256</v>
      </c>
      <c r="M210" s="435"/>
      <c r="N210" s="437" t="s">
        <v>2700</v>
      </c>
      <c r="O210" s="4"/>
      <c r="Q210" s="4"/>
    </row>
    <row r="211" spans="1:17">
      <c r="A211" s="437" t="s">
        <v>6997</v>
      </c>
      <c r="B211" s="437" t="s">
        <v>3659</v>
      </c>
      <c r="C211" s="4" t="s">
        <v>11539</v>
      </c>
      <c r="D211" s="438">
        <v>3535</v>
      </c>
      <c r="E211" s="438">
        <v>3584</v>
      </c>
      <c r="F211" s="438">
        <v>3484</v>
      </c>
      <c r="G211" s="30">
        <v>3521</v>
      </c>
      <c r="H211" s="30">
        <v>3440</v>
      </c>
      <c r="I211" s="30">
        <v>3367</v>
      </c>
      <c r="J211" s="30">
        <v>3368</v>
      </c>
      <c r="K211" s="30">
        <v>3353</v>
      </c>
      <c r="L211" s="30">
        <v>3350</v>
      </c>
      <c r="M211" s="435"/>
      <c r="N211" s="437" t="s">
        <v>2700</v>
      </c>
      <c r="O211" s="4"/>
      <c r="Q211" s="4"/>
    </row>
    <row r="212" spans="1:17">
      <c r="A212" s="437" t="s">
        <v>6999</v>
      </c>
      <c r="B212" s="437" t="s">
        <v>3660</v>
      </c>
      <c r="C212" s="4" t="s">
        <v>11540</v>
      </c>
      <c r="D212" s="438">
        <v>2529</v>
      </c>
      <c r="E212" s="438">
        <v>2560</v>
      </c>
      <c r="F212" s="438">
        <v>2488</v>
      </c>
      <c r="G212" s="30">
        <v>2517</v>
      </c>
      <c r="H212" s="30">
        <v>2391</v>
      </c>
      <c r="I212" s="30">
        <v>2335</v>
      </c>
      <c r="J212" s="30">
        <v>2332</v>
      </c>
      <c r="K212" s="30">
        <v>2404</v>
      </c>
      <c r="L212" s="30">
        <v>2411</v>
      </c>
      <c r="M212" s="435"/>
      <c r="N212" s="437" t="s">
        <v>2700</v>
      </c>
      <c r="O212" s="4"/>
      <c r="Q212" s="4"/>
    </row>
    <row r="213" spans="1:17">
      <c r="A213" s="437" t="s">
        <v>7001</v>
      </c>
      <c r="B213" s="437" t="s">
        <v>3661</v>
      </c>
      <c r="C213" s="4" t="s">
        <v>11541</v>
      </c>
      <c r="D213" s="438">
        <v>2337</v>
      </c>
      <c r="E213" s="438">
        <v>2330</v>
      </c>
      <c r="F213" s="438">
        <v>2310</v>
      </c>
      <c r="G213" s="30">
        <v>2313</v>
      </c>
      <c r="H213" s="30">
        <v>2260</v>
      </c>
      <c r="I213" s="30">
        <v>2241</v>
      </c>
      <c r="J213" s="30">
        <v>2237</v>
      </c>
      <c r="K213" s="30">
        <v>2210</v>
      </c>
      <c r="L213" s="30">
        <v>2195</v>
      </c>
      <c r="M213" s="435"/>
      <c r="N213" s="437" t="s">
        <v>2700</v>
      </c>
      <c r="O213" s="4"/>
      <c r="Q213" s="4"/>
    </row>
    <row r="214" spans="1:17">
      <c r="A214" s="437" t="s">
        <v>7003</v>
      </c>
      <c r="B214" s="437" t="s">
        <v>3662</v>
      </c>
      <c r="C214" s="4" t="s">
        <v>11542</v>
      </c>
      <c r="D214" s="438">
        <v>3589</v>
      </c>
      <c r="E214" s="438">
        <v>3676</v>
      </c>
      <c r="F214" s="438">
        <v>3725</v>
      </c>
      <c r="G214" s="30">
        <v>3729</v>
      </c>
      <c r="H214" s="30">
        <v>3694</v>
      </c>
      <c r="I214" s="30">
        <v>3615</v>
      </c>
      <c r="J214" s="30">
        <v>3654</v>
      </c>
      <c r="K214" s="30">
        <v>3669</v>
      </c>
      <c r="L214" s="30">
        <v>3792</v>
      </c>
      <c r="M214" s="435"/>
      <c r="N214" s="437" t="s">
        <v>2700</v>
      </c>
      <c r="O214" s="4"/>
      <c r="Q214" s="4"/>
    </row>
    <row r="215" spans="1:17">
      <c r="A215" s="437" t="s">
        <v>7005</v>
      </c>
      <c r="B215" s="437" t="s">
        <v>3663</v>
      </c>
      <c r="C215" s="4" t="s">
        <v>11543</v>
      </c>
      <c r="D215" s="438">
        <v>3400</v>
      </c>
      <c r="E215" s="438">
        <v>3386</v>
      </c>
      <c r="F215" s="438">
        <v>3281</v>
      </c>
      <c r="G215" s="30">
        <v>3285</v>
      </c>
      <c r="H215" s="30">
        <v>3286</v>
      </c>
      <c r="I215" s="30">
        <v>3212</v>
      </c>
      <c r="J215" s="30">
        <v>3156</v>
      </c>
      <c r="K215" s="30">
        <v>3137</v>
      </c>
      <c r="L215" s="30">
        <v>3120</v>
      </c>
      <c r="M215" s="435"/>
      <c r="N215" s="437" t="s">
        <v>2700</v>
      </c>
      <c r="O215" s="4"/>
      <c r="Q215" s="4"/>
    </row>
    <row r="216" spans="1:17">
      <c r="A216" s="437" t="s">
        <v>7007</v>
      </c>
      <c r="B216" s="437" t="s">
        <v>3664</v>
      </c>
      <c r="C216" s="4" t="s">
        <v>11544</v>
      </c>
      <c r="D216" s="438">
        <v>3218</v>
      </c>
      <c r="E216" s="438">
        <v>3231</v>
      </c>
      <c r="F216" s="438">
        <v>3147</v>
      </c>
      <c r="G216" s="30">
        <v>3134</v>
      </c>
      <c r="H216" s="30">
        <v>3099</v>
      </c>
      <c r="I216" s="30">
        <v>3056</v>
      </c>
      <c r="J216" s="30">
        <v>3032</v>
      </c>
      <c r="K216" s="30">
        <v>3083</v>
      </c>
      <c r="L216" s="30">
        <v>3157</v>
      </c>
      <c r="M216" s="435"/>
      <c r="N216" s="437" t="s">
        <v>2700</v>
      </c>
      <c r="O216" s="4"/>
      <c r="Q216" s="4"/>
    </row>
    <row r="217" spans="1:17">
      <c r="A217" s="437" t="s">
        <v>7009</v>
      </c>
      <c r="B217" s="437" t="s">
        <v>3665</v>
      </c>
      <c r="C217" s="4" t="s">
        <v>11545</v>
      </c>
      <c r="D217" s="438">
        <v>2139</v>
      </c>
      <c r="E217" s="438">
        <v>2166</v>
      </c>
      <c r="F217" s="438">
        <v>2109</v>
      </c>
      <c r="G217" s="30">
        <v>2142</v>
      </c>
      <c r="H217" s="30">
        <v>2113</v>
      </c>
      <c r="I217" s="30">
        <v>2067</v>
      </c>
      <c r="J217" s="30">
        <v>2021</v>
      </c>
      <c r="K217" s="30">
        <v>2028</v>
      </c>
      <c r="L217" s="30">
        <v>2029</v>
      </c>
      <c r="M217" s="435"/>
      <c r="N217" s="437" t="s">
        <v>2700</v>
      </c>
      <c r="O217" s="4"/>
      <c r="Q217" s="4"/>
    </row>
    <row r="218" spans="1:17">
      <c r="A218" s="437" t="s">
        <v>7011</v>
      </c>
      <c r="B218" s="437" t="s">
        <v>3666</v>
      </c>
      <c r="C218" s="4" t="s">
        <v>11546</v>
      </c>
      <c r="D218" s="438">
        <v>2671</v>
      </c>
      <c r="E218" s="438">
        <v>2741</v>
      </c>
      <c r="F218" s="438">
        <v>2791</v>
      </c>
      <c r="G218" s="30">
        <v>2855</v>
      </c>
      <c r="H218" s="30">
        <v>2897</v>
      </c>
      <c r="I218" s="30">
        <v>2834</v>
      </c>
      <c r="J218" s="30">
        <v>2845</v>
      </c>
      <c r="K218" s="30">
        <v>2851</v>
      </c>
      <c r="L218" s="30">
        <v>2901</v>
      </c>
      <c r="M218" s="435"/>
      <c r="N218" s="437" t="s">
        <v>2700</v>
      </c>
      <c r="O218" s="4"/>
      <c r="Q218" s="4"/>
    </row>
    <row r="219" spans="1:17">
      <c r="A219" s="437" t="s">
        <v>7013</v>
      </c>
      <c r="B219" s="437" t="s">
        <v>3667</v>
      </c>
      <c r="C219" s="4" t="s">
        <v>11547</v>
      </c>
      <c r="D219" s="438">
        <v>2596</v>
      </c>
      <c r="E219" s="438">
        <v>2589</v>
      </c>
      <c r="F219" s="438">
        <v>2472</v>
      </c>
      <c r="G219" s="30">
        <v>2494</v>
      </c>
      <c r="H219" s="30">
        <v>2440</v>
      </c>
      <c r="I219" s="30">
        <v>2422</v>
      </c>
      <c r="J219" s="30">
        <v>2412</v>
      </c>
      <c r="K219" s="30">
        <v>2465</v>
      </c>
      <c r="L219" s="30">
        <v>2462</v>
      </c>
      <c r="M219" s="435"/>
      <c r="N219" s="437" t="s">
        <v>2700</v>
      </c>
      <c r="O219" s="4"/>
      <c r="Q219" s="4"/>
    </row>
    <row r="220" spans="1:17">
      <c r="A220" s="437" t="s">
        <v>7015</v>
      </c>
      <c r="B220" s="437" t="s">
        <v>2442</v>
      </c>
      <c r="C220" s="4" t="s">
        <v>11548</v>
      </c>
      <c r="D220" s="438">
        <v>4253</v>
      </c>
      <c r="E220" s="438">
        <v>4284</v>
      </c>
      <c r="F220" s="438">
        <v>4225</v>
      </c>
      <c r="G220" s="30">
        <v>4305</v>
      </c>
      <c r="H220" s="30">
        <v>4270</v>
      </c>
      <c r="I220" s="30">
        <v>4152</v>
      </c>
      <c r="J220" s="30">
        <v>4146</v>
      </c>
      <c r="K220" s="30">
        <v>4133</v>
      </c>
      <c r="L220" s="30">
        <v>4082</v>
      </c>
      <c r="M220" s="435"/>
      <c r="N220" s="437" t="s">
        <v>2700</v>
      </c>
      <c r="O220" s="4"/>
      <c r="Q220" s="4"/>
    </row>
    <row r="221" spans="1:17">
      <c r="A221" s="437" t="s">
        <v>7017</v>
      </c>
      <c r="B221" s="437" t="s">
        <v>3668</v>
      </c>
      <c r="C221" s="4" t="s">
        <v>11549</v>
      </c>
      <c r="D221" s="438">
        <v>1186</v>
      </c>
      <c r="E221" s="438">
        <v>1188</v>
      </c>
      <c r="F221" s="438">
        <v>1190</v>
      </c>
      <c r="G221" s="31">
        <v>1193</v>
      </c>
      <c r="H221" s="31">
        <v>1186</v>
      </c>
      <c r="I221" s="31">
        <v>1183</v>
      </c>
      <c r="J221" s="31">
        <v>1200</v>
      </c>
      <c r="K221" s="31">
        <v>1251</v>
      </c>
      <c r="L221" s="31">
        <v>1294</v>
      </c>
      <c r="M221" s="435"/>
      <c r="N221" s="437" t="s">
        <v>2700</v>
      </c>
      <c r="O221" s="4"/>
      <c r="Q221" s="4"/>
    </row>
    <row r="222" spans="1:17">
      <c r="A222" s="437" t="s">
        <v>7019</v>
      </c>
      <c r="B222" s="437" t="s">
        <v>7742</v>
      </c>
      <c r="C222" s="4" t="s">
        <v>11550</v>
      </c>
      <c r="D222" s="438">
        <v>3458</v>
      </c>
      <c r="E222" s="438">
        <v>3525</v>
      </c>
      <c r="F222" s="438">
        <v>3565</v>
      </c>
      <c r="G222" s="31">
        <v>1158</v>
      </c>
      <c r="H222" s="31">
        <v>3675</v>
      </c>
      <c r="I222" s="31">
        <v>3636</v>
      </c>
      <c r="J222" s="31">
        <v>3639</v>
      </c>
      <c r="K222" s="31">
        <v>3628</v>
      </c>
      <c r="L222" s="31">
        <v>3642</v>
      </c>
      <c r="M222" s="435"/>
      <c r="N222" s="437" t="s">
        <v>2700</v>
      </c>
      <c r="O222" s="4"/>
      <c r="Q222" s="4"/>
    </row>
    <row r="223" spans="1:17">
      <c r="A223" s="437" t="s">
        <v>7021</v>
      </c>
      <c r="B223" s="437" t="s">
        <v>3669</v>
      </c>
      <c r="C223" s="4" t="s">
        <v>11551</v>
      </c>
      <c r="D223" s="438">
        <v>3452</v>
      </c>
      <c r="E223" s="438">
        <v>3494</v>
      </c>
      <c r="F223" s="438">
        <v>3463</v>
      </c>
      <c r="G223" s="31">
        <v>3612</v>
      </c>
      <c r="H223" s="31">
        <v>3441</v>
      </c>
      <c r="I223" s="31">
        <v>3372</v>
      </c>
      <c r="J223" s="31">
        <v>3311</v>
      </c>
      <c r="K223" s="31">
        <v>3371</v>
      </c>
      <c r="L223" s="31">
        <v>3419</v>
      </c>
      <c r="M223" s="435"/>
      <c r="N223" s="437" t="s">
        <v>2700</v>
      </c>
      <c r="O223" s="4"/>
      <c r="Q223" s="4"/>
    </row>
    <row r="224" spans="1:17">
      <c r="A224" s="437" t="s">
        <v>7023</v>
      </c>
      <c r="B224" s="437" t="s">
        <v>1954</v>
      </c>
      <c r="C224" s="4" t="s">
        <v>11552</v>
      </c>
      <c r="D224" s="438">
        <v>1187</v>
      </c>
      <c r="E224" s="438">
        <v>1164</v>
      </c>
      <c r="F224" s="438">
        <v>1152</v>
      </c>
      <c r="G224" s="31">
        <v>3504</v>
      </c>
      <c r="H224" s="31">
        <v>1178</v>
      </c>
      <c r="I224" s="31">
        <v>1134</v>
      </c>
      <c r="J224" s="31">
        <v>1149</v>
      </c>
      <c r="K224" s="31">
        <v>1139</v>
      </c>
      <c r="L224" s="31">
        <v>1128</v>
      </c>
      <c r="M224" s="435"/>
      <c r="N224" s="437" t="s">
        <v>2700</v>
      </c>
      <c r="O224" s="4"/>
      <c r="Q224" s="4"/>
    </row>
    <row r="225" spans="1:17">
      <c r="A225" s="437" t="s">
        <v>7025</v>
      </c>
      <c r="B225" s="437" t="s">
        <v>1955</v>
      </c>
      <c r="C225" s="4" t="s">
        <v>11553</v>
      </c>
      <c r="D225" s="438">
        <v>2299</v>
      </c>
      <c r="E225" s="438">
        <v>2369</v>
      </c>
      <c r="F225" s="438">
        <v>2299</v>
      </c>
      <c r="G225" s="31">
        <v>2338</v>
      </c>
      <c r="H225" s="31">
        <v>2317</v>
      </c>
      <c r="I225" s="31">
        <v>2260</v>
      </c>
      <c r="J225" s="31">
        <v>2316</v>
      </c>
      <c r="K225" s="31">
        <v>2377</v>
      </c>
      <c r="L225" s="31">
        <v>2381</v>
      </c>
      <c r="M225" s="435"/>
      <c r="N225" s="437" t="s">
        <v>2700</v>
      </c>
      <c r="O225" s="4"/>
      <c r="Q225" s="4"/>
    </row>
    <row r="226" spans="1:17">
      <c r="A226" s="437" t="s">
        <v>7570</v>
      </c>
      <c r="B226" s="437" t="s">
        <v>1932</v>
      </c>
      <c r="C226" s="4" t="s">
        <v>11554</v>
      </c>
      <c r="D226" s="438">
        <v>3908</v>
      </c>
      <c r="E226" s="438">
        <v>3934</v>
      </c>
      <c r="F226" s="438">
        <v>3845</v>
      </c>
      <c r="G226" s="31">
        <v>3893</v>
      </c>
      <c r="H226" s="31">
        <v>3918</v>
      </c>
      <c r="I226" s="31">
        <v>3873</v>
      </c>
      <c r="J226" s="31">
        <v>3952</v>
      </c>
      <c r="K226" s="31">
        <v>4117</v>
      </c>
      <c r="L226" s="31">
        <v>4268</v>
      </c>
      <c r="M226" s="435"/>
      <c r="N226" s="437" t="s">
        <v>2700</v>
      </c>
      <c r="O226" s="4"/>
      <c r="Q226" s="4"/>
    </row>
    <row r="227" spans="1:17">
      <c r="A227" s="435"/>
      <c r="B227" s="435"/>
      <c r="D227" s="444"/>
      <c r="E227" s="444"/>
      <c r="F227" s="444"/>
      <c r="G227" s="444"/>
      <c r="H227" s="444"/>
      <c r="I227" s="444"/>
      <c r="J227" s="444"/>
      <c r="K227" s="444"/>
      <c r="L227" s="444"/>
      <c r="M227" s="435"/>
      <c r="N227" s="435"/>
    </row>
    <row r="228" spans="1:17">
      <c r="A228" s="437" t="s">
        <v>1933</v>
      </c>
      <c r="D228" s="438">
        <f t="shared" ref="D228:I228" si="202">SUM(D206:D226)</f>
        <v>61208</v>
      </c>
      <c r="E228" s="438">
        <f t="shared" si="202"/>
        <v>61748</v>
      </c>
      <c r="F228" s="438">
        <f t="shared" si="202"/>
        <v>60559</v>
      </c>
      <c r="G228" s="438">
        <f t="shared" si="202"/>
        <v>61240</v>
      </c>
      <c r="H228" s="438">
        <f t="shared" si="202"/>
        <v>60486</v>
      </c>
      <c r="I228" s="438">
        <f t="shared" si="202"/>
        <v>59258</v>
      </c>
      <c r="J228" s="438">
        <f t="shared" ref="J228:K228" si="203">SUM(J206:J226)</f>
        <v>59381</v>
      </c>
      <c r="K228" s="438">
        <f t="shared" si="203"/>
        <v>60098</v>
      </c>
      <c r="L228" s="438">
        <f t="shared" ref="L228" si="204">SUM(L206:L226)</f>
        <v>60428</v>
      </c>
      <c r="M228" s="435"/>
      <c r="N228" s="435"/>
    </row>
    <row r="229" spans="1:17">
      <c r="A229" s="437"/>
      <c r="D229" s="438"/>
      <c r="E229" s="438"/>
      <c r="F229" s="438"/>
      <c r="G229" s="438"/>
      <c r="H229" s="438"/>
      <c r="I229" s="438"/>
      <c r="J229" s="438"/>
      <c r="K229" s="438"/>
      <c r="L229" s="438"/>
      <c r="M229" s="435"/>
      <c r="N229" s="435"/>
    </row>
    <row r="230" spans="1:17">
      <c r="A230" s="437" t="s">
        <v>1934</v>
      </c>
      <c r="D230" s="438"/>
      <c r="E230" s="438"/>
      <c r="F230" s="438"/>
      <c r="G230" s="438"/>
      <c r="H230" s="438"/>
      <c r="I230" s="438"/>
      <c r="J230" s="438"/>
      <c r="K230" s="438"/>
      <c r="L230" s="438"/>
      <c r="M230" s="435"/>
      <c r="N230" s="435"/>
    </row>
    <row r="231" spans="1:17">
      <c r="A231" s="437"/>
      <c r="B231" s="437"/>
      <c r="D231" s="449"/>
      <c r="E231" s="449"/>
      <c r="F231" s="449"/>
      <c r="G231" s="449"/>
      <c r="H231" s="449"/>
      <c r="I231" s="449"/>
      <c r="J231" s="449"/>
      <c r="K231" s="449"/>
      <c r="L231" s="449"/>
      <c r="M231" s="435"/>
      <c r="N231" s="435"/>
    </row>
    <row r="232" spans="1:17">
      <c r="A232" s="437"/>
      <c r="B232" s="437"/>
      <c r="D232" s="449"/>
      <c r="E232" s="449"/>
      <c r="F232" s="449"/>
      <c r="G232" s="449"/>
      <c r="H232" s="449"/>
      <c r="I232" s="449"/>
      <c r="J232" s="449"/>
      <c r="K232" s="449"/>
      <c r="L232" s="449"/>
      <c r="M232" s="435"/>
      <c r="N232" s="435"/>
    </row>
    <row r="233" spans="1:17">
      <c r="A233" s="435"/>
      <c r="B233" s="435"/>
      <c r="E233" s="42" t="s">
        <v>2303</v>
      </c>
      <c r="F233" s="42"/>
      <c r="G233" s="42"/>
      <c r="H233" s="42"/>
      <c r="I233" s="42"/>
      <c r="J233" s="42"/>
      <c r="K233" s="42"/>
      <c r="L233" s="42"/>
      <c r="M233" s="109"/>
      <c r="N233" s="109" t="s">
        <v>13319</v>
      </c>
    </row>
    <row r="234" spans="1:17">
      <c r="A234" s="435"/>
      <c r="B234" s="435"/>
      <c r="D234" s="110">
        <v>2010</v>
      </c>
      <c r="E234" s="110">
        <v>2011</v>
      </c>
      <c r="F234" s="110">
        <v>2012</v>
      </c>
      <c r="G234" s="110">
        <v>2013</v>
      </c>
      <c r="H234" s="110">
        <v>2014</v>
      </c>
      <c r="I234" s="110">
        <v>2015</v>
      </c>
      <c r="J234" s="110">
        <v>2016</v>
      </c>
      <c r="K234" s="110">
        <v>2017</v>
      </c>
      <c r="L234" s="110">
        <v>2018</v>
      </c>
      <c r="M234" s="435"/>
      <c r="N234" s="112" t="s">
        <v>2304</v>
      </c>
    </row>
    <row r="235" spans="1:17">
      <c r="A235" s="437" t="s">
        <v>1935</v>
      </c>
      <c r="D235" s="438">
        <f t="shared" ref="D235:I235" si="205">SUM(D236:D251)</f>
        <v>57978</v>
      </c>
      <c r="E235" s="438">
        <f t="shared" si="205"/>
        <v>60671</v>
      </c>
      <c r="F235" s="438">
        <f t="shared" si="205"/>
        <v>60554</v>
      </c>
      <c r="G235" s="438">
        <f t="shared" si="205"/>
        <v>60099</v>
      </c>
      <c r="H235" s="438">
        <f t="shared" si="205"/>
        <v>60381</v>
      </c>
      <c r="I235" s="438">
        <f t="shared" si="205"/>
        <v>58870</v>
      </c>
      <c r="J235" s="438">
        <f t="shared" ref="J235:K235" si="206">SUM(J236:J251)</f>
        <v>59715</v>
      </c>
      <c r="K235" s="438">
        <f t="shared" si="206"/>
        <v>63001</v>
      </c>
      <c r="L235" s="438">
        <f t="shared" ref="L235" si="207">SUM(L236:L251)</f>
        <v>59021</v>
      </c>
      <c r="M235" s="435"/>
      <c r="N235" s="435"/>
    </row>
    <row r="236" spans="1:17">
      <c r="A236" s="437" t="s">
        <v>6957</v>
      </c>
      <c r="B236" s="437" t="s">
        <v>1936</v>
      </c>
      <c r="C236" s="4" t="s">
        <v>11555</v>
      </c>
      <c r="D236" s="438">
        <v>3932</v>
      </c>
      <c r="E236" s="438">
        <v>4055</v>
      </c>
      <c r="F236" s="438">
        <v>4058</v>
      </c>
      <c r="G236" s="48">
        <v>4036</v>
      </c>
      <c r="H236" s="48">
        <v>4054</v>
      </c>
      <c r="I236" s="48">
        <v>3966</v>
      </c>
      <c r="J236" s="48">
        <v>3982</v>
      </c>
      <c r="K236" s="48">
        <v>4216</v>
      </c>
      <c r="L236" s="48">
        <v>3944</v>
      </c>
      <c r="M236" s="435"/>
      <c r="N236" s="437" t="s">
        <v>2702</v>
      </c>
      <c r="O236" s="4"/>
      <c r="Q236" s="4"/>
    </row>
    <row r="237" spans="1:17">
      <c r="A237" s="437" t="s">
        <v>6959</v>
      </c>
      <c r="B237" s="437" t="s">
        <v>5781</v>
      </c>
      <c r="C237" s="4" t="s">
        <v>11556</v>
      </c>
      <c r="D237" s="438">
        <v>2969</v>
      </c>
      <c r="E237" s="438">
        <v>3360</v>
      </c>
      <c r="F237" s="438">
        <v>3348</v>
      </c>
      <c r="G237" s="48">
        <v>3252</v>
      </c>
      <c r="H237" s="48">
        <v>3261</v>
      </c>
      <c r="I237" s="48">
        <v>3121</v>
      </c>
      <c r="J237" s="48">
        <v>3233</v>
      </c>
      <c r="K237" s="48">
        <v>3421</v>
      </c>
      <c r="L237" s="48">
        <v>3210</v>
      </c>
      <c r="M237" s="435"/>
      <c r="N237" s="437" t="s">
        <v>2702</v>
      </c>
      <c r="O237" s="4"/>
      <c r="Q237" s="4"/>
    </row>
    <row r="238" spans="1:17">
      <c r="A238" s="437" t="s">
        <v>6961</v>
      </c>
      <c r="B238" s="437" t="s">
        <v>1937</v>
      </c>
      <c r="C238" s="4" t="s">
        <v>11557</v>
      </c>
      <c r="D238" s="438">
        <v>3253</v>
      </c>
      <c r="E238" s="438">
        <v>3288</v>
      </c>
      <c r="F238" s="438">
        <v>3249</v>
      </c>
      <c r="G238" s="48">
        <v>3292</v>
      </c>
      <c r="H238" s="48">
        <v>3289</v>
      </c>
      <c r="I238" s="48">
        <v>3272</v>
      </c>
      <c r="J238" s="48">
        <v>3333</v>
      </c>
      <c r="K238" s="48">
        <v>3417</v>
      </c>
      <c r="L238" s="48">
        <v>3216</v>
      </c>
      <c r="M238" s="435"/>
      <c r="N238" s="437" t="s">
        <v>2702</v>
      </c>
      <c r="O238" s="4"/>
      <c r="Q238" s="4"/>
    </row>
    <row r="239" spans="1:17">
      <c r="A239" s="437" t="s">
        <v>6963</v>
      </c>
      <c r="B239" s="437" t="s">
        <v>7725</v>
      </c>
      <c r="C239" s="4" t="s">
        <v>11558</v>
      </c>
      <c r="D239" s="438">
        <v>3402</v>
      </c>
      <c r="E239" s="438">
        <v>3713</v>
      </c>
      <c r="F239" s="438">
        <v>3651</v>
      </c>
      <c r="G239" s="48">
        <v>3589</v>
      </c>
      <c r="H239" s="48">
        <v>3631</v>
      </c>
      <c r="I239" s="48">
        <v>3545</v>
      </c>
      <c r="J239" s="48">
        <v>3596</v>
      </c>
      <c r="K239" s="48">
        <v>3815</v>
      </c>
      <c r="L239" s="48">
        <v>3525</v>
      </c>
      <c r="M239" s="435"/>
      <c r="N239" s="437" t="s">
        <v>2702</v>
      </c>
      <c r="O239" s="4"/>
      <c r="Q239" s="4"/>
    </row>
    <row r="240" spans="1:17">
      <c r="A240" s="437" t="s">
        <v>6965</v>
      </c>
      <c r="B240" s="437" t="s">
        <v>2425</v>
      </c>
      <c r="C240" s="4" t="s">
        <v>11559</v>
      </c>
      <c r="D240" s="438">
        <v>2951</v>
      </c>
      <c r="E240" s="438">
        <v>3228</v>
      </c>
      <c r="F240" s="438">
        <v>3294</v>
      </c>
      <c r="G240" s="48">
        <v>3256</v>
      </c>
      <c r="H240" s="48">
        <v>3294</v>
      </c>
      <c r="I240" s="48">
        <v>3194</v>
      </c>
      <c r="J240" s="48">
        <v>3260</v>
      </c>
      <c r="K240" s="48">
        <v>3483</v>
      </c>
      <c r="L240" s="48">
        <v>3255</v>
      </c>
      <c r="M240" s="435"/>
      <c r="N240" s="437" t="s">
        <v>2702</v>
      </c>
      <c r="O240" s="4"/>
      <c r="Q240" s="4"/>
    </row>
    <row r="241" spans="1:17">
      <c r="A241" s="437" t="s">
        <v>6997</v>
      </c>
      <c r="B241" s="437" t="s">
        <v>1938</v>
      </c>
      <c r="C241" s="4" t="s">
        <v>11560</v>
      </c>
      <c r="D241" s="438">
        <v>3557</v>
      </c>
      <c r="E241" s="438">
        <v>3688</v>
      </c>
      <c r="F241" s="438">
        <v>3673</v>
      </c>
      <c r="G241" s="48">
        <v>3628</v>
      </c>
      <c r="H241" s="48">
        <v>3631</v>
      </c>
      <c r="I241" s="48">
        <v>3514</v>
      </c>
      <c r="J241" s="48">
        <v>3547</v>
      </c>
      <c r="K241" s="48">
        <v>3764</v>
      </c>
      <c r="L241" s="48">
        <v>3509</v>
      </c>
      <c r="M241" s="435"/>
      <c r="N241" s="437" t="s">
        <v>2702</v>
      </c>
      <c r="O241" s="4"/>
      <c r="Q241" s="4"/>
    </row>
    <row r="242" spans="1:17">
      <c r="A242" s="437" t="s">
        <v>6999</v>
      </c>
      <c r="B242" s="437" t="s">
        <v>1860</v>
      </c>
      <c r="C242" s="4" t="s">
        <v>11561</v>
      </c>
      <c r="D242" s="438">
        <v>3443</v>
      </c>
      <c r="E242" s="438">
        <v>3499</v>
      </c>
      <c r="F242" s="438">
        <v>3452</v>
      </c>
      <c r="G242" s="48">
        <v>3502</v>
      </c>
      <c r="H242" s="48">
        <v>3569</v>
      </c>
      <c r="I242" s="48">
        <v>3477</v>
      </c>
      <c r="J242" s="48">
        <v>3569</v>
      </c>
      <c r="K242" s="48">
        <v>3748</v>
      </c>
      <c r="L242" s="48">
        <v>3500</v>
      </c>
      <c r="M242" s="435"/>
      <c r="N242" s="437" t="s">
        <v>2702</v>
      </c>
      <c r="O242" s="4"/>
      <c r="Q242" s="4"/>
    </row>
    <row r="243" spans="1:17">
      <c r="A243" s="437" t="s">
        <v>7001</v>
      </c>
      <c r="B243" s="437" t="s">
        <v>1861</v>
      </c>
      <c r="C243" s="4" t="s">
        <v>11562</v>
      </c>
      <c r="D243" s="438">
        <v>3460</v>
      </c>
      <c r="E243" s="438">
        <v>3550</v>
      </c>
      <c r="F243" s="438">
        <v>3561</v>
      </c>
      <c r="G243" s="48">
        <v>3513</v>
      </c>
      <c r="H243" s="48">
        <v>3562</v>
      </c>
      <c r="I243" s="48">
        <v>3517</v>
      </c>
      <c r="J243" s="48">
        <v>3508</v>
      </c>
      <c r="K243" s="48">
        <v>3650</v>
      </c>
      <c r="L243" s="48">
        <v>3437</v>
      </c>
      <c r="M243" s="435"/>
      <c r="N243" s="437" t="s">
        <v>2702</v>
      </c>
      <c r="O243" s="4"/>
      <c r="Q243" s="4"/>
    </row>
    <row r="244" spans="1:17">
      <c r="A244" s="437" t="s">
        <v>7003</v>
      </c>
      <c r="B244" s="437" t="s">
        <v>1862</v>
      </c>
      <c r="C244" s="4" t="s">
        <v>11563</v>
      </c>
      <c r="D244" s="438">
        <v>3398</v>
      </c>
      <c r="E244" s="438">
        <v>3506</v>
      </c>
      <c r="F244" s="438">
        <v>3525</v>
      </c>
      <c r="G244" s="48">
        <v>3487</v>
      </c>
      <c r="H244" s="48">
        <v>3505</v>
      </c>
      <c r="I244" s="48">
        <v>3425</v>
      </c>
      <c r="J244" s="48">
        <v>3485</v>
      </c>
      <c r="K244" s="48">
        <v>3757</v>
      </c>
      <c r="L244" s="48">
        <v>3596</v>
      </c>
      <c r="M244" s="435"/>
      <c r="N244" s="437" t="s">
        <v>2702</v>
      </c>
      <c r="O244" s="4"/>
      <c r="Q244" s="4"/>
    </row>
    <row r="245" spans="1:17">
      <c r="A245" s="437" t="s">
        <v>7005</v>
      </c>
      <c r="B245" s="437" t="s">
        <v>1863</v>
      </c>
      <c r="C245" s="4" t="s">
        <v>11564</v>
      </c>
      <c r="D245" s="438">
        <v>3077</v>
      </c>
      <c r="E245" s="438">
        <v>3365</v>
      </c>
      <c r="F245" s="438">
        <v>3329</v>
      </c>
      <c r="G245" s="48">
        <v>3315</v>
      </c>
      <c r="H245" s="48">
        <v>3286</v>
      </c>
      <c r="I245" s="48">
        <v>3196</v>
      </c>
      <c r="J245" s="48">
        <v>3239</v>
      </c>
      <c r="K245" s="48">
        <v>3418</v>
      </c>
      <c r="L245" s="48">
        <v>3215</v>
      </c>
      <c r="M245" s="435"/>
      <c r="N245" s="437" t="s">
        <v>2702</v>
      </c>
      <c r="O245" s="4"/>
      <c r="Q245" s="4"/>
    </row>
    <row r="246" spans="1:17">
      <c r="A246" s="437" t="s">
        <v>7007</v>
      </c>
      <c r="B246" s="437" t="s">
        <v>1864</v>
      </c>
      <c r="C246" s="4" t="s">
        <v>11565</v>
      </c>
      <c r="D246" s="438">
        <v>4885</v>
      </c>
      <c r="E246" s="438">
        <v>4988</v>
      </c>
      <c r="F246" s="438">
        <v>5012</v>
      </c>
      <c r="G246" s="48">
        <v>4993</v>
      </c>
      <c r="H246" s="48">
        <v>4980</v>
      </c>
      <c r="I246" s="48">
        <v>4872</v>
      </c>
      <c r="J246" s="48">
        <v>4964</v>
      </c>
      <c r="K246" s="48">
        <v>5234</v>
      </c>
      <c r="L246" s="48">
        <v>4894</v>
      </c>
      <c r="M246" s="435"/>
      <c r="N246" s="437" t="s">
        <v>2702</v>
      </c>
      <c r="O246" s="4"/>
      <c r="Q246" s="4"/>
    </row>
    <row r="247" spans="1:17">
      <c r="A247" s="437" t="s">
        <v>7009</v>
      </c>
      <c r="B247" s="437" t="s">
        <v>1943</v>
      </c>
      <c r="C247" s="4" t="s">
        <v>11566</v>
      </c>
      <c r="D247" s="438">
        <v>3005</v>
      </c>
      <c r="E247" s="438">
        <v>3182</v>
      </c>
      <c r="F247" s="438">
        <v>3232</v>
      </c>
      <c r="G247" s="48">
        <v>3182</v>
      </c>
      <c r="H247" s="48">
        <v>3118</v>
      </c>
      <c r="I247" s="48">
        <v>2919</v>
      </c>
      <c r="J247" s="48">
        <v>2999</v>
      </c>
      <c r="K247" s="48">
        <v>3207</v>
      </c>
      <c r="L247" s="48">
        <v>2966</v>
      </c>
      <c r="M247" s="435"/>
      <c r="N247" s="437" t="s">
        <v>2702</v>
      </c>
      <c r="O247" s="4"/>
      <c r="Q247" s="4"/>
    </row>
    <row r="248" spans="1:17">
      <c r="A248" s="437" t="s">
        <v>7011</v>
      </c>
      <c r="B248" s="437" t="s">
        <v>1944</v>
      </c>
      <c r="C248" s="4" t="s">
        <v>11567</v>
      </c>
      <c r="D248" s="438">
        <v>4854</v>
      </c>
      <c r="E248" s="438">
        <v>5143</v>
      </c>
      <c r="F248" s="438">
        <v>5146</v>
      </c>
      <c r="G248" s="48">
        <v>5059</v>
      </c>
      <c r="H248" s="48">
        <v>5145</v>
      </c>
      <c r="I248" s="48">
        <v>5029</v>
      </c>
      <c r="J248" s="48">
        <v>5093</v>
      </c>
      <c r="K248" s="48">
        <v>5382</v>
      </c>
      <c r="L248" s="48">
        <v>5016</v>
      </c>
      <c r="M248" s="435"/>
      <c r="N248" s="437" t="s">
        <v>2702</v>
      </c>
      <c r="O248" s="4"/>
      <c r="Q248" s="4"/>
    </row>
    <row r="249" spans="1:17">
      <c r="A249" s="437" t="s">
        <v>7013</v>
      </c>
      <c r="B249" s="437" t="s">
        <v>4082</v>
      </c>
      <c r="C249" s="4" t="s">
        <v>11568</v>
      </c>
      <c r="D249" s="438">
        <v>3261</v>
      </c>
      <c r="E249" s="438">
        <v>3408</v>
      </c>
      <c r="F249" s="438">
        <v>3425</v>
      </c>
      <c r="G249" s="438">
        <v>3438</v>
      </c>
      <c r="H249" s="48">
        <v>3460</v>
      </c>
      <c r="I249" s="48">
        <v>3337</v>
      </c>
      <c r="J249" s="48">
        <v>3357</v>
      </c>
      <c r="K249" s="48">
        <v>3556</v>
      </c>
      <c r="L249" s="48">
        <v>3324</v>
      </c>
      <c r="M249" s="435"/>
      <c r="N249" s="437" t="s">
        <v>2702</v>
      </c>
      <c r="O249" s="4"/>
      <c r="Q249" s="4"/>
    </row>
    <row r="250" spans="1:17">
      <c r="A250" s="437" t="s">
        <v>7015</v>
      </c>
      <c r="B250" s="437" t="s">
        <v>1945</v>
      </c>
      <c r="C250" s="4" t="s">
        <v>11569</v>
      </c>
      <c r="D250" s="438">
        <v>5091</v>
      </c>
      <c r="E250" s="438">
        <v>5145</v>
      </c>
      <c r="F250" s="438">
        <v>5109</v>
      </c>
      <c r="G250" s="438">
        <v>5065</v>
      </c>
      <c r="H250" s="48">
        <v>5058</v>
      </c>
      <c r="I250" s="48">
        <v>5018</v>
      </c>
      <c r="J250" s="48">
        <v>5076</v>
      </c>
      <c r="K250" s="48">
        <v>5221</v>
      </c>
      <c r="L250" s="48">
        <v>4971</v>
      </c>
      <c r="M250" s="435"/>
      <c r="N250" s="437" t="s">
        <v>2702</v>
      </c>
      <c r="O250" s="4"/>
      <c r="Q250" s="4"/>
    </row>
    <row r="251" spans="1:17">
      <c r="A251" s="437" t="s">
        <v>7017</v>
      </c>
      <c r="B251" s="437" t="s">
        <v>1946</v>
      </c>
      <c r="C251" s="4" t="s">
        <v>11570</v>
      </c>
      <c r="D251" s="438">
        <v>3440</v>
      </c>
      <c r="E251" s="438">
        <v>3553</v>
      </c>
      <c r="F251" s="438">
        <v>3490</v>
      </c>
      <c r="G251" s="438">
        <v>3492</v>
      </c>
      <c r="H251" s="48">
        <v>3538</v>
      </c>
      <c r="I251" s="48">
        <v>3468</v>
      </c>
      <c r="J251" s="48">
        <v>3474</v>
      </c>
      <c r="K251" s="48">
        <v>3712</v>
      </c>
      <c r="L251" s="48">
        <v>3443</v>
      </c>
      <c r="M251" s="435"/>
      <c r="N251" s="437" t="s">
        <v>2702</v>
      </c>
      <c r="O251" s="4"/>
      <c r="Q251" s="4"/>
    </row>
    <row r="252" spans="1:17">
      <c r="A252" s="435"/>
      <c r="B252" s="435"/>
      <c r="D252" s="444"/>
      <c r="E252" s="444"/>
      <c r="F252" s="444"/>
      <c r="G252" s="444"/>
      <c r="H252" s="444"/>
      <c r="I252" s="444"/>
      <c r="J252" s="444"/>
      <c r="K252" s="444"/>
      <c r="L252" s="444"/>
      <c r="M252" s="435"/>
      <c r="N252" s="435"/>
    </row>
    <row r="253" spans="1:17">
      <c r="A253" s="437" t="s">
        <v>1947</v>
      </c>
      <c r="D253" s="438">
        <f t="shared" ref="D253:I253" si="208">SUM(D236:D251)</f>
        <v>57978</v>
      </c>
      <c r="E253" s="438">
        <f t="shared" si="208"/>
        <v>60671</v>
      </c>
      <c r="F253" s="438">
        <f t="shared" si="208"/>
        <v>60554</v>
      </c>
      <c r="G253" s="438">
        <f t="shared" si="208"/>
        <v>60099</v>
      </c>
      <c r="H253" s="438">
        <f t="shared" si="208"/>
        <v>60381</v>
      </c>
      <c r="I253" s="438">
        <f t="shared" si="208"/>
        <v>58870</v>
      </c>
      <c r="J253" s="438">
        <f t="shared" ref="J253:K253" si="209">SUM(J236:J251)</f>
        <v>59715</v>
      </c>
      <c r="K253" s="438">
        <f t="shared" si="209"/>
        <v>63001</v>
      </c>
      <c r="L253" s="438">
        <f t="shared" ref="L253" si="210">SUM(L236:L251)</f>
        <v>59021</v>
      </c>
      <c r="M253" s="435"/>
      <c r="N253" s="435"/>
    </row>
    <row r="254" spans="1:17">
      <c r="A254" s="437"/>
      <c r="D254" s="438"/>
      <c r="E254" s="438"/>
      <c r="F254" s="438"/>
      <c r="G254" s="438"/>
      <c r="H254" s="438"/>
      <c r="I254" s="438"/>
      <c r="J254" s="438"/>
      <c r="K254" s="438"/>
      <c r="L254" s="438"/>
      <c r="M254" s="435"/>
      <c r="N254" s="435"/>
    </row>
    <row r="255" spans="1:17">
      <c r="A255" s="437" t="s">
        <v>1948</v>
      </c>
      <c r="D255" s="438"/>
      <c r="E255" s="438"/>
      <c r="F255" s="438"/>
      <c r="G255" s="438"/>
      <c r="H255" s="438"/>
      <c r="I255" s="438"/>
      <c r="J255" s="438"/>
      <c r="K255" s="438"/>
      <c r="L255" s="438"/>
      <c r="M255" s="435"/>
      <c r="N255" s="435"/>
    </row>
    <row r="256" spans="1:17">
      <c r="B256" s="437"/>
      <c r="D256" s="449"/>
      <c r="E256" s="449"/>
      <c r="F256" s="449"/>
      <c r="G256" s="449"/>
      <c r="H256" s="449"/>
      <c r="I256" s="449"/>
      <c r="J256" s="449"/>
      <c r="K256" s="449"/>
      <c r="L256" s="449"/>
      <c r="M256" s="435"/>
      <c r="N256" s="435"/>
    </row>
    <row r="257" spans="1:17">
      <c r="A257" s="437"/>
      <c r="B257" s="437"/>
      <c r="D257" s="449"/>
      <c r="E257" s="449"/>
      <c r="F257" s="449"/>
      <c r="G257" s="449"/>
      <c r="H257" s="449"/>
      <c r="I257" s="449"/>
      <c r="J257" s="449"/>
      <c r="K257" s="449"/>
      <c r="L257" s="449"/>
      <c r="M257" s="435"/>
      <c r="N257" s="435"/>
    </row>
    <row r="258" spans="1:17">
      <c r="A258" s="435"/>
      <c r="B258" s="435"/>
      <c r="E258" s="42" t="s">
        <v>2303</v>
      </c>
      <c r="F258" s="42"/>
      <c r="G258" s="42"/>
      <c r="H258" s="42"/>
      <c r="I258" s="42"/>
      <c r="J258" s="42"/>
      <c r="K258" s="42"/>
      <c r="L258" s="42"/>
      <c r="M258" s="109"/>
      <c r="N258" s="109" t="s">
        <v>13319</v>
      </c>
    </row>
    <row r="259" spans="1:17">
      <c r="A259" s="435"/>
      <c r="B259" s="435"/>
      <c r="D259" s="110">
        <v>2010</v>
      </c>
      <c r="E259" s="110">
        <v>2011</v>
      </c>
      <c r="F259" s="110">
        <v>2012</v>
      </c>
      <c r="G259" s="110">
        <v>2013</v>
      </c>
      <c r="H259" s="110">
        <v>2014</v>
      </c>
      <c r="I259" s="110">
        <v>2015</v>
      </c>
      <c r="J259" s="110">
        <v>2016</v>
      </c>
      <c r="K259" s="110">
        <v>2017</v>
      </c>
      <c r="L259" s="110">
        <v>2018</v>
      </c>
      <c r="M259" s="435"/>
      <c r="N259" s="112" t="s">
        <v>2304</v>
      </c>
    </row>
    <row r="260" spans="1:17">
      <c r="A260" s="437" t="s">
        <v>1949</v>
      </c>
      <c r="D260" s="438">
        <f t="shared" ref="D260:J260" si="211">SUM(D261:D287)</f>
        <v>107588</v>
      </c>
      <c r="E260" s="438">
        <f t="shared" si="211"/>
        <v>109144</v>
      </c>
      <c r="F260" s="438">
        <f t="shared" si="211"/>
        <v>106678</v>
      </c>
      <c r="G260" s="438">
        <f t="shared" si="211"/>
        <v>105377</v>
      </c>
      <c r="H260" s="438">
        <f t="shared" si="211"/>
        <v>99352</v>
      </c>
      <c r="I260" s="438">
        <f t="shared" si="211"/>
        <v>98929</v>
      </c>
      <c r="J260" s="438">
        <f t="shared" si="211"/>
        <v>96357</v>
      </c>
      <c r="K260" s="438">
        <f t="shared" ref="K260:L260" si="212">SUM(K261:K287)</f>
        <v>102565</v>
      </c>
      <c r="L260" s="438">
        <f t="shared" si="212"/>
        <v>109336</v>
      </c>
      <c r="M260" s="435"/>
      <c r="N260" s="435"/>
    </row>
    <row r="261" spans="1:17">
      <c r="A261" s="437" t="s">
        <v>6957</v>
      </c>
      <c r="B261" s="437" t="s">
        <v>1950</v>
      </c>
      <c r="C261" s="4" t="s">
        <v>15038</v>
      </c>
      <c r="D261" s="438">
        <v>68750</v>
      </c>
      <c r="E261" s="438">
        <v>69254</v>
      </c>
      <c r="F261" s="438">
        <v>68503</v>
      </c>
      <c r="G261" s="438">
        <v>68281</v>
      </c>
      <c r="H261" s="48">
        <v>64339</v>
      </c>
      <c r="I261" s="30">
        <v>65465</v>
      </c>
      <c r="J261" s="30">
        <v>5392</v>
      </c>
      <c r="K261" s="30">
        <v>5503</v>
      </c>
      <c r="L261" s="30">
        <v>5706</v>
      </c>
      <c r="M261" s="435"/>
      <c r="N261" s="437" t="s">
        <v>2707</v>
      </c>
      <c r="O261" s="4"/>
      <c r="Q261" s="4"/>
    </row>
    <row r="262" spans="1:17">
      <c r="A262" s="437" t="s">
        <v>6959</v>
      </c>
      <c r="B262" s="437" t="s">
        <v>15036</v>
      </c>
      <c r="C262" s="4" t="s">
        <v>15041</v>
      </c>
      <c r="D262" s="438">
        <v>0</v>
      </c>
      <c r="E262" s="438">
        <v>0</v>
      </c>
      <c r="F262" s="438">
        <v>0</v>
      </c>
      <c r="G262" s="438">
        <v>0</v>
      </c>
      <c r="H262" s="48">
        <v>0</v>
      </c>
      <c r="I262" s="30">
        <v>0</v>
      </c>
      <c r="J262" s="30">
        <v>5814</v>
      </c>
      <c r="K262" s="30">
        <v>5938</v>
      </c>
      <c r="L262" s="30">
        <v>6132</v>
      </c>
      <c r="M262" s="435"/>
      <c r="N262" s="437" t="s">
        <v>2707</v>
      </c>
      <c r="O262" s="4"/>
      <c r="Q262" s="4"/>
    </row>
    <row r="263" spans="1:17">
      <c r="A263" s="437" t="s">
        <v>6961</v>
      </c>
      <c r="B263" s="437" t="s">
        <v>1951</v>
      </c>
      <c r="C263" s="4" t="s">
        <v>15042</v>
      </c>
      <c r="D263" s="438">
        <v>38838</v>
      </c>
      <c r="E263" s="438">
        <v>39890</v>
      </c>
      <c r="F263" s="438">
        <v>38175</v>
      </c>
      <c r="G263" s="438">
        <v>37096</v>
      </c>
      <c r="H263" s="48">
        <v>35013</v>
      </c>
      <c r="I263" s="30">
        <v>33464</v>
      </c>
      <c r="J263" s="30">
        <v>4592</v>
      </c>
      <c r="K263" s="30">
        <v>5378</v>
      </c>
      <c r="L263" s="30">
        <v>6196</v>
      </c>
      <c r="M263" s="435"/>
      <c r="N263" s="437" t="s">
        <v>2704</v>
      </c>
      <c r="O263" s="4"/>
      <c r="Q263" s="4"/>
    </row>
    <row r="264" spans="1:17">
      <c r="A264" s="437" t="s">
        <v>6963</v>
      </c>
      <c r="B264" s="437" t="s">
        <v>15037</v>
      </c>
      <c r="C264" s="4" t="s">
        <v>15043</v>
      </c>
      <c r="D264" s="438">
        <v>0</v>
      </c>
      <c r="E264" s="438">
        <v>0</v>
      </c>
      <c r="F264" s="438">
        <v>0</v>
      </c>
      <c r="G264" s="438">
        <v>0</v>
      </c>
      <c r="H264" s="48">
        <v>0</v>
      </c>
      <c r="I264" s="30">
        <v>0</v>
      </c>
      <c r="J264" s="30">
        <v>4446</v>
      </c>
      <c r="K264" s="30">
        <v>4506</v>
      </c>
      <c r="L264" s="30">
        <v>4689</v>
      </c>
      <c r="M264" s="435"/>
      <c r="N264" s="437" t="s">
        <v>2707</v>
      </c>
      <c r="O264" s="4"/>
      <c r="Q264" s="4"/>
    </row>
    <row r="265" spans="1:17">
      <c r="A265" s="437" t="s">
        <v>6965</v>
      </c>
      <c r="B265" s="437" t="s">
        <v>7588</v>
      </c>
      <c r="C265" s="4" t="s">
        <v>15044</v>
      </c>
      <c r="D265" s="438">
        <v>0</v>
      </c>
      <c r="E265" s="438">
        <v>0</v>
      </c>
      <c r="F265" s="438">
        <v>0</v>
      </c>
      <c r="G265" s="438">
        <v>0</v>
      </c>
      <c r="H265" s="48">
        <v>0</v>
      </c>
      <c r="I265" s="30">
        <v>0</v>
      </c>
      <c r="J265" s="30">
        <v>3455</v>
      </c>
      <c r="K265" s="30">
        <v>4029</v>
      </c>
      <c r="L265" s="30">
        <v>4778</v>
      </c>
      <c r="M265" s="435"/>
      <c r="N265" s="437" t="s">
        <v>2704</v>
      </c>
      <c r="O265" s="4"/>
      <c r="Q265" s="4"/>
    </row>
    <row r="266" spans="1:17">
      <c r="A266" s="437" t="s">
        <v>6997</v>
      </c>
      <c r="B266" s="437" t="s">
        <v>1953</v>
      </c>
      <c r="C266" s="4" t="s">
        <v>15045</v>
      </c>
      <c r="D266" s="438">
        <v>0</v>
      </c>
      <c r="E266" s="438">
        <v>0</v>
      </c>
      <c r="F266" s="438">
        <v>0</v>
      </c>
      <c r="G266" s="438">
        <v>0</v>
      </c>
      <c r="H266" s="48">
        <v>0</v>
      </c>
      <c r="I266" s="30">
        <v>0</v>
      </c>
      <c r="J266" s="30">
        <v>3276</v>
      </c>
      <c r="K266" s="30">
        <v>3404</v>
      </c>
      <c r="L266" s="30">
        <v>3656</v>
      </c>
      <c r="M266" s="435"/>
      <c r="N266" s="437" t="s">
        <v>2704</v>
      </c>
      <c r="O266" s="4"/>
      <c r="Q266" s="4"/>
    </row>
    <row r="267" spans="1:17">
      <c r="A267" s="437" t="s">
        <v>6999</v>
      </c>
      <c r="B267" s="437" t="s">
        <v>1085</v>
      </c>
      <c r="C267" s="4" t="s">
        <v>15046</v>
      </c>
      <c r="D267" s="438">
        <v>0</v>
      </c>
      <c r="E267" s="438">
        <v>0</v>
      </c>
      <c r="F267" s="438">
        <v>0</v>
      </c>
      <c r="G267" s="438">
        <v>0</v>
      </c>
      <c r="H267" s="48">
        <v>0</v>
      </c>
      <c r="I267" s="30">
        <v>0</v>
      </c>
      <c r="J267" s="30">
        <v>1947</v>
      </c>
      <c r="K267" s="30">
        <v>2020</v>
      </c>
      <c r="L267" s="30">
        <v>2101</v>
      </c>
      <c r="M267" s="435"/>
      <c r="N267" s="437" t="s">
        <v>2707</v>
      </c>
      <c r="O267" s="4"/>
      <c r="Q267" s="4"/>
    </row>
    <row r="268" spans="1:17">
      <c r="A268" s="437" t="s">
        <v>7001</v>
      </c>
      <c r="B268" s="437" t="s">
        <v>3074</v>
      </c>
      <c r="C268" s="4" t="s">
        <v>15047</v>
      </c>
      <c r="D268" s="438">
        <v>0</v>
      </c>
      <c r="E268" s="438">
        <v>0</v>
      </c>
      <c r="F268" s="438">
        <v>0</v>
      </c>
      <c r="G268" s="438">
        <v>0</v>
      </c>
      <c r="H268" s="48">
        <v>0</v>
      </c>
      <c r="I268" s="30">
        <v>0</v>
      </c>
      <c r="J268" s="30">
        <v>4759</v>
      </c>
      <c r="K268" s="30">
        <v>5012</v>
      </c>
      <c r="L268" s="30">
        <v>5310</v>
      </c>
      <c r="M268" s="435"/>
      <c r="N268" s="437" t="s">
        <v>2707</v>
      </c>
      <c r="O268" s="4"/>
      <c r="Q268" s="4"/>
    </row>
    <row r="269" spans="1:17">
      <c r="A269" s="437" t="s">
        <v>7003</v>
      </c>
      <c r="B269" s="437" t="s">
        <v>1086</v>
      </c>
      <c r="C269" s="4" t="s">
        <v>15048</v>
      </c>
      <c r="D269" s="438">
        <v>0</v>
      </c>
      <c r="E269" s="438">
        <v>0</v>
      </c>
      <c r="F269" s="438">
        <v>0</v>
      </c>
      <c r="G269" s="438">
        <v>0</v>
      </c>
      <c r="H269" s="48">
        <v>0</v>
      </c>
      <c r="I269" s="30">
        <v>0</v>
      </c>
      <c r="J269" s="30">
        <v>3268</v>
      </c>
      <c r="K269" s="30">
        <v>3356</v>
      </c>
      <c r="L269" s="30">
        <v>3548</v>
      </c>
      <c r="M269" s="435"/>
      <c r="N269" s="437" t="s">
        <v>2707</v>
      </c>
      <c r="O269" s="4"/>
      <c r="Q269" s="4"/>
    </row>
    <row r="270" spans="1:17">
      <c r="A270" s="437" t="s">
        <v>7005</v>
      </c>
      <c r="B270" s="437" t="s">
        <v>1087</v>
      </c>
      <c r="C270" s="4" t="s">
        <v>15049</v>
      </c>
      <c r="D270" s="438">
        <v>0</v>
      </c>
      <c r="E270" s="438">
        <v>0</v>
      </c>
      <c r="F270" s="438">
        <v>0</v>
      </c>
      <c r="G270" s="438">
        <v>0</v>
      </c>
      <c r="H270" s="48">
        <v>0</v>
      </c>
      <c r="I270" s="30">
        <v>0</v>
      </c>
      <c r="J270" s="31">
        <v>3058</v>
      </c>
      <c r="K270" s="31">
        <v>3119</v>
      </c>
      <c r="L270" s="31">
        <v>3339</v>
      </c>
      <c r="M270" s="435"/>
      <c r="N270" s="437" t="s">
        <v>2707</v>
      </c>
      <c r="O270" s="4"/>
      <c r="Q270" s="4"/>
    </row>
    <row r="271" spans="1:17">
      <c r="A271" s="437" t="s">
        <v>7007</v>
      </c>
      <c r="B271" s="437" t="s">
        <v>1088</v>
      </c>
      <c r="C271" s="4" t="s">
        <v>15050</v>
      </c>
      <c r="D271" s="438">
        <v>0</v>
      </c>
      <c r="E271" s="438">
        <v>0</v>
      </c>
      <c r="F271" s="438">
        <v>0</v>
      </c>
      <c r="G271" s="438">
        <v>0</v>
      </c>
      <c r="H271" s="48">
        <v>0</v>
      </c>
      <c r="I271" s="30">
        <v>0</v>
      </c>
      <c r="J271" s="31">
        <v>4790</v>
      </c>
      <c r="K271" s="31">
        <v>4927</v>
      </c>
      <c r="L271" s="31">
        <v>5252</v>
      </c>
      <c r="M271" s="435"/>
      <c r="N271" s="437" t="s">
        <v>2707</v>
      </c>
      <c r="O271" s="4"/>
      <c r="Q271" s="4"/>
    </row>
    <row r="272" spans="1:17">
      <c r="A272" s="437" t="s">
        <v>7009</v>
      </c>
      <c r="B272" s="437" t="s">
        <v>1089</v>
      </c>
      <c r="C272" s="4" t="s">
        <v>15051</v>
      </c>
      <c r="D272" s="438">
        <v>0</v>
      </c>
      <c r="E272" s="438">
        <v>0</v>
      </c>
      <c r="F272" s="438">
        <v>0</v>
      </c>
      <c r="G272" s="438">
        <v>0</v>
      </c>
      <c r="H272" s="48">
        <v>0</v>
      </c>
      <c r="I272" s="30">
        <v>0</v>
      </c>
      <c r="J272" s="30">
        <v>4796</v>
      </c>
      <c r="K272" s="30">
        <v>5370</v>
      </c>
      <c r="L272" s="30">
        <v>6218</v>
      </c>
      <c r="M272" s="435"/>
      <c r="N272" s="437" t="s">
        <v>2704</v>
      </c>
      <c r="O272" s="4"/>
      <c r="Q272" s="4"/>
    </row>
    <row r="273" spans="1:17">
      <c r="A273" s="437" t="s">
        <v>7011</v>
      </c>
      <c r="B273" s="437" t="s">
        <v>1090</v>
      </c>
      <c r="C273" s="4" t="s">
        <v>15052</v>
      </c>
      <c r="D273" s="438">
        <v>0</v>
      </c>
      <c r="E273" s="438">
        <v>0</v>
      </c>
      <c r="F273" s="438">
        <v>0</v>
      </c>
      <c r="G273" s="438">
        <v>0</v>
      </c>
      <c r="H273" s="48">
        <v>0</v>
      </c>
      <c r="I273" s="30">
        <v>0</v>
      </c>
      <c r="J273" s="31">
        <v>1639</v>
      </c>
      <c r="K273" s="31">
        <v>1729</v>
      </c>
      <c r="L273" s="31">
        <v>1791</v>
      </c>
      <c r="M273" s="435"/>
      <c r="N273" s="437" t="s">
        <v>2707</v>
      </c>
      <c r="O273" s="4"/>
      <c r="Q273" s="4"/>
    </row>
    <row r="274" spans="1:17">
      <c r="A274" s="437" t="s">
        <v>7013</v>
      </c>
      <c r="B274" s="437" t="s">
        <v>1091</v>
      </c>
      <c r="C274" s="4" t="s">
        <v>15053</v>
      </c>
      <c r="D274" s="438">
        <v>0</v>
      </c>
      <c r="E274" s="438">
        <v>0</v>
      </c>
      <c r="F274" s="438">
        <v>0</v>
      </c>
      <c r="G274" s="438">
        <v>0</v>
      </c>
      <c r="H274" s="48">
        <v>0</v>
      </c>
      <c r="I274" s="30">
        <v>0</v>
      </c>
      <c r="J274" s="30">
        <v>3525</v>
      </c>
      <c r="K274" s="30">
        <v>3591</v>
      </c>
      <c r="L274" s="30">
        <v>3686</v>
      </c>
      <c r="M274" s="435"/>
      <c r="N274" s="437" t="s">
        <v>2704</v>
      </c>
      <c r="O274" s="4"/>
      <c r="Q274" s="4"/>
    </row>
    <row r="275" spans="1:17">
      <c r="A275" s="437" t="s">
        <v>7015</v>
      </c>
      <c r="B275" s="437" t="s">
        <v>6410</v>
      </c>
      <c r="C275" s="4" t="s">
        <v>15054</v>
      </c>
      <c r="D275" s="438">
        <v>0</v>
      </c>
      <c r="E275" s="438">
        <v>0</v>
      </c>
      <c r="F275" s="438">
        <v>0</v>
      </c>
      <c r="G275" s="438">
        <v>0</v>
      </c>
      <c r="H275" s="48">
        <v>0</v>
      </c>
      <c r="I275" s="30">
        <v>0</v>
      </c>
      <c r="J275" s="30">
        <v>3276</v>
      </c>
      <c r="K275" s="30">
        <v>3619</v>
      </c>
      <c r="L275" s="30">
        <v>3983</v>
      </c>
      <c r="M275" s="435"/>
      <c r="N275" s="437" t="s">
        <v>2704</v>
      </c>
      <c r="O275" s="4"/>
      <c r="Q275" s="4"/>
    </row>
    <row r="276" spans="1:17">
      <c r="A276" s="437" t="s">
        <v>7017</v>
      </c>
      <c r="B276" s="437" t="s">
        <v>1864</v>
      </c>
      <c r="C276" s="4" t="s">
        <v>15055</v>
      </c>
      <c r="D276" s="438">
        <v>0</v>
      </c>
      <c r="E276" s="438">
        <v>0</v>
      </c>
      <c r="F276" s="438">
        <v>0</v>
      </c>
      <c r="G276" s="438">
        <v>0</v>
      </c>
      <c r="H276" s="48">
        <v>0</v>
      </c>
      <c r="I276" s="30">
        <v>0</v>
      </c>
      <c r="J276" s="31">
        <v>1672</v>
      </c>
      <c r="K276" s="31">
        <v>1747</v>
      </c>
      <c r="L276" s="31">
        <v>1862</v>
      </c>
      <c r="M276" s="435"/>
      <c r="N276" s="437" t="s">
        <v>2707</v>
      </c>
      <c r="O276" s="4"/>
      <c r="Q276" s="4"/>
    </row>
    <row r="277" spans="1:17">
      <c r="A277" s="437" t="s">
        <v>7019</v>
      </c>
      <c r="B277" s="437" t="s">
        <v>1092</v>
      </c>
      <c r="C277" s="4" t="s">
        <v>15056</v>
      </c>
      <c r="D277" s="438">
        <v>0</v>
      </c>
      <c r="E277" s="438">
        <v>0</v>
      </c>
      <c r="F277" s="438">
        <v>0</v>
      </c>
      <c r="G277" s="438">
        <v>0</v>
      </c>
      <c r="H277" s="48">
        <v>0</v>
      </c>
      <c r="I277" s="30">
        <v>0</v>
      </c>
      <c r="J277" s="31">
        <v>3255</v>
      </c>
      <c r="K277" s="31">
        <v>3521</v>
      </c>
      <c r="L277" s="31">
        <v>3790</v>
      </c>
      <c r="M277" s="435"/>
      <c r="N277" s="437" t="s">
        <v>2707</v>
      </c>
      <c r="O277" s="4"/>
      <c r="Q277" s="4"/>
    </row>
    <row r="278" spans="1:17">
      <c r="A278" s="437" t="s">
        <v>7021</v>
      </c>
      <c r="B278" s="437" t="s">
        <v>971</v>
      </c>
      <c r="C278" s="4" t="s">
        <v>15057</v>
      </c>
      <c r="D278" s="438">
        <v>0</v>
      </c>
      <c r="E278" s="438">
        <v>0</v>
      </c>
      <c r="F278" s="438">
        <v>0</v>
      </c>
      <c r="G278" s="438">
        <v>0</v>
      </c>
      <c r="H278" s="48">
        <v>0</v>
      </c>
      <c r="I278" s="30">
        <v>0</v>
      </c>
      <c r="J278" s="30">
        <v>3221</v>
      </c>
      <c r="K278" s="30">
        <v>3302</v>
      </c>
      <c r="L278" s="30">
        <v>3515</v>
      </c>
      <c r="M278" s="435"/>
      <c r="N278" s="437" t="s">
        <v>2704</v>
      </c>
      <c r="O278" s="4"/>
      <c r="Q278" s="4"/>
    </row>
    <row r="279" spans="1:17">
      <c r="A279" s="437" t="s">
        <v>7023</v>
      </c>
      <c r="B279" s="437" t="s">
        <v>972</v>
      </c>
      <c r="C279" s="4" t="s">
        <v>15058</v>
      </c>
      <c r="D279" s="438">
        <v>0</v>
      </c>
      <c r="E279" s="438">
        <v>0</v>
      </c>
      <c r="F279" s="438">
        <v>0</v>
      </c>
      <c r="G279" s="438">
        <v>0</v>
      </c>
      <c r="H279" s="48">
        <v>0</v>
      </c>
      <c r="I279" s="30">
        <v>0</v>
      </c>
      <c r="J279" s="30">
        <v>4868</v>
      </c>
      <c r="K279" s="30">
        <v>5246</v>
      </c>
      <c r="L279" s="30">
        <v>5659</v>
      </c>
      <c r="M279" s="435"/>
      <c r="N279" s="437" t="s">
        <v>2704</v>
      </c>
      <c r="O279" s="4"/>
      <c r="Q279" s="4"/>
    </row>
    <row r="280" spans="1:17">
      <c r="A280" s="437" t="s">
        <v>7025</v>
      </c>
      <c r="B280" s="437" t="s">
        <v>973</v>
      </c>
      <c r="C280" s="4" t="s">
        <v>15059</v>
      </c>
      <c r="D280" s="438">
        <v>0</v>
      </c>
      <c r="E280" s="438">
        <v>0</v>
      </c>
      <c r="F280" s="438">
        <v>0</v>
      </c>
      <c r="G280" s="438">
        <v>0</v>
      </c>
      <c r="H280" s="48">
        <v>0</v>
      </c>
      <c r="I280" s="30">
        <v>0</v>
      </c>
      <c r="J280" s="31">
        <v>1616</v>
      </c>
      <c r="K280" s="31">
        <v>1635</v>
      </c>
      <c r="L280" s="31">
        <v>1696</v>
      </c>
      <c r="M280" s="435"/>
      <c r="N280" s="437" t="s">
        <v>2707</v>
      </c>
      <c r="O280" s="4"/>
      <c r="Q280" s="4"/>
    </row>
    <row r="281" spans="1:17">
      <c r="A281" s="437" t="s">
        <v>7570</v>
      </c>
      <c r="B281" s="437" t="s">
        <v>974</v>
      </c>
      <c r="C281" s="4" t="s">
        <v>15060</v>
      </c>
      <c r="D281" s="438">
        <v>0</v>
      </c>
      <c r="E281" s="438">
        <v>0</v>
      </c>
      <c r="F281" s="438">
        <v>0</v>
      </c>
      <c r="G281" s="438">
        <v>0</v>
      </c>
      <c r="H281" s="48">
        <v>0</v>
      </c>
      <c r="I281" s="30">
        <v>0</v>
      </c>
      <c r="J281" s="31">
        <v>4520</v>
      </c>
      <c r="K281" s="31">
        <v>4633</v>
      </c>
      <c r="L281" s="31">
        <v>4918</v>
      </c>
      <c r="M281" s="435"/>
      <c r="N281" s="437" t="s">
        <v>2707</v>
      </c>
      <c r="O281" s="4"/>
      <c r="Q281" s="4"/>
    </row>
    <row r="282" spans="1:17">
      <c r="A282" s="437" t="s">
        <v>7572</v>
      </c>
      <c r="B282" s="437" t="s">
        <v>975</v>
      </c>
      <c r="C282" s="4" t="s">
        <v>15061</v>
      </c>
      <c r="D282" s="438">
        <v>0</v>
      </c>
      <c r="E282" s="438">
        <v>0</v>
      </c>
      <c r="F282" s="438">
        <v>0</v>
      </c>
      <c r="G282" s="438">
        <v>0</v>
      </c>
      <c r="H282" s="48">
        <v>0</v>
      </c>
      <c r="I282" s="30">
        <v>0</v>
      </c>
      <c r="J282" s="31">
        <v>4879</v>
      </c>
      <c r="K282" s="31">
        <v>5030</v>
      </c>
      <c r="L282" s="31">
        <v>5233</v>
      </c>
      <c r="M282" s="435"/>
      <c r="N282" s="437" t="s">
        <v>2707</v>
      </c>
      <c r="O282" s="4"/>
      <c r="Q282" s="4"/>
    </row>
    <row r="283" spans="1:17">
      <c r="A283" s="437" t="s">
        <v>7573</v>
      </c>
      <c r="B283" s="437" t="s">
        <v>976</v>
      </c>
      <c r="C283" s="4" t="s">
        <v>15062</v>
      </c>
      <c r="D283" s="438">
        <v>0</v>
      </c>
      <c r="E283" s="438">
        <v>0</v>
      </c>
      <c r="F283" s="438">
        <v>0</v>
      </c>
      <c r="G283" s="438">
        <v>0</v>
      </c>
      <c r="H283" s="48">
        <v>0</v>
      </c>
      <c r="I283" s="30">
        <v>0</v>
      </c>
      <c r="J283" s="31">
        <v>3535</v>
      </c>
      <c r="K283" s="31">
        <v>3571</v>
      </c>
      <c r="L283" s="31">
        <v>3687</v>
      </c>
      <c r="M283" s="435"/>
      <c r="N283" s="437" t="s">
        <v>2707</v>
      </c>
      <c r="O283" s="4"/>
      <c r="Q283" s="4"/>
    </row>
    <row r="284" spans="1:17">
      <c r="A284" s="437" t="s">
        <v>5798</v>
      </c>
      <c r="B284" s="437" t="s">
        <v>15039</v>
      </c>
      <c r="C284" s="4" t="s">
        <v>15063</v>
      </c>
      <c r="D284" s="438">
        <v>0</v>
      </c>
      <c r="E284" s="438">
        <v>0</v>
      </c>
      <c r="F284" s="438">
        <v>0</v>
      </c>
      <c r="G284" s="438">
        <v>0</v>
      </c>
      <c r="H284" s="48">
        <v>0</v>
      </c>
      <c r="I284" s="30">
        <v>0</v>
      </c>
      <c r="J284" s="30">
        <v>2065</v>
      </c>
      <c r="K284" s="30">
        <v>3566</v>
      </c>
      <c r="L284" s="30">
        <v>3399</v>
      </c>
      <c r="M284" s="435"/>
      <c r="N284" s="437" t="s">
        <v>2704</v>
      </c>
      <c r="O284" s="4"/>
      <c r="Q284" s="4"/>
    </row>
    <row r="285" spans="1:17">
      <c r="A285" s="437" t="s">
        <v>5799</v>
      </c>
      <c r="B285" s="437" t="s">
        <v>977</v>
      </c>
      <c r="C285" s="4" t="s">
        <v>15064</v>
      </c>
      <c r="D285" s="438">
        <v>0</v>
      </c>
      <c r="E285" s="438">
        <v>0</v>
      </c>
      <c r="F285" s="438">
        <v>0</v>
      </c>
      <c r="G285" s="438">
        <v>0</v>
      </c>
      <c r="H285" s="48">
        <v>0</v>
      </c>
      <c r="I285" s="30">
        <v>0</v>
      </c>
      <c r="J285" s="31">
        <v>1878</v>
      </c>
      <c r="K285" s="31">
        <v>1926</v>
      </c>
      <c r="L285" s="31">
        <v>2002</v>
      </c>
      <c r="M285" s="435"/>
      <c r="N285" s="437" t="s">
        <v>2707</v>
      </c>
      <c r="O285" s="4"/>
      <c r="Q285" s="4"/>
    </row>
    <row r="286" spans="1:17">
      <c r="A286" s="437" t="s">
        <v>5801</v>
      </c>
      <c r="B286" s="437" t="s">
        <v>978</v>
      </c>
      <c r="C286" s="4" t="s">
        <v>15065</v>
      </c>
      <c r="D286" s="438">
        <v>0</v>
      </c>
      <c r="E286" s="438">
        <v>0</v>
      </c>
      <c r="F286" s="438">
        <v>0</v>
      </c>
      <c r="G286" s="438">
        <v>0</v>
      </c>
      <c r="H286" s="48">
        <v>0</v>
      </c>
      <c r="I286" s="30">
        <v>0</v>
      </c>
      <c r="J286" s="31">
        <v>1604</v>
      </c>
      <c r="K286" s="31">
        <v>1622</v>
      </c>
      <c r="L286" s="31">
        <v>1669</v>
      </c>
      <c r="M286" s="435"/>
      <c r="N286" s="437" t="s">
        <v>2707</v>
      </c>
      <c r="O286" s="4"/>
      <c r="Q286" s="4"/>
    </row>
    <row r="287" spans="1:17">
      <c r="A287" s="437" t="s">
        <v>5927</v>
      </c>
      <c r="B287" s="437" t="s">
        <v>4281</v>
      </c>
      <c r="C287" s="4" t="s">
        <v>15066</v>
      </c>
      <c r="D287" s="438">
        <v>0</v>
      </c>
      <c r="E287" s="438">
        <v>0</v>
      </c>
      <c r="F287" s="438">
        <v>0</v>
      </c>
      <c r="G287" s="438">
        <v>0</v>
      </c>
      <c r="H287" s="48">
        <v>0</v>
      </c>
      <c r="I287" s="30">
        <v>0</v>
      </c>
      <c r="J287" s="31">
        <v>5211</v>
      </c>
      <c r="K287" s="31">
        <v>5265</v>
      </c>
      <c r="L287" s="31">
        <v>5521</v>
      </c>
      <c r="M287" s="435"/>
      <c r="N287" s="437" t="s">
        <v>2707</v>
      </c>
      <c r="O287" s="4"/>
      <c r="Q287" s="4"/>
    </row>
    <row r="288" spans="1:17">
      <c r="A288" s="435"/>
      <c r="B288" s="435"/>
      <c r="D288" s="444"/>
      <c r="E288" s="444"/>
      <c r="F288" s="444"/>
      <c r="G288" s="444"/>
      <c r="H288" s="444"/>
      <c r="I288" s="444"/>
      <c r="J288" s="444"/>
      <c r="K288" s="444"/>
      <c r="L288" s="444"/>
      <c r="M288" s="435"/>
      <c r="N288" s="435"/>
    </row>
    <row r="289" spans="1:17">
      <c r="A289" s="437" t="s">
        <v>979</v>
      </c>
      <c r="D289" s="438">
        <f>D263+D265+D266+D272+D274+D275+D278+D279+D284</f>
        <v>38838</v>
      </c>
      <c r="E289" s="438">
        <f t="shared" ref="E289:J289" si="213">E263+E265+E266+E272+E274+E275+E278+E279+E284</f>
        <v>39890</v>
      </c>
      <c r="F289" s="438">
        <f t="shared" si="213"/>
        <v>38175</v>
      </c>
      <c r="G289" s="438">
        <f t="shared" si="213"/>
        <v>37096</v>
      </c>
      <c r="H289" s="438">
        <f t="shared" si="213"/>
        <v>35013</v>
      </c>
      <c r="I289" s="438">
        <f t="shared" si="213"/>
        <v>33464</v>
      </c>
      <c r="J289" s="438">
        <f t="shared" si="213"/>
        <v>33074</v>
      </c>
      <c r="K289" s="438">
        <f t="shared" ref="K289:L289" si="214">K263+K265+K266+K272+K274+K275+K278+K279+K284</f>
        <v>37505</v>
      </c>
      <c r="L289" s="438">
        <f t="shared" si="214"/>
        <v>41090</v>
      </c>
      <c r="M289" s="435"/>
      <c r="N289" s="435"/>
    </row>
    <row r="290" spans="1:17">
      <c r="A290" s="437" t="s">
        <v>2707</v>
      </c>
      <c r="D290" s="438">
        <f>D261+D262+D264+SUM(D267:D271)+D273+D276+D277+SUM(D280:D283)+SUM(D285:D287)</f>
        <v>68750</v>
      </c>
      <c r="E290" s="438">
        <f t="shared" ref="E290:J290" si="215">E261+E262+E264+SUM(E267:E271)+E273+E276+E277+SUM(E280:E283)+SUM(E285:E287)</f>
        <v>69254</v>
      </c>
      <c r="F290" s="438">
        <f t="shared" si="215"/>
        <v>68503</v>
      </c>
      <c r="G290" s="438">
        <f t="shared" si="215"/>
        <v>68281</v>
      </c>
      <c r="H290" s="438">
        <f t="shared" si="215"/>
        <v>64339</v>
      </c>
      <c r="I290" s="438">
        <f t="shared" si="215"/>
        <v>65465</v>
      </c>
      <c r="J290" s="438">
        <f t="shared" si="215"/>
        <v>63283</v>
      </c>
      <c r="K290" s="438">
        <f t="shared" ref="K290:L290" si="216">K261+K262+K264+SUM(K267:K271)+K273+K276+K277+SUM(K280:K283)+SUM(K285:K287)</f>
        <v>65060</v>
      </c>
      <c r="L290" s="438">
        <f t="shared" si="216"/>
        <v>68246</v>
      </c>
      <c r="M290" s="435"/>
      <c r="N290" s="435"/>
    </row>
    <row r="291" spans="1:17">
      <c r="A291" s="437"/>
      <c r="D291" s="438"/>
      <c r="E291" s="438"/>
      <c r="F291" s="438"/>
      <c r="G291" s="438"/>
      <c r="H291" s="438"/>
      <c r="I291" s="438"/>
      <c r="J291" s="438"/>
      <c r="K291" s="438"/>
      <c r="L291" s="438"/>
      <c r="M291" s="435"/>
      <c r="N291" s="435"/>
    </row>
    <row r="292" spans="1:17">
      <c r="A292" s="437" t="s">
        <v>15040</v>
      </c>
      <c r="D292" s="438"/>
      <c r="E292" s="438"/>
      <c r="F292" s="438"/>
      <c r="G292" s="438"/>
      <c r="H292" s="438"/>
      <c r="I292" s="438"/>
      <c r="J292" s="438"/>
      <c r="K292" s="438"/>
      <c r="L292" s="438"/>
      <c r="M292" s="435"/>
      <c r="N292" s="435"/>
    </row>
    <row r="293" spans="1:17">
      <c r="A293" s="437"/>
      <c r="B293" s="437"/>
      <c r="D293" s="449"/>
      <c r="E293" s="449"/>
      <c r="F293" s="449"/>
      <c r="G293" s="449"/>
      <c r="H293" s="449"/>
      <c r="I293" s="449"/>
      <c r="J293" s="449"/>
      <c r="K293" s="449"/>
      <c r="L293" s="449"/>
      <c r="M293" s="435"/>
      <c r="N293" s="435"/>
    </row>
    <row r="294" spans="1:17">
      <c r="A294" s="437"/>
      <c r="B294" s="437"/>
      <c r="D294" s="449"/>
      <c r="E294" s="449"/>
      <c r="F294" s="449"/>
      <c r="G294" s="449"/>
      <c r="H294" s="449"/>
      <c r="I294" s="449"/>
      <c r="J294" s="449"/>
      <c r="K294" s="449"/>
      <c r="L294" s="449"/>
      <c r="M294" s="435"/>
      <c r="N294" s="435"/>
    </row>
    <row r="295" spans="1:17">
      <c r="A295" s="435"/>
      <c r="B295" s="435"/>
      <c r="E295" s="42" t="s">
        <v>2303</v>
      </c>
      <c r="F295" s="42"/>
      <c r="G295" s="42"/>
      <c r="H295" s="42"/>
      <c r="I295" s="42"/>
      <c r="J295" s="42"/>
      <c r="K295" s="42"/>
      <c r="L295" s="42"/>
      <c r="M295" s="109"/>
      <c r="N295" s="109" t="s">
        <v>13319</v>
      </c>
    </row>
    <row r="296" spans="1:17">
      <c r="A296" s="435"/>
      <c r="B296" s="435"/>
      <c r="D296" s="110">
        <v>2010</v>
      </c>
      <c r="E296" s="110">
        <v>2011</v>
      </c>
      <c r="F296" s="110">
        <v>2012</v>
      </c>
      <c r="G296" s="110">
        <v>2013</v>
      </c>
      <c r="H296" s="110">
        <v>2014</v>
      </c>
      <c r="I296" s="110">
        <v>2015</v>
      </c>
      <c r="J296" s="110">
        <v>2016</v>
      </c>
      <c r="K296" s="110">
        <v>2017</v>
      </c>
      <c r="L296" s="110">
        <v>2018</v>
      </c>
      <c r="M296" s="435"/>
      <c r="N296" s="112" t="s">
        <v>2304</v>
      </c>
    </row>
    <row r="297" spans="1:17">
      <c r="A297" s="437" t="s">
        <v>1778</v>
      </c>
      <c r="D297" s="438">
        <f t="shared" ref="D297:I297" si="217">SUM(D298:D317)</f>
        <v>66461</v>
      </c>
      <c r="E297" s="438">
        <f t="shared" si="217"/>
        <v>66735</v>
      </c>
      <c r="F297" s="438">
        <f t="shared" si="217"/>
        <v>66918</v>
      </c>
      <c r="G297" s="438">
        <f t="shared" si="217"/>
        <v>66780</v>
      </c>
      <c r="H297" s="438">
        <f t="shared" si="217"/>
        <v>66688</v>
      </c>
      <c r="I297" s="438">
        <f t="shared" si="217"/>
        <v>64241</v>
      </c>
      <c r="J297" s="438">
        <f t="shared" ref="J297:K297" si="218">SUM(J298:J317)</f>
        <v>62891</v>
      </c>
      <c r="K297" s="438">
        <f t="shared" si="218"/>
        <v>63972</v>
      </c>
      <c r="L297" s="438">
        <f t="shared" ref="L297" si="219">SUM(L298:L317)</f>
        <v>64257</v>
      </c>
      <c r="M297" s="435"/>
      <c r="N297" s="435"/>
    </row>
    <row r="298" spans="1:17">
      <c r="A298" s="437" t="s">
        <v>6957</v>
      </c>
      <c r="B298" s="437" t="s">
        <v>1779</v>
      </c>
      <c r="C298" s="4" t="s">
        <v>11571</v>
      </c>
      <c r="D298" s="438">
        <v>4070</v>
      </c>
      <c r="E298" s="438">
        <v>4092</v>
      </c>
      <c r="F298" s="438">
        <v>4066</v>
      </c>
      <c r="G298" s="30">
        <v>4060</v>
      </c>
      <c r="H298" s="30">
        <v>4029</v>
      </c>
      <c r="I298" s="30">
        <v>3887</v>
      </c>
      <c r="J298" s="30">
        <v>3823</v>
      </c>
      <c r="K298" s="30">
        <v>3856</v>
      </c>
      <c r="L298" s="30">
        <v>3905</v>
      </c>
      <c r="M298" s="435"/>
      <c r="N298" s="437" t="s">
        <v>2708</v>
      </c>
      <c r="O298" s="4"/>
      <c r="Q298" s="4"/>
    </row>
    <row r="299" spans="1:17">
      <c r="A299" s="437" t="s">
        <v>6959</v>
      </c>
      <c r="B299" s="437" t="s">
        <v>1780</v>
      </c>
      <c r="C299" s="4" t="s">
        <v>11572</v>
      </c>
      <c r="D299" s="438">
        <v>1473</v>
      </c>
      <c r="E299" s="438">
        <v>1476</v>
      </c>
      <c r="F299" s="438">
        <v>1486</v>
      </c>
      <c r="G299" s="30">
        <v>1484</v>
      </c>
      <c r="H299" s="30">
        <v>1456</v>
      </c>
      <c r="I299" s="30">
        <v>1432</v>
      </c>
      <c r="J299" s="30">
        <v>1424</v>
      </c>
      <c r="K299" s="30">
        <v>1432</v>
      </c>
      <c r="L299" s="30">
        <v>1417</v>
      </c>
      <c r="M299" s="435"/>
      <c r="N299" s="437" t="s">
        <v>2708</v>
      </c>
      <c r="O299" s="4"/>
      <c r="Q299" s="4"/>
    </row>
    <row r="300" spans="1:17">
      <c r="A300" s="437" t="s">
        <v>6961</v>
      </c>
      <c r="B300" s="437" t="s">
        <v>4787</v>
      </c>
      <c r="C300" s="4" t="s">
        <v>11573</v>
      </c>
      <c r="D300" s="438">
        <v>4188</v>
      </c>
      <c r="E300" s="438">
        <v>4228</v>
      </c>
      <c r="F300" s="438">
        <v>4245</v>
      </c>
      <c r="G300" s="30">
        <v>4231</v>
      </c>
      <c r="H300" s="30">
        <v>4268</v>
      </c>
      <c r="I300" s="30">
        <v>4155</v>
      </c>
      <c r="J300" s="30">
        <v>4071</v>
      </c>
      <c r="K300" s="30">
        <v>4156</v>
      </c>
      <c r="L300" s="30">
        <v>4189</v>
      </c>
      <c r="M300" s="435"/>
      <c r="N300" s="437" t="s">
        <v>2708</v>
      </c>
      <c r="O300" s="4"/>
      <c r="Q300" s="4"/>
    </row>
    <row r="301" spans="1:17">
      <c r="A301" s="437" t="s">
        <v>6963</v>
      </c>
      <c r="B301" s="437" t="s">
        <v>7525</v>
      </c>
      <c r="C301" s="4" t="s">
        <v>11574</v>
      </c>
      <c r="D301" s="438">
        <v>4472</v>
      </c>
      <c r="E301" s="438">
        <v>4390</v>
      </c>
      <c r="F301" s="438">
        <v>4436</v>
      </c>
      <c r="G301" s="30">
        <v>4340</v>
      </c>
      <c r="H301" s="30">
        <v>4357</v>
      </c>
      <c r="I301" s="30">
        <v>4168</v>
      </c>
      <c r="J301" s="30">
        <v>4022</v>
      </c>
      <c r="K301" s="30">
        <v>4086</v>
      </c>
      <c r="L301" s="30">
        <v>4105</v>
      </c>
      <c r="M301" s="435"/>
      <c r="N301" s="437" t="s">
        <v>2708</v>
      </c>
      <c r="O301" s="4"/>
      <c r="Q301" s="4"/>
    </row>
    <row r="302" spans="1:17">
      <c r="A302" s="437" t="s">
        <v>6965</v>
      </c>
      <c r="B302" s="437" t="s">
        <v>4788</v>
      </c>
      <c r="C302" s="4" t="s">
        <v>11575</v>
      </c>
      <c r="D302" s="438">
        <v>3624</v>
      </c>
      <c r="E302" s="438">
        <v>3677</v>
      </c>
      <c r="F302" s="438">
        <v>3645</v>
      </c>
      <c r="G302" s="30">
        <v>3580</v>
      </c>
      <c r="H302" s="30">
        <v>3705</v>
      </c>
      <c r="I302" s="30">
        <v>3565</v>
      </c>
      <c r="J302" s="30">
        <v>3486</v>
      </c>
      <c r="K302" s="30">
        <v>3543</v>
      </c>
      <c r="L302" s="30">
        <v>3556</v>
      </c>
      <c r="M302" s="435"/>
      <c r="N302" s="437" t="s">
        <v>2708</v>
      </c>
      <c r="O302" s="4"/>
      <c r="Q302" s="4"/>
    </row>
    <row r="303" spans="1:17">
      <c r="A303" s="437" t="s">
        <v>6997</v>
      </c>
      <c r="B303" s="437" t="s">
        <v>4789</v>
      </c>
      <c r="C303" s="4" t="s">
        <v>11576</v>
      </c>
      <c r="D303" s="438">
        <v>3700</v>
      </c>
      <c r="E303" s="438">
        <v>3693</v>
      </c>
      <c r="F303" s="438">
        <v>3674</v>
      </c>
      <c r="G303" s="30">
        <v>3714</v>
      </c>
      <c r="H303" s="30">
        <v>3611</v>
      </c>
      <c r="I303" s="30">
        <v>3449</v>
      </c>
      <c r="J303" s="30">
        <v>3336</v>
      </c>
      <c r="K303" s="30">
        <v>3333</v>
      </c>
      <c r="L303" s="30">
        <v>3379</v>
      </c>
      <c r="M303" s="435"/>
      <c r="N303" s="437" t="s">
        <v>2708</v>
      </c>
      <c r="O303" s="4"/>
      <c r="Q303" s="4"/>
    </row>
    <row r="304" spans="1:17">
      <c r="A304" s="437" t="s">
        <v>6999</v>
      </c>
      <c r="B304" s="437" t="s">
        <v>4790</v>
      </c>
      <c r="C304" s="4" t="s">
        <v>11577</v>
      </c>
      <c r="D304" s="438">
        <v>4110</v>
      </c>
      <c r="E304" s="438">
        <v>4165</v>
      </c>
      <c r="F304" s="438">
        <v>4151</v>
      </c>
      <c r="G304" s="30">
        <v>4112</v>
      </c>
      <c r="H304" s="30">
        <v>4104</v>
      </c>
      <c r="I304" s="30">
        <v>4031</v>
      </c>
      <c r="J304" s="30">
        <v>3984</v>
      </c>
      <c r="K304" s="30">
        <v>4105</v>
      </c>
      <c r="L304" s="30">
        <v>4091</v>
      </c>
      <c r="M304" s="435"/>
      <c r="N304" s="437" t="s">
        <v>2708</v>
      </c>
      <c r="O304" s="4"/>
      <c r="Q304" s="4"/>
    </row>
    <row r="305" spans="1:17">
      <c r="A305" s="437" t="s">
        <v>7001</v>
      </c>
      <c r="B305" s="437" t="s">
        <v>5603</v>
      </c>
      <c r="C305" s="4" t="s">
        <v>11578</v>
      </c>
      <c r="D305" s="438">
        <v>4216</v>
      </c>
      <c r="E305" s="438">
        <v>4246</v>
      </c>
      <c r="F305" s="438">
        <v>4272</v>
      </c>
      <c r="G305" s="30">
        <v>4298</v>
      </c>
      <c r="H305" s="30">
        <v>4271</v>
      </c>
      <c r="I305" s="30">
        <v>4126</v>
      </c>
      <c r="J305" s="30">
        <v>4073</v>
      </c>
      <c r="K305" s="30">
        <v>4077</v>
      </c>
      <c r="L305" s="30">
        <v>4118</v>
      </c>
      <c r="M305" s="435"/>
      <c r="N305" s="437" t="s">
        <v>2708</v>
      </c>
      <c r="O305" s="4"/>
      <c r="Q305" s="4"/>
    </row>
    <row r="306" spans="1:17">
      <c r="A306" s="437" t="s">
        <v>7003</v>
      </c>
      <c r="B306" s="437" t="s">
        <v>4791</v>
      </c>
      <c r="C306" s="4" t="s">
        <v>13077</v>
      </c>
      <c r="D306" s="438">
        <v>4796</v>
      </c>
      <c r="E306" s="438">
        <v>4813</v>
      </c>
      <c r="F306" s="438">
        <v>4863</v>
      </c>
      <c r="G306" s="30">
        <v>4836</v>
      </c>
      <c r="H306" s="30">
        <v>4877</v>
      </c>
      <c r="I306" s="30">
        <v>4718</v>
      </c>
      <c r="J306" s="30">
        <v>4605</v>
      </c>
      <c r="K306" s="30">
        <v>4679</v>
      </c>
      <c r="L306" s="30">
        <v>4728</v>
      </c>
      <c r="M306" s="435"/>
      <c r="N306" s="437" t="s">
        <v>2708</v>
      </c>
      <c r="O306" s="4"/>
      <c r="Q306" s="4"/>
    </row>
    <row r="307" spans="1:17">
      <c r="A307" s="437" t="s">
        <v>7005</v>
      </c>
      <c r="B307" s="437" t="s">
        <v>4792</v>
      </c>
      <c r="C307" s="4" t="s">
        <v>13078</v>
      </c>
      <c r="D307" s="438">
        <v>1361</v>
      </c>
      <c r="E307" s="438">
        <v>1373</v>
      </c>
      <c r="F307" s="438">
        <v>1387</v>
      </c>
      <c r="G307" s="30">
        <v>1390</v>
      </c>
      <c r="H307" s="30">
        <v>1373</v>
      </c>
      <c r="I307" s="30">
        <v>1340</v>
      </c>
      <c r="J307" s="30">
        <v>1299</v>
      </c>
      <c r="K307" s="30">
        <v>1349</v>
      </c>
      <c r="L307" s="30">
        <v>1372</v>
      </c>
      <c r="M307" s="435"/>
      <c r="N307" s="437" t="s">
        <v>2708</v>
      </c>
      <c r="O307" s="4"/>
      <c r="Q307" s="4"/>
    </row>
    <row r="308" spans="1:17">
      <c r="A308" s="437" t="s">
        <v>7007</v>
      </c>
      <c r="B308" s="437" t="s">
        <v>4793</v>
      </c>
      <c r="C308" s="4" t="s">
        <v>11579</v>
      </c>
      <c r="D308" s="438">
        <v>1388</v>
      </c>
      <c r="E308" s="438">
        <v>1406</v>
      </c>
      <c r="F308" s="438">
        <v>1416</v>
      </c>
      <c r="G308" s="30">
        <v>1403</v>
      </c>
      <c r="H308" s="30">
        <v>1421</v>
      </c>
      <c r="I308" s="30">
        <v>1425</v>
      </c>
      <c r="J308" s="30">
        <v>1414</v>
      </c>
      <c r="K308" s="30">
        <v>1434</v>
      </c>
      <c r="L308" s="30">
        <v>1447</v>
      </c>
      <c r="M308" s="435"/>
      <c r="N308" s="437" t="s">
        <v>2708</v>
      </c>
      <c r="O308" s="4"/>
      <c r="Q308" s="4"/>
    </row>
    <row r="309" spans="1:17">
      <c r="A309" s="437" t="s">
        <v>7009</v>
      </c>
      <c r="B309" s="437" t="s">
        <v>4794</v>
      </c>
      <c r="C309" s="4" t="s">
        <v>11580</v>
      </c>
      <c r="D309" s="438">
        <v>3979</v>
      </c>
      <c r="E309" s="438">
        <v>4004</v>
      </c>
      <c r="F309" s="438">
        <v>3940</v>
      </c>
      <c r="G309" s="30">
        <v>3975</v>
      </c>
      <c r="H309" s="30">
        <v>3935</v>
      </c>
      <c r="I309" s="30">
        <v>3735</v>
      </c>
      <c r="J309" s="30">
        <v>3668</v>
      </c>
      <c r="K309" s="30">
        <v>3706</v>
      </c>
      <c r="L309" s="30">
        <v>3696</v>
      </c>
      <c r="M309" s="435"/>
      <c r="N309" s="437" t="s">
        <v>2708</v>
      </c>
      <c r="O309" s="4"/>
      <c r="Q309" s="4"/>
    </row>
    <row r="310" spans="1:17">
      <c r="A310" s="437" t="s">
        <v>7011</v>
      </c>
      <c r="B310" s="437" t="s">
        <v>4795</v>
      </c>
      <c r="C310" s="4" t="s">
        <v>11581</v>
      </c>
      <c r="D310" s="438">
        <v>2636</v>
      </c>
      <c r="E310" s="438">
        <v>2577</v>
      </c>
      <c r="F310" s="438">
        <v>2596</v>
      </c>
      <c r="G310" s="30">
        <v>2585</v>
      </c>
      <c r="H310" s="30">
        <v>2554</v>
      </c>
      <c r="I310" s="30">
        <v>2470</v>
      </c>
      <c r="J310" s="30">
        <v>2386</v>
      </c>
      <c r="K310" s="30">
        <v>2455</v>
      </c>
      <c r="L310" s="30">
        <v>2448</v>
      </c>
      <c r="M310" s="435"/>
      <c r="N310" s="437" t="s">
        <v>2708</v>
      </c>
      <c r="O310" s="4"/>
      <c r="Q310" s="4"/>
    </row>
    <row r="311" spans="1:17">
      <c r="A311" s="437" t="s">
        <v>7013</v>
      </c>
      <c r="B311" s="437" t="s">
        <v>3088</v>
      </c>
      <c r="C311" s="4" t="s">
        <v>11582</v>
      </c>
      <c r="D311" s="438">
        <v>1229</v>
      </c>
      <c r="E311" s="438">
        <v>1233</v>
      </c>
      <c r="F311" s="438">
        <v>1229</v>
      </c>
      <c r="G311" s="30">
        <v>1228</v>
      </c>
      <c r="H311" s="30">
        <v>1239</v>
      </c>
      <c r="I311" s="30">
        <v>1229</v>
      </c>
      <c r="J311" s="30">
        <v>1225</v>
      </c>
      <c r="K311" s="30">
        <v>1215</v>
      </c>
      <c r="L311" s="30">
        <v>1215</v>
      </c>
      <c r="M311" s="435"/>
      <c r="N311" s="437" t="s">
        <v>2708</v>
      </c>
      <c r="O311" s="4"/>
      <c r="Q311" s="4"/>
    </row>
    <row r="312" spans="1:17">
      <c r="A312" s="437" t="s">
        <v>7015</v>
      </c>
      <c r="B312" s="437" t="s">
        <v>6527</v>
      </c>
      <c r="C312" s="4" t="s">
        <v>11583</v>
      </c>
      <c r="D312" s="438">
        <v>4163</v>
      </c>
      <c r="E312" s="438">
        <v>4217</v>
      </c>
      <c r="F312" s="438">
        <v>4242</v>
      </c>
      <c r="G312" s="30">
        <v>4267</v>
      </c>
      <c r="H312" s="30">
        <v>4251</v>
      </c>
      <c r="I312" s="30">
        <v>4161</v>
      </c>
      <c r="J312" s="30">
        <v>4178</v>
      </c>
      <c r="K312" s="30">
        <v>4296</v>
      </c>
      <c r="L312" s="30">
        <v>4311</v>
      </c>
      <c r="M312" s="435"/>
      <c r="N312" s="437" t="s">
        <v>2708</v>
      </c>
      <c r="O312" s="4"/>
      <c r="Q312" s="4"/>
    </row>
    <row r="313" spans="1:17">
      <c r="A313" s="437" t="s">
        <v>7017</v>
      </c>
      <c r="B313" s="437" t="s">
        <v>6528</v>
      </c>
      <c r="C313" s="4" t="s">
        <v>11584</v>
      </c>
      <c r="D313" s="438">
        <v>3924</v>
      </c>
      <c r="E313" s="438">
        <v>3929</v>
      </c>
      <c r="F313" s="438">
        <v>4008</v>
      </c>
      <c r="G313" s="31">
        <v>3986</v>
      </c>
      <c r="H313" s="31">
        <v>3897</v>
      </c>
      <c r="I313" s="31">
        <v>3648</v>
      </c>
      <c r="J313" s="31">
        <v>3468</v>
      </c>
      <c r="K313" s="31">
        <v>3507</v>
      </c>
      <c r="L313" s="31">
        <v>3504</v>
      </c>
      <c r="M313" s="435"/>
      <c r="N313" s="437" t="s">
        <v>2708</v>
      </c>
      <c r="O313" s="4"/>
      <c r="Q313" s="4"/>
    </row>
    <row r="314" spans="1:17">
      <c r="A314" s="437" t="s">
        <v>7019</v>
      </c>
      <c r="B314" s="437" t="s">
        <v>6529</v>
      </c>
      <c r="C314" s="4" t="s">
        <v>11585</v>
      </c>
      <c r="D314" s="438">
        <v>4078</v>
      </c>
      <c r="E314" s="438">
        <v>4118</v>
      </c>
      <c r="F314" s="438">
        <v>4181</v>
      </c>
      <c r="G314" s="31">
        <v>4233</v>
      </c>
      <c r="H314" s="31">
        <v>4286</v>
      </c>
      <c r="I314" s="31">
        <v>4082</v>
      </c>
      <c r="J314" s="31">
        <v>4028</v>
      </c>
      <c r="K314" s="31">
        <v>4126</v>
      </c>
      <c r="L314" s="31">
        <v>4085</v>
      </c>
      <c r="M314" s="435"/>
      <c r="N314" s="437" t="s">
        <v>2708</v>
      </c>
      <c r="O314" s="4"/>
      <c r="Q314" s="4"/>
    </row>
    <row r="315" spans="1:17">
      <c r="A315" s="437" t="s">
        <v>7021</v>
      </c>
      <c r="B315" s="437" t="s">
        <v>6530</v>
      </c>
      <c r="C315" s="4" t="s">
        <v>11586</v>
      </c>
      <c r="D315" s="438">
        <v>2647</v>
      </c>
      <c r="E315" s="438">
        <v>2672</v>
      </c>
      <c r="F315" s="438">
        <v>2619</v>
      </c>
      <c r="G315" s="31">
        <v>2672</v>
      </c>
      <c r="H315" s="31">
        <v>2683</v>
      </c>
      <c r="I315" s="31">
        <v>2569</v>
      </c>
      <c r="J315" s="31">
        <v>2485</v>
      </c>
      <c r="K315" s="31">
        <v>2535</v>
      </c>
      <c r="L315" s="31">
        <v>2530</v>
      </c>
      <c r="M315" s="435"/>
      <c r="N315" s="437" t="s">
        <v>2708</v>
      </c>
      <c r="O315" s="4"/>
      <c r="Q315" s="4"/>
    </row>
    <row r="316" spans="1:17">
      <c r="A316" s="437" t="s">
        <v>7023</v>
      </c>
      <c r="B316" s="437" t="s">
        <v>4427</v>
      </c>
      <c r="C316" s="4" t="s">
        <v>11587</v>
      </c>
      <c r="D316" s="438">
        <v>3850</v>
      </c>
      <c r="E316" s="438">
        <v>3866</v>
      </c>
      <c r="F316" s="438">
        <v>3870</v>
      </c>
      <c r="G316" s="31">
        <v>3787</v>
      </c>
      <c r="H316" s="31">
        <v>3821</v>
      </c>
      <c r="I316" s="31">
        <v>3619</v>
      </c>
      <c r="J316" s="31">
        <v>3574</v>
      </c>
      <c r="K316" s="31">
        <v>3653</v>
      </c>
      <c r="L316" s="31">
        <v>3653</v>
      </c>
      <c r="M316" s="435"/>
      <c r="N316" s="437" t="s">
        <v>2708</v>
      </c>
      <c r="O316" s="4"/>
      <c r="Q316" s="4"/>
    </row>
    <row r="317" spans="1:17">
      <c r="A317" s="448">
        <v>20</v>
      </c>
      <c r="B317" s="437" t="s">
        <v>6531</v>
      </c>
      <c r="C317" s="4" t="s">
        <v>11588</v>
      </c>
      <c r="D317" s="444">
        <v>2557</v>
      </c>
      <c r="E317" s="444">
        <v>2560</v>
      </c>
      <c r="F317" s="444">
        <v>2592</v>
      </c>
      <c r="G317" s="31">
        <v>2599</v>
      </c>
      <c r="H317" s="31">
        <v>2550</v>
      </c>
      <c r="I317" s="31">
        <v>2432</v>
      </c>
      <c r="J317" s="31">
        <v>2342</v>
      </c>
      <c r="K317" s="31">
        <v>2429</v>
      </c>
      <c r="L317" s="31">
        <v>2508</v>
      </c>
      <c r="M317" s="435"/>
      <c r="N317" s="437" t="s">
        <v>2708</v>
      </c>
      <c r="O317" s="4"/>
      <c r="Q317" s="4"/>
    </row>
    <row r="318" spans="1:17">
      <c r="A318" s="435"/>
      <c r="B318" s="435"/>
      <c r="D318" s="444"/>
      <c r="E318" s="444"/>
      <c r="F318" s="444"/>
      <c r="G318" s="444"/>
      <c r="H318" s="444"/>
      <c r="I318" s="444"/>
      <c r="J318" s="444"/>
      <c r="K318" s="444"/>
      <c r="L318" s="444"/>
      <c r="M318" s="435"/>
      <c r="N318" s="435"/>
    </row>
    <row r="319" spans="1:17">
      <c r="A319" s="437" t="s">
        <v>2708</v>
      </c>
      <c r="D319" s="438">
        <f t="shared" ref="D319:I319" si="220">SUM(D298:D317)</f>
        <v>66461</v>
      </c>
      <c r="E319" s="438">
        <f t="shared" si="220"/>
        <v>66735</v>
      </c>
      <c r="F319" s="438">
        <f t="shared" si="220"/>
        <v>66918</v>
      </c>
      <c r="G319" s="438">
        <f t="shared" si="220"/>
        <v>66780</v>
      </c>
      <c r="H319" s="438">
        <f t="shared" si="220"/>
        <v>66688</v>
      </c>
      <c r="I319" s="438">
        <f t="shared" si="220"/>
        <v>64241</v>
      </c>
      <c r="J319" s="438">
        <f t="shared" ref="J319:K319" si="221">SUM(J298:J317)</f>
        <v>62891</v>
      </c>
      <c r="K319" s="438">
        <f t="shared" si="221"/>
        <v>63972</v>
      </c>
      <c r="L319" s="438">
        <f t="shared" ref="L319" si="222">SUM(L298:L317)</f>
        <v>64257</v>
      </c>
      <c r="M319" s="435"/>
      <c r="N319" s="435"/>
    </row>
    <row r="320" spans="1:17">
      <c r="A320" s="437"/>
      <c r="D320" s="438"/>
      <c r="E320" s="438"/>
      <c r="F320" s="438"/>
      <c r="G320" s="438"/>
      <c r="H320" s="438"/>
      <c r="I320" s="438"/>
      <c r="J320" s="438"/>
      <c r="K320" s="438"/>
      <c r="L320" s="438"/>
      <c r="M320" s="435"/>
      <c r="N320" s="435"/>
    </row>
    <row r="321" spans="1:17">
      <c r="A321" s="437" t="s">
        <v>13079</v>
      </c>
      <c r="D321" s="438"/>
      <c r="E321" s="438"/>
      <c r="F321" s="438"/>
      <c r="G321" s="438"/>
      <c r="H321" s="438"/>
      <c r="I321" s="438"/>
      <c r="J321" s="438"/>
      <c r="K321" s="438"/>
      <c r="L321" s="438"/>
      <c r="M321" s="435"/>
      <c r="N321" s="435"/>
    </row>
    <row r="322" spans="1:17">
      <c r="A322" s="437" t="s">
        <v>13643</v>
      </c>
      <c r="D322" s="438"/>
      <c r="E322" s="438"/>
      <c r="F322" s="438"/>
      <c r="G322" s="438"/>
      <c r="H322" s="438"/>
      <c r="I322" s="438"/>
      <c r="J322" s="438"/>
      <c r="K322" s="438"/>
      <c r="L322" s="438"/>
      <c r="M322" s="435"/>
      <c r="N322" s="435"/>
    </row>
    <row r="323" spans="1:17">
      <c r="A323" s="437"/>
      <c r="B323" s="437"/>
      <c r="D323" s="449"/>
      <c r="E323" s="449"/>
      <c r="F323" s="449"/>
      <c r="G323" s="449"/>
      <c r="H323" s="449"/>
      <c r="I323" s="449"/>
      <c r="J323" s="449"/>
      <c r="K323" s="449"/>
      <c r="L323" s="449"/>
      <c r="M323" s="435"/>
      <c r="N323" s="435"/>
    </row>
    <row r="324" spans="1:17">
      <c r="A324" s="437"/>
      <c r="B324" s="437"/>
      <c r="D324" s="449"/>
      <c r="E324" s="449"/>
      <c r="F324" s="449"/>
      <c r="G324" s="449"/>
      <c r="H324" s="449"/>
      <c r="I324" s="449"/>
      <c r="J324" s="449"/>
      <c r="K324" s="449"/>
      <c r="L324" s="449"/>
      <c r="M324" s="435"/>
      <c r="N324" s="435"/>
    </row>
    <row r="325" spans="1:17">
      <c r="A325" s="435"/>
      <c r="B325" s="435"/>
      <c r="E325" s="42" t="s">
        <v>2303</v>
      </c>
      <c r="F325" s="42"/>
      <c r="G325" s="42"/>
      <c r="H325" s="42"/>
      <c r="I325" s="42"/>
      <c r="J325" s="42"/>
      <c r="K325" s="42"/>
      <c r="L325" s="42"/>
      <c r="M325" s="109"/>
      <c r="N325" s="109" t="s">
        <v>13319</v>
      </c>
    </row>
    <row r="326" spans="1:17">
      <c r="A326" s="435"/>
      <c r="B326" s="435"/>
      <c r="D326" s="110">
        <v>2010</v>
      </c>
      <c r="E326" s="110">
        <v>2011</v>
      </c>
      <c r="F326" s="110">
        <v>2012</v>
      </c>
      <c r="G326" s="110">
        <v>2013</v>
      </c>
      <c r="H326" s="110">
        <v>2014</v>
      </c>
      <c r="I326" s="110">
        <v>2015</v>
      </c>
      <c r="J326" s="110">
        <v>2016</v>
      </c>
      <c r="K326" s="110">
        <v>2017</v>
      </c>
      <c r="L326" s="110">
        <v>2018</v>
      </c>
      <c r="M326" s="435"/>
      <c r="N326" s="112" t="s">
        <v>2304</v>
      </c>
    </row>
    <row r="327" spans="1:17">
      <c r="A327" s="437" t="s">
        <v>6532</v>
      </c>
      <c r="D327" s="438">
        <f t="shared" ref="D327:I327" si="223">SUM(D328:D341)+SUM(D343:D351)</f>
        <v>96714</v>
      </c>
      <c r="E327" s="438">
        <f t="shared" si="223"/>
        <v>97094</v>
      </c>
      <c r="F327" s="438">
        <f t="shared" si="223"/>
        <v>97619</v>
      </c>
      <c r="G327" s="438">
        <f t="shared" si="223"/>
        <v>98089</v>
      </c>
      <c r="H327" s="438">
        <f t="shared" si="223"/>
        <v>96919</v>
      </c>
      <c r="I327" s="438">
        <f t="shared" si="223"/>
        <v>92823</v>
      </c>
      <c r="J327" s="438">
        <f t="shared" ref="J327:K327" si="224">SUM(J328:J341)+SUM(J343:J351)</f>
        <v>90766</v>
      </c>
      <c r="K327" s="438">
        <f t="shared" si="224"/>
        <v>92063</v>
      </c>
      <c r="L327" s="438">
        <f t="shared" ref="L327" si="225">SUM(L328:L341)+SUM(L343:L351)</f>
        <v>92030</v>
      </c>
      <c r="M327" s="435"/>
      <c r="N327" s="435"/>
    </row>
    <row r="328" spans="1:17">
      <c r="A328" s="437" t="s">
        <v>6957</v>
      </c>
      <c r="B328" s="437" t="s">
        <v>3657</v>
      </c>
      <c r="C328" s="4" t="s">
        <v>11589</v>
      </c>
      <c r="D328" s="438">
        <v>3237</v>
      </c>
      <c r="E328" s="438">
        <v>3224</v>
      </c>
      <c r="F328" s="438">
        <v>3301</v>
      </c>
      <c r="G328" s="48">
        <v>3311</v>
      </c>
      <c r="H328" s="30">
        <v>3279</v>
      </c>
      <c r="I328" s="30">
        <v>3078</v>
      </c>
      <c r="J328" s="30">
        <v>2993</v>
      </c>
      <c r="K328" s="30">
        <v>3095</v>
      </c>
      <c r="L328" s="30">
        <v>3090</v>
      </c>
      <c r="M328" s="435"/>
      <c r="N328" s="437" t="s">
        <v>2709</v>
      </c>
      <c r="O328" s="4"/>
      <c r="Q328" s="4"/>
    </row>
    <row r="329" spans="1:17">
      <c r="A329" s="437" t="s">
        <v>6959</v>
      </c>
      <c r="B329" s="437" t="s">
        <v>6533</v>
      </c>
      <c r="C329" s="4" t="s">
        <v>11590</v>
      </c>
      <c r="D329" s="438">
        <v>5240</v>
      </c>
      <c r="E329" s="438">
        <v>5348</v>
      </c>
      <c r="F329" s="438">
        <v>5321</v>
      </c>
      <c r="G329" s="48">
        <v>5351</v>
      </c>
      <c r="H329" s="30">
        <v>5390</v>
      </c>
      <c r="I329" s="30">
        <v>5239</v>
      </c>
      <c r="J329" s="30">
        <v>5003</v>
      </c>
      <c r="K329" s="30">
        <v>4983</v>
      </c>
      <c r="L329" s="30">
        <v>4973</v>
      </c>
      <c r="M329" s="435"/>
      <c r="N329" s="437" t="s">
        <v>2709</v>
      </c>
      <c r="O329" s="4"/>
      <c r="Q329" s="4"/>
    </row>
    <row r="330" spans="1:17">
      <c r="A330" s="437" t="s">
        <v>6961</v>
      </c>
      <c r="B330" s="437" t="s">
        <v>6534</v>
      </c>
      <c r="C330" s="4" t="s">
        <v>11591</v>
      </c>
      <c r="D330" s="438">
        <v>3781</v>
      </c>
      <c r="E330" s="438">
        <v>3730</v>
      </c>
      <c r="F330" s="438">
        <v>3752</v>
      </c>
      <c r="G330" s="48">
        <v>3783</v>
      </c>
      <c r="H330" s="31">
        <v>3806</v>
      </c>
      <c r="I330" s="31">
        <v>3728</v>
      </c>
      <c r="J330" s="31">
        <v>3582</v>
      </c>
      <c r="K330" s="31">
        <v>3662</v>
      </c>
      <c r="L330" s="31">
        <v>3653</v>
      </c>
      <c r="M330" s="435"/>
      <c r="N330" s="437" t="s">
        <v>2717</v>
      </c>
      <c r="O330" s="4"/>
      <c r="Q330" s="4"/>
    </row>
    <row r="331" spans="1:17">
      <c r="A331" s="437" t="s">
        <v>6963</v>
      </c>
      <c r="B331" s="437" t="s">
        <v>2177</v>
      </c>
      <c r="C331" s="4" t="s">
        <v>11592</v>
      </c>
      <c r="D331" s="438">
        <v>2799</v>
      </c>
      <c r="E331" s="438">
        <v>2796</v>
      </c>
      <c r="F331" s="438">
        <v>2842</v>
      </c>
      <c r="G331" s="48">
        <v>2905</v>
      </c>
      <c r="H331" s="31">
        <v>2843</v>
      </c>
      <c r="I331" s="31">
        <v>2748</v>
      </c>
      <c r="J331" s="31">
        <v>2700</v>
      </c>
      <c r="K331" s="31">
        <v>2757</v>
      </c>
      <c r="L331" s="31">
        <v>2783</v>
      </c>
      <c r="M331" s="435"/>
      <c r="N331" s="437" t="s">
        <v>2717</v>
      </c>
      <c r="O331" s="4"/>
      <c r="Q331" s="4"/>
    </row>
    <row r="332" spans="1:17">
      <c r="A332" s="437" t="s">
        <v>6965</v>
      </c>
      <c r="B332" s="437" t="s">
        <v>6535</v>
      </c>
      <c r="C332" s="4" t="s">
        <v>11593</v>
      </c>
      <c r="D332" s="438">
        <v>3816</v>
      </c>
      <c r="E332" s="438">
        <v>3839</v>
      </c>
      <c r="F332" s="438">
        <v>3881</v>
      </c>
      <c r="G332" s="48">
        <v>3940</v>
      </c>
      <c r="H332" s="30">
        <v>3860</v>
      </c>
      <c r="I332" s="30">
        <v>3697</v>
      </c>
      <c r="J332" s="30">
        <v>3595</v>
      </c>
      <c r="K332" s="30">
        <v>3690</v>
      </c>
      <c r="L332" s="30">
        <v>3746</v>
      </c>
      <c r="M332" s="435"/>
      <c r="N332" s="437" t="s">
        <v>2709</v>
      </c>
      <c r="O332" s="4"/>
      <c r="Q332" s="4"/>
    </row>
    <row r="333" spans="1:17">
      <c r="A333" s="437" t="s">
        <v>6997</v>
      </c>
      <c r="B333" s="437" t="s">
        <v>6536</v>
      </c>
      <c r="C333" s="4" t="s">
        <v>11594</v>
      </c>
      <c r="D333" s="438">
        <v>3602</v>
      </c>
      <c r="E333" s="438">
        <v>3530</v>
      </c>
      <c r="F333" s="438">
        <v>3559</v>
      </c>
      <c r="G333" s="48">
        <v>3613</v>
      </c>
      <c r="H333" s="30">
        <v>3558</v>
      </c>
      <c r="I333" s="30">
        <v>3421</v>
      </c>
      <c r="J333" s="30">
        <v>3260</v>
      </c>
      <c r="K333" s="30">
        <v>3239</v>
      </c>
      <c r="L333" s="30">
        <v>3219</v>
      </c>
      <c r="M333" s="435"/>
      <c r="N333" s="437" t="s">
        <v>2709</v>
      </c>
      <c r="O333" s="4"/>
      <c r="Q333" s="4"/>
    </row>
    <row r="334" spans="1:17">
      <c r="A334" s="437" t="s">
        <v>6999</v>
      </c>
      <c r="B334" s="437" t="s">
        <v>6537</v>
      </c>
      <c r="C334" s="4" t="s">
        <v>11595</v>
      </c>
      <c r="D334" s="438">
        <v>5501</v>
      </c>
      <c r="E334" s="438">
        <v>5555</v>
      </c>
      <c r="F334" s="438">
        <v>5598</v>
      </c>
      <c r="G334" s="48">
        <v>5556</v>
      </c>
      <c r="H334" s="31">
        <v>5582</v>
      </c>
      <c r="I334" s="31">
        <v>5414</v>
      </c>
      <c r="J334" s="31">
        <v>5282</v>
      </c>
      <c r="K334" s="31">
        <v>5389</v>
      </c>
      <c r="L334" s="31">
        <v>5408</v>
      </c>
      <c r="M334" s="435"/>
      <c r="N334" s="437" t="s">
        <v>2717</v>
      </c>
      <c r="O334" s="4"/>
      <c r="Q334" s="4"/>
    </row>
    <row r="335" spans="1:17">
      <c r="A335" s="437" t="s">
        <v>7001</v>
      </c>
      <c r="B335" s="437" t="s">
        <v>6538</v>
      </c>
      <c r="C335" s="4" t="s">
        <v>11596</v>
      </c>
      <c r="D335" s="438">
        <v>5244</v>
      </c>
      <c r="E335" s="438">
        <v>5276</v>
      </c>
      <c r="F335" s="438">
        <v>5243</v>
      </c>
      <c r="G335" s="48">
        <v>5319</v>
      </c>
      <c r="H335" s="31">
        <v>5258</v>
      </c>
      <c r="I335" s="31">
        <v>5206</v>
      </c>
      <c r="J335" s="31">
        <v>5188</v>
      </c>
      <c r="K335" s="31">
        <v>5284</v>
      </c>
      <c r="L335" s="31">
        <v>5267</v>
      </c>
      <c r="M335" s="435"/>
      <c r="N335" s="437" t="s">
        <v>2717</v>
      </c>
      <c r="O335" s="4"/>
      <c r="Q335" s="4"/>
    </row>
    <row r="336" spans="1:17">
      <c r="A336" s="437" t="s">
        <v>7003</v>
      </c>
      <c r="B336" s="437" t="s">
        <v>6539</v>
      </c>
      <c r="C336" s="4" t="s">
        <v>11597</v>
      </c>
      <c r="D336" s="438">
        <v>5512</v>
      </c>
      <c r="E336" s="438">
        <v>5500</v>
      </c>
      <c r="F336" s="438">
        <v>5458</v>
      </c>
      <c r="G336" s="48">
        <v>5525</v>
      </c>
      <c r="H336" s="30">
        <v>5447</v>
      </c>
      <c r="I336" s="30">
        <v>5235</v>
      </c>
      <c r="J336" s="30">
        <v>5038</v>
      </c>
      <c r="K336" s="30">
        <v>5025</v>
      </c>
      <c r="L336" s="30">
        <v>4977</v>
      </c>
      <c r="M336" s="435"/>
      <c r="N336" s="437" t="s">
        <v>2709</v>
      </c>
      <c r="O336" s="4"/>
      <c r="Q336" s="4"/>
    </row>
    <row r="337" spans="1:17">
      <c r="A337" s="437" t="s">
        <v>7005</v>
      </c>
      <c r="B337" s="437" t="s">
        <v>6540</v>
      </c>
      <c r="C337" s="4" t="s">
        <v>11598</v>
      </c>
      <c r="D337" s="438">
        <v>5560</v>
      </c>
      <c r="E337" s="438">
        <v>5499</v>
      </c>
      <c r="F337" s="438">
        <v>5589</v>
      </c>
      <c r="G337" s="48">
        <v>5782</v>
      </c>
      <c r="H337" s="30">
        <v>5834</v>
      </c>
      <c r="I337" s="30">
        <v>5640</v>
      </c>
      <c r="J337" s="30">
        <v>5410</v>
      </c>
      <c r="K337" s="30">
        <v>5515</v>
      </c>
      <c r="L337" s="30">
        <v>5485</v>
      </c>
      <c r="M337" s="435"/>
      <c r="N337" s="437" t="s">
        <v>2709</v>
      </c>
      <c r="O337" s="4"/>
      <c r="Q337" s="4"/>
    </row>
    <row r="338" spans="1:17">
      <c r="A338" s="437" t="s">
        <v>7007</v>
      </c>
      <c r="B338" s="437" t="s">
        <v>6541</v>
      </c>
      <c r="C338" s="4" t="s">
        <v>11599</v>
      </c>
      <c r="D338" s="438">
        <v>4725</v>
      </c>
      <c r="E338" s="438">
        <v>4756</v>
      </c>
      <c r="F338" s="438">
        <v>4756</v>
      </c>
      <c r="G338" s="48">
        <v>4721</v>
      </c>
      <c r="H338" s="30">
        <v>4736</v>
      </c>
      <c r="I338" s="30">
        <v>4670</v>
      </c>
      <c r="J338" s="30">
        <v>4562</v>
      </c>
      <c r="K338" s="30">
        <v>4684</v>
      </c>
      <c r="L338" s="30">
        <v>4760</v>
      </c>
      <c r="M338" s="435"/>
      <c r="N338" s="437" t="s">
        <v>2700</v>
      </c>
      <c r="O338" s="4"/>
      <c r="Q338" s="4"/>
    </row>
    <row r="339" spans="1:17">
      <c r="A339" s="437" t="s">
        <v>7009</v>
      </c>
      <c r="B339" s="437" t="s">
        <v>6542</v>
      </c>
      <c r="C339" s="4" t="s">
        <v>11600</v>
      </c>
      <c r="D339" s="438">
        <v>3565</v>
      </c>
      <c r="E339" s="438">
        <v>3499</v>
      </c>
      <c r="F339" s="438">
        <v>3380</v>
      </c>
      <c r="G339" s="48">
        <v>3346</v>
      </c>
      <c r="H339" s="30">
        <v>3109</v>
      </c>
      <c r="I339" s="30">
        <v>2938</v>
      </c>
      <c r="J339" s="30">
        <v>2830</v>
      </c>
      <c r="K339" s="30">
        <v>2929</v>
      </c>
      <c r="L339" s="30">
        <v>2861</v>
      </c>
      <c r="M339" s="435"/>
      <c r="N339" s="437" t="s">
        <v>2709</v>
      </c>
      <c r="O339" s="4"/>
      <c r="Q339" s="4"/>
    </row>
    <row r="340" spans="1:17">
      <c r="A340" s="437" t="s">
        <v>7011</v>
      </c>
      <c r="B340" s="437" t="s">
        <v>6543</v>
      </c>
      <c r="C340" s="4" t="s">
        <v>11601</v>
      </c>
      <c r="D340" s="438">
        <v>208</v>
      </c>
      <c r="E340" s="438">
        <v>202</v>
      </c>
      <c r="F340" s="438">
        <v>209</v>
      </c>
      <c r="G340" s="48">
        <v>202</v>
      </c>
      <c r="H340" s="30">
        <v>219</v>
      </c>
      <c r="I340" s="30">
        <v>216</v>
      </c>
      <c r="J340" s="30">
        <v>217</v>
      </c>
      <c r="K340" s="30">
        <v>227</v>
      </c>
      <c r="L340" s="30">
        <v>235</v>
      </c>
      <c r="N340" s="437" t="s">
        <v>2709</v>
      </c>
      <c r="O340" s="4"/>
      <c r="Q340" s="4"/>
    </row>
    <row r="341" spans="1:17" ht="15.75" thickBot="1">
      <c r="A341" s="437"/>
      <c r="B341" s="437"/>
      <c r="C341" s="4" t="s">
        <v>11601</v>
      </c>
      <c r="D341" s="447">
        <v>3468</v>
      </c>
      <c r="E341" s="447">
        <v>3456</v>
      </c>
      <c r="F341" s="447">
        <v>3429</v>
      </c>
      <c r="G341" s="48">
        <v>3411</v>
      </c>
      <c r="H341" s="31">
        <v>3417</v>
      </c>
      <c r="I341" s="31">
        <v>3391</v>
      </c>
      <c r="J341" s="31">
        <v>3335</v>
      </c>
      <c r="K341" s="31">
        <v>3312</v>
      </c>
      <c r="L341" s="31">
        <v>3369</v>
      </c>
      <c r="M341" s="435"/>
      <c r="N341" s="437" t="s">
        <v>2717</v>
      </c>
    </row>
    <row r="342" spans="1:17" ht="15.75" thickBot="1">
      <c r="A342" s="437"/>
      <c r="B342" s="437"/>
      <c r="C342" s="4" t="s">
        <v>11601</v>
      </c>
      <c r="D342" s="450">
        <f t="shared" ref="D342:L342" si="226">D340+D341</f>
        <v>3676</v>
      </c>
      <c r="E342" s="450">
        <f t="shared" si="226"/>
        <v>3658</v>
      </c>
      <c r="F342" s="450">
        <f t="shared" si="226"/>
        <v>3638</v>
      </c>
      <c r="G342" s="450">
        <f t="shared" si="226"/>
        <v>3613</v>
      </c>
      <c r="H342" s="450">
        <f t="shared" si="226"/>
        <v>3636</v>
      </c>
      <c r="I342" s="450">
        <f t="shared" si="226"/>
        <v>3607</v>
      </c>
      <c r="J342" s="450">
        <f t="shared" si="226"/>
        <v>3552</v>
      </c>
      <c r="K342" s="450">
        <f t="shared" si="226"/>
        <v>3539</v>
      </c>
      <c r="L342" s="450">
        <f t="shared" si="226"/>
        <v>3604</v>
      </c>
      <c r="M342" s="435"/>
      <c r="N342" s="437"/>
    </row>
    <row r="343" spans="1:17">
      <c r="A343" s="437" t="s">
        <v>7013</v>
      </c>
      <c r="B343" s="437" t="s">
        <v>6544</v>
      </c>
      <c r="C343" s="4" t="s">
        <v>11602</v>
      </c>
      <c r="D343" s="438">
        <v>5400</v>
      </c>
      <c r="E343" s="438">
        <v>5417</v>
      </c>
      <c r="F343" s="438">
        <v>5404</v>
      </c>
      <c r="G343" s="48">
        <v>5433</v>
      </c>
      <c r="H343" s="31">
        <v>5374</v>
      </c>
      <c r="I343" s="31">
        <v>5315</v>
      </c>
      <c r="J343" s="31">
        <v>5328</v>
      </c>
      <c r="K343" s="31">
        <v>5627</v>
      </c>
      <c r="L343" s="31">
        <v>6083</v>
      </c>
      <c r="M343" s="435"/>
      <c r="N343" s="437" t="s">
        <v>2717</v>
      </c>
      <c r="O343" s="4"/>
      <c r="Q343" s="4"/>
    </row>
    <row r="344" spans="1:17">
      <c r="A344" s="437" t="s">
        <v>7015</v>
      </c>
      <c r="B344" s="437" t="s">
        <v>6545</v>
      </c>
      <c r="C344" s="4" t="s">
        <v>11603</v>
      </c>
      <c r="D344" s="438">
        <v>5606</v>
      </c>
      <c r="E344" s="438">
        <v>5546</v>
      </c>
      <c r="F344" s="438">
        <v>5776</v>
      </c>
      <c r="G344" s="48">
        <v>5938</v>
      </c>
      <c r="H344" s="30">
        <v>5807</v>
      </c>
      <c r="I344" s="30">
        <v>5641</v>
      </c>
      <c r="J344" s="30">
        <v>5337</v>
      </c>
      <c r="K344" s="30">
        <v>5379</v>
      </c>
      <c r="L344" s="30">
        <v>5387</v>
      </c>
      <c r="M344" s="435"/>
      <c r="N344" s="437" t="s">
        <v>2709</v>
      </c>
      <c r="O344" s="4"/>
      <c r="Q344" s="4"/>
    </row>
    <row r="345" spans="1:17">
      <c r="A345" s="437" t="s">
        <v>7017</v>
      </c>
      <c r="B345" s="437" t="s">
        <v>6546</v>
      </c>
      <c r="C345" s="4" t="s">
        <v>11604</v>
      </c>
      <c r="D345" s="438">
        <v>4228</v>
      </c>
      <c r="E345" s="438">
        <v>4169</v>
      </c>
      <c r="F345" s="438">
        <v>4199</v>
      </c>
      <c r="G345" s="48">
        <v>4157</v>
      </c>
      <c r="H345" s="30">
        <v>4065</v>
      </c>
      <c r="I345" s="30">
        <v>3836</v>
      </c>
      <c r="J345" s="30">
        <v>3738</v>
      </c>
      <c r="K345" s="30">
        <v>3872</v>
      </c>
      <c r="L345" s="30">
        <v>3863</v>
      </c>
      <c r="M345" s="435"/>
      <c r="N345" s="437" t="s">
        <v>2709</v>
      </c>
      <c r="O345" s="4"/>
      <c r="Q345" s="4"/>
    </row>
    <row r="346" spans="1:17">
      <c r="A346" s="437" t="s">
        <v>7019</v>
      </c>
      <c r="B346" s="437" t="s">
        <v>6547</v>
      </c>
      <c r="C346" s="4" t="s">
        <v>11605</v>
      </c>
      <c r="D346" s="438">
        <v>3027</v>
      </c>
      <c r="E346" s="438">
        <v>3120</v>
      </c>
      <c r="F346" s="438">
        <v>3066</v>
      </c>
      <c r="G346" s="48">
        <v>3007</v>
      </c>
      <c r="H346" s="30">
        <v>2925</v>
      </c>
      <c r="I346" s="30">
        <v>2953</v>
      </c>
      <c r="J346" s="31">
        <v>3171</v>
      </c>
      <c r="K346" s="31">
        <v>3086</v>
      </c>
      <c r="L346" s="31">
        <v>3009</v>
      </c>
      <c r="M346" s="435"/>
      <c r="N346" s="437" t="s">
        <v>2709</v>
      </c>
      <c r="O346" s="4"/>
      <c r="Q346" s="4"/>
    </row>
    <row r="347" spans="1:17">
      <c r="A347" s="437" t="s">
        <v>7021</v>
      </c>
      <c r="B347" s="437" t="s">
        <v>6548</v>
      </c>
      <c r="C347" s="4" t="s">
        <v>11606</v>
      </c>
      <c r="D347" s="451">
        <v>4761</v>
      </c>
      <c r="E347" s="451">
        <v>4757</v>
      </c>
      <c r="F347" s="451">
        <v>4807</v>
      </c>
      <c r="G347" s="48">
        <v>4790</v>
      </c>
      <c r="H347" s="30">
        <v>4854</v>
      </c>
      <c r="I347" s="30">
        <v>4491</v>
      </c>
      <c r="J347" s="30">
        <v>4285</v>
      </c>
      <c r="K347" s="30">
        <v>4339</v>
      </c>
      <c r="L347" s="30">
        <v>4118</v>
      </c>
      <c r="M347" s="435"/>
      <c r="N347" s="437" t="s">
        <v>2709</v>
      </c>
      <c r="O347" s="4"/>
      <c r="Q347" s="4"/>
    </row>
    <row r="348" spans="1:17">
      <c r="A348" s="437" t="s">
        <v>7023</v>
      </c>
      <c r="B348" s="437" t="s">
        <v>6549</v>
      </c>
      <c r="C348" s="4" t="s">
        <v>11607</v>
      </c>
      <c r="D348" s="451">
        <v>5050</v>
      </c>
      <c r="E348" s="451">
        <v>5083</v>
      </c>
      <c r="F348" s="451">
        <v>5047</v>
      </c>
      <c r="G348" s="48">
        <v>5117</v>
      </c>
      <c r="H348" s="31">
        <v>4955</v>
      </c>
      <c r="I348" s="31">
        <v>4809</v>
      </c>
      <c r="J348" s="30">
        <v>4679</v>
      </c>
      <c r="K348" s="30">
        <v>4725</v>
      </c>
      <c r="L348" s="30">
        <v>4770</v>
      </c>
      <c r="M348" s="435"/>
      <c r="N348" s="437" t="s">
        <v>2717</v>
      </c>
      <c r="O348" s="4"/>
      <c r="Q348" s="4"/>
    </row>
    <row r="349" spans="1:17">
      <c r="A349" s="452">
        <v>20</v>
      </c>
      <c r="B349" s="437" t="s">
        <v>1366</v>
      </c>
      <c r="C349" s="4" t="s">
        <v>11608</v>
      </c>
      <c r="D349" s="451">
        <v>5156</v>
      </c>
      <c r="E349" s="451">
        <v>5196</v>
      </c>
      <c r="F349" s="451">
        <v>5195</v>
      </c>
      <c r="G349" s="48">
        <v>5085</v>
      </c>
      <c r="H349" s="30">
        <v>4946</v>
      </c>
      <c r="I349" s="30">
        <v>4833</v>
      </c>
      <c r="J349" s="30">
        <v>4749</v>
      </c>
      <c r="K349" s="30">
        <v>4805</v>
      </c>
      <c r="L349" s="30">
        <v>4661</v>
      </c>
      <c r="M349" s="435"/>
      <c r="N349" s="437" t="s">
        <v>2709</v>
      </c>
      <c r="O349" s="4"/>
      <c r="Q349" s="4"/>
    </row>
    <row r="350" spans="1:17">
      <c r="A350" s="452">
        <v>21</v>
      </c>
      <c r="B350" s="437" t="s">
        <v>1367</v>
      </c>
      <c r="C350" s="4" t="s">
        <v>11609</v>
      </c>
      <c r="D350" s="451">
        <v>5000</v>
      </c>
      <c r="E350" s="451">
        <v>5041</v>
      </c>
      <c r="F350" s="451">
        <v>5094</v>
      </c>
      <c r="G350" s="48">
        <v>5211</v>
      </c>
      <c r="H350" s="30">
        <v>5025</v>
      </c>
      <c r="I350" s="30">
        <v>4737</v>
      </c>
      <c r="J350" s="30">
        <v>4593</v>
      </c>
      <c r="K350" s="30">
        <v>4670</v>
      </c>
      <c r="L350" s="30">
        <v>4580</v>
      </c>
      <c r="M350" s="435"/>
      <c r="N350" s="437" t="s">
        <v>2709</v>
      </c>
      <c r="O350" s="4"/>
      <c r="Q350" s="4"/>
    </row>
    <row r="351" spans="1:17">
      <c r="A351" s="448">
        <v>22</v>
      </c>
      <c r="B351" s="437" t="s">
        <v>2725</v>
      </c>
      <c r="C351" s="4" t="s">
        <v>11610</v>
      </c>
      <c r="D351" s="451">
        <v>2228</v>
      </c>
      <c r="E351" s="451">
        <v>2555</v>
      </c>
      <c r="F351" s="451">
        <v>2713</v>
      </c>
      <c r="G351" s="48">
        <v>2586</v>
      </c>
      <c r="H351" s="31">
        <v>2630</v>
      </c>
      <c r="I351" s="31">
        <v>1587</v>
      </c>
      <c r="J351" s="31">
        <v>1891</v>
      </c>
      <c r="K351" s="31">
        <v>1769</v>
      </c>
      <c r="L351" s="31">
        <v>1733</v>
      </c>
      <c r="M351" s="435"/>
      <c r="N351" s="437" t="s">
        <v>2709</v>
      </c>
      <c r="O351" s="4"/>
      <c r="Q351" s="4"/>
    </row>
    <row r="352" spans="1:17">
      <c r="A352" s="435"/>
      <c r="B352" s="435"/>
      <c r="D352" s="444"/>
      <c r="E352" s="444"/>
      <c r="F352" s="444"/>
      <c r="G352" s="444"/>
      <c r="H352" s="444"/>
      <c r="I352" s="444"/>
      <c r="J352" s="444"/>
      <c r="K352" s="444"/>
      <c r="L352" s="444"/>
      <c r="M352" s="435"/>
      <c r="N352" s="435"/>
    </row>
    <row r="353" spans="1:17">
      <c r="A353" s="437" t="s">
        <v>1933</v>
      </c>
      <c r="D353" s="438">
        <f t="shared" ref="D353:I353" si="227">D338</f>
        <v>4725</v>
      </c>
      <c r="E353" s="438">
        <f t="shared" si="227"/>
        <v>4756</v>
      </c>
      <c r="F353" s="438">
        <f t="shared" si="227"/>
        <v>4756</v>
      </c>
      <c r="G353" s="438">
        <f t="shared" si="227"/>
        <v>4721</v>
      </c>
      <c r="H353" s="438">
        <f t="shared" si="227"/>
        <v>4736</v>
      </c>
      <c r="I353" s="438">
        <f t="shared" si="227"/>
        <v>4670</v>
      </c>
      <c r="J353" s="438">
        <f t="shared" ref="J353:K353" si="228">J338</f>
        <v>4562</v>
      </c>
      <c r="K353" s="438">
        <f t="shared" si="228"/>
        <v>4684</v>
      </c>
      <c r="L353" s="438">
        <f t="shared" ref="L353" si="229">L338</f>
        <v>4760</v>
      </c>
      <c r="M353" s="435"/>
      <c r="N353" s="435"/>
    </row>
    <row r="354" spans="1:17">
      <c r="A354" s="437" t="s">
        <v>2709</v>
      </c>
      <c r="D354" s="438">
        <f t="shared" ref="D354:I354" si="230">D328+D329+D332+D333+D336+D337+D339+D340+SUM(D344:D347)+SUM(D349:D351)</f>
        <v>60746</v>
      </c>
      <c r="E354" s="438">
        <f t="shared" si="230"/>
        <v>61025</v>
      </c>
      <c r="F354" s="438">
        <f t="shared" si="230"/>
        <v>61548</v>
      </c>
      <c r="G354" s="438">
        <f t="shared" si="230"/>
        <v>61844</v>
      </c>
      <c r="H354" s="438">
        <f t="shared" si="230"/>
        <v>60948</v>
      </c>
      <c r="I354" s="438">
        <f t="shared" si="230"/>
        <v>57542</v>
      </c>
      <c r="J354" s="438">
        <f t="shared" ref="J354:K354" si="231">J328+J329+J332+J333+J336+J337+J339+J340+SUM(J344:J347)+SUM(J349:J351)</f>
        <v>56110</v>
      </c>
      <c r="K354" s="438">
        <f t="shared" si="231"/>
        <v>56623</v>
      </c>
      <c r="L354" s="438">
        <f t="shared" ref="L354" si="232">L328+L329+L332+L333+L336+L337+L339+L340+SUM(L344:L347)+SUM(L349:L351)</f>
        <v>55937</v>
      </c>
      <c r="M354" s="435"/>
      <c r="N354" s="435"/>
    </row>
    <row r="355" spans="1:17">
      <c r="A355" s="437" t="s">
        <v>1368</v>
      </c>
      <c r="D355" s="438">
        <f t="shared" ref="D355:I355" si="233">D330+D331+D334+D335+D341+D343+D348</f>
        <v>31243</v>
      </c>
      <c r="E355" s="438">
        <f t="shared" si="233"/>
        <v>31313</v>
      </c>
      <c r="F355" s="438">
        <f t="shared" si="233"/>
        <v>31315</v>
      </c>
      <c r="G355" s="438">
        <f t="shared" si="233"/>
        <v>31524</v>
      </c>
      <c r="H355" s="438">
        <f t="shared" si="233"/>
        <v>31235</v>
      </c>
      <c r="I355" s="438">
        <f t="shared" si="233"/>
        <v>30611</v>
      </c>
      <c r="J355" s="438">
        <f t="shared" ref="J355:K355" si="234">J330+J331+J334+J335+J341+J343+J348</f>
        <v>30094</v>
      </c>
      <c r="K355" s="438">
        <f t="shared" si="234"/>
        <v>30756</v>
      </c>
      <c r="L355" s="438">
        <f t="shared" ref="L355" si="235">L330+L331+L334+L335+L341+L343+L348</f>
        <v>31333</v>
      </c>
      <c r="M355" s="435"/>
      <c r="N355" s="435"/>
    </row>
    <row r="356" spans="1:17">
      <c r="A356" s="437"/>
      <c r="D356" s="438"/>
      <c r="E356" s="438"/>
      <c r="F356" s="438"/>
      <c r="G356" s="438"/>
      <c r="H356" s="438"/>
      <c r="I356" s="438"/>
      <c r="J356" s="438"/>
      <c r="K356" s="438"/>
      <c r="L356" s="438"/>
      <c r="M356" s="435"/>
      <c r="N356" s="435"/>
    </row>
    <row r="357" spans="1:17">
      <c r="A357" s="437" t="s">
        <v>1369</v>
      </c>
      <c r="D357" s="438"/>
      <c r="E357" s="438"/>
      <c r="F357" s="438"/>
      <c r="G357" s="438"/>
      <c r="H357" s="438"/>
      <c r="I357" s="438"/>
      <c r="J357" s="438"/>
      <c r="K357" s="438"/>
      <c r="L357" s="438"/>
      <c r="M357" s="435"/>
      <c r="N357" s="435"/>
    </row>
    <row r="358" spans="1:17">
      <c r="A358" s="437" t="s">
        <v>1370</v>
      </c>
      <c r="D358" s="438"/>
      <c r="E358" s="438"/>
      <c r="F358" s="438"/>
      <c r="G358" s="438"/>
      <c r="H358" s="438"/>
      <c r="I358" s="438"/>
      <c r="J358" s="438"/>
      <c r="K358" s="438"/>
      <c r="L358" s="438"/>
      <c r="M358" s="435"/>
      <c r="N358" s="435"/>
    </row>
    <row r="359" spans="1:17">
      <c r="A359" s="306" t="s">
        <v>1371</v>
      </c>
      <c r="D359" s="438"/>
      <c r="E359" s="438"/>
      <c r="F359" s="438"/>
      <c r="G359" s="438"/>
      <c r="H359" s="438"/>
      <c r="I359" s="438"/>
      <c r="J359" s="438"/>
      <c r="K359" s="438"/>
      <c r="L359" s="438"/>
      <c r="M359" s="435"/>
      <c r="N359" s="435"/>
    </row>
    <row r="360" spans="1:17">
      <c r="A360" s="437"/>
      <c r="B360" s="437"/>
      <c r="D360" s="449"/>
      <c r="E360" s="449"/>
      <c r="F360" s="449"/>
      <c r="G360" s="449"/>
      <c r="H360" s="449"/>
      <c r="I360" s="449"/>
      <c r="J360" s="449"/>
      <c r="K360" s="449"/>
      <c r="L360" s="449"/>
      <c r="M360" s="435"/>
      <c r="N360" s="435"/>
    </row>
    <row r="361" spans="1:17">
      <c r="A361" s="437"/>
      <c r="B361" s="437"/>
      <c r="D361" s="449"/>
      <c r="E361" s="449"/>
      <c r="F361" s="449"/>
      <c r="G361" s="449"/>
      <c r="H361" s="449"/>
      <c r="I361" s="449"/>
      <c r="J361" s="449"/>
      <c r="K361" s="449"/>
      <c r="L361" s="449"/>
      <c r="M361" s="435"/>
      <c r="N361" s="435"/>
    </row>
    <row r="362" spans="1:17">
      <c r="A362" s="435"/>
      <c r="B362" s="435"/>
      <c r="E362" s="42" t="s">
        <v>2303</v>
      </c>
      <c r="F362" s="42"/>
      <c r="G362" s="42"/>
      <c r="H362" s="42"/>
      <c r="I362" s="42"/>
      <c r="J362" s="42"/>
      <c r="K362" s="42"/>
      <c r="L362" s="42"/>
      <c r="M362" s="109"/>
      <c r="N362" s="109" t="s">
        <v>13319</v>
      </c>
    </row>
    <row r="363" spans="1:17">
      <c r="A363" s="435"/>
      <c r="B363" s="435"/>
      <c r="D363" s="110">
        <v>2010</v>
      </c>
      <c r="E363" s="110">
        <v>2011</v>
      </c>
      <c r="F363" s="110">
        <v>2012</v>
      </c>
      <c r="G363" s="110">
        <v>2013</v>
      </c>
      <c r="H363" s="110">
        <v>2014</v>
      </c>
      <c r="I363" s="110">
        <v>2015</v>
      </c>
      <c r="J363" s="110">
        <v>2016</v>
      </c>
      <c r="K363" s="110">
        <v>2017</v>
      </c>
      <c r="L363" s="110">
        <v>2018</v>
      </c>
      <c r="M363" s="435"/>
      <c r="N363" s="112" t="s">
        <v>2304</v>
      </c>
    </row>
    <row r="364" spans="1:17">
      <c r="A364" s="437" t="s">
        <v>1372</v>
      </c>
      <c r="D364" s="438">
        <f t="shared" ref="D364:I364" si="236">SUM(D365:D388)</f>
        <v>45891</v>
      </c>
      <c r="E364" s="438">
        <f t="shared" si="236"/>
        <v>46058</v>
      </c>
      <c r="F364" s="438">
        <f t="shared" si="236"/>
        <v>45845</v>
      </c>
      <c r="G364" s="438">
        <f t="shared" si="236"/>
        <v>45909</v>
      </c>
      <c r="H364" s="438">
        <f t="shared" si="236"/>
        <v>46181</v>
      </c>
      <c r="I364" s="438">
        <f t="shared" si="236"/>
        <v>46114</v>
      </c>
      <c r="J364" s="438">
        <f t="shared" ref="J364:K364" si="237">SUM(J365:J388)</f>
        <v>45804</v>
      </c>
      <c r="K364" s="438">
        <f t="shared" si="237"/>
        <v>45181</v>
      </c>
      <c r="L364" s="438">
        <f t="shared" ref="L364" si="238">SUM(L365:L388)</f>
        <v>46375</v>
      </c>
      <c r="M364" s="435"/>
      <c r="N364" s="435"/>
    </row>
    <row r="365" spans="1:17">
      <c r="A365" s="437" t="s">
        <v>6957</v>
      </c>
      <c r="B365" s="437" t="s">
        <v>1373</v>
      </c>
      <c r="C365" s="4" t="s">
        <v>11611</v>
      </c>
      <c r="D365" s="438">
        <v>1149</v>
      </c>
      <c r="E365" s="438">
        <v>1166</v>
      </c>
      <c r="F365" s="438">
        <v>1148</v>
      </c>
      <c r="G365" s="48">
        <v>1137</v>
      </c>
      <c r="H365" s="48">
        <v>1148</v>
      </c>
      <c r="I365" s="48">
        <v>1148</v>
      </c>
      <c r="J365" s="48">
        <v>1134</v>
      </c>
      <c r="K365" s="48">
        <v>1099</v>
      </c>
      <c r="L365" s="48">
        <v>1126</v>
      </c>
      <c r="M365" s="435"/>
      <c r="N365" s="437" t="s">
        <v>2710</v>
      </c>
      <c r="O365" s="72"/>
      <c r="Q365" s="4"/>
    </row>
    <row r="366" spans="1:17">
      <c r="A366" s="437" t="s">
        <v>6959</v>
      </c>
      <c r="B366" s="437" t="s">
        <v>1374</v>
      </c>
      <c r="C366" s="4" t="s">
        <v>11612</v>
      </c>
      <c r="D366" s="438">
        <v>2091</v>
      </c>
      <c r="E366" s="438">
        <v>2092</v>
      </c>
      <c r="F366" s="438">
        <v>2073</v>
      </c>
      <c r="G366" s="48">
        <v>2081</v>
      </c>
      <c r="H366" s="48">
        <v>2064</v>
      </c>
      <c r="I366" s="48">
        <v>2080</v>
      </c>
      <c r="J366" s="48">
        <v>2070</v>
      </c>
      <c r="K366" s="48">
        <v>2046</v>
      </c>
      <c r="L366" s="48">
        <v>2060</v>
      </c>
      <c r="M366" s="435"/>
      <c r="N366" s="437" t="s">
        <v>2710</v>
      </c>
      <c r="O366" s="72"/>
      <c r="Q366" s="4"/>
    </row>
    <row r="367" spans="1:17">
      <c r="A367" s="437" t="s">
        <v>6961</v>
      </c>
      <c r="B367" s="437" t="s">
        <v>1375</v>
      </c>
      <c r="C367" s="4" t="s">
        <v>11613</v>
      </c>
      <c r="D367" s="438">
        <v>2373</v>
      </c>
      <c r="E367" s="438">
        <v>2374</v>
      </c>
      <c r="F367" s="438">
        <v>2404</v>
      </c>
      <c r="G367" s="48">
        <v>2393</v>
      </c>
      <c r="H367" s="48">
        <v>2411</v>
      </c>
      <c r="I367" s="48">
        <v>2441</v>
      </c>
      <c r="J367" s="48">
        <v>2414</v>
      </c>
      <c r="K367" s="48">
        <v>2365</v>
      </c>
      <c r="L367" s="48">
        <v>2473</v>
      </c>
      <c r="M367" s="435"/>
      <c r="N367" s="437" t="s">
        <v>2710</v>
      </c>
      <c r="O367" s="72"/>
      <c r="Q367" s="4"/>
    </row>
    <row r="368" spans="1:17">
      <c r="A368" s="437" t="s">
        <v>6963</v>
      </c>
      <c r="B368" s="437" t="s">
        <v>1376</v>
      </c>
      <c r="C368" s="4" t="s">
        <v>11614</v>
      </c>
      <c r="D368" s="438">
        <v>1072</v>
      </c>
      <c r="E368" s="438">
        <v>1074</v>
      </c>
      <c r="F368" s="438">
        <v>1090</v>
      </c>
      <c r="G368" s="48">
        <v>1086</v>
      </c>
      <c r="H368" s="48">
        <v>1084</v>
      </c>
      <c r="I368" s="48">
        <v>1078</v>
      </c>
      <c r="J368" s="48">
        <v>1074</v>
      </c>
      <c r="K368" s="48">
        <v>1067</v>
      </c>
      <c r="L368" s="48">
        <v>1089</v>
      </c>
      <c r="M368" s="435"/>
      <c r="N368" s="437" t="s">
        <v>2710</v>
      </c>
      <c r="O368" s="72"/>
      <c r="Q368" s="4"/>
    </row>
    <row r="369" spans="1:17">
      <c r="A369" s="437" t="s">
        <v>6965</v>
      </c>
      <c r="B369" s="437" t="s">
        <v>1377</v>
      </c>
      <c r="C369" s="4" t="s">
        <v>11615</v>
      </c>
      <c r="D369" s="438">
        <v>1102</v>
      </c>
      <c r="E369" s="438">
        <v>1113</v>
      </c>
      <c r="F369" s="438">
        <v>1082</v>
      </c>
      <c r="G369" s="48">
        <v>1095</v>
      </c>
      <c r="H369" s="48">
        <v>1095</v>
      </c>
      <c r="I369" s="48">
        <v>1078</v>
      </c>
      <c r="J369" s="48">
        <v>1063</v>
      </c>
      <c r="K369" s="48">
        <v>1054</v>
      </c>
      <c r="L369" s="48">
        <v>1034</v>
      </c>
      <c r="M369" s="435"/>
      <c r="N369" s="437" t="s">
        <v>2710</v>
      </c>
      <c r="O369" s="72"/>
      <c r="Q369" s="4"/>
    </row>
    <row r="370" spans="1:17">
      <c r="A370" s="437" t="s">
        <v>6997</v>
      </c>
      <c r="B370" s="437" t="s">
        <v>1378</v>
      </c>
      <c r="C370" s="4" t="s">
        <v>11616</v>
      </c>
      <c r="D370" s="438">
        <v>1101</v>
      </c>
      <c r="E370" s="438">
        <v>1109</v>
      </c>
      <c r="F370" s="438">
        <v>1107</v>
      </c>
      <c r="G370" s="48">
        <v>1100</v>
      </c>
      <c r="H370" s="48">
        <v>1121</v>
      </c>
      <c r="I370" s="48">
        <v>1115</v>
      </c>
      <c r="J370" s="48">
        <v>1111</v>
      </c>
      <c r="K370" s="48">
        <v>1104</v>
      </c>
      <c r="L370" s="48">
        <v>1112</v>
      </c>
      <c r="M370" s="435"/>
      <c r="N370" s="437" t="s">
        <v>2710</v>
      </c>
      <c r="O370" s="72"/>
      <c r="Q370" s="4"/>
    </row>
    <row r="371" spans="1:17">
      <c r="A371" s="437" t="s">
        <v>6999</v>
      </c>
      <c r="B371" s="437" t="s">
        <v>1379</v>
      </c>
      <c r="C371" s="4" t="s">
        <v>11617</v>
      </c>
      <c r="D371" s="438">
        <v>2120</v>
      </c>
      <c r="E371" s="438">
        <v>2127</v>
      </c>
      <c r="F371" s="438">
        <v>2140</v>
      </c>
      <c r="G371" s="48">
        <v>2138</v>
      </c>
      <c r="H371" s="48">
        <v>2116</v>
      </c>
      <c r="I371" s="48">
        <v>2092</v>
      </c>
      <c r="J371" s="48">
        <v>2082</v>
      </c>
      <c r="K371" s="48">
        <v>2068</v>
      </c>
      <c r="L371" s="48">
        <v>2093</v>
      </c>
      <c r="M371" s="435"/>
      <c r="N371" s="437" t="s">
        <v>2710</v>
      </c>
      <c r="O371" s="72"/>
      <c r="Q371" s="4"/>
    </row>
    <row r="372" spans="1:17">
      <c r="A372" s="437" t="s">
        <v>7001</v>
      </c>
      <c r="B372" s="437" t="s">
        <v>1380</v>
      </c>
      <c r="C372" s="4" t="s">
        <v>11618</v>
      </c>
      <c r="D372" s="438">
        <v>2444</v>
      </c>
      <c r="E372" s="438">
        <v>2463</v>
      </c>
      <c r="F372" s="438">
        <v>2497</v>
      </c>
      <c r="G372" s="48">
        <v>2491</v>
      </c>
      <c r="H372" s="48">
        <v>2540</v>
      </c>
      <c r="I372" s="48">
        <v>2439</v>
      </c>
      <c r="J372" s="48">
        <v>2394</v>
      </c>
      <c r="K372" s="48">
        <v>2303</v>
      </c>
      <c r="L372" s="48">
        <v>2312</v>
      </c>
      <c r="M372" s="435"/>
      <c r="N372" s="437" t="s">
        <v>2710</v>
      </c>
      <c r="O372" s="72"/>
      <c r="Q372" s="4"/>
    </row>
    <row r="373" spans="1:17">
      <c r="A373" s="437" t="s">
        <v>7003</v>
      </c>
      <c r="B373" s="437" t="s">
        <v>1381</v>
      </c>
      <c r="C373" s="4" t="s">
        <v>11619</v>
      </c>
      <c r="D373" s="438">
        <v>1987</v>
      </c>
      <c r="E373" s="438">
        <v>1998</v>
      </c>
      <c r="F373" s="438">
        <v>2011</v>
      </c>
      <c r="G373" s="48">
        <v>2022</v>
      </c>
      <c r="H373" s="48">
        <v>2008</v>
      </c>
      <c r="I373" s="48">
        <v>2003</v>
      </c>
      <c r="J373" s="48">
        <v>1986</v>
      </c>
      <c r="K373" s="48">
        <v>1971</v>
      </c>
      <c r="L373" s="48">
        <v>2045</v>
      </c>
      <c r="M373" s="435"/>
      <c r="N373" s="437" t="s">
        <v>2710</v>
      </c>
      <c r="O373" s="72"/>
      <c r="Q373" s="4"/>
    </row>
    <row r="374" spans="1:17">
      <c r="A374" s="437" t="s">
        <v>7005</v>
      </c>
      <c r="B374" s="437" t="s">
        <v>1382</v>
      </c>
      <c r="C374" s="4" t="s">
        <v>11620</v>
      </c>
      <c r="D374" s="438">
        <v>2289</v>
      </c>
      <c r="E374" s="438">
        <v>2269</v>
      </c>
      <c r="F374" s="438">
        <v>2288</v>
      </c>
      <c r="G374" s="48">
        <v>2304</v>
      </c>
      <c r="H374" s="48">
        <v>2313</v>
      </c>
      <c r="I374" s="48">
        <v>2335</v>
      </c>
      <c r="J374" s="48">
        <v>2358</v>
      </c>
      <c r="K374" s="48">
        <v>2598</v>
      </c>
      <c r="L374" s="48">
        <v>2785</v>
      </c>
      <c r="M374" s="435"/>
      <c r="N374" s="437" t="s">
        <v>2710</v>
      </c>
      <c r="O374" s="72"/>
      <c r="Q374" s="4"/>
    </row>
    <row r="375" spans="1:17">
      <c r="A375" s="437" t="s">
        <v>7007</v>
      </c>
      <c r="B375" s="437" t="s">
        <v>1383</v>
      </c>
      <c r="C375" s="4" t="s">
        <v>11621</v>
      </c>
      <c r="D375" s="438">
        <v>1131</v>
      </c>
      <c r="E375" s="438">
        <v>1135</v>
      </c>
      <c r="F375" s="438">
        <v>1101</v>
      </c>
      <c r="G375" s="48">
        <v>1102</v>
      </c>
      <c r="H375" s="48">
        <v>1090</v>
      </c>
      <c r="I375" s="48">
        <v>1093</v>
      </c>
      <c r="J375" s="48">
        <v>1083</v>
      </c>
      <c r="K375" s="48">
        <v>1089</v>
      </c>
      <c r="L375" s="48">
        <v>1131</v>
      </c>
      <c r="M375" s="435"/>
      <c r="N375" s="437" t="s">
        <v>2710</v>
      </c>
      <c r="O375" s="72"/>
      <c r="Q375" s="4"/>
    </row>
    <row r="376" spans="1:17">
      <c r="A376" s="437" t="s">
        <v>7009</v>
      </c>
      <c r="B376" s="437" t="s">
        <v>1384</v>
      </c>
      <c r="C376" s="4" t="s">
        <v>11622</v>
      </c>
      <c r="D376" s="438">
        <v>1890</v>
      </c>
      <c r="E376" s="438">
        <v>1924</v>
      </c>
      <c r="F376" s="438">
        <v>1901</v>
      </c>
      <c r="G376" s="48">
        <v>1897</v>
      </c>
      <c r="H376" s="48">
        <v>1892</v>
      </c>
      <c r="I376" s="48">
        <v>1898</v>
      </c>
      <c r="J376" s="48">
        <v>1890</v>
      </c>
      <c r="K376" s="48">
        <v>1891</v>
      </c>
      <c r="L376" s="48">
        <v>1919</v>
      </c>
      <c r="M376" s="435"/>
      <c r="N376" s="437" t="s">
        <v>2710</v>
      </c>
      <c r="O376" s="72"/>
      <c r="Q376" s="4"/>
    </row>
    <row r="377" spans="1:17">
      <c r="A377" s="437" t="s">
        <v>7011</v>
      </c>
      <c r="B377" s="437" t="s">
        <v>1385</v>
      </c>
      <c r="C377" s="4" t="s">
        <v>11623</v>
      </c>
      <c r="D377" s="438">
        <v>2397</v>
      </c>
      <c r="E377" s="438">
        <v>2398</v>
      </c>
      <c r="F377" s="438">
        <v>2380</v>
      </c>
      <c r="G377" s="48">
        <v>2373</v>
      </c>
      <c r="H377" s="48">
        <v>2389</v>
      </c>
      <c r="I377" s="48">
        <v>2370</v>
      </c>
      <c r="J377" s="48">
        <v>2371</v>
      </c>
      <c r="K377" s="48">
        <v>2212</v>
      </c>
      <c r="L377" s="48">
        <v>2266</v>
      </c>
      <c r="M377" s="435"/>
      <c r="N377" s="437" t="s">
        <v>2710</v>
      </c>
      <c r="O377" s="72"/>
      <c r="Q377" s="4"/>
    </row>
    <row r="378" spans="1:17">
      <c r="A378" s="437" t="s">
        <v>7013</v>
      </c>
      <c r="B378" s="437" t="s">
        <v>1386</v>
      </c>
      <c r="C378" s="4" t="s">
        <v>11624</v>
      </c>
      <c r="D378" s="438">
        <v>2234</v>
      </c>
      <c r="E378" s="438">
        <v>2242</v>
      </c>
      <c r="F378" s="438">
        <v>2236</v>
      </c>
      <c r="G378" s="48">
        <v>2238</v>
      </c>
      <c r="H378" s="48">
        <v>2271</v>
      </c>
      <c r="I378" s="48">
        <v>2262</v>
      </c>
      <c r="J378" s="48">
        <v>2228</v>
      </c>
      <c r="K378" s="48">
        <v>2188</v>
      </c>
      <c r="L378" s="48">
        <v>2196</v>
      </c>
      <c r="M378" s="435"/>
      <c r="N378" s="437" t="s">
        <v>2710</v>
      </c>
      <c r="O378" s="72"/>
      <c r="Q378" s="4"/>
    </row>
    <row r="379" spans="1:17">
      <c r="A379" s="437" t="s">
        <v>7015</v>
      </c>
      <c r="B379" s="437" t="s">
        <v>3030</v>
      </c>
      <c r="C379" s="4" t="s">
        <v>11625</v>
      </c>
      <c r="D379" s="438">
        <v>2446</v>
      </c>
      <c r="E379" s="438">
        <v>2442</v>
      </c>
      <c r="F379" s="438">
        <v>2402</v>
      </c>
      <c r="G379" s="48">
        <v>2444</v>
      </c>
      <c r="H379" s="48">
        <v>2479</v>
      </c>
      <c r="I379" s="48">
        <v>2505</v>
      </c>
      <c r="J379" s="48">
        <v>2501</v>
      </c>
      <c r="K379" s="48">
        <v>2434</v>
      </c>
      <c r="L379" s="48">
        <v>2540</v>
      </c>
      <c r="M379" s="435"/>
      <c r="N379" s="437" t="s">
        <v>2710</v>
      </c>
      <c r="O379" s="72"/>
      <c r="Q379" s="4"/>
    </row>
    <row r="380" spans="1:17">
      <c r="A380" s="437" t="s">
        <v>7017</v>
      </c>
      <c r="B380" s="437" t="s">
        <v>4759</v>
      </c>
      <c r="C380" s="4" t="s">
        <v>11626</v>
      </c>
      <c r="D380" s="438">
        <v>2126</v>
      </c>
      <c r="E380" s="438">
        <v>2134</v>
      </c>
      <c r="F380" s="438">
        <v>2121</v>
      </c>
      <c r="G380" s="48">
        <v>2139</v>
      </c>
      <c r="H380" s="48">
        <v>2077</v>
      </c>
      <c r="I380" s="48">
        <v>2107</v>
      </c>
      <c r="J380" s="48">
        <v>2080</v>
      </c>
      <c r="K380" s="48">
        <v>2049</v>
      </c>
      <c r="L380" s="48">
        <v>2068</v>
      </c>
      <c r="M380" s="435"/>
      <c r="N380" s="437" t="s">
        <v>2710</v>
      </c>
      <c r="O380" s="72"/>
      <c r="Q380" s="4"/>
    </row>
    <row r="381" spans="1:17">
      <c r="A381" s="437" t="s">
        <v>7019</v>
      </c>
      <c r="B381" s="437" t="s">
        <v>4760</v>
      </c>
      <c r="C381" s="4" t="s">
        <v>11627</v>
      </c>
      <c r="D381" s="438">
        <v>1345</v>
      </c>
      <c r="E381" s="438">
        <v>1338</v>
      </c>
      <c r="F381" s="438">
        <v>1274</v>
      </c>
      <c r="G381" s="48">
        <v>1247</v>
      </c>
      <c r="H381" s="48">
        <v>1264</v>
      </c>
      <c r="I381" s="48">
        <v>1279</v>
      </c>
      <c r="J381" s="48">
        <v>1265</v>
      </c>
      <c r="K381" s="48">
        <v>1256</v>
      </c>
      <c r="L381" s="48">
        <v>1271</v>
      </c>
      <c r="M381" s="435"/>
      <c r="N381" s="437" t="s">
        <v>2710</v>
      </c>
      <c r="O381" s="72"/>
      <c r="Q381" s="4"/>
    </row>
    <row r="382" spans="1:17">
      <c r="A382" s="437" t="s">
        <v>7021</v>
      </c>
      <c r="B382" s="437" t="s">
        <v>4761</v>
      </c>
      <c r="C382" s="4" t="s">
        <v>11628</v>
      </c>
      <c r="D382" s="438">
        <v>1118</v>
      </c>
      <c r="E382" s="438">
        <v>1110</v>
      </c>
      <c r="F382" s="438">
        <v>1122</v>
      </c>
      <c r="G382" s="48">
        <v>1120</v>
      </c>
      <c r="H382" s="48">
        <v>1163</v>
      </c>
      <c r="I382" s="48">
        <v>1189</v>
      </c>
      <c r="J382" s="48">
        <v>1192</v>
      </c>
      <c r="K382" s="48">
        <v>1184</v>
      </c>
      <c r="L382" s="48">
        <v>1218</v>
      </c>
      <c r="M382" s="435"/>
      <c r="N382" s="437" t="s">
        <v>2710</v>
      </c>
      <c r="O382" s="72"/>
      <c r="Q382" s="4"/>
    </row>
    <row r="383" spans="1:17">
      <c r="A383" s="437" t="s">
        <v>7023</v>
      </c>
      <c r="B383" s="437" t="s">
        <v>8835</v>
      </c>
      <c r="C383" s="4" t="s">
        <v>11629</v>
      </c>
      <c r="D383" s="438">
        <v>2294</v>
      </c>
      <c r="E383" s="438">
        <v>2328</v>
      </c>
      <c r="F383" s="438">
        <v>2311</v>
      </c>
      <c r="G383" s="48">
        <v>2296</v>
      </c>
      <c r="H383" s="48">
        <v>2320</v>
      </c>
      <c r="I383" s="48">
        <v>2295</v>
      </c>
      <c r="J383" s="48">
        <v>2274</v>
      </c>
      <c r="K383" s="48">
        <v>2168</v>
      </c>
      <c r="L383" s="48">
        <v>2205</v>
      </c>
      <c r="M383" s="435"/>
      <c r="N383" s="437" t="s">
        <v>2710</v>
      </c>
      <c r="O383" s="72"/>
      <c r="Q383" s="4"/>
    </row>
    <row r="384" spans="1:17">
      <c r="A384" s="437" t="s">
        <v>7025</v>
      </c>
      <c r="B384" s="437" t="s">
        <v>4762</v>
      </c>
      <c r="C384" s="4" t="s">
        <v>11630</v>
      </c>
      <c r="D384" s="438">
        <v>2480</v>
      </c>
      <c r="E384" s="438">
        <v>2526</v>
      </c>
      <c r="F384" s="438">
        <v>2493</v>
      </c>
      <c r="G384" s="48">
        <v>2462</v>
      </c>
      <c r="H384" s="48">
        <v>2401</v>
      </c>
      <c r="I384" s="48">
        <v>2340</v>
      </c>
      <c r="J384" s="48">
        <v>2308</v>
      </c>
      <c r="K384" s="48">
        <v>2207</v>
      </c>
      <c r="L384" s="48">
        <v>2242</v>
      </c>
      <c r="M384" s="435"/>
      <c r="N384" s="437" t="s">
        <v>2710</v>
      </c>
      <c r="O384" s="72"/>
      <c r="Q384" s="4"/>
    </row>
    <row r="385" spans="1:17">
      <c r="A385" s="437" t="s">
        <v>7570</v>
      </c>
      <c r="B385" s="437" t="s">
        <v>1412</v>
      </c>
      <c r="C385" s="4" t="s">
        <v>11631</v>
      </c>
      <c r="D385" s="438">
        <v>2558</v>
      </c>
      <c r="E385" s="438">
        <v>2558</v>
      </c>
      <c r="F385" s="438">
        <v>2513</v>
      </c>
      <c r="G385" s="48">
        <v>2480</v>
      </c>
      <c r="H385" s="48">
        <v>2558</v>
      </c>
      <c r="I385" s="48">
        <v>2528</v>
      </c>
      <c r="J385" s="48">
        <v>2527</v>
      </c>
      <c r="K385" s="48">
        <v>2494</v>
      </c>
      <c r="L385" s="48">
        <v>2533</v>
      </c>
      <c r="M385" s="435"/>
      <c r="N385" s="437" t="s">
        <v>2710</v>
      </c>
      <c r="O385" s="72"/>
      <c r="Q385" s="4"/>
    </row>
    <row r="386" spans="1:17">
      <c r="A386" s="437" t="s">
        <v>7572</v>
      </c>
      <c r="B386" s="437" t="s">
        <v>1413</v>
      </c>
      <c r="C386" s="4" t="s">
        <v>11632</v>
      </c>
      <c r="D386" s="438">
        <v>2934</v>
      </c>
      <c r="E386" s="438">
        <v>2927</v>
      </c>
      <c r="F386" s="438">
        <v>2941</v>
      </c>
      <c r="G386" s="48">
        <v>2980</v>
      </c>
      <c r="H386" s="48">
        <v>3038</v>
      </c>
      <c r="I386" s="48">
        <v>3080</v>
      </c>
      <c r="J386" s="48">
        <v>3078</v>
      </c>
      <c r="K386" s="48">
        <v>2978</v>
      </c>
      <c r="L386" s="48">
        <v>3150</v>
      </c>
      <c r="M386" s="435"/>
      <c r="N386" s="437" t="s">
        <v>2710</v>
      </c>
      <c r="O386" s="72"/>
      <c r="Q386" s="4"/>
    </row>
    <row r="387" spans="1:17">
      <c r="A387" s="437" t="s">
        <v>7573</v>
      </c>
      <c r="B387" s="437" t="s">
        <v>1414</v>
      </c>
      <c r="C387" s="4" t="s">
        <v>11633</v>
      </c>
      <c r="D387" s="438">
        <v>2104</v>
      </c>
      <c r="E387" s="438">
        <v>2113</v>
      </c>
      <c r="F387" s="438">
        <v>2085</v>
      </c>
      <c r="G387" s="48">
        <v>2107</v>
      </c>
      <c r="H387" s="48">
        <v>2100</v>
      </c>
      <c r="I387" s="48">
        <v>2112</v>
      </c>
      <c r="J387" s="48">
        <v>2077</v>
      </c>
      <c r="K387" s="48">
        <v>2041</v>
      </c>
      <c r="L387" s="48">
        <v>2073</v>
      </c>
      <c r="M387" s="435"/>
      <c r="N387" s="437" t="s">
        <v>2710</v>
      </c>
      <c r="O387" s="72"/>
      <c r="Q387" s="4"/>
    </row>
    <row r="388" spans="1:17">
      <c r="A388" s="437" t="s">
        <v>5798</v>
      </c>
      <c r="B388" s="437" t="s">
        <v>4857</v>
      </c>
      <c r="C388" s="4" t="s">
        <v>11634</v>
      </c>
      <c r="D388" s="438">
        <v>1106</v>
      </c>
      <c r="E388" s="438">
        <v>1098</v>
      </c>
      <c r="F388" s="438">
        <v>1125</v>
      </c>
      <c r="G388" s="48">
        <v>1177</v>
      </c>
      <c r="H388" s="48">
        <v>1239</v>
      </c>
      <c r="I388" s="48">
        <v>1247</v>
      </c>
      <c r="J388" s="48">
        <v>1244</v>
      </c>
      <c r="K388" s="48">
        <v>1315</v>
      </c>
      <c r="L388" s="48">
        <v>1434</v>
      </c>
      <c r="M388" s="435"/>
      <c r="N388" s="437" t="s">
        <v>2710</v>
      </c>
      <c r="O388" s="72"/>
      <c r="Q388" s="4"/>
    </row>
    <row r="389" spans="1:17">
      <c r="A389" s="435"/>
      <c r="B389" s="435"/>
      <c r="D389" s="444"/>
      <c r="E389" s="444"/>
      <c r="F389" s="444"/>
      <c r="G389" s="444"/>
      <c r="H389" s="444"/>
      <c r="I389" s="444"/>
      <c r="J389" s="444"/>
      <c r="K389" s="444"/>
      <c r="L389" s="444"/>
      <c r="M389" s="435"/>
      <c r="N389" s="435"/>
    </row>
    <row r="390" spans="1:17">
      <c r="A390" s="437" t="s">
        <v>4858</v>
      </c>
      <c r="D390" s="438">
        <f t="shared" ref="D390:I390" si="239">SUM(D365:D388)</f>
        <v>45891</v>
      </c>
      <c r="E390" s="438">
        <f t="shared" si="239"/>
        <v>46058</v>
      </c>
      <c r="F390" s="438">
        <f t="shared" si="239"/>
        <v>45845</v>
      </c>
      <c r="G390" s="438">
        <f t="shared" si="239"/>
        <v>45909</v>
      </c>
      <c r="H390" s="438">
        <f t="shared" si="239"/>
        <v>46181</v>
      </c>
      <c r="I390" s="438">
        <f t="shared" si="239"/>
        <v>46114</v>
      </c>
      <c r="J390" s="438">
        <f t="shared" ref="J390:K390" si="240">SUM(J365:J388)</f>
        <v>45804</v>
      </c>
      <c r="K390" s="438">
        <f t="shared" si="240"/>
        <v>45181</v>
      </c>
      <c r="L390" s="438">
        <f t="shared" ref="L390" si="241">SUM(L365:L388)</f>
        <v>46375</v>
      </c>
      <c r="M390" s="435"/>
      <c r="N390" s="435"/>
    </row>
    <row r="391" spans="1:17">
      <c r="A391" s="437"/>
      <c r="D391" s="438"/>
      <c r="E391" s="438"/>
      <c r="F391" s="438"/>
      <c r="G391" s="438"/>
      <c r="H391" s="438"/>
      <c r="I391" s="438"/>
      <c r="J391" s="438"/>
      <c r="K391" s="438"/>
      <c r="L391" s="438"/>
      <c r="M391" s="435"/>
      <c r="N391" s="435"/>
    </row>
    <row r="392" spans="1:17">
      <c r="A392" s="437" t="s">
        <v>3172</v>
      </c>
      <c r="D392" s="438"/>
      <c r="E392" s="438"/>
      <c r="F392" s="438"/>
      <c r="G392" s="438"/>
      <c r="H392" s="438"/>
      <c r="I392" s="438"/>
      <c r="J392" s="438"/>
      <c r="K392" s="438"/>
      <c r="L392" s="438"/>
      <c r="M392" s="435"/>
      <c r="N392" s="435"/>
    </row>
    <row r="393" spans="1:17">
      <c r="A393" s="437"/>
      <c r="B393" s="437"/>
      <c r="D393" s="449"/>
      <c r="E393" s="449"/>
      <c r="F393" s="449"/>
      <c r="G393" s="449"/>
      <c r="H393" s="449"/>
      <c r="I393" s="449"/>
      <c r="J393" s="449"/>
      <c r="K393" s="449"/>
      <c r="L393" s="449"/>
      <c r="M393" s="435"/>
      <c r="N393" s="435"/>
    </row>
    <row r="394" spans="1:17">
      <c r="A394" s="437"/>
      <c r="B394" s="437"/>
      <c r="D394" s="449"/>
      <c r="E394" s="449"/>
      <c r="F394" s="449"/>
      <c r="G394" s="449"/>
      <c r="H394" s="449"/>
      <c r="I394" s="449"/>
      <c r="J394" s="449"/>
      <c r="K394" s="449"/>
      <c r="L394" s="449"/>
      <c r="M394" s="435"/>
      <c r="N394" s="435"/>
    </row>
    <row r="395" spans="1:17">
      <c r="A395" s="435"/>
      <c r="B395" s="435"/>
      <c r="E395" s="42" t="s">
        <v>2303</v>
      </c>
      <c r="F395" s="42"/>
      <c r="G395" s="42"/>
      <c r="H395" s="42"/>
      <c r="I395" s="42"/>
      <c r="J395" s="42"/>
      <c r="K395" s="42"/>
      <c r="L395" s="42"/>
      <c r="M395" s="109"/>
      <c r="N395" s="109" t="s">
        <v>13319</v>
      </c>
    </row>
    <row r="396" spans="1:17">
      <c r="A396" s="435"/>
      <c r="B396" s="435"/>
      <c r="D396" s="110">
        <v>2010</v>
      </c>
      <c r="E396" s="110">
        <v>2011</v>
      </c>
      <c r="F396" s="110">
        <v>2012</v>
      </c>
      <c r="G396" s="110">
        <v>2013</v>
      </c>
      <c r="H396" s="110">
        <v>2014</v>
      </c>
      <c r="I396" s="110">
        <v>2015</v>
      </c>
      <c r="J396" s="110">
        <v>2016</v>
      </c>
      <c r="K396" s="110">
        <v>2017</v>
      </c>
      <c r="L396" s="110">
        <v>2018</v>
      </c>
      <c r="M396" s="435"/>
      <c r="N396" s="112" t="s">
        <v>2304</v>
      </c>
    </row>
    <row r="397" spans="1:17">
      <c r="A397" s="437" t="s">
        <v>3173</v>
      </c>
      <c r="D397" s="438">
        <f t="shared" ref="D397:I397" si="242">SUM(D398:D411)</f>
        <v>52506</v>
      </c>
      <c r="E397" s="438">
        <f t="shared" si="242"/>
        <v>52692</v>
      </c>
      <c r="F397" s="438">
        <f t="shared" si="242"/>
        <v>52934</v>
      </c>
      <c r="G397" s="438">
        <f t="shared" si="242"/>
        <v>53014</v>
      </c>
      <c r="H397" s="438">
        <f t="shared" si="242"/>
        <v>53123</v>
      </c>
      <c r="I397" s="438">
        <f t="shared" si="242"/>
        <v>52269</v>
      </c>
      <c r="J397" s="438">
        <f t="shared" ref="J397:K397" si="243">SUM(J398:J411)</f>
        <v>51076</v>
      </c>
      <c r="K397" s="438">
        <f t="shared" si="243"/>
        <v>52211</v>
      </c>
      <c r="L397" s="438">
        <f t="shared" ref="L397" si="244">SUM(L398:L411)</f>
        <v>51427</v>
      </c>
      <c r="M397" s="435"/>
      <c r="N397" s="435"/>
    </row>
    <row r="398" spans="1:17">
      <c r="A398" s="437" t="s">
        <v>6957</v>
      </c>
      <c r="B398" s="437" t="s">
        <v>3174</v>
      </c>
      <c r="C398" s="4" t="s">
        <v>11635</v>
      </c>
      <c r="D398" s="438">
        <v>2873</v>
      </c>
      <c r="E398" s="438">
        <v>2842</v>
      </c>
      <c r="F398" s="438">
        <v>2848</v>
      </c>
      <c r="G398" s="30">
        <v>2825</v>
      </c>
      <c r="H398" s="30">
        <v>2871</v>
      </c>
      <c r="I398" s="30">
        <v>2822</v>
      </c>
      <c r="J398" s="30">
        <v>2751</v>
      </c>
      <c r="K398" s="30">
        <v>2826</v>
      </c>
      <c r="L398" s="30">
        <v>2780</v>
      </c>
      <c r="M398" s="435"/>
      <c r="N398" s="437" t="s">
        <v>2712</v>
      </c>
      <c r="O398" s="4"/>
      <c r="Q398" s="4"/>
    </row>
    <row r="399" spans="1:17">
      <c r="A399" s="437" t="s">
        <v>6959</v>
      </c>
      <c r="B399" s="437" t="s">
        <v>5040</v>
      </c>
      <c r="C399" s="4" t="s">
        <v>11636</v>
      </c>
      <c r="D399" s="438">
        <v>2800</v>
      </c>
      <c r="E399" s="438">
        <v>2868</v>
      </c>
      <c r="F399" s="438">
        <v>2844</v>
      </c>
      <c r="G399" s="30">
        <v>2926</v>
      </c>
      <c r="H399" s="30">
        <v>2918</v>
      </c>
      <c r="I399" s="30">
        <v>2904</v>
      </c>
      <c r="J399" s="30">
        <v>2864</v>
      </c>
      <c r="K399" s="30">
        <v>2904</v>
      </c>
      <c r="L399" s="30">
        <v>2834</v>
      </c>
      <c r="M399" s="435"/>
      <c r="N399" s="437" t="s">
        <v>2712</v>
      </c>
      <c r="O399" s="4"/>
      <c r="Q399" s="4"/>
    </row>
    <row r="400" spans="1:17">
      <c r="A400" s="437" t="s">
        <v>6961</v>
      </c>
      <c r="B400" s="437" t="s">
        <v>3175</v>
      </c>
      <c r="C400" s="4" t="s">
        <v>11637</v>
      </c>
      <c r="D400" s="438">
        <v>2814</v>
      </c>
      <c r="E400" s="438">
        <v>2888</v>
      </c>
      <c r="F400" s="438">
        <v>2899</v>
      </c>
      <c r="G400" s="30">
        <v>2882</v>
      </c>
      <c r="H400" s="30">
        <v>2919</v>
      </c>
      <c r="I400" s="30">
        <v>2881</v>
      </c>
      <c r="J400" s="30">
        <v>2741</v>
      </c>
      <c r="K400" s="30">
        <v>2810</v>
      </c>
      <c r="L400" s="30">
        <v>2760</v>
      </c>
      <c r="M400" s="435"/>
      <c r="N400" s="437" t="s">
        <v>2712</v>
      </c>
      <c r="O400" s="4"/>
      <c r="Q400" s="4"/>
    </row>
    <row r="401" spans="1:17">
      <c r="A401" s="437" t="s">
        <v>6963</v>
      </c>
      <c r="B401" s="437" t="s">
        <v>3176</v>
      </c>
      <c r="C401" s="4" t="s">
        <v>11638</v>
      </c>
      <c r="D401" s="438">
        <v>3191</v>
      </c>
      <c r="E401" s="438">
        <v>3218</v>
      </c>
      <c r="F401" s="438">
        <v>3211</v>
      </c>
      <c r="G401" s="30">
        <v>3200</v>
      </c>
      <c r="H401" s="30">
        <v>3223</v>
      </c>
      <c r="I401" s="30">
        <v>3179</v>
      </c>
      <c r="J401" s="30">
        <v>3159</v>
      </c>
      <c r="K401" s="30">
        <v>3176</v>
      </c>
      <c r="L401" s="30">
        <v>3131</v>
      </c>
      <c r="M401" s="435"/>
      <c r="N401" s="437" t="s">
        <v>2712</v>
      </c>
      <c r="O401" s="4"/>
      <c r="Q401" s="4"/>
    </row>
    <row r="402" spans="1:17">
      <c r="A402" s="437" t="s">
        <v>6965</v>
      </c>
      <c r="B402" s="437" t="s">
        <v>3177</v>
      </c>
      <c r="C402" s="4" t="s">
        <v>11639</v>
      </c>
      <c r="D402" s="438">
        <v>4517</v>
      </c>
      <c r="E402" s="438">
        <v>4510</v>
      </c>
      <c r="F402" s="438">
        <v>4523</v>
      </c>
      <c r="G402" s="30">
        <v>4534</v>
      </c>
      <c r="H402" s="30">
        <v>4502</v>
      </c>
      <c r="I402" s="30">
        <v>4416</v>
      </c>
      <c r="J402" s="30">
        <v>4325</v>
      </c>
      <c r="K402" s="30">
        <v>4412</v>
      </c>
      <c r="L402" s="30">
        <v>4292</v>
      </c>
      <c r="M402" s="435"/>
      <c r="N402" s="437" t="s">
        <v>2702</v>
      </c>
      <c r="O402" s="4"/>
      <c r="Q402" s="4"/>
    </row>
    <row r="403" spans="1:17">
      <c r="A403" s="437" t="s">
        <v>6997</v>
      </c>
      <c r="B403" s="437" t="s">
        <v>3178</v>
      </c>
      <c r="C403" s="4" t="s">
        <v>11640</v>
      </c>
      <c r="D403" s="438">
        <v>4534</v>
      </c>
      <c r="E403" s="438">
        <v>4544</v>
      </c>
      <c r="F403" s="438">
        <v>4551</v>
      </c>
      <c r="G403" s="30">
        <v>4568</v>
      </c>
      <c r="H403" s="30">
        <v>4474</v>
      </c>
      <c r="I403" s="30">
        <v>4377</v>
      </c>
      <c r="J403" s="30">
        <v>4274</v>
      </c>
      <c r="K403" s="30">
        <v>4359</v>
      </c>
      <c r="L403" s="30">
        <v>4278</v>
      </c>
      <c r="M403" s="435"/>
      <c r="N403" s="437" t="s">
        <v>2712</v>
      </c>
      <c r="O403" s="4"/>
      <c r="Q403" s="4"/>
    </row>
    <row r="404" spans="1:17">
      <c r="A404" s="437" t="s">
        <v>6999</v>
      </c>
      <c r="B404" s="437" t="s">
        <v>3136</v>
      </c>
      <c r="C404" s="4" t="s">
        <v>11641</v>
      </c>
      <c r="D404" s="438">
        <v>4215</v>
      </c>
      <c r="E404" s="438">
        <v>4205</v>
      </c>
      <c r="F404" s="438">
        <v>4221</v>
      </c>
      <c r="G404" s="30">
        <v>4257</v>
      </c>
      <c r="H404" s="30">
        <v>4207</v>
      </c>
      <c r="I404" s="30">
        <v>4141</v>
      </c>
      <c r="J404" s="30">
        <v>4050</v>
      </c>
      <c r="K404" s="30">
        <v>4126</v>
      </c>
      <c r="L404" s="30">
        <v>4094</v>
      </c>
      <c r="M404" s="435"/>
      <c r="N404" s="437" t="s">
        <v>2712</v>
      </c>
      <c r="O404" s="4"/>
      <c r="Q404" s="4"/>
    </row>
    <row r="405" spans="1:17">
      <c r="A405" s="437" t="s">
        <v>7001</v>
      </c>
      <c r="B405" s="437" t="s">
        <v>3137</v>
      </c>
      <c r="C405" s="4" t="s">
        <v>11642</v>
      </c>
      <c r="D405" s="438">
        <v>2948</v>
      </c>
      <c r="E405" s="438">
        <v>2966</v>
      </c>
      <c r="F405" s="438">
        <v>2987</v>
      </c>
      <c r="G405" s="30">
        <v>2992</v>
      </c>
      <c r="H405" s="30">
        <v>3070</v>
      </c>
      <c r="I405" s="30">
        <v>3035</v>
      </c>
      <c r="J405" s="30">
        <v>2992</v>
      </c>
      <c r="K405" s="30">
        <v>3040</v>
      </c>
      <c r="L405" s="30">
        <v>2975</v>
      </c>
      <c r="M405" s="435"/>
      <c r="N405" s="437" t="s">
        <v>2712</v>
      </c>
      <c r="O405" s="4"/>
      <c r="Q405" s="4"/>
    </row>
    <row r="406" spans="1:17">
      <c r="A406" s="437" t="s">
        <v>7003</v>
      </c>
      <c r="B406" s="437" t="s">
        <v>3138</v>
      </c>
      <c r="C406" s="4" t="s">
        <v>11643</v>
      </c>
      <c r="D406" s="438">
        <v>4695</v>
      </c>
      <c r="E406" s="438">
        <v>4686</v>
      </c>
      <c r="F406" s="438">
        <v>4724</v>
      </c>
      <c r="G406" s="30">
        <v>4692</v>
      </c>
      <c r="H406" s="30">
        <v>4753</v>
      </c>
      <c r="I406" s="30">
        <v>4700</v>
      </c>
      <c r="J406" s="30">
        <v>4776</v>
      </c>
      <c r="K406" s="30">
        <v>4855</v>
      </c>
      <c r="L406" s="30">
        <v>4733</v>
      </c>
      <c r="M406" s="435"/>
      <c r="N406" s="437" t="s">
        <v>2712</v>
      </c>
      <c r="O406" s="4"/>
      <c r="Q406" s="4"/>
    </row>
    <row r="407" spans="1:17">
      <c r="A407" s="437" t="s">
        <v>7005</v>
      </c>
      <c r="B407" s="437" t="s">
        <v>3139</v>
      </c>
      <c r="C407" s="4" t="s">
        <v>11644</v>
      </c>
      <c r="D407" s="438">
        <v>4037</v>
      </c>
      <c r="E407" s="438">
        <v>4053</v>
      </c>
      <c r="F407" s="438">
        <v>4127</v>
      </c>
      <c r="G407" s="30">
        <v>4154</v>
      </c>
      <c r="H407" s="30">
        <v>4178</v>
      </c>
      <c r="I407" s="30">
        <v>4114</v>
      </c>
      <c r="J407" s="30">
        <v>4013</v>
      </c>
      <c r="K407" s="30">
        <v>4163</v>
      </c>
      <c r="L407" s="30">
        <v>4126</v>
      </c>
      <c r="M407" s="435"/>
      <c r="N407" s="437" t="s">
        <v>2712</v>
      </c>
      <c r="O407" s="4"/>
      <c r="Q407" s="4"/>
    </row>
    <row r="408" spans="1:17">
      <c r="A408" s="437" t="s">
        <v>7007</v>
      </c>
      <c r="B408" s="437" t="s">
        <v>3140</v>
      </c>
      <c r="C408" s="4" t="s">
        <v>11645</v>
      </c>
      <c r="D408" s="438">
        <v>4216</v>
      </c>
      <c r="E408" s="438">
        <v>4220</v>
      </c>
      <c r="F408" s="438">
        <v>4235</v>
      </c>
      <c r="G408" s="30">
        <v>4261</v>
      </c>
      <c r="H408" s="30">
        <v>4229</v>
      </c>
      <c r="I408" s="30">
        <v>4156</v>
      </c>
      <c r="J408" s="30">
        <v>4083</v>
      </c>
      <c r="K408" s="30">
        <v>4225</v>
      </c>
      <c r="L408" s="30">
        <v>4340</v>
      </c>
      <c r="M408" s="435"/>
      <c r="N408" s="437" t="s">
        <v>2712</v>
      </c>
      <c r="O408" s="4"/>
      <c r="Q408" s="4"/>
    </row>
    <row r="409" spans="1:17">
      <c r="A409" s="437" t="s">
        <v>7009</v>
      </c>
      <c r="B409" s="437" t="s">
        <v>3141</v>
      </c>
      <c r="C409" s="4" t="s">
        <v>11646</v>
      </c>
      <c r="D409" s="444">
        <v>2806</v>
      </c>
      <c r="E409" s="444">
        <v>2837</v>
      </c>
      <c r="F409" s="444">
        <v>2917</v>
      </c>
      <c r="G409" s="30">
        <v>2922</v>
      </c>
      <c r="H409" s="30">
        <v>2990</v>
      </c>
      <c r="I409" s="30">
        <v>2949</v>
      </c>
      <c r="J409" s="30">
        <v>2802</v>
      </c>
      <c r="K409" s="30">
        <v>2841</v>
      </c>
      <c r="L409" s="30">
        <v>2797</v>
      </c>
      <c r="M409" s="435"/>
      <c r="N409" s="437" t="s">
        <v>2712</v>
      </c>
      <c r="O409" s="4"/>
      <c r="Q409" s="4"/>
    </row>
    <row r="410" spans="1:17">
      <c r="A410" s="437" t="s">
        <v>7011</v>
      </c>
      <c r="B410" s="437" t="s">
        <v>4825</v>
      </c>
      <c r="C410" s="4" t="s">
        <v>11647</v>
      </c>
      <c r="D410" s="438">
        <v>4431</v>
      </c>
      <c r="E410" s="438">
        <v>4419</v>
      </c>
      <c r="F410" s="438">
        <v>4405</v>
      </c>
      <c r="G410" s="30">
        <v>4414</v>
      </c>
      <c r="H410" s="30">
        <v>4416</v>
      </c>
      <c r="I410" s="30">
        <v>4329</v>
      </c>
      <c r="J410" s="30">
        <v>4193</v>
      </c>
      <c r="K410" s="30">
        <v>4229</v>
      </c>
      <c r="L410" s="30">
        <v>4182</v>
      </c>
      <c r="M410" s="435"/>
      <c r="N410" s="437" t="s">
        <v>2712</v>
      </c>
      <c r="O410" s="4"/>
      <c r="Q410" s="4"/>
    </row>
    <row r="411" spans="1:17">
      <c r="A411" s="448">
        <v>14</v>
      </c>
      <c r="B411" s="437" t="s">
        <v>4826</v>
      </c>
      <c r="C411" s="4" t="s">
        <v>11648</v>
      </c>
      <c r="D411" s="438">
        <v>4429</v>
      </c>
      <c r="E411" s="438">
        <v>4436</v>
      </c>
      <c r="F411" s="438">
        <v>4442</v>
      </c>
      <c r="G411" s="30">
        <v>4387</v>
      </c>
      <c r="H411" s="30">
        <v>4373</v>
      </c>
      <c r="I411" s="30">
        <v>4266</v>
      </c>
      <c r="J411" s="30">
        <v>4053</v>
      </c>
      <c r="K411" s="30">
        <v>4245</v>
      </c>
      <c r="L411" s="30">
        <v>4105</v>
      </c>
      <c r="M411" s="435"/>
      <c r="N411" s="437" t="s">
        <v>2702</v>
      </c>
      <c r="O411" s="4"/>
      <c r="Q411" s="4"/>
    </row>
    <row r="412" spans="1:17">
      <c r="A412" s="435"/>
      <c r="B412" s="435"/>
      <c r="D412" s="444"/>
      <c r="E412" s="444"/>
      <c r="F412" s="444"/>
      <c r="G412" s="444"/>
      <c r="H412" s="444"/>
      <c r="I412" s="444"/>
      <c r="J412" s="444"/>
      <c r="K412" s="444"/>
      <c r="L412" s="444"/>
      <c r="M412" s="435"/>
      <c r="N412" s="435"/>
    </row>
    <row r="413" spans="1:17">
      <c r="A413" s="437" t="s">
        <v>1947</v>
      </c>
      <c r="D413" s="438">
        <f t="shared" ref="D413:I413" si="245">D402+D411</f>
        <v>8946</v>
      </c>
      <c r="E413" s="438">
        <f t="shared" si="245"/>
        <v>8946</v>
      </c>
      <c r="F413" s="438">
        <f t="shared" si="245"/>
        <v>8965</v>
      </c>
      <c r="G413" s="438">
        <f t="shared" si="245"/>
        <v>8921</v>
      </c>
      <c r="H413" s="438">
        <f t="shared" si="245"/>
        <v>8875</v>
      </c>
      <c r="I413" s="438">
        <f t="shared" si="245"/>
        <v>8682</v>
      </c>
      <c r="J413" s="438">
        <f t="shared" ref="J413:K413" si="246">J402+J411</f>
        <v>8378</v>
      </c>
      <c r="K413" s="438">
        <f t="shared" si="246"/>
        <v>8657</v>
      </c>
      <c r="L413" s="438">
        <f t="shared" ref="L413" si="247">L402+L411</f>
        <v>8397</v>
      </c>
      <c r="M413" s="435"/>
      <c r="N413" s="435"/>
    </row>
    <row r="414" spans="1:17">
      <c r="A414" s="437" t="s">
        <v>4827</v>
      </c>
      <c r="D414" s="438">
        <f t="shared" ref="D414:I414" si="248">SUM(D398:D401)+SUM(D403:D410)</f>
        <v>43560</v>
      </c>
      <c r="E414" s="438">
        <f t="shared" si="248"/>
        <v>43746</v>
      </c>
      <c r="F414" s="438">
        <f t="shared" si="248"/>
        <v>43969</v>
      </c>
      <c r="G414" s="438">
        <f t="shared" si="248"/>
        <v>44093</v>
      </c>
      <c r="H414" s="438">
        <f t="shared" si="248"/>
        <v>44248</v>
      </c>
      <c r="I414" s="438">
        <f t="shared" si="248"/>
        <v>43587</v>
      </c>
      <c r="J414" s="438">
        <f t="shared" ref="J414:K414" si="249">SUM(J398:J401)+SUM(J403:J410)</f>
        <v>42698</v>
      </c>
      <c r="K414" s="438">
        <f t="shared" si="249"/>
        <v>43554</v>
      </c>
      <c r="L414" s="438">
        <f t="shared" ref="L414" si="250">SUM(L398:L401)+SUM(L403:L410)</f>
        <v>43030</v>
      </c>
      <c r="M414" s="435"/>
      <c r="N414" s="435"/>
    </row>
    <row r="415" spans="1:17">
      <c r="A415" s="437"/>
      <c r="D415" s="438"/>
      <c r="E415" s="438"/>
      <c r="F415" s="438"/>
      <c r="G415" s="438"/>
      <c r="H415" s="438"/>
      <c r="I415" s="438"/>
      <c r="J415" s="438"/>
      <c r="K415" s="438"/>
      <c r="L415" s="438"/>
      <c r="M415" s="435"/>
      <c r="N415" s="435"/>
    </row>
    <row r="416" spans="1:17">
      <c r="A416" s="437" t="s">
        <v>8421</v>
      </c>
      <c r="D416" s="438"/>
      <c r="E416" s="438"/>
      <c r="F416" s="438"/>
      <c r="G416" s="438"/>
      <c r="H416" s="438"/>
      <c r="I416" s="438"/>
      <c r="J416" s="438"/>
      <c r="K416" s="438"/>
      <c r="L416" s="438"/>
      <c r="M416" s="435"/>
      <c r="N416" s="435"/>
    </row>
    <row r="417" spans="1:17">
      <c r="A417" s="437"/>
      <c r="B417" s="437"/>
      <c r="D417" s="449"/>
      <c r="E417" s="449"/>
      <c r="F417" s="449"/>
      <c r="G417" s="449"/>
      <c r="H417" s="449"/>
      <c r="I417" s="449"/>
      <c r="J417" s="449"/>
      <c r="K417" s="449"/>
      <c r="L417" s="449"/>
      <c r="M417" s="435"/>
      <c r="N417" s="435"/>
    </row>
    <row r="418" spans="1:17">
      <c r="A418" s="437"/>
      <c r="B418" s="437"/>
      <c r="D418" s="449"/>
      <c r="E418" s="449"/>
      <c r="F418" s="449"/>
      <c r="G418" s="449"/>
      <c r="H418" s="449"/>
      <c r="I418" s="449"/>
      <c r="J418" s="449"/>
      <c r="K418" s="449"/>
      <c r="L418" s="449"/>
      <c r="M418" s="435"/>
      <c r="N418" s="435"/>
    </row>
    <row r="419" spans="1:17">
      <c r="A419" s="435"/>
      <c r="B419" s="435"/>
      <c r="E419" s="42" t="s">
        <v>2303</v>
      </c>
      <c r="F419" s="42"/>
      <c r="G419" s="42"/>
      <c r="H419" s="42"/>
      <c r="I419" s="42"/>
      <c r="J419" s="42"/>
      <c r="K419" s="42"/>
      <c r="L419" s="42"/>
      <c r="M419" s="109"/>
      <c r="N419" s="109" t="s">
        <v>13319</v>
      </c>
    </row>
    <row r="420" spans="1:17">
      <c r="A420" s="435"/>
      <c r="B420" s="435"/>
      <c r="D420" s="110">
        <v>2010</v>
      </c>
      <c r="E420" s="110">
        <v>2011</v>
      </c>
      <c r="F420" s="110">
        <v>2012</v>
      </c>
      <c r="G420" s="110">
        <v>2013</v>
      </c>
      <c r="H420" s="110">
        <v>2014</v>
      </c>
      <c r="I420" s="110">
        <v>2015</v>
      </c>
      <c r="J420" s="110">
        <v>2016</v>
      </c>
      <c r="K420" s="110">
        <v>2017</v>
      </c>
      <c r="L420" s="110">
        <v>2018</v>
      </c>
      <c r="M420" s="435"/>
      <c r="N420" s="112" t="s">
        <v>2304</v>
      </c>
    </row>
    <row r="421" spans="1:17">
      <c r="A421" s="437" t="s">
        <v>8422</v>
      </c>
      <c r="D421" s="438">
        <f t="shared" ref="D421:I421" si="251">SUM(D422:D431)+SUM(D433:D442)+SUM(D444:D448)</f>
        <v>85769</v>
      </c>
      <c r="E421" s="438">
        <f t="shared" si="251"/>
        <v>85661</v>
      </c>
      <c r="F421" s="438">
        <f t="shared" si="251"/>
        <v>85680</v>
      </c>
      <c r="G421" s="438">
        <f t="shared" si="251"/>
        <v>85731</v>
      </c>
      <c r="H421" s="438">
        <f t="shared" si="251"/>
        <v>85801</v>
      </c>
      <c r="I421" s="438">
        <f t="shared" si="251"/>
        <v>83999</v>
      </c>
      <c r="J421" s="438">
        <f>SUM(J422:J431)+SUM(J433:J442)+SUM(J444:J448)</f>
        <v>81624</v>
      </c>
      <c r="K421" s="438">
        <f>SUM(K422:K431)+SUM(K433:K442)+SUM(K444:K448)</f>
        <v>83283</v>
      </c>
      <c r="L421" s="438">
        <f>SUM(L422:L431)+SUM(L433:L442)+SUM(L444:L448)</f>
        <v>83964</v>
      </c>
      <c r="M421" s="438"/>
      <c r="N421" s="435"/>
    </row>
    <row r="422" spans="1:17">
      <c r="A422" s="437" t="s">
        <v>6957</v>
      </c>
      <c r="B422" s="437" t="s">
        <v>8423</v>
      </c>
      <c r="C422" s="4" t="s">
        <v>15067</v>
      </c>
      <c r="D422" s="438">
        <v>31391</v>
      </c>
      <c r="E422" s="438">
        <v>31379</v>
      </c>
      <c r="F422" s="438">
        <v>31371</v>
      </c>
      <c r="G422" s="438">
        <v>31406</v>
      </c>
      <c r="H422" s="48">
        <v>31181</v>
      </c>
      <c r="I422" s="48">
        <v>30299</v>
      </c>
      <c r="J422" s="48">
        <v>3184</v>
      </c>
      <c r="K422" s="48">
        <v>3232</v>
      </c>
      <c r="L422" s="48">
        <v>3275</v>
      </c>
      <c r="M422" s="435"/>
      <c r="N422" s="437" t="s">
        <v>2710</v>
      </c>
      <c r="Q422" s="4"/>
    </row>
    <row r="423" spans="1:17">
      <c r="A423" s="437" t="s">
        <v>6959</v>
      </c>
      <c r="B423" s="437" t="s">
        <v>8424</v>
      </c>
      <c r="C423" s="4" t="s">
        <v>15071</v>
      </c>
      <c r="D423" s="438">
        <v>0</v>
      </c>
      <c r="E423" s="438">
        <v>0</v>
      </c>
      <c r="F423" s="438">
        <v>0</v>
      </c>
      <c r="G423" s="438">
        <v>0</v>
      </c>
      <c r="H423" s="48">
        <v>0</v>
      </c>
      <c r="I423" s="48">
        <v>0</v>
      </c>
      <c r="J423" s="48">
        <v>3006</v>
      </c>
      <c r="K423" s="48">
        <v>3059</v>
      </c>
      <c r="L423" s="48">
        <v>3086</v>
      </c>
      <c r="M423" s="435"/>
      <c r="N423" s="437" t="s">
        <v>2710</v>
      </c>
      <c r="O423" s="4"/>
      <c r="Q423" s="4"/>
    </row>
    <row r="424" spans="1:17">
      <c r="A424" s="437" t="s">
        <v>6961</v>
      </c>
      <c r="B424" s="437" t="s">
        <v>8425</v>
      </c>
      <c r="C424" s="4" t="s">
        <v>15072</v>
      </c>
      <c r="D424" s="438">
        <v>54378</v>
      </c>
      <c r="E424" s="438">
        <v>54282</v>
      </c>
      <c r="F424" s="438">
        <v>54309</v>
      </c>
      <c r="G424" s="438">
        <v>54325</v>
      </c>
      <c r="H424" s="48">
        <v>54620</v>
      </c>
      <c r="I424" s="48">
        <v>53700</v>
      </c>
      <c r="J424" s="48">
        <v>3534</v>
      </c>
      <c r="K424" s="48">
        <v>3570</v>
      </c>
      <c r="L424" s="48">
        <v>3541</v>
      </c>
      <c r="M424" s="435"/>
      <c r="N424" s="437" t="s">
        <v>2713</v>
      </c>
      <c r="O424" s="4"/>
      <c r="Q424" s="4"/>
    </row>
    <row r="425" spans="1:17">
      <c r="A425" s="437" t="s">
        <v>6963</v>
      </c>
      <c r="B425" s="437" t="s">
        <v>15068</v>
      </c>
      <c r="C425" s="4" t="s">
        <v>15073</v>
      </c>
      <c r="D425" s="438">
        <v>0</v>
      </c>
      <c r="E425" s="438">
        <v>0</v>
      </c>
      <c r="F425" s="438">
        <v>0</v>
      </c>
      <c r="G425" s="438">
        <v>0</v>
      </c>
      <c r="H425" s="48">
        <v>0</v>
      </c>
      <c r="I425" s="48">
        <v>0</v>
      </c>
      <c r="J425" s="48">
        <v>3573</v>
      </c>
      <c r="K425" s="48">
        <v>3621</v>
      </c>
      <c r="L425" s="48">
        <v>3658</v>
      </c>
      <c r="M425" s="435"/>
      <c r="N425" s="437" t="s">
        <v>2713</v>
      </c>
      <c r="O425" s="4"/>
      <c r="Q425" s="4"/>
    </row>
    <row r="426" spans="1:17">
      <c r="A426" s="437" t="s">
        <v>6965</v>
      </c>
      <c r="B426" s="306" t="s">
        <v>15069</v>
      </c>
      <c r="C426" s="4" t="s">
        <v>15074</v>
      </c>
      <c r="D426" s="438">
        <v>0</v>
      </c>
      <c r="E426" s="438">
        <v>0</v>
      </c>
      <c r="F426" s="438">
        <v>0</v>
      </c>
      <c r="G426" s="438">
        <v>0</v>
      </c>
      <c r="H426" s="48">
        <v>0</v>
      </c>
      <c r="I426" s="48">
        <v>0</v>
      </c>
      <c r="J426" s="48">
        <v>3642</v>
      </c>
      <c r="K426" s="48">
        <v>3768</v>
      </c>
      <c r="L426" s="48">
        <v>3766</v>
      </c>
      <c r="M426" s="435"/>
      <c r="N426" s="437" t="s">
        <v>2713</v>
      </c>
      <c r="O426" s="4"/>
      <c r="Q426" s="4"/>
    </row>
    <row r="427" spans="1:17">
      <c r="A427" s="437" t="s">
        <v>6997</v>
      </c>
      <c r="B427" s="437" t="s">
        <v>8426</v>
      </c>
      <c r="C427" s="4" t="s">
        <v>15075</v>
      </c>
      <c r="D427" s="438">
        <v>0</v>
      </c>
      <c r="E427" s="438">
        <v>0</v>
      </c>
      <c r="F427" s="438">
        <v>0</v>
      </c>
      <c r="G427" s="438">
        <v>0</v>
      </c>
      <c r="H427" s="48">
        <v>0</v>
      </c>
      <c r="I427" s="48">
        <v>0</v>
      </c>
      <c r="J427" s="48">
        <v>2785</v>
      </c>
      <c r="K427" s="48">
        <v>2897</v>
      </c>
      <c r="L427" s="48">
        <v>2956</v>
      </c>
      <c r="M427" s="435"/>
      <c r="N427" s="437" t="s">
        <v>2713</v>
      </c>
      <c r="O427" s="4"/>
      <c r="Q427" s="4"/>
    </row>
    <row r="428" spans="1:17">
      <c r="A428" s="437" t="s">
        <v>6999</v>
      </c>
      <c r="B428" s="437" t="s">
        <v>15070</v>
      </c>
      <c r="C428" s="4" t="s">
        <v>15076</v>
      </c>
      <c r="D428" s="438">
        <v>0</v>
      </c>
      <c r="E428" s="438">
        <v>0</v>
      </c>
      <c r="F428" s="438">
        <v>0</v>
      </c>
      <c r="G428" s="438">
        <v>0</v>
      </c>
      <c r="H428" s="48">
        <v>0</v>
      </c>
      <c r="I428" s="48">
        <v>0</v>
      </c>
      <c r="J428" s="48">
        <v>3449</v>
      </c>
      <c r="K428" s="48">
        <v>3508</v>
      </c>
      <c r="L428" s="48">
        <v>3504</v>
      </c>
      <c r="M428" s="435"/>
      <c r="N428" s="437" t="s">
        <v>2710</v>
      </c>
      <c r="O428" s="4"/>
      <c r="Q428" s="4"/>
    </row>
    <row r="429" spans="1:17">
      <c r="A429" s="437" t="s">
        <v>7001</v>
      </c>
      <c r="B429" s="437" t="s">
        <v>8427</v>
      </c>
      <c r="C429" s="4" t="s">
        <v>15077</v>
      </c>
      <c r="D429" s="438">
        <v>0</v>
      </c>
      <c r="E429" s="438">
        <v>0</v>
      </c>
      <c r="F429" s="438">
        <v>0</v>
      </c>
      <c r="G429" s="438">
        <v>0</v>
      </c>
      <c r="H429" s="48">
        <v>0</v>
      </c>
      <c r="I429" s="48">
        <v>0</v>
      </c>
      <c r="J429" s="48">
        <v>3438</v>
      </c>
      <c r="K429" s="48">
        <v>3470</v>
      </c>
      <c r="L429" s="48">
        <v>3456</v>
      </c>
      <c r="M429" s="435"/>
      <c r="N429" s="437" t="s">
        <v>2713</v>
      </c>
      <c r="O429" s="4"/>
      <c r="Q429" s="4"/>
    </row>
    <row r="430" spans="1:17">
      <c r="A430" s="437" t="s">
        <v>7003</v>
      </c>
      <c r="B430" s="437" t="s">
        <v>6587</v>
      </c>
      <c r="C430" s="4" t="s">
        <v>15078</v>
      </c>
      <c r="D430" s="438">
        <v>0</v>
      </c>
      <c r="E430" s="438">
        <v>0</v>
      </c>
      <c r="F430" s="438">
        <v>0</v>
      </c>
      <c r="G430" s="438">
        <v>0</v>
      </c>
      <c r="H430" s="48">
        <v>0</v>
      </c>
      <c r="I430" s="48">
        <v>0</v>
      </c>
      <c r="J430" s="48">
        <v>2455</v>
      </c>
      <c r="K430" s="48">
        <v>2549</v>
      </c>
      <c r="L430" s="48">
        <v>2579</v>
      </c>
      <c r="M430" s="435"/>
      <c r="N430" s="437" t="s">
        <v>2710</v>
      </c>
      <c r="O430" s="4"/>
      <c r="Q430" s="4"/>
    </row>
    <row r="431" spans="1:17" ht="15.75" thickBot="1">
      <c r="A431" s="437"/>
      <c r="B431" s="437"/>
      <c r="C431" s="4" t="s">
        <v>15078</v>
      </c>
      <c r="D431" s="439">
        <v>0</v>
      </c>
      <c r="E431" s="439">
        <v>0</v>
      </c>
      <c r="F431" s="439">
        <v>0</v>
      </c>
      <c r="G431" s="439">
        <v>0</v>
      </c>
      <c r="H431" s="159">
        <v>0</v>
      </c>
      <c r="I431" s="159">
        <v>0</v>
      </c>
      <c r="J431" s="48">
        <v>336</v>
      </c>
      <c r="K431" s="48">
        <v>409</v>
      </c>
      <c r="L431" s="48">
        <v>474</v>
      </c>
      <c r="M431" s="435"/>
      <c r="N431" s="437" t="s">
        <v>2713</v>
      </c>
      <c r="O431" s="4"/>
      <c r="Q431" s="4"/>
    </row>
    <row r="432" spans="1:17" ht="15.75" thickBot="1">
      <c r="A432" s="437"/>
      <c r="B432" s="437"/>
      <c r="C432" s="4" t="s">
        <v>15078</v>
      </c>
      <c r="D432" s="450">
        <f>D430+D431</f>
        <v>0</v>
      </c>
      <c r="E432" s="450">
        <f t="shared" ref="E432:I432" si="252">E430+E431</f>
        <v>0</v>
      </c>
      <c r="F432" s="450">
        <f t="shared" si="252"/>
        <v>0</v>
      </c>
      <c r="G432" s="450">
        <f t="shared" si="252"/>
        <v>0</v>
      </c>
      <c r="H432" s="450">
        <f t="shared" si="252"/>
        <v>0</v>
      </c>
      <c r="I432" s="450">
        <f t="shared" si="252"/>
        <v>0</v>
      </c>
      <c r="J432" s="450">
        <f>J430+J431</f>
        <v>2791</v>
      </c>
      <c r="K432" s="450">
        <f>K430+K431</f>
        <v>2958</v>
      </c>
      <c r="L432" s="450">
        <f>L430+L431</f>
        <v>3053</v>
      </c>
      <c r="M432" s="435"/>
      <c r="N432" s="437"/>
      <c r="O432" s="4"/>
      <c r="Q432" s="4"/>
    </row>
    <row r="433" spans="1:17">
      <c r="A433" s="437" t="s">
        <v>7005</v>
      </c>
      <c r="B433" s="437" t="s">
        <v>6588</v>
      </c>
      <c r="C433" s="4" t="s">
        <v>15082</v>
      </c>
      <c r="D433" s="438">
        <v>0</v>
      </c>
      <c r="E433" s="438">
        <v>0</v>
      </c>
      <c r="F433" s="438">
        <v>0</v>
      </c>
      <c r="G433" s="438">
        <v>0</v>
      </c>
      <c r="H433" s="48">
        <v>0</v>
      </c>
      <c r="I433" s="48">
        <v>0</v>
      </c>
      <c r="J433" s="48">
        <v>2844</v>
      </c>
      <c r="K433" s="48">
        <v>2930</v>
      </c>
      <c r="L433" s="48">
        <v>3001</v>
      </c>
      <c r="M433" s="435"/>
      <c r="N433" s="437" t="s">
        <v>2710</v>
      </c>
      <c r="O433" s="4"/>
      <c r="Q433" s="4"/>
    </row>
    <row r="434" spans="1:17">
      <c r="A434" s="437" t="s">
        <v>7007</v>
      </c>
      <c r="B434" s="437" t="s">
        <v>12604</v>
      </c>
      <c r="C434" s="4" t="s">
        <v>15083</v>
      </c>
      <c r="D434" s="438">
        <v>0</v>
      </c>
      <c r="E434" s="438">
        <v>0</v>
      </c>
      <c r="F434" s="438">
        <v>0</v>
      </c>
      <c r="G434" s="438">
        <v>0</v>
      </c>
      <c r="H434" s="48">
        <v>0</v>
      </c>
      <c r="I434" s="48">
        <v>0</v>
      </c>
      <c r="J434" s="48">
        <v>3237</v>
      </c>
      <c r="K434" s="48">
        <v>3313</v>
      </c>
      <c r="L434" s="48">
        <v>3359</v>
      </c>
      <c r="M434" s="435"/>
      <c r="N434" s="437" t="s">
        <v>2713</v>
      </c>
      <c r="O434" s="4"/>
      <c r="Q434" s="4"/>
    </row>
    <row r="435" spans="1:17">
      <c r="A435" s="437" t="s">
        <v>7009</v>
      </c>
      <c r="B435" s="437" t="s">
        <v>15079</v>
      </c>
      <c r="C435" s="4" t="s">
        <v>15084</v>
      </c>
      <c r="D435" s="438">
        <v>0</v>
      </c>
      <c r="E435" s="438">
        <v>0</v>
      </c>
      <c r="F435" s="438">
        <v>0</v>
      </c>
      <c r="G435" s="438">
        <v>0</v>
      </c>
      <c r="H435" s="48">
        <v>0</v>
      </c>
      <c r="I435" s="48">
        <v>0</v>
      </c>
      <c r="J435" s="48">
        <v>5486</v>
      </c>
      <c r="K435" s="48">
        <v>5557</v>
      </c>
      <c r="L435" s="48">
        <v>5554</v>
      </c>
      <c r="M435" s="435"/>
      <c r="N435" s="437" t="s">
        <v>2713</v>
      </c>
      <c r="O435" s="4"/>
      <c r="Q435" s="4"/>
    </row>
    <row r="436" spans="1:17">
      <c r="A436" s="437" t="s">
        <v>7011</v>
      </c>
      <c r="B436" s="437" t="s">
        <v>6589</v>
      </c>
      <c r="C436" s="4" t="s">
        <v>15085</v>
      </c>
      <c r="D436" s="438">
        <v>0</v>
      </c>
      <c r="E436" s="438">
        <v>0</v>
      </c>
      <c r="F436" s="438">
        <v>0</v>
      </c>
      <c r="G436" s="438">
        <v>0</v>
      </c>
      <c r="H436" s="48">
        <v>0</v>
      </c>
      <c r="I436" s="48">
        <v>0</v>
      </c>
      <c r="J436" s="48">
        <v>3437</v>
      </c>
      <c r="K436" s="48">
        <v>3513</v>
      </c>
      <c r="L436" s="48">
        <v>3533</v>
      </c>
      <c r="M436" s="435"/>
      <c r="N436" s="437" t="s">
        <v>2713</v>
      </c>
      <c r="O436" s="4"/>
      <c r="Q436" s="4"/>
    </row>
    <row r="437" spans="1:17">
      <c r="A437" s="437" t="s">
        <v>7013</v>
      </c>
      <c r="B437" s="437" t="s">
        <v>15080</v>
      </c>
      <c r="C437" s="4" t="s">
        <v>15086</v>
      </c>
      <c r="D437" s="438">
        <v>0</v>
      </c>
      <c r="E437" s="438">
        <v>0</v>
      </c>
      <c r="F437" s="438">
        <v>0</v>
      </c>
      <c r="G437" s="438">
        <v>0</v>
      </c>
      <c r="H437" s="48">
        <v>0</v>
      </c>
      <c r="I437" s="48">
        <v>0</v>
      </c>
      <c r="J437" s="48">
        <v>4550</v>
      </c>
      <c r="K437" s="48">
        <v>4636</v>
      </c>
      <c r="L437" s="48">
        <v>4635</v>
      </c>
      <c r="M437" s="435"/>
      <c r="N437" s="437" t="s">
        <v>2713</v>
      </c>
      <c r="O437" s="4"/>
      <c r="Q437" s="4"/>
    </row>
    <row r="438" spans="1:17">
      <c r="A438" s="437" t="s">
        <v>7015</v>
      </c>
      <c r="B438" s="437" t="s">
        <v>6590</v>
      </c>
      <c r="C438" s="4" t="s">
        <v>15087</v>
      </c>
      <c r="D438" s="438">
        <v>0</v>
      </c>
      <c r="E438" s="438">
        <v>0</v>
      </c>
      <c r="F438" s="438">
        <v>0</v>
      </c>
      <c r="G438" s="438">
        <v>0</v>
      </c>
      <c r="H438" s="48">
        <v>0</v>
      </c>
      <c r="I438" s="48">
        <v>0</v>
      </c>
      <c r="J438" s="48">
        <v>4913</v>
      </c>
      <c r="K438" s="48">
        <v>4988</v>
      </c>
      <c r="L438" s="48">
        <v>5085</v>
      </c>
      <c r="M438" s="435"/>
      <c r="N438" s="437" t="s">
        <v>2710</v>
      </c>
      <c r="O438" s="4"/>
      <c r="Q438" s="4"/>
    </row>
    <row r="439" spans="1:17">
      <c r="A439" s="437" t="s">
        <v>7017</v>
      </c>
      <c r="B439" s="437" t="s">
        <v>6591</v>
      </c>
      <c r="C439" s="4" t="s">
        <v>15088</v>
      </c>
      <c r="D439" s="438">
        <v>0</v>
      </c>
      <c r="E439" s="438">
        <v>0</v>
      </c>
      <c r="F439" s="438">
        <v>0</v>
      </c>
      <c r="G439" s="438">
        <v>0</v>
      </c>
      <c r="H439" s="48">
        <v>0</v>
      </c>
      <c r="I439" s="48">
        <v>0</v>
      </c>
      <c r="J439" s="48">
        <v>5370</v>
      </c>
      <c r="K439" s="48">
        <v>5481</v>
      </c>
      <c r="L439" s="48">
        <v>5484</v>
      </c>
      <c r="M439" s="435"/>
      <c r="N439" s="437" t="s">
        <v>2713</v>
      </c>
      <c r="O439" s="4"/>
      <c r="Q439" s="4"/>
    </row>
    <row r="440" spans="1:17">
      <c r="A440" s="437" t="s">
        <v>7019</v>
      </c>
      <c r="B440" s="437" t="s">
        <v>1400</v>
      </c>
      <c r="C440" s="4" t="s">
        <v>15089</v>
      </c>
      <c r="D440" s="438">
        <v>0</v>
      </c>
      <c r="E440" s="438">
        <v>0</v>
      </c>
      <c r="F440" s="438">
        <v>0</v>
      </c>
      <c r="G440" s="438">
        <v>0</v>
      </c>
      <c r="H440" s="48">
        <v>0</v>
      </c>
      <c r="I440" s="48">
        <v>0</v>
      </c>
      <c r="J440" s="48">
        <v>3082</v>
      </c>
      <c r="K440" s="48">
        <v>3079</v>
      </c>
      <c r="L440" s="48">
        <v>3081</v>
      </c>
      <c r="M440" s="435"/>
      <c r="N440" s="437" t="s">
        <v>2713</v>
      </c>
      <c r="O440" s="4"/>
      <c r="Q440" s="4"/>
    </row>
    <row r="441" spans="1:17">
      <c r="A441" s="437" t="s">
        <v>7021</v>
      </c>
      <c r="B441" s="437" t="s">
        <v>15081</v>
      </c>
      <c r="C441" s="4" t="s">
        <v>15090</v>
      </c>
      <c r="D441" s="438">
        <v>0</v>
      </c>
      <c r="E441" s="438">
        <v>0</v>
      </c>
      <c r="F441" s="438">
        <v>0</v>
      </c>
      <c r="G441" s="438">
        <v>0</v>
      </c>
      <c r="H441" s="48">
        <v>0</v>
      </c>
      <c r="I441" s="48">
        <v>0</v>
      </c>
      <c r="J441" s="48">
        <v>184</v>
      </c>
      <c r="K441" s="48">
        <v>191</v>
      </c>
      <c r="L441" s="48">
        <v>189</v>
      </c>
      <c r="M441" s="435"/>
      <c r="N441" s="437" t="s">
        <v>2710</v>
      </c>
      <c r="O441" s="4"/>
      <c r="Q441" s="4"/>
    </row>
    <row r="442" spans="1:17" ht="15.75" thickBot="1">
      <c r="A442" s="437"/>
      <c r="B442" s="437"/>
      <c r="C442" s="4" t="s">
        <v>15090</v>
      </c>
      <c r="D442" s="439">
        <v>0</v>
      </c>
      <c r="E442" s="439">
        <v>0</v>
      </c>
      <c r="F442" s="439">
        <v>0</v>
      </c>
      <c r="G442" s="439">
        <v>0</v>
      </c>
      <c r="H442" s="159">
        <v>0</v>
      </c>
      <c r="I442" s="159">
        <v>0</v>
      </c>
      <c r="J442" s="48">
        <v>3445</v>
      </c>
      <c r="K442" s="48">
        <v>3535</v>
      </c>
      <c r="L442" s="48">
        <v>3555</v>
      </c>
      <c r="M442" s="435"/>
      <c r="N442" s="437" t="s">
        <v>2713</v>
      </c>
      <c r="O442" s="4"/>
      <c r="Q442" s="4"/>
    </row>
    <row r="443" spans="1:17" ht="15.75" thickBot="1">
      <c r="A443" s="437"/>
      <c r="B443" s="437"/>
      <c r="C443" s="4" t="s">
        <v>15090</v>
      </c>
      <c r="D443" s="450">
        <f>D441+D442</f>
        <v>0</v>
      </c>
      <c r="E443" s="450">
        <f t="shared" ref="E443" si="253">E441+E442</f>
        <v>0</v>
      </c>
      <c r="F443" s="450">
        <f t="shared" ref="F443" si="254">F441+F442</f>
        <v>0</v>
      </c>
      <c r="G443" s="450">
        <f t="shared" ref="G443" si="255">G441+G442</f>
        <v>0</v>
      </c>
      <c r="H443" s="450">
        <f t="shared" ref="H443" si="256">H441+H442</f>
        <v>0</v>
      </c>
      <c r="I443" s="450">
        <f t="shared" ref="I443" si="257">I441+I442</f>
        <v>0</v>
      </c>
      <c r="J443" s="450">
        <f t="shared" ref="J443:L443" si="258">J441+J442</f>
        <v>3629</v>
      </c>
      <c r="K443" s="450">
        <f t="shared" si="258"/>
        <v>3726</v>
      </c>
      <c r="L443" s="450">
        <f t="shared" si="258"/>
        <v>3744</v>
      </c>
      <c r="M443" s="435"/>
      <c r="N443" s="437"/>
    </row>
    <row r="444" spans="1:17">
      <c r="A444" s="437" t="s">
        <v>7023</v>
      </c>
      <c r="B444" s="437" t="s">
        <v>15091</v>
      </c>
      <c r="C444" s="4" t="s">
        <v>15095</v>
      </c>
      <c r="D444" s="438">
        <v>0</v>
      </c>
      <c r="E444" s="438">
        <v>0</v>
      </c>
      <c r="F444" s="438">
        <v>0</v>
      </c>
      <c r="G444" s="438">
        <v>0</v>
      </c>
      <c r="H444" s="48">
        <v>0</v>
      </c>
      <c r="I444" s="48">
        <v>0</v>
      </c>
      <c r="J444" s="48">
        <v>3167</v>
      </c>
      <c r="K444" s="48">
        <v>3217</v>
      </c>
      <c r="L444" s="48">
        <v>3223</v>
      </c>
      <c r="M444" s="435"/>
      <c r="N444" s="437" t="s">
        <v>2713</v>
      </c>
      <c r="O444" s="4"/>
      <c r="Q444" s="4"/>
    </row>
    <row r="445" spans="1:17">
      <c r="A445" s="437" t="s">
        <v>7025</v>
      </c>
      <c r="B445" s="437" t="s">
        <v>15092</v>
      </c>
      <c r="C445" s="4" t="s">
        <v>15096</v>
      </c>
      <c r="D445" s="438">
        <v>0</v>
      </c>
      <c r="E445" s="438">
        <v>0</v>
      </c>
      <c r="F445" s="438">
        <v>0</v>
      </c>
      <c r="G445" s="438">
        <v>0</v>
      </c>
      <c r="H445" s="48">
        <v>0</v>
      </c>
      <c r="I445" s="48">
        <v>0</v>
      </c>
      <c r="J445" s="48">
        <v>3054</v>
      </c>
      <c r="K445" s="48">
        <v>3135</v>
      </c>
      <c r="L445" s="48">
        <v>3174</v>
      </c>
      <c r="M445" s="435"/>
      <c r="N445" s="437" t="s">
        <v>2710</v>
      </c>
      <c r="O445" s="4"/>
      <c r="Q445" s="4"/>
    </row>
    <row r="446" spans="1:17">
      <c r="A446" s="437" t="s">
        <v>7570</v>
      </c>
      <c r="B446" s="437" t="s">
        <v>1401</v>
      </c>
      <c r="C446" s="4" t="s">
        <v>15097</v>
      </c>
      <c r="D446" s="438">
        <v>0</v>
      </c>
      <c r="E446" s="438">
        <v>0</v>
      </c>
      <c r="F446" s="438">
        <v>0</v>
      </c>
      <c r="G446" s="438">
        <v>0</v>
      </c>
      <c r="H446" s="48">
        <v>0</v>
      </c>
      <c r="I446" s="48">
        <v>0</v>
      </c>
      <c r="J446" s="48">
        <v>2998</v>
      </c>
      <c r="K446" s="48">
        <v>3033</v>
      </c>
      <c r="L446" s="48">
        <v>3090</v>
      </c>
      <c r="M446" s="435"/>
      <c r="N446" s="437" t="s">
        <v>2713</v>
      </c>
      <c r="O446" s="4"/>
      <c r="Q446" s="4"/>
    </row>
    <row r="447" spans="1:17">
      <c r="A447" s="452">
        <v>22</v>
      </c>
      <c r="B447" s="437" t="s">
        <v>15093</v>
      </c>
      <c r="C447" s="4" t="s">
        <v>15098</v>
      </c>
      <c r="D447" s="438">
        <v>0</v>
      </c>
      <c r="E447" s="438">
        <v>0</v>
      </c>
      <c r="F447" s="438">
        <v>0</v>
      </c>
      <c r="G447" s="438">
        <v>0</v>
      </c>
      <c r="H447" s="48">
        <v>0</v>
      </c>
      <c r="I447" s="48">
        <v>0</v>
      </c>
      <c r="J447" s="48">
        <v>3172</v>
      </c>
      <c r="K447" s="48">
        <v>3295</v>
      </c>
      <c r="L447" s="48">
        <v>3376</v>
      </c>
      <c r="M447" s="435"/>
      <c r="N447" s="437" t="s">
        <v>2710</v>
      </c>
      <c r="O447" s="4"/>
      <c r="Q447" s="4"/>
    </row>
    <row r="448" spans="1:17">
      <c r="A448" s="452">
        <v>23</v>
      </c>
      <c r="B448" s="437" t="s">
        <v>15094</v>
      </c>
      <c r="C448" s="4" t="s">
        <v>15099</v>
      </c>
      <c r="D448" s="438">
        <v>0</v>
      </c>
      <c r="E448" s="438">
        <v>0</v>
      </c>
      <c r="F448" s="438">
        <v>0</v>
      </c>
      <c r="G448" s="438">
        <v>0</v>
      </c>
      <c r="H448" s="48">
        <v>0</v>
      </c>
      <c r="I448" s="48">
        <v>0</v>
      </c>
      <c r="J448" s="48">
        <v>3283</v>
      </c>
      <c r="K448" s="48">
        <v>3297</v>
      </c>
      <c r="L448" s="48">
        <v>3330</v>
      </c>
      <c r="M448" s="435"/>
      <c r="N448" s="437" t="s">
        <v>2710</v>
      </c>
      <c r="O448" s="4"/>
      <c r="Q448" s="4"/>
    </row>
    <row r="449" spans="1:17">
      <c r="A449" s="435"/>
      <c r="B449" s="435"/>
      <c r="D449" s="444"/>
      <c r="E449" s="444"/>
      <c r="F449" s="444"/>
      <c r="G449" s="444"/>
      <c r="H449" s="444"/>
      <c r="I449" s="444"/>
      <c r="J449" s="444"/>
      <c r="K449" s="444"/>
      <c r="L449" s="444"/>
      <c r="M449" s="435"/>
      <c r="N449" s="435"/>
      <c r="O449" s="4"/>
      <c r="Q449" s="4"/>
    </row>
    <row r="450" spans="1:17">
      <c r="A450" s="437" t="s">
        <v>4858</v>
      </c>
      <c r="D450" s="438">
        <f>D422+D423+SUM(D428:D430)+D433+D438+D441+D447+D448</f>
        <v>31391</v>
      </c>
      <c r="E450" s="438">
        <f t="shared" ref="E450:I450" si="259">E422+E423+SUM(E428:E430)+E433+E438+E441+E447+E448</f>
        <v>31379</v>
      </c>
      <c r="F450" s="438">
        <f t="shared" si="259"/>
        <v>31371</v>
      </c>
      <c r="G450" s="438">
        <f t="shared" si="259"/>
        <v>31406</v>
      </c>
      <c r="H450" s="438">
        <f t="shared" si="259"/>
        <v>31181</v>
      </c>
      <c r="I450" s="438">
        <f t="shared" si="259"/>
        <v>30299</v>
      </c>
      <c r="J450" s="438">
        <f>J422+J423+J428+J430+J433+J438+J441+J445+J447+J448</f>
        <v>29544</v>
      </c>
      <c r="K450" s="438">
        <f>K422+K423+K428+K430+K433+K438+K441+K445+K447+K448</f>
        <v>30184</v>
      </c>
      <c r="L450" s="438">
        <f>L422+L423+L428+L430+L433+L438+L441+L445+L447+L448</f>
        <v>30599</v>
      </c>
      <c r="M450" s="435"/>
      <c r="N450" s="435"/>
      <c r="O450" s="4"/>
      <c r="Q450" s="4"/>
    </row>
    <row r="451" spans="1:17">
      <c r="A451" s="437" t="s">
        <v>1356</v>
      </c>
      <c r="D451" s="438">
        <f>SUM(D424:D427)+D431+SUM(D434:D437)+D439+D440+D442+SUM(D444:D446)</f>
        <v>54378</v>
      </c>
      <c r="E451" s="438">
        <f t="shared" ref="E451:I451" si="260">SUM(E424:E427)+E431+SUM(E434:E437)+E439+E440+E442+SUM(E444:E446)</f>
        <v>54282</v>
      </c>
      <c r="F451" s="438">
        <f t="shared" si="260"/>
        <v>54309</v>
      </c>
      <c r="G451" s="438">
        <f t="shared" si="260"/>
        <v>54325</v>
      </c>
      <c r="H451" s="438">
        <f t="shared" si="260"/>
        <v>54620</v>
      </c>
      <c r="I451" s="438">
        <f t="shared" si="260"/>
        <v>53700</v>
      </c>
      <c r="J451" s="438">
        <f>SUM(J424:J427)+J429+J431+SUM(J434:J437)+J439+J440+J442+J444+J446</f>
        <v>52080</v>
      </c>
      <c r="K451" s="438">
        <f>SUM(K424:K427)+K429+K431+SUM(K434:K437)+K439+K440+K442+K444+K446</f>
        <v>53099</v>
      </c>
      <c r="L451" s="438">
        <f>SUM(L424:L427)+L429+L431+SUM(L434:L437)+L439+L440+L442+L444+L446</f>
        <v>53365</v>
      </c>
      <c r="M451" s="435"/>
      <c r="N451" s="435"/>
    </row>
    <row r="452" spans="1:17">
      <c r="A452" s="437"/>
      <c r="D452" s="438"/>
      <c r="E452" s="438"/>
      <c r="F452" s="438"/>
      <c r="G452" s="438"/>
      <c r="H452" s="438"/>
      <c r="I452" s="438"/>
      <c r="J452" s="438"/>
      <c r="K452" s="438"/>
      <c r="L452" s="438"/>
      <c r="M452" s="435"/>
      <c r="N452" s="435"/>
    </row>
    <row r="453" spans="1:17">
      <c r="A453" s="437" t="s">
        <v>1402</v>
      </c>
      <c r="D453" s="438"/>
      <c r="E453" s="438"/>
      <c r="F453" s="438"/>
      <c r="G453" s="438"/>
      <c r="H453" s="438"/>
      <c r="I453" s="438"/>
      <c r="J453" s="438"/>
      <c r="K453" s="438"/>
      <c r="L453" s="438"/>
      <c r="M453" s="435"/>
      <c r="N453" s="435"/>
    </row>
    <row r="454" spans="1:17">
      <c r="A454" s="437"/>
      <c r="B454" s="437"/>
      <c r="D454" s="449"/>
      <c r="E454" s="449"/>
      <c r="F454" s="449"/>
      <c r="G454" s="449"/>
      <c r="H454" s="449"/>
      <c r="I454" s="449"/>
      <c r="J454" s="449"/>
      <c r="K454" s="449"/>
      <c r="L454" s="449"/>
      <c r="M454" s="435"/>
      <c r="N454" s="435"/>
    </row>
    <row r="455" spans="1:17">
      <c r="A455" s="437"/>
      <c r="B455" s="437"/>
      <c r="D455" s="449"/>
      <c r="E455" s="449"/>
      <c r="F455" s="449"/>
      <c r="G455" s="449"/>
      <c r="H455" s="449"/>
      <c r="I455" s="449"/>
      <c r="J455" s="449"/>
      <c r="K455" s="449"/>
      <c r="L455" s="449"/>
      <c r="M455" s="435"/>
      <c r="N455" s="435"/>
    </row>
    <row r="456" spans="1:17">
      <c r="A456" s="435"/>
      <c r="B456" s="435"/>
      <c r="E456" s="42" t="s">
        <v>2303</v>
      </c>
      <c r="F456" s="42"/>
      <c r="G456" s="42"/>
      <c r="H456" s="42"/>
      <c r="I456" s="42"/>
      <c r="J456" s="42"/>
      <c r="K456" s="42"/>
      <c r="L456" s="42"/>
      <c r="M456" s="109"/>
      <c r="N456" s="109" t="s">
        <v>13319</v>
      </c>
    </row>
    <row r="457" spans="1:17">
      <c r="A457" s="435"/>
      <c r="B457" s="435"/>
      <c r="D457" s="110">
        <v>2010</v>
      </c>
      <c r="E457" s="110">
        <v>2011</v>
      </c>
      <c r="F457" s="110">
        <v>2012</v>
      </c>
      <c r="G457" s="110">
        <v>2013</v>
      </c>
      <c r="H457" s="110">
        <v>2014</v>
      </c>
      <c r="I457" s="110">
        <v>2015</v>
      </c>
      <c r="J457" s="110">
        <v>2016</v>
      </c>
      <c r="K457" s="110">
        <v>2017</v>
      </c>
      <c r="L457" s="110">
        <v>2018</v>
      </c>
      <c r="M457" s="435"/>
      <c r="N457" s="112" t="s">
        <v>2304</v>
      </c>
    </row>
    <row r="458" spans="1:17">
      <c r="A458" s="437" t="s">
        <v>8476</v>
      </c>
      <c r="D458" s="438">
        <f t="shared" ref="D458:I458" si="261">SUM(D459:D483)</f>
        <v>84768</v>
      </c>
      <c r="E458" s="438">
        <f t="shared" si="261"/>
        <v>85583</v>
      </c>
      <c r="F458" s="438">
        <f t="shared" si="261"/>
        <v>86433</v>
      </c>
      <c r="G458" s="438">
        <f t="shared" si="261"/>
        <v>84744</v>
      </c>
      <c r="H458" s="438">
        <f t="shared" si="261"/>
        <v>86819</v>
      </c>
      <c r="I458" s="438">
        <f t="shared" si="261"/>
        <v>81784</v>
      </c>
      <c r="J458" s="438">
        <f t="shared" ref="J458:K458" si="262">SUM(J459:J483)</f>
        <v>82644</v>
      </c>
      <c r="K458" s="438">
        <f t="shared" si="262"/>
        <v>83690</v>
      </c>
      <c r="L458" s="438">
        <f t="shared" ref="L458" si="263">SUM(L459:L483)</f>
        <v>84994</v>
      </c>
      <c r="M458" s="435"/>
      <c r="N458" s="435"/>
    </row>
    <row r="459" spans="1:17">
      <c r="A459" s="437" t="s">
        <v>6957</v>
      </c>
      <c r="B459" s="437" t="s">
        <v>2277</v>
      </c>
      <c r="C459" s="4" t="s">
        <v>11649</v>
      </c>
      <c r="D459" s="438">
        <v>4808</v>
      </c>
      <c r="E459" s="438">
        <v>4827</v>
      </c>
      <c r="F459" s="438">
        <v>4785</v>
      </c>
      <c r="G459" s="30">
        <v>4738</v>
      </c>
      <c r="H459" s="30">
        <v>4720</v>
      </c>
      <c r="I459" s="30">
        <v>4426</v>
      </c>
      <c r="J459" s="30">
        <v>4469</v>
      </c>
      <c r="K459" s="30">
        <v>4485</v>
      </c>
      <c r="L459" s="30">
        <v>4563</v>
      </c>
      <c r="M459" s="435"/>
      <c r="N459" s="437" t="s">
        <v>2716</v>
      </c>
    </row>
    <row r="460" spans="1:17">
      <c r="A460" s="437" t="s">
        <v>6959</v>
      </c>
      <c r="B460" s="437" t="s">
        <v>2278</v>
      </c>
      <c r="C460" s="4" t="s">
        <v>11650</v>
      </c>
      <c r="D460" s="438">
        <v>4559</v>
      </c>
      <c r="E460" s="438">
        <v>4533</v>
      </c>
      <c r="F460" s="438">
        <v>4544</v>
      </c>
      <c r="G460" s="30">
        <v>4456</v>
      </c>
      <c r="H460" s="30">
        <v>4656</v>
      </c>
      <c r="I460" s="30">
        <v>4533</v>
      </c>
      <c r="J460" s="30">
        <v>4551</v>
      </c>
      <c r="K460" s="30">
        <v>4553</v>
      </c>
      <c r="L460" s="30">
        <v>4553</v>
      </c>
      <c r="M460" s="435"/>
      <c r="N460" s="437" t="s">
        <v>2716</v>
      </c>
    </row>
    <row r="461" spans="1:17">
      <c r="A461" s="437" t="s">
        <v>6961</v>
      </c>
      <c r="B461" s="437" t="s">
        <v>2279</v>
      </c>
      <c r="C461" s="4" t="s">
        <v>11651</v>
      </c>
      <c r="D461" s="438">
        <v>3137</v>
      </c>
      <c r="E461" s="438">
        <v>3179</v>
      </c>
      <c r="F461" s="438">
        <v>3172</v>
      </c>
      <c r="G461" s="30">
        <v>3187</v>
      </c>
      <c r="H461" s="30">
        <v>3212</v>
      </c>
      <c r="I461" s="30">
        <v>3161</v>
      </c>
      <c r="J461" s="30">
        <v>3159</v>
      </c>
      <c r="K461" s="30">
        <v>3158</v>
      </c>
      <c r="L461" s="30">
        <v>3191</v>
      </c>
      <c r="M461" s="435"/>
      <c r="N461" s="437" t="s">
        <v>2716</v>
      </c>
      <c r="O461" s="4"/>
      <c r="Q461" s="4"/>
    </row>
    <row r="462" spans="1:17">
      <c r="A462" s="437" t="s">
        <v>6963</v>
      </c>
      <c r="B462" s="437" t="s">
        <v>3972</v>
      </c>
      <c r="C462" s="4" t="s">
        <v>11672</v>
      </c>
      <c r="D462" s="438">
        <v>1712</v>
      </c>
      <c r="E462" s="438">
        <v>1752</v>
      </c>
      <c r="F462" s="438">
        <v>1764</v>
      </c>
      <c r="G462" s="30">
        <v>1709</v>
      </c>
      <c r="H462" s="30">
        <v>1728</v>
      </c>
      <c r="I462" s="30">
        <v>1609</v>
      </c>
      <c r="J462" s="30">
        <v>1644</v>
      </c>
      <c r="K462" s="30">
        <v>1752</v>
      </c>
      <c r="L462" s="30">
        <v>1733</v>
      </c>
      <c r="M462" s="435"/>
      <c r="N462" s="437" t="s">
        <v>2716</v>
      </c>
      <c r="O462" s="4"/>
      <c r="Q462" s="4"/>
    </row>
    <row r="463" spans="1:17">
      <c r="A463" s="437" t="s">
        <v>6965</v>
      </c>
      <c r="B463" s="437" t="s">
        <v>3973</v>
      </c>
      <c r="C463" s="4" t="s">
        <v>11652</v>
      </c>
      <c r="D463" s="438">
        <v>2965</v>
      </c>
      <c r="E463" s="438">
        <v>2995</v>
      </c>
      <c r="F463" s="438">
        <v>3003</v>
      </c>
      <c r="G463" s="30">
        <v>2875</v>
      </c>
      <c r="H463" s="30">
        <v>2843</v>
      </c>
      <c r="I463" s="30">
        <v>2726</v>
      </c>
      <c r="J463" s="30">
        <v>2693</v>
      </c>
      <c r="K463" s="30">
        <v>2691</v>
      </c>
      <c r="L463" s="30">
        <v>2768</v>
      </c>
      <c r="M463" s="435"/>
      <c r="N463" s="437" t="s">
        <v>2716</v>
      </c>
      <c r="O463" s="4"/>
      <c r="Q463" s="4"/>
    </row>
    <row r="464" spans="1:17">
      <c r="A464" s="437" t="s">
        <v>6997</v>
      </c>
      <c r="B464" s="437" t="s">
        <v>3974</v>
      </c>
      <c r="C464" s="4" t="s">
        <v>11653</v>
      </c>
      <c r="D464" s="438">
        <v>3346</v>
      </c>
      <c r="E464" s="438">
        <v>3346</v>
      </c>
      <c r="F464" s="438">
        <v>3288</v>
      </c>
      <c r="G464" s="30">
        <v>3283</v>
      </c>
      <c r="H464" s="30">
        <v>3335</v>
      </c>
      <c r="I464" s="30">
        <v>3262</v>
      </c>
      <c r="J464" s="30">
        <v>3348</v>
      </c>
      <c r="K464" s="30">
        <v>3360</v>
      </c>
      <c r="L464" s="30">
        <v>3505</v>
      </c>
      <c r="M464" s="435"/>
      <c r="N464" s="437" t="s">
        <v>2716</v>
      </c>
      <c r="O464" s="4"/>
      <c r="Q464" s="4"/>
    </row>
    <row r="465" spans="1:17">
      <c r="A465" s="437" t="s">
        <v>6999</v>
      </c>
      <c r="B465" s="437" t="s">
        <v>3975</v>
      </c>
      <c r="C465" s="4" t="s">
        <v>11654</v>
      </c>
      <c r="D465" s="438">
        <v>3911</v>
      </c>
      <c r="E465" s="438">
        <v>3938</v>
      </c>
      <c r="F465" s="438">
        <v>3925</v>
      </c>
      <c r="G465" s="30">
        <v>3948</v>
      </c>
      <c r="H465" s="30">
        <v>3915</v>
      </c>
      <c r="I465" s="30">
        <v>3811</v>
      </c>
      <c r="J465" s="30">
        <v>3752</v>
      </c>
      <c r="K465" s="30">
        <v>3821</v>
      </c>
      <c r="L465" s="30">
        <v>3842</v>
      </c>
      <c r="M465" s="435"/>
      <c r="N465" s="437" t="s">
        <v>2716</v>
      </c>
      <c r="O465" s="4"/>
      <c r="Q465" s="4"/>
    </row>
    <row r="466" spans="1:17">
      <c r="A466" s="437" t="s">
        <v>7001</v>
      </c>
      <c r="B466" s="437" t="s">
        <v>3976</v>
      </c>
      <c r="C466" s="4" t="s">
        <v>11655</v>
      </c>
      <c r="D466" s="438">
        <v>4350</v>
      </c>
      <c r="E466" s="438">
        <v>4454</v>
      </c>
      <c r="F466" s="438">
        <v>5477</v>
      </c>
      <c r="G466" s="30">
        <v>5245</v>
      </c>
      <c r="H466" s="30">
        <v>5820</v>
      </c>
      <c r="I466" s="30">
        <v>4175</v>
      </c>
      <c r="J466" s="30">
        <v>4798</v>
      </c>
      <c r="K466" s="30">
        <v>4913</v>
      </c>
      <c r="L466" s="30">
        <v>5230</v>
      </c>
      <c r="M466" s="435"/>
      <c r="N466" s="437" t="s">
        <v>2716</v>
      </c>
      <c r="O466" s="4"/>
      <c r="Q466" s="4"/>
    </row>
    <row r="467" spans="1:17">
      <c r="A467" s="437" t="s">
        <v>7003</v>
      </c>
      <c r="B467" s="437" t="s">
        <v>3977</v>
      </c>
      <c r="C467" s="4" t="s">
        <v>11656</v>
      </c>
      <c r="D467" s="438">
        <v>3004</v>
      </c>
      <c r="E467" s="438">
        <v>3007</v>
      </c>
      <c r="F467" s="438">
        <v>2973</v>
      </c>
      <c r="G467" s="30">
        <v>2713</v>
      </c>
      <c r="H467" s="30">
        <v>2933</v>
      </c>
      <c r="I467" s="30">
        <v>2743</v>
      </c>
      <c r="J467" s="30">
        <v>2738</v>
      </c>
      <c r="K467" s="30">
        <v>2739</v>
      </c>
      <c r="L467" s="30">
        <v>2745</v>
      </c>
      <c r="M467" s="435"/>
      <c r="N467" s="437" t="s">
        <v>2716</v>
      </c>
      <c r="O467" s="4"/>
      <c r="Q467" s="4"/>
    </row>
    <row r="468" spans="1:17">
      <c r="A468" s="437" t="s">
        <v>7005</v>
      </c>
      <c r="B468" s="437" t="s">
        <v>3978</v>
      </c>
      <c r="C468" s="4" t="s">
        <v>11657</v>
      </c>
      <c r="D468" s="438">
        <v>1740</v>
      </c>
      <c r="E468" s="438">
        <v>1743</v>
      </c>
      <c r="F468" s="438">
        <v>1723</v>
      </c>
      <c r="G468" s="30">
        <v>1699</v>
      </c>
      <c r="H468" s="30">
        <v>1739</v>
      </c>
      <c r="I468" s="30">
        <v>1640</v>
      </c>
      <c r="J468" s="30">
        <v>1689</v>
      </c>
      <c r="K468" s="30">
        <v>1733</v>
      </c>
      <c r="L468" s="30">
        <v>1765</v>
      </c>
      <c r="M468" s="435"/>
      <c r="N468" s="437" t="s">
        <v>2716</v>
      </c>
      <c r="O468" s="4"/>
      <c r="Q468" s="4"/>
    </row>
    <row r="469" spans="1:17">
      <c r="A469" s="437" t="s">
        <v>7007</v>
      </c>
      <c r="B469" s="437" t="s">
        <v>3979</v>
      </c>
      <c r="C469" s="4" t="s">
        <v>11658</v>
      </c>
      <c r="D469" s="438">
        <v>3109</v>
      </c>
      <c r="E469" s="438">
        <v>3155</v>
      </c>
      <c r="F469" s="438">
        <v>3127</v>
      </c>
      <c r="G469" s="30">
        <v>3088</v>
      </c>
      <c r="H469" s="30">
        <v>3160</v>
      </c>
      <c r="I469" s="30">
        <v>3072</v>
      </c>
      <c r="J469" s="30">
        <v>3133</v>
      </c>
      <c r="K469" s="30">
        <v>3167</v>
      </c>
      <c r="L469" s="30">
        <v>3203</v>
      </c>
      <c r="M469" s="435"/>
      <c r="N469" s="437" t="s">
        <v>2713</v>
      </c>
      <c r="O469" s="4"/>
      <c r="Q469" s="4"/>
    </row>
    <row r="470" spans="1:17">
      <c r="A470" s="437" t="s">
        <v>7009</v>
      </c>
      <c r="B470" s="437" t="s">
        <v>6639</v>
      </c>
      <c r="C470" s="4" t="s">
        <v>11659</v>
      </c>
      <c r="D470" s="438">
        <v>4398</v>
      </c>
      <c r="E470" s="438">
        <v>4420</v>
      </c>
      <c r="F470" s="438">
        <v>4463</v>
      </c>
      <c r="G470" s="30">
        <v>4471</v>
      </c>
      <c r="H470" s="30">
        <v>4559</v>
      </c>
      <c r="I470" s="30">
        <v>4476</v>
      </c>
      <c r="J470" s="30">
        <v>4466</v>
      </c>
      <c r="K470" s="30">
        <v>4534</v>
      </c>
      <c r="L470" s="30">
        <v>4578</v>
      </c>
      <c r="M470" s="435"/>
      <c r="N470" s="437" t="s">
        <v>2716</v>
      </c>
      <c r="O470" s="4"/>
      <c r="Q470" s="4"/>
    </row>
    <row r="471" spans="1:17">
      <c r="A471" s="437" t="s">
        <v>7011</v>
      </c>
      <c r="B471" s="437" t="s">
        <v>3980</v>
      </c>
      <c r="C471" s="4" t="s">
        <v>11660</v>
      </c>
      <c r="D471" s="438">
        <v>2724</v>
      </c>
      <c r="E471" s="438">
        <v>2726</v>
      </c>
      <c r="F471" s="438">
        <v>2710</v>
      </c>
      <c r="G471" s="31">
        <v>2642</v>
      </c>
      <c r="H471" s="31">
        <v>2675</v>
      </c>
      <c r="I471" s="31">
        <v>2409</v>
      </c>
      <c r="J471" s="31">
        <v>2442</v>
      </c>
      <c r="K471" s="31">
        <v>2463</v>
      </c>
      <c r="L471" s="31">
        <v>2514</v>
      </c>
      <c r="M471" s="435"/>
      <c r="N471" s="437" t="s">
        <v>2716</v>
      </c>
      <c r="O471" s="4"/>
      <c r="Q471" s="4"/>
    </row>
    <row r="472" spans="1:17">
      <c r="A472" s="437" t="s">
        <v>7013</v>
      </c>
      <c r="B472" s="437" t="s">
        <v>3981</v>
      </c>
      <c r="C472" s="4" t="s">
        <v>11673</v>
      </c>
      <c r="D472" s="438">
        <v>1614</v>
      </c>
      <c r="E472" s="438">
        <v>1640</v>
      </c>
      <c r="F472" s="438">
        <v>1636</v>
      </c>
      <c r="G472" s="31">
        <v>1645</v>
      </c>
      <c r="H472" s="31">
        <v>1647</v>
      </c>
      <c r="I472" s="31">
        <v>1623</v>
      </c>
      <c r="J472" s="31">
        <v>1632</v>
      </c>
      <c r="K472" s="31">
        <v>1636</v>
      </c>
      <c r="L472" s="31">
        <v>1646</v>
      </c>
      <c r="M472" s="435"/>
      <c r="N472" s="437" t="s">
        <v>2716</v>
      </c>
      <c r="O472" s="4"/>
      <c r="Q472" s="4"/>
    </row>
    <row r="473" spans="1:17">
      <c r="A473" s="437" t="s">
        <v>7015</v>
      </c>
      <c r="B473" s="437" t="s">
        <v>3982</v>
      </c>
      <c r="C473" s="4" t="s">
        <v>11661</v>
      </c>
      <c r="D473" s="438">
        <v>3210</v>
      </c>
      <c r="E473" s="438">
        <v>3223</v>
      </c>
      <c r="F473" s="438">
        <v>3259</v>
      </c>
      <c r="G473" s="30">
        <v>3243</v>
      </c>
      <c r="H473" s="30">
        <v>3230</v>
      </c>
      <c r="I473" s="30">
        <v>3077</v>
      </c>
      <c r="J473" s="30">
        <v>3177</v>
      </c>
      <c r="K473" s="30">
        <v>3332</v>
      </c>
      <c r="L473" s="30">
        <v>3435</v>
      </c>
      <c r="M473" s="435"/>
      <c r="N473" s="437" t="s">
        <v>2713</v>
      </c>
      <c r="O473" s="4"/>
      <c r="Q473" s="4"/>
    </row>
    <row r="474" spans="1:17">
      <c r="A474" s="437" t="s">
        <v>7017</v>
      </c>
      <c r="B474" s="437" t="s">
        <v>3983</v>
      </c>
      <c r="C474" s="4" t="s">
        <v>11662</v>
      </c>
      <c r="D474" s="438">
        <v>3093</v>
      </c>
      <c r="E474" s="438">
        <v>3131</v>
      </c>
      <c r="F474" s="438">
        <v>3137</v>
      </c>
      <c r="G474" s="31">
        <v>3115</v>
      </c>
      <c r="H474" s="31">
        <v>3114</v>
      </c>
      <c r="I474" s="31">
        <v>3019</v>
      </c>
      <c r="J474" s="31">
        <v>3009</v>
      </c>
      <c r="K474" s="31">
        <v>3012</v>
      </c>
      <c r="L474" s="31">
        <v>3039</v>
      </c>
      <c r="M474" s="435"/>
      <c r="N474" s="437" t="s">
        <v>2716</v>
      </c>
      <c r="O474" s="4"/>
      <c r="Q474" s="4"/>
    </row>
    <row r="475" spans="1:17">
      <c r="A475" s="437" t="s">
        <v>7019</v>
      </c>
      <c r="B475" s="437" t="s">
        <v>8448</v>
      </c>
      <c r="C475" s="4" t="s">
        <v>11663</v>
      </c>
      <c r="D475" s="438">
        <v>1651</v>
      </c>
      <c r="E475" s="438">
        <v>1689</v>
      </c>
      <c r="F475" s="438">
        <v>1696</v>
      </c>
      <c r="G475" s="30">
        <v>1625</v>
      </c>
      <c r="H475" s="30">
        <v>1698</v>
      </c>
      <c r="I475" s="30">
        <v>1658</v>
      </c>
      <c r="J475" s="30">
        <v>1637</v>
      </c>
      <c r="K475" s="30">
        <v>1648</v>
      </c>
      <c r="L475" s="30">
        <v>1674</v>
      </c>
      <c r="M475" s="435"/>
      <c r="N475" s="437" t="s">
        <v>2713</v>
      </c>
      <c r="O475" s="4"/>
      <c r="Q475" s="4"/>
    </row>
    <row r="476" spans="1:17">
      <c r="A476" s="437" t="s">
        <v>7021</v>
      </c>
      <c r="B476" s="437" t="s">
        <v>6612</v>
      </c>
      <c r="C476" s="4" t="s">
        <v>11664</v>
      </c>
      <c r="D476" s="438">
        <v>3037</v>
      </c>
      <c r="E476" s="438">
        <v>3030</v>
      </c>
      <c r="F476" s="438">
        <v>3086</v>
      </c>
      <c r="G476" s="31">
        <v>3065</v>
      </c>
      <c r="H476" s="31">
        <v>3074</v>
      </c>
      <c r="I476" s="31">
        <v>2984</v>
      </c>
      <c r="J476" s="31">
        <v>3028</v>
      </c>
      <c r="K476" s="31">
        <v>3055</v>
      </c>
      <c r="L476" s="31">
        <v>3035</v>
      </c>
      <c r="M476" s="435"/>
      <c r="N476" s="437" t="s">
        <v>2716</v>
      </c>
      <c r="O476" s="4"/>
      <c r="Q476" s="4"/>
    </row>
    <row r="477" spans="1:17">
      <c r="A477" s="437" t="s">
        <v>7023</v>
      </c>
      <c r="B477" s="437" t="s">
        <v>6613</v>
      </c>
      <c r="C477" s="4" t="s">
        <v>11665</v>
      </c>
      <c r="D477" s="438">
        <v>4422</v>
      </c>
      <c r="E477" s="438">
        <v>4527</v>
      </c>
      <c r="F477" s="438">
        <v>4527</v>
      </c>
      <c r="G477" s="31">
        <v>4410</v>
      </c>
      <c r="H477" s="31">
        <v>4586</v>
      </c>
      <c r="I477" s="31">
        <v>4383</v>
      </c>
      <c r="J477" s="31">
        <v>4189</v>
      </c>
      <c r="K477" s="31">
        <v>4242</v>
      </c>
      <c r="L477" s="31">
        <v>4366</v>
      </c>
      <c r="M477" s="435"/>
      <c r="N477" s="437" t="s">
        <v>2716</v>
      </c>
      <c r="O477" s="4"/>
      <c r="Q477" s="4"/>
    </row>
    <row r="478" spans="1:17">
      <c r="A478" s="437" t="s">
        <v>7025</v>
      </c>
      <c r="B478" s="437" t="s">
        <v>6614</v>
      </c>
      <c r="C478" s="4" t="s">
        <v>11666</v>
      </c>
      <c r="D478" s="438">
        <v>3056</v>
      </c>
      <c r="E478" s="438">
        <v>3062</v>
      </c>
      <c r="F478" s="438">
        <v>3021</v>
      </c>
      <c r="G478" s="31">
        <v>2940</v>
      </c>
      <c r="H478" s="31">
        <v>3016</v>
      </c>
      <c r="I478" s="31">
        <v>2788</v>
      </c>
      <c r="J478" s="31">
        <v>2837</v>
      </c>
      <c r="K478" s="31">
        <v>2825</v>
      </c>
      <c r="L478" s="31">
        <v>2861</v>
      </c>
      <c r="M478" s="435"/>
      <c r="N478" s="437" t="s">
        <v>2716</v>
      </c>
      <c r="O478" s="4"/>
      <c r="Q478" s="4"/>
    </row>
    <row r="479" spans="1:17">
      <c r="A479" s="437" t="s">
        <v>7570</v>
      </c>
      <c r="B479" s="437" t="s">
        <v>1473</v>
      </c>
      <c r="C479" s="4" t="s">
        <v>11667</v>
      </c>
      <c r="D479" s="438">
        <v>4906</v>
      </c>
      <c r="E479" s="438">
        <v>5006</v>
      </c>
      <c r="F479" s="438">
        <v>4972</v>
      </c>
      <c r="G479" s="31">
        <v>4817</v>
      </c>
      <c r="H479" s="31">
        <v>4854</v>
      </c>
      <c r="I479" s="31">
        <v>4513</v>
      </c>
      <c r="J479" s="31">
        <v>4546</v>
      </c>
      <c r="K479" s="31">
        <v>4546</v>
      </c>
      <c r="L479" s="31">
        <v>4620</v>
      </c>
      <c r="M479" s="435"/>
      <c r="N479" s="437" t="s">
        <v>2716</v>
      </c>
      <c r="O479" s="4"/>
      <c r="Q479" s="4"/>
    </row>
    <row r="480" spans="1:17">
      <c r="A480" s="437" t="s">
        <v>7572</v>
      </c>
      <c r="B480" s="437" t="s">
        <v>1474</v>
      </c>
      <c r="C480" s="4" t="s">
        <v>11668</v>
      </c>
      <c r="D480" s="438">
        <v>3294</v>
      </c>
      <c r="E480" s="438">
        <v>3329</v>
      </c>
      <c r="F480" s="438">
        <v>3361</v>
      </c>
      <c r="G480" s="31">
        <v>3170</v>
      </c>
      <c r="H480" s="31">
        <v>3470</v>
      </c>
      <c r="I480" s="31">
        <v>3227</v>
      </c>
      <c r="J480" s="31">
        <v>3176</v>
      </c>
      <c r="K480" s="31">
        <v>3188</v>
      </c>
      <c r="L480" s="31">
        <v>3189</v>
      </c>
      <c r="M480" s="435"/>
      <c r="N480" s="437" t="s">
        <v>2716</v>
      </c>
      <c r="O480" s="4"/>
      <c r="Q480" s="4"/>
    </row>
    <row r="481" spans="1:17">
      <c r="A481" s="437" t="s">
        <v>7573</v>
      </c>
      <c r="B481" s="437" t="s">
        <v>1475</v>
      </c>
      <c r="C481" s="4" t="s">
        <v>11669</v>
      </c>
      <c r="D481" s="438">
        <v>4451</v>
      </c>
      <c r="E481" s="438">
        <v>4488</v>
      </c>
      <c r="F481" s="438">
        <v>4474</v>
      </c>
      <c r="G481" s="30">
        <v>4436</v>
      </c>
      <c r="H481" s="30">
        <v>4480</v>
      </c>
      <c r="I481" s="30">
        <v>4458</v>
      </c>
      <c r="J481" s="30">
        <v>4437</v>
      </c>
      <c r="K481" s="30">
        <v>4545</v>
      </c>
      <c r="L481" s="30">
        <v>4633</v>
      </c>
      <c r="M481" s="435"/>
      <c r="N481" s="437" t="s">
        <v>2713</v>
      </c>
      <c r="O481" s="4"/>
      <c r="Q481" s="4"/>
    </row>
    <row r="482" spans="1:17">
      <c r="A482" s="437" t="s">
        <v>5798</v>
      </c>
      <c r="B482" s="437" t="s">
        <v>1476</v>
      </c>
      <c r="C482" s="4" t="s">
        <v>11670</v>
      </c>
      <c r="D482" s="438">
        <v>4914</v>
      </c>
      <c r="E482" s="438">
        <v>4969</v>
      </c>
      <c r="F482" s="438">
        <v>4947</v>
      </c>
      <c r="G482" s="31">
        <v>4920</v>
      </c>
      <c r="H482" s="31">
        <v>5027</v>
      </c>
      <c r="I482" s="31">
        <v>4797</v>
      </c>
      <c r="J482" s="31">
        <v>4820</v>
      </c>
      <c r="K482" s="31">
        <v>4935</v>
      </c>
      <c r="L482" s="31">
        <v>4968</v>
      </c>
      <c r="M482" s="435"/>
      <c r="N482" s="437" t="s">
        <v>2716</v>
      </c>
      <c r="O482" s="4"/>
      <c r="Q482" s="4"/>
    </row>
    <row r="483" spans="1:17">
      <c r="A483" s="437" t="s">
        <v>5799</v>
      </c>
      <c r="B483" s="437" t="s">
        <v>1477</v>
      </c>
      <c r="C483" s="4" t="s">
        <v>11671</v>
      </c>
      <c r="D483" s="438">
        <v>3357</v>
      </c>
      <c r="E483" s="438">
        <v>3414</v>
      </c>
      <c r="F483" s="438">
        <v>3363</v>
      </c>
      <c r="G483" s="31">
        <v>3304</v>
      </c>
      <c r="H483" s="31">
        <v>3328</v>
      </c>
      <c r="I483" s="31">
        <v>3214</v>
      </c>
      <c r="J483" s="31">
        <v>3274</v>
      </c>
      <c r="K483" s="31">
        <v>3357</v>
      </c>
      <c r="L483" s="31">
        <v>3338</v>
      </c>
      <c r="M483" s="435"/>
      <c r="N483" s="437" t="s">
        <v>2716</v>
      </c>
      <c r="O483" s="4"/>
      <c r="Q483" s="4"/>
    </row>
    <row r="484" spans="1:17">
      <c r="A484" s="437"/>
      <c r="B484" s="437"/>
      <c r="D484" s="438"/>
      <c r="E484" s="438"/>
      <c r="F484" s="438"/>
      <c r="G484" s="438"/>
      <c r="H484" s="438"/>
      <c r="I484" s="438"/>
      <c r="J484" s="438"/>
      <c r="K484" s="438"/>
      <c r="L484" s="438"/>
      <c r="M484" s="435"/>
      <c r="N484" s="437"/>
      <c r="O484" s="4"/>
      <c r="Q484" s="4"/>
    </row>
    <row r="485" spans="1:17">
      <c r="A485" s="437" t="s">
        <v>1356</v>
      </c>
      <c r="D485" s="438">
        <f t="shared" ref="D485:I485" si="264">D469+D473+D475+D481</f>
        <v>12421</v>
      </c>
      <c r="E485" s="438">
        <f t="shared" si="264"/>
        <v>12555</v>
      </c>
      <c r="F485" s="438">
        <f t="shared" si="264"/>
        <v>12556</v>
      </c>
      <c r="G485" s="438">
        <f t="shared" si="264"/>
        <v>12392</v>
      </c>
      <c r="H485" s="438">
        <f t="shared" si="264"/>
        <v>12568</v>
      </c>
      <c r="I485" s="438">
        <f t="shared" si="264"/>
        <v>12265</v>
      </c>
      <c r="J485" s="438">
        <f t="shared" ref="J485:K485" si="265">J469+J473+J475+J481</f>
        <v>12384</v>
      </c>
      <c r="K485" s="438">
        <f t="shared" si="265"/>
        <v>12692</v>
      </c>
      <c r="L485" s="438">
        <f t="shared" ref="L485" si="266">L469+L473+L475+L481</f>
        <v>12945</v>
      </c>
      <c r="M485" s="435"/>
      <c r="N485" s="435"/>
      <c r="O485" s="4"/>
      <c r="Q485" s="4"/>
    </row>
    <row r="486" spans="1:17">
      <c r="A486" s="437" t="s">
        <v>2716</v>
      </c>
      <c r="D486" s="438">
        <f t="shared" ref="D486:I486" si="267">SUM(D459:D468)+SUM(D470:D472)+D474+SUM(D476:D480)+SUM(D482:D483)</f>
        <v>72347</v>
      </c>
      <c r="E486" s="438">
        <f t="shared" si="267"/>
        <v>73028</v>
      </c>
      <c r="F486" s="438">
        <f t="shared" si="267"/>
        <v>73877</v>
      </c>
      <c r="G486" s="438">
        <f t="shared" si="267"/>
        <v>72352</v>
      </c>
      <c r="H486" s="438">
        <f t="shared" si="267"/>
        <v>74251</v>
      </c>
      <c r="I486" s="438">
        <f t="shared" si="267"/>
        <v>69519</v>
      </c>
      <c r="J486" s="438">
        <f t="shared" ref="J486:K486" si="268">SUM(J459:J468)+SUM(J470:J472)+J474+SUM(J476:J480)+SUM(J482:J483)</f>
        <v>70260</v>
      </c>
      <c r="K486" s="438">
        <f t="shared" si="268"/>
        <v>70998</v>
      </c>
      <c r="L486" s="438">
        <f t="shared" ref="L486" si="269">SUM(L459:L468)+SUM(L470:L472)+L474+SUM(L476:L480)+SUM(L482:L483)</f>
        <v>72049</v>
      </c>
      <c r="M486" s="435"/>
      <c r="N486" s="435"/>
    </row>
    <row r="487" spans="1:17">
      <c r="A487" s="437"/>
      <c r="D487" s="438"/>
      <c r="E487" s="438"/>
      <c r="F487" s="438"/>
      <c r="G487" s="438"/>
      <c r="H487" s="438"/>
      <c r="I487" s="438"/>
      <c r="J487" s="438"/>
      <c r="K487" s="438"/>
      <c r="L487" s="438"/>
      <c r="M487" s="435"/>
      <c r="N487" s="435"/>
    </row>
    <row r="488" spans="1:17">
      <c r="A488" s="437" t="s">
        <v>1478</v>
      </c>
      <c r="D488" s="438"/>
      <c r="E488" s="438"/>
      <c r="F488" s="438"/>
      <c r="G488" s="438"/>
      <c r="H488" s="438"/>
      <c r="I488" s="438"/>
      <c r="J488" s="438"/>
      <c r="K488" s="438"/>
      <c r="L488" s="438"/>
      <c r="M488" s="435"/>
      <c r="N488" s="435"/>
    </row>
    <row r="489" spans="1:17">
      <c r="A489" s="437" t="s">
        <v>1479</v>
      </c>
      <c r="D489" s="438"/>
      <c r="E489" s="438"/>
      <c r="F489" s="438"/>
      <c r="G489" s="438"/>
      <c r="H489" s="438"/>
      <c r="I489" s="438"/>
      <c r="J489" s="438"/>
      <c r="K489" s="438"/>
      <c r="L489" s="438"/>
      <c r="M489" s="435"/>
      <c r="N489" s="435"/>
    </row>
    <row r="490" spans="1:17">
      <c r="A490" s="437" t="s">
        <v>8477</v>
      </c>
      <c r="D490" s="438"/>
      <c r="E490" s="438"/>
      <c r="F490" s="438"/>
      <c r="G490" s="438"/>
      <c r="H490" s="438"/>
      <c r="I490" s="438"/>
      <c r="J490" s="438"/>
      <c r="K490" s="438"/>
      <c r="L490" s="438"/>
      <c r="M490" s="435"/>
      <c r="N490" s="435"/>
    </row>
    <row r="491" spans="1:17">
      <c r="A491" s="437"/>
      <c r="B491" s="437"/>
      <c r="D491" s="449"/>
      <c r="E491" s="449"/>
      <c r="F491" s="449"/>
      <c r="G491" s="449"/>
      <c r="H491" s="449"/>
      <c r="I491" s="449"/>
      <c r="J491" s="449"/>
      <c r="K491" s="449"/>
      <c r="L491" s="449"/>
      <c r="M491" s="435"/>
      <c r="N491" s="435"/>
    </row>
    <row r="492" spans="1:17">
      <c r="A492" s="437"/>
      <c r="B492" s="437"/>
      <c r="D492" s="449"/>
      <c r="E492" s="449"/>
      <c r="F492" s="449"/>
      <c r="G492" s="449"/>
      <c r="H492" s="449"/>
      <c r="I492" s="449"/>
      <c r="J492" s="449"/>
      <c r="K492" s="449"/>
      <c r="L492" s="449"/>
      <c r="M492" s="435"/>
      <c r="N492" s="435"/>
    </row>
    <row r="493" spans="1:17">
      <c r="A493" s="435"/>
      <c r="B493" s="435"/>
      <c r="E493" s="42" t="s">
        <v>2303</v>
      </c>
      <c r="F493" s="42"/>
      <c r="G493" s="42"/>
      <c r="H493" s="42"/>
      <c r="I493" s="42"/>
      <c r="J493" s="42"/>
      <c r="K493" s="42"/>
      <c r="L493" s="42"/>
      <c r="M493" s="109"/>
      <c r="N493" s="109" t="s">
        <v>13319</v>
      </c>
    </row>
    <row r="494" spans="1:17">
      <c r="A494" s="435"/>
      <c r="B494" s="435"/>
      <c r="D494" s="110">
        <v>2010</v>
      </c>
      <c r="E494" s="110">
        <v>2011</v>
      </c>
      <c r="F494" s="110">
        <v>2012</v>
      </c>
      <c r="G494" s="110">
        <v>2013</v>
      </c>
      <c r="H494" s="110">
        <v>2014</v>
      </c>
      <c r="I494" s="110">
        <v>2015</v>
      </c>
      <c r="J494" s="110">
        <v>2016</v>
      </c>
      <c r="K494" s="110">
        <v>2017</v>
      </c>
      <c r="L494" s="110">
        <v>2018</v>
      </c>
      <c r="M494" s="435"/>
      <c r="N494" s="112" t="s">
        <v>2304</v>
      </c>
    </row>
    <row r="495" spans="1:17">
      <c r="A495" s="437" t="s">
        <v>1480</v>
      </c>
      <c r="D495" s="438">
        <f t="shared" ref="D495:H495" si="270">D496+D497+SUM(D499:D510)+SUM(D512:D523)</f>
        <v>85516</v>
      </c>
      <c r="E495" s="438">
        <f t="shared" si="270"/>
        <v>85714</v>
      </c>
      <c r="F495" s="438">
        <f t="shared" si="270"/>
        <v>85489</v>
      </c>
      <c r="G495" s="438">
        <f t="shared" si="270"/>
        <v>86091</v>
      </c>
      <c r="H495" s="438">
        <f t="shared" si="270"/>
        <v>85470</v>
      </c>
      <c r="I495" s="438">
        <f>I496+I497+SUM(I499:I510)+SUM(I512:I523)</f>
        <v>81944</v>
      </c>
      <c r="J495" s="438">
        <f>J496+J497+SUM(J499:J510)+SUM(J512:J523)</f>
        <v>82005</v>
      </c>
      <c r="K495" s="438">
        <f>K496+K497+SUM(K499:K510)+SUM(K512:K523)</f>
        <v>85932</v>
      </c>
      <c r="L495" s="438">
        <f>L496+L497+SUM(L499:L510)+SUM(L512:L523)</f>
        <v>86831</v>
      </c>
      <c r="M495" s="435"/>
      <c r="N495" s="435"/>
    </row>
    <row r="496" spans="1:17">
      <c r="A496" s="437" t="s">
        <v>6957</v>
      </c>
      <c r="B496" s="437" t="s">
        <v>1481</v>
      </c>
      <c r="C496" s="4" t="s">
        <v>14230</v>
      </c>
      <c r="D496" s="438">
        <v>0</v>
      </c>
      <c r="E496" s="438">
        <v>0</v>
      </c>
      <c r="F496" s="438">
        <v>0</v>
      </c>
      <c r="G496" s="30">
        <v>0</v>
      </c>
      <c r="H496" s="30">
        <v>0</v>
      </c>
      <c r="I496" s="30">
        <v>2615</v>
      </c>
      <c r="J496" s="30">
        <v>2676</v>
      </c>
      <c r="K496" s="30">
        <v>2863</v>
      </c>
      <c r="L496" s="30">
        <v>2917</v>
      </c>
      <c r="M496" s="435"/>
      <c r="N496" s="437" t="s">
        <v>2919</v>
      </c>
    </row>
    <row r="497" spans="1:17" ht="15.75" thickBot="1">
      <c r="A497" s="437"/>
      <c r="B497" s="437"/>
      <c r="C497" s="4" t="s">
        <v>14230</v>
      </c>
      <c r="D497" s="439">
        <v>0</v>
      </c>
      <c r="E497" s="439">
        <v>0</v>
      </c>
      <c r="F497" s="439">
        <v>0</v>
      </c>
      <c r="G497" s="899">
        <v>0</v>
      </c>
      <c r="H497" s="899">
        <v>0</v>
      </c>
      <c r="I497" s="30">
        <v>1734</v>
      </c>
      <c r="J497" s="30">
        <v>1695</v>
      </c>
      <c r="K497" s="30">
        <v>1801</v>
      </c>
      <c r="L497" s="30">
        <v>1790</v>
      </c>
      <c r="M497" s="435"/>
      <c r="N497" s="437" t="s">
        <v>2717</v>
      </c>
    </row>
    <row r="498" spans="1:17" ht="15.75" thickBot="1">
      <c r="A498" s="437"/>
      <c r="B498" s="437"/>
      <c r="C498" s="4" t="s">
        <v>14230</v>
      </c>
      <c r="D498" s="450">
        <f>D496+D497</f>
        <v>0</v>
      </c>
      <c r="E498" s="450">
        <f t="shared" ref="E498:L498" si="271">E496+E497</f>
        <v>0</v>
      </c>
      <c r="F498" s="450">
        <f t="shared" si="271"/>
        <v>0</v>
      </c>
      <c r="G498" s="450">
        <f t="shared" si="271"/>
        <v>0</v>
      </c>
      <c r="H498" s="450">
        <f t="shared" si="271"/>
        <v>0</v>
      </c>
      <c r="I498" s="450">
        <f t="shared" si="271"/>
        <v>4349</v>
      </c>
      <c r="J498" s="450">
        <f t="shared" si="271"/>
        <v>4371</v>
      </c>
      <c r="K498" s="450">
        <f t="shared" si="271"/>
        <v>4664</v>
      </c>
      <c r="L498" s="450">
        <f t="shared" si="271"/>
        <v>4707</v>
      </c>
      <c r="M498" s="435"/>
      <c r="N498" s="437"/>
    </row>
    <row r="499" spans="1:17">
      <c r="A499" s="437" t="s">
        <v>6959</v>
      </c>
      <c r="B499" s="437" t="s">
        <v>1482</v>
      </c>
      <c r="C499" s="4" t="s">
        <v>14231</v>
      </c>
      <c r="D499" s="438">
        <v>40121</v>
      </c>
      <c r="E499" s="438">
        <v>40299</v>
      </c>
      <c r="F499" s="438">
        <v>40247</v>
      </c>
      <c r="G499" s="30">
        <v>40583</v>
      </c>
      <c r="H499" s="30">
        <v>40373</v>
      </c>
      <c r="I499" s="31">
        <v>2940</v>
      </c>
      <c r="J499" s="31">
        <v>2855</v>
      </c>
      <c r="K499" s="31">
        <v>2994</v>
      </c>
      <c r="L499" s="31">
        <v>3038</v>
      </c>
      <c r="M499" s="435"/>
      <c r="N499" s="437" t="s">
        <v>2717</v>
      </c>
      <c r="O499" s="4"/>
      <c r="Q499" s="4"/>
    </row>
    <row r="500" spans="1:17">
      <c r="A500" s="437" t="s">
        <v>6961</v>
      </c>
      <c r="B500" s="437" t="s">
        <v>13800</v>
      </c>
      <c r="C500" s="4" t="s">
        <v>14232</v>
      </c>
      <c r="D500" s="438">
        <v>0</v>
      </c>
      <c r="E500" s="438">
        <v>0</v>
      </c>
      <c r="F500" s="438">
        <v>0</v>
      </c>
      <c r="G500" s="30">
        <v>0</v>
      </c>
      <c r="H500" s="30">
        <v>0</v>
      </c>
      <c r="I500" s="31">
        <v>3289</v>
      </c>
      <c r="J500" s="31">
        <v>3058</v>
      </c>
      <c r="K500" s="31">
        <v>3231</v>
      </c>
      <c r="L500" s="31">
        <v>3271</v>
      </c>
      <c r="M500" s="435"/>
      <c r="N500" s="437" t="s">
        <v>2717</v>
      </c>
      <c r="O500" s="4"/>
      <c r="Q500" s="4"/>
    </row>
    <row r="501" spans="1:17">
      <c r="A501" s="437" t="s">
        <v>6963</v>
      </c>
      <c r="B501" s="437" t="s">
        <v>1483</v>
      </c>
      <c r="C501" s="4" t="s">
        <v>14233</v>
      </c>
      <c r="D501" s="438">
        <v>0</v>
      </c>
      <c r="E501" s="438">
        <v>0</v>
      </c>
      <c r="F501" s="438">
        <v>0</v>
      </c>
      <c r="G501" s="30">
        <v>0</v>
      </c>
      <c r="H501" s="30">
        <v>0</v>
      </c>
      <c r="I501" s="31">
        <v>1648</v>
      </c>
      <c r="J501" s="31">
        <v>1676</v>
      </c>
      <c r="K501" s="31">
        <v>1817</v>
      </c>
      <c r="L501" s="31">
        <v>1880</v>
      </c>
      <c r="M501" s="435"/>
      <c r="N501" s="437" t="s">
        <v>2717</v>
      </c>
      <c r="O501" s="4"/>
      <c r="Q501" s="4"/>
    </row>
    <row r="502" spans="1:17">
      <c r="A502" s="437" t="s">
        <v>6965</v>
      </c>
      <c r="B502" s="437" t="s">
        <v>1484</v>
      </c>
      <c r="C502" s="4" t="s">
        <v>14234</v>
      </c>
      <c r="D502" s="438">
        <v>0</v>
      </c>
      <c r="E502" s="438">
        <v>0</v>
      </c>
      <c r="F502" s="438">
        <v>0</v>
      </c>
      <c r="G502" s="31">
        <v>0</v>
      </c>
      <c r="H502" s="31">
        <v>0</v>
      </c>
      <c r="I502" s="31">
        <v>3576</v>
      </c>
      <c r="J502" s="31">
        <v>3522</v>
      </c>
      <c r="K502" s="31">
        <v>3663</v>
      </c>
      <c r="L502" s="31">
        <v>3695</v>
      </c>
      <c r="M502" s="435"/>
      <c r="N502" s="437" t="s">
        <v>2717</v>
      </c>
      <c r="O502" s="4"/>
      <c r="Q502" s="4"/>
    </row>
    <row r="503" spans="1:17">
      <c r="A503" s="437" t="s">
        <v>6997</v>
      </c>
      <c r="B503" s="437" t="s">
        <v>1485</v>
      </c>
      <c r="C503" s="4" t="s">
        <v>14235</v>
      </c>
      <c r="D503" s="438">
        <v>17973</v>
      </c>
      <c r="E503" s="438">
        <v>18000</v>
      </c>
      <c r="F503" s="438">
        <v>17997</v>
      </c>
      <c r="G503" s="30">
        <v>18272</v>
      </c>
      <c r="H503" s="30">
        <v>18075</v>
      </c>
      <c r="I503" s="30">
        <v>3649</v>
      </c>
      <c r="J503" s="30">
        <v>3684</v>
      </c>
      <c r="K503" s="30">
        <v>3776</v>
      </c>
      <c r="L503" s="30">
        <v>3786</v>
      </c>
      <c r="M503" s="435"/>
      <c r="N503" s="437" t="s">
        <v>2919</v>
      </c>
      <c r="O503" s="4"/>
      <c r="Q503" s="4"/>
    </row>
    <row r="504" spans="1:17">
      <c r="A504" s="437" t="s">
        <v>6999</v>
      </c>
      <c r="B504" s="437" t="s">
        <v>4871</v>
      </c>
      <c r="C504" s="4" t="s">
        <v>14236</v>
      </c>
      <c r="D504" s="438">
        <v>0</v>
      </c>
      <c r="E504" s="438">
        <v>0</v>
      </c>
      <c r="F504" s="438">
        <v>0</v>
      </c>
      <c r="G504" s="31">
        <v>0</v>
      </c>
      <c r="H504" s="31">
        <v>0</v>
      </c>
      <c r="I504" s="31">
        <v>5319</v>
      </c>
      <c r="J504" s="31">
        <v>5280</v>
      </c>
      <c r="K504" s="31">
        <v>5484</v>
      </c>
      <c r="L504" s="31">
        <v>5449</v>
      </c>
      <c r="M504" s="435"/>
      <c r="N504" s="437" t="s">
        <v>2717</v>
      </c>
      <c r="O504" s="4"/>
      <c r="Q504" s="4"/>
    </row>
    <row r="505" spans="1:17">
      <c r="A505" s="437" t="s">
        <v>7001</v>
      </c>
      <c r="B505" s="437" t="s">
        <v>4872</v>
      </c>
      <c r="C505" s="4" t="s">
        <v>14237</v>
      </c>
      <c r="D505" s="438">
        <v>0</v>
      </c>
      <c r="E505" s="438">
        <v>0</v>
      </c>
      <c r="F505" s="438">
        <v>0</v>
      </c>
      <c r="G505" s="31">
        <v>0</v>
      </c>
      <c r="H505" s="31">
        <v>0</v>
      </c>
      <c r="I505" s="31">
        <v>3041</v>
      </c>
      <c r="J505" s="31">
        <v>3073</v>
      </c>
      <c r="K505" s="31">
        <v>3196</v>
      </c>
      <c r="L505" s="31">
        <v>3259</v>
      </c>
      <c r="M505" s="435"/>
      <c r="N505" s="437" t="s">
        <v>2717</v>
      </c>
      <c r="O505" s="4"/>
      <c r="Q505" s="4"/>
    </row>
    <row r="506" spans="1:17">
      <c r="A506" s="437" t="s">
        <v>7003</v>
      </c>
      <c r="B506" s="437" t="s">
        <v>13801</v>
      </c>
      <c r="C506" s="4" t="s">
        <v>14238</v>
      </c>
      <c r="D506" s="438">
        <v>0</v>
      </c>
      <c r="E506" s="438">
        <v>0</v>
      </c>
      <c r="F506" s="438">
        <v>0</v>
      </c>
      <c r="G506" s="31">
        <v>0</v>
      </c>
      <c r="H506" s="31">
        <v>0</v>
      </c>
      <c r="I506" s="31">
        <v>3517</v>
      </c>
      <c r="J506" s="31">
        <v>3500</v>
      </c>
      <c r="K506" s="31">
        <v>3633</v>
      </c>
      <c r="L506" s="31">
        <v>3611</v>
      </c>
      <c r="M506" s="435"/>
      <c r="N506" s="437" t="s">
        <v>2717</v>
      </c>
      <c r="O506" s="4"/>
      <c r="Q506" s="4"/>
    </row>
    <row r="507" spans="1:17">
      <c r="A507" s="437" t="s">
        <v>7005</v>
      </c>
      <c r="B507" s="437" t="s">
        <v>13802</v>
      </c>
      <c r="C507" s="4" t="s">
        <v>14239</v>
      </c>
      <c r="D507" s="438">
        <v>0</v>
      </c>
      <c r="E507" s="438">
        <v>0</v>
      </c>
      <c r="F507" s="438">
        <v>0</v>
      </c>
      <c r="G507" s="31">
        <v>0</v>
      </c>
      <c r="H507" s="31">
        <v>0</v>
      </c>
      <c r="I507" s="31">
        <v>4861</v>
      </c>
      <c r="J507" s="31">
        <v>4967</v>
      </c>
      <c r="K507" s="31">
        <v>5239</v>
      </c>
      <c r="L507" s="31">
        <v>5283</v>
      </c>
      <c r="M507" s="435"/>
      <c r="N507" s="437" t="s">
        <v>2717</v>
      </c>
      <c r="O507" s="4"/>
      <c r="Q507" s="4"/>
    </row>
    <row r="508" spans="1:17">
      <c r="A508" s="437" t="s">
        <v>7007</v>
      </c>
      <c r="B508" s="437" t="s">
        <v>4873</v>
      </c>
      <c r="C508" s="4" t="s">
        <v>14240</v>
      </c>
      <c r="D508" s="438">
        <v>0</v>
      </c>
      <c r="E508" s="438">
        <v>0</v>
      </c>
      <c r="F508" s="438">
        <v>0</v>
      </c>
      <c r="G508" s="30">
        <v>0</v>
      </c>
      <c r="H508" s="30">
        <v>0</v>
      </c>
      <c r="I508" s="30">
        <v>3676</v>
      </c>
      <c r="J508" s="30">
        <v>3580</v>
      </c>
      <c r="K508" s="30">
        <v>3761</v>
      </c>
      <c r="L508" s="30">
        <v>3806</v>
      </c>
      <c r="M508" s="435"/>
      <c r="N508" s="437" t="s">
        <v>2919</v>
      </c>
      <c r="O508" s="4"/>
      <c r="Q508" s="4"/>
    </row>
    <row r="509" spans="1:17">
      <c r="A509" s="437" t="s">
        <v>7009</v>
      </c>
      <c r="B509" s="437" t="s">
        <v>13803</v>
      </c>
      <c r="C509" s="4" t="s">
        <v>14241</v>
      </c>
      <c r="D509" s="438">
        <v>0</v>
      </c>
      <c r="E509" s="438">
        <v>0</v>
      </c>
      <c r="F509" s="438">
        <v>0</v>
      </c>
      <c r="G509" s="30">
        <v>0</v>
      </c>
      <c r="H509" s="30">
        <v>0</v>
      </c>
      <c r="I509" s="30">
        <v>2542</v>
      </c>
      <c r="J509" s="30">
        <v>2520</v>
      </c>
      <c r="K509" s="30">
        <v>2601</v>
      </c>
      <c r="L509" s="30">
        <v>2612</v>
      </c>
      <c r="M509" s="435"/>
      <c r="N509" s="437" t="s">
        <v>2919</v>
      </c>
      <c r="O509" s="4"/>
      <c r="Q509" s="4"/>
    </row>
    <row r="510" spans="1:17" ht="15.75" thickBot="1">
      <c r="B510" s="437"/>
      <c r="C510" s="4" t="s">
        <v>14241</v>
      </c>
      <c r="D510" s="439">
        <v>0</v>
      </c>
      <c r="E510" s="439">
        <v>0</v>
      </c>
      <c r="F510" s="439">
        <v>0</v>
      </c>
      <c r="G510" s="899">
        <v>0</v>
      </c>
      <c r="H510" s="899">
        <v>0</v>
      </c>
      <c r="I510" s="31">
        <v>1372</v>
      </c>
      <c r="J510" s="31">
        <v>2196</v>
      </c>
      <c r="K510" s="31">
        <v>2316</v>
      </c>
      <c r="L510" s="31">
        <v>2388</v>
      </c>
      <c r="M510" s="435"/>
      <c r="N510" s="437" t="s">
        <v>2717</v>
      </c>
      <c r="O510" s="4"/>
      <c r="Q510" s="4"/>
    </row>
    <row r="511" spans="1:17" ht="15.75" thickBot="1">
      <c r="A511" s="437"/>
      <c r="B511" s="437"/>
      <c r="C511" s="4" t="s">
        <v>14241</v>
      </c>
      <c r="D511" s="450">
        <f>D509+D510</f>
        <v>0</v>
      </c>
      <c r="E511" s="450">
        <f t="shared" ref="E511" si="272">E509+E510</f>
        <v>0</v>
      </c>
      <c r="F511" s="450">
        <f t="shared" ref="F511" si="273">F509+F510</f>
        <v>0</v>
      </c>
      <c r="G511" s="450">
        <f t="shared" ref="G511" si="274">G509+G510</f>
        <v>0</v>
      </c>
      <c r="H511" s="450">
        <f t="shared" ref="H511" si="275">H509+H510</f>
        <v>0</v>
      </c>
      <c r="I511" s="450">
        <f t="shared" ref="I511:L511" si="276">I509+I510</f>
        <v>3914</v>
      </c>
      <c r="J511" s="450">
        <f t="shared" si="276"/>
        <v>4716</v>
      </c>
      <c r="K511" s="450">
        <f t="shared" si="276"/>
        <v>4917</v>
      </c>
      <c r="L511" s="450">
        <f t="shared" si="276"/>
        <v>5000</v>
      </c>
      <c r="M511" s="435"/>
      <c r="N511" s="437"/>
      <c r="O511" s="4"/>
      <c r="Q511" s="4"/>
    </row>
    <row r="512" spans="1:17">
      <c r="A512" s="437" t="s">
        <v>7011</v>
      </c>
      <c r="B512" s="437" t="s">
        <v>4874</v>
      </c>
      <c r="C512" s="4" t="s">
        <v>14242</v>
      </c>
      <c r="D512" s="438">
        <v>27422</v>
      </c>
      <c r="E512" s="438">
        <v>27415</v>
      </c>
      <c r="F512" s="438">
        <v>27245</v>
      </c>
      <c r="G512" s="30">
        <v>27236</v>
      </c>
      <c r="H512" s="30">
        <v>27022</v>
      </c>
      <c r="I512" s="30">
        <v>3481</v>
      </c>
      <c r="J512" s="30">
        <v>3596</v>
      </c>
      <c r="K512" s="30">
        <v>3878</v>
      </c>
      <c r="L512" s="30">
        <v>3969</v>
      </c>
      <c r="M512" s="435"/>
      <c r="N512" s="437" t="s">
        <v>2704</v>
      </c>
      <c r="O512" s="4"/>
      <c r="Q512" s="4"/>
    </row>
    <row r="513" spans="1:17">
      <c r="A513" s="437" t="s">
        <v>7013</v>
      </c>
      <c r="B513" s="437" t="s">
        <v>2442</v>
      </c>
      <c r="C513" s="4" t="s">
        <v>14243</v>
      </c>
      <c r="D513" s="438">
        <v>0</v>
      </c>
      <c r="E513" s="438">
        <v>0</v>
      </c>
      <c r="F513" s="438">
        <v>0</v>
      </c>
      <c r="G513" s="30">
        <v>0</v>
      </c>
      <c r="H513" s="30">
        <v>0</v>
      </c>
      <c r="I513" s="30">
        <v>3225</v>
      </c>
      <c r="J513" s="30">
        <v>3259</v>
      </c>
      <c r="K513" s="30">
        <v>3505</v>
      </c>
      <c r="L513" s="30">
        <v>3521</v>
      </c>
      <c r="M513" s="435"/>
      <c r="N513" s="437" t="s">
        <v>2704</v>
      </c>
      <c r="O513" s="4"/>
      <c r="Q513" s="4"/>
    </row>
    <row r="514" spans="1:17">
      <c r="A514" s="437" t="s">
        <v>7015</v>
      </c>
      <c r="B514" s="437" t="s">
        <v>4875</v>
      </c>
      <c r="C514" s="4" t="s">
        <v>14244</v>
      </c>
      <c r="D514" s="438">
        <v>0</v>
      </c>
      <c r="E514" s="438">
        <v>0</v>
      </c>
      <c r="F514" s="438">
        <v>0</v>
      </c>
      <c r="G514" s="30">
        <v>0</v>
      </c>
      <c r="H514" s="30">
        <v>0</v>
      </c>
      <c r="I514" s="30">
        <v>3068</v>
      </c>
      <c r="J514" s="30">
        <v>3166</v>
      </c>
      <c r="K514" s="30">
        <v>3372</v>
      </c>
      <c r="L514" s="30">
        <v>3508</v>
      </c>
      <c r="M514" s="435"/>
      <c r="N514" s="437" t="s">
        <v>2704</v>
      </c>
      <c r="O514" s="4"/>
      <c r="Q514" s="4"/>
    </row>
    <row r="515" spans="1:17">
      <c r="A515" s="437" t="s">
        <v>7017</v>
      </c>
      <c r="B515" s="437" t="s">
        <v>13805</v>
      </c>
      <c r="C515" s="4" t="s">
        <v>14245</v>
      </c>
      <c r="D515" s="438">
        <v>0</v>
      </c>
      <c r="E515" s="438">
        <v>0</v>
      </c>
      <c r="F515" s="438">
        <v>0</v>
      </c>
      <c r="G515" s="30">
        <v>0</v>
      </c>
      <c r="H515" s="30">
        <v>0</v>
      </c>
      <c r="I515" s="30">
        <v>1548</v>
      </c>
      <c r="J515" s="30">
        <v>1545</v>
      </c>
      <c r="K515" s="30">
        <v>1595</v>
      </c>
      <c r="L515" s="30">
        <v>1674</v>
      </c>
      <c r="M515" s="435"/>
      <c r="N515" s="437" t="s">
        <v>2919</v>
      </c>
      <c r="O515" s="4"/>
      <c r="Q515" s="4"/>
    </row>
    <row r="516" spans="1:17">
      <c r="A516" s="437" t="s">
        <v>7019</v>
      </c>
      <c r="B516" s="437" t="s">
        <v>4876</v>
      </c>
      <c r="C516" s="4" t="s">
        <v>14246</v>
      </c>
      <c r="D516" s="438">
        <v>0</v>
      </c>
      <c r="E516" s="438">
        <v>0</v>
      </c>
      <c r="F516" s="438">
        <v>0</v>
      </c>
      <c r="G516" s="30">
        <v>0</v>
      </c>
      <c r="H516" s="30">
        <v>0</v>
      </c>
      <c r="I516" s="30">
        <v>1773</v>
      </c>
      <c r="J516" s="30">
        <v>1907</v>
      </c>
      <c r="K516" s="30">
        <v>2047</v>
      </c>
      <c r="L516" s="30">
        <v>2045</v>
      </c>
      <c r="M516" s="435"/>
      <c r="N516" s="437" t="s">
        <v>2704</v>
      </c>
      <c r="O516" s="4"/>
      <c r="Q516" s="4"/>
    </row>
    <row r="517" spans="1:17">
      <c r="A517" s="437" t="s">
        <v>7021</v>
      </c>
      <c r="B517" s="437" t="s">
        <v>5617</v>
      </c>
      <c r="C517" s="4" t="s">
        <v>14247</v>
      </c>
      <c r="D517" s="438">
        <v>0</v>
      </c>
      <c r="E517" s="438">
        <v>0</v>
      </c>
      <c r="F517" s="438">
        <v>0</v>
      </c>
      <c r="G517" s="30">
        <v>0</v>
      </c>
      <c r="H517" s="30">
        <v>0</v>
      </c>
      <c r="I517" s="30">
        <v>4616</v>
      </c>
      <c r="J517" s="30">
        <v>4615</v>
      </c>
      <c r="K517" s="30">
        <v>4751</v>
      </c>
      <c r="L517" s="30">
        <v>4763</v>
      </c>
      <c r="M517" s="435"/>
      <c r="N517" s="437" t="s">
        <v>2704</v>
      </c>
      <c r="O517" s="4"/>
      <c r="Q517" s="4"/>
    </row>
    <row r="518" spans="1:17">
      <c r="A518" s="437" t="s">
        <v>7023</v>
      </c>
      <c r="B518" s="437" t="s">
        <v>5618</v>
      </c>
      <c r="C518" s="4" t="s">
        <v>14248</v>
      </c>
      <c r="D518" s="438">
        <v>0</v>
      </c>
      <c r="E518" s="438">
        <v>0</v>
      </c>
      <c r="F518" s="438">
        <v>0</v>
      </c>
      <c r="G518" s="30">
        <v>0</v>
      </c>
      <c r="H518" s="30">
        <v>0</v>
      </c>
      <c r="I518" s="30">
        <v>4294</v>
      </c>
      <c r="J518" s="30">
        <v>4260</v>
      </c>
      <c r="K518" s="30">
        <v>4484</v>
      </c>
      <c r="L518" s="30">
        <v>4502</v>
      </c>
      <c r="M518" s="435"/>
      <c r="N518" s="437" t="s">
        <v>2704</v>
      </c>
      <c r="O518" s="4"/>
      <c r="Q518" s="4"/>
    </row>
    <row r="519" spans="1:17">
      <c r="A519" s="437" t="s">
        <v>7025</v>
      </c>
      <c r="B519" s="437" t="s">
        <v>13804</v>
      </c>
      <c r="C519" s="4" t="s">
        <v>14249</v>
      </c>
      <c r="D519" s="438">
        <v>0</v>
      </c>
      <c r="E519" s="438">
        <v>0</v>
      </c>
      <c r="F519" s="438">
        <v>0</v>
      </c>
      <c r="G519" s="31">
        <v>0</v>
      </c>
      <c r="H519" s="31">
        <v>0</v>
      </c>
      <c r="I519" s="31">
        <v>4513</v>
      </c>
      <c r="J519" s="31">
        <v>3673</v>
      </c>
      <c r="K519" s="31">
        <v>3773</v>
      </c>
      <c r="L519" s="31">
        <v>3833</v>
      </c>
      <c r="M519" s="435"/>
      <c r="N519" s="437" t="s">
        <v>2717</v>
      </c>
      <c r="O519" s="4"/>
      <c r="Q519" s="4"/>
    </row>
    <row r="520" spans="1:17">
      <c r="A520" s="437" t="s">
        <v>7570</v>
      </c>
      <c r="B520" s="437" t="s">
        <v>5619</v>
      </c>
      <c r="C520" s="4" t="s">
        <v>14250</v>
      </c>
      <c r="D520" s="438">
        <v>0</v>
      </c>
      <c r="E520" s="438">
        <v>0</v>
      </c>
      <c r="F520" s="438">
        <v>0</v>
      </c>
      <c r="G520" s="31">
        <v>0</v>
      </c>
      <c r="H520" s="31">
        <v>0</v>
      </c>
      <c r="I520" s="31">
        <v>3241</v>
      </c>
      <c r="J520" s="31">
        <v>3283</v>
      </c>
      <c r="K520" s="31">
        <v>3376</v>
      </c>
      <c r="L520" s="31">
        <v>3424</v>
      </c>
      <c r="M520" s="435"/>
      <c r="N520" s="437" t="s">
        <v>2717</v>
      </c>
      <c r="O520" s="4"/>
      <c r="Q520" s="4"/>
    </row>
    <row r="521" spans="1:17">
      <c r="A521" s="437" t="s">
        <v>7572</v>
      </c>
      <c r="B521" s="437" t="s">
        <v>13799</v>
      </c>
      <c r="C521" s="4" t="s">
        <v>14251</v>
      </c>
      <c r="D521" s="438">
        <v>0</v>
      </c>
      <c r="E521" s="438">
        <v>0</v>
      </c>
      <c r="F521" s="438">
        <v>0</v>
      </c>
      <c r="G521" s="30">
        <v>0</v>
      </c>
      <c r="H521" s="30">
        <v>0</v>
      </c>
      <c r="I521" s="30">
        <v>3489</v>
      </c>
      <c r="J521" s="30">
        <v>3507</v>
      </c>
      <c r="K521" s="30">
        <v>3599</v>
      </c>
      <c r="L521" s="30">
        <v>3604</v>
      </c>
      <c r="M521" s="435"/>
      <c r="N521" s="437" t="s">
        <v>2919</v>
      </c>
      <c r="O521" s="4"/>
      <c r="Q521" s="4"/>
    </row>
    <row r="522" spans="1:17">
      <c r="A522" s="437" t="s">
        <v>7573</v>
      </c>
      <c r="B522" s="437" t="s">
        <v>5620</v>
      </c>
      <c r="C522" s="4" t="s">
        <v>14252</v>
      </c>
      <c r="D522" s="438">
        <v>0</v>
      </c>
      <c r="E522" s="438">
        <v>0</v>
      </c>
      <c r="F522" s="438">
        <v>0</v>
      </c>
      <c r="G522" s="30">
        <v>0</v>
      </c>
      <c r="H522" s="30">
        <v>0</v>
      </c>
      <c r="I522" s="30">
        <v>3342</v>
      </c>
      <c r="J522" s="30">
        <v>3320</v>
      </c>
      <c r="K522" s="30">
        <v>3477</v>
      </c>
      <c r="L522" s="30">
        <v>3448</v>
      </c>
      <c r="M522" s="435"/>
      <c r="N522" s="437" t="s">
        <v>2704</v>
      </c>
      <c r="O522" s="4"/>
      <c r="Q522" s="4"/>
    </row>
    <row r="523" spans="1:17">
      <c r="A523" s="437" t="s">
        <v>5798</v>
      </c>
      <c r="B523" s="437" t="s">
        <v>5621</v>
      </c>
      <c r="C523" s="4" t="s">
        <v>14253</v>
      </c>
      <c r="D523" s="444">
        <v>0</v>
      </c>
      <c r="E523" s="444">
        <v>0</v>
      </c>
      <c r="F523" s="444">
        <v>0</v>
      </c>
      <c r="G523" s="30">
        <v>0</v>
      </c>
      <c r="H523" s="30">
        <v>0</v>
      </c>
      <c r="I523" s="30">
        <v>1575</v>
      </c>
      <c r="J523" s="30">
        <v>1592</v>
      </c>
      <c r="K523" s="30">
        <v>1700</v>
      </c>
      <c r="L523" s="30">
        <v>1755</v>
      </c>
      <c r="M523" s="435"/>
      <c r="N523" s="437" t="s">
        <v>2704</v>
      </c>
      <c r="O523" s="4"/>
      <c r="Q523" s="4"/>
    </row>
    <row r="524" spans="1:17">
      <c r="A524" s="437"/>
      <c r="B524" s="435"/>
      <c r="C524" s="435"/>
      <c r="D524" s="444"/>
      <c r="E524" s="444"/>
      <c r="F524" s="444"/>
      <c r="G524" s="444"/>
      <c r="H524" s="444"/>
      <c r="I524" s="444"/>
      <c r="J524" s="444"/>
      <c r="K524" s="444"/>
      <c r="L524" s="444"/>
      <c r="M524" s="435"/>
      <c r="N524" s="435"/>
      <c r="O524" s="4"/>
      <c r="Q524" s="4"/>
    </row>
    <row r="525" spans="1:17">
      <c r="A525" s="437" t="s">
        <v>1202</v>
      </c>
      <c r="D525" s="438">
        <f t="shared" ref="D525:H525" si="277">D496+D503+D508+D509+D515+D521</f>
        <v>17973</v>
      </c>
      <c r="E525" s="438">
        <f t="shared" si="277"/>
        <v>18000</v>
      </c>
      <c r="F525" s="438">
        <f t="shared" si="277"/>
        <v>17997</v>
      </c>
      <c r="G525" s="438">
        <f t="shared" si="277"/>
        <v>18272</v>
      </c>
      <c r="H525" s="438">
        <f t="shared" si="277"/>
        <v>18075</v>
      </c>
      <c r="I525" s="438">
        <f>I496+I503+I508+I509+I515+I521</f>
        <v>17519</v>
      </c>
      <c r="J525" s="438">
        <f>J496+J503+J508+J509+J515+J521</f>
        <v>17512</v>
      </c>
      <c r="K525" s="438">
        <f>K496+K503+K508+K509+K515+K521</f>
        <v>18195</v>
      </c>
      <c r="L525" s="438">
        <f>L496+L503+L508+L509+L515+L521</f>
        <v>18399</v>
      </c>
      <c r="M525" s="435"/>
      <c r="N525" s="435"/>
      <c r="O525" s="4"/>
      <c r="Q525" s="4"/>
    </row>
    <row r="526" spans="1:17">
      <c r="A526" s="437" t="s">
        <v>979</v>
      </c>
      <c r="D526" s="438">
        <f t="shared" ref="D526:H526" si="278">SUM(D512:D514)+SUM(D516:D518)+D522+D523</f>
        <v>27422</v>
      </c>
      <c r="E526" s="438">
        <f t="shared" si="278"/>
        <v>27415</v>
      </c>
      <c r="F526" s="438">
        <f t="shared" si="278"/>
        <v>27245</v>
      </c>
      <c r="G526" s="438">
        <f t="shared" si="278"/>
        <v>27236</v>
      </c>
      <c r="H526" s="438">
        <f t="shared" si="278"/>
        <v>27022</v>
      </c>
      <c r="I526" s="438">
        <f t="shared" ref="I526:J526" si="279">SUM(I512:I514)+SUM(I516:I518)+I522+I523</f>
        <v>25374</v>
      </c>
      <c r="J526" s="438">
        <f t="shared" si="279"/>
        <v>25715</v>
      </c>
      <c r="K526" s="438">
        <f t="shared" ref="K526:L526" si="280">SUM(K512:K514)+SUM(K516:K518)+K522+K523</f>
        <v>27214</v>
      </c>
      <c r="L526" s="438">
        <f t="shared" si="280"/>
        <v>27511</v>
      </c>
      <c r="M526" s="438"/>
      <c r="N526" s="435"/>
      <c r="O526" s="4"/>
      <c r="Q526" s="4"/>
    </row>
    <row r="527" spans="1:17">
      <c r="A527" s="437" t="s">
        <v>1368</v>
      </c>
      <c r="D527" s="438">
        <f t="shared" ref="D527:H527" si="281">D497+SUM(D499:D502)+SUM(D504:D507)+D510+D519+D520</f>
        <v>40121</v>
      </c>
      <c r="E527" s="438">
        <f t="shared" si="281"/>
        <v>40299</v>
      </c>
      <c r="F527" s="438">
        <f t="shared" si="281"/>
        <v>40247</v>
      </c>
      <c r="G527" s="438">
        <f t="shared" si="281"/>
        <v>40583</v>
      </c>
      <c r="H527" s="438">
        <f t="shared" si="281"/>
        <v>40373</v>
      </c>
      <c r="I527" s="438">
        <f t="shared" ref="I527:J527" si="282">I497+SUM(I499:I502)+SUM(I504:I507)+I510+I519+I520</f>
        <v>39051</v>
      </c>
      <c r="J527" s="438">
        <f t="shared" si="282"/>
        <v>38778</v>
      </c>
      <c r="K527" s="438">
        <f t="shared" ref="K527:L527" si="283">K497+SUM(K499:K502)+SUM(K504:K507)+K510+K519+K520</f>
        <v>40523</v>
      </c>
      <c r="L527" s="438">
        <f t="shared" si="283"/>
        <v>40921</v>
      </c>
      <c r="M527" s="435"/>
      <c r="N527" s="435"/>
      <c r="O527" s="4"/>
      <c r="Q527" s="4"/>
    </row>
    <row r="528" spans="1:17">
      <c r="A528" s="435"/>
      <c r="B528" s="435"/>
      <c r="C528" s="435"/>
      <c r="D528" s="435"/>
      <c r="E528" s="435"/>
      <c r="F528" s="435"/>
      <c r="G528" s="435"/>
      <c r="H528" s="435"/>
      <c r="I528" s="435"/>
      <c r="J528" s="435"/>
      <c r="K528" s="435"/>
      <c r="L528" s="435"/>
      <c r="M528" s="435"/>
      <c r="N528" s="435"/>
      <c r="O528" s="4"/>
      <c r="Q528" s="4"/>
    </row>
    <row r="529" spans="1:14">
      <c r="A529" s="435" t="s">
        <v>13806</v>
      </c>
      <c r="B529" s="435"/>
      <c r="C529" s="435"/>
      <c r="D529" s="435"/>
      <c r="E529" s="435"/>
      <c r="F529" s="435"/>
      <c r="G529" s="435"/>
      <c r="H529" s="435"/>
      <c r="I529" s="435"/>
      <c r="J529" s="435"/>
      <c r="K529" s="435"/>
      <c r="L529" s="435"/>
      <c r="M529" s="435"/>
      <c r="N529" s="435"/>
    </row>
    <row r="530" spans="1:14">
      <c r="B530" s="435"/>
      <c r="C530" s="435"/>
      <c r="D530" s="435"/>
      <c r="E530" s="435"/>
      <c r="F530" s="435"/>
      <c r="G530" s="435"/>
      <c r="H530" s="435"/>
      <c r="I530" s="435"/>
      <c r="J530" s="435"/>
      <c r="K530" s="435"/>
      <c r="L530" s="435"/>
      <c r="M530" s="435"/>
      <c r="N530" s="435"/>
    </row>
    <row r="531" spans="1:14">
      <c r="A531" s="435"/>
      <c r="B531" s="435"/>
      <c r="C531" s="435"/>
      <c r="D531" s="435"/>
      <c r="E531" s="435"/>
      <c r="F531" s="435"/>
      <c r="G531" s="435"/>
      <c r="H531" s="435"/>
      <c r="I531" s="435"/>
      <c r="J531" s="435"/>
      <c r="K531" s="435"/>
      <c r="L531" s="435"/>
      <c r="M531" s="435"/>
      <c r="N531" s="435"/>
    </row>
    <row r="532" spans="1:14">
      <c r="A532" s="435"/>
      <c r="B532" s="435"/>
      <c r="C532" s="435"/>
      <c r="D532" s="435"/>
      <c r="E532" s="435"/>
      <c r="F532" s="435"/>
      <c r="G532" s="435"/>
      <c r="H532" s="435"/>
      <c r="I532" s="435"/>
      <c r="J532" s="435"/>
      <c r="K532" s="435"/>
      <c r="L532" s="435"/>
      <c r="M532" s="435"/>
      <c r="N532" s="435"/>
    </row>
    <row r="533" spans="1:14">
      <c r="A533" s="435"/>
      <c r="B533" s="435"/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</row>
    <row r="534" spans="1:14">
      <c r="A534" s="435"/>
      <c r="B534" s="435"/>
      <c r="C534" s="435"/>
      <c r="D534" s="435"/>
      <c r="E534" s="435"/>
      <c r="F534" s="435"/>
      <c r="G534" s="435"/>
      <c r="H534" s="435"/>
      <c r="I534" s="435"/>
      <c r="J534" s="435"/>
      <c r="K534" s="435"/>
      <c r="L534" s="435"/>
      <c r="M534" s="435"/>
      <c r="N534" s="435"/>
    </row>
    <row r="535" spans="1:14">
      <c r="A535" s="435"/>
      <c r="B535" s="435"/>
      <c r="C535" s="435"/>
      <c r="D535" s="435"/>
      <c r="E535" s="435"/>
      <c r="F535" s="435"/>
      <c r="G535" s="435"/>
      <c r="H535" s="435"/>
      <c r="I535" s="435"/>
      <c r="J535" s="435"/>
      <c r="K535" s="435"/>
      <c r="L535" s="435"/>
      <c r="M535" s="435"/>
      <c r="N535" s="435"/>
    </row>
    <row r="536" spans="1:14">
      <c r="A536" s="435"/>
      <c r="B536" s="435"/>
      <c r="C536" s="435"/>
      <c r="D536" s="435"/>
      <c r="E536" s="435"/>
      <c r="F536" s="435"/>
      <c r="G536" s="435"/>
      <c r="H536" s="435"/>
      <c r="I536" s="435"/>
      <c r="J536" s="435"/>
      <c r="K536" s="435"/>
      <c r="L536" s="435"/>
      <c r="M536" s="435"/>
      <c r="N536" s="435"/>
    </row>
    <row r="537" spans="1:14">
      <c r="A537" s="435"/>
      <c r="B537" s="435"/>
      <c r="C537" s="435"/>
      <c r="D537" s="435"/>
      <c r="E537" s="435"/>
      <c r="F537" s="435"/>
      <c r="G537" s="435"/>
      <c r="H537" s="435"/>
      <c r="I537" s="435"/>
      <c r="J537" s="435"/>
      <c r="K537" s="435"/>
      <c r="L537" s="435"/>
      <c r="M537" s="435"/>
      <c r="N537" s="435"/>
    </row>
    <row r="538" spans="1:14">
      <c r="A538" s="435"/>
      <c r="B538" s="435"/>
      <c r="C538" s="435"/>
      <c r="D538" s="435"/>
      <c r="E538" s="435"/>
      <c r="F538" s="435"/>
      <c r="G538" s="435"/>
      <c r="H538" s="435"/>
      <c r="I538" s="435"/>
      <c r="J538" s="435"/>
      <c r="K538" s="435"/>
      <c r="L538" s="435"/>
      <c r="M538" s="435"/>
      <c r="N538" s="435"/>
    </row>
    <row r="539" spans="1:14">
      <c r="A539" s="435"/>
      <c r="B539" s="435"/>
      <c r="C539" s="435"/>
      <c r="D539" s="435"/>
      <c r="E539" s="435"/>
      <c r="F539" s="435"/>
      <c r="G539" s="435"/>
      <c r="H539" s="435"/>
      <c r="I539" s="435"/>
      <c r="J539" s="435"/>
      <c r="K539" s="435"/>
      <c r="L539" s="435"/>
      <c r="M539" s="435"/>
      <c r="N539" s="435"/>
    </row>
    <row r="540" spans="1:14">
      <c r="A540" s="435"/>
      <c r="B540" s="435"/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</row>
    <row r="541" spans="1:14">
      <c r="A541" s="435"/>
      <c r="B541" s="435"/>
      <c r="C541" s="435"/>
      <c r="D541" s="435"/>
      <c r="E541" s="435"/>
      <c r="F541" s="435"/>
      <c r="G541" s="435"/>
      <c r="H541" s="435"/>
      <c r="I541" s="435"/>
      <c r="J541" s="435"/>
      <c r="K541" s="435"/>
      <c r="L541" s="435"/>
      <c r="M541" s="435"/>
      <c r="N541" s="435"/>
    </row>
    <row r="542" spans="1:14">
      <c r="A542" s="435"/>
      <c r="B542" s="435"/>
      <c r="C542" s="435"/>
      <c r="D542" s="435"/>
      <c r="E542" s="435"/>
      <c r="F542" s="435"/>
      <c r="G542" s="435"/>
      <c r="H542" s="435"/>
      <c r="I542" s="435"/>
      <c r="J542" s="435"/>
      <c r="K542" s="435"/>
      <c r="L542" s="435"/>
      <c r="M542" s="435"/>
      <c r="N542" s="435"/>
    </row>
    <row r="543" spans="1:14">
      <c r="A543" s="435"/>
      <c r="B543" s="435"/>
      <c r="C543" s="435"/>
      <c r="D543" s="435"/>
      <c r="E543" s="435"/>
      <c r="F543" s="435"/>
      <c r="G543" s="435"/>
      <c r="H543" s="435"/>
      <c r="I543" s="435"/>
      <c r="J543" s="435"/>
      <c r="K543" s="435"/>
      <c r="L543" s="435"/>
      <c r="M543" s="435"/>
      <c r="N543" s="435"/>
    </row>
    <row r="544" spans="1:14">
      <c r="A544" s="435"/>
      <c r="B544" s="435"/>
      <c r="C544" s="435"/>
      <c r="D544" s="435"/>
      <c r="E544" s="435"/>
      <c r="F544" s="435"/>
      <c r="G544" s="435"/>
      <c r="H544" s="435"/>
      <c r="I544" s="435"/>
      <c r="J544" s="435"/>
      <c r="K544" s="435"/>
      <c r="L544" s="435"/>
      <c r="M544" s="435"/>
      <c r="N544" s="435"/>
    </row>
    <row r="545" spans="1:14">
      <c r="A545" s="435"/>
      <c r="B545" s="435"/>
      <c r="C545" s="435"/>
      <c r="D545" s="435"/>
      <c r="E545" s="435"/>
      <c r="F545" s="435"/>
      <c r="G545" s="435"/>
      <c r="H545" s="435"/>
      <c r="I545" s="435"/>
      <c r="J545" s="435"/>
      <c r="K545" s="435"/>
      <c r="L545" s="435"/>
      <c r="M545" s="435"/>
      <c r="N545" s="435"/>
    </row>
    <row r="546" spans="1:14">
      <c r="A546" s="435"/>
      <c r="B546" s="435"/>
      <c r="C546" s="435"/>
      <c r="D546" s="435"/>
      <c r="E546" s="435"/>
      <c r="F546" s="435"/>
      <c r="G546" s="435"/>
      <c r="H546" s="435"/>
      <c r="I546" s="435"/>
      <c r="J546" s="435"/>
      <c r="K546" s="435"/>
      <c r="L546" s="435"/>
      <c r="M546" s="435"/>
      <c r="N546" s="435"/>
    </row>
    <row r="547" spans="1:14">
      <c r="A547" s="435"/>
      <c r="B547" s="435"/>
      <c r="C547" s="435"/>
      <c r="D547" s="435"/>
      <c r="E547" s="435"/>
      <c r="F547" s="435"/>
      <c r="G547" s="435"/>
      <c r="H547" s="435"/>
      <c r="I547" s="435"/>
      <c r="J547" s="435"/>
      <c r="K547" s="435"/>
      <c r="L547" s="435"/>
      <c r="M547" s="435"/>
      <c r="N547" s="435"/>
    </row>
    <row r="548" spans="1:14">
      <c r="A548" s="435"/>
      <c r="B548" s="435"/>
      <c r="C548" s="435"/>
      <c r="D548" s="435"/>
      <c r="E548" s="435"/>
      <c r="F548" s="435"/>
      <c r="G548" s="435"/>
      <c r="H548" s="435"/>
      <c r="I548" s="435"/>
      <c r="J548" s="435"/>
      <c r="K548" s="435"/>
      <c r="L548" s="435"/>
      <c r="M548" s="435"/>
      <c r="N548" s="435"/>
    </row>
    <row r="549" spans="1:14">
      <c r="A549" s="435"/>
      <c r="B549" s="435"/>
      <c r="C549" s="435"/>
      <c r="D549" s="435"/>
      <c r="E549" s="435"/>
      <c r="F549" s="435"/>
      <c r="G549" s="435"/>
      <c r="H549" s="435"/>
      <c r="I549" s="435"/>
      <c r="J549" s="435"/>
      <c r="K549" s="435"/>
      <c r="L549" s="435"/>
      <c r="M549" s="435"/>
      <c r="N549" s="435"/>
    </row>
    <row r="550" spans="1:14">
      <c r="A550" s="435"/>
      <c r="B550" s="435"/>
      <c r="C550" s="435"/>
      <c r="D550" s="435"/>
      <c r="E550" s="435"/>
      <c r="F550" s="435"/>
      <c r="G550" s="435"/>
      <c r="H550" s="435"/>
      <c r="I550" s="435"/>
      <c r="J550" s="435"/>
      <c r="K550" s="435"/>
      <c r="L550" s="435"/>
      <c r="M550" s="435"/>
      <c r="N550" s="435"/>
    </row>
    <row r="551" spans="1:14">
      <c r="A551" s="435"/>
      <c r="B551" s="435"/>
      <c r="C551" s="435"/>
      <c r="D551" s="435"/>
      <c r="E551" s="435"/>
      <c r="F551" s="435"/>
      <c r="G551" s="435"/>
      <c r="H551" s="435"/>
      <c r="I551" s="435"/>
      <c r="J551" s="435"/>
      <c r="K551" s="435"/>
      <c r="L551" s="435"/>
      <c r="M551" s="435"/>
      <c r="N551" s="435"/>
    </row>
    <row r="552" spans="1:14">
      <c r="A552" s="435"/>
      <c r="B552" s="435"/>
      <c r="C552" s="435"/>
      <c r="D552" s="435"/>
      <c r="E552" s="435"/>
      <c r="F552" s="435"/>
      <c r="G552" s="435"/>
      <c r="H552" s="435"/>
      <c r="I552" s="435"/>
      <c r="J552" s="435"/>
      <c r="K552" s="435"/>
      <c r="L552" s="435"/>
      <c r="M552" s="435"/>
      <c r="N552" s="435"/>
    </row>
    <row r="553" spans="1:14">
      <c r="A553" s="435"/>
      <c r="B553" s="435"/>
      <c r="C553" s="435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</row>
    <row r="554" spans="1:14">
      <c r="A554" s="435"/>
      <c r="B554" s="435"/>
      <c r="C554" s="435"/>
      <c r="D554" s="435"/>
      <c r="E554" s="435"/>
      <c r="F554" s="435"/>
      <c r="G554" s="435"/>
      <c r="H554" s="435"/>
      <c r="I554" s="435"/>
      <c r="J554" s="435"/>
      <c r="K554" s="435"/>
      <c r="L554" s="435"/>
      <c r="M554" s="435"/>
      <c r="N554" s="435"/>
    </row>
    <row r="555" spans="1:14">
      <c r="A555" s="435"/>
    </row>
  </sheetData>
  <sortState ref="O365:Q388">
    <sortCondition ref="O365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3" orientation="portrait" horizontalDpi="300" verticalDpi="300" r:id="rId1"/>
  <headerFooter alignWithMargins="0">
    <oddFooter>&amp;C&amp;"Times New Roman,Regular"&amp;8&amp;P of &amp;N</oddFooter>
  </headerFooter>
  <ignoredErrors>
    <ignoredError sqref="D87:K87 D228:K228 D205:K205 D297:K297 D319:K319 D342:K342 D327:K327 D151:K151 D168:K168 D120:K120 D397:K397 D458:K458 D253:K253 D235:K235 D364:K364 D390:K390 D175:K175 D260:K260 D23:J80 D498:K498 D511:K511 D495:K495 D432:K432 D443:K443 D421:K421 D143:J144 D197:J198 D289:J290 D353:J355 D450:J451 D485:J486 D525:J527 D413:J414 D112:J113 D3:J21 D22:J22 K112:K113 K525:K527 K289:K290 K353:K355 K413:K414 K450:K451 K143:K144 K198 K485:K486 K3:K80 L3:L527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57"/>
  <sheetViews>
    <sheetView showGridLines="0" zoomScaleNormal="100" workbookViewId="0"/>
  </sheetViews>
  <sheetFormatPr defaultColWidth="14.5703125" defaultRowHeight="15"/>
  <cols>
    <col min="1" max="1" width="4.85546875" style="627" customWidth="1"/>
    <col min="2" max="2" width="35.7109375" style="627" customWidth="1"/>
    <col min="3" max="3" width="11.5703125" style="627" customWidth="1"/>
    <col min="4" max="12" width="10" style="627" customWidth="1"/>
    <col min="13" max="13" width="2.28515625" style="627" customWidth="1"/>
    <col min="14" max="14" width="33.140625" style="627" customWidth="1"/>
    <col min="15" max="16384" width="14.5703125" style="627"/>
  </cols>
  <sheetData>
    <row r="1" spans="1:14">
      <c r="A1" s="626" t="s">
        <v>8847</v>
      </c>
      <c r="D1" s="322">
        <v>2010</v>
      </c>
      <c r="E1" s="322">
        <v>2011</v>
      </c>
      <c r="F1" s="322">
        <v>2012</v>
      </c>
      <c r="G1" s="322">
        <v>2013</v>
      </c>
      <c r="H1" s="322">
        <v>2014</v>
      </c>
      <c r="I1" s="322">
        <v>2015</v>
      </c>
      <c r="J1" s="322">
        <v>2016</v>
      </c>
      <c r="K1" s="322">
        <v>2017</v>
      </c>
      <c r="L1" s="322">
        <v>2018</v>
      </c>
    </row>
    <row r="3" spans="1:14">
      <c r="A3" s="626" t="s">
        <v>3519</v>
      </c>
      <c r="D3" s="628">
        <f t="shared" ref="D3:I3" si="0">SUM(D17:D53)</f>
        <v>134016</v>
      </c>
      <c r="E3" s="628">
        <f t="shared" si="0"/>
        <v>135236</v>
      </c>
      <c r="F3" s="628">
        <f t="shared" si="0"/>
        <v>132710</v>
      </c>
      <c r="G3" s="628">
        <f t="shared" si="0"/>
        <v>134824</v>
      </c>
      <c r="H3" s="628">
        <f t="shared" si="0"/>
        <v>130613</v>
      </c>
      <c r="I3" s="628">
        <f t="shared" si="0"/>
        <v>125207</v>
      </c>
      <c r="J3" s="628">
        <f t="shared" ref="J3:K3" si="1">SUM(J17:J53)</f>
        <v>129407</v>
      </c>
      <c r="K3" s="628">
        <f t="shared" si="1"/>
        <v>131217</v>
      </c>
      <c r="L3" s="628">
        <f t="shared" ref="L3" si="2">SUM(L17:L53)</f>
        <v>129957</v>
      </c>
    </row>
    <row r="4" spans="1:14">
      <c r="D4" s="629"/>
      <c r="E4" s="629"/>
      <c r="F4" s="629"/>
      <c r="G4" s="629"/>
      <c r="H4" s="629"/>
      <c r="I4" s="629"/>
      <c r="J4" s="629"/>
      <c r="K4" s="629"/>
      <c r="L4" s="629"/>
      <c r="N4" s="630"/>
    </row>
    <row r="5" spans="1:14">
      <c r="A5" s="626" t="s">
        <v>3520</v>
      </c>
      <c r="D5" s="628">
        <f t="shared" ref="D5:I5" si="3">D3/2</f>
        <v>67008</v>
      </c>
      <c r="E5" s="628">
        <f t="shared" si="3"/>
        <v>67618</v>
      </c>
      <c r="F5" s="628">
        <f t="shared" si="3"/>
        <v>66355</v>
      </c>
      <c r="G5" s="628">
        <f t="shared" si="3"/>
        <v>67412</v>
      </c>
      <c r="H5" s="628">
        <f t="shared" si="3"/>
        <v>65306.5</v>
      </c>
      <c r="I5" s="628">
        <f t="shared" si="3"/>
        <v>62603.5</v>
      </c>
      <c r="J5" s="628">
        <f t="shared" ref="J5:K5" si="4">J3/2</f>
        <v>64703.5</v>
      </c>
      <c r="K5" s="628">
        <f t="shared" si="4"/>
        <v>65608.5</v>
      </c>
      <c r="L5" s="628">
        <f t="shared" ref="L5" si="5">L3/2</f>
        <v>64978.5</v>
      </c>
    </row>
    <row r="6" spans="1:14">
      <c r="D6" s="631"/>
      <c r="E6" s="631"/>
      <c r="F6" s="631"/>
      <c r="G6" s="631"/>
      <c r="H6" s="631"/>
      <c r="I6" s="631"/>
      <c r="J6" s="631"/>
      <c r="K6" s="631"/>
      <c r="L6" s="631"/>
    </row>
    <row r="7" spans="1:14">
      <c r="A7" s="626" t="s">
        <v>3521</v>
      </c>
      <c r="D7" s="628">
        <f t="shared" ref="D7:I7" si="6">D17+D21+D25+SUM(D31:D34)+SUM(D38:D40)+D46+D48+D49+SUM(D51:D53)</f>
        <v>65992</v>
      </c>
      <c r="E7" s="628">
        <f t="shared" si="6"/>
        <v>66690</v>
      </c>
      <c r="F7" s="628">
        <f t="shared" si="6"/>
        <v>64688</v>
      </c>
      <c r="G7" s="628">
        <f t="shared" si="6"/>
        <v>65728</v>
      </c>
      <c r="H7" s="628">
        <f t="shared" si="6"/>
        <v>61505</v>
      </c>
      <c r="I7" s="628">
        <f t="shared" si="6"/>
        <v>56986</v>
      </c>
      <c r="J7" s="628">
        <f t="shared" ref="J7" si="7">J17+J21+J25+SUM(J31:J34)+SUM(J38:J40)+J46+J48+J49+SUM(J51:J53)</f>
        <v>60966</v>
      </c>
      <c r="K7" s="628">
        <f>K17+K21+K25+SUM(K31:K34)+SUM(K38:K40)+K46+K48+K49+SUM(K51:K53)</f>
        <v>61324</v>
      </c>
      <c r="L7" s="628">
        <f>L17+L21+L25+SUM(L31:L34)+SUM(L38:L40)+L46+L48+L49+SUM(L51:L53)</f>
        <v>59887</v>
      </c>
      <c r="N7" s="626" t="s">
        <v>3522</v>
      </c>
    </row>
    <row r="8" spans="1:14">
      <c r="D8" s="631"/>
      <c r="E8" s="631"/>
      <c r="F8" s="631"/>
      <c r="G8" s="631"/>
      <c r="H8" s="631"/>
      <c r="I8" s="631"/>
      <c r="J8" s="631"/>
      <c r="K8" s="631"/>
      <c r="L8" s="631"/>
    </row>
    <row r="9" spans="1:14">
      <c r="A9" s="626" t="s">
        <v>3523</v>
      </c>
      <c r="D9" s="628">
        <f t="shared" ref="D9:I9" si="8">SUM(D18:D20)+SUM(D22:D24)+SUM(D26:D30)+SUM(D35:D37)+SUM(D41:D45)+D47+D50</f>
        <v>68024</v>
      </c>
      <c r="E9" s="628">
        <f t="shared" si="8"/>
        <v>68546</v>
      </c>
      <c r="F9" s="628">
        <f t="shared" si="8"/>
        <v>68022</v>
      </c>
      <c r="G9" s="628">
        <f t="shared" si="8"/>
        <v>69096</v>
      </c>
      <c r="H9" s="628">
        <f t="shared" si="8"/>
        <v>69108</v>
      </c>
      <c r="I9" s="628">
        <f t="shared" si="8"/>
        <v>68221</v>
      </c>
      <c r="J9" s="628">
        <f t="shared" ref="J9" si="9">SUM(J18:J20)+SUM(J22:J24)+SUM(J26:J30)+SUM(J35:J37)+SUM(J41:J45)+J47+J50</f>
        <v>68441</v>
      </c>
      <c r="K9" s="628">
        <f>SUM(K18:K20)+SUM(K22:K24)+SUM(K26:K30)+SUM(K35:K37)+SUM(K41:K45)+K47+K50</f>
        <v>69893</v>
      </c>
      <c r="L9" s="628">
        <f>SUM(L18:L20)+SUM(L22:L24)+SUM(L26:L30)+SUM(L35:L37)+SUM(L41:L45)+L47+L50</f>
        <v>70070</v>
      </c>
      <c r="N9" s="626" t="s">
        <v>3522</v>
      </c>
    </row>
    <row r="10" spans="1:14">
      <c r="D10" s="631"/>
      <c r="E10" s="631"/>
      <c r="F10" s="631"/>
      <c r="G10" s="631"/>
      <c r="H10" s="631"/>
      <c r="I10" s="631"/>
      <c r="J10" s="631"/>
      <c r="K10" s="631"/>
      <c r="L10" s="631"/>
    </row>
    <row r="11" spans="1:14">
      <c r="A11" s="626" t="s">
        <v>8697</v>
      </c>
      <c r="D11" s="628">
        <f t="shared" ref="D11:I11" si="10">D7+D9</f>
        <v>134016</v>
      </c>
      <c r="E11" s="628">
        <f t="shared" si="10"/>
        <v>135236</v>
      </c>
      <c r="F11" s="628">
        <f t="shared" si="10"/>
        <v>132710</v>
      </c>
      <c r="G11" s="628">
        <f t="shared" si="10"/>
        <v>134824</v>
      </c>
      <c r="H11" s="628">
        <f t="shared" si="10"/>
        <v>130613</v>
      </c>
      <c r="I11" s="628">
        <f t="shared" si="10"/>
        <v>125207</v>
      </c>
      <c r="J11" s="628">
        <f t="shared" ref="J11:K11" si="11">J7+J9</f>
        <v>129407</v>
      </c>
      <c r="K11" s="628">
        <f t="shared" si="11"/>
        <v>131217</v>
      </c>
      <c r="L11" s="628">
        <f t="shared" ref="L11" si="12">L7+L9</f>
        <v>129957</v>
      </c>
    </row>
    <row r="12" spans="1:14">
      <c r="D12" s="631"/>
      <c r="E12" s="631"/>
      <c r="F12" s="631"/>
      <c r="G12" s="631"/>
      <c r="H12" s="631"/>
      <c r="I12" s="631"/>
      <c r="J12" s="631"/>
      <c r="K12" s="631"/>
      <c r="L12" s="631"/>
    </row>
    <row r="13" spans="1:14">
      <c r="A13" s="626" t="s">
        <v>8698</v>
      </c>
      <c r="D13" s="628">
        <f t="shared" ref="D13:I13" si="13">MAX(D7,D9)-MIN(D7,D9)</f>
        <v>2032</v>
      </c>
      <c r="E13" s="628">
        <f t="shared" si="13"/>
        <v>1856</v>
      </c>
      <c r="F13" s="628">
        <f t="shared" si="13"/>
        <v>3334</v>
      </c>
      <c r="G13" s="628">
        <f t="shared" si="13"/>
        <v>3368</v>
      </c>
      <c r="H13" s="628">
        <f t="shared" si="13"/>
        <v>7603</v>
      </c>
      <c r="I13" s="628">
        <f t="shared" si="13"/>
        <v>11235</v>
      </c>
      <c r="J13" s="628">
        <f t="shared" ref="J13:K13" si="14">MAX(J7,J9)-MIN(J7,J9)</f>
        <v>7475</v>
      </c>
      <c r="K13" s="628">
        <f t="shared" si="14"/>
        <v>8569</v>
      </c>
      <c r="L13" s="628">
        <f t="shared" ref="L13" si="15">MAX(L7,L9)-MIN(L7,L9)</f>
        <v>10183</v>
      </c>
    </row>
    <row r="14" spans="1:14">
      <c r="D14" s="631"/>
      <c r="E14" s="631"/>
      <c r="F14" s="631"/>
      <c r="G14" s="631"/>
      <c r="H14" s="631"/>
      <c r="I14" s="631"/>
      <c r="J14" s="631"/>
      <c r="K14" s="631"/>
      <c r="L14" s="631"/>
    </row>
    <row r="15" spans="1:14">
      <c r="A15" s="626" t="s">
        <v>8701</v>
      </c>
      <c r="D15" s="628">
        <f t="shared" ref="D15:I15" si="16">STDEVP(D7,D9)</f>
        <v>1016</v>
      </c>
      <c r="E15" s="628">
        <f t="shared" si="16"/>
        <v>928</v>
      </c>
      <c r="F15" s="628">
        <f t="shared" si="16"/>
        <v>1667</v>
      </c>
      <c r="G15" s="628">
        <f t="shared" si="16"/>
        <v>1684</v>
      </c>
      <c r="H15" s="628">
        <f t="shared" si="16"/>
        <v>3801.5</v>
      </c>
      <c r="I15" s="628">
        <f t="shared" si="16"/>
        <v>5617.5</v>
      </c>
      <c r="J15" s="628">
        <f t="shared" ref="J15:K15" si="17">STDEVP(J7,J9)</f>
        <v>3737.5</v>
      </c>
      <c r="K15" s="628">
        <f t="shared" si="17"/>
        <v>4284.5</v>
      </c>
      <c r="L15" s="628">
        <f t="shared" ref="L15" si="18">STDEVP(L7,L9)</f>
        <v>5091.5</v>
      </c>
    </row>
    <row r="17" spans="1:17">
      <c r="A17" s="512">
        <v>1</v>
      </c>
      <c r="B17" s="626" t="s">
        <v>8199</v>
      </c>
      <c r="C17" s="4" t="s">
        <v>9601</v>
      </c>
      <c r="D17" s="628">
        <v>4006</v>
      </c>
      <c r="E17" s="628">
        <v>4133</v>
      </c>
      <c r="F17" s="628">
        <v>3956</v>
      </c>
      <c r="G17" s="48">
        <v>3999</v>
      </c>
      <c r="H17" s="48">
        <v>3650</v>
      </c>
      <c r="I17" s="48">
        <v>3360</v>
      </c>
      <c r="J17" s="48">
        <v>3554</v>
      </c>
      <c r="K17" s="48">
        <v>3644</v>
      </c>
      <c r="L17" s="48">
        <v>3560</v>
      </c>
      <c r="N17" s="626" t="s">
        <v>3521</v>
      </c>
      <c r="O17" s="4"/>
      <c r="Q17" s="4"/>
    </row>
    <row r="18" spans="1:17">
      <c r="A18" s="512">
        <v>2</v>
      </c>
      <c r="B18" s="626" t="s">
        <v>3524</v>
      </c>
      <c r="C18" s="4" t="s">
        <v>9602</v>
      </c>
      <c r="D18" s="628">
        <v>5781</v>
      </c>
      <c r="E18" s="628">
        <v>5818</v>
      </c>
      <c r="F18" s="628">
        <v>5718</v>
      </c>
      <c r="G18" s="48">
        <v>5672</v>
      </c>
      <c r="H18" s="48">
        <v>5687</v>
      </c>
      <c r="I18" s="48">
        <v>5595</v>
      </c>
      <c r="J18" s="48">
        <v>5586</v>
      </c>
      <c r="K18" s="48">
        <v>5606</v>
      </c>
      <c r="L18" s="48">
        <v>5585</v>
      </c>
      <c r="N18" s="626" t="s">
        <v>3523</v>
      </c>
      <c r="O18" s="4"/>
      <c r="Q18" s="4"/>
    </row>
    <row r="19" spans="1:17">
      <c r="A19" s="512">
        <v>3</v>
      </c>
      <c r="B19" s="626" t="s">
        <v>3525</v>
      </c>
      <c r="C19" s="4" t="s">
        <v>9603</v>
      </c>
      <c r="D19" s="629">
        <v>2165</v>
      </c>
      <c r="E19" s="629">
        <v>2227</v>
      </c>
      <c r="F19" s="629">
        <v>2142</v>
      </c>
      <c r="G19" s="48">
        <v>2195</v>
      </c>
      <c r="H19" s="48">
        <v>2149</v>
      </c>
      <c r="I19" s="48">
        <v>2131</v>
      </c>
      <c r="J19" s="48">
        <v>2105</v>
      </c>
      <c r="K19" s="48">
        <v>2213</v>
      </c>
      <c r="L19" s="48">
        <v>2237</v>
      </c>
      <c r="N19" s="626" t="s">
        <v>3523</v>
      </c>
      <c r="O19" s="4"/>
      <c r="Q19" s="4"/>
    </row>
    <row r="20" spans="1:17">
      <c r="A20" s="512">
        <v>4</v>
      </c>
      <c r="B20" s="626" t="s">
        <v>3526</v>
      </c>
      <c r="C20" s="4" t="s">
        <v>9604</v>
      </c>
      <c r="D20" s="628">
        <v>2016</v>
      </c>
      <c r="E20" s="628">
        <v>1994</v>
      </c>
      <c r="F20" s="628">
        <v>1907</v>
      </c>
      <c r="G20" s="48">
        <v>1915</v>
      </c>
      <c r="H20" s="48">
        <v>1661</v>
      </c>
      <c r="I20" s="48">
        <v>1680</v>
      </c>
      <c r="J20" s="48">
        <v>1984</v>
      </c>
      <c r="K20" s="48">
        <v>1966</v>
      </c>
      <c r="L20" s="48">
        <v>1671</v>
      </c>
      <c r="N20" s="626" t="s">
        <v>3523</v>
      </c>
      <c r="O20" s="4"/>
      <c r="Q20" s="4"/>
    </row>
    <row r="21" spans="1:17">
      <c r="A21" s="512">
        <v>5</v>
      </c>
      <c r="B21" s="626" t="s">
        <v>3527</v>
      </c>
      <c r="C21" s="4" t="s">
        <v>9605</v>
      </c>
      <c r="D21" s="628">
        <v>4024</v>
      </c>
      <c r="E21" s="628">
        <v>4083</v>
      </c>
      <c r="F21" s="628">
        <v>4037</v>
      </c>
      <c r="G21" s="48">
        <v>4187</v>
      </c>
      <c r="H21" s="48">
        <v>4143</v>
      </c>
      <c r="I21" s="48">
        <v>2024</v>
      </c>
      <c r="J21" s="48">
        <v>3262</v>
      </c>
      <c r="K21" s="48">
        <v>3041</v>
      </c>
      <c r="L21" s="48">
        <v>2104</v>
      </c>
      <c r="N21" s="626" t="s">
        <v>3521</v>
      </c>
      <c r="O21" s="4"/>
      <c r="Q21" s="4"/>
    </row>
    <row r="22" spans="1:17">
      <c r="A22" s="512">
        <v>6</v>
      </c>
      <c r="B22" s="626" t="s">
        <v>5225</v>
      </c>
      <c r="C22" s="4" t="s">
        <v>9606</v>
      </c>
      <c r="D22" s="628">
        <v>1867</v>
      </c>
      <c r="E22" s="628">
        <v>1915</v>
      </c>
      <c r="F22" s="628">
        <v>1910</v>
      </c>
      <c r="G22" s="48">
        <v>1956</v>
      </c>
      <c r="H22" s="48">
        <v>1942</v>
      </c>
      <c r="I22" s="48">
        <v>1942</v>
      </c>
      <c r="J22" s="48">
        <v>1923</v>
      </c>
      <c r="K22" s="48">
        <v>1989</v>
      </c>
      <c r="L22" s="48">
        <v>1942</v>
      </c>
      <c r="N22" s="626" t="s">
        <v>3523</v>
      </c>
      <c r="O22" s="4"/>
      <c r="Q22" s="4"/>
    </row>
    <row r="23" spans="1:17">
      <c r="A23" s="512">
        <v>7</v>
      </c>
      <c r="B23" s="626" t="s">
        <v>5226</v>
      </c>
      <c r="C23" s="4" t="s">
        <v>9607</v>
      </c>
      <c r="D23" s="628">
        <v>1931</v>
      </c>
      <c r="E23" s="628">
        <v>1926</v>
      </c>
      <c r="F23" s="628">
        <v>1904</v>
      </c>
      <c r="G23" s="48">
        <v>1973</v>
      </c>
      <c r="H23" s="48">
        <v>1980</v>
      </c>
      <c r="I23" s="48">
        <v>1981</v>
      </c>
      <c r="J23" s="48">
        <v>2037</v>
      </c>
      <c r="K23" s="48">
        <v>2131</v>
      </c>
      <c r="L23" s="48">
        <v>2125</v>
      </c>
      <c r="N23" s="626" t="s">
        <v>3523</v>
      </c>
      <c r="O23" s="4"/>
      <c r="Q23" s="4"/>
    </row>
    <row r="24" spans="1:17">
      <c r="A24" s="632">
        <v>8</v>
      </c>
      <c r="B24" s="626" t="s">
        <v>5227</v>
      </c>
      <c r="C24" s="4" t="s">
        <v>9608</v>
      </c>
      <c r="D24" s="628">
        <v>1934</v>
      </c>
      <c r="E24" s="628">
        <v>1973</v>
      </c>
      <c r="F24" s="628">
        <v>1963</v>
      </c>
      <c r="G24" s="48">
        <v>2001</v>
      </c>
      <c r="H24" s="48">
        <v>1992</v>
      </c>
      <c r="I24" s="48">
        <v>1967</v>
      </c>
      <c r="J24" s="48">
        <v>1993</v>
      </c>
      <c r="K24" s="48">
        <v>1981</v>
      </c>
      <c r="L24" s="48">
        <v>1982</v>
      </c>
      <c r="N24" s="626" t="s">
        <v>3523</v>
      </c>
      <c r="O24" s="4"/>
      <c r="Q24" s="4"/>
    </row>
    <row r="25" spans="1:17">
      <c r="A25" s="632">
        <v>9</v>
      </c>
      <c r="B25" s="626" t="s">
        <v>5228</v>
      </c>
      <c r="C25" s="4" t="s">
        <v>9609</v>
      </c>
      <c r="D25" s="628">
        <v>4023</v>
      </c>
      <c r="E25" s="628">
        <v>4040</v>
      </c>
      <c r="F25" s="628">
        <v>3957</v>
      </c>
      <c r="G25" s="48">
        <v>4005</v>
      </c>
      <c r="H25" s="48">
        <v>3833</v>
      </c>
      <c r="I25" s="48">
        <v>3798</v>
      </c>
      <c r="J25" s="48">
        <v>3813</v>
      </c>
      <c r="K25" s="48">
        <v>3879</v>
      </c>
      <c r="L25" s="48">
        <v>3920</v>
      </c>
      <c r="N25" s="626" t="s">
        <v>3521</v>
      </c>
      <c r="O25" s="4"/>
      <c r="Q25" s="4"/>
    </row>
    <row r="26" spans="1:17">
      <c r="A26" s="512">
        <v>10</v>
      </c>
      <c r="B26" s="626" t="s">
        <v>5229</v>
      </c>
      <c r="C26" s="4" t="s">
        <v>9610</v>
      </c>
      <c r="D26" s="628">
        <v>2105</v>
      </c>
      <c r="E26" s="628">
        <v>2122</v>
      </c>
      <c r="F26" s="628">
        <v>2083</v>
      </c>
      <c r="G26" s="48">
        <v>2115</v>
      </c>
      <c r="H26" s="48">
        <v>2145</v>
      </c>
      <c r="I26" s="48">
        <v>2082</v>
      </c>
      <c r="J26" s="48">
        <v>2034</v>
      </c>
      <c r="K26" s="48">
        <v>2123</v>
      </c>
      <c r="L26" s="48">
        <v>2208</v>
      </c>
      <c r="N26" s="626" t="s">
        <v>3523</v>
      </c>
      <c r="O26" s="4"/>
      <c r="Q26" s="4"/>
    </row>
    <row r="27" spans="1:17">
      <c r="A27" s="512">
        <v>11</v>
      </c>
      <c r="B27" s="627" t="s">
        <v>5230</v>
      </c>
      <c r="C27" s="4" t="s">
        <v>9611</v>
      </c>
      <c r="D27" s="628">
        <v>2354</v>
      </c>
      <c r="E27" s="628">
        <v>2408</v>
      </c>
      <c r="F27" s="628">
        <v>2362</v>
      </c>
      <c r="G27" s="48">
        <v>2356</v>
      </c>
      <c r="H27" s="48">
        <v>2413</v>
      </c>
      <c r="I27" s="48">
        <v>2359</v>
      </c>
      <c r="J27" s="48">
        <v>2358</v>
      </c>
      <c r="K27" s="48">
        <v>2360</v>
      </c>
      <c r="L27" s="48">
        <v>2348</v>
      </c>
      <c r="N27" s="626" t="s">
        <v>3523</v>
      </c>
      <c r="O27" s="4"/>
      <c r="Q27" s="4"/>
    </row>
    <row r="28" spans="1:17">
      <c r="A28" s="512">
        <v>12</v>
      </c>
      <c r="B28" s="626" t="s">
        <v>1817</v>
      </c>
      <c r="C28" s="4" t="s">
        <v>9612</v>
      </c>
      <c r="D28" s="628">
        <v>4408</v>
      </c>
      <c r="E28" s="628">
        <v>4433</v>
      </c>
      <c r="F28" s="628">
        <v>4437</v>
      </c>
      <c r="G28" s="48">
        <v>4501</v>
      </c>
      <c r="H28" s="48">
        <v>4519</v>
      </c>
      <c r="I28" s="48">
        <v>4438</v>
      </c>
      <c r="J28" s="48">
        <v>4412</v>
      </c>
      <c r="K28" s="48">
        <v>4472</v>
      </c>
      <c r="L28" s="48">
        <v>4462</v>
      </c>
      <c r="N28" s="626" t="s">
        <v>3523</v>
      </c>
      <c r="O28" s="4"/>
      <c r="Q28" s="4"/>
    </row>
    <row r="29" spans="1:17">
      <c r="A29" s="512">
        <v>13</v>
      </c>
      <c r="B29" s="626" t="s">
        <v>1818</v>
      </c>
      <c r="C29" s="4" t="s">
        <v>9613</v>
      </c>
      <c r="D29" s="628">
        <v>4078</v>
      </c>
      <c r="E29" s="628">
        <v>4060</v>
      </c>
      <c r="F29" s="628">
        <v>4061</v>
      </c>
      <c r="G29" s="48">
        <v>4113</v>
      </c>
      <c r="H29" s="48">
        <v>4125</v>
      </c>
      <c r="I29" s="48">
        <v>4035</v>
      </c>
      <c r="J29" s="48">
        <v>4001</v>
      </c>
      <c r="K29" s="48">
        <v>4194</v>
      </c>
      <c r="L29" s="48">
        <v>4325</v>
      </c>
      <c r="N29" s="626" t="s">
        <v>3523</v>
      </c>
      <c r="O29" s="4"/>
      <c r="Q29" s="4"/>
    </row>
    <row r="30" spans="1:17">
      <c r="A30" s="512">
        <v>14</v>
      </c>
      <c r="B30" s="626" t="s">
        <v>1819</v>
      </c>
      <c r="C30" s="4" t="s">
        <v>9614</v>
      </c>
      <c r="D30" s="628">
        <v>3912</v>
      </c>
      <c r="E30" s="628">
        <v>3888</v>
      </c>
      <c r="F30" s="628">
        <v>3898</v>
      </c>
      <c r="G30" s="48">
        <v>3956</v>
      </c>
      <c r="H30" s="48">
        <v>3978</v>
      </c>
      <c r="I30" s="48">
        <v>3962</v>
      </c>
      <c r="J30" s="48">
        <v>4034</v>
      </c>
      <c r="K30" s="48">
        <v>4177</v>
      </c>
      <c r="L30" s="48">
        <v>4433</v>
      </c>
      <c r="N30" s="626" t="s">
        <v>3523</v>
      </c>
      <c r="O30" s="4"/>
      <c r="Q30" s="4"/>
    </row>
    <row r="31" spans="1:17">
      <c r="A31" s="512">
        <v>15</v>
      </c>
      <c r="B31" s="626" t="s">
        <v>1820</v>
      </c>
      <c r="C31" s="4" t="s">
        <v>9615</v>
      </c>
      <c r="D31" s="628">
        <v>3880</v>
      </c>
      <c r="E31" s="628">
        <v>3911</v>
      </c>
      <c r="F31" s="628">
        <v>3861</v>
      </c>
      <c r="G31" s="48">
        <v>3817</v>
      </c>
      <c r="H31" s="48">
        <v>3463</v>
      </c>
      <c r="I31" s="48">
        <v>3120</v>
      </c>
      <c r="J31" s="48">
        <v>3526</v>
      </c>
      <c r="K31" s="48">
        <v>3817</v>
      </c>
      <c r="L31" s="48">
        <v>3483</v>
      </c>
      <c r="N31" s="626" t="s">
        <v>3521</v>
      </c>
      <c r="Q31" s="4"/>
    </row>
    <row r="32" spans="1:17">
      <c r="A32" s="512">
        <v>16</v>
      </c>
      <c r="B32" s="626" t="s">
        <v>1821</v>
      </c>
      <c r="C32" s="4" t="s">
        <v>9616</v>
      </c>
      <c r="D32" s="628">
        <v>4141</v>
      </c>
      <c r="E32" s="628">
        <v>4146</v>
      </c>
      <c r="F32" s="628">
        <v>4120</v>
      </c>
      <c r="G32" s="48">
        <v>4199</v>
      </c>
      <c r="H32" s="48">
        <v>4173</v>
      </c>
      <c r="I32" s="48">
        <v>4063</v>
      </c>
      <c r="J32" s="48">
        <v>4062</v>
      </c>
      <c r="K32" s="48">
        <v>4090</v>
      </c>
      <c r="L32" s="48">
        <v>4105</v>
      </c>
      <c r="N32" s="626" t="s">
        <v>3521</v>
      </c>
      <c r="O32" s="4"/>
      <c r="Q32" s="4"/>
    </row>
    <row r="33" spans="1:17">
      <c r="A33" s="512">
        <v>17</v>
      </c>
      <c r="B33" s="626" t="s">
        <v>1822</v>
      </c>
      <c r="C33" s="4" t="s">
        <v>9617</v>
      </c>
      <c r="D33" s="628">
        <v>3477</v>
      </c>
      <c r="E33" s="628">
        <v>3470</v>
      </c>
      <c r="F33" s="628">
        <v>3296</v>
      </c>
      <c r="G33" s="48">
        <v>3254</v>
      </c>
      <c r="H33" s="48">
        <v>3189</v>
      </c>
      <c r="I33" s="48">
        <v>3053</v>
      </c>
      <c r="J33" s="48">
        <v>3097</v>
      </c>
      <c r="K33" s="48">
        <v>3162</v>
      </c>
      <c r="L33" s="48">
        <v>3222</v>
      </c>
      <c r="N33" s="626" t="s">
        <v>3521</v>
      </c>
      <c r="O33" s="4"/>
      <c r="Q33" s="4"/>
    </row>
    <row r="34" spans="1:17">
      <c r="A34" s="512">
        <v>18</v>
      </c>
      <c r="B34" s="626" t="s">
        <v>1823</v>
      </c>
      <c r="C34" s="4" t="s">
        <v>9618</v>
      </c>
      <c r="D34" s="628">
        <v>4369</v>
      </c>
      <c r="E34" s="628">
        <v>4412</v>
      </c>
      <c r="F34" s="628">
        <v>4294</v>
      </c>
      <c r="G34" s="48">
        <v>4341</v>
      </c>
      <c r="H34" s="48">
        <v>4233</v>
      </c>
      <c r="I34" s="48">
        <v>4114</v>
      </c>
      <c r="J34" s="48">
        <v>4175</v>
      </c>
      <c r="K34" s="48">
        <v>4230</v>
      </c>
      <c r="L34" s="48">
        <v>4242</v>
      </c>
      <c r="N34" s="626" t="s">
        <v>3521</v>
      </c>
      <c r="O34" s="4"/>
      <c r="Q34" s="4"/>
    </row>
    <row r="35" spans="1:17">
      <c r="A35" s="512">
        <v>19</v>
      </c>
      <c r="B35" s="627" t="s">
        <v>6865</v>
      </c>
      <c r="C35" s="4" t="s">
        <v>9619</v>
      </c>
      <c r="D35" s="628">
        <v>2126</v>
      </c>
      <c r="E35" s="628">
        <v>2121</v>
      </c>
      <c r="F35" s="628">
        <v>2099</v>
      </c>
      <c r="G35" s="48">
        <v>2185</v>
      </c>
      <c r="H35" s="48">
        <v>2167</v>
      </c>
      <c r="I35" s="48">
        <v>2109</v>
      </c>
      <c r="J35" s="48">
        <v>2111</v>
      </c>
      <c r="K35" s="48">
        <v>2170</v>
      </c>
      <c r="L35" s="48">
        <v>2183</v>
      </c>
      <c r="N35" s="626" t="s">
        <v>3523</v>
      </c>
      <c r="O35" s="4"/>
      <c r="Q35" s="4"/>
    </row>
    <row r="36" spans="1:17">
      <c r="A36" s="512">
        <v>20</v>
      </c>
      <c r="B36" s="626" t="s">
        <v>1824</v>
      </c>
      <c r="C36" s="4" t="s">
        <v>9620</v>
      </c>
      <c r="D36" s="628">
        <v>4522</v>
      </c>
      <c r="E36" s="628">
        <v>4522</v>
      </c>
      <c r="F36" s="628">
        <v>4517</v>
      </c>
      <c r="G36" s="48">
        <v>4631</v>
      </c>
      <c r="H36" s="48">
        <v>4607</v>
      </c>
      <c r="I36" s="48">
        <v>4531</v>
      </c>
      <c r="J36" s="48">
        <v>4468</v>
      </c>
      <c r="K36" s="48">
        <v>4582</v>
      </c>
      <c r="L36" s="48">
        <v>4557</v>
      </c>
      <c r="N36" s="626" t="s">
        <v>3523</v>
      </c>
      <c r="O36" s="4"/>
      <c r="Q36" s="4"/>
    </row>
    <row r="37" spans="1:17">
      <c r="A37" s="512">
        <v>21</v>
      </c>
      <c r="B37" s="626" t="s">
        <v>1825</v>
      </c>
      <c r="C37" s="4" t="s">
        <v>9621</v>
      </c>
      <c r="D37" s="628">
        <v>4171</v>
      </c>
      <c r="E37" s="628">
        <v>4171</v>
      </c>
      <c r="F37" s="628">
        <v>4152</v>
      </c>
      <c r="G37" s="48">
        <v>4182</v>
      </c>
      <c r="H37" s="48">
        <v>4211</v>
      </c>
      <c r="I37" s="48">
        <v>4188</v>
      </c>
      <c r="J37" s="48">
        <v>4170</v>
      </c>
      <c r="K37" s="48">
        <v>4201</v>
      </c>
      <c r="L37" s="48">
        <v>4210</v>
      </c>
      <c r="N37" s="626" t="s">
        <v>3523</v>
      </c>
      <c r="O37" s="4"/>
      <c r="Q37" s="4"/>
    </row>
    <row r="38" spans="1:17">
      <c r="A38" s="512">
        <v>22</v>
      </c>
      <c r="B38" s="626" t="s">
        <v>1826</v>
      </c>
      <c r="C38" s="4" t="s">
        <v>9622</v>
      </c>
      <c r="D38" s="628">
        <v>4218</v>
      </c>
      <c r="E38" s="628">
        <v>4345</v>
      </c>
      <c r="F38" s="628">
        <v>4238</v>
      </c>
      <c r="G38" s="48">
        <v>4271</v>
      </c>
      <c r="H38" s="48">
        <v>4135</v>
      </c>
      <c r="I38" s="48">
        <v>4069</v>
      </c>
      <c r="J38" s="48">
        <v>4119</v>
      </c>
      <c r="K38" s="48">
        <v>4236</v>
      </c>
      <c r="L38" s="48">
        <v>4230</v>
      </c>
      <c r="N38" s="626" t="s">
        <v>3521</v>
      </c>
      <c r="O38" s="4"/>
      <c r="Q38" s="4"/>
    </row>
    <row r="39" spans="1:17">
      <c r="A39" s="512">
        <v>23</v>
      </c>
      <c r="B39" s="627" t="s">
        <v>1827</v>
      </c>
      <c r="C39" s="4" t="s">
        <v>9623</v>
      </c>
      <c r="D39" s="628">
        <v>4113</v>
      </c>
      <c r="E39" s="628">
        <v>4169</v>
      </c>
      <c r="F39" s="628">
        <v>4112</v>
      </c>
      <c r="G39" s="48">
        <v>4139</v>
      </c>
      <c r="H39" s="48">
        <v>4053</v>
      </c>
      <c r="I39" s="48">
        <v>3974</v>
      </c>
      <c r="J39" s="48">
        <v>3912</v>
      </c>
      <c r="K39" s="48">
        <v>3964</v>
      </c>
      <c r="L39" s="48">
        <v>3989</v>
      </c>
      <c r="N39" s="626" t="s">
        <v>3521</v>
      </c>
      <c r="O39" s="4"/>
      <c r="Q39" s="4"/>
    </row>
    <row r="40" spans="1:17">
      <c r="A40" s="512">
        <v>24</v>
      </c>
      <c r="B40" s="626" t="s">
        <v>1828</v>
      </c>
      <c r="C40" s="4" t="s">
        <v>9624</v>
      </c>
      <c r="D40" s="628">
        <v>4410</v>
      </c>
      <c r="E40" s="628">
        <v>4579</v>
      </c>
      <c r="F40" s="628">
        <v>4217</v>
      </c>
      <c r="G40" s="48">
        <v>4359</v>
      </c>
      <c r="H40" s="48">
        <v>3476</v>
      </c>
      <c r="I40" s="48">
        <v>3326</v>
      </c>
      <c r="J40" s="48">
        <v>3919</v>
      </c>
      <c r="K40" s="48">
        <v>3558</v>
      </c>
      <c r="L40" s="48">
        <v>3572</v>
      </c>
      <c r="N40" s="626" t="s">
        <v>3521</v>
      </c>
      <c r="O40" s="4"/>
      <c r="Q40" s="4"/>
    </row>
    <row r="41" spans="1:17">
      <c r="A41" s="512">
        <v>25</v>
      </c>
      <c r="B41" s="626" t="s">
        <v>1829</v>
      </c>
      <c r="C41" s="4" t="s">
        <v>9625</v>
      </c>
      <c r="D41" s="628">
        <v>4081</v>
      </c>
      <c r="E41" s="628">
        <v>4158</v>
      </c>
      <c r="F41" s="628">
        <v>4143</v>
      </c>
      <c r="G41" s="48">
        <v>4279</v>
      </c>
      <c r="H41" s="48">
        <v>4347</v>
      </c>
      <c r="I41" s="48">
        <v>4297</v>
      </c>
      <c r="J41" s="48">
        <v>4332</v>
      </c>
      <c r="K41" s="48">
        <v>4425</v>
      </c>
      <c r="L41" s="48">
        <v>4431</v>
      </c>
      <c r="N41" s="626" t="s">
        <v>3523</v>
      </c>
      <c r="O41" s="4"/>
      <c r="Q41" s="4"/>
    </row>
    <row r="42" spans="1:17">
      <c r="A42" s="512">
        <v>26</v>
      </c>
      <c r="B42" s="626" t="s">
        <v>1830</v>
      </c>
      <c r="C42" s="4" t="s">
        <v>9626</v>
      </c>
      <c r="D42" s="628">
        <v>4749</v>
      </c>
      <c r="E42" s="628">
        <v>4845</v>
      </c>
      <c r="F42" s="628">
        <v>4814</v>
      </c>
      <c r="G42" s="48">
        <v>4921</v>
      </c>
      <c r="H42" s="48">
        <v>5038</v>
      </c>
      <c r="I42" s="48">
        <v>4945</v>
      </c>
      <c r="J42" s="48">
        <v>4929</v>
      </c>
      <c r="K42" s="48">
        <v>4962</v>
      </c>
      <c r="L42" s="48">
        <v>4948</v>
      </c>
      <c r="N42" s="626" t="s">
        <v>3523</v>
      </c>
      <c r="O42" s="4"/>
      <c r="Q42" s="4"/>
    </row>
    <row r="43" spans="1:17">
      <c r="A43" s="512">
        <v>27</v>
      </c>
      <c r="B43" s="627" t="s">
        <v>1831</v>
      </c>
      <c r="C43" s="4" t="s">
        <v>9627</v>
      </c>
      <c r="D43" s="628">
        <v>1965</v>
      </c>
      <c r="E43" s="628">
        <v>1965</v>
      </c>
      <c r="F43" s="628">
        <v>1998</v>
      </c>
      <c r="G43" s="48">
        <v>2015</v>
      </c>
      <c r="H43" s="48">
        <v>2031</v>
      </c>
      <c r="I43" s="48">
        <v>1999</v>
      </c>
      <c r="J43" s="48">
        <v>2018</v>
      </c>
      <c r="K43" s="48">
        <v>2066</v>
      </c>
      <c r="L43" s="48">
        <v>2053</v>
      </c>
      <c r="N43" s="626" t="s">
        <v>3523</v>
      </c>
      <c r="O43" s="4"/>
      <c r="Q43" s="4"/>
    </row>
    <row r="44" spans="1:17">
      <c r="A44" s="512">
        <v>28</v>
      </c>
      <c r="B44" s="626" t="s">
        <v>1832</v>
      </c>
      <c r="C44" s="4" t="s">
        <v>9628</v>
      </c>
      <c r="D44" s="628">
        <v>4080</v>
      </c>
      <c r="E44" s="628">
        <v>4100</v>
      </c>
      <c r="F44" s="628">
        <v>4112</v>
      </c>
      <c r="G44" s="48">
        <v>4204</v>
      </c>
      <c r="H44" s="48">
        <v>4080</v>
      </c>
      <c r="I44" s="48">
        <v>3965</v>
      </c>
      <c r="J44" s="48">
        <v>3928</v>
      </c>
      <c r="K44" s="48">
        <v>4135</v>
      </c>
      <c r="L44" s="48">
        <v>4242</v>
      </c>
      <c r="N44" s="626" t="s">
        <v>3523</v>
      </c>
      <c r="O44" s="4"/>
      <c r="Q44" s="4"/>
    </row>
    <row r="45" spans="1:17">
      <c r="A45" s="512">
        <v>29</v>
      </c>
      <c r="B45" s="626" t="s">
        <v>1833</v>
      </c>
      <c r="C45" s="4" t="s">
        <v>9629</v>
      </c>
      <c r="D45" s="628">
        <v>3347</v>
      </c>
      <c r="E45" s="628">
        <v>3343</v>
      </c>
      <c r="F45" s="628">
        <v>3329</v>
      </c>
      <c r="G45" s="48">
        <v>3413</v>
      </c>
      <c r="H45" s="48">
        <v>3451</v>
      </c>
      <c r="I45" s="48">
        <v>3445</v>
      </c>
      <c r="J45" s="48">
        <v>3419</v>
      </c>
      <c r="K45" s="48">
        <v>3408</v>
      </c>
      <c r="L45" s="48">
        <v>3375</v>
      </c>
      <c r="N45" s="626" t="s">
        <v>3523</v>
      </c>
      <c r="O45" s="4"/>
      <c r="Q45" s="4"/>
    </row>
    <row r="46" spans="1:17">
      <c r="A46" s="512">
        <v>30</v>
      </c>
      <c r="B46" s="626" t="s">
        <v>1834</v>
      </c>
      <c r="C46" s="4" t="s">
        <v>9630</v>
      </c>
      <c r="D46" s="628">
        <v>4296</v>
      </c>
      <c r="E46" s="628">
        <v>4251</v>
      </c>
      <c r="F46" s="628">
        <v>4188</v>
      </c>
      <c r="G46" s="48">
        <v>4204</v>
      </c>
      <c r="H46" s="48">
        <v>4099</v>
      </c>
      <c r="I46" s="48">
        <v>4026</v>
      </c>
      <c r="J46" s="48">
        <v>4005</v>
      </c>
      <c r="K46" s="48">
        <v>4023</v>
      </c>
      <c r="L46" s="48">
        <v>4025</v>
      </c>
      <c r="N46" s="626" t="s">
        <v>3521</v>
      </c>
      <c r="O46" s="4"/>
      <c r="Q46" s="4"/>
    </row>
    <row r="47" spans="1:17">
      <c r="A47" s="512">
        <v>31</v>
      </c>
      <c r="B47" s="626" t="s">
        <v>1835</v>
      </c>
      <c r="C47" s="4" t="s">
        <v>9631</v>
      </c>
      <c r="D47" s="628">
        <v>2143</v>
      </c>
      <c r="E47" s="628">
        <v>2139</v>
      </c>
      <c r="F47" s="628">
        <v>2116</v>
      </c>
      <c r="G47" s="48">
        <v>2128</v>
      </c>
      <c r="H47" s="48">
        <v>2103</v>
      </c>
      <c r="I47" s="48">
        <v>2083</v>
      </c>
      <c r="J47" s="48">
        <v>2067</v>
      </c>
      <c r="K47" s="48">
        <v>2090</v>
      </c>
      <c r="L47" s="48">
        <v>2040</v>
      </c>
      <c r="N47" s="626" t="s">
        <v>3523</v>
      </c>
      <c r="O47" s="4"/>
      <c r="Q47" s="4"/>
    </row>
    <row r="48" spans="1:17">
      <c r="A48" s="512">
        <v>32</v>
      </c>
      <c r="B48" s="626" t="s">
        <v>1836</v>
      </c>
      <c r="C48" s="4" t="s">
        <v>9632</v>
      </c>
      <c r="D48" s="628">
        <v>3675</v>
      </c>
      <c r="E48" s="628">
        <v>3758</v>
      </c>
      <c r="F48" s="628">
        <v>3766</v>
      </c>
      <c r="G48" s="48">
        <v>3873</v>
      </c>
      <c r="H48" s="48">
        <v>3704</v>
      </c>
      <c r="I48" s="48">
        <v>3582</v>
      </c>
      <c r="J48" s="48">
        <v>3578</v>
      </c>
      <c r="K48" s="48">
        <v>3766</v>
      </c>
      <c r="L48" s="48">
        <v>3569</v>
      </c>
      <c r="N48" s="626" t="s">
        <v>3521</v>
      </c>
      <c r="O48" s="4"/>
      <c r="Q48" s="4"/>
    </row>
    <row r="49" spans="1:17">
      <c r="A49" s="512">
        <v>33</v>
      </c>
      <c r="B49" s="626" t="s">
        <v>1837</v>
      </c>
      <c r="C49" s="4" t="s">
        <v>9633</v>
      </c>
      <c r="D49" s="628">
        <v>4239</v>
      </c>
      <c r="E49" s="628">
        <v>4220</v>
      </c>
      <c r="F49" s="628">
        <v>4178</v>
      </c>
      <c r="G49" s="48">
        <v>4167</v>
      </c>
      <c r="H49" s="48">
        <v>4132</v>
      </c>
      <c r="I49" s="48">
        <v>3924</v>
      </c>
      <c r="J49" s="48">
        <v>4004</v>
      </c>
      <c r="K49" s="48">
        <v>4137</v>
      </c>
      <c r="L49" s="48">
        <v>4126</v>
      </c>
      <c r="N49" s="626" t="s">
        <v>3521</v>
      </c>
      <c r="O49" s="4"/>
      <c r="Q49" s="4"/>
    </row>
    <row r="50" spans="1:17">
      <c r="A50" s="512">
        <v>34</v>
      </c>
      <c r="B50" s="626" t="s">
        <v>1838</v>
      </c>
      <c r="C50" s="4" t="s">
        <v>9634</v>
      </c>
      <c r="D50" s="628">
        <v>4289</v>
      </c>
      <c r="E50" s="628">
        <v>4418</v>
      </c>
      <c r="F50" s="628">
        <v>4357</v>
      </c>
      <c r="G50" s="48">
        <v>4385</v>
      </c>
      <c r="H50" s="48">
        <v>4482</v>
      </c>
      <c r="I50" s="48">
        <v>4487</v>
      </c>
      <c r="J50" s="48">
        <v>4532</v>
      </c>
      <c r="K50" s="48">
        <v>4642</v>
      </c>
      <c r="L50" s="48">
        <v>4713</v>
      </c>
      <c r="N50" s="626" t="s">
        <v>3523</v>
      </c>
      <c r="O50" s="4"/>
      <c r="Q50" s="4"/>
    </row>
    <row r="51" spans="1:17">
      <c r="A51" s="512">
        <v>35</v>
      </c>
      <c r="B51" s="626" t="s">
        <v>1839</v>
      </c>
      <c r="C51" s="4" t="s">
        <v>9635</v>
      </c>
      <c r="D51" s="628">
        <v>4916</v>
      </c>
      <c r="E51" s="628">
        <v>4870</v>
      </c>
      <c r="F51" s="628">
        <v>4541</v>
      </c>
      <c r="G51" s="48">
        <v>4805</v>
      </c>
      <c r="H51" s="48">
        <v>3792</v>
      </c>
      <c r="I51" s="48">
        <v>3416</v>
      </c>
      <c r="J51" s="48">
        <v>4424</v>
      </c>
      <c r="K51" s="48">
        <v>4311</v>
      </c>
      <c r="L51" s="48">
        <v>4235</v>
      </c>
      <c r="N51" s="626" t="s">
        <v>3521</v>
      </c>
      <c r="O51" s="4"/>
      <c r="Q51" s="4"/>
    </row>
    <row r="52" spans="1:17">
      <c r="A52" s="512">
        <v>36</v>
      </c>
      <c r="B52" s="626" t="s">
        <v>1840</v>
      </c>
      <c r="C52" s="4" t="s">
        <v>9636</v>
      </c>
      <c r="D52" s="628">
        <v>4101</v>
      </c>
      <c r="E52" s="628">
        <v>4031</v>
      </c>
      <c r="F52" s="628">
        <v>4014</v>
      </c>
      <c r="G52" s="48">
        <v>4172</v>
      </c>
      <c r="H52" s="48">
        <v>4150</v>
      </c>
      <c r="I52" s="48">
        <v>4049</v>
      </c>
      <c r="J52" s="48">
        <v>3989</v>
      </c>
      <c r="K52" s="48">
        <v>4019</v>
      </c>
      <c r="L52" s="48">
        <v>3995</v>
      </c>
      <c r="N52" s="626" t="s">
        <v>3521</v>
      </c>
      <c r="O52" s="4"/>
      <c r="Q52" s="4"/>
    </row>
    <row r="53" spans="1:17">
      <c r="A53" s="512">
        <v>37</v>
      </c>
      <c r="B53" s="626" t="s">
        <v>3576</v>
      </c>
      <c r="C53" s="4" t="s">
        <v>9637</v>
      </c>
      <c r="D53" s="628">
        <v>4104</v>
      </c>
      <c r="E53" s="628">
        <v>4272</v>
      </c>
      <c r="F53" s="628">
        <v>3913</v>
      </c>
      <c r="G53" s="48">
        <v>3936</v>
      </c>
      <c r="H53" s="48">
        <v>3280</v>
      </c>
      <c r="I53" s="48">
        <v>3088</v>
      </c>
      <c r="J53" s="48">
        <v>3527</v>
      </c>
      <c r="K53" s="48">
        <v>3447</v>
      </c>
      <c r="L53" s="48">
        <v>3510</v>
      </c>
      <c r="N53" s="626" t="s">
        <v>3521</v>
      </c>
      <c r="O53" s="4"/>
      <c r="Q53" s="4"/>
    </row>
    <row r="54" spans="1:17">
      <c r="D54" s="631"/>
      <c r="E54" s="631"/>
      <c r="F54" s="631"/>
      <c r="G54" s="631"/>
      <c r="H54" s="631"/>
      <c r="I54" s="631"/>
      <c r="J54" s="631"/>
      <c r="K54" s="631"/>
      <c r="L54" s="631"/>
    </row>
    <row r="55" spans="1:17">
      <c r="A55" s="626" t="s">
        <v>3577</v>
      </c>
    </row>
    <row r="56" spans="1:17">
      <c r="A56" s="626"/>
    </row>
    <row r="57" spans="1:17">
      <c r="A57" s="626"/>
    </row>
  </sheetData>
  <sortState ref="O17:Q53">
    <sortCondition ref="O17:O53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6 H3:H4 H5:H15 I3:I16 J3:J6 K3:K6 K10:K15 J10:J15 K8 K7 K9 L3:L15" unlockedFormula="1"/>
    <ignoredError sqref="J7:J9" formula="1" unlocked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42"/>
  <sheetViews>
    <sheetView showGridLines="0" zoomScaleNormal="100" workbookViewId="0"/>
  </sheetViews>
  <sheetFormatPr defaultColWidth="12.5703125" defaultRowHeight="15"/>
  <cols>
    <col min="1" max="1" width="4.85546875" style="455" customWidth="1"/>
    <col min="2" max="2" width="34.42578125" style="455" customWidth="1"/>
    <col min="3" max="3" width="11.7109375" style="455" customWidth="1"/>
    <col min="4" max="12" width="10" style="455" customWidth="1"/>
    <col min="13" max="13" width="2.28515625" style="455" customWidth="1"/>
    <col min="14" max="14" width="35.7109375" style="455" customWidth="1"/>
    <col min="15" max="16384" width="12.5703125" style="455"/>
  </cols>
  <sheetData>
    <row r="1" spans="1:14">
      <c r="A1" s="434" t="s">
        <v>8847</v>
      </c>
      <c r="B1" s="453"/>
      <c r="C1" s="453"/>
      <c r="D1" s="454">
        <v>2010</v>
      </c>
      <c r="E1" s="454">
        <v>2011</v>
      </c>
      <c r="F1" s="454">
        <v>2012</v>
      </c>
      <c r="G1" s="454">
        <v>2013</v>
      </c>
      <c r="H1" s="454">
        <v>2014</v>
      </c>
      <c r="I1" s="454">
        <v>2015</v>
      </c>
      <c r="J1" s="454">
        <v>2016</v>
      </c>
      <c r="K1" s="454">
        <v>2017</v>
      </c>
      <c r="L1" s="454">
        <v>2018</v>
      </c>
      <c r="M1" s="453"/>
    </row>
    <row r="2" spans="1:14">
      <c r="A2" s="453"/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</row>
    <row r="3" spans="1:14">
      <c r="A3" s="434" t="s">
        <v>1707</v>
      </c>
      <c r="D3" s="456">
        <f t="shared" ref="D3:I3" si="0">SUM(D19:D39)</f>
        <v>215534</v>
      </c>
      <c r="E3" s="456">
        <f t="shared" si="0"/>
        <v>218242</v>
      </c>
      <c r="F3" s="456">
        <f t="shared" si="0"/>
        <v>221621</v>
      </c>
      <c r="G3" s="456">
        <f t="shared" si="0"/>
        <v>220937</v>
      </c>
      <c r="H3" s="456">
        <f t="shared" si="0"/>
        <v>219873</v>
      </c>
      <c r="I3" s="456">
        <f t="shared" si="0"/>
        <v>206793</v>
      </c>
      <c r="J3" s="456">
        <f t="shared" ref="J3:K3" si="1">SUM(J19:J39)</f>
        <v>210775</v>
      </c>
      <c r="K3" s="456">
        <f t="shared" si="1"/>
        <v>217838</v>
      </c>
      <c r="L3" s="456">
        <f t="shared" ref="L3" si="2">SUM(L19:L39)</f>
        <v>219271</v>
      </c>
      <c r="M3" s="453"/>
    </row>
    <row r="4" spans="1:14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</row>
    <row r="5" spans="1:14">
      <c r="A5" s="434" t="s">
        <v>1708</v>
      </c>
      <c r="B5" s="453"/>
      <c r="C5" s="453"/>
      <c r="D5" s="456">
        <f t="shared" ref="D5:I5" si="3">D3/3</f>
        <v>71844.666666666672</v>
      </c>
      <c r="E5" s="456">
        <f t="shared" si="3"/>
        <v>72747.333333333328</v>
      </c>
      <c r="F5" s="456">
        <f t="shared" si="3"/>
        <v>73873.666666666672</v>
      </c>
      <c r="G5" s="456">
        <f t="shared" si="3"/>
        <v>73645.666666666672</v>
      </c>
      <c r="H5" s="456">
        <f t="shared" si="3"/>
        <v>73291</v>
      </c>
      <c r="I5" s="456">
        <f t="shared" si="3"/>
        <v>68931</v>
      </c>
      <c r="J5" s="456">
        <f t="shared" ref="J5:K5" si="4">J3/3</f>
        <v>70258.333333333328</v>
      </c>
      <c r="K5" s="456">
        <f t="shared" si="4"/>
        <v>72612.666666666672</v>
      </c>
      <c r="L5" s="456">
        <f t="shared" ref="L5" si="5">L3/3</f>
        <v>73090.333333333328</v>
      </c>
      <c r="M5" s="453"/>
      <c r="N5" s="453"/>
    </row>
    <row r="6" spans="1:14">
      <c r="A6" s="434"/>
      <c r="B6" s="453"/>
      <c r="C6" s="453"/>
      <c r="D6" s="458"/>
      <c r="E6" s="458"/>
      <c r="F6" s="458"/>
      <c r="G6" s="458"/>
      <c r="H6" s="458"/>
      <c r="I6" s="458"/>
      <c r="J6" s="458"/>
      <c r="K6" s="458"/>
      <c r="L6" s="458"/>
      <c r="M6" s="453"/>
      <c r="N6" s="453"/>
    </row>
    <row r="7" spans="1:14">
      <c r="A7" s="434" t="s">
        <v>5150</v>
      </c>
      <c r="D7" s="456">
        <f t="shared" ref="D7:H7" si="6">D22+D25+D28+D30+D31+D33+D35+D36</f>
        <v>73320</v>
      </c>
      <c r="E7" s="456">
        <f t="shared" si="6"/>
        <v>74377</v>
      </c>
      <c r="F7" s="456">
        <f t="shared" si="6"/>
        <v>76009</v>
      </c>
      <c r="G7" s="456">
        <f t="shared" si="6"/>
        <v>76741</v>
      </c>
      <c r="H7" s="456">
        <f t="shared" si="6"/>
        <v>76347</v>
      </c>
      <c r="I7" s="456">
        <f>I22+I25+I28+I30+I31+I35+I36</f>
        <v>74819</v>
      </c>
      <c r="J7" s="456">
        <f>J22+J25+J28+J30+J31+J35+J36</f>
        <v>75755</v>
      </c>
      <c r="K7" s="456">
        <f>K22+K25+K28+K30+K31+K35+K36</f>
        <v>78283</v>
      </c>
      <c r="L7" s="456">
        <f>L22+L25+L28+L30+L31+L35+L36</f>
        <v>78895</v>
      </c>
      <c r="M7" s="453"/>
      <c r="N7" s="434" t="s">
        <v>5151</v>
      </c>
    </row>
    <row r="8" spans="1:14">
      <c r="A8" s="453"/>
      <c r="D8" s="459"/>
      <c r="E8" s="459"/>
      <c r="F8" s="459"/>
      <c r="G8" s="459"/>
      <c r="H8" s="459"/>
      <c r="I8" s="459"/>
      <c r="J8" s="459"/>
      <c r="K8" s="459"/>
      <c r="L8" s="459"/>
      <c r="M8" s="453"/>
      <c r="N8" s="453"/>
    </row>
    <row r="9" spans="1:14">
      <c r="A9" s="434" t="s">
        <v>5152</v>
      </c>
      <c r="D9" s="456">
        <f t="shared" ref="D9:H9" si="7">D20+D24+D26+D29+D32+D34+D39</f>
        <v>77156</v>
      </c>
      <c r="E9" s="456">
        <f t="shared" si="7"/>
        <v>78433</v>
      </c>
      <c r="F9" s="456">
        <f t="shared" si="7"/>
        <v>80038</v>
      </c>
      <c r="G9" s="456">
        <f t="shared" si="7"/>
        <v>78404</v>
      </c>
      <c r="H9" s="456">
        <f t="shared" si="7"/>
        <v>77879</v>
      </c>
      <c r="I9" s="456">
        <f>I20+I24+I26+I29+SUM(I32:I34)+I39</f>
        <v>70055</v>
      </c>
      <c r="J9" s="456">
        <f>J20+J24+J26+J29+SUM(J32:J34)+J39</f>
        <v>72227</v>
      </c>
      <c r="K9" s="456">
        <f>K20+K24+K26+K29+SUM(K32:K34)+K39</f>
        <v>74554</v>
      </c>
      <c r="L9" s="456">
        <f>L20+L24+L26+L29+SUM(L32:L34)+L39</f>
        <v>75341</v>
      </c>
      <c r="M9" s="453"/>
      <c r="N9" s="434" t="s">
        <v>5151</v>
      </c>
    </row>
    <row r="10" spans="1:14">
      <c r="A10" s="453"/>
      <c r="D10" s="459"/>
      <c r="E10" s="459"/>
      <c r="F10" s="459"/>
      <c r="G10" s="459"/>
      <c r="H10" s="459"/>
      <c r="I10" s="459"/>
      <c r="J10" s="459"/>
      <c r="K10" s="459"/>
      <c r="L10" s="459"/>
      <c r="M10" s="453"/>
      <c r="N10" s="453"/>
    </row>
    <row r="11" spans="1:14">
      <c r="A11" s="434" t="s">
        <v>5153</v>
      </c>
      <c r="D11" s="456">
        <f t="shared" ref="D11:H11" si="8">D19+D21+D23+D27+D37+D38</f>
        <v>65058</v>
      </c>
      <c r="E11" s="456">
        <f t="shared" si="8"/>
        <v>65432</v>
      </c>
      <c r="F11" s="456">
        <f t="shared" si="8"/>
        <v>65574</v>
      </c>
      <c r="G11" s="456">
        <f t="shared" si="8"/>
        <v>65792</v>
      </c>
      <c r="H11" s="456">
        <f t="shared" si="8"/>
        <v>65647</v>
      </c>
      <c r="I11" s="456">
        <f>I19+I21+I23+I27+I37+I38</f>
        <v>61919</v>
      </c>
      <c r="J11" s="456">
        <f>J19+J21+J23+J27+J37+J38</f>
        <v>62793</v>
      </c>
      <c r="K11" s="456">
        <f>K19+K21+K23+K27+K37+K38</f>
        <v>65001</v>
      </c>
      <c r="L11" s="456">
        <f>L19+L21+L23+L27+L37+L38</f>
        <v>65035</v>
      </c>
      <c r="M11" s="453"/>
      <c r="N11" s="434" t="s">
        <v>5151</v>
      </c>
    </row>
    <row r="12" spans="1:14">
      <c r="A12" s="453"/>
      <c r="D12" s="459"/>
      <c r="E12" s="459"/>
      <c r="F12" s="459"/>
      <c r="G12" s="459"/>
      <c r="H12" s="459"/>
      <c r="I12" s="459"/>
      <c r="J12" s="459"/>
      <c r="K12" s="459"/>
      <c r="L12" s="459"/>
      <c r="M12" s="453"/>
      <c r="N12" s="453"/>
    </row>
    <row r="13" spans="1:14">
      <c r="A13" s="434" t="s">
        <v>8697</v>
      </c>
      <c r="B13" s="453"/>
      <c r="C13" s="453"/>
      <c r="D13" s="456">
        <f t="shared" ref="D13:I13" si="9">D7+D9+D11</f>
        <v>215534</v>
      </c>
      <c r="E13" s="456">
        <f t="shared" si="9"/>
        <v>218242</v>
      </c>
      <c r="F13" s="456">
        <f t="shared" si="9"/>
        <v>221621</v>
      </c>
      <c r="G13" s="456">
        <f t="shared" si="9"/>
        <v>220937</v>
      </c>
      <c r="H13" s="456">
        <f t="shared" si="9"/>
        <v>219873</v>
      </c>
      <c r="I13" s="456">
        <f t="shared" si="9"/>
        <v>206793</v>
      </c>
      <c r="J13" s="456">
        <f t="shared" ref="J13:K13" si="10">J7+J9+J11</f>
        <v>210775</v>
      </c>
      <c r="K13" s="456">
        <f t="shared" si="10"/>
        <v>217838</v>
      </c>
      <c r="L13" s="456">
        <f t="shared" ref="L13" si="11">L7+L9+L11</f>
        <v>219271</v>
      </c>
      <c r="M13" s="453"/>
      <c r="N13" s="453"/>
    </row>
    <row r="14" spans="1:14">
      <c r="A14" s="453"/>
      <c r="B14" s="453"/>
      <c r="C14" s="453"/>
      <c r="D14" s="459"/>
      <c r="E14" s="459"/>
      <c r="F14" s="459"/>
      <c r="G14" s="459"/>
      <c r="H14" s="459"/>
      <c r="I14" s="459"/>
      <c r="J14" s="459"/>
      <c r="K14" s="459"/>
      <c r="L14" s="459"/>
      <c r="M14" s="453"/>
      <c r="N14" s="453"/>
    </row>
    <row r="15" spans="1:14">
      <c r="A15" s="434" t="s">
        <v>8698</v>
      </c>
      <c r="B15" s="453"/>
      <c r="C15" s="453"/>
      <c r="D15" s="456">
        <f t="shared" ref="D15:I15" si="12">MAX(D7,D9,D11)-MIN(D7,D9,D11)</f>
        <v>12098</v>
      </c>
      <c r="E15" s="456">
        <f t="shared" si="12"/>
        <v>13001</v>
      </c>
      <c r="F15" s="456">
        <f t="shared" si="12"/>
        <v>14464</v>
      </c>
      <c r="G15" s="456">
        <f t="shared" si="12"/>
        <v>12612</v>
      </c>
      <c r="H15" s="456">
        <f t="shared" si="12"/>
        <v>12232</v>
      </c>
      <c r="I15" s="456">
        <f t="shared" si="12"/>
        <v>12900</v>
      </c>
      <c r="J15" s="456">
        <f t="shared" ref="J15:K15" si="13">MAX(J7,J9,J11)-MIN(J7,J9,J11)</f>
        <v>12962</v>
      </c>
      <c r="K15" s="456">
        <f t="shared" si="13"/>
        <v>13282</v>
      </c>
      <c r="L15" s="456">
        <f t="shared" ref="L15" si="14">MAX(L7,L9,L11)-MIN(L7,L9,L11)</f>
        <v>13860</v>
      </c>
      <c r="M15" s="453"/>
      <c r="N15" s="453"/>
    </row>
    <row r="16" spans="1:14">
      <c r="A16" s="453"/>
      <c r="B16" s="453"/>
      <c r="C16" s="453"/>
      <c r="D16" s="459"/>
      <c r="E16" s="459"/>
      <c r="F16" s="459"/>
      <c r="G16" s="459"/>
      <c r="H16" s="459"/>
      <c r="I16" s="459"/>
      <c r="J16" s="459"/>
      <c r="K16" s="459"/>
      <c r="L16" s="459"/>
      <c r="M16" s="453"/>
      <c r="N16" s="453"/>
    </row>
    <row r="17" spans="1:17">
      <c r="A17" s="434" t="s">
        <v>8701</v>
      </c>
      <c r="B17" s="453"/>
      <c r="C17" s="453"/>
      <c r="D17" s="456">
        <f t="shared" ref="D17:I17" si="15">STDEVP(D7,D9,D11)</f>
        <v>5047.960468237532</v>
      </c>
      <c r="E17" s="456">
        <f t="shared" si="15"/>
        <v>5431.2896156335555</v>
      </c>
      <c r="F17" s="456">
        <f t="shared" si="15"/>
        <v>6094.8918685148874</v>
      </c>
      <c r="G17" s="456">
        <f t="shared" si="15"/>
        <v>5594.7268228415069</v>
      </c>
      <c r="H17" s="456">
        <f t="shared" si="15"/>
        <v>5441.1890857299441</v>
      </c>
      <c r="I17" s="456">
        <f t="shared" si="15"/>
        <v>5326.0386780420586</v>
      </c>
      <c r="J17" s="456">
        <f t="shared" ref="J17:K17" si="16">STDEVP(J7,J9,J11)</f>
        <v>5471.7515375690164</v>
      </c>
      <c r="K17" s="456">
        <f t="shared" si="16"/>
        <v>5593.4165071289144</v>
      </c>
      <c r="L17" s="456">
        <f t="shared" ref="L17" si="17">STDEVP(L7,L9,L11)</f>
        <v>5877.8695308948645</v>
      </c>
      <c r="M17" s="453"/>
      <c r="N17" s="453"/>
    </row>
    <row r="18" spans="1:17">
      <c r="A18" s="434"/>
      <c r="B18" s="453"/>
      <c r="C18" s="453"/>
      <c r="D18" s="456"/>
      <c r="E18" s="456"/>
      <c r="F18" s="456"/>
      <c r="G18" s="456"/>
      <c r="H18" s="456"/>
      <c r="I18" s="456"/>
      <c r="J18" s="456"/>
      <c r="K18" s="456"/>
      <c r="L18" s="456"/>
      <c r="M18" s="453"/>
      <c r="N18" s="453"/>
    </row>
    <row r="19" spans="1:17">
      <c r="A19" s="434" t="s">
        <v>6957</v>
      </c>
      <c r="B19" s="434" t="s">
        <v>8199</v>
      </c>
      <c r="C19" s="4" t="s">
        <v>14209</v>
      </c>
      <c r="D19" s="456">
        <v>65058</v>
      </c>
      <c r="E19" s="456">
        <v>65432</v>
      </c>
      <c r="F19" s="456">
        <v>65574</v>
      </c>
      <c r="G19" s="31">
        <v>65792</v>
      </c>
      <c r="H19" s="31">
        <v>65647</v>
      </c>
      <c r="I19" s="31">
        <v>11583</v>
      </c>
      <c r="J19" s="31">
        <v>11923</v>
      </c>
      <c r="K19" s="31">
        <v>12237</v>
      </c>
      <c r="L19" s="31">
        <v>12192</v>
      </c>
      <c r="M19" s="453"/>
      <c r="N19" s="434" t="s">
        <v>5153</v>
      </c>
      <c r="O19" s="4"/>
      <c r="Q19" s="4"/>
    </row>
    <row r="20" spans="1:17">
      <c r="A20" s="434" t="s">
        <v>6959</v>
      </c>
      <c r="B20" s="434" t="s">
        <v>2547</v>
      </c>
      <c r="C20" s="4" t="s">
        <v>14210</v>
      </c>
      <c r="D20" s="456">
        <v>77156</v>
      </c>
      <c r="E20" s="456">
        <v>78433</v>
      </c>
      <c r="F20" s="456">
        <v>80038</v>
      </c>
      <c r="G20" s="30">
        <v>78404</v>
      </c>
      <c r="H20" s="30">
        <v>77879</v>
      </c>
      <c r="I20" s="30">
        <v>8145</v>
      </c>
      <c r="J20" s="30">
        <v>8136</v>
      </c>
      <c r="K20" s="30">
        <v>8489</v>
      </c>
      <c r="L20" s="30">
        <v>8447</v>
      </c>
      <c r="M20" s="453"/>
      <c r="N20" s="434" t="s">
        <v>5152</v>
      </c>
      <c r="O20" s="4"/>
      <c r="Q20" s="4"/>
    </row>
    <row r="21" spans="1:17">
      <c r="A21" s="434" t="s">
        <v>6961</v>
      </c>
      <c r="B21" s="434" t="s">
        <v>5154</v>
      </c>
      <c r="C21" s="4" t="s">
        <v>14211</v>
      </c>
      <c r="D21" s="456">
        <v>0</v>
      </c>
      <c r="E21" s="456">
        <v>0</v>
      </c>
      <c r="F21" s="456">
        <v>0</v>
      </c>
      <c r="G21" s="456">
        <v>0</v>
      </c>
      <c r="H21" s="456">
        <v>0</v>
      </c>
      <c r="I21" s="31">
        <v>11388</v>
      </c>
      <c r="J21" s="31">
        <v>11412</v>
      </c>
      <c r="K21" s="31">
        <v>11737</v>
      </c>
      <c r="L21" s="31">
        <v>11845</v>
      </c>
      <c r="M21" s="453"/>
      <c r="N21" s="434" t="s">
        <v>5153</v>
      </c>
      <c r="O21" s="4"/>
      <c r="Q21" s="4"/>
    </row>
    <row r="22" spans="1:17">
      <c r="A22" s="434" t="s">
        <v>6963</v>
      </c>
      <c r="B22" s="434" t="s">
        <v>5155</v>
      </c>
      <c r="C22" s="4" t="s">
        <v>14212</v>
      </c>
      <c r="D22" s="456">
        <v>73320</v>
      </c>
      <c r="E22" s="456">
        <v>74377</v>
      </c>
      <c r="F22" s="456">
        <v>76009</v>
      </c>
      <c r="G22" s="30">
        <v>76741</v>
      </c>
      <c r="H22" s="30">
        <v>76347</v>
      </c>
      <c r="I22" s="30">
        <v>11144</v>
      </c>
      <c r="J22" s="30">
        <v>11199</v>
      </c>
      <c r="K22" s="30">
        <v>11446</v>
      </c>
      <c r="L22" s="30">
        <v>11428</v>
      </c>
      <c r="M22" s="453"/>
      <c r="N22" s="434" t="s">
        <v>5150</v>
      </c>
      <c r="O22" s="4"/>
      <c r="Q22" s="4"/>
    </row>
    <row r="23" spans="1:17">
      <c r="A23" s="434" t="s">
        <v>6965</v>
      </c>
      <c r="B23" s="434" t="s">
        <v>13945</v>
      </c>
      <c r="C23" s="4" t="s">
        <v>14213</v>
      </c>
      <c r="D23" s="456">
        <v>0</v>
      </c>
      <c r="E23" s="456">
        <v>0</v>
      </c>
      <c r="F23" s="456">
        <v>0</v>
      </c>
      <c r="G23" s="31">
        <v>0</v>
      </c>
      <c r="H23" s="31">
        <v>0</v>
      </c>
      <c r="I23" s="31">
        <v>12133</v>
      </c>
      <c r="J23" s="31">
        <v>12260</v>
      </c>
      <c r="K23" s="31">
        <v>12799</v>
      </c>
      <c r="L23" s="31">
        <v>12792</v>
      </c>
      <c r="M23" s="453"/>
      <c r="N23" s="434" t="s">
        <v>5153</v>
      </c>
      <c r="O23" s="4"/>
      <c r="Q23" s="4"/>
    </row>
    <row r="24" spans="1:17">
      <c r="A24" s="434" t="s">
        <v>6997</v>
      </c>
      <c r="B24" s="434" t="s">
        <v>7588</v>
      </c>
      <c r="C24" s="4" t="s">
        <v>14214</v>
      </c>
      <c r="D24" s="456">
        <v>0</v>
      </c>
      <c r="E24" s="456">
        <v>0</v>
      </c>
      <c r="F24" s="456">
        <v>0</v>
      </c>
      <c r="G24" s="30">
        <v>0</v>
      </c>
      <c r="H24" s="30">
        <v>0</v>
      </c>
      <c r="I24" s="30">
        <v>7572</v>
      </c>
      <c r="J24" s="30">
        <v>9148</v>
      </c>
      <c r="K24" s="30">
        <v>9355</v>
      </c>
      <c r="L24" s="30">
        <v>9591</v>
      </c>
      <c r="M24" s="453"/>
      <c r="N24" s="434" t="s">
        <v>5152</v>
      </c>
      <c r="O24" s="4"/>
      <c r="Q24" s="4"/>
    </row>
    <row r="25" spans="1:17">
      <c r="A25" s="434" t="s">
        <v>6999</v>
      </c>
      <c r="B25" s="434" t="s">
        <v>3471</v>
      </c>
      <c r="C25" s="4" t="s">
        <v>14215</v>
      </c>
      <c r="D25" s="456">
        <v>0</v>
      </c>
      <c r="E25" s="456">
        <v>0</v>
      </c>
      <c r="F25" s="456">
        <v>0</v>
      </c>
      <c r="G25" s="30">
        <v>0</v>
      </c>
      <c r="H25" s="30">
        <v>0</v>
      </c>
      <c r="I25" s="30">
        <v>11989</v>
      </c>
      <c r="J25" s="30">
        <v>12158</v>
      </c>
      <c r="K25" s="30">
        <v>12604</v>
      </c>
      <c r="L25" s="30">
        <v>12650</v>
      </c>
      <c r="M25" s="453"/>
      <c r="N25" s="434" t="s">
        <v>5150</v>
      </c>
      <c r="O25" s="4"/>
      <c r="Q25" s="4"/>
    </row>
    <row r="26" spans="1:17">
      <c r="A26" s="434" t="s">
        <v>7001</v>
      </c>
      <c r="B26" s="434" t="s">
        <v>3472</v>
      </c>
      <c r="C26" s="4" t="s">
        <v>14216</v>
      </c>
      <c r="D26" s="456">
        <v>0</v>
      </c>
      <c r="E26" s="456">
        <v>0</v>
      </c>
      <c r="F26" s="456">
        <v>0</v>
      </c>
      <c r="G26" s="30">
        <v>0</v>
      </c>
      <c r="H26" s="30">
        <v>0</v>
      </c>
      <c r="I26" s="30">
        <v>7807</v>
      </c>
      <c r="J26" s="30">
        <v>7780</v>
      </c>
      <c r="K26" s="30">
        <v>8091</v>
      </c>
      <c r="L26" s="30">
        <v>8043</v>
      </c>
      <c r="M26" s="453"/>
      <c r="N26" s="434" t="s">
        <v>5152</v>
      </c>
      <c r="O26" s="4"/>
      <c r="Q26" s="4"/>
    </row>
    <row r="27" spans="1:17">
      <c r="A27" s="434" t="s">
        <v>7003</v>
      </c>
      <c r="B27" s="434" t="s">
        <v>8478</v>
      </c>
      <c r="C27" s="4" t="s">
        <v>14217</v>
      </c>
      <c r="D27" s="456">
        <v>0</v>
      </c>
      <c r="E27" s="456">
        <v>0</v>
      </c>
      <c r="F27" s="456">
        <v>0</v>
      </c>
      <c r="G27" s="30">
        <v>0</v>
      </c>
      <c r="H27" s="30">
        <v>0</v>
      </c>
      <c r="I27" s="31">
        <v>7514</v>
      </c>
      <c r="J27" s="31">
        <v>7366</v>
      </c>
      <c r="K27" s="31">
        <v>7731</v>
      </c>
      <c r="L27" s="31">
        <v>7728</v>
      </c>
      <c r="M27" s="453"/>
      <c r="N27" s="434" t="s">
        <v>5153</v>
      </c>
      <c r="O27" s="4"/>
      <c r="Q27" s="4"/>
    </row>
    <row r="28" spans="1:17">
      <c r="A28" s="434" t="s">
        <v>7005</v>
      </c>
      <c r="B28" s="434" t="s">
        <v>13946</v>
      </c>
      <c r="C28" s="4" t="s">
        <v>14218</v>
      </c>
      <c r="D28" s="456">
        <v>0</v>
      </c>
      <c r="E28" s="456">
        <v>0</v>
      </c>
      <c r="F28" s="456">
        <v>0</v>
      </c>
      <c r="G28" s="30">
        <v>0</v>
      </c>
      <c r="H28" s="30">
        <v>0</v>
      </c>
      <c r="I28" s="30">
        <v>12186</v>
      </c>
      <c r="J28" s="30">
        <v>12388</v>
      </c>
      <c r="K28" s="30">
        <v>13052</v>
      </c>
      <c r="L28" s="30">
        <v>13376</v>
      </c>
      <c r="M28" s="453"/>
      <c r="N28" s="434" t="s">
        <v>5150</v>
      </c>
      <c r="O28" s="4"/>
      <c r="Q28" s="4"/>
    </row>
    <row r="29" spans="1:17">
      <c r="A29" s="434" t="s">
        <v>7007</v>
      </c>
      <c r="B29" s="434" t="s">
        <v>2616</v>
      </c>
      <c r="C29" s="4" t="s">
        <v>14219</v>
      </c>
      <c r="D29" s="456">
        <v>0</v>
      </c>
      <c r="E29" s="456">
        <v>0</v>
      </c>
      <c r="F29" s="456">
        <v>0</v>
      </c>
      <c r="G29" s="31">
        <v>0</v>
      </c>
      <c r="H29" s="31">
        <v>0</v>
      </c>
      <c r="I29" s="30">
        <v>12037</v>
      </c>
      <c r="J29" s="30">
        <v>12263</v>
      </c>
      <c r="K29" s="30">
        <v>12565</v>
      </c>
      <c r="L29" s="30">
        <v>12523</v>
      </c>
      <c r="M29" s="453"/>
      <c r="N29" s="434" t="s">
        <v>5152</v>
      </c>
      <c r="O29" s="4"/>
      <c r="Q29" s="4"/>
    </row>
    <row r="30" spans="1:17">
      <c r="A30" s="434" t="s">
        <v>7009</v>
      </c>
      <c r="B30" s="434" t="s">
        <v>13947</v>
      </c>
      <c r="C30" s="4" t="s">
        <v>14220</v>
      </c>
      <c r="D30" s="456">
        <v>0</v>
      </c>
      <c r="E30" s="456">
        <v>0</v>
      </c>
      <c r="F30" s="456">
        <v>0</v>
      </c>
      <c r="G30" s="30">
        <v>0</v>
      </c>
      <c r="H30" s="30">
        <v>0</v>
      </c>
      <c r="I30" s="30">
        <v>11233</v>
      </c>
      <c r="J30" s="30">
        <v>11328</v>
      </c>
      <c r="K30" s="30">
        <v>11716</v>
      </c>
      <c r="L30" s="30">
        <v>11865</v>
      </c>
      <c r="M30" s="453"/>
      <c r="N30" s="434" t="s">
        <v>5150</v>
      </c>
      <c r="O30" s="4"/>
      <c r="Q30" s="4"/>
    </row>
    <row r="31" spans="1:17">
      <c r="A31" s="434" t="s">
        <v>7011</v>
      </c>
      <c r="B31" s="434" t="s">
        <v>1734</v>
      </c>
      <c r="C31" s="4" t="s">
        <v>14221</v>
      </c>
      <c r="D31" s="456">
        <v>0</v>
      </c>
      <c r="E31" s="456">
        <v>0</v>
      </c>
      <c r="F31" s="456">
        <v>0</v>
      </c>
      <c r="G31" s="30">
        <v>0</v>
      </c>
      <c r="H31" s="30">
        <v>0</v>
      </c>
      <c r="I31" s="30">
        <v>12181</v>
      </c>
      <c r="J31" s="30">
        <v>12248</v>
      </c>
      <c r="K31" s="30">
        <v>12353</v>
      </c>
      <c r="L31" s="30">
        <v>12267</v>
      </c>
      <c r="M31" s="453"/>
      <c r="N31" s="434" t="s">
        <v>5150</v>
      </c>
      <c r="O31" s="4"/>
      <c r="Q31" s="4"/>
    </row>
    <row r="32" spans="1:17">
      <c r="A32" s="434" t="s">
        <v>7013</v>
      </c>
      <c r="B32" s="434" t="s">
        <v>13948</v>
      </c>
      <c r="C32" s="4" t="s">
        <v>14222</v>
      </c>
      <c r="D32" s="456">
        <v>0</v>
      </c>
      <c r="E32" s="456">
        <v>0</v>
      </c>
      <c r="F32" s="456">
        <v>0</v>
      </c>
      <c r="G32" s="30">
        <v>0</v>
      </c>
      <c r="H32" s="30">
        <v>0</v>
      </c>
      <c r="I32" s="30">
        <v>6398</v>
      </c>
      <c r="J32" s="30">
        <v>6578</v>
      </c>
      <c r="K32" s="30">
        <v>6790</v>
      </c>
      <c r="L32" s="30">
        <v>6989</v>
      </c>
      <c r="M32" s="453"/>
      <c r="N32" s="434" t="s">
        <v>5152</v>
      </c>
      <c r="O32" s="4"/>
      <c r="Q32" s="4"/>
    </row>
    <row r="33" spans="1:17">
      <c r="A33" s="434" t="s">
        <v>7015</v>
      </c>
      <c r="B33" s="434" t="s">
        <v>1735</v>
      </c>
      <c r="C33" s="4" t="s">
        <v>14223</v>
      </c>
      <c r="D33" s="456">
        <v>0</v>
      </c>
      <c r="E33" s="456">
        <v>0</v>
      </c>
      <c r="F33" s="456">
        <v>0</v>
      </c>
      <c r="G33" s="30">
        <v>0</v>
      </c>
      <c r="H33" s="30">
        <v>0</v>
      </c>
      <c r="I33" s="30">
        <v>8503</v>
      </c>
      <c r="J33" s="30">
        <v>8542</v>
      </c>
      <c r="K33" s="30">
        <v>8684</v>
      </c>
      <c r="L33" s="30">
        <v>8773</v>
      </c>
      <c r="M33" s="453"/>
      <c r="N33" s="434" t="s">
        <v>5152</v>
      </c>
      <c r="O33" s="4"/>
      <c r="Q33" s="4"/>
    </row>
    <row r="34" spans="1:17">
      <c r="A34" s="434" t="s">
        <v>7017</v>
      </c>
      <c r="B34" s="434" t="s">
        <v>1736</v>
      </c>
      <c r="C34" s="4" t="s">
        <v>14224</v>
      </c>
      <c r="D34" s="456">
        <v>0</v>
      </c>
      <c r="E34" s="456">
        <v>0</v>
      </c>
      <c r="F34" s="456">
        <v>0</v>
      </c>
      <c r="G34" s="31">
        <v>0</v>
      </c>
      <c r="H34" s="31">
        <v>0</v>
      </c>
      <c r="I34" s="30">
        <v>11636</v>
      </c>
      <c r="J34" s="30">
        <v>11842</v>
      </c>
      <c r="K34" s="30">
        <v>12359</v>
      </c>
      <c r="L34" s="30">
        <v>12588</v>
      </c>
      <c r="M34" s="453"/>
      <c r="N34" s="434" t="s">
        <v>5152</v>
      </c>
      <c r="O34" s="4"/>
      <c r="Q34" s="4"/>
    </row>
    <row r="35" spans="1:17">
      <c r="A35" s="434" t="s">
        <v>7019</v>
      </c>
      <c r="B35" s="434" t="s">
        <v>1737</v>
      </c>
      <c r="C35" s="4" t="s">
        <v>14225</v>
      </c>
      <c r="D35" s="456">
        <v>0</v>
      </c>
      <c r="E35" s="456">
        <v>0</v>
      </c>
      <c r="F35" s="456">
        <v>0</v>
      </c>
      <c r="G35" s="30">
        <v>0</v>
      </c>
      <c r="H35" s="30">
        <v>0</v>
      </c>
      <c r="I35" s="30">
        <v>7881</v>
      </c>
      <c r="J35" s="30">
        <v>7980</v>
      </c>
      <c r="K35" s="30">
        <v>8198</v>
      </c>
      <c r="L35" s="30">
        <v>8207</v>
      </c>
      <c r="M35" s="453"/>
      <c r="N35" s="434" t="s">
        <v>5150</v>
      </c>
      <c r="O35" s="4"/>
      <c r="Q35" s="4"/>
    </row>
    <row r="36" spans="1:17">
      <c r="A36" s="434" t="s">
        <v>7021</v>
      </c>
      <c r="B36" s="434" t="s">
        <v>13949</v>
      </c>
      <c r="C36" s="4" t="s">
        <v>14226</v>
      </c>
      <c r="D36" s="456">
        <v>0</v>
      </c>
      <c r="E36" s="456">
        <v>0</v>
      </c>
      <c r="F36" s="456">
        <v>0</v>
      </c>
      <c r="G36" s="30">
        <v>0</v>
      </c>
      <c r="H36" s="30">
        <v>0</v>
      </c>
      <c r="I36" s="30">
        <v>8205</v>
      </c>
      <c r="J36" s="30">
        <v>8454</v>
      </c>
      <c r="K36" s="30">
        <v>8914</v>
      </c>
      <c r="L36" s="30">
        <v>9102</v>
      </c>
      <c r="M36" s="453"/>
      <c r="N36" s="434" t="s">
        <v>5150</v>
      </c>
      <c r="O36" s="4"/>
      <c r="Q36" s="4"/>
    </row>
    <row r="37" spans="1:17">
      <c r="A37" s="434" t="s">
        <v>7023</v>
      </c>
      <c r="B37" s="434" t="s">
        <v>1738</v>
      </c>
      <c r="C37" s="4" t="s">
        <v>14227</v>
      </c>
      <c r="D37" s="456">
        <v>0</v>
      </c>
      <c r="E37" s="456">
        <v>0</v>
      </c>
      <c r="F37" s="456">
        <v>0</v>
      </c>
      <c r="G37" s="30">
        <v>0</v>
      </c>
      <c r="H37" s="30">
        <v>0</v>
      </c>
      <c r="I37" s="31">
        <v>6332</v>
      </c>
      <c r="J37" s="31">
        <v>6724</v>
      </c>
      <c r="K37" s="31">
        <v>6971</v>
      </c>
      <c r="L37" s="31">
        <v>6903</v>
      </c>
      <c r="M37" s="453"/>
      <c r="N37" s="434" t="s">
        <v>5153</v>
      </c>
      <c r="O37" s="4"/>
      <c r="Q37" s="4"/>
    </row>
    <row r="38" spans="1:17">
      <c r="A38" s="434" t="s">
        <v>7025</v>
      </c>
      <c r="B38" s="434" t="s">
        <v>13950</v>
      </c>
      <c r="C38" s="4" t="s">
        <v>14228</v>
      </c>
      <c r="D38" s="456">
        <v>0</v>
      </c>
      <c r="E38" s="456">
        <v>0</v>
      </c>
      <c r="F38" s="456">
        <v>0</v>
      </c>
      <c r="G38" s="30">
        <v>0</v>
      </c>
      <c r="H38" s="30">
        <v>0</v>
      </c>
      <c r="I38" s="31">
        <v>12969</v>
      </c>
      <c r="J38" s="31">
        <v>13108</v>
      </c>
      <c r="K38" s="31">
        <v>13526</v>
      </c>
      <c r="L38" s="31">
        <v>13575</v>
      </c>
      <c r="M38" s="453"/>
      <c r="N38" s="434" t="s">
        <v>5153</v>
      </c>
      <c r="O38" s="4"/>
      <c r="Q38" s="4"/>
    </row>
    <row r="39" spans="1:17">
      <c r="A39" s="434" t="s">
        <v>7570</v>
      </c>
      <c r="B39" s="434" t="s">
        <v>13951</v>
      </c>
      <c r="C39" s="4" t="s">
        <v>14229</v>
      </c>
      <c r="D39" s="456">
        <v>0</v>
      </c>
      <c r="E39" s="456">
        <v>0</v>
      </c>
      <c r="F39" s="456">
        <v>0</v>
      </c>
      <c r="G39" s="31">
        <v>0</v>
      </c>
      <c r="H39" s="31">
        <v>0</v>
      </c>
      <c r="I39" s="30">
        <v>7957</v>
      </c>
      <c r="J39" s="30">
        <v>7938</v>
      </c>
      <c r="K39" s="30">
        <v>8221</v>
      </c>
      <c r="L39" s="30">
        <v>8387</v>
      </c>
      <c r="M39" s="453"/>
      <c r="N39" s="434" t="s">
        <v>5152</v>
      </c>
      <c r="O39" s="4"/>
      <c r="Q39" s="4"/>
    </row>
    <row r="40" spans="1:17">
      <c r="A40" s="453"/>
      <c r="B40" s="453"/>
      <c r="C40" s="453"/>
      <c r="D40" s="459"/>
      <c r="E40" s="459"/>
      <c r="F40" s="459"/>
      <c r="G40" s="459"/>
      <c r="H40" s="459"/>
      <c r="I40" s="459"/>
      <c r="J40" s="459"/>
      <c r="K40" s="459"/>
      <c r="L40" s="459"/>
      <c r="M40" s="453"/>
      <c r="N40" s="453"/>
    </row>
    <row r="41" spans="1:17">
      <c r="A41" s="434" t="s">
        <v>13952</v>
      </c>
      <c r="B41" s="453"/>
      <c r="C41" s="453"/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3"/>
    </row>
    <row r="42" spans="1:17">
      <c r="A42" s="434"/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7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6 E5:E6 F5:F6 G5:G6 H3:H4 H5:H6 D12:D17 E12:E17 F12:F17 G12:G17 H12:H17 D7:H11 I3:I17 J3:J17 K3:K17 L3:L17" unlockedFormula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38"/>
  <sheetViews>
    <sheetView showGridLines="0" zoomScaleNormal="100" workbookViewId="0"/>
  </sheetViews>
  <sheetFormatPr defaultColWidth="12.5703125" defaultRowHeight="15"/>
  <cols>
    <col min="1" max="1" width="4.85546875" style="455" customWidth="1"/>
    <col min="2" max="2" width="51" style="455" customWidth="1"/>
    <col min="3" max="3" width="11.5703125" style="455" customWidth="1"/>
    <col min="4" max="12" width="10" style="455" customWidth="1"/>
    <col min="13" max="13" width="2.28515625" style="455" customWidth="1"/>
    <col min="14" max="14" width="35.7109375" style="455" customWidth="1"/>
    <col min="15" max="16384" width="12.5703125" style="455"/>
  </cols>
  <sheetData>
    <row r="1" spans="1:14">
      <c r="A1" s="434" t="s">
        <v>8847</v>
      </c>
      <c r="B1" s="453"/>
      <c r="C1" s="453"/>
      <c r="D1" s="454">
        <v>2010</v>
      </c>
      <c r="E1" s="454">
        <v>2011</v>
      </c>
      <c r="F1" s="454">
        <v>2012</v>
      </c>
      <c r="G1" s="454">
        <v>2013</v>
      </c>
      <c r="H1" s="454">
        <v>2014</v>
      </c>
      <c r="I1" s="454">
        <v>2015</v>
      </c>
      <c r="J1" s="454">
        <v>2016</v>
      </c>
      <c r="K1" s="454">
        <v>2017</v>
      </c>
      <c r="L1" s="454">
        <v>2018</v>
      </c>
      <c r="M1" s="453"/>
    </row>
    <row r="2" spans="1:14">
      <c r="A2" s="453"/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</row>
    <row r="3" spans="1:14">
      <c r="A3" s="434" t="s">
        <v>1739</v>
      </c>
      <c r="C3" s="434"/>
      <c r="D3" s="456">
        <f t="shared" ref="D3:I3" si="0">SUM(D7:D13)</f>
        <v>503903</v>
      </c>
      <c r="E3" s="456">
        <f t="shared" si="0"/>
        <v>508199</v>
      </c>
      <c r="F3" s="456">
        <f t="shared" si="0"/>
        <v>510354</v>
      </c>
      <c r="G3" s="456">
        <f t="shared" si="0"/>
        <v>514121</v>
      </c>
      <c r="H3" s="456">
        <f t="shared" si="0"/>
        <v>514689</v>
      </c>
      <c r="I3" s="456">
        <f t="shared" si="0"/>
        <v>496919</v>
      </c>
      <c r="J3" s="456">
        <f t="shared" ref="J3:K3" si="1">SUM(J7:J13)</f>
        <v>496493</v>
      </c>
      <c r="K3" s="456">
        <f t="shared" si="1"/>
        <v>510754</v>
      </c>
      <c r="L3" s="456">
        <f t="shared" ref="L3" si="2">SUM(L7:L13)</f>
        <v>514623</v>
      </c>
      <c r="M3" s="453"/>
    </row>
    <row r="4" spans="1:14" ht="15.75" thickBot="1">
      <c r="A4" s="434" t="s">
        <v>1740</v>
      </c>
      <c r="C4" s="434"/>
      <c r="D4" s="660">
        <f t="shared" ref="D4:I4" si="3">D54</f>
        <v>29006</v>
      </c>
      <c r="E4" s="660">
        <f t="shared" si="3"/>
        <v>28437</v>
      </c>
      <c r="F4" s="660">
        <f t="shared" si="3"/>
        <v>28331</v>
      </c>
      <c r="G4" s="660">
        <f t="shared" si="3"/>
        <v>28707</v>
      </c>
      <c r="H4" s="660">
        <f t="shared" si="3"/>
        <v>28954</v>
      </c>
      <c r="I4" s="660">
        <f t="shared" si="3"/>
        <v>29053</v>
      </c>
      <c r="J4" s="660">
        <f t="shared" ref="J4:K4" si="4">J54</f>
        <v>27355</v>
      </c>
      <c r="K4" s="660">
        <f t="shared" si="4"/>
        <v>28933</v>
      </c>
      <c r="L4" s="660">
        <f t="shared" ref="L4" si="5">L54</f>
        <v>28836</v>
      </c>
      <c r="M4" s="453"/>
    </row>
    <row r="5" spans="1:14" ht="15.75" thickBot="1">
      <c r="A5" s="453"/>
      <c r="C5" s="453"/>
      <c r="D5" s="660">
        <f t="shared" ref="D5:I5" si="6">SUM(D3:D4)</f>
        <v>532909</v>
      </c>
      <c r="E5" s="660">
        <f t="shared" si="6"/>
        <v>536636</v>
      </c>
      <c r="F5" s="660">
        <f t="shared" si="6"/>
        <v>538685</v>
      </c>
      <c r="G5" s="660">
        <f t="shared" si="6"/>
        <v>542828</v>
      </c>
      <c r="H5" s="660">
        <f t="shared" si="6"/>
        <v>543643</v>
      </c>
      <c r="I5" s="660">
        <f t="shared" si="6"/>
        <v>525972</v>
      </c>
      <c r="J5" s="660">
        <f t="shared" ref="J5:K5" si="7">SUM(J3:J4)</f>
        <v>523848</v>
      </c>
      <c r="K5" s="660">
        <f t="shared" si="7"/>
        <v>539687</v>
      </c>
      <c r="L5" s="660">
        <f t="shared" ref="L5" si="8">SUM(L3:L4)</f>
        <v>543459</v>
      </c>
      <c r="M5" s="453"/>
    </row>
    <row r="6" spans="1:14">
      <c r="A6" s="453"/>
      <c r="C6" s="453"/>
      <c r="D6" s="459"/>
      <c r="E6" s="459"/>
      <c r="F6" s="459"/>
      <c r="G6" s="459"/>
      <c r="H6" s="459"/>
      <c r="I6" s="459"/>
      <c r="J6" s="459"/>
      <c r="K6" s="459"/>
      <c r="L6" s="459"/>
      <c r="M6" s="453"/>
      <c r="N6" s="453"/>
    </row>
    <row r="7" spans="1:14">
      <c r="A7" s="434" t="s">
        <v>1741</v>
      </c>
      <c r="C7" s="434"/>
      <c r="D7" s="456">
        <f t="shared" ref="D7:I7" si="9">D79</f>
        <v>72515</v>
      </c>
      <c r="E7" s="456">
        <f t="shared" si="9"/>
        <v>73026</v>
      </c>
      <c r="F7" s="456">
        <f t="shared" si="9"/>
        <v>73140</v>
      </c>
      <c r="G7" s="456">
        <f t="shared" si="9"/>
        <v>73787</v>
      </c>
      <c r="H7" s="456">
        <f t="shared" si="9"/>
        <v>73430</v>
      </c>
      <c r="I7" s="456">
        <f t="shared" si="9"/>
        <v>72327</v>
      </c>
      <c r="J7" s="456">
        <f t="shared" ref="J7:K7" si="10">J79</f>
        <v>72073</v>
      </c>
      <c r="K7" s="456">
        <f t="shared" si="10"/>
        <v>73738</v>
      </c>
      <c r="L7" s="456">
        <f t="shared" ref="L7" si="11">L79</f>
        <v>74499</v>
      </c>
      <c r="M7" s="453"/>
      <c r="N7" s="457"/>
    </row>
    <row r="8" spans="1:14">
      <c r="A8" s="434" t="s">
        <v>1742</v>
      </c>
      <c r="C8" s="434"/>
      <c r="D8" s="456">
        <f t="shared" ref="D8:I8" si="12">D112</f>
        <v>129911</v>
      </c>
      <c r="E8" s="456">
        <f t="shared" si="12"/>
        <v>130936</v>
      </c>
      <c r="F8" s="456">
        <f t="shared" si="12"/>
        <v>131782</v>
      </c>
      <c r="G8" s="456">
        <f t="shared" si="12"/>
        <v>132712</v>
      </c>
      <c r="H8" s="456">
        <f t="shared" si="12"/>
        <v>133185</v>
      </c>
      <c r="I8" s="456">
        <f t="shared" si="12"/>
        <v>124752</v>
      </c>
      <c r="J8" s="456">
        <f t="shared" ref="J8:K8" si="13">J112</f>
        <v>127526</v>
      </c>
      <c r="K8" s="456">
        <f t="shared" si="13"/>
        <v>131411</v>
      </c>
      <c r="L8" s="456">
        <f t="shared" ref="L8" si="14">L112</f>
        <v>129612</v>
      </c>
      <c r="M8" s="453"/>
      <c r="N8" s="457"/>
    </row>
    <row r="9" spans="1:14">
      <c r="A9" s="434" t="s">
        <v>1743</v>
      </c>
      <c r="C9" s="434"/>
      <c r="D9" s="456">
        <f t="shared" ref="D9:I9" si="15">D150</f>
        <v>65051</v>
      </c>
      <c r="E9" s="456">
        <f t="shared" si="15"/>
        <v>65594</v>
      </c>
      <c r="F9" s="456">
        <f t="shared" si="15"/>
        <v>65748</v>
      </c>
      <c r="G9" s="456">
        <f t="shared" si="15"/>
        <v>66579</v>
      </c>
      <c r="H9" s="456">
        <f t="shared" si="15"/>
        <v>67111</v>
      </c>
      <c r="I9" s="456">
        <f t="shared" si="15"/>
        <v>65562</v>
      </c>
      <c r="J9" s="456">
        <f t="shared" ref="J9:K9" si="16">J150</f>
        <v>63449</v>
      </c>
      <c r="K9" s="456">
        <f t="shared" si="16"/>
        <v>66650</v>
      </c>
      <c r="L9" s="456">
        <f t="shared" ref="L9" si="17">L150</f>
        <v>67688</v>
      </c>
      <c r="M9" s="453"/>
      <c r="N9" s="457"/>
    </row>
    <row r="10" spans="1:14">
      <c r="A10" s="434" t="s">
        <v>1744</v>
      </c>
      <c r="C10" s="434"/>
      <c r="D10" s="456">
        <f t="shared" ref="D10:I10" si="18">D186</f>
        <v>82877</v>
      </c>
      <c r="E10" s="456">
        <f t="shared" si="18"/>
        <v>83309</v>
      </c>
      <c r="F10" s="456">
        <f t="shared" si="18"/>
        <v>84001</v>
      </c>
      <c r="G10" s="456">
        <f t="shared" si="18"/>
        <v>84838</v>
      </c>
      <c r="H10" s="456">
        <f t="shared" si="18"/>
        <v>84913</v>
      </c>
      <c r="I10" s="456">
        <f t="shared" si="18"/>
        <v>84052</v>
      </c>
      <c r="J10" s="456">
        <f t="shared" ref="J10:K10" si="19">J186</f>
        <v>83628</v>
      </c>
      <c r="K10" s="456">
        <f t="shared" si="19"/>
        <v>84789</v>
      </c>
      <c r="L10" s="456">
        <f t="shared" ref="L10" si="20">L186</f>
        <v>86573</v>
      </c>
      <c r="M10" s="453"/>
      <c r="N10" s="457"/>
    </row>
    <row r="11" spans="1:14">
      <c r="A11" s="434" t="s">
        <v>1745</v>
      </c>
      <c r="C11" s="434"/>
      <c r="D11" s="456">
        <f t="shared" ref="D11:I11" si="21">D212</f>
        <v>37655</v>
      </c>
      <c r="E11" s="456">
        <f t="shared" si="21"/>
        <v>38266</v>
      </c>
      <c r="F11" s="456">
        <f t="shared" si="21"/>
        <v>38399</v>
      </c>
      <c r="G11" s="456">
        <f t="shared" si="21"/>
        <v>38381</v>
      </c>
      <c r="H11" s="456">
        <f t="shared" si="21"/>
        <v>38473</v>
      </c>
      <c r="I11" s="456">
        <f t="shared" si="21"/>
        <v>37633</v>
      </c>
      <c r="J11" s="456">
        <f t="shared" ref="J11:K11" si="22">J212</f>
        <v>36820</v>
      </c>
      <c r="K11" s="456">
        <f t="shared" si="22"/>
        <v>37948</v>
      </c>
      <c r="L11" s="456">
        <f t="shared" ref="L11" si="23">L212</f>
        <v>38246</v>
      </c>
      <c r="M11" s="453"/>
      <c r="N11" s="457"/>
    </row>
    <row r="12" spans="1:14">
      <c r="A12" s="434" t="s">
        <v>1746</v>
      </c>
      <c r="C12" s="434"/>
      <c r="D12" s="456">
        <f t="shared" ref="D12:I12" si="24">D237</f>
        <v>71108</v>
      </c>
      <c r="E12" s="456">
        <f t="shared" si="24"/>
        <v>72022</v>
      </c>
      <c r="F12" s="456">
        <f t="shared" si="24"/>
        <v>72392</v>
      </c>
      <c r="G12" s="456">
        <f t="shared" si="24"/>
        <v>72823</v>
      </c>
      <c r="H12" s="456">
        <f t="shared" si="24"/>
        <v>72678</v>
      </c>
      <c r="I12" s="456">
        <f t="shared" si="24"/>
        <v>70231</v>
      </c>
      <c r="J12" s="456">
        <f t="shared" ref="J12:K12" si="25">J237</f>
        <v>71377</v>
      </c>
      <c r="K12" s="456">
        <f t="shared" si="25"/>
        <v>74767</v>
      </c>
      <c r="L12" s="456">
        <f t="shared" ref="L12" si="26">L237</f>
        <v>76225</v>
      </c>
      <c r="M12" s="453"/>
      <c r="N12" s="457"/>
    </row>
    <row r="13" spans="1:14">
      <c r="A13" s="434" t="s">
        <v>1747</v>
      </c>
      <c r="C13" s="434"/>
      <c r="D13" s="456">
        <f t="shared" ref="D13:I13" si="27">D284</f>
        <v>44786</v>
      </c>
      <c r="E13" s="456">
        <f t="shared" si="27"/>
        <v>45046</v>
      </c>
      <c r="F13" s="456">
        <f t="shared" si="27"/>
        <v>44892</v>
      </c>
      <c r="G13" s="456">
        <f t="shared" si="27"/>
        <v>45001</v>
      </c>
      <c r="H13" s="456">
        <f t="shared" si="27"/>
        <v>44899</v>
      </c>
      <c r="I13" s="456">
        <f t="shared" si="27"/>
        <v>42362</v>
      </c>
      <c r="J13" s="456">
        <f t="shared" ref="J13:K13" si="28">J284</f>
        <v>41620</v>
      </c>
      <c r="K13" s="456">
        <f t="shared" si="28"/>
        <v>41451</v>
      </c>
      <c r="L13" s="456">
        <f t="shared" ref="L13" si="29">L284</f>
        <v>41780</v>
      </c>
      <c r="M13" s="453"/>
      <c r="N13" s="457"/>
    </row>
    <row r="14" spans="1:14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</row>
    <row r="15" spans="1:14">
      <c r="A15" s="661" t="s">
        <v>2637</v>
      </c>
      <c r="B15" s="453"/>
      <c r="C15" s="453"/>
      <c r="D15" s="456">
        <f t="shared" ref="D15:I15" si="30">D3/7</f>
        <v>71986.142857142855</v>
      </c>
      <c r="E15" s="456">
        <f t="shared" si="30"/>
        <v>72599.857142857145</v>
      </c>
      <c r="F15" s="456">
        <f t="shared" si="30"/>
        <v>72907.71428571429</v>
      </c>
      <c r="G15" s="456">
        <f t="shared" si="30"/>
        <v>73445.857142857145</v>
      </c>
      <c r="H15" s="456">
        <f t="shared" si="30"/>
        <v>73527</v>
      </c>
      <c r="I15" s="456">
        <f t="shared" si="30"/>
        <v>70988.428571428565</v>
      </c>
      <c r="J15" s="456">
        <f t="shared" ref="J15:K15" si="31">J3/7</f>
        <v>70927.571428571435</v>
      </c>
      <c r="K15" s="456">
        <f t="shared" si="31"/>
        <v>72964.857142857145</v>
      </c>
      <c r="L15" s="456">
        <f t="shared" ref="L15" si="32">L3/7</f>
        <v>73517.571428571435</v>
      </c>
      <c r="M15" s="453"/>
      <c r="N15" s="453"/>
    </row>
    <row r="16" spans="1:14">
      <c r="A16" s="434" t="s">
        <v>2638</v>
      </c>
      <c r="B16" s="453"/>
      <c r="C16" s="453"/>
      <c r="D16" s="456">
        <f t="shared" ref="D16:I16" si="33">D4/1</f>
        <v>29006</v>
      </c>
      <c r="E16" s="456">
        <f t="shared" si="33"/>
        <v>28437</v>
      </c>
      <c r="F16" s="456">
        <f t="shared" si="33"/>
        <v>28331</v>
      </c>
      <c r="G16" s="456">
        <f t="shared" si="33"/>
        <v>28707</v>
      </c>
      <c r="H16" s="456">
        <f t="shared" si="33"/>
        <v>28954</v>
      </c>
      <c r="I16" s="456">
        <f t="shared" si="33"/>
        <v>29053</v>
      </c>
      <c r="J16" s="456">
        <f t="shared" ref="J16:K16" si="34">J4/1</f>
        <v>27355</v>
      </c>
      <c r="K16" s="456">
        <f t="shared" si="34"/>
        <v>28933</v>
      </c>
      <c r="L16" s="456">
        <f t="shared" ref="L16" si="35">L4/1</f>
        <v>28836</v>
      </c>
      <c r="M16" s="453"/>
      <c r="N16" s="453"/>
    </row>
    <row r="17" spans="1:14">
      <c r="A17" s="434" t="s">
        <v>6337</v>
      </c>
      <c r="B17" s="453"/>
      <c r="C17" s="453"/>
      <c r="D17" s="456">
        <f t="shared" ref="D17:I17" si="36">D5/7</f>
        <v>76129.857142857145</v>
      </c>
      <c r="E17" s="456">
        <f t="shared" si="36"/>
        <v>76662.28571428571</v>
      </c>
      <c r="F17" s="456">
        <f t="shared" si="36"/>
        <v>76955</v>
      </c>
      <c r="G17" s="456">
        <f t="shared" si="36"/>
        <v>77546.857142857145</v>
      </c>
      <c r="H17" s="456">
        <f t="shared" si="36"/>
        <v>77663.28571428571</v>
      </c>
      <c r="I17" s="456">
        <f t="shared" si="36"/>
        <v>75138.857142857145</v>
      </c>
      <c r="J17" s="456">
        <f t="shared" ref="J17:K17" si="37">J5/7</f>
        <v>74835.428571428565</v>
      </c>
      <c r="K17" s="456">
        <f t="shared" si="37"/>
        <v>77098.142857142855</v>
      </c>
      <c r="L17" s="456">
        <f t="shared" ref="L17" si="38">L5/7</f>
        <v>77637</v>
      </c>
      <c r="M17" s="453"/>
      <c r="N17" s="453"/>
    </row>
    <row r="18" spans="1:14">
      <c r="A18" s="434"/>
      <c r="B18" s="453"/>
      <c r="C18" s="453"/>
      <c r="D18" s="458"/>
      <c r="E18" s="458"/>
      <c r="F18" s="458"/>
      <c r="G18" s="458"/>
      <c r="H18" s="458"/>
      <c r="I18" s="458"/>
      <c r="J18" s="458"/>
      <c r="K18" s="458"/>
      <c r="L18" s="458"/>
      <c r="M18" s="453"/>
      <c r="N18" s="453"/>
    </row>
    <row r="19" spans="1:14">
      <c r="A19" s="434" t="s">
        <v>2639</v>
      </c>
      <c r="D19" s="456">
        <f t="shared" ref="D19:I19" si="39">D204</f>
        <v>77351</v>
      </c>
      <c r="E19" s="456">
        <f t="shared" si="39"/>
        <v>77787</v>
      </c>
      <c r="F19" s="456">
        <f t="shared" si="39"/>
        <v>78400</v>
      </c>
      <c r="G19" s="456">
        <f t="shared" si="39"/>
        <v>79198</v>
      </c>
      <c r="H19" s="456">
        <f t="shared" si="39"/>
        <v>79289</v>
      </c>
      <c r="I19" s="456">
        <f t="shared" si="39"/>
        <v>78512</v>
      </c>
      <c r="J19" s="456">
        <f t="shared" ref="J19:K19" si="40">J204</f>
        <v>78188</v>
      </c>
      <c r="K19" s="456">
        <f t="shared" si="40"/>
        <v>79359</v>
      </c>
      <c r="L19" s="456">
        <f t="shared" ref="L19" si="41">L204</f>
        <v>81097</v>
      </c>
      <c r="M19" s="453"/>
      <c r="N19" s="434" t="s">
        <v>2640</v>
      </c>
    </row>
    <row r="20" spans="1:14">
      <c r="A20" s="453"/>
      <c r="D20" s="459"/>
      <c r="E20" s="459"/>
      <c r="F20" s="459"/>
      <c r="G20" s="459"/>
      <c r="H20" s="459"/>
      <c r="I20" s="459"/>
      <c r="J20" s="459"/>
      <c r="K20" s="459"/>
      <c r="L20" s="459"/>
      <c r="M20" s="453"/>
      <c r="N20" s="453"/>
    </row>
    <row r="21" spans="1:14">
      <c r="A21" s="434" t="s">
        <v>2641</v>
      </c>
      <c r="D21" s="456">
        <f t="shared" ref="D21:I21" si="42">D103</f>
        <v>16761</v>
      </c>
      <c r="E21" s="456">
        <f t="shared" si="42"/>
        <v>16880</v>
      </c>
      <c r="F21" s="456">
        <f t="shared" si="42"/>
        <v>16881</v>
      </c>
      <c r="G21" s="456">
        <f t="shared" si="42"/>
        <v>16815</v>
      </c>
      <c r="H21" s="456">
        <f t="shared" si="42"/>
        <v>16757</v>
      </c>
      <c r="I21" s="456">
        <f t="shared" si="42"/>
        <v>16653</v>
      </c>
      <c r="J21" s="456">
        <f t="shared" ref="J21:K21" si="43">J103</f>
        <v>16562</v>
      </c>
      <c r="K21" s="456">
        <f t="shared" si="43"/>
        <v>17065</v>
      </c>
      <c r="L21" s="456">
        <f t="shared" ref="L21" si="44">L103</f>
        <v>17216</v>
      </c>
      <c r="M21" s="453"/>
      <c r="N21" s="434" t="s">
        <v>2642</v>
      </c>
    </row>
    <row r="22" spans="1:14">
      <c r="A22" s="453"/>
      <c r="D22" s="456">
        <f t="shared" ref="D22:I22" si="45">D142</f>
        <v>52447</v>
      </c>
      <c r="E22" s="456">
        <f t="shared" si="45"/>
        <v>53052</v>
      </c>
      <c r="F22" s="456">
        <f t="shared" si="45"/>
        <v>53713</v>
      </c>
      <c r="G22" s="456">
        <f t="shared" si="45"/>
        <v>54438</v>
      </c>
      <c r="H22" s="456">
        <f t="shared" si="45"/>
        <v>54762</v>
      </c>
      <c r="I22" s="456">
        <f t="shared" si="45"/>
        <v>54819</v>
      </c>
      <c r="J22" s="456">
        <f t="shared" ref="J22:K22" si="46">J142</f>
        <v>53457</v>
      </c>
      <c r="K22" s="456">
        <f t="shared" si="46"/>
        <v>54305</v>
      </c>
      <c r="L22" s="456">
        <f t="shared" ref="L22" si="47">L142</f>
        <v>55749</v>
      </c>
      <c r="M22" s="453"/>
      <c r="N22" s="434" t="s">
        <v>2643</v>
      </c>
    </row>
    <row r="23" spans="1:14" ht="15.75" thickBot="1">
      <c r="A23" s="453"/>
      <c r="D23" s="660">
        <f t="shared" ref="D23:I23" si="48">D205</f>
        <v>5526</v>
      </c>
      <c r="E23" s="660">
        <f t="shared" si="48"/>
        <v>5522</v>
      </c>
      <c r="F23" s="660">
        <f t="shared" si="48"/>
        <v>5601</v>
      </c>
      <c r="G23" s="660">
        <f t="shared" si="48"/>
        <v>5640</v>
      </c>
      <c r="H23" s="660">
        <f t="shared" si="48"/>
        <v>5624</v>
      </c>
      <c r="I23" s="660">
        <f t="shared" si="48"/>
        <v>5540</v>
      </c>
      <c r="J23" s="660">
        <f t="shared" ref="J23:K23" si="49">J205</f>
        <v>5440</v>
      </c>
      <c r="K23" s="660">
        <f t="shared" si="49"/>
        <v>5430</v>
      </c>
      <c r="L23" s="660">
        <f t="shared" ref="L23" si="50">L205</f>
        <v>5476</v>
      </c>
      <c r="M23" s="453"/>
      <c r="N23" s="434" t="s">
        <v>2640</v>
      </c>
    </row>
    <row r="24" spans="1:14" ht="15.75" thickBot="1">
      <c r="A24" s="453"/>
      <c r="D24" s="660">
        <f t="shared" ref="D24:I24" si="51">SUM(D21:D23)</f>
        <v>74734</v>
      </c>
      <c r="E24" s="660">
        <f t="shared" si="51"/>
        <v>75454</v>
      </c>
      <c r="F24" s="660">
        <f t="shared" si="51"/>
        <v>76195</v>
      </c>
      <c r="G24" s="660">
        <f t="shared" si="51"/>
        <v>76893</v>
      </c>
      <c r="H24" s="660">
        <f t="shared" si="51"/>
        <v>77143</v>
      </c>
      <c r="I24" s="660">
        <f t="shared" si="51"/>
        <v>77012</v>
      </c>
      <c r="J24" s="660">
        <f t="shared" ref="J24:K24" si="52">SUM(J21:J23)</f>
        <v>75459</v>
      </c>
      <c r="K24" s="660">
        <f t="shared" si="52"/>
        <v>76800</v>
      </c>
      <c r="L24" s="660">
        <f t="shared" ref="L24" si="53">SUM(L21:L23)</f>
        <v>78441</v>
      </c>
      <c r="M24" s="453"/>
      <c r="N24" s="453"/>
    </row>
    <row r="25" spans="1:14">
      <c r="A25" s="453"/>
      <c r="D25" s="459"/>
      <c r="E25" s="459"/>
      <c r="F25" s="459"/>
      <c r="G25" s="459"/>
      <c r="H25" s="459"/>
      <c r="I25" s="459"/>
      <c r="J25" s="459"/>
      <c r="K25" s="459"/>
      <c r="L25" s="459"/>
      <c r="M25" s="453"/>
      <c r="N25" s="453"/>
    </row>
    <row r="26" spans="1:14">
      <c r="A26" s="434" t="s">
        <v>2644</v>
      </c>
      <c r="D26" s="456">
        <f t="shared" ref="D26:I26" si="54">D177</f>
        <v>33339</v>
      </c>
      <c r="E26" s="456">
        <f t="shared" si="54"/>
        <v>33707</v>
      </c>
      <c r="F26" s="456">
        <f t="shared" si="54"/>
        <v>33708</v>
      </c>
      <c r="G26" s="456">
        <f t="shared" si="54"/>
        <v>34379</v>
      </c>
      <c r="H26" s="456">
        <f t="shared" si="54"/>
        <v>34870</v>
      </c>
      <c r="I26" s="456">
        <f t="shared" si="54"/>
        <v>34252</v>
      </c>
      <c r="J26" s="456">
        <f t="shared" ref="J26:K26" si="55">J177</f>
        <v>33347</v>
      </c>
      <c r="K26" s="456">
        <f t="shared" si="55"/>
        <v>35091</v>
      </c>
      <c r="L26" s="456">
        <f t="shared" ref="L26" si="56">L177</f>
        <v>35615</v>
      </c>
      <c r="M26" s="453"/>
      <c r="N26" s="434" t="s">
        <v>4349</v>
      </c>
    </row>
    <row r="27" spans="1:14" ht="15.75" thickBot="1">
      <c r="A27" s="453"/>
      <c r="D27" s="660">
        <f t="shared" ref="D27:I27" si="57">D296</f>
        <v>44786</v>
      </c>
      <c r="E27" s="660">
        <f t="shared" si="57"/>
        <v>45046</v>
      </c>
      <c r="F27" s="660">
        <f t="shared" si="57"/>
        <v>44892</v>
      </c>
      <c r="G27" s="660">
        <f t="shared" si="57"/>
        <v>45001</v>
      </c>
      <c r="H27" s="660">
        <f t="shared" si="57"/>
        <v>44899</v>
      </c>
      <c r="I27" s="660">
        <f t="shared" si="57"/>
        <v>42362</v>
      </c>
      <c r="J27" s="660">
        <f t="shared" ref="J27:K27" si="58">J296</f>
        <v>41620</v>
      </c>
      <c r="K27" s="660">
        <f t="shared" si="58"/>
        <v>41451</v>
      </c>
      <c r="L27" s="660">
        <f t="shared" ref="L27" si="59">L296</f>
        <v>41780</v>
      </c>
      <c r="M27" s="453"/>
      <c r="N27" s="434" t="s">
        <v>7647</v>
      </c>
    </row>
    <row r="28" spans="1:14" ht="15.75" thickBot="1">
      <c r="A28" s="453"/>
      <c r="D28" s="660">
        <f t="shared" ref="D28:I28" si="60">D26+D27</f>
        <v>78125</v>
      </c>
      <c r="E28" s="660">
        <f t="shared" si="60"/>
        <v>78753</v>
      </c>
      <c r="F28" s="660">
        <f t="shared" si="60"/>
        <v>78600</v>
      </c>
      <c r="G28" s="660">
        <f t="shared" si="60"/>
        <v>79380</v>
      </c>
      <c r="H28" s="660">
        <f t="shared" si="60"/>
        <v>79769</v>
      </c>
      <c r="I28" s="660">
        <f t="shared" si="60"/>
        <v>76614</v>
      </c>
      <c r="J28" s="660">
        <f t="shared" ref="J28:K28" si="61">J26+J27</f>
        <v>74967</v>
      </c>
      <c r="K28" s="660">
        <f t="shared" si="61"/>
        <v>76542</v>
      </c>
      <c r="L28" s="660">
        <f t="shared" ref="L28" si="62">L26+L27</f>
        <v>77395</v>
      </c>
      <c r="M28" s="453"/>
      <c r="N28" s="453"/>
    </row>
    <row r="29" spans="1:14">
      <c r="A29" s="453"/>
      <c r="D29" s="459"/>
      <c r="E29" s="459"/>
      <c r="F29" s="459"/>
      <c r="G29" s="459"/>
      <c r="H29" s="459"/>
      <c r="I29" s="459"/>
      <c r="J29" s="459"/>
      <c r="K29" s="459"/>
      <c r="L29" s="459"/>
      <c r="M29" s="453"/>
      <c r="N29" s="453"/>
    </row>
    <row r="30" spans="1:14">
      <c r="A30" s="434" t="s">
        <v>4350</v>
      </c>
      <c r="D30" s="456">
        <f t="shared" ref="D30:I30" si="63">D143</f>
        <v>77464</v>
      </c>
      <c r="E30" s="456">
        <f t="shared" si="63"/>
        <v>77884</v>
      </c>
      <c r="F30" s="456">
        <f t="shared" si="63"/>
        <v>78069</v>
      </c>
      <c r="G30" s="456">
        <f t="shared" si="63"/>
        <v>78274</v>
      </c>
      <c r="H30" s="456">
        <f t="shared" si="63"/>
        <v>78423</v>
      </c>
      <c r="I30" s="456">
        <f t="shared" si="63"/>
        <v>69933</v>
      </c>
      <c r="J30" s="456">
        <f t="shared" ref="J30:K30" si="64">J143</f>
        <v>74069</v>
      </c>
      <c r="K30" s="456">
        <f t="shared" si="64"/>
        <v>77106</v>
      </c>
      <c r="L30" s="456">
        <f t="shared" ref="L30" si="65">L143</f>
        <v>73863</v>
      </c>
      <c r="M30" s="453"/>
      <c r="N30" s="434" t="s">
        <v>2643</v>
      </c>
    </row>
    <row r="31" spans="1:14">
      <c r="A31" s="453"/>
      <c r="D31" s="459"/>
      <c r="E31" s="459"/>
      <c r="F31" s="459"/>
      <c r="G31" s="459"/>
      <c r="H31" s="459"/>
      <c r="I31" s="459"/>
      <c r="J31" s="459"/>
      <c r="K31" s="459"/>
      <c r="L31" s="459"/>
      <c r="M31" s="453"/>
      <c r="N31" s="453"/>
    </row>
    <row r="32" spans="1:14">
      <c r="A32" s="434" t="s">
        <v>4351</v>
      </c>
      <c r="D32" s="456">
        <f t="shared" ref="D32:I32" si="66">D277</f>
        <v>71108</v>
      </c>
      <c r="E32" s="456">
        <f t="shared" si="66"/>
        <v>72022</v>
      </c>
      <c r="F32" s="456">
        <f t="shared" si="66"/>
        <v>72392</v>
      </c>
      <c r="G32" s="456">
        <f t="shared" si="66"/>
        <v>72823</v>
      </c>
      <c r="H32" s="456">
        <f t="shared" si="66"/>
        <v>72678</v>
      </c>
      <c r="I32" s="456">
        <f t="shared" si="66"/>
        <v>70231</v>
      </c>
      <c r="J32" s="456">
        <f t="shared" ref="J32:K32" si="67">J277</f>
        <v>71377</v>
      </c>
      <c r="K32" s="456">
        <f t="shared" si="67"/>
        <v>74767</v>
      </c>
      <c r="L32" s="456">
        <f t="shared" ref="L32" si="68">L277</f>
        <v>76225</v>
      </c>
      <c r="M32" s="453"/>
      <c r="N32" s="434" t="s">
        <v>7646</v>
      </c>
    </row>
    <row r="33" spans="1:14">
      <c r="A33" s="453"/>
      <c r="D33" s="459"/>
      <c r="E33" s="459"/>
      <c r="F33" s="459"/>
      <c r="G33" s="459"/>
      <c r="H33" s="459"/>
      <c r="I33" s="459"/>
      <c r="J33" s="459"/>
      <c r="K33" s="459"/>
      <c r="L33" s="459"/>
      <c r="M33" s="453"/>
      <c r="N33" s="453"/>
    </row>
    <row r="34" spans="1:14">
      <c r="A34" s="434" t="s">
        <v>4352</v>
      </c>
      <c r="D34" s="456">
        <f t="shared" ref="D34:I34" si="69">D178</f>
        <v>10435</v>
      </c>
      <c r="E34" s="456">
        <f t="shared" si="69"/>
        <v>10621</v>
      </c>
      <c r="F34" s="456">
        <f t="shared" si="69"/>
        <v>10635</v>
      </c>
      <c r="G34" s="456">
        <f t="shared" si="69"/>
        <v>10731</v>
      </c>
      <c r="H34" s="456">
        <f t="shared" si="69"/>
        <v>10741</v>
      </c>
      <c r="I34" s="456">
        <f t="shared" si="69"/>
        <v>10385</v>
      </c>
      <c r="J34" s="456">
        <f t="shared" ref="J34:K34" si="70">J178</f>
        <v>9820</v>
      </c>
      <c r="K34" s="456">
        <f t="shared" si="70"/>
        <v>10551</v>
      </c>
      <c r="L34" s="456">
        <f t="shared" ref="L34" si="71">L178</f>
        <v>10702</v>
      </c>
      <c r="M34" s="453"/>
      <c r="N34" s="434" t="s">
        <v>4349</v>
      </c>
    </row>
    <row r="35" spans="1:14">
      <c r="A35" s="453"/>
      <c r="B35" s="453"/>
      <c r="C35" s="453"/>
      <c r="D35" s="456">
        <f t="shared" ref="D35:I35" si="72">D230</f>
        <v>37655</v>
      </c>
      <c r="E35" s="456">
        <f t="shared" si="72"/>
        <v>38266</v>
      </c>
      <c r="F35" s="456">
        <f t="shared" si="72"/>
        <v>38399</v>
      </c>
      <c r="G35" s="456">
        <f t="shared" si="72"/>
        <v>38381</v>
      </c>
      <c r="H35" s="456">
        <f t="shared" si="72"/>
        <v>38473</v>
      </c>
      <c r="I35" s="456">
        <f t="shared" si="72"/>
        <v>37633</v>
      </c>
      <c r="J35" s="456">
        <f t="shared" ref="J35:K35" si="73">J230</f>
        <v>36820</v>
      </c>
      <c r="K35" s="456">
        <f t="shared" si="73"/>
        <v>37948</v>
      </c>
      <c r="L35" s="456">
        <f t="shared" ref="L35" si="74">L230</f>
        <v>38246</v>
      </c>
      <c r="M35" s="453"/>
      <c r="N35" s="434" t="s">
        <v>7645</v>
      </c>
    </row>
    <row r="36" spans="1:14" ht="15.75" thickBot="1">
      <c r="A36" s="453"/>
      <c r="B36" s="453"/>
      <c r="C36" s="453"/>
      <c r="D36" s="660">
        <f t="shared" ref="D36:I36" si="75">D72</f>
        <v>29006</v>
      </c>
      <c r="E36" s="660">
        <f t="shared" si="75"/>
        <v>28437</v>
      </c>
      <c r="F36" s="660">
        <f t="shared" si="75"/>
        <v>28331</v>
      </c>
      <c r="G36" s="660">
        <f t="shared" si="75"/>
        <v>28707</v>
      </c>
      <c r="H36" s="660">
        <f t="shared" si="75"/>
        <v>28954</v>
      </c>
      <c r="I36" s="660">
        <f t="shared" si="75"/>
        <v>29053</v>
      </c>
      <c r="J36" s="660">
        <f t="shared" ref="J36:K36" si="76">J72</f>
        <v>27355</v>
      </c>
      <c r="K36" s="660">
        <f t="shared" si="76"/>
        <v>28933</v>
      </c>
      <c r="L36" s="660">
        <f t="shared" ref="L36" si="77">L72</f>
        <v>28836</v>
      </c>
      <c r="M36" s="453"/>
      <c r="N36" s="434" t="s">
        <v>4353</v>
      </c>
    </row>
    <row r="37" spans="1:14" ht="15.75" thickBot="1">
      <c r="A37" s="453"/>
      <c r="B37" s="453"/>
      <c r="C37" s="453"/>
      <c r="D37" s="660">
        <f t="shared" ref="D37:I37" si="78">SUM(D34:D36)</f>
        <v>77096</v>
      </c>
      <c r="E37" s="660">
        <f t="shared" si="78"/>
        <v>77324</v>
      </c>
      <c r="F37" s="660">
        <f t="shared" si="78"/>
        <v>77365</v>
      </c>
      <c r="G37" s="660">
        <f t="shared" si="78"/>
        <v>77819</v>
      </c>
      <c r="H37" s="660">
        <f t="shared" si="78"/>
        <v>78168</v>
      </c>
      <c r="I37" s="660">
        <f t="shared" si="78"/>
        <v>77071</v>
      </c>
      <c r="J37" s="660">
        <f t="shared" ref="J37:K37" si="79">SUM(J34:J36)</f>
        <v>73995</v>
      </c>
      <c r="K37" s="660">
        <f t="shared" si="79"/>
        <v>77432</v>
      </c>
      <c r="L37" s="660">
        <f t="shared" ref="L37" si="80">SUM(L34:L36)</f>
        <v>77784</v>
      </c>
      <c r="M37" s="453"/>
      <c r="N37" s="453"/>
    </row>
    <row r="38" spans="1:14">
      <c r="A38" s="453"/>
      <c r="B38" s="453"/>
      <c r="C38" s="453"/>
      <c r="D38" s="662"/>
      <c r="E38" s="662"/>
      <c r="F38" s="662"/>
      <c r="G38" s="662"/>
      <c r="H38" s="662"/>
      <c r="I38" s="662"/>
      <c r="J38" s="662"/>
      <c r="K38" s="662"/>
      <c r="L38" s="662"/>
      <c r="M38" s="453"/>
      <c r="N38" s="453"/>
    </row>
    <row r="39" spans="1:14">
      <c r="A39" s="434" t="s">
        <v>4354</v>
      </c>
      <c r="D39" s="456">
        <f t="shared" ref="D39:I39" si="81">D104</f>
        <v>55754</v>
      </c>
      <c r="E39" s="456">
        <f t="shared" si="81"/>
        <v>56146</v>
      </c>
      <c r="F39" s="456">
        <f t="shared" si="81"/>
        <v>56259</v>
      </c>
      <c r="G39" s="456">
        <f t="shared" si="81"/>
        <v>56972</v>
      </c>
      <c r="H39" s="456">
        <f t="shared" si="81"/>
        <v>56673</v>
      </c>
      <c r="I39" s="456">
        <f t="shared" si="81"/>
        <v>55674</v>
      </c>
      <c r="J39" s="456">
        <f t="shared" ref="J39:K39" si="82">J104</f>
        <v>55511</v>
      </c>
      <c r="K39" s="456">
        <f t="shared" si="82"/>
        <v>56673</v>
      </c>
      <c r="L39" s="456">
        <f t="shared" ref="L39" si="83">L104</f>
        <v>57283</v>
      </c>
      <c r="M39" s="453"/>
      <c r="N39" s="434" t="s">
        <v>2642</v>
      </c>
    </row>
    <row r="40" spans="1:14" ht="15.75" thickBot="1">
      <c r="A40" s="453"/>
      <c r="D40" s="660">
        <f t="shared" ref="D40:I40" si="84">D179</f>
        <v>21277</v>
      </c>
      <c r="E40" s="660">
        <f t="shared" si="84"/>
        <v>21266</v>
      </c>
      <c r="F40" s="660">
        <f t="shared" si="84"/>
        <v>21405</v>
      </c>
      <c r="G40" s="660">
        <f t="shared" si="84"/>
        <v>21469</v>
      </c>
      <c r="H40" s="660">
        <f t="shared" si="84"/>
        <v>21500</v>
      </c>
      <c r="I40" s="660">
        <f t="shared" si="84"/>
        <v>20925</v>
      </c>
      <c r="J40" s="660">
        <f t="shared" ref="J40:K40" si="85">J179</f>
        <v>20282</v>
      </c>
      <c r="K40" s="660">
        <f t="shared" si="85"/>
        <v>21008</v>
      </c>
      <c r="L40" s="660">
        <f t="shared" ref="L40" si="86">L179</f>
        <v>21371</v>
      </c>
      <c r="M40" s="453"/>
      <c r="N40" s="434" t="s">
        <v>4349</v>
      </c>
    </row>
    <row r="41" spans="1:14" ht="15.75" thickBot="1">
      <c r="A41" s="453"/>
      <c r="D41" s="660">
        <f t="shared" ref="D41:I41" si="87">D39+D40</f>
        <v>77031</v>
      </c>
      <c r="E41" s="660">
        <f t="shared" si="87"/>
        <v>77412</v>
      </c>
      <c r="F41" s="660">
        <f t="shared" si="87"/>
        <v>77664</v>
      </c>
      <c r="G41" s="660">
        <f t="shared" si="87"/>
        <v>78441</v>
      </c>
      <c r="H41" s="660">
        <f t="shared" si="87"/>
        <v>78173</v>
      </c>
      <c r="I41" s="660">
        <f t="shared" si="87"/>
        <v>76599</v>
      </c>
      <c r="J41" s="660">
        <f t="shared" ref="J41:K41" si="88">J39+J40</f>
        <v>75793</v>
      </c>
      <c r="K41" s="660">
        <f t="shared" si="88"/>
        <v>77681</v>
      </c>
      <c r="L41" s="660">
        <f t="shared" ref="L41" si="89">L39+L40</f>
        <v>78654</v>
      </c>
      <c r="M41" s="453"/>
      <c r="N41" s="453"/>
    </row>
    <row r="42" spans="1:14">
      <c r="A42" s="453"/>
      <c r="B42" s="453"/>
      <c r="C42" s="453"/>
      <c r="D42" s="459"/>
      <c r="E42" s="459"/>
      <c r="F42" s="459"/>
      <c r="G42" s="459"/>
      <c r="H42" s="459"/>
      <c r="I42" s="459"/>
      <c r="J42" s="459"/>
      <c r="K42" s="459"/>
      <c r="L42" s="459"/>
      <c r="M42" s="453"/>
      <c r="N42" s="453"/>
    </row>
    <row r="43" spans="1:14">
      <c r="A43" s="434" t="s">
        <v>8697</v>
      </c>
      <c r="B43" s="453"/>
      <c r="C43" s="453"/>
      <c r="D43" s="456">
        <f t="shared" ref="D43:I43" si="90">D19+D24+D28+D30+D32+D37+D41</f>
        <v>532909</v>
      </c>
      <c r="E43" s="456">
        <f t="shared" si="90"/>
        <v>536636</v>
      </c>
      <c r="F43" s="456">
        <f t="shared" si="90"/>
        <v>538685</v>
      </c>
      <c r="G43" s="456">
        <f t="shared" si="90"/>
        <v>542828</v>
      </c>
      <c r="H43" s="456">
        <f t="shared" si="90"/>
        <v>543643</v>
      </c>
      <c r="I43" s="456">
        <f t="shared" si="90"/>
        <v>525972</v>
      </c>
      <c r="J43" s="456">
        <f t="shared" ref="J43:K43" si="91">J19+J24+J28+J30+J32+J37+J41</f>
        <v>523848</v>
      </c>
      <c r="K43" s="456">
        <f t="shared" si="91"/>
        <v>539687</v>
      </c>
      <c r="L43" s="456">
        <f t="shared" ref="L43" si="92">L19+L24+L28+L30+L32+L37+L41</f>
        <v>543459</v>
      </c>
      <c r="M43" s="453"/>
      <c r="N43" s="453"/>
    </row>
    <row r="44" spans="1:14">
      <c r="A44" s="453"/>
      <c r="B44" s="453"/>
      <c r="C44" s="453"/>
      <c r="D44" s="459"/>
      <c r="E44" s="459"/>
      <c r="F44" s="459"/>
      <c r="G44" s="459"/>
      <c r="H44" s="459"/>
      <c r="I44" s="459"/>
      <c r="J44" s="459"/>
      <c r="K44" s="459"/>
      <c r="L44" s="459"/>
      <c r="M44" s="453"/>
      <c r="N44" s="453"/>
    </row>
    <row r="45" spans="1:14">
      <c r="A45" s="434" t="s">
        <v>8698</v>
      </c>
      <c r="B45" s="453"/>
      <c r="C45" s="453"/>
      <c r="D45" s="456">
        <f t="shared" ref="D45:I45" si="93">MAX(D19,D24,D28,D30,D32,D37,D41)-MIN(D19,D24,D28,D30,D32,D37,D41)</f>
        <v>7017</v>
      </c>
      <c r="E45" s="456">
        <f t="shared" si="93"/>
        <v>6731</v>
      </c>
      <c r="F45" s="456">
        <f t="shared" si="93"/>
        <v>6208</v>
      </c>
      <c r="G45" s="456">
        <f t="shared" si="93"/>
        <v>6557</v>
      </c>
      <c r="H45" s="456">
        <f t="shared" si="93"/>
        <v>7091</v>
      </c>
      <c r="I45" s="456">
        <f t="shared" si="93"/>
        <v>8579</v>
      </c>
      <c r="J45" s="456">
        <f t="shared" ref="J45:K45" si="94">MAX(J19,J24,J28,J30,J32,J37,J41)-MIN(J19,J24,J28,J30,J32,J37,J41)</f>
        <v>6811</v>
      </c>
      <c r="K45" s="456">
        <f t="shared" si="94"/>
        <v>4592</v>
      </c>
      <c r="L45" s="456">
        <f t="shared" ref="L45" si="95">MAX(L19,L24,L28,L30,L32,L37,L41)-MIN(L19,L24,L28,L30,L32,L37,L41)</f>
        <v>7234</v>
      </c>
      <c r="M45" s="453"/>
      <c r="N45" s="453"/>
    </row>
    <row r="46" spans="1:14">
      <c r="A46" s="453"/>
      <c r="B46" s="453"/>
      <c r="C46" s="453"/>
      <c r="D46" s="459"/>
      <c r="E46" s="459"/>
      <c r="F46" s="459"/>
      <c r="G46" s="459"/>
      <c r="H46" s="459"/>
      <c r="I46" s="459"/>
      <c r="J46" s="459"/>
      <c r="K46" s="459"/>
      <c r="L46" s="459"/>
      <c r="M46" s="453"/>
      <c r="N46" s="453"/>
    </row>
    <row r="47" spans="1:14">
      <c r="A47" s="434" t="s">
        <v>8701</v>
      </c>
      <c r="B47" s="453"/>
      <c r="C47" s="453"/>
      <c r="D47" s="456">
        <f t="shared" ref="D47:I47" si="96">STDEVP(D19,D24,D28,D30,D32,D37,D41)</f>
        <v>2272.9678162872324</v>
      </c>
      <c r="E47" s="456">
        <f t="shared" si="96"/>
        <v>2108.5132686520215</v>
      </c>
      <c r="F47" s="456">
        <f t="shared" si="96"/>
        <v>2003.7249597401621</v>
      </c>
      <c r="G47" s="456">
        <f t="shared" si="96"/>
        <v>2078.1630232059292</v>
      </c>
      <c r="H47" s="456">
        <f t="shared" si="96"/>
        <v>2180.8406448815435</v>
      </c>
      <c r="I47" s="456">
        <f t="shared" si="96"/>
        <v>3253.9208625275196</v>
      </c>
      <c r="J47" s="456">
        <f t="shared" ref="J47:K47" si="97">STDEVP(J19,J24,J28,J30,J32,J37,J41)</f>
        <v>1920.4646652860461</v>
      </c>
      <c r="K47" s="456">
        <f t="shared" si="97"/>
        <v>1275.8823757442117</v>
      </c>
      <c r="L47" s="456">
        <f t="shared" ref="L47" si="98">STDEVP(L19,L24,L28,L30,L32,L37,L41)</f>
        <v>2069.1370872212128</v>
      </c>
      <c r="M47" s="453"/>
      <c r="N47" s="453"/>
    </row>
    <row r="48" spans="1:14">
      <c r="A48" s="434"/>
      <c r="B48" s="453"/>
      <c r="C48" s="453"/>
      <c r="D48" s="456"/>
      <c r="E48" s="456"/>
      <c r="F48" s="456"/>
      <c r="G48" s="456"/>
      <c r="H48" s="456"/>
      <c r="I48" s="456"/>
      <c r="J48" s="456"/>
      <c r="K48" s="456"/>
      <c r="L48" s="456"/>
      <c r="M48" s="453"/>
      <c r="N48" s="453"/>
    </row>
    <row r="49" spans="1:17">
      <c r="A49" s="434" t="s">
        <v>4355</v>
      </c>
      <c r="B49" s="453"/>
      <c r="C49" s="453"/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/>
    </row>
    <row r="50" spans="1:17">
      <c r="A50" s="434"/>
      <c r="B50" s="453"/>
      <c r="C50" s="453"/>
      <c r="D50" s="453"/>
      <c r="E50" s="453"/>
      <c r="F50" s="453"/>
      <c r="G50" s="453"/>
      <c r="H50" s="453"/>
      <c r="I50" s="453"/>
      <c r="J50" s="453"/>
      <c r="K50" s="453"/>
      <c r="L50" s="453"/>
      <c r="M50" s="453"/>
      <c r="N50" s="453"/>
    </row>
    <row r="51" spans="1:17">
      <c r="A51" s="173"/>
      <c r="B51" s="453"/>
      <c r="C51" s="453"/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3"/>
    </row>
    <row r="52" spans="1:17">
      <c r="A52" s="453"/>
      <c r="B52" s="453"/>
      <c r="C52" s="453"/>
      <c r="E52" s="42" t="s">
        <v>2303</v>
      </c>
      <c r="F52" s="42"/>
      <c r="G52" s="42"/>
      <c r="H52" s="42"/>
      <c r="I52" s="42"/>
      <c r="J52" s="42"/>
      <c r="K52" s="42"/>
      <c r="L52" s="42"/>
      <c r="M52" s="109"/>
      <c r="N52" s="112" t="s">
        <v>13319</v>
      </c>
    </row>
    <row r="53" spans="1:17">
      <c r="A53" s="453"/>
      <c r="B53" s="453"/>
      <c r="C53" s="453"/>
      <c r="D53" s="110">
        <v>2010</v>
      </c>
      <c r="E53" s="110">
        <v>2011</v>
      </c>
      <c r="F53" s="110">
        <v>2012</v>
      </c>
      <c r="G53" s="110">
        <v>2013</v>
      </c>
      <c r="H53" s="110">
        <v>2014</v>
      </c>
      <c r="I53" s="110">
        <v>2015</v>
      </c>
      <c r="J53" s="110">
        <v>2016</v>
      </c>
      <c r="K53" s="110">
        <v>2017</v>
      </c>
      <c r="L53" s="110">
        <v>2018</v>
      </c>
      <c r="M53" s="453"/>
      <c r="N53" s="112" t="s">
        <v>2304</v>
      </c>
    </row>
    <row r="54" spans="1:17">
      <c r="A54" s="434" t="s">
        <v>1740</v>
      </c>
      <c r="C54" s="434"/>
      <c r="D54" s="456">
        <f t="shared" ref="D54:I54" si="99">SUM(D55:D70)</f>
        <v>29006</v>
      </c>
      <c r="E54" s="456">
        <f t="shared" si="99"/>
        <v>28437</v>
      </c>
      <c r="F54" s="456">
        <f t="shared" si="99"/>
        <v>28331</v>
      </c>
      <c r="G54" s="456">
        <f t="shared" si="99"/>
        <v>28707</v>
      </c>
      <c r="H54" s="456">
        <f t="shared" si="99"/>
        <v>28954</v>
      </c>
      <c r="I54" s="456">
        <f t="shared" si="99"/>
        <v>29053</v>
      </c>
      <c r="J54" s="456">
        <f t="shared" ref="J54:K54" si="100">SUM(J55:J70)</f>
        <v>27355</v>
      </c>
      <c r="K54" s="456">
        <f t="shared" si="100"/>
        <v>28933</v>
      </c>
      <c r="L54" s="456">
        <f t="shared" ref="L54" si="101">SUM(L55:L70)</f>
        <v>28836</v>
      </c>
      <c r="M54" s="453"/>
      <c r="N54" s="453"/>
    </row>
    <row r="55" spans="1:17">
      <c r="A55" s="434" t="s">
        <v>6957</v>
      </c>
      <c r="B55" s="434" t="s">
        <v>4356</v>
      </c>
      <c r="C55" s="4" t="s">
        <v>9565</v>
      </c>
      <c r="D55" s="456">
        <v>1060</v>
      </c>
      <c r="E55" s="456">
        <v>1060</v>
      </c>
      <c r="F55" s="456">
        <v>1084</v>
      </c>
      <c r="G55" s="48">
        <v>1104</v>
      </c>
      <c r="H55" s="48">
        <v>1086</v>
      </c>
      <c r="I55" s="48">
        <v>1128</v>
      </c>
      <c r="J55" s="48">
        <v>1043</v>
      </c>
      <c r="K55" s="48">
        <v>1065</v>
      </c>
      <c r="L55" s="48">
        <v>1071</v>
      </c>
      <c r="M55" s="453"/>
      <c r="N55" s="434" t="s">
        <v>4352</v>
      </c>
      <c r="O55" s="4"/>
      <c r="Q55" s="4"/>
    </row>
    <row r="56" spans="1:17">
      <c r="A56" s="434" t="s">
        <v>6959</v>
      </c>
      <c r="B56" s="434" t="s">
        <v>4357</v>
      </c>
      <c r="C56" s="4" t="s">
        <v>9566</v>
      </c>
      <c r="D56" s="456">
        <v>2308</v>
      </c>
      <c r="E56" s="456">
        <v>2112</v>
      </c>
      <c r="F56" s="456">
        <v>1986</v>
      </c>
      <c r="G56" s="48">
        <v>2152</v>
      </c>
      <c r="H56" s="48">
        <v>2197</v>
      </c>
      <c r="I56" s="48">
        <v>2227</v>
      </c>
      <c r="J56" s="48">
        <v>2109</v>
      </c>
      <c r="K56" s="48">
        <v>2228</v>
      </c>
      <c r="L56" s="48">
        <v>2035</v>
      </c>
      <c r="M56" s="453"/>
      <c r="N56" s="434" t="s">
        <v>4352</v>
      </c>
      <c r="O56" s="4"/>
      <c r="Q56" s="4"/>
    </row>
    <row r="57" spans="1:17">
      <c r="A57" s="434" t="s">
        <v>6961</v>
      </c>
      <c r="B57" s="434" t="s">
        <v>4358</v>
      </c>
      <c r="C57" s="4" t="s">
        <v>9567</v>
      </c>
      <c r="D57" s="456">
        <v>1210</v>
      </c>
      <c r="E57" s="456">
        <v>1202</v>
      </c>
      <c r="F57" s="456">
        <v>1188</v>
      </c>
      <c r="G57" s="48">
        <v>1228</v>
      </c>
      <c r="H57" s="48">
        <v>1223</v>
      </c>
      <c r="I57" s="48">
        <v>1198</v>
      </c>
      <c r="J57" s="48">
        <v>1133</v>
      </c>
      <c r="K57" s="48">
        <v>1177</v>
      </c>
      <c r="L57" s="48">
        <v>1155</v>
      </c>
      <c r="M57" s="453"/>
      <c r="N57" s="434" t="s">
        <v>4352</v>
      </c>
      <c r="O57" s="4"/>
      <c r="Q57" s="4"/>
    </row>
    <row r="58" spans="1:17">
      <c r="A58" s="434" t="s">
        <v>6963</v>
      </c>
      <c r="B58" s="434" t="s">
        <v>4359</v>
      </c>
      <c r="C58" s="4" t="s">
        <v>9568</v>
      </c>
      <c r="D58" s="456">
        <v>1049</v>
      </c>
      <c r="E58" s="456">
        <v>1060</v>
      </c>
      <c r="F58" s="456">
        <v>1053</v>
      </c>
      <c r="G58" s="48">
        <v>1042</v>
      </c>
      <c r="H58" s="48">
        <v>1048</v>
      </c>
      <c r="I58" s="48">
        <v>1087</v>
      </c>
      <c r="J58" s="48">
        <v>983</v>
      </c>
      <c r="K58" s="48">
        <v>1031</v>
      </c>
      <c r="L58" s="48">
        <v>1064</v>
      </c>
      <c r="M58" s="453"/>
      <c r="N58" s="434" t="s">
        <v>4352</v>
      </c>
      <c r="O58" s="4"/>
      <c r="Q58" s="4"/>
    </row>
    <row r="59" spans="1:17">
      <c r="A59" s="434" t="s">
        <v>6965</v>
      </c>
      <c r="B59" s="434" t="s">
        <v>4360</v>
      </c>
      <c r="C59" s="4" t="s">
        <v>9569</v>
      </c>
      <c r="D59" s="456">
        <v>2295</v>
      </c>
      <c r="E59" s="456">
        <v>2257</v>
      </c>
      <c r="F59" s="456">
        <v>2229</v>
      </c>
      <c r="G59" s="48">
        <v>2291</v>
      </c>
      <c r="H59" s="48">
        <v>2278</v>
      </c>
      <c r="I59" s="48">
        <v>2281</v>
      </c>
      <c r="J59" s="48">
        <v>2165</v>
      </c>
      <c r="K59" s="48">
        <v>2240</v>
      </c>
      <c r="L59" s="48">
        <v>2224</v>
      </c>
      <c r="M59" s="453"/>
      <c r="N59" s="434" t="s">
        <v>4352</v>
      </c>
      <c r="O59" s="4"/>
      <c r="Q59" s="4"/>
    </row>
    <row r="60" spans="1:17">
      <c r="A60" s="434" t="s">
        <v>6997</v>
      </c>
      <c r="B60" s="434" t="s">
        <v>4361</v>
      </c>
      <c r="C60" s="4" t="s">
        <v>9570</v>
      </c>
      <c r="D60" s="456">
        <v>1161</v>
      </c>
      <c r="E60" s="456">
        <v>1126</v>
      </c>
      <c r="F60" s="456">
        <v>1135</v>
      </c>
      <c r="G60" s="48">
        <v>1128</v>
      </c>
      <c r="H60" s="48">
        <v>1156</v>
      </c>
      <c r="I60" s="48">
        <v>1168</v>
      </c>
      <c r="J60" s="48">
        <v>1092</v>
      </c>
      <c r="K60" s="48">
        <v>1161</v>
      </c>
      <c r="L60" s="48">
        <v>1171</v>
      </c>
      <c r="M60" s="453"/>
      <c r="N60" s="434" t="s">
        <v>4352</v>
      </c>
      <c r="O60" s="4"/>
      <c r="Q60" s="4"/>
    </row>
    <row r="61" spans="1:17">
      <c r="A61" s="434" t="s">
        <v>6999</v>
      </c>
      <c r="B61" s="434" t="s">
        <v>4362</v>
      </c>
      <c r="C61" s="4" t="s">
        <v>9571</v>
      </c>
      <c r="D61" s="456">
        <v>1134</v>
      </c>
      <c r="E61" s="456">
        <v>1119</v>
      </c>
      <c r="F61" s="456">
        <v>1125</v>
      </c>
      <c r="G61" s="48">
        <v>1137</v>
      </c>
      <c r="H61" s="48">
        <v>1146</v>
      </c>
      <c r="I61" s="48">
        <v>1147</v>
      </c>
      <c r="J61" s="48">
        <v>1092</v>
      </c>
      <c r="K61" s="48">
        <v>1151</v>
      </c>
      <c r="L61" s="48">
        <v>1148</v>
      </c>
      <c r="M61" s="453"/>
      <c r="N61" s="434" t="s">
        <v>4352</v>
      </c>
      <c r="O61" s="4"/>
      <c r="Q61" s="4"/>
    </row>
    <row r="62" spans="1:17">
      <c r="A62" s="434" t="s">
        <v>7001</v>
      </c>
      <c r="B62" s="434" t="s">
        <v>4363</v>
      </c>
      <c r="C62" s="4" t="s">
        <v>9572</v>
      </c>
      <c r="D62" s="456">
        <v>1027</v>
      </c>
      <c r="E62" s="456">
        <v>978</v>
      </c>
      <c r="F62" s="456">
        <v>982</v>
      </c>
      <c r="G62" s="48">
        <v>1005</v>
      </c>
      <c r="H62" s="48">
        <v>979</v>
      </c>
      <c r="I62" s="48">
        <v>970</v>
      </c>
      <c r="J62" s="48">
        <v>887</v>
      </c>
      <c r="K62" s="48">
        <v>946</v>
      </c>
      <c r="L62" s="48">
        <v>941</v>
      </c>
      <c r="M62" s="453"/>
      <c r="N62" s="434" t="s">
        <v>4352</v>
      </c>
      <c r="O62" s="4"/>
      <c r="Q62" s="4"/>
    </row>
    <row r="63" spans="1:17">
      <c r="A63" s="434" t="s">
        <v>7003</v>
      </c>
      <c r="B63" s="434" t="s">
        <v>7136</v>
      </c>
      <c r="C63" s="4" t="s">
        <v>9573</v>
      </c>
      <c r="D63" s="456">
        <v>2472</v>
      </c>
      <c r="E63" s="456">
        <v>2434</v>
      </c>
      <c r="F63" s="456">
        <v>2460</v>
      </c>
      <c r="G63" s="48">
        <v>2458</v>
      </c>
      <c r="H63" s="48">
        <v>2496</v>
      </c>
      <c r="I63" s="48">
        <v>2475</v>
      </c>
      <c r="J63" s="48">
        <v>2341</v>
      </c>
      <c r="K63" s="48">
        <v>2397</v>
      </c>
      <c r="L63" s="48">
        <v>2285</v>
      </c>
      <c r="M63" s="453"/>
      <c r="N63" s="434" t="s">
        <v>4352</v>
      </c>
      <c r="O63" s="4"/>
      <c r="Q63" s="4"/>
    </row>
    <row r="64" spans="1:17">
      <c r="A64" s="434" t="s">
        <v>7005</v>
      </c>
      <c r="B64" s="434" t="s">
        <v>4364</v>
      </c>
      <c r="C64" s="4" t="s">
        <v>9574</v>
      </c>
      <c r="D64" s="456">
        <v>2196</v>
      </c>
      <c r="E64" s="456">
        <v>2142</v>
      </c>
      <c r="F64" s="456">
        <v>2139</v>
      </c>
      <c r="G64" s="48">
        <v>2157</v>
      </c>
      <c r="H64" s="48">
        <v>2164</v>
      </c>
      <c r="I64" s="48">
        <v>2139</v>
      </c>
      <c r="J64" s="48">
        <v>1916</v>
      </c>
      <c r="K64" s="48">
        <v>2021</v>
      </c>
      <c r="L64" s="48">
        <v>1985</v>
      </c>
      <c r="M64" s="453"/>
      <c r="N64" s="434" t="s">
        <v>4352</v>
      </c>
      <c r="O64" s="4"/>
      <c r="Q64" s="4"/>
    </row>
    <row r="65" spans="1:17">
      <c r="A65" s="434" t="s">
        <v>7007</v>
      </c>
      <c r="B65" s="434" t="s">
        <v>4365</v>
      </c>
      <c r="C65" s="4" t="s">
        <v>9575</v>
      </c>
      <c r="D65" s="456">
        <v>2535</v>
      </c>
      <c r="E65" s="456">
        <v>2505</v>
      </c>
      <c r="F65" s="456">
        <v>2538</v>
      </c>
      <c r="G65" s="48">
        <v>2543</v>
      </c>
      <c r="H65" s="48">
        <v>2757</v>
      </c>
      <c r="I65" s="48">
        <v>2837</v>
      </c>
      <c r="J65" s="48">
        <v>2894</v>
      </c>
      <c r="K65" s="48">
        <v>3365</v>
      </c>
      <c r="L65" s="48">
        <v>3628</v>
      </c>
      <c r="M65" s="453"/>
      <c r="N65" s="434" t="s">
        <v>4352</v>
      </c>
      <c r="O65" s="4"/>
      <c r="Q65" s="4"/>
    </row>
    <row r="66" spans="1:17">
      <c r="A66" s="434" t="s">
        <v>7009</v>
      </c>
      <c r="B66" s="434" t="s">
        <v>4366</v>
      </c>
      <c r="C66" s="4" t="s">
        <v>9576</v>
      </c>
      <c r="D66" s="456">
        <v>2124</v>
      </c>
      <c r="E66" s="456">
        <v>2100</v>
      </c>
      <c r="F66" s="456">
        <v>2122</v>
      </c>
      <c r="G66" s="48">
        <v>2114</v>
      </c>
      <c r="H66" s="48">
        <v>2088</v>
      </c>
      <c r="I66" s="48">
        <v>2064</v>
      </c>
      <c r="J66" s="48">
        <v>1936</v>
      </c>
      <c r="K66" s="48">
        <v>1992</v>
      </c>
      <c r="L66" s="48">
        <v>2021</v>
      </c>
      <c r="M66" s="453"/>
      <c r="N66" s="434" t="s">
        <v>4352</v>
      </c>
      <c r="O66" s="4"/>
      <c r="Q66" s="4"/>
    </row>
    <row r="67" spans="1:17">
      <c r="A67" s="434" t="s">
        <v>7011</v>
      </c>
      <c r="B67" s="434" t="s">
        <v>4367</v>
      </c>
      <c r="C67" s="4" t="s">
        <v>9577</v>
      </c>
      <c r="D67" s="456">
        <v>1836</v>
      </c>
      <c r="E67" s="456">
        <v>1849</v>
      </c>
      <c r="F67" s="456">
        <v>1846</v>
      </c>
      <c r="G67" s="48">
        <v>1857</v>
      </c>
      <c r="H67" s="48">
        <v>1832</v>
      </c>
      <c r="I67" s="48">
        <v>1846</v>
      </c>
      <c r="J67" s="48">
        <v>1748</v>
      </c>
      <c r="K67" s="48">
        <v>1805</v>
      </c>
      <c r="L67" s="48">
        <v>1770</v>
      </c>
      <c r="M67" s="453"/>
      <c r="N67" s="434" t="s">
        <v>4352</v>
      </c>
      <c r="O67" s="4"/>
      <c r="Q67" s="4"/>
    </row>
    <row r="68" spans="1:17">
      <c r="A68" s="434" t="s">
        <v>7013</v>
      </c>
      <c r="B68" s="434" t="s">
        <v>2656</v>
      </c>
      <c r="C68" s="4" t="s">
        <v>9578</v>
      </c>
      <c r="D68" s="456">
        <v>2342</v>
      </c>
      <c r="E68" s="456">
        <v>2333</v>
      </c>
      <c r="F68" s="456">
        <v>2326</v>
      </c>
      <c r="G68" s="48">
        <v>2342</v>
      </c>
      <c r="H68" s="48">
        <v>2343</v>
      </c>
      <c r="I68" s="48">
        <v>2338</v>
      </c>
      <c r="J68" s="48">
        <v>2193</v>
      </c>
      <c r="K68" s="48">
        <v>2287</v>
      </c>
      <c r="L68" s="48">
        <v>2268</v>
      </c>
      <c r="M68" s="453"/>
      <c r="N68" s="434" t="s">
        <v>4352</v>
      </c>
      <c r="O68" s="4"/>
      <c r="Q68" s="4"/>
    </row>
    <row r="69" spans="1:17">
      <c r="A69" s="434" t="s">
        <v>7015</v>
      </c>
      <c r="B69" s="434" t="s">
        <v>2657</v>
      </c>
      <c r="C69" s="4" t="s">
        <v>9579</v>
      </c>
      <c r="D69" s="456">
        <v>3171</v>
      </c>
      <c r="E69" s="456">
        <v>3088</v>
      </c>
      <c r="F69" s="456">
        <v>3056</v>
      </c>
      <c r="G69" s="48">
        <v>3091</v>
      </c>
      <c r="H69" s="48">
        <v>3096</v>
      </c>
      <c r="I69" s="48">
        <v>3080</v>
      </c>
      <c r="J69" s="48">
        <v>2829</v>
      </c>
      <c r="K69" s="48">
        <v>3010</v>
      </c>
      <c r="L69" s="48">
        <v>3017</v>
      </c>
      <c r="M69" s="453"/>
      <c r="N69" s="434" t="s">
        <v>4352</v>
      </c>
      <c r="O69" s="4"/>
      <c r="Q69" s="4"/>
    </row>
    <row r="70" spans="1:17">
      <c r="A70" s="434" t="s">
        <v>7017</v>
      </c>
      <c r="B70" s="434" t="s">
        <v>2658</v>
      </c>
      <c r="C70" s="4" t="s">
        <v>9580</v>
      </c>
      <c r="D70" s="456">
        <v>1086</v>
      </c>
      <c r="E70" s="456">
        <v>1072</v>
      </c>
      <c r="F70" s="456">
        <v>1062</v>
      </c>
      <c r="G70" s="48">
        <v>1058</v>
      </c>
      <c r="H70" s="48">
        <v>1065</v>
      </c>
      <c r="I70" s="48">
        <v>1068</v>
      </c>
      <c r="J70" s="48">
        <v>994</v>
      </c>
      <c r="K70" s="48">
        <v>1057</v>
      </c>
      <c r="L70" s="48">
        <v>1053</v>
      </c>
      <c r="M70" s="453"/>
      <c r="N70" s="434" t="s">
        <v>4352</v>
      </c>
      <c r="O70" s="4"/>
      <c r="Q70" s="4"/>
    </row>
    <row r="71" spans="1:17">
      <c r="A71" s="453"/>
      <c r="B71" s="453"/>
      <c r="D71" s="459"/>
      <c r="E71" s="459"/>
      <c r="F71" s="459"/>
      <c r="G71" s="459"/>
      <c r="H71" s="459"/>
      <c r="I71" s="459"/>
      <c r="J71" s="459"/>
      <c r="K71" s="459"/>
      <c r="L71" s="459"/>
      <c r="M71" s="453"/>
      <c r="N71" s="453"/>
    </row>
    <row r="72" spans="1:17">
      <c r="A72" s="434" t="s">
        <v>6109</v>
      </c>
      <c r="D72" s="456">
        <f t="shared" ref="D72:I72" si="102">SUM(D55:D70)</f>
        <v>29006</v>
      </c>
      <c r="E72" s="456">
        <f t="shared" si="102"/>
        <v>28437</v>
      </c>
      <c r="F72" s="456">
        <f t="shared" si="102"/>
        <v>28331</v>
      </c>
      <c r="G72" s="456">
        <f t="shared" si="102"/>
        <v>28707</v>
      </c>
      <c r="H72" s="456">
        <f t="shared" si="102"/>
        <v>28954</v>
      </c>
      <c r="I72" s="456">
        <f t="shared" si="102"/>
        <v>29053</v>
      </c>
      <c r="J72" s="456">
        <f t="shared" ref="J72:K72" si="103">SUM(J55:J70)</f>
        <v>27355</v>
      </c>
      <c r="K72" s="456">
        <f t="shared" si="103"/>
        <v>28933</v>
      </c>
      <c r="L72" s="456">
        <f t="shared" ref="L72" si="104">SUM(L55:L70)</f>
        <v>28836</v>
      </c>
      <c r="M72" s="453"/>
      <c r="N72" s="453"/>
    </row>
    <row r="73" spans="1:17">
      <c r="A73" s="453"/>
      <c r="B73" s="453"/>
      <c r="D73" s="453"/>
      <c r="E73" s="453"/>
      <c r="F73" s="453"/>
      <c r="G73" s="453"/>
      <c r="H73" s="453"/>
      <c r="I73" s="453"/>
      <c r="J73" s="453"/>
      <c r="K73" s="453"/>
      <c r="L73" s="453"/>
      <c r="M73" s="453"/>
      <c r="N73" s="453"/>
    </row>
    <row r="74" spans="1:17">
      <c r="A74" s="434" t="s">
        <v>6110</v>
      </c>
      <c r="B74" s="453"/>
      <c r="D74" s="453"/>
      <c r="E74" s="453"/>
      <c r="F74" s="453"/>
      <c r="G74" s="453"/>
      <c r="H74" s="453"/>
      <c r="I74" s="453"/>
      <c r="J74" s="453"/>
      <c r="K74" s="453"/>
      <c r="L74" s="453"/>
      <c r="M74" s="453"/>
      <c r="N74" s="453"/>
    </row>
    <row r="75" spans="1:17">
      <c r="A75" s="173"/>
      <c r="B75" s="453"/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</row>
    <row r="76" spans="1:17">
      <c r="A76" s="173"/>
      <c r="B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</row>
    <row r="77" spans="1:17">
      <c r="A77" s="453"/>
      <c r="B77" s="453"/>
      <c r="E77" s="42" t="s">
        <v>2303</v>
      </c>
      <c r="F77" s="42"/>
      <c r="G77" s="42"/>
      <c r="H77" s="42"/>
      <c r="I77" s="42"/>
      <c r="J77" s="42"/>
      <c r="K77" s="42"/>
      <c r="L77" s="42"/>
      <c r="M77" s="109"/>
      <c r="N77" s="112" t="s">
        <v>13319</v>
      </c>
    </row>
    <row r="78" spans="1:17">
      <c r="A78" s="453"/>
      <c r="B78" s="453"/>
      <c r="D78" s="110">
        <v>2010</v>
      </c>
      <c r="E78" s="110">
        <v>2011</v>
      </c>
      <c r="F78" s="110">
        <v>2012</v>
      </c>
      <c r="G78" s="110">
        <v>2013</v>
      </c>
      <c r="H78" s="110">
        <v>2014</v>
      </c>
      <c r="I78" s="110">
        <v>2015</v>
      </c>
      <c r="J78" s="110">
        <v>2016</v>
      </c>
      <c r="K78" s="110">
        <v>2017</v>
      </c>
      <c r="L78" s="110">
        <v>2018</v>
      </c>
      <c r="M78" s="453"/>
      <c r="N78" s="112" t="s">
        <v>2304</v>
      </c>
    </row>
    <row r="79" spans="1:17">
      <c r="A79" s="434" t="s">
        <v>6111</v>
      </c>
      <c r="D79" s="456">
        <f>SUM(D80:D88)+SUM(D90:D100)</f>
        <v>72515</v>
      </c>
      <c r="E79" s="456">
        <f t="shared" ref="E79:J79" si="105">SUM(E80:E88)+SUM(E90:E100)</f>
        <v>73026</v>
      </c>
      <c r="F79" s="456">
        <f t="shared" si="105"/>
        <v>73140</v>
      </c>
      <c r="G79" s="456">
        <f t="shared" si="105"/>
        <v>73787</v>
      </c>
      <c r="H79" s="456">
        <f t="shared" si="105"/>
        <v>73430</v>
      </c>
      <c r="I79" s="456">
        <f t="shared" si="105"/>
        <v>72327</v>
      </c>
      <c r="J79" s="456">
        <f t="shared" si="105"/>
        <v>72073</v>
      </c>
      <c r="K79" s="456">
        <f t="shared" ref="K79:L79" si="106">SUM(K80:K88)+SUM(K90:K100)</f>
        <v>73738</v>
      </c>
      <c r="L79" s="456">
        <f t="shared" si="106"/>
        <v>74499</v>
      </c>
      <c r="M79" s="453"/>
      <c r="N79" s="453"/>
    </row>
    <row r="80" spans="1:17">
      <c r="A80" s="434" t="s">
        <v>6957</v>
      </c>
      <c r="B80" s="434" t="s">
        <v>6112</v>
      </c>
      <c r="C80" s="4" t="s">
        <v>11312</v>
      </c>
      <c r="D80" s="456">
        <v>3704</v>
      </c>
      <c r="E80" s="456">
        <v>3731</v>
      </c>
      <c r="F80" s="456">
        <v>3717</v>
      </c>
      <c r="G80" s="456">
        <v>3717</v>
      </c>
      <c r="H80" s="30">
        <v>3700</v>
      </c>
      <c r="I80" s="30">
        <v>3615</v>
      </c>
      <c r="J80" s="30">
        <v>3672</v>
      </c>
      <c r="K80" s="30">
        <v>3823</v>
      </c>
      <c r="L80" s="30">
        <v>3880</v>
      </c>
      <c r="M80" s="453"/>
      <c r="N80" s="434" t="s">
        <v>4354</v>
      </c>
      <c r="O80" s="930"/>
      <c r="P80" s="948"/>
      <c r="Q80" s="945"/>
    </row>
    <row r="81" spans="1:17">
      <c r="A81" s="434" t="s">
        <v>6959</v>
      </c>
      <c r="B81" s="434" t="s">
        <v>6113</v>
      </c>
      <c r="C81" s="4" t="s">
        <v>11313</v>
      </c>
      <c r="D81" s="456">
        <v>3648</v>
      </c>
      <c r="E81" s="456">
        <v>3690</v>
      </c>
      <c r="F81" s="456">
        <v>3707</v>
      </c>
      <c r="G81" s="456">
        <v>3731</v>
      </c>
      <c r="H81" s="30">
        <v>3702</v>
      </c>
      <c r="I81" s="30">
        <v>3676</v>
      </c>
      <c r="J81" s="30">
        <v>3720</v>
      </c>
      <c r="K81" s="30">
        <v>3833</v>
      </c>
      <c r="L81" s="30">
        <v>3923</v>
      </c>
      <c r="M81" s="453"/>
      <c r="N81" s="434" t="s">
        <v>4354</v>
      </c>
      <c r="O81" s="930"/>
      <c r="P81" s="948"/>
      <c r="Q81" s="945"/>
    </row>
    <row r="82" spans="1:17">
      <c r="A82" s="434" t="s">
        <v>6961</v>
      </c>
      <c r="B82" s="434" t="s">
        <v>2665</v>
      </c>
      <c r="C82" s="4" t="s">
        <v>11314</v>
      </c>
      <c r="D82" s="456">
        <v>5380</v>
      </c>
      <c r="E82" s="456">
        <v>5399</v>
      </c>
      <c r="F82" s="456">
        <v>5511</v>
      </c>
      <c r="G82" s="456">
        <v>5634</v>
      </c>
      <c r="H82" s="30">
        <v>5812</v>
      </c>
      <c r="I82" s="30">
        <v>5857</v>
      </c>
      <c r="J82" s="30">
        <v>5933</v>
      </c>
      <c r="K82" s="30">
        <v>6040</v>
      </c>
      <c r="L82" s="30">
        <v>6144</v>
      </c>
      <c r="M82" s="453"/>
      <c r="N82" s="434" t="s">
        <v>4354</v>
      </c>
      <c r="O82" s="930"/>
      <c r="P82" s="948"/>
      <c r="Q82" s="945"/>
    </row>
    <row r="83" spans="1:17">
      <c r="A83" s="434" t="s">
        <v>6963</v>
      </c>
      <c r="B83" s="434" t="s">
        <v>2666</v>
      </c>
      <c r="C83" s="4" t="s">
        <v>11315</v>
      </c>
      <c r="D83" s="456">
        <v>1757</v>
      </c>
      <c r="E83" s="456">
        <v>1760</v>
      </c>
      <c r="F83" s="456">
        <v>1739</v>
      </c>
      <c r="G83" s="456">
        <v>1734</v>
      </c>
      <c r="H83" s="30">
        <v>1691</v>
      </c>
      <c r="I83" s="30">
        <v>1690</v>
      </c>
      <c r="J83" s="30">
        <v>1733</v>
      </c>
      <c r="K83" s="30">
        <v>1825</v>
      </c>
      <c r="L83" s="30">
        <v>1888</v>
      </c>
      <c r="M83" s="453"/>
      <c r="N83" s="434" t="s">
        <v>4354</v>
      </c>
      <c r="O83" s="930"/>
      <c r="P83" s="948"/>
      <c r="Q83" s="945"/>
    </row>
    <row r="84" spans="1:17">
      <c r="A84" s="434" t="s">
        <v>6965</v>
      </c>
      <c r="B84" s="434" t="s">
        <v>2667</v>
      </c>
      <c r="C84" s="4" t="s">
        <v>11316</v>
      </c>
      <c r="D84" s="456">
        <v>3984</v>
      </c>
      <c r="E84" s="456">
        <v>4011</v>
      </c>
      <c r="F84" s="456">
        <v>4034</v>
      </c>
      <c r="G84" s="456">
        <v>4064</v>
      </c>
      <c r="H84" s="30">
        <v>4017</v>
      </c>
      <c r="I84" s="30">
        <v>4021</v>
      </c>
      <c r="J84" s="30">
        <v>4030</v>
      </c>
      <c r="K84" s="30">
        <v>4277</v>
      </c>
      <c r="L84" s="30">
        <v>4348</v>
      </c>
      <c r="M84" s="453"/>
      <c r="N84" s="434" t="s">
        <v>2641</v>
      </c>
      <c r="O84" s="930"/>
      <c r="P84" s="948"/>
      <c r="Q84" s="945"/>
    </row>
    <row r="85" spans="1:17">
      <c r="A85" s="434" t="s">
        <v>6997</v>
      </c>
      <c r="B85" s="434" t="s">
        <v>2668</v>
      </c>
      <c r="C85" s="4" t="s">
        <v>11317</v>
      </c>
      <c r="D85" s="456">
        <v>3496</v>
      </c>
      <c r="E85" s="456">
        <v>3552</v>
      </c>
      <c r="F85" s="456">
        <v>3652</v>
      </c>
      <c r="G85" s="456">
        <v>3695</v>
      </c>
      <c r="H85" s="30">
        <v>3632</v>
      </c>
      <c r="I85" s="30">
        <v>3558</v>
      </c>
      <c r="J85" s="30">
        <v>3574</v>
      </c>
      <c r="K85" s="30">
        <v>3638</v>
      </c>
      <c r="L85" s="30">
        <v>3689</v>
      </c>
      <c r="M85" s="453"/>
      <c r="N85" s="434" t="s">
        <v>4354</v>
      </c>
      <c r="O85" s="930"/>
      <c r="P85" s="948"/>
      <c r="Q85" s="945"/>
    </row>
    <row r="86" spans="1:17">
      <c r="A86" s="434" t="s">
        <v>6999</v>
      </c>
      <c r="B86" s="434" t="s">
        <v>6941</v>
      </c>
      <c r="C86" s="4" t="s">
        <v>11318</v>
      </c>
      <c r="D86" s="456">
        <v>3816</v>
      </c>
      <c r="E86" s="456">
        <v>3801</v>
      </c>
      <c r="F86" s="456">
        <v>3830</v>
      </c>
      <c r="G86" s="456">
        <v>3893</v>
      </c>
      <c r="H86" s="30">
        <v>3852</v>
      </c>
      <c r="I86" s="30">
        <v>3789</v>
      </c>
      <c r="J86" s="30">
        <v>3713</v>
      </c>
      <c r="K86" s="30">
        <v>3759</v>
      </c>
      <c r="L86" s="30">
        <v>3769</v>
      </c>
      <c r="M86" s="453"/>
      <c r="N86" s="434" t="s">
        <v>2641</v>
      </c>
      <c r="O86" s="930"/>
      <c r="P86" s="948"/>
      <c r="Q86" s="945"/>
    </row>
    <row r="87" spans="1:17">
      <c r="A87" s="434" t="s">
        <v>7001</v>
      </c>
      <c r="B87" s="434" t="s">
        <v>3970</v>
      </c>
      <c r="C87" s="4" t="s">
        <v>14169</v>
      </c>
      <c r="D87" s="456">
        <v>5526</v>
      </c>
      <c r="E87" s="456">
        <v>5581</v>
      </c>
      <c r="F87" s="456">
        <v>5556</v>
      </c>
      <c r="G87" s="456">
        <v>5415</v>
      </c>
      <c r="H87" s="30">
        <v>5445</v>
      </c>
      <c r="I87" s="30">
        <v>5326</v>
      </c>
      <c r="J87" s="30">
        <v>5324</v>
      </c>
      <c r="K87" s="30">
        <v>5507</v>
      </c>
      <c r="L87" s="30">
        <v>5603</v>
      </c>
      <c r="M87" s="453"/>
      <c r="N87" s="434" t="s">
        <v>2641</v>
      </c>
      <c r="O87" s="930"/>
      <c r="P87" s="948"/>
      <c r="Q87" s="945"/>
    </row>
    <row r="88" spans="1:17" ht="15.75" thickBot="1">
      <c r="A88" s="434"/>
      <c r="B88" s="434"/>
      <c r="C88" s="4" t="s">
        <v>14169</v>
      </c>
      <c r="D88" s="660">
        <v>0</v>
      </c>
      <c r="E88" s="660">
        <v>0</v>
      </c>
      <c r="F88" s="660">
        <v>0</v>
      </c>
      <c r="G88" s="660">
        <v>0</v>
      </c>
      <c r="H88" s="899">
        <v>0</v>
      </c>
      <c r="I88" s="899">
        <v>0</v>
      </c>
      <c r="J88" s="899">
        <v>0</v>
      </c>
      <c r="K88" s="30">
        <v>0</v>
      </c>
      <c r="L88" s="30">
        <v>0</v>
      </c>
      <c r="M88" s="453"/>
      <c r="N88" s="434" t="s">
        <v>4354</v>
      </c>
      <c r="O88" s="930"/>
      <c r="P88" s="948"/>
      <c r="Q88" s="945"/>
    </row>
    <row r="89" spans="1:17" ht="15.75" thickBot="1">
      <c r="A89" s="434"/>
      <c r="B89" s="434"/>
      <c r="C89" s="4" t="s">
        <v>14169</v>
      </c>
      <c r="D89" s="914">
        <f>D87+D88</f>
        <v>5526</v>
      </c>
      <c r="E89" s="914">
        <f t="shared" ref="E89:L89" si="107">E87+E88</f>
        <v>5581</v>
      </c>
      <c r="F89" s="914">
        <f t="shared" si="107"/>
        <v>5556</v>
      </c>
      <c r="G89" s="914">
        <f t="shared" si="107"/>
        <v>5415</v>
      </c>
      <c r="H89" s="914">
        <f t="shared" si="107"/>
        <v>5445</v>
      </c>
      <c r="I89" s="914">
        <f t="shared" si="107"/>
        <v>5326</v>
      </c>
      <c r="J89" s="914">
        <f t="shared" si="107"/>
        <v>5324</v>
      </c>
      <c r="K89" s="914">
        <f t="shared" si="107"/>
        <v>5507</v>
      </c>
      <c r="L89" s="914">
        <f t="shared" si="107"/>
        <v>5603</v>
      </c>
      <c r="M89" s="453"/>
      <c r="N89" s="434"/>
      <c r="O89" s="930"/>
      <c r="P89" s="948"/>
      <c r="Q89" s="945"/>
    </row>
    <row r="90" spans="1:17">
      <c r="A90" s="434" t="s">
        <v>7003</v>
      </c>
      <c r="B90" s="434" t="s">
        <v>5162</v>
      </c>
      <c r="C90" s="4" t="s">
        <v>11319</v>
      </c>
      <c r="D90" s="456">
        <v>2050</v>
      </c>
      <c r="E90" s="456">
        <v>2050</v>
      </c>
      <c r="F90" s="456">
        <v>2029</v>
      </c>
      <c r="G90" s="456">
        <v>2049</v>
      </c>
      <c r="H90" s="30">
        <v>2012</v>
      </c>
      <c r="I90" s="30">
        <v>1973</v>
      </c>
      <c r="J90" s="30">
        <v>1915</v>
      </c>
      <c r="K90" s="30">
        <v>1909</v>
      </c>
      <c r="L90" s="30">
        <v>1911</v>
      </c>
      <c r="M90" s="453"/>
      <c r="N90" s="434" t="s">
        <v>4354</v>
      </c>
      <c r="O90" s="930"/>
      <c r="P90" s="948"/>
      <c r="Q90" s="945"/>
    </row>
    <row r="91" spans="1:17">
      <c r="A91" s="434" t="s">
        <v>7005</v>
      </c>
      <c r="B91" s="434" t="s">
        <v>5163</v>
      </c>
      <c r="C91" s="4" t="s">
        <v>11320</v>
      </c>
      <c r="D91" s="456">
        <v>3435</v>
      </c>
      <c r="E91" s="456">
        <v>3487</v>
      </c>
      <c r="F91" s="456">
        <v>3461</v>
      </c>
      <c r="G91" s="456">
        <v>3443</v>
      </c>
      <c r="H91" s="30">
        <v>3443</v>
      </c>
      <c r="I91" s="30">
        <v>3397</v>
      </c>
      <c r="J91" s="30">
        <v>3362</v>
      </c>
      <c r="K91" s="30">
        <v>3391</v>
      </c>
      <c r="L91" s="30">
        <v>3371</v>
      </c>
      <c r="M91" s="453"/>
      <c r="N91" s="434" t="s">
        <v>2641</v>
      </c>
      <c r="O91" s="930"/>
      <c r="P91" s="948"/>
      <c r="Q91" s="945"/>
    </row>
    <row r="92" spans="1:17">
      <c r="A92" s="434" t="s">
        <v>7007</v>
      </c>
      <c r="B92" s="434" t="s">
        <v>5164</v>
      </c>
      <c r="C92" s="4" t="s">
        <v>11321</v>
      </c>
      <c r="D92" s="456">
        <v>4113</v>
      </c>
      <c r="E92" s="456">
        <v>4129</v>
      </c>
      <c r="F92" s="456">
        <v>4129</v>
      </c>
      <c r="G92" s="456">
        <v>4112</v>
      </c>
      <c r="H92" s="30">
        <v>4087</v>
      </c>
      <c r="I92" s="30">
        <v>3978</v>
      </c>
      <c r="J92" s="30">
        <v>3945</v>
      </c>
      <c r="K92" s="30">
        <v>4024</v>
      </c>
      <c r="L92" s="30">
        <v>4028</v>
      </c>
      <c r="M92" s="453"/>
      <c r="N92" s="434" t="s">
        <v>4354</v>
      </c>
      <c r="O92" s="930"/>
      <c r="P92" s="948"/>
      <c r="Q92" s="945"/>
    </row>
    <row r="93" spans="1:17">
      <c r="A93" s="434" t="s">
        <v>7009</v>
      </c>
      <c r="B93" s="434" t="s">
        <v>7136</v>
      </c>
      <c r="C93" s="4" t="s">
        <v>11322</v>
      </c>
      <c r="D93" s="456">
        <v>1950</v>
      </c>
      <c r="E93" s="456">
        <v>1983</v>
      </c>
      <c r="F93" s="456">
        <v>2010</v>
      </c>
      <c r="G93" s="456">
        <v>2032</v>
      </c>
      <c r="H93" s="30">
        <v>2030</v>
      </c>
      <c r="I93" s="30">
        <v>2012</v>
      </c>
      <c r="J93" s="30">
        <v>2030</v>
      </c>
      <c r="K93" s="30">
        <v>2109</v>
      </c>
      <c r="L93" s="30">
        <v>2116</v>
      </c>
      <c r="M93" s="453"/>
      <c r="N93" s="434" t="s">
        <v>4354</v>
      </c>
      <c r="O93" s="930"/>
      <c r="P93" s="948"/>
      <c r="Q93" s="945"/>
    </row>
    <row r="94" spans="1:17">
      <c r="A94" s="434" t="s">
        <v>7011</v>
      </c>
      <c r="B94" s="434" t="s">
        <v>5165</v>
      </c>
      <c r="C94" s="4" t="s">
        <v>11323</v>
      </c>
      <c r="D94" s="456">
        <v>3873</v>
      </c>
      <c r="E94" s="456">
        <v>3922</v>
      </c>
      <c r="F94" s="456">
        <v>3889</v>
      </c>
      <c r="G94" s="456">
        <v>3957</v>
      </c>
      <c r="H94" s="30">
        <v>3872</v>
      </c>
      <c r="I94" s="30">
        <v>3813</v>
      </c>
      <c r="J94" s="30">
        <v>3817</v>
      </c>
      <c r="K94" s="30">
        <v>3907</v>
      </c>
      <c r="L94" s="30">
        <v>3956</v>
      </c>
      <c r="M94" s="453"/>
      <c r="N94" s="434" t="s">
        <v>4354</v>
      </c>
      <c r="O94" s="930"/>
      <c r="P94" s="948"/>
      <c r="Q94" s="945"/>
    </row>
    <row r="95" spans="1:17">
      <c r="A95" s="434" t="s">
        <v>7013</v>
      </c>
      <c r="B95" s="434" t="s">
        <v>5166</v>
      </c>
      <c r="C95" s="4" t="s">
        <v>11324</v>
      </c>
      <c r="D95" s="456">
        <v>3703</v>
      </c>
      <c r="E95" s="456">
        <v>3721</v>
      </c>
      <c r="F95" s="456">
        <v>3731</v>
      </c>
      <c r="G95" s="456">
        <v>3738</v>
      </c>
      <c r="H95" s="30">
        <v>3808</v>
      </c>
      <c r="I95" s="30">
        <v>3758</v>
      </c>
      <c r="J95" s="30">
        <v>3755</v>
      </c>
      <c r="K95" s="30">
        <v>3761</v>
      </c>
      <c r="L95" s="30">
        <v>3736</v>
      </c>
      <c r="M95" s="453"/>
      <c r="N95" s="434" t="s">
        <v>4354</v>
      </c>
      <c r="O95" s="930"/>
      <c r="P95" s="948"/>
      <c r="Q95" s="945"/>
    </row>
    <row r="96" spans="1:17">
      <c r="A96" s="434" t="s">
        <v>7015</v>
      </c>
      <c r="B96" s="434" t="s">
        <v>1761</v>
      </c>
      <c r="C96" s="4" t="s">
        <v>11325</v>
      </c>
      <c r="D96" s="456">
        <v>5371</v>
      </c>
      <c r="E96" s="456">
        <v>5405</v>
      </c>
      <c r="F96" s="456">
        <v>5396</v>
      </c>
      <c r="G96" s="456">
        <v>5451</v>
      </c>
      <c r="H96" s="30">
        <v>5328</v>
      </c>
      <c r="I96" s="30">
        <v>5209</v>
      </c>
      <c r="J96" s="30">
        <v>5142</v>
      </c>
      <c r="K96" s="30">
        <v>5088</v>
      </c>
      <c r="L96" s="30">
        <v>5047</v>
      </c>
      <c r="M96" s="453"/>
      <c r="N96" s="434" t="s">
        <v>4354</v>
      </c>
      <c r="O96" s="930"/>
      <c r="P96" s="948"/>
      <c r="Q96" s="945"/>
    </row>
    <row r="97" spans="1:17">
      <c r="A97" s="434" t="s">
        <v>7017</v>
      </c>
      <c r="B97" s="434" t="s">
        <v>1762</v>
      </c>
      <c r="C97" s="4" t="s">
        <v>11326</v>
      </c>
      <c r="D97" s="456">
        <v>5673</v>
      </c>
      <c r="E97" s="456">
        <v>5681</v>
      </c>
      <c r="F97" s="456">
        <v>5667</v>
      </c>
      <c r="G97" s="456">
        <v>5711</v>
      </c>
      <c r="H97" s="31">
        <v>5666</v>
      </c>
      <c r="I97" s="31">
        <v>5581</v>
      </c>
      <c r="J97" s="31">
        <v>5494</v>
      </c>
      <c r="K97" s="31">
        <v>5584</v>
      </c>
      <c r="L97" s="31">
        <v>5634</v>
      </c>
      <c r="M97" s="453"/>
      <c r="N97" s="434" t="s">
        <v>4354</v>
      </c>
      <c r="O97" s="946"/>
      <c r="P97" s="948"/>
      <c r="Q97" s="945"/>
    </row>
    <row r="98" spans="1:17">
      <c r="A98" s="434" t="s">
        <v>7019</v>
      </c>
      <c r="B98" s="434" t="s">
        <v>1763</v>
      </c>
      <c r="C98" s="4" t="s">
        <v>11327</v>
      </c>
      <c r="D98" s="456">
        <v>5906</v>
      </c>
      <c r="E98" s="456">
        <v>5922</v>
      </c>
      <c r="F98" s="456">
        <v>5936</v>
      </c>
      <c r="G98" s="456">
        <v>6052</v>
      </c>
      <c r="H98" s="31">
        <v>6098</v>
      </c>
      <c r="I98" s="31">
        <v>5999</v>
      </c>
      <c r="J98" s="31">
        <v>6021</v>
      </c>
      <c r="K98" s="31">
        <v>6306</v>
      </c>
      <c r="L98" s="31">
        <v>6536</v>
      </c>
      <c r="M98" s="453"/>
      <c r="N98" s="434" t="s">
        <v>4354</v>
      </c>
      <c r="O98" s="71"/>
      <c r="Q98" s="4"/>
    </row>
    <row r="99" spans="1:17">
      <c r="A99" s="434" t="s">
        <v>7021</v>
      </c>
      <c r="B99" s="434" t="s">
        <v>5672</v>
      </c>
      <c r="C99" s="4" t="s">
        <v>14170</v>
      </c>
      <c r="D99" s="456">
        <v>0</v>
      </c>
      <c r="E99" s="456">
        <v>0</v>
      </c>
      <c r="F99" s="456">
        <v>0</v>
      </c>
      <c r="G99" s="48">
        <v>0</v>
      </c>
      <c r="H99" s="30">
        <v>0</v>
      </c>
      <c r="I99" s="30">
        <v>120</v>
      </c>
      <c r="J99" s="31">
        <v>133</v>
      </c>
      <c r="K99" s="31">
        <v>131</v>
      </c>
      <c r="L99" s="31">
        <v>125</v>
      </c>
      <c r="M99" s="453"/>
      <c r="N99" s="434" t="s">
        <v>2641</v>
      </c>
      <c r="O99" s="71"/>
      <c r="Q99" s="4"/>
    </row>
    <row r="100" spans="1:17" ht="15.75" thickBot="1">
      <c r="A100" s="434"/>
      <c r="B100" s="434"/>
      <c r="C100" s="4" t="s">
        <v>14170</v>
      </c>
      <c r="D100" s="660">
        <v>5130</v>
      </c>
      <c r="E100" s="660">
        <v>5201</v>
      </c>
      <c r="F100" s="660">
        <v>5146</v>
      </c>
      <c r="G100" s="660">
        <v>5359</v>
      </c>
      <c r="H100" s="905">
        <v>5235</v>
      </c>
      <c r="I100" s="905">
        <v>4955</v>
      </c>
      <c r="J100" s="905">
        <v>4760</v>
      </c>
      <c r="K100" s="31">
        <v>4826</v>
      </c>
      <c r="L100" s="31">
        <v>4795</v>
      </c>
      <c r="M100" s="453"/>
      <c r="N100" s="434" t="s">
        <v>4354</v>
      </c>
      <c r="O100" s="71"/>
      <c r="Q100" s="4"/>
    </row>
    <row r="101" spans="1:17" ht="15.75" thickBot="1">
      <c r="A101" s="434"/>
      <c r="B101" s="434"/>
      <c r="C101" s="4" t="s">
        <v>14170</v>
      </c>
      <c r="D101" s="914">
        <f>D99+D100</f>
        <v>5130</v>
      </c>
      <c r="E101" s="914">
        <f t="shared" ref="E101:J101" si="108">E99+E100</f>
        <v>5201</v>
      </c>
      <c r="F101" s="914">
        <f t="shared" si="108"/>
        <v>5146</v>
      </c>
      <c r="G101" s="914">
        <f t="shared" si="108"/>
        <v>5359</v>
      </c>
      <c r="H101" s="914">
        <f t="shared" si="108"/>
        <v>5235</v>
      </c>
      <c r="I101" s="914">
        <f t="shared" si="108"/>
        <v>5075</v>
      </c>
      <c r="J101" s="914">
        <f t="shared" si="108"/>
        <v>4893</v>
      </c>
      <c r="K101" s="914">
        <f t="shared" ref="K101:L101" si="109">K99+K100</f>
        <v>4957</v>
      </c>
      <c r="L101" s="914">
        <f t="shared" si="109"/>
        <v>4920</v>
      </c>
      <c r="M101" s="453"/>
      <c r="N101" s="434"/>
      <c r="O101" s="71"/>
      <c r="Q101" s="4"/>
    </row>
    <row r="102" spans="1:17">
      <c r="A102" s="453"/>
      <c r="B102" s="453"/>
      <c r="D102" s="459"/>
      <c r="E102" s="459"/>
      <c r="F102" s="459"/>
      <c r="G102" s="459"/>
      <c r="H102" s="459"/>
      <c r="I102" s="459"/>
      <c r="J102" s="459"/>
      <c r="K102" s="459"/>
      <c r="L102" s="459"/>
      <c r="M102" s="453"/>
      <c r="N102" s="453"/>
    </row>
    <row r="103" spans="1:17">
      <c r="A103" s="434" t="s">
        <v>1764</v>
      </c>
      <c r="D103" s="456">
        <f>D84+D86+D87+D91+D99</f>
        <v>16761</v>
      </c>
      <c r="E103" s="456">
        <f t="shared" ref="E103:J103" si="110">E84+E86+E87+E91+E99</f>
        <v>16880</v>
      </c>
      <c r="F103" s="456">
        <f t="shared" si="110"/>
        <v>16881</v>
      </c>
      <c r="G103" s="456">
        <f t="shared" si="110"/>
        <v>16815</v>
      </c>
      <c r="H103" s="456">
        <f t="shared" si="110"/>
        <v>16757</v>
      </c>
      <c r="I103" s="456">
        <f t="shared" si="110"/>
        <v>16653</v>
      </c>
      <c r="J103" s="456">
        <f t="shared" si="110"/>
        <v>16562</v>
      </c>
      <c r="K103" s="456">
        <f t="shared" ref="K103:L103" si="111">K84+K86+K87+K91+K99</f>
        <v>17065</v>
      </c>
      <c r="L103" s="456">
        <f t="shared" si="111"/>
        <v>17216</v>
      </c>
      <c r="M103" s="453"/>
      <c r="N103" s="453"/>
    </row>
    <row r="104" spans="1:17">
      <c r="A104" s="434" t="s">
        <v>1765</v>
      </c>
      <c r="D104" s="456">
        <f>SUM(D80:D83)+D85+D88+D90+SUM(D92:D98)+D100</f>
        <v>55754</v>
      </c>
      <c r="E104" s="456">
        <f t="shared" ref="E104:J104" si="112">SUM(E80:E83)+E85+E88+E90+SUM(E92:E98)+E100</f>
        <v>56146</v>
      </c>
      <c r="F104" s="456">
        <f t="shared" si="112"/>
        <v>56259</v>
      </c>
      <c r="G104" s="456">
        <f t="shared" si="112"/>
        <v>56972</v>
      </c>
      <c r="H104" s="456">
        <f t="shared" si="112"/>
        <v>56673</v>
      </c>
      <c r="I104" s="456">
        <f t="shared" si="112"/>
        <v>55674</v>
      </c>
      <c r="J104" s="456">
        <f t="shared" si="112"/>
        <v>55511</v>
      </c>
      <c r="K104" s="456">
        <f t="shared" ref="K104:L104" si="113">SUM(K80:K83)+K85+K88+K90+SUM(K92:K98)+K100</f>
        <v>56673</v>
      </c>
      <c r="L104" s="456">
        <f t="shared" si="113"/>
        <v>57283</v>
      </c>
      <c r="M104" s="453"/>
      <c r="N104" s="453"/>
    </row>
    <row r="105" spans="1:17">
      <c r="A105" s="434"/>
      <c r="D105" s="456"/>
      <c r="E105" s="456"/>
      <c r="F105" s="456"/>
      <c r="G105" s="456"/>
      <c r="H105" s="456"/>
      <c r="I105" s="456"/>
      <c r="J105" s="456"/>
      <c r="K105" s="456"/>
      <c r="L105" s="456"/>
      <c r="M105" s="453"/>
      <c r="N105" s="453"/>
    </row>
    <row r="106" spans="1:17">
      <c r="A106" s="434" t="s">
        <v>14167</v>
      </c>
      <c r="D106" s="456"/>
      <c r="E106" s="456"/>
      <c r="F106" s="456"/>
      <c r="G106" s="456"/>
      <c r="H106" s="456"/>
      <c r="I106" s="456"/>
      <c r="J106" s="456"/>
      <c r="K106" s="456"/>
      <c r="L106" s="456"/>
      <c r="M106" s="453"/>
      <c r="N106" s="453"/>
    </row>
    <row r="107" spans="1:17">
      <c r="A107" s="434" t="s">
        <v>14168</v>
      </c>
      <c r="D107" s="456"/>
      <c r="E107" s="456"/>
      <c r="F107" s="456"/>
      <c r="G107" s="456"/>
      <c r="H107" s="456"/>
      <c r="I107" s="456"/>
      <c r="J107" s="456"/>
      <c r="K107" s="456"/>
      <c r="L107" s="456"/>
      <c r="M107" s="453"/>
      <c r="N107" s="453"/>
    </row>
    <row r="108" spans="1:17">
      <c r="A108" s="434"/>
      <c r="B108" s="434"/>
      <c r="D108" s="663"/>
      <c r="E108" s="663"/>
      <c r="F108" s="663"/>
      <c r="G108" s="663"/>
      <c r="H108" s="663"/>
      <c r="I108" s="663"/>
      <c r="J108" s="663"/>
      <c r="K108" s="663"/>
      <c r="L108" s="663"/>
      <c r="M108" s="453"/>
      <c r="N108" s="453"/>
    </row>
    <row r="109" spans="1:17">
      <c r="A109" s="434"/>
      <c r="B109" s="434"/>
      <c r="D109" s="663"/>
      <c r="E109" s="663"/>
      <c r="F109" s="663"/>
      <c r="G109" s="663"/>
      <c r="H109" s="663"/>
      <c r="I109" s="663"/>
      <c r="J109" s="663"/>
      <c r="K109" s="663"/>
      <c r="L109" s="663"/>
      <c r="M109" s="453"/>
      <c r="N109" s="453"/>
    </row>
    <row r="110" spans="1:17">
      <c r="A110" s="453"/>
      <c r="B110" s="453"/>
      <c r="E110" s="42" t="s">
        <v>2303</v>
      </c>
      <c r="F110" s="42"/>
      <c r="G110" s="42"/>
      <c r="H110" s="42"/>
      <c r="I110" s="42"/>
      <c r="J110" s="42"/>
      <c r="K110" s="42"/>
      <c r="L110" s="42"/>
      <c r="M110" s="109"/>
      <c r="N110" s="112" t="s">
        <v>13319</v>
      </c>
    </row>
    <row r="111" spans="1:17">
      <c r="A111" s="453"/>
      <c r="B111" s="453"/>
      <c r="D111" s="110">
        <v>2010</v>
      </c>
      <c r="E111" s="110">
        <v>2011</v>
      </c>
      <c r="F111" s="110">
        <v>2012</v>
      </c>
      <c r="G111" s="110">
        <v>2013</v>
      </c>
      <c r="H111" s="110">
        <v>2014</v>
      </c>
      <c r="I111" s="110">
        <v>2015</v>
      </c>
      <c r="J111" s="110">
        <v>2016</v>
      </c>
      <c r="K111" s="110">
        <v>2017</v>
      </c>
      <c r="L111" s="110">
        <v>2018</v>
      </c>
      <c r="M111" s="453"/>
      <c r="N111" s="112" t="s">
        <v>2304</v>
      </c>
    </row>
    <row r="112" spans="1:17">
      <c r="A112" s="434" t="s">
        <v>2467</v>
      </c>
      <c r="D112" s="456">
        <f t="shared" ref="D112:I112" si="114">SUM(D113:D140)</f>
        <v>129911</v>
      </c>
      <c r="E112" s="456">
        <f t="shared" si="114"/>
        <v>130936</v>
      </c>
      <c r="F112" s="456">
        <f t="shared" si="114"/>
        <v>131782</v>
      </c>
      <c r="G112" s="456">
        <f t="shared" si="114"/>
        <v>132712</v>
      </c>
      <c r="H112" s="456">
        <f t="shared" si="114"/>
        <v>133185</v>
      </c>
      <c r="I112" s="456">
        <f t="shared" si="114"/>
        <v>124752</v>
      </c>
      <c r="J112" s="456">
        <f t="shared" ref="J112:K112" si="115">SUM(J113:J140)</f>
        <v>127526</v>
      </c>
      <c r="K112" s="456">
        <f t="shared" si="115"/>
        <v>131411</v>
      </c>
      <c r="L112" s="456">
        <f t="shared" ref="L112" si="116">SUM(L113:L140)</f>
        <v>129612</v>
      </c>
      <c r="M112" s="453"/>
      <c r="N112" s="453"/>
    </row>
    <row r="113" spans="1:17">
      <c r="A113" s="434" t="s">
        <v>6957</v>
      </c>
      <c r="B113" s="434" t="s">
        <v>2468</v>
      </c>
      <c r="C113" s="4" t="s">
        <v>11328</v>
      </c>
      <c r="D113" s="456">
        <v>5169</v>
      </c>
      <c r="E113" s="456">
        <v>5192</v>
      </c>
      <c r="F113" s="456">
        <v>5302</v>
      </c>
      <c r="G113" s="30">
        <v>5297</v>
      </c>
      <c r="H113" s="30">
        <v>5273</v>
      </c>
      <c r="I113" s="30">
        <v>5310</v>
      </c>
      <c r="J113" s="30">
        <v>5213</v>
      </c>
      <c r="K113" s="30">
        <v>5359</v>
      </c>
      <c r="L113" s="30">
        <v>5469</v>
      </c>
      <c r="M113" s="453"/>
      <c r="N113" s="434" t="s">
        <v>2641</v>
      </c>
      <c r="O113" s="4"/>
      <c r="Q113" s="4"/>
    </row>
    <row r="114" spans="1:17">
      <c r="A114" s="434" t="s">
        <v>6959</v>
      </c>
      <c r="B114" s="434" t="s">
        <v>2469</v>
      </c>
      <c r="C114" s="4" t="s">
        <v>11329</v>
      </c>
      <c r="D114" s="456">
        <v>5023</v>
      </c>
      <c r="E114" s="456">
        <v>5151</v>
      </c>
      <c r="F114" s="456">
        <v>5299</v>
      </c>
      <c r="G114" s="30">
        <v>5407</v>
      </c>
      <c r="H114" s="30">
        <v>5427</v>
      </c>
      <c r="I114" s="30">
        <v>5405</v>
      </c>
      <c r="J114" s="30">
        <v>5223</v>
      </c>
      <c r="K114" s="30">
        <v>5314</v>
      </c>
      <c r="L114" s="30">
        <v>5390</v>
      </c>
      <c r="M114" s="453"/>
      <c r="N114" s="434" t="s">
        <v>4350</v>
      </c>
      <c r="O114" s="4"/>
      <c r="Q114" s="4"/>
    </row>
    <row r="115" spans="1:17">
      <c r="A115" s="434" t="s">
        <v>6961</v>
      </c>
      <c r="B115" s="434" t="s">
        <v>2470</v>
      </c>
      <c r="C115" s="4" t="s">
        <v>11330</v>
      </c>
      <c r="D115" s="456">
        <v>4372</v>
      </c>
      <c r="E115" s="456">
        <v>4578</v>
      </c>
      <c r="F115" s="456">
        <v>4717</v>
      </c>
      <c r="G115" s="30">
        <v>4949</v>
      </c>
      <c r="H115" s="30">
        <v>5192</v>
      </c>
      <c r="I115" s="30">
        <v>5327</v>
      </c>
      <c r="J115" s="30">
        <v>5250</v>
      </c>
      <c r="K115" s="30">
        <v>5331</v>
      </c>
      <c r="L115" s="30">
        <v>5516</v>
      </c>
      <c r="M115" s="453"/>
      <c r="N115" s="434" t="s">
        <v>2641</v>
      </c>
      <c r="O115" s="4"/>
      <c r="Q115" s="4"/>
    </row>
    <row r="116" spans="1:17">
      <c r="A116" s="434" t="s">
        <v>6963</v>
      </c>
      <c r="B116" s="434" t="s">
        <v>2471</v>
      </c>
      <c r="C116" s="4" t="s">
        <v>11331</v>
      </c>
      <c r="D116" s="456">
        <v>5290</v>
      </c>
      <c r="E116" s="456">
        <v>5294</v>
      </c>
      <c r="F116" s="456">
        <v>5334</v>
      </c>
      <c r="G116" s="30">
        <v>5349</v>
      </c>
      <c r="H116" s="30">
        <v>5239</v>
      </c>
      <c r="I116" s="30">
        <v>5214</v>
      </c>
      <c r="J116" s="30">
        <v>5108</v>
      </c>
      <c r="K116" s="30">
        <v>5138</v>
      </c>
      <c r="L116" s="30">
        <v>5178</v>
      </c>
      <c r="M116" s="453"/>
      <c r="N116" s="434" t="s">
        <v>2641</v>
      </c>
      <c r="O116" s="4"/>
      <c r="Q116" s="4"/>
    </row>
    <row r="117" spans="1:17">
      <c r="A117" s="434" t="s">
        <v>6965</v>
      </c>
      <c r="B117" s="434" t="s">
        <v>2472</v>
      </c>
      <c r="C117" s="4" t="s">
        <v>11332</v>
      </c>
      <c r="D117" s="456">
        <v>2236</v>
      </c>
      <c r="E117" s="456">
        <v>2250</v>
      </c>
      <c r="F117" s="456">
        <v>2268</v>
      </c>
      <c r="G117" s="30">
        <v>2276</v>
      </c>
      <c r="H117" s="30">
        <v>2246</v>
      </c>
      <c r="I117" s="30">
        <v>2249</v>
      </c>
      <c r="J117" s="30">
        <v>2287</v>
      </c>
      <c r="K117" s="30">
        <v>2340</v>
      </c>
      <c r="L117" s="30">
        <v>2335</v>
      </c>
      <c r="M117" s="453"/>
      <c r="N117" s="434" t="s">
        <v>2641</v>
      </c>
      <c r="O117" s="4"/>
      <c r="Q117" s="4"/>
    </row>
    <row r="118" spans="1:17">
      <c r="A118" s="434" t="s">
        <v>6997</v>
      </c>
      <c r="B118" s="434" t="s">
        <v>2473</v>
      </c>
      <c r="C118" s="4" t="s">
        <v>11333</v>
      </c>
      <c r="D118" s="456">
        <v>2716</v>
      </c>
      <c r="E118" s="456">
        <v>2773</v>
      </c>
      <c r="F118" s="456">
        <v>2771</v>
      </c>
      <c r="G118" s="30">
        <v>2803</v>
      </c>
      <c r="H118" s="30">
        <v>2746</v>
      </c>
      <c r="I118" s="30">
        <v>2682</v>
      </c>
      <c r="J118" s="30">
        <v>2484</v>
      </c>
      <c r="K118" s="30">
        <v>2500</v>
      </c>
      <c r="L118" s="30">
        <v>2596</v>
      </c>
      <c r="M118" s="453"/>
      <c r="N118" s="434" t="s">
        <v>2641</v>
      </c>
      <c r="O118" s="4"/>
      <c r="Q118" s="4"/>
    </row>
    <row r="119" spans="1:17">
      <c r="A119" s="434" t="s">
        <v>6999</v>
      </c>
      <c r="B119" s="434" t="s">
        <v>2474</v>
      </c>
      <c r="C119" s="4" t="s">
        <v>11334</v>
      </c>
      <c r="D119" s="456">
        <v>5366</v>
      </c>
      <c r="E119" s="456">
        <v>5319</v>
      </c>
      <c r="F119" s="456">
        <v>5289</v>
      </c>
      <c r="G119" s="30">
        <v>5384</v>
      </c>
      <c r="H119" s="30">
        <v>5424</v>
      </c>
      <c r="I119" s="30">
        <v>2458</v>
      </c>
      <c r="J119" s="30">
        <v>5056</v>
      </c>
      <c r="K119" s="30">
        <v>5202</v>
      </c>
      <c r="L119" s="30">
        <v>2591</v>
      </c>
      <c r="M119" s="453"/>
      <c r="N119" s="434" t="s">
        <v>4350</v>
      </c>
      <c r="O119" s="4"/>
      <c r="Q119" s="4"/>
    </row>
    <row r="120" spans="1:17">
      <c r="A120" s="434" t="s">
        <v>7001</v>
      </c>
      <c r="B120" s="434" t="s">
        <v>2475</v>
      </c>
      <c r="C120" s="4" t="s">
        <v>11335</v>
      </c>
      <c r="D120" s="456">
        <v>4764</v>
      </c>
      <c r="E120" s="456">
        <v>4824</v>
      </c>
      <c r="F120" s="456">
        <v>4844</v>
      </c>
      <c r="G120" s="30">
        <v>4915</v>
      </c>
      <c r="H120" s="30">
        <v>5015</v>
      </c>
      <c r="I120" s="30">
        <v>5028</v>
      </c>
      <c r="J120" s="30">
        <v>4864</v>
      </c>
      <c r="K120" s="30">
        <v>4892</v>
      </c>
      <c r="L120" s="30">
        <v>5000</v>
      </c>
      <c r="M120" s="453"/>
      <c r="N120" s="434" t="s">
        <v>4350</v>
      </c>
      <c r="O120" s="4"/>
      <c r="Q120" s="4"/>
    </row>
    <row r="121" spans="1:17">
      <c r="A121" s="434" t="s">
        <v>7003</v>
      </c>
      <c r="B121" s="434" t="s">
        <v>2476</v>
      </c>
      <c r="C121" s="4" t="s">
        <v>11336</v>
      </c>
      <c r="D121" s="456">
        <v>4654</v>
      </c>
      <c r="E121" s="456">
        <v>4630</v>
      </c>
      <c r="F121" s="456">
        <v>4634</v>
      </c>
      <c r="G121" s="31">
        <v>4625</v>
      </c>
      <c r="H121" s="31">
        <v>4631</v>
      </c>
      <c r="I121" s="31">
        <v>4540</v>
      </c>
      <c r="J121" s="31">
        <v>4482</v>
      </c>
      <c r="K121" s="31">
        <v>4478</v>
      </c>
      <c r="L121" s="31">
        <v>4568</v>
      </c>
      <c r="M121" s="453"/>
      <c r="N121" s="434" t="s">
        <v>4350</v>
      </c>
      <c r="O121" s="4"/>
      <c r="Q121" s="4"/>
    </row>
    <row r="122" spans="1:17">
      <c r="A122" s="434" t="s">
        <v>7005</v>
      </c>
      <c r="B122" s="434" t="s">
        <v>2477</v>
      </c>
      <c r="C122" s="4" t="s">
        <v>11337</v>
      </c>
      <c r="D122" s="456">
        <v>4370</v>
      </c>
      <c r="E122" s="456">
        <v>4448</v>
      </c>
      <c r="F122" s="456">
        <v>4427</v>
      </c>
      <c r="G122" s="31">
        <v>4417</v>
      </c>
      <c r="H122" s="31">
        <v>4251</v>
      </c>
      <c r="I122" s="31">
        <v>4154</v>
      </c>
      <c r="J122" s="31">
        <v>4085</v>
      </c>
      <c r="K122" s="31">
        <v>4130</v>
      </c>
      <c r="L122" s="31">
        <v>4159</v>
      </c>
      <c r="M122" s="453"/>
      <c r="N122" s="434" t="s">
        <v>4350</v>
      </c>
      <c r="O122" s="4"/>
      <c r="Q122" s="4"/>
    </row>
    <row r="123" spans="1:17">
      <c r="A123" s="434" t="s">
        <v>7007</v>
      </c>
      <c r="B123" s="434" t="s">
        <v>1699</v>
      </c>
      <c r="C123" s="4" t="s">
        <v>11338</v>
      </c>
      <c r="D123" s="456">
        <v>4650</v>
      </c>
      <c r="E123" s="456">
        <v>4611</v>
      </c>
      <c r="F123" s="456">
        <v>4684</v>
      </c>
      <c r="G123" s="31">
        <v>4692</v>
      </c>
      <c r="H123" s="31">
        <v>4674</v>
      </c>
      <c r="I123" s="31">
        <v>4383</v>
      </c>
      <c r="J123" s="31">
        <v>4239</v>
      </c>
      <c r="K123" s="31">
        <v>4532</v>
      </c>
      <c r="L123" s="31">
        <v>4339</v>
      </c>
      <c r="M123" s="453"/>
      <c r="N123" s="434" t="s">
        <v>4350</v>
      </c>
      <c r="O123" s="4"/>
      <c r="Q123" s="4"/>
    </row>
    <row r="124" spans="1:17">
      <c r="A124" s="434" t="s">
        <v>7009</v>
      </c>
      <c r="B124" s="434" t="s">
        <v>1700</v>
      </c>
      <c r="C124" s="4" t="s">
        <v>11339</v>
      </c>
      <c r="D124" s="456">
        <v>4058</v>
      </c>
      <c r="E124" s="456">
        <v>4360</v>
      </c>
      <c r="F124" s="456">
        <v>4258</v>
      </c>
      <c r="G124" s="31">
        <v>3835</v>
      </c>
      <c r="H124" s="31">
        <v>3943</v>
      </c>
      <c r="I124" s="31">
        <v>2966</v>
      </c>
      <c r="J124" s="31">
        <v>3975</v>
      </c>
      <c r="K124" s="31">
        <v>4059</v>
      </c>
      <c r="L124" s="31">
        <v>3082</v>
      </c>
      <c r="M124" s="453"/>
      <c r="N124" s="434" t="s">
        <v>4350</v>
      </c>
      <c r="O124" s="4"/>
      <c r="Q124" s="4"/>
    </row>
    <row r="125" spans="1:17">
      <c r="A125" s="434" t="s">
        <v>7011</v>
      </c>
      <c r="B125" s="434" t="s">
        <v>1701</v>
      </c>
      <c r="C125" s="4" t="s">
        <v>11340</v>
      </c>
      <c r="D125" s="456">
        <v>4591</v>
      </c>
      <c r="E125" s="456">
        <v>4593</v>
      </c>
      <c r="F125" s="456">
        <v>4624</v>
      </c>
      <c r="G125" s="31">
        <v>4559</v>
      </c>
      <c r="H125" s="31">
        <v>4546</v>
      </c>
      <c r="I125" s="31">
        <v>4303</v>
      </c>
      <c r="J125" s="31">
        <v>4500</v>
      </c>
      <c r="K125" s="31">
        <v>4594</v>
      </c>
      <c r="L125" s="31">
        <v>4435</v>
      </c>
      <c r="M125" s="453"/>
      <c r="N125" s="434" t="s">
        <v>4350</v>
      </c>
      <c r="O125" s="4"/>
      <c r="Q125" s="4"/>
    </row>
    <row r="126" spans="1:17">
      <c r="A126" s="434" t="s">
        <v>7013</v>
      </c>
      <c r="B126" s="434" t="s">
        <v>1709</v>
      </c>
      <c r="C126" s="4" t="s">
        <v>11341</v>
      </c>
      <c r="D126" s="456">
        <v>5087</v>
      </c>
      <c r="E126" s="456">
        <v>5163</v>
      </c>
      <c r="F126" s="456">
        <v>5283</v>
      </c>
      <c r="G126" s="31">
        <v>5405</v>
      </c>
      <c r="H126" s="31">
        <v>5419</v>
      </c>
      <c r="I126" s="31">
        <v>5456</v>
      </c>
      <c r="J126" s="31">
        <v>5499</v>
      </c>
      <c r="K126" s="31">
        <v>5669</v>
      </c>
      <c r="L126" s="31">
        <v>5858</v>
      </c>
      <c r="M126" s="453"/>
      <c r="N126" s="434" t="s">
        <v>4350</v>
      </c>
      <c r="O126" s="4"/>
      <c r="Q126" s="4"/>
    </row>
    <row r="127" spans="1:17">
      <c r="A127" s="434" t="s">
        <v>7015</v>
      </c>
      <c r="B127" s="434" t="s">
        <v>1710</v>
      </c>
      <c r="C127" s="4" t="s">
        <v>11342</v>
      </c>
      <c r="D127" s="456">
        <v>5685</v>
      </c>
      <c r="E127" s="456">
        <v>5697</v>
      </c>
      <c r="F127" s="456">
        <v>5574</v>
      </c>
      <c r="G127" s="31">
        <v>5686</v>
      </c>
      <c r="H127" s="31">
        <v>5751</v>
      </c>
      <c r="I127" s="31">
        <v>3476</v>
      </c>
      <c r="J127" s="31">
        <v>4046</v>
      </c>
      <c r="K127" s="31">
        <v>4754</v>
      </c>
      <c r="L127" s="31">
        <v>4611</v>
      </c>
      <c r="M127" s="453"/>
      <c r="N127" s="434" t="s">
        <v>4350</v>
      </c>
      <c r="O127" s="4"/>
      <c r="Q127" s="4"/>
    </row>
    <row r="128" spans="1:17">
      <c r="A128" s="434" t="s">
        <v>7017</v>
      </c>
      <c r="B128" s="434" t="s">
        <v>1711</v>
      </c>
      <c r="C128" s="4" t="s">
        <v>11343</v>
      </c>
      <c r="D128" s="456">
        <v>5004</v>
      </c>
      <c r="E128" s="456">
        <v>4830</v>
      </c>
      <c r="F128" s="456">
        <v>4843</v>
      </c>
      <c r="G128" s="31">
        <v>4928</v>
      </c>
      <c r="H128" s="31">
        <v>4853</v>
      </c>
      <c r="I128" s="31">
        <v>3363</v>
      </c>
      <c r="J128" s="31">
        <v>4024</v>
      </c>
      <c r="K128" s="31">
        <v>4773</v>
      </c>
      <c r="L128" s="31">
        <v>4678</v>
      </c>
      <c r="M128" s="453"/>
      <c r="N128" s="434" t="s">
        <v>4350</v>
      </c>
      <c r="O128" s="4"/>
      <c r="Q128" s="4"/>
    </row>
    <row r="129" spans="1:17">
      <c r="A129" s="434" t="s">
        <v>7019</v>
      </c>
      <c r="B129" s="434" t="s">
        <v>1712</v>
      </c>
      <c r="C129" s="4" t="s">
        <v>11344</v>
      </c>
      <c r="D129" s="456">
        <v>5343</v>
      </c>
      <c r="E129" s="456">
        <v>5368</v>
      </c>
      <c r="F129" s="456">
        <v>5382</v>
      </c>
      <c r="G129" s="30">
        <v>5430</v>
      </c>
      <c r="H129" s="30">
        <v>5451</v>
      </c>
      <c r="I129" s="30">
        <v>5440</v>
      </c>
      <c r="J129" s="30">
        <v>5247</v>
      </c>
      <c r="K129" s="30">
        <v>5274</v>
      </c>
      <c r="L129" s="30">
        <v>5339</v>
      </c>
      <c r="M129" s="453"/>
      <c r="N129" s="434" t="s">
        <v>2641</v>
      </c>
      <c r="O129" s="4"/>
      <c r="Q129" s="4"/>
    </row>
    <row r="130" spans="1:17">
      <c r="A130" s="434" t="s">
        <v>7021</v>
      </c>
      <c r="B130" s="434" t="s">
        <v>1713</v>
      </c>
      <c r="C130" s="4" t="s">
        <v>11345</v>
      </c>
      <c r="D130" s="456">
        <v>2533</v>
      </c>
      <c r="E130" s="456">
        <v>2546</v>
      </c>
      <c r="F130" s="456">
        <v>2582</v>
      </c>
      <c r="G130" s="30">
        <v>2551</v>
      </c>
      <c r="H130" s="30">
        <v>2565</v>
      </c>
      <c r="I130" s="30">
        <v>2560</v>
      </c>
      <c r="J130" s="30">
        <v>2539</v>
      </c>
      <c r="K130" s="30">
        <v>2622</v>
      </c>
      <c r="L130" s="30">
        <v>2945</v>
      </c>
      <c r="M130" s="453"/>
      <c r="N130" s="434" t="s">
        <v>2641</v>
      </c>
      <c r="O130" s="4"/>
      <c r="Q130" s="4"/>
    </row>
    <row r="131" spans="1:17">
      <c r="A131" s="434" t="s">
        <v>7023</v>
      </c>
      <c r="B131" s="434" t="s">
        <v>1714</v>
      </c>
      <c r="C131" s="4" t="s">
        <v>11346</v>
      </c>
      <c r="D131" s="662">
        <v>5230</v>
      </c>
      <c r="E131" s="662">
        <v>5247</v>
      </c>
      <c r="F131" s="662">
        <v>5285</v>
      </c>
      <c r="G131" s="31">
        <v>5324</v>
      </c>
      <c r="H131" s="31">
        <v>5390</v>
      </c>
      <c r="I131" s="31">
        <v>5449</v>
      </c>
      <c r="J131" s="31">
        <v>5463</v>
      </c>
      <c r="K131" s="31">
        <v>5601</v>
      </c>
      <c r="L131" s="31">
        <v>5682</v>
      </c>
      <c r="M131" s="453"/>
      <c r="N131" s="434" t="s">
        <v>4350</v>
      </c>
      <c r="O131" s="4"/>
      <c r="Q131" s="4"/>
    </row>
    <row r="132" spans="1:17">
      <c r="A132" s="434" t="s">
        <v>7025</v>
      </c>
      <c r="B132" s="434" t="s">
        <v>1715</v>
      </c>
      <c r="C132" s="4" t="s">
        <v>11347</v>
      </c>
      <c r="D132" s="456">
        <v>5032</v>
      </c>
      <c r="E132" s="456">
        <v>5043</v>
      </c>
      <c r="F132" s="456">
        <v>5146</v>
      </c>
      <c r="G132" s="30">
        <v>5329</v>
      </c>
      <c r="H132" s="30">
        <v>5418</v>
      </c>
      <c r="I132" s="30">
        <v>5450</v>
      </c>
      <c r="J132" s="30">
        <v>5292</v>
      </c>
      <c r="K132" s="30">
        <v>5453</v>
      </c>
      <c r="L132" s="30">
        <v>5758</v>
      </c>
      <c r="M132" s="453"/>
      <c r="N132" s="434" t="s">
        <v>2641</v>
      </c>
      <c r="O132" s="4"/>
      <c r="Q132" s="4"/>
    </row>
    <row r="133" spans="1:17">
      <c r="A133" s="434" t="s">
        <v>7570</v>
      </c>
      <c r="B133" s="434" t="s">
        <v>1716</v>
      </c>
      <c r="C133" s="4" t="s">
        <v>11348</v>
      </c>
      <c r="D133" s="456">
        <v>5285</v>
      </c>
      <c r="E133" s="456">
        <v>5291</v>
      </c>
      <c r="F133" s="456">
        <v>5276</v>
      </c>
      <c r="G133" s="31">
        <v>5305</v>
      </c>
      <c r="H133" s="31">
        <v>5241</v>
      </c>
      <c r="I133" s="31">
        <v>5172</v>
      </c>
      <c r="J133" s="31">
        <v>5094</v>
      </c>
      <c r="K133" s="31">
        <v>5157</v>
      </c>
      <c r="L133" s="31">
        <v>5134</v>
      </c>
      <c r="M133" s="453"/>
      <c r="N133" s="434" t="s">
        <v>4350</v>
      </c>
      <c r="O133" s="4"/>
      <c r="Q133" s="4"/>
    </row>
    <row r="134" spans="1:17">
      <c r="A134" s="434" t="s">
        <v>7572</v>
      </c>
      <c r="B134" s="434" t="s">
        <v>1717</v>
      </c>
      <c r="C134" s="4" t="s">
        <v>11349</v>
      </c>
      <c r="D134" s="456">
        <v>5588</v>
      </c>
      <c r="E134" s="456">
        <v>5555</v>
      </c>
      <c r="F134" s="456">
        <v>5580</v>
      </c>
      <c r="G134" s="31">
        <v>5603</v>
      </c>
      <c r="H134" s="31">
        <v>5573</v>
      </c>
      <c r="I134" s="31">
        <v>5500</v>
      </c>
      <c r="J134" s="31">
        <v>5418</v>
      </c>
      <c r="K134" s="31">
        <v>5586</v>
      </c>
      <c r="L134" s="31">
        <v>5726</v>
      </c>
      <c r="M134" s="453"/>
      <c r="N134" s="434" t="s">
        <v>4350</v>
      </c>
      <c r="O134" s="4"/>
      <c r="Q134" s="4"/>
    </row>
    <row r="135" spans="1:17">
      <c r="A135" s="434" t="s">
        <v>7573</v>
      </c>
      <c r="B135" s="434" t="s">
        <v>1718</v>
      </c>
      <c r="C135" s="4" t="s">
        <v>11350</v>
      </c>
      <c r="D135" s="456">
        <v>5609</v>
      </c>
      <c r="E135" s="456">
        <v>5647</v>
      </c>
      <c r="F135" s="456">
        <v>5666</v>
      </c>
      <c r="G135" s="31">
        <v>5652</v>
      </c>
      <c r="H135" s="31">
        <v>5726</v>
      </c>
      <c r="I135" s="31">
        <v>5746</v>
      </c>
      <c r="J135" s="31">
        <v>5615</v>
      </c>
      <c r="K135" s="31">
        <v>5801</v>
      </c>
      <c r="L135" s="31">
        <v>6041</v>
      </c>
      <c r="M135" s="453"/>
      <c r="N135" s="434" t="s">
        <v>4350</v>
      </c>
      <c r="O135" s="4"/>
      <c r="Q135" s="4"/>
    </row>
    <row r="136" spans="1:17">
      <c r="A136" s="434" t="s">
        <v>5798</v>
      </c>
      <c r="B136" s="434" t="s">
        <v>1719</v>
      </c>
      <c r="C136" s="4" t="s">
        <v>11351</v>
      </c>
      <c r="D136" s="456">
        <v>4834</v>
      </c>
      <c r="E136" s="456">
        <v>4927</v>
      </c>
      <c r="F136" s="456">
        <v>5078</v>
      </c>
      <c r="G136" s="30">
        <v>5138</v>
      </c>
      <c r="H136" s="30">
        <v>5307</v>
      </c>
      <c r="I136" s="30">
        <v>5322</v>
      </c>
      <c r="J136" s="30">
        <v>5223</v>
      </c>
      <c r="K136" s="30">
        <v>5298</v>
      </c>
      <c r="L136" s="30">
        <v>5428</v>
      </c>
      <c r="M136" s="453"/>
      <c r="N136" s="434" t="s">
        <v>2641</v>
      </c>
      <c r="O136" s="4"/>
      <c r="Q136" s="4"/>
    </row>
    <row r="137" spans="1:17">
      <c r="A137" s="434" t="s">
        <v>5799</v>
      </c>
      <c r="B137" s="434" t="s">
        <v>1720</v>
      </c>
      <c r="C137" s="4" t="s">
        <v>11352</v>
      </c>
      <c r="D137" s="456">
        <v>5165</v>
      </c>
      <c r="E137" s="456">
        <v>5206</v>
      </c>
      <c r="F137" s="456">
        <v>5168</v>
      </c>
      <c r="G137" s="30">
        <v>5206</v>
      </c>
      <c r="H137" s="30">
        <v>5259</v>
      </c>
      <c r="I137" s="30">
        <v>5185</v>
      </c>
      <c r="J137" s="30">
        <v>4985</v>
      </c>
      <c r="K137" s="30">
        <v>5014</v>
      </c>
      <c r="L137" s="30">
        <v>5065</v>
      </c>
      <c r="M137" s="453"/>
      <c r="N137" s="434" t="s">
        <v>2641</v>
      </c>
      <c r="O137" s="4"/>
      <c r="Q137" s="4"/>
    </row>
    <row r="138" spans="1:17">
      <c r="A138" s="434" t="s">
        <v>5801</v>
      </c>
      <c r="B138" s="434" t="s">
        <v>1721</v>
      </c>
      <c r="C138" s="4" t="s">
        <v>11353</v>
      </c>
      <c r="D138" s="456">
        <v>2500</v>
      </c>
      <c r="E138" s="456">
        <v>2518</v>
      </c>
      <c r="F138" s="456">
        <v>2503</v>
      </c>
      <c r="G138" s="31">
        <v>2537</v>
      </c>
      <c r="H138" s="31">
        <v>2559</v>
      </c>
      <c r="I138" s="31">
        <v>2534</v>
      </c>
      <c r="J138" s="31">
        <v>2486</v>
      </c>
      <c r="K138" s="31">
        <v>2564</v>
      </c>
      <c r="L138" s="31">
        <v>2569</v>
      </c>
      <c r="M138" s="453"/>
      <c r="N138" s="434" t="s">
        <v>4350</v>
      </c>
      <c r="O138" s="4"/>
      <c r="Q138" s="4"/>
    </row>
    <row r="139" spans="1:17">
      <c r="A139" s="434" t="s">
        <v>5927</v>
      </c>
      <c r="B139" s="434" t="s">
        <v>1722</v>
      </c>
      <c r="C139" s="4" t="s">
        <v>11354</v>
      </c>
      <c r="D139" s="456">
        <v>7427</v>
      </c>
      <c r="E139" s="456">
        <v>7547</v>
      </c>
      <c r="F139" s="456">
        <v>7597</v>
      </c>
      <c r="G139" s="30">
        <v>7692</v>
      </c>
      <c r="H139" s="30">
        <v>7620</v>
      </c>
      <c r="I139" s="30">
        <v>7633</v>
      </c>
      <c r="J139" s="30">
        <v>7414</v>
      </c>
      <c r="K139" s="30">
        <v>7542</v>
      </c>
      <c r="L139" s="30">
        <v>7651</v>
      </c>
      <c r="M139" s="453"/>
      <c r="N139" s="434" t="s">
        <v>2641</v>
      </c>
      <c r="O139" s="4"/>
      <c r="Q139" s="4"/>
    </row>
    <row r="140" spans="1:17">
      <c r="A140" s="434" t="s">
        <v>5929</v>
      </c>
      <c r="B140" s="434" t="s">
        <v>1723</v>
      </c>
      <c r="C140" s="4" t="s">
        <v>11355</v>
      </c>
      <c r="D140" s="456">
        <v>2330</v>
      </c>
      <c r="E140" s="456">
        <v>2328</v>
      </c>
      <c r="F140" s="456">
        <v>2368</v>
      </c>
      <c r="G140" s="30">
        <v>2418</v>
      </c>
      <c r="H140" s="30">
        <v>2446</v>
      </c>
      <c r="I140" s="30">
        <v>2447</v>
      </c>
      <c r="J140" s="30">
        <v>2415</v>
      </c>
      <c r="K140" s="30">
        <v>2434</v>
      </c>
      <c r="L140" s="30">
        <v>2469</v>
      </c>
      <c r="M140" s="453"/>
      <c r="N140" s="434" t="s">
        <v>2641</v>
      </c>
      <c r="O140" s="4"/>
      <c r="Q140" s="4"/>
    </row>
    <row r="141" spans="1:17">
      <c r="A141" s="453"/>
      <c r="B141" s="453"/>
      <c r="D141" s="459"/>
      <c r="E141" s="459"/>
      <c r="F141" s="459"/>
      <c r="G141" s="459"/>
      <c r="H141" s="459"/>
      <c r="I141" s="459"/>
      <c r="J141" s="459"/>
      <c r="K141" s="459"/>
      <c r="L141" s="459"/>
      <c r="M141" s="453"/>
      <c r="N141" s="453"/>
    </row>
    <row r="142" spans="1:17">
      <c r="A142" s="434" t="s">
        <v>1764</v>
      </c>
      <c r="D142" s="456">
        <f t="shared" ref="D142:I142" si="117">D113+SUM(D115:D118)+D129+D130+D132+D136+D137+D139+D140</f>
        <v>52447</v>
      </c>
      <c r="E142" s="456">
        <f t="shared" si="117"/>
        <v>53052</v>
      </c>
      <c r="F142" s="456">
        <f t="shared" si="117"/>
        <v>53713</v>
      </c>
      <c r="G142" s="456">
        <f t="shared" si="117"/>
        <v>54438</v>
      </c>
      <c r="H142" s="456">
        <f t="shared" si="117"/>
        <v>54762</v>
      </c>
      <c r="I142" s="456">
        <f t="shared" si="117"/>
        <v>54819</v>
      </c>
      <c r="J142" s="456">
        <f t="shared" ref="J142:K142" si="118">J113+SUM(J115:J118)+J129+J130+J132+J136+J137+J139+J140</f>
        <v>53457</v>
      </c>
      <c r="K142" s="456">
        <f t="shared" si="118"/>
        <v>54305</v>
      </c>
      <c r="L142" s="456">
        <f t="shared" ref="L142" si="119">L113+SUM(L115:L118)+L129+L130+L132+L136+L137+L139+L140</f>
        <v>55749</v>
      </c>
      <c r="M142" s="453"/>
      <c r="N142" s="453"/>
    </row>
    <row r="143" spans="1:17">
      <c r="A143" s="434" t="s">
        <v>4350</v>
      </c>
      <c r="D143" s="456">
        <f t="shared" ref="D143:I143" si="120">D114+SUM(D119:D128)+D131+SUM(D133:D135)+D138</f>
        <v>77464</v>
      </c>
      <c r="E143" s="456">
        <f t="shared" si="120"/>
        <v>77884</v>
      </c>
      <c r="F143" s="456">
        <f t="shared" si="120"/>
        <v>78069</v>
      </c>
      <c r="G143" s="456">
        <f t="shared" si="120"/>
        <v>78274</v>
      </c>
      <c r="H143" s="456">
        <f t="shared" si="120"/>
        <v>78423</v>
      </c>
      <c r="I143" s="456">
        <f t="shared" si="120"/>
        <v>69933</v>
      </c>
      <c r="J143" s="456">
        <f t="shared" ref="J143:K143" si="121">J114+SUM(J119:J128)+J131+SUM(J133:J135)+J138</f>
        <v>74069</v>
      </c>
      <c r="K143" s="456">
        <f t="shared" si="121"/>
        <v>77106</v>
      </c>
      <c r="L143" s="456">
        <f t="shared" ref="L143" si="122">L114+SUM(L119:L128)+L131+SUM(L133:L135)+L138</f>
        <v>73863</v>
      </c>
      <c r="M143" s="453"/>
      <c r="N143" s="453"/>
    </row>
    <row r="144" spans="1:17">
      <c r="A144" s="434"/>
      <c r="D144" s="456"/>
      <c r="E144" s="456"/>
      <c r="F144" s="456"/>
      <c r="G144" s="456"/>
      <c r="H144" s="456"/>
      <c r="I144" s="456"/>
      <c r="J144" s="456"/>
      <c r="K144" s="456"/>
      <c r="L144" s="456"/>
      <c r="M144" s="453"/>
      <c r="N144" s="453"/>
    </row>
    <row r="145" spans="1:17">
      <c r="A145" s="434" t="s">
        <v>1724</v>
      </c>
      <c r="D145" s="456"/>
      <c r="E145" s="456"/>
      <c r="F145" s="456"/>
      <c r="G145" s="456"/>
      <c r="H145" s="456"/>
      <c r="I145" s="456"/>
      <c r="J145" s="456"/>
      <c r="K145" s="456"/>
      <c r="L145" s="456"/>
      <c r="M145" s="453"/>
      <c r="N145" s="453"/>
    </row>
    <row r="146" spans="1:17">
      <c r="A146" s="434"/>
      <c r="B146" s="434"/>
      <c r="D146" s="663"/>
      <c r="E146" s="663"/>
      <c r="F146" s="663"/>
      <c r="G146" s="663"/>
      <c r="H146" s="663"/>
      <c r="I146" s="663"/>
      <c r="J146" s="663"/>
      <c r="K146" s="663"/>
      <c r="L146" s="663"/>
      <c r="M146" s="453"/>
      <c r="N146" s="453"/>
    </row>
    <row r="147" spans="1:17">
      <c r="A147" s="434"/>
      <c r="B147" s="434"/>
      <c r="D147" s="663"/>
      <c r="E147" s="663"/>
      <c r="F147" s="663"/>
      <c r="G147" s="663"/>
      <c r="H147" s="663"/>
      <c r="I147" s="663"/>
      <c r="J147" s="663"/>
      <c r="K147" s="663"/>
      <c r="L147" s="663"/>
      <c r="M147" s="453"/>
      <c r="N147" s="453"/>
    </row>
    <row r="148" spans="1:17">
      <c r="A148" s="453"/>
      <c r="B148" s="453"/>
      <c r="E148" s="42" t="s">
        <v>2303</v>
      </c>
      <c r="F148" s="42"/>
      <c r="G148" s="42"/>
      <c r="H148" s="42"/>
      <c r="I148" s="42"/>
      <c r="J148" s="42"/>
      <c r="K148" s="42"/>
      <c r="L148" s="42"/>
      <c r="M148" s="109"/>
      <c r="N148" s="112" t="s">
        <v>13319</v>
      </c>
    </row>
    <row r="149" spans="1:17">
      <c r="A149" s="453"/>
      <c r="B149" s="453"/>
      <c r="D149" s="110">
        <v>2010</v>
      </c>
      <c r="E149" s="110">
        <v>2011</v>
      </c>
      <c r="F149" s="110">
        <v>2012</v>
      </c>
      <c r="G149" s="110">
        <v>2013</v>
      </c>
      <c r="H149" s="110">
        <v>2014</v>
      </c>
      <c r="I149" s="110">
        <v>2015</v>
      </c>
      <c r="J149" s="110">
        <v>2016</v>
      </c>
      <c r="K149" s="110">
        <v>2017</v>
      </c>
      <c r="L149" s="110">
        <v>2018</v>
      </c>
      <c r="M149" s="453"/>
      <c r="N149" s="112" t="s">
        <v>2304</v>
      </c>
    </row>
    <row r="150" spans="1:17">
      <c r="A150" s="434" t="s">
        <v>1725</v>
      </c>
      <c r="D150" s="456">
        <f t="shared" ref="D150:I150" si="123">SUM(D151:D175)</f>
        <v>65051</v>
      </c>
      <c r="E150" s="456">
        <f t="shared" si="123"/>
        <v>65594</v>
      </c>
      <c r="F150" s="456">
        <f t="shared" si="123"/>
        <v>65748</v>
      </c>
      <c r="G150" s="456">
        <f t="shared" si="123"/>
        <v>66579</v>
      </c>
      <c r="H150" s="456">
        <f t="shared" si="123"/>
        <v>67111</v>
      </c>
      <c r="I150" s="456">
        <f t="shared" si="123"/>
        <v>65562</v>
      </c>
      <c r="J150" s="456">
        <f t="shared" ref="J150:K150" si="124">SUM(J151:J175)</f>
        <v>63449</v>
      </c>
      <c r="K150" s="456">
        <f t="shared" si="124"/>
        <v>66650</v>
      </c>
      <c r="L150" s="456">
        <f t="shared" ref="L150" si="125">SUM(L151:L175)</f>
        <v>67688</v>
      </c>
      <c r="M150" s="453"/>
      <c r="N150" s="453"/>
    </row>
    <row r="151" spans="1:17">
      <c r="A151" s="434" t="s">
        <v>6957</v>
      </c>
      <c r="B151" s="434" t="s">
        <v>1726</v>
      </c>
      <c r="C151" s="4" t="s">
        <v>11356</v>
      </c>
      <c r="D151" s="662">
        <v>1491</v>
      </c>
      <c r="E151" s="662">
        <v>1507</v>
      </c>
      <c r="F151" s="662">
        <v>1487</v>
      </c>
      <c r="G151" s="662">
        <v>1506</v>
      </c>
      <c r="H151" s="48">
        <v>1501</v>
      </c>
      <c r="I151" s="30">
        <v>1441</v>
      </c>
      <c r="J151" s="30">
        <v>1403</v>
      </c>
      <c r="K151" s="30">
        <v>1470</v>
      </c>
      <c r="L151" s="30">
        <v>1459</v>
      </c>
      <c r="M151" s="453"/>
      <c r="N151" s="434" t="s">
        <v>4352</v>
      </c>
      <c r="O151" s="4"/>
      <c r="Q151" s="4"/>
    </row>
    <row r="152" spans="1:17">
      <c r="A152" s="434" t="s">
        <v>6959</v>
      </c>
      <c r="B152" s="434" t="s">
        <v>1727</v>
      </c>
      <c r="C152" s="4" t="s">
        <v>11357</v>
      </c>
      <c r="D152" s="662">
        <v>1949</v>
      </c>
      <c r="E152" s="662">
        <v>1991</v>
      </c>
      <c r="F152" s="662">
        <v>1991</v>
      </c>
      <c r="G152" s="662">
        <v>1983</v>
      </c>
      <c r="H152" s="48">
        <v>1997</v>
      </c>
      <c r="I152" s="30">
        <v>1915</v>
      </c>
      <c r="J152" s="30">
        <v>1847</v>
      </c>
      <c r="K152" s="30">
        <v>1960</v>
      </c>
      <c r="L152" s="30">
        <v>1999</v>
      </c>
      <c r="M152" s="453"/>
      <c r="N152" s="434" t="s">
        <v>2644</v>
      </c>
      <c r="O152" s="4"/>
      <c r="Q152" s="4"/>
    </row>
    <row r="153" spans="1:17">
      <c r="A153" s="434" t="s">
        <v>6961</v>
      </c>
      <c r="B153" s="434" t="s">
        <v>1728</v>
      </c>
      <c r="C153" s="4" t="s">
        <v>11358</v>
      </c>
      <c r="D153" s="456">
        <v>1661</v>
      </c>
      <c r="E153" s="456">
        <v>1669</v>
      </c>
      <c r="F153" s="456">
        <v>1683</v>
      </c>
      <c r="G153" s="456">
        <v>1689</v>
      </c>
      <c r="H153" s="48">
        <v>1668</v>
      </c>
      <c r="I153" s="30">
        <v>1611</v>
      </c>
      <c r="J153" s="30">
        <v>1546</v>
      </c>
      <c r="K153" s="30">
        <v>1594</v>
      </c>
      <c r="L153" s="30">
        <v>1618</v>
      </c>
      <c r="M153" s="453"/>
      <c r="N153" s="434" t="s">
        <v>4354</v>
      </c>
      <c r="O153" s="4"/>
      <c r="Q153" s="4"/>
    </row>
    <row r="154" spans="1:17">
      <c r="A154" s="434" t="s">
        <v>6963</v>
      </c>
      <c r="B154" s="434" t="s">
        <v>1811</v>
      </c>
      <c r="C154" s="4" t="s">
        <v>11359</v>
      </c>
      <c r="D154" s="456">
        <v>2106</v>
      </c>
      <c r="E154" s="456">
        <v>2106</v>
      </c>
      <c r="F154" s="456">
        <v>2142</v>
      </c>
      <c r="G154" s="456">
        <v>2156</v>
      </c>
      <c r="H154" s="48">
        <v>2160</v>
      </c>
      <c r="I154" s="30">
        <v>2119</v>
      </c>
      <c r="J154" s="30">
        <v>2051</v>
      </c>
      <c r="K154" s="30">
        <v>2090</v>
      </c>
      <c r="L154" s="30">
        <v>2182</v>
      </c>
      <c r="M154" s="453"/>
      <c r="N154" s="434" t="s">
        <v>4354</v>
      </c>
      <c r="O154" s="4"/>
      <c r="Q154" s="4"/>
    </row>
    <row r="155" spans="1:17">
      <c r="A155" s="434" t="s">
        <v>6965</v>
      </c>
      <c r="B155" s="434" t="s">
        <v>1812</v>
      </c>
      <c r="C155" s="4" t="s">
        <v>11360</v>
      </c>
      <c r="D155" s="456">
        <v>1409</v>
      </c>
      <c r="E155" s="456">
        <v>1410</v>
      </c>
      <c r="F155" s="456">
        <v>1389</v>
      </c>
      <c r="G155" s="456">
        <v>1383</v>
      </c>
      <c r="H155" s="48">
        <v>1386</v>
      </c>
      <c r="I155" s="31">
        <v>1329</v>
      </c>
      <c r="J155" s="31">
        <v>1299</v>
      </c>
      <c r="K155" s="31">
        <v>1328</v>
      </c>
      <c r="L155" s="31">
        <v>1339</v>
      </c>
      <c r="M155" s="453"/>
      <c r="N155" s="434" t="s">
        <v>4354</v>
      </c>
      <c r="O155" s="4"/>
      <c r="Q155" s="4"/>
    </row>
    <row r="156" spans="1:17">
      <c r="A156" s="434" t="s">
        <v>6997</v>
      </c>
      <c r="B156" s="434" t="s">
        <v>1813</v>
      </c>
      <c r="C156" s="4" t="s">
        <v>11361</v>
      </c>
      <c r="D156" s="456">
        <v>1579</v>
      </c>
      <c r="E156" s="456">
        <v>1567</v>
      </c>
      <c r="F156" s="456">
        <v>1588</v>
      </c>
      <c r="G156" s="456">
        <v>1566</v>
      </c>
      <c r="H156" s="48">
        <v>1618</v>
      </c>
      <c r="I156" s="31">
        <v>1519</v>
      </c>
      <c r="J156" s="31">
        <v>1448</v>
      </c>
      <c r="K156" s="31">
        <v>1499</v>
      </c>
      <c r="L156" s="31">
        <v>1541</v>
      </c>
      <c r="M156" s="453"/>
      <c r="N156" s="434" t="s">
        <v>4354</v>
      </c>
      <c r="O156" s="4"/>
      <c r="Q156" s="4"/>
    </row>
    <row r="157" spans="1:17">
      <c r="A157" s="434" t="s">
        <v>6999</v>
      </c>
      <c r="B157" s="434" t="s">
        <v>1814</v>
      </c>
      <c r="C157" s="4" t="s">
        <v>11362</v>
      </c>
      <c r="D157" s="456">
        <v>1811</v>
      </c>
      <c r="E157" s="456">
        <v>1819</v>
      </c>
      <c r="F157" s="456">
        <v>1792</v>
      </c>
      <c r="G157" s="456">
        <v>1820</v>
      </c>
      <c r="H157" s="48">
        <v>1814</v>
      </c>
      <c r="I157" s="31">
        <v>1772</v>
      </c>
      <c r="J157" s="31">
        <v>1688</v>
      </c>
      <c r="K157" s="31">
        <v>1746</v>
      </c>
      <c r="L157" s="31">
        <v>1786</v>
      </c>
      <c r="M157" s="453"/>
      <c r="N157" s="434" t="s">
        <v>4354</v>
      </c>
      <c r="O157" s="4"/>
      <c r="Q157" s="4"/>
    </row>
    <row r="158" spans="1:17">
      <c r="A158" s="434" t="s">
        <v>7001</v>
      </c>
      <c r="B158" s="434" t="s">
        <v>100</v>
      </c>
      <c r="C158" s="4" t="s">
        <v>11363</v>
      </c>
      <c r="D158" s="456">
        <v>3685</v>
      </c>
      <c r="E158" s="456">
        <v>3750</v>
      </c>
      <c r="F158" s="456">
        <v>3749</v>
      </c>
      <c r="G158" s="456">
        <v>3786</v>
      </c>
      <c r="H158" s="48">
        <v>3808</v>
      </c>
      <c r="I158" s="30">
        <v>3734</v>
      </c>
      <c r="J158" s="30">
        <v>3621</v>
      </c>
      <c r="K158" s="30">
        <v>3613</v>
      </c>
      <c r="L158" s="30">
        <v>3688</v>
      </c>
      <c r="M158" s="453"/>
      <c r="N158" s="434" t="s">
        <v>2644</v>
      </c>
      <c r="O158" s="4"/>
      <c r="Q158" s="4"/>
    </row>
    <row r="159" spans="1:17">
      <c r="A159" s="434" t="s">
        <v>7003</v>
      </c>
      <c r="B159" s="434" t="s">
        <v>101</v>
      </c>
      <c r="C159" s="4" t="s">
        <v>11364</v>
      </c>
      <c r="D159" s="456">
        <v>3428</v>
      </c>
      <c r="E159" s="456">
        <v>3467</v>
      </c>
      <c r="F159" s="456">
        <v>3495</v>
      </c>
      <c r="G159" s="456">
        <v>3571</v>
      </c>
      <c r="H159" s="48">
        <v>3624</v>
      </c>
      <c r="I159" s="30">
        <v>3635</v>
      </c>
      <c r="J159" s="30">
        <v>3437</v>
      </c>
      <c r="K159" s="30">
        <v>3718</v>
      </c>
      <c r="L159" s="30">
        <v>3859</v>
      </c>
      <c r="M159" s="453"/>
      <c r="N159" s="434" t="s">
        <v>2644</v>
      </c>
      <c r="O159" s="4"/>
      <c r="Q159" s="4"/>
    </row>
    <row r="160" spans="1:17">
      <c r="A160" s="434" t="s">
        <v>7005</v>
      </c>
      <c r="B160" s="434" t="s">
        <v>102</v>
      </c>
      <c r="C160" s="4" t="s">
        <v>11365</v>
      </c>
      <c r="D160" s="456">
        <v>5164</v>
      </c>
      <c r="E160" s="456">
        <v>5234</v>
      </c>
      <c r="F160" s="456">
        <v>5398</v>
      </c>
      <c r="G160" s="456">
        <v>5516</v>
      </c>
      <c r="H160" s="48">
        <v>5645</v>
      </c>
      <c r="I160" s="30">
        <v>5482</v>
      </c>
      <c r="J160" s="30">
        <v>5501</v>
      </c>
      <c r="K160" s="30">
        <v>5852</v>
      </c>
      <c r="L160" s="30">
        <v>5902</v>
      </c>
      <c r="M160" s="453"/>
      <c r="N160" s="434" t="s">
        <v>2644</v>
      </c>
      <c r="O160" s="4"/>
      <c r="Q160" s="4"/>
    </row>
    <row r="161" spans="1:17">
      <c r="A161" s="434" t="s">
        <v>7007</v>
      </c>
      <c r="B161" s="434" t="s">
        <v>103</v>
      </c>
      <c r="C161" s="4" t="s">
        <v>11366</v>
      </c>
      <c r="D161" s="456">
        <v>1801</v>
      </c>
      <c r="E161" s="456">
        <v>1778</v>
      </c>
      <c r="F161" s="456">
        <v>1813</v>
      </c>
      <c r="G161" s="456">
        <v>1824</v>
      </c>
      <c r="H161" s="48">
        <v>1822</v>
      </c>
      <c r="I161" s="30">
        <v>1785</v>
      </c>
      <c r="J161" s="30">
        <v>1596</v>
      </c>
      <c r="K161" s="30">
        <v>1762</v>
      </c>
      <c r="L161" s="30">
        <v>1799</v>
      </c>
      <c r="M161" s="453"/>
      <c r="N161" s="434" t="s">
        <v>2644</v>
      </c>
      <c r="O161" s="4"/>
      <c r="Q161" s="4"/>
    </row>
    <row r="162" spans="1:17">
      <c r="A162" s="434" t="s">
        <v>7009</v>
      </c>
      <c r="B162" s="434" t="s">
        <v>104</v>
      </c>
      <c r="C162" s="4" t="s">
        <v>11367</v>
      </c>
      <c r="D162" s="456">
        <v>1861</v>
      </c>
      <c r="E162" s="456">
        <v>1851</v>
      </c>
      <c r="F162" s="456">
        <v>1840</v>
      </c>
      <c r="G162" s="456">
        <v>1831</v>
      </c>
      <c r="H162" s="48">
        <v>1813</v>
      </c>
      <c r="I162" s="31">
        <v>1800</v>
      </c>
      <c r="J162" s="31">
        <v>1811</v>
      </c>
      <c r="K162" s="31">
        <v>1786</v>
      </c>
      <c r="L162" s="31">
        <v>1770</v>
      </c>
      <c r="M162" s="453"/>
      <c r="N162" s="434" t="s">
        <v>4354</v>
      </c>
      <c r="O162" s="4"/>
      <c r="Q162" s="4"/>
    </row>
    <row r="163" spans="1:17">
      <c r="A163" s="434" t="s">
        <v>7011</v>
      </c>
      <c r="B163" s="434" t="s">
        <v>105</v>
      </c>
      <c r="C163" s="4" t="s">
        <v>11368</v>
      </c>
      <c r="D163" s="456">
        <v>1690</v>
      </c>
      <c r="E163" s="456">
        <v>1650</v>
      </c>
      <c r="F163" s="456">
        <v>1656</v>
      </c>
      <c r="G163" s="456">
        <v>1652</v>
      </c>
      <c r="H163" s="48">
        <v>1669</v>
      </c>
      <c r="I163" s="31">
        <v>1655</v>
      </c>
      <c r="J163" s="31">
        <v>1622</v>
      </c>
      <c r="K163" s="31">
        <v>1784</v>
      </c>
      <c r="L163" s="31">
        <v>1824</v>
      </c>
      <c r="M163" s="453"/>
      <c r="N163" s="434" t="s">
        <v>4354</v>
      </c>
      <c r="O163" s="4"/>
      <c r="Q163" s="4"/>
    </row>
    <row r="164" spans="1:17">
      <c r="A164" s="434" t="s">
        <v>7013</v>
      </c>
      <c r="B164" s="434" t="s">
        <v>106</v>
      </c>
      <c r="C164" s="4" t="s">
        <v>11369</v>
      </c>
      <c r="D164" s="456">
        <v>1833</v>
      </c>
      <c r="E164" s="456">
        <v>1766</v>
      </c>
      <c r="F164" s="456">
        <v>1771</v>
      </c>
      <c r="G164" s="456">
        <v>1787</v>
      </c>
      <c r="H164" s="48">
        <v>1790</v>
      </c>
      <c r="I164" s="31">
        <v>1732</v>
      </c>
      <c r="J164" s="31">
        <v>1642</v>
      </c>
      <c r="K164" s="31">
        <v>1698</v>
      </c>
      <c r="L164" s="31">
        <v>1668</v>
      </c>
      <c r="M164" s="453"/>
      <c r="N164" s="434" t="s">
        <v>4354</v>
      </c>
      <c r="O164" s="4"/>
      <c r="Q164" s="4"/>
    </row>
    <row r="165" spans="1:17">
      <c r="A165" s="434" t="s">
        <v>7015</v>
      </c>
      <c r="B165" s="434" t="s">
        <v>107</v>
      </c>
      <c r="C165" s="4" t="s">
        <v>11370</v>
      </c>
      <c r="D165" s="456">
        <v>1805</v>
      </c>
      <c r="E165" s="456">
        <v>1801</v>
      </c>
      <c r="F165" s="456">
        <v>1909</v>
      </c>
      <c r="G165" s="456">
        <v>1919</v>
      </c>
      <c r="H165" s="48">
        <v>1909</v>
      </c>
      <c r="I165" s="31">
        <v>1877</v>
      </c>
      <c r="J165" s="31">
        <v>1792</v>
      </c>
      <c r="K165" s="31">
        <v>1875</v>
      </c>
      <c r="L165" s="31">
        <v>1969</v>
      </c>
      <c r="M165" s="453"/>
      <c r="N165" s="434" t="s">
        <v>4354</v>
      </c>
      <c r="O165" s="4"/>
      <c r="Q165" s="4"/>
    </row>
    <row r="166" spans="1:17">
      <c r="A166" s="434" t="s">
        <v>7017</v>
      </c>
      <c r="B166" s="434" t="s">
        <v>108</v>
      </c>
      <c r="C166" s="4" t="s">
        <v>11371</v>
      </c>
      <c r="D166" s="456">
        <v>5607</v>
      </c>
      <c r="E166" s="456">
        <v>5586</v>
      </c>
      <c r="F166" s="456">
        <v>5513</v>
      </c>
      <c r="G166" s="456">
        <v>5558</v>
      </c>
      <c r="H166" s="48">
        <v>5564</v>
      </c>
      <c r="I166" s="30">
        <v>5435</v>
      </c>
      <c r="J166" s="30">
        <v>5047</v>
      </c>
      <c r="K166" s="30">
        <v>5280</v>
      </c>
      <c r="L166" s="30">
        <v>5346</v>
      </c>
      <c r="M166" s="453"/>
      <c r="N166" s="434" t="s">
        <v>2644</v>
      </c>
      <c r="O166" s="4"/>
      <c r="Q166" s="4"/>
    </row>
    <row r="167" spans="1:17">
      <c r="A167" s="434" t="s">
        <v>7019</v>
      </c>
      <c r="B167" s="434" t="s">
        <v>4403</v>
      </c>
      <c r="C167" s="4" t="s">
        <v>11372</v>
      </c>
      <c r="D167" s="456">
        <v>3641</v>
      </c>
      <c r="E167" s="456">
        <v>3745</v>
      </c>
      <c r="F167" s="456">
        <v>3692</v>
      </c>
      <c r="G167" s="456">
        <v>3872</v>
      </c>
      <c r="H167" s="48">
        <v>4005</v>
      </c>
      <c r="I167" s="30">
        <v>4009</v>
      </c>
      <c r="J167" s="30">
        <v>4114</v>
      </c>
      <c r="K167" s="30">
        <v>4343</v>
      </c>
      <c r="L167" s="30">
        <v>4355</v>
      </c>
      <c r="M167" s="453"/>
      <c r="N167" s="434" t="s">
        <v>2644</v>
      </c>
      <c r="O167" s="4"/>
      <c r="Q167" s="4"/>
    </row>
    <row r="168" spans="1:17">
      <c r="A168" s="434" t="s">
        <v>7021</v>
      </c>
      <c r="B168" s="434" t="s">
        <v>4404</v>
      </c>
      <c r="C168" s="4" t="s">
        <v>11373</v>
      </c>
      <c r="D168" s="456">
        <v>3240</v>
      </c>
      <c r="E168" s="456">
        <v>3251</v>
      </c>
      <c r="F168" s="456">
        <v>3230</v>
      </c>
      <c r="G168" s="456">
        <v>3294</v>
      </c>
      <c r="H168" s="48">
        <v>3291</v>
      </c>
      <c r="I168" s="30">
        <v>3226</v>
      </c>
      <c r="J168" s="30">
        <v>3120</v>
      </c>
      <c r="K168" s="30">
        <v>3194</v>
      </c>
      <c r="L168" s="30">
        <v>3173</v>
      </c>
      <c r="M168" s="453"/>
      <c r="N168" s="434" t="s">
        <v>2644</v>
      </c>
      <c r="O168" s="4"/>
      <c r="Q168" s="4"/>
    </row>
    <row r="169" spans="1:17">
      <c r="A169" s="434" t="s">
        <v>7023</v>
      </c>
      <c r="B169" s="434" t="s">
        <v>4405</v>
      </c>
      <c r="C169" s="4" t="s">
        <v>11374</v>
      </c>
      <c r="D169" s="456">
        <v>4824</v>
      </c>
      <c r="E169" s="456">
        <v>4905</v>
      </c>
      <c r="F169" s="456">
        <v>4827</v>
      </c>
      <c r="G169" s="456">
        <v>4975</v>
      </c>
      <c r="H169" s="48">
        <v>5114</v>
      </c>
      <c r="I169" s="30">
        <v>5031</v>
      </c>
      <c r="J169" s="30">
        <v>5064</v>
      </c>
      <c r="K169" s="30">
        <v>5369</v>
      </c>
      <c r="L169" s="30">
        <v>5494</v>
      </c>
      <c r="M169" s="453"/>
      <c r="N169" s="434" t="s">
        <v>2644</v>
      </c>
      <c r="O169" s="4"/>
      <c r="Q169" s="4"/>
    </row>
    <row r="170" spans="1:17">
      <c r="A170" s="434" t="s">
        <v>7025</v>
      </c>
      <c r="B170" s="434" t="s">
        <v>4390</v>
      </c>
      <c r="C170" s="4" t="s">
        <v>11375</v>
      </c>
      <c r="D170" s="456">
        <v>1960</v>
      </c>
      <c r="E170" s="456">
        <v>1994</v>
      </c>
      <c r="F170" s="456">
        <v>2000</v>
      </c>
      <c r="G170" s="456">
        <v>2011</v>
      </c>
      <c r="H170" s="48">
        <v>2022</v>
      </c>
      <c r="I170" s="31">
        <v>2003</v>
      </c>
      <c r="J170" s="31">
        <v>1955</v>
      </c>
      <c r="K170" s="31">
        <v>2041</v>
      </c>
      <c r="L170" s="31">
        <v>2049</v>
      </c>
      <c r="M170" s="453"/>
      <c r="N170" s="434" t="s">
        <v>4354</v>
      </c>
      <c r="O170" s="4"/>
      <c r="Q170" s="4"/>
    </row>
    <row r="171" spans="1:17">
      <c r="A171" s="434" t="s">
        <v>7570</v>
      </c>
      <c r="B171" s="434" t="s">
        <v>4391</v>
      </c>
      <c r="C171" s="4" t="s">
        <v>11376</v>
      </c>
      <c r="D171" s="456">
        <v>1771</v>
      </c>
      <c r="E171" s="456">
        <v>1813</v>
      </c>
      <c r="F171" s="456">
        <v>1785</v>
      </c>
      <c r="G171" s="456">
        <v>1810</v>
      </c>
      <c r="H171" s="48">
        <v>1848</v>
      </c>
      <c r="I171" s="30">
        <v>1785</v>
      </c>
      <c r="J171" s="30">
        <v>1703</v>
      </c>
      <c r="K171" s="30">
        <v>1785</v>
      </c>
      <c r="L171" s="30">
        <v>1792</v>
      </c>
      <c r="M171" s="453"/>
      <c r="N171" s="434" t="s">
        <v>4352</v>
      </c>
      <c r="O171" s="4"/>
      <c r="Q171" s="4"/>
    </row>
    <row r="172" spans="1:17">
      <c r="A172" s="434" t="s">
        <v>7572</v>
      </c>
      <c r="B172" s="434" t="s">
        <v>4392</v>
      </c>
      <c r="C172" s="4" t="s">
        <v>11377</v>
      </c>
      <c r="D172" s="456">
        <v>1838</v>
      </c>
      <c r="E172" s="456">
        <v>1903</v>
      </c>
      <c r="F172" s="456">
        <v>1914</v>
      </c>
      <c r="G172" s="456">
        <v>1954</v>
      </c>
      <c r="H172" s="48">
        <v>1927</v>
      </c>
      <c r="I172" s="31">
        <v>1817</v>
      </c>
      <c r="J172" s="31">
        <v>1826</v>
      </c>
      <c r="K172" s="31">
        <v>1866</v>
      </c>
      <c r="L172" s="31">
        <v>1894</v>
      </c>
      <c r="M172" s="453"/>
      <c r="N172" s="434" t="s">
        <v>4354</v>
      </c>
      <c r="O172" s="4"/>
      <c r="Q172" s="4"/>
    </row>
    <row r="173" spans="1:17">
      <c r="A173" s="434" t="s">
        <v>7573</v>
      </c>
      <c r="B173" s="434" t="s">
        <v>4393</v>
      </c>
      <c r="C173" s="4" t="s">
        <v>11378</v>
      </c>
      <c r="D173" s="456">
        <v>5538</v>
      </c>
      <c r="E173" s="456">
        <v>5653</v>
      </c>
      <c r="F173" s="456">
        <v>5701</v>
      </c>
      <c r="G173" s="456">
        <v>5738</v>
      </c>
      <c r="H173" s="48">
        <v>5748</v>
      </c>
      <c r="I173" s="30">
        <v>5553</v>
      </c>
      <c r="J173" s="30">
        <v>5168</v>
      </c>
      <c r="K173" s="30">
        <v>5689</v>
      </c>
      <c r="L173" s="30">
        <v>5819</v>
      </c>
      <c r="M173" s="453"/>
      <c r="N173" s="434" t="s">
        <v>4352</v>
      </c>
      <c r="O173" s="4"/>
      <c r="Q173" s="4"/>
    </row>
    <row r="174" spans="1:17">
      <c r="A174" s="434" t="s">
        <v>5798</v>
      </c>
      <c r="B174" s="434" t="s">
        <v>4394</v>
      </c>
      <c r="C174" s="4" t="s">
        <v>11379</v>
      </c>
      <c r="D174" s="456">
        <v>1635</v>
      </c>
      <c r="E174" s="456">
        <v>1648</v>
      </c>
      <c r="F174" s="456">
        <v>1662</v>
      </c>
      <c r="G174" s="456">
        <v>1677</v>
      </c>
      <c r="H174" s="48">
        <v>1644</v>
      </c>
      <c r="I174" s="30">
        <v>1606</v>
      </c>
      <c r="J174" s="30">
        <v>1546</v>
      </c>
      <c r="K174" s="30">
        <v>1607</v>
      </c>
      <c r="L174" s="30">
        <v>1632</v>
      </c>
      <c r="M174" s="453"/>
      <c r="N174" s="434" t="s">
        <v>4352</v>
      </c>
      <c r="O174" s="4"/>
      <c r="Q174" s="4"/>
    </row>
    <row r="175" spans="1:17">
      <c r="A175" s="434" t="s">
        <v>5799</v>
      </c>
      <c r="B175" s="434" t="s">
        <v>4395</v>
      </c>
      <c r="C175" s="4" t="s">
        <v>11380</v>
      </c>
      <c r="D175" s="456">
        <v>1724</v>
      </c>
      <c r="E175" s="456">
        <v>1730</v>
      </c>
      <c r="F175" s="456">
        <v>1721</v>
      </c>
      <c r="G175" s="456">
        <v>1701</v>
      </c>
      <c r="H175" s="48">
        <v>1724</v>
      </c>
      <c r="I175" s="31">
        <v>1691</v>
      </c>
      <c r="J175" s="31">
        <v>1602</v>
      </c>
      <c r="K175" s="31">
        <v>1701</v>
      </c>
      <c r="L175" s="31">
        <v>1731</v>
      </c>
      <c r="M175" s="453"/>
      <c r="N175" s="434" t="s">
        <v>4354</v>
      </c>
      <c r="O175" s="4"/>
      <c r="Q175" s="4"/>
    </row>
    <row r="176" spans="1:17">
      <c r="A176" s="453"/>
      <c r="B176" s="453"/>
      <c r="D176" s="459"/>
      <c r="E176" s="459"/>
      <c r="F176" s="459"/>
      <c r="G176" s="459"/>
      <c r="H176" s="459"/>
      <c r="I176" s="459"/>
      <c r="J176" s="459"/>
      <c r="K176" s="459"/>
      <c r="L176" s="459"/>
      <c r="M176" s="453"/>
      <c r="N176" s="453"/>
    </row>
    <row r="177" spans="1:17">
      <c r="A177" s="434" t="s">
        <v>4396</v>
      </c>
      <c r="D177" s="456">
        <f t="shared" ref="D177:I177" si="126">D152+SUM(D158:D161)+SUM(D166:D169)</f>
        <v>33339</v>
      </c>
      <c r="E177" s="456">
        <f t="shared" si="126"/>
        <v>33707</v>
      </c>
      <c r="F177" s="456">
        <f t="shared" si="126"/>
        <v>33708</v>
      </c>
      <c r="G177" s="456">
        <f t="shared" si="126"/>
        <v>34379</v>
      </c>
      <c r="H177" s="456">
        <f t="shared" si="126"/>
        <v>34870</v>
      </c>
      <c r="I177" s="456">
        <f t="shared" si="126"/>
        <v>34252</v>
      </c>
      <c r="J177" s="456">
        <f t="shared" ref="J177:K177" si="127">J152+SUM(J158:J161)+SUM(J166:J169)</f>
        <v>33347</v>
      </c>
      <c r="K177" s="456">
        <f t="shared" si="127"/>
        <v>35091</v>
      </c>
      <c r="L177" s="456">
        <f t="shared" ref="L177" si="128">L152+SUM(L158:L161)+SUM(L166:L169)</f>
        <v>35615</v>
      </c>
      <c r="M177" s="453"/>
      <c r="N177" s="453"/>
    </row>
    <row r="178" spans="1:17">
      <c r="A178" s="434" t="s">
        <v>6109</v>
      </c>
      <c r="D178" s="456">
        <f t="shared" ref="D178:I178" si="129">D151+D171+D173+D174</f>
        <v>10435</v>
      </c>
      <c r="E178" s="456">
        <f t="shared" si="129"/>
        <v>10621</v>
      </c>
      <c r="F178" s="456">
        <f t="shared" si="129"/>
        <v>10635</v>
      </c>
      <c r="G178" s="456">
        <f t="shared" si="129"/>
        <v>10731</v>
      </c>
      <c r="H178" s="456">
        <f t="shared" si="129"/>
        <v>10741</v>
      </c>
      <c r="I178" s="456">
        <f t="shared" si="129"/>
        <v>10385</v>
      </c>
      <c r="J178" s="456">
        <f t="shared" ref="J178:K178" si="130">J151+J171+J173+J174</f>
        <v>9820</v>
      </c>
      <c r="K178" s="456">
        <f t="shared" si="130"/>
        <v>10551</v>
      </c>
      <c r="L178" s="456">
        <f t="shared" ref="L178" si="131">L151+L171+L173+L174</f>
        <v>10702</v>
      </c>
      <c r="M178" s="453"/>
      <c r="N178" s="453"/>
    </row>
    <row r="179" spans="1:17">
      <c r="A179" s="434" t="s">
        <v>1765</v>
      </c>
      <c r="D179" s="456">
        <f t="shared" ref="D179:I179" si="132">SUM(D153:D157)+SUM(D162:D165)+D170+D172+D175</f>
        <v>21277</v>
      </c>
      <c r="E179" s="456">
        <f t="shared" si="132"/>
        <v>21266</v>
      </c>
      <c r="F179" s="456">
        <f t="shared" si="132"/>
        <v>21405</v>
      </c>
      <c r="G179" s="456">
        <f t="shared" si="132"/>
        <v>21469</v>
      </c>
      <c r="H179" s="456">
        <f t="shared" si="132"/>
        <v>21500</v>
      </c>
      <c r="I179" s="456">
        <f t="shared" si="132"/>
        <v>20925</v>
      </c>
      <c r="J179" s="456">
        <f t="shared" ref="J179:K179" si="133">SUM(J153:J157)+SUM(J162:J165)+J170+J172+J175</f>
        <v>20282</v>
      </c>
      <c r="K179" s="456">
        <f t="shared" si="133"/>
        <v>21008</v>
      </c>
      <c r="L179" s="456">
        <f t="shared" ref="L179" si="134">SUM(L153:L157)+SUM(L162:L165)+L170+L172+L175</f>
        <v>21371</v>
      </c>
      <c r="M179" s="453"/>
      <c r="N179" s="453"/>
    </row>
    <row r="180" spans="1:17">
      <c r="A180" s="434"/>
      <c r="D180" s="456"/>
      <c r="E180" s="456"/>
      <c r="F180" s="456"/>
      <c r="G180" s="456"/>
      <c r="H180" s="456"/>
      <c r="I180" s="456"/>
      <c r="J180" s="456"/>
      <c r="K180" s="456"/>
      <c r="L180" s="456"/>
      <c r="M180" s="453"/>
      <c r="N180" s="453"/>
    </row>
    <row r="181" spans="1:17">
      <c r="A181" s="434" t="s">
        <v>2736</v>
      </c>
      <c r="D181" s="456"/>
      <c r="E181" s="456"/>
      <c r="F181" s="456"/>
      <c r="G181" s="456"/>
      <c r="H181" s="456"/>
      <c r="I181" s="456"/>
      <c r="J181" s="456"/>
      <c r="K181" s="456"/>
      <c r="L181" s="456"/>
      <c r="M181" s="453"/>
      <c r="N181" s="453"/>
    </row>
    <row r="182" spans="1:17">
      <c r="A182" s="434"/>
      <c r="B182" s="434"/>
      <c r="D182" s="663"/>
      <c r="E182" s="663"/>
      <c r="F182" s="663"/>
      <c r="G182" s="663"/>
      <c r="H182" s="663"/>
      <c r="I182" s="663"/>
      <c r="J182" s="663"/>
      <c r="K182" s="663"/>
      <c r="L182" s="663"/>
      <c r="M182" s="453"/>
      <c r="N182" s="453"/>
    </row>
    <row r="183" spans="1:17">
      <c r="A183" s="434"/>
      <c r="B183" s="434"/>
      <c r="D183" s="663"/>
      <c r="E183" s="663"/>
      <c r="F183" s="663"/>
      <c r="G183" s="663"/>
      <c r="H183" s="663"/>
      <c r="I183" s="663"/>
      <c r="J183" s="663"/>
      <c r="K183" s="663"/>
      <c r="L183" s="663"/>
      <c r="M183" s="453"/>
      <c r="N183" s="453"/>
    </row>
    <row r="184" spans="1:17">
      <c r="A184" s="453"/>
      <c r="B184" s="453"/>
      <c r="E184" s="42" t="s">
        <v>2303</v>
      </c>
      <c r="F184" s="42"/>
      <c r="G184" s="42"/>
      <c r="H184" s="42"/>
      <c r="I184" s="42"/>
      <c r="J184" s="42"/>
      <c r="K184" s="42"/>
      <c r="L184" s="42"/>
      <c r="M184" s="109"/>
      <c r="N184" s="112" t="s">
        <v>13319</v>
      </c>
    </row>
    <row r="185" spans="1:17">
      <c r="A185" s="453"/>
      <c r="B185" s="453"/>
      <c r="D185" s="110">
        <v>2010</v>
      </c>
      <c r="E185" s="110">
        <v>2011</v>
      </c>
      <c r="F185" s="110">
        <v>2012</v>
      </c>
      <c r="G185" s="110">
        <v>2013</v>
      </c>
      <c r="H185" s="110">
        <v>2014</v>
      </c>
      <c r="I185" s="110">
        <v>2015</v>
      </c>
      <c r="J185" s="110">
        <v>2016</v>
      </c>
      <c r="K185" s="110">
        <v>2017</v>
      </c>
      <c r="L185" s="110">
        <v>2018</v>
      </c>
      <c r="M185" s="453"/>
      <c r="N185" s="112" t="s">
        <v>2304</v>
      </c>
    </row>
    <row r="186" spans="1:17">
      <c r="A186" s="434" t="s">
        <v>2737</v>
      </c>
      <c r="D186" s="456">
        <f t="shared" ref="D186:I186" si="135">SUM(D187:D202)</f>
        <v>82877</v>
      </c>
      <c r="E186" s="456">
        <f t="shared" si="135"/>
        <v>83309</v>
      </c>
      <c r="F186" s="456">
        <f t="shared" si="135"/>
        <v>84001</v>
      </c>
      <c r="G186" s="456">
        <f t="shared" si="135"/>
        <v>84838</v>
      </c>
      <c r="H186" s="456">
        <f t="shared" si="135"/>
        <v>84913</v>
      </c>
      <c r="I186" s="456">
        <f t="shared" si="135"/>
        <v>84052</v>
      </c>
      <c r="J186" s="456">
        <f t="shared" ref="J186:K186" si="136">SUM(J187:J202)</f>
        <v>83628</v>
      </c>
      <c r="K186" s="456">
        <f t="shared" si="136"/>
        <v>84789</v>
      </c>
      <c r="L186" s="456">
        <f t="shared" ref="L186" si="137">SUM(L187:L202)</f>
        <v>86573</v>
      </c>
      <c r="M186" s="453"/>
      <c r="N186" s="453"/>
    </row>
    <row r="187" spans="1:17">
      <c r="A187" s="434" t="s">
        <v>6957</v>
      </c>
      <c r="B187" s="434" t="s">
        <v>2738</v>
      </c>
      <c r="C187" s="4" t="s">
        <v>11381</v>
      </c>
      <c r="D187" s="456">
        <v>2735</v>
      </c>
      <c r="E187" s="456">
        <v>2753</v>
      </c>
      <c r="F187" s="456">
        <v>2745</v>
      </c>
      <c r="G187" s="48">
        <v>2786</v>
      </c>
      <c r="H187" s="48">
        <v>2755</v>
      </c>
      <c r="I187" s="30">
        <v>2759</v>
      </c>
      <c r="J187" s="30">
        <v>2763</v>
      </c>
      <c r="K187" s="30">
        <v>2842</v>
      </c>
      <c r="L187" s="30">
        <v>2902</v>
      </c>
      <c r="M187" s="453"/>
      <c r="N187" s="434" t="s">
        <v>2639</v>
      </c>
      <c r="O187" s="4"/>
      <c r="Q187" s="4"/>
    </row>
    <row r="188" spans="1:17">
      <c r="A188" s="434" t="s">
        <v>6959</v>
      </c>
      <c r="B188" s="434" t="s">
        <v>2739</v>
      </c>
      <c r="C188" s="4" t="s">
        <v>11382</v>
      </c>
      <c r="D188" s="456">
        <v>2624</v>
      </c>
      <c r="E188" s="456">
        <v>2628</v>
      </c>
      <c r="F188" s="456">
        <v>2633</v>
      </c>
      <c r="G188" s="48">
        <v>2661</v>
      </c>
      <c r="H188" s="48">
        <v>2615</v>
      </c>
      <c r="I188" s="30">
        <v>2584</v>
      </c>
      <c r="J188" s="30">
        <v>2572</v>
      </c>
      <c r="K188" s="30">
        <v>2622</v>
      </c>
      <c r="L188" s="30">
        <v>2654</v>
      </c>
      <c r="M188" s="453"/>
      <c r="N188" s="434" t="s">
        <v>2639</v>
      </c>
      <c r="O188" s="4"/>
      <c r="Q188" s="4"/>
    </row>
    <row r="189" spans="1:17">
      <c r="A189" s="434" t="s">
        <v>6961</v>
      </c>
      <c r="B189" s="434" t="s">
        <v>2740</v>
      </c>
      <c r="C189" s="4" t="s">
        <v>11383</v>
      </c>
      <c r="D189" s="456">
        <v>7009</v>
      </c>
      <c r="E189" s="456">
        <v>7075</v>
      </c>
      <c r="F189" s="456">
        <v>7177</v>
      </c>
      <c r="G189" s="48">
        <v>7274</v>
      </c>
      <c r="H189" s="48">
        <v>7153</v>
      </c>
      <c r="I189" s="30">
        <v>6965</v>
      </c>
      <c r="J189" s="30">
        <v>6803</v>
      </c>
      <c r="K189" s="30">
        <v>6825</v>
      </c>
      <c r="L189" s="30">
        <v>6983</v>
      </c>
      <c r="M189" s="453"/>
      <c r="N189" s="434" t="s">
        <v>2639</v>
      </c>
      <c r="O189" s="4"/>
      <c r="Q189" s="4"/>
    </row>
    <row r="190" spans="1:17">
      <c r="A190" s="434" t="s">
        <v>6963</v>
      </c>
      <c r="B190" s="434" t="s">
        <v>1054</v>
      </c>
      <c r="C190" s="4" t="s">
        <v>11384</v>
      </c>
      <c r="D190" s="456">
        <v>4639</v>
      </c>
      <c r="E190" s="456">
        <v>4625</v>
      </c>
      <c r="F190" s="456">
        <v>4680</v>
      </c>
      <c r="G190" s="48">
        <v>4756</v>
      </c>
      <c r="H190" s="48">
        <v>4788</v>
      </c>
      <c r="I190" s="30">
        <v>7186</v>
      </c>
      <c r="J190" s="30">
        <v>7322</v>
      </c>
      <c r="K190" s="30">
        <v>7601</v>
      </c>
      <c r="L190" s="30">
        <v>7933</v>
      </c>
      <c r="M190" s="453"/>
      <c r="N190" s="434" t="s">
        <v>2639</v>
      </c>
      <c r="O190" s="4"/>
      <c r="Q190" s="4"/>
    </row>
    <row r="191" spans="1:17">
      <c r="A191" s="434" t="s">
        <v>6965</v>
      </c>
      <c r="B191" s="434" t="s">
        <v>1055</v>
      </c>
      <c r="C191" s="4" t="s">
        <v>11385</v>
      </c>
      <c r="D191" s="456">
        <v>7246</v>
      </c>
      <c r="E191" s="456">
        <v>7197</v>
      </c>
      <c r="F191" s="456">
        <v>7189</v>
      </c>
      <c r="G191" s="48">
        <v>7240</v>
      </c>
      <c r="H191" s="48">
        <v>7165</v>
      </c>
      <c r="I191" s="30">
        <v>4707</v>
      </c>
      <c r="J191" s="30">
        <v>4605</v>
      </c>
      <c r="K191" s="30">
        <v>4721</v>
      </c>
      <c r="L191" s="30">
        <v>4742</v>
      </c>
      <c r="M191" s="453"/>
      <c r="N191" s="434" t="s">
        <v>2639</v>
      </c>
      <c r="O191" s="4"/>
      <c r="Q191" s="4"/>
    </row>
    <row r="192" spans="1:17">
      <c r="A192" s="434" t="s">
        <v>6997</v>
      </c>
      <c r="B192" s="434" t="s">
        <v>1056</v>
      </c>
      <c r="C192" s="4" t="s">
        <v>11386</v>
      </c>
      <c r="D192" s="456">
        <v>2853</v>
      </c>
      <c r="E192" s="456">
        <v>2906</v>
      </c>
      <c r="F192" s="456">
        <v>2865</v>
      </c>
      <c r="G192" s="48">
        <v>2880</v>
      </c>
      <c r="H192" s="48">
        <v>2989</v>
      </c>
      <c r="I192" s="30">
        <v>2940</v>
      </c>
      <c r="J192" s="30">
        <v>2924</v>
      </c>
      <c r="K192" s="30">
        <v>2955</v>
      </c>
      <c r="L192" s="30">
        <v>2989</v>
      </c>
      <c r="M192" s="453"/>
      <c r="N192" s="434" t="s">
        <v>2639</v>
      </c>
      <c r="O192" s="4"/>
      <c r="Q192" s="4"/>
    </row>
    <row r="193" spans="1:17">
      <c r="A193" s="434" t="s">
        <v>6999</v>
      </c>
      <c r="B193" s="434" t="s">
        <v>1057</v>
      </c>
      <c r="C193" s="4" t="s">
        <v>11387</v>
      </c>
      <c r="D193" s="456">
        <v>7441</v>
      </c>
      <c r="E193" s="456">
        <v>7585</v>
      </c>
      <c r="F193" s="456">
        <v>7798</v>
      </c>
      <c r="G193" s="48">
        <v>7915</v>
      </c>
      <c r="H193" s="48">
        <v>7977</v>
      </c>
      <c r="I193" s="30">
        <v>7820</v>
      </c>
      <c r="J193" s="30">
        <v>7687</v>
      </c>
      <c r="K193" s="30">
        <v>7752</v>
      </c>
      <c r="L193" s="30">
        <v>7860</v>
      </c>
      <c r="M193" s="453"/>
      <c r="N193" s="434" t="s">
        <v>2639</v>
      </c>
      <c r="O193" s="4"/>
      <c r="Q193" s="4"/>
    </row>
    <row r="194" spans="1:17">
      <c r="A194" s="434" t="s">
        <v>7001</v>
      </c>
      <c r="B194" s="434" t="s">
        <v>1058</v>
      </c>
      <c r="C194" s="4" t="s">
        <v>11388</v>
      </c>
      <c r="D194" s="456">
        <v>5526</v>
      </c>
      <c r="E194" s="456">
        <v>5522</v>
      </c>
      <c r="F194" s="456">
        <v>5601</v>
      </c>
      <c r="G194" s="456">
        <v>5640</v>
      </c>
      <c r="H194" s="48">
        <v>5624</v>
      </c>
      <c r="I194" s="31">
        <v>5540</v>
      </c>
      <c r="J194" s="31">
        <v>5440</v>
      </c>
      <c r="K194" s="31">
        <v>5430</v>
      </c>
      <c r="L194" s="31">
        <v>5476</v>
      </c>
      <c r="M194" s="453"/>
      <c r="N194" s="434" t="s">
        <v>2641</v>
      </c>
      <c r="O194" s="4"/>
      <c r="Q194" s="4"/>
    </row>
    <row r="195" spans="1:17">
      <c r="A195" s="434" t="s">
        <v>7003</v>
      </c>
      <c r="B195" s="434" t="s">
        <v>1059</v>
      </c>
      <c r="C195" s="4" t="s">
        <v>11389</v>
      </c>
      <c r="D195" s="456">
        <v>4649</v>
      </c>
      <c r="E195" s="456">
        <v>4709</v>
      </c>
      <c r="F195" s="456">
        <v>4770</v>
      </c>
      <c r="G195" s="48">
        <v>4845</v>
      </c>
      <c r="H195" s="48">
        <v>4792</v>
      </c>
      <c r="I195" s="30">
        <v>4717</v>
      </c>
      <c r="J195" s="30">
        <v>4510</v>
      </c>
      <c r="K195" s="30">
        <v>4560</v>
      </c>
      <c r="L195" s="30">
        <v>4804</v>
      </c>
      <c r="M195" s="453"/>
      <c r="N195" s="434" t="s">
        <v>2639</v>
      </c>
      <c r="O195" s="4"/>
      <c r="Q195" s="4"/>
    </row>
    <row r="196" spans="1:17">
      <c r="A196" s="434" t="s">
        <v>7005</v>
      </c>
      <c r="B196" s="434" t="s">
        <v>1060</v>
      </c>
      <c r="C196" s="4" t="s">
        <v>11390</v>
      </c>
      <c r="D196" s="456">
        <v>6646</v>
      </c>
      <c r="E196" s="456">
        <v>6647</v>
      </c>
      <c r="F196" s="456">
        <v>6735</v>
      </c>
      <c r="G196" s="48">
        <v>6777</v>
      </c>
      <c r="H196" s="48">
        <v>6778</v>
      </c>
      <c r="I196" s="30">
        <v>6725</v>
      </c>
      <c r="J196" s="30">
        <v>6662</v>
      </c>
      <c r="K196" s="30">
        <v>6724</v>
      </c>
      <c r="L196" s="30">
        <v>6892</v>
      </c>
      <c r="M196" s="453"/>
      <c r="N196" s="434" t="s">
        <v>2639</v>
      </c>
      <c r="O196" s="4"/>
      <c r="Q196" s="4"/>
    </row>
    <row r="197" spans="1:17">
      <c r="A197" s="434" t="s">
        <v>7007</v>
      </c>
      <c r="B197" s="434" t="s">
        <v>1061</v>
      </c>
      <c r="C197" s="4" t="s">
        <v>11391</v>
      </c>
      <c r="D197" s="456">
        <v>7614</v>
      </c>
      <c r="E197" s="456">
        <v>7629</v>
      </c>
      <c r="F197" s="456">
        <v>7619</v>
      </c>
      <c r="G197" s="48">
        <v>7659</v>
      </c>
      <c r="H197" s="48">
        <v>7715</v>
      </c>
      <c r="I197" s="30">
        <v>7695</v>
      </c>
      <c r="J197" s="30">
        <v>7900</v>
      </c>
      <c r="K197" s="30">
        <v>7998</v>
      </c>
      <c r="L197" s="30">
        <v>8127</v>
      </c>
      <c r="M197" s="453"/>
      <c r="N197" s="434" t="s">
        <v>2639</v>
      </c>
      <c r="O197" s="4"/>
      <c r="Q197" s="4"/>
    </row>
    <row r="198" spans="1:17">
      <c r="A198" s="434" t="s">
        <v>7009</v>
      </c>
      <c r="B198" s="434" t="s">
        <v>1062</v>
      </c>
      <c r="C198" s="4" t="s">
        <v>11392</v>
      </c>
      <c r="D198" s="456">
        <v>4924</v>
      </c>
      <c r="E198" s="456">
        <v>4945</v>
      </c>
      <c r="F198" s="456">
        <v>5047</v>
      </c>
      <c r="G198" s="48">
        <v>5208</v>
      </c>
      <c r="H198" s="48">
        <v>5284</v>
      </c>
      <c r="I198" s="30">
        <v>5254</v>
      </c>
      <c r="J198" s="30">
        <v>5237</v>
      </c>
      <c r="K198" s="30">
        <v>5326</v>
      </c>
      <c r="L198" s="30">
        <v>5361</v>
      </c>
      <c r="M198" s="453"/>
      <c r="N198" s="434" t="s">
        <v>2639</v>
      </c>
      <c r="O198" s="4"/>
      <c r="Q198" s="4"/>
    </row>
    <row r="199" spans="1:17">
      <c r="A199" s="434" t="s">
        <v>7011</v>
      </c>
      <c r="B199" s="434" t="s">
        <v>1063</v>
      </c>
      <c r="C199" s="4" t="s">
        <v>11393</v>
      </c>
      <c r="D199" s="456">
        <v>4652</v>
      </c>
      <c r="E199" s="456">
        <v>4668</v>
      </c>
      <c r="F199" s="456">
        <v>4698</v>
      </c>
      <c r="G199" s="48">
        <v>4654</v>
      </c>
      <c r="H199" s="48">
        <v>4679</v>
      </c>
      <c r="I199" s="30">
        <v>4647</v>
      </c>
      <c r="J199" s="30">
        <v>4651</v>
      </c>
      <c r="K199" s="30">
        <v>4697</v>
      </c>
      <c r="L199" s="30">
        <v>4780</v>
      </c>
      <c r="M199" s="453"/>
      <c r="N199" s="434" t="s">
        <v>2639</v>
      </c>
      <c r="O199" s="4"/>
      <c r="Q199" s="4"/>
    </row>
    <row r="200" spans="1:17">
      <c r="A200" s="434" t="s">
        <v>7013</v>
      </c>
      <c r="B200" s="434" t="s">
        <v>1064</v>
      </c>
      <c r="C200" s="4" t="s">
        <v>11394</v>
      </c>
      <c r="D200" s="456">
        <v>6526</v>
      </c>
      <c r="E200" s="456">
        <v>6573</v>
      </c>
      <c r="F200" s="456">
        <v>6576</v>
      </c>
      <c r="G200" s="48">
        <v>6629</v>
      </c>
      <c r="H200" s="48">
        <v>6644</v>
      </c>
      <c r="I200" s="30">
        <v>6626</v>
      </c>
      <c r="J200" s="30">
        <v>6606</v>
      </c>
      <c r="K200" s="30">
        <v>6726</v>
      </c>
      <c r="L200" s="30">
        <v>6931</v>
      </c>
      <c r="M200" s="453"/>
      <c r="N200" s="434" t="s">
        <v>2639</v>
      </c>
      <c r="O200" s="4"/>
      <c r="Q200" s="4"/>
    </row>
    <row r="201" spans="1:17">
      <c r="A201" s="434" t="s">
        <v>7015</v>
      </c>
      <c r="B201" s="434" t="s">
        <v>1065</v>
      </c>
      <c r="C201" s="4" t="s">
        <v>11395</v>
      </c>
      <c r="D201" s="456">
        <v>5267</v>
      </c>
      <c r="E201" s="456">
        <v>5320</v>
      </c>
      <c r="F201" s="456">
        <v>5370</v>
      </c>
      <c r="G201" s="48">
        <v>5399</v>
      </c>
      <c r="H201" s="48">
        <v>5444</v>
      </c>
      <c r="I201" s="30">
        <v>5391</v>
      </c>
      <c r="J201" s="30">
        <v>5471</v>
      </c>
      <c r="K201" s="30">
        <v>5473</v>
      </c>
      <c r="L201" s="30">
        <v>5581</v>
      </c>
      <c r="M201" s="453"/>
      <c r="N201" s="434" t="s">
        <v>2639</v>
      </c>
      <c r="O201" s="4"/>
      <c r="Q201" s="4"/>
    </row>
    <row r="202" spans="1:17">
      <c r="A202" s="434" t="s">
        <v>7017</v>
      </c>
      <c r="B202" s="434" t="s">
        <v>1066</v>
      </c>
      <c r="C202" s="4" t="s">
        <v>11396</v>
      </c>
      <c r="D202" s="456">
        <v>2526</v>
      </c>
      <c r="E202" s="456">
        <v>2527</v>
      </c>
      <c r="F202" s="456">
        <v>2498</v>
      </c>
      <c r="G202" s="48">
        <v>2515</v>
      </c>
      <c r="H202" s="48">
        <v>2511</v>
      </c>
      <c r="I202" s="30">
        <v>2496</v>
      </c>
      <c r="J202" s="30">
        <v>2475</v>
      </c>
      <c r="K202" s="30">
        <v>2537</v>
      </c>
      <c r="L202" s="30">
        <v>2558</v>
      </c>
      <c r="M202" s="453"/>
      <c r="N202" s="434" t="s">
        <v>2639</v>
      </c>
      <c r="O202" s="4"/>
      <c r="Q202" s="4"/>
    </row>
    <row r="203" spans="1:17">
      <c r="A203" s="453"/>
      <c r="B203" s="453"/>
      <c r="D203" s="459"/>
      <c r="E203" s="459"/>
      <c r="F203" s="459"/>
      <c r="G203" s="459"/>
      <c r="H203" s="459"/>
      <c r="I203" s="459"/>
      <c r="J203" s="459"/>
      <c r="K203" s="459"/>
      <c r="L203" s="459"/>
      <c r="M203" s="453"/>
      <c r="N203" s="453"/>
    </row>
    <row r="204" spans="1:17">
      <c r="A204" s="434" t="s">
        <v>2639</v>
      </c>
      <c r="D204" s="456">
        <f t="shared" ref="D204:I204" si="138">SUM(D187:D193)+SUM(D195:D202)</f>
        <v>77351</v>
      </c>
      <c r="E204" s="456">
        <f t="shared" si="138"/>
        <v>77787</v>
      </c>
      <c r="F204" s="456">
        <f t="shared" si="138"/>
        <v>78400</v>
      </c>
      <c r="G204" s="456">
        <f t="shared" si="138"/>
        <v>79198</v>
      </c>
      <c r="H204" s="456">
        <f t="shared" si="138"/>
        <v>79289</v>
      </c>
      <c r="I204" s="456">
        <f t="shared" si="138"/>
        <v>78512</v>
      </c>
      <c r="J204" s="456">
        <f t="shared" ref="J204:K204" si="139">SUM(J187:J193)+SUM(J195:J202)</f>
        <v>78188</v>
      </c>
      <c r="K204" s="456">
        <f t="shared" si="139"/>
        <v>79359</v>
      </c>
      <c r="L204" s="456">
        <f t="shared" ref="L204" si="140">SUM(L187:L193)+SUM(L195:L202)</f>
        <v>81097</v>
      </c>
      <c r="M204" s="453"/>
      <c r="N204" s="453"/>
    </row>
    <row r="205" spans="1:17">
      <c r="A205" s="434" t="s">
        <v>1764</v>
      </c>
      <c r="D205" s="456">
        <f t="shared" ref="D205:I205" si="141">D194</f>
        <v>5526</v>
      </c>
      <c r="E205" s="456">
        <f t="shared" si="141"/>
        <v>5522</v>
      </c>
      <c r="F205" s="456">
        <f t="shared" si="141"/>
        <v>5601</v>
      </c>
      <c r="G205" s="456">
        <f t="shared" si="141"/>
        <v>5640</v>
      </c>
      <c r="H205" s="456">
        <f t="shared" si="141"/>
        <v>5624</v>
      </c>
      <c r="I205" s="456">
        <f t="shared" si="141"/>
        <v>5540</v>
      </c>
      <c r="J205" s="456">
        <f t="shared" ref="J205:K205" si="142">J194</f>
        <v>5440</v>
      </c>
      <c r="K205" s="456">
        <f t="shared" si="142"/>
        <v>5430</v>
      </c>
      <c r="L205" s="456">
        <f t="shared" ref="L205" si="143">L194</f>
        <v>5476</v>
      </c>
      <c r="M205" s="453"/>
      <c r="N205" s="453"/>
    </row>
    <row r="206" spans="1:17">
      <c r="A206" s="434"/>
      <c r="D206" s="456"/>
      <c r="E206" s="456"/>
      <c r="F206" s="456"/>
      <c r="G206" s="456"/>
      <c r="H206" s="456"/>
      <c r="I206" s="456"/>
      <c r="J206" s="456"/>
      <c r="K206" s="456"/>
      <c r="L206" s="456"/>
      <c r="M206" s="453"/>
      <c r="N206" s="453"/>
    </row>
    <row r="207" spans="1:17">
      <c r="A207" s="434" t="s">
        <v>1067</v>
      </c>
      <c r="D207" s="456"/>
      <c r="E207" s="456"/>
      <c r="F207" s="456"/>
      <c r="G207" s="456"/>
      <c r="H207" s="456"/>
      <c r="I207" s="456"/>
      <c r="J207" s="456"/>
      <c r="K207" s="456"/>
      <c r="L207" s="456"/>
      <c r="M207" s="453"/>
      <c r="N207" s="453"/>
    </row>
    <row r="208" spans="1:17">
      <c r="A208" s="434"/>
      <c r="B208" s="434"/>
      <c r="D208" s="663"/>
      <c r="E208" s="663"/>
      <c r="F208" s="663"/>
      <c r="G208" s="663"/>
      <c r="H208" s="663"/>
      <c r="I208" s="663"/>
      <c r="J208" s="663"/>
      <c r="K208" s="663"/>
      <c r="L208" s="663"/>
      <c r="M208" s="453"/>
      <c r="N208" s="453"/>
    </row>
    <row r="209" spans="1:17">
      <c r="A209" s="434"/>
      <c r="B209" s="434"/>
      <c r="D209" s="663"/>
      <c r="E209" s="663"/>
      <c r="F209" s="663"/>
      <c r="G209" s="663"/>
      <c r="H209" s="663"/>
      <c r="I209" s="663"/>
      <c r="J209" s="663"/>
      <c r="K209" s="663"/>
      <c r="L209" s="663"/>
      <c r="M209" s="453"/>
      <c r="N209" s="453"/>
    </row>
    <row r="210" spans="1:17">
      <c r="A210" s="453"/>
      <c r="B210" s="453"/>
      <c r="E210" s="42" t="s">
        <v>2303</v>
      </c>
      <c r="F210" s="42"/>
      <c r="G210" s="42"/>
      <c r="H210" s="42"/>
      <c r="I210" s="42"/>
      <c r="J210" s="42"/>
      <c r="K210" s="42"/>
      <c r="L210" s="42"/>
      <c r="M210" s="109"/>
      <c r="N210" s="112" t="s">
        <v>13319</v>
      </c>
    </row>
    <row r="211" spans="1:17">
      <c r="A211" s="453"/>
      <c r="B211" s="453"/>
      <c r="D211" s="110">
        <v>2010</v>
      </c>
      <c r="E211" s="110">
        <v>2011</v>
      </c>
      <c r="F211" s="110">
        <v>2012</v>
      </c>
      <c r="G211" s="110">
        <v>2013</v>
      </c>
      <c r="H211" s="110">
        <v>2014</v>
      </c>
      <c r="I211" s="110">
        <v>2015</v>
      </c>
      <c r="J211" s="110">
        <v>2016</v>
      </c>
      <c r="K211" s="110">
        <v>2017</v>
      </c>
      <c r="L211" s="110">
        <v>2018</v>
      </c>
      <c r="M211" s="453"/>
      <c r="N211" s="112" t="s">
        <v>2304</v>
      </c>
    </row>
    <row r="212" spans="1:17">
      <c r="A212" s="434" t="s">
        <v>1068</v>
      </c>
      <c r="D212" s="456">
        <f t="shared" ref="D212:I212" si="144">SUM(D213:D228)</f>
        <v>37655</v>
      </c>
      <c r="E212" s="456">
        <f t="shared" si="144"/>
        <v>38266</v>
      </c>
      <c r="F212" s="456">
        <f t="shared" si="144"/>
        <v>38399</v>
      </c>
      <c r="G212" s="456">
        <f t="shared" si="144"/>
        <v>38381</v>
      </c>
      <c r="H212" s="456">
        <f t="shared" si="144"/>
        <v>38473</v>
      </c>
      <c r="I212" s="456">
        <f t="shared" si="144"/>
        <v>37633</v>
      </c>
      <c r="J212" s="456">
        <f t="shared" ref="J212:K212" si="145">SUM(J213:J228)</f>
        <v>36820</v>
      </c>
      <c r="K212" s="456">
        <f t="shared" si="145"/>
        <v>37948</v>
      </c>
      <c r="L212" s="456">
        <f t="shared" ref="L212" si="146">SUM(L213:L228)</f>
        <v>38246</v>
      </c>
      <c r="M212" s="453"/>
      <c r="N212" s="453"/>
    </row>
    <row r="213" spans="1:17">
      <c r="A213" s="434" t="s">
        <v>6957</v>
      </c>
      <c r="B213" s="434" t="s">
        <v>1069</v>
      </c>
      <c r="C213" s="4" t="s">
        <v>11397</v>
      </c>
      <c r="D213" s="456">
        <v>2549</v>
      </c>
      <c r="E213" s="456">
        <v>2595</v>
      </c>
      <c r="F213" s="456">
        <v>2618</v>
      </c>
      <c r="G213" s="48">
        <v>2674</v>
      </c>
      <c r="H213" s="48">
        <v>2655</v>
      </c>
      <c r="I213" s="48">
        <v>2586</v>
      </c>
      <c r="J213" s="48">
        <v>2536</v>
      </c>
      <c r="K213" s="48">
        <v>2593</v>
      </c>
      <c r="L213" s="48">
        <v>2593</v>
      </c>
      <c r="M213" s="453"/>
      <c r="N213" s="434" t="s">
        <v>4352</v>
      </c>
      <c r="O213" s="4"/>
      <c r="Q213" s="4"/>
    </row>
    <row r="214" spans="1:17">
      <c r="A214" s="434" t="s">
        <v>6959</v>
      </c>
      <c r="B214" s="434" t="s">
        <v>2612</v>
      </c>
      <c r="C214" s="4" t="s">
        <v>11398</v>
      </c>
      <c r="D214" s="456">
        <v>2860</v>
      </c>
      <c r="E214" s="456">
        <v>2864</v>
      </c>
      <c r="F214" s="456">
        <v>2910</v>
      </c>
      <c r="G214" s="48">
        <v>2883</v>
      </c>
      <c r="H214" s="48">
        <v>2873</v>
      </c>
      <c r="I214" s="48">
        <v>2859</v>
      </c>
      <c r="J214" s="48">
        <v>2833</v>
      </c>
      <c r="K214" s="48">
        <v>2878</v>
      </c>
      <c r="L214" s="48">
        <v>2928</v>
      </c>
      <c r="M214" s="453"/>
      <c r="N214" s="434" t="s">
        <v>4352</v>
      </c>
      <c r="O214" s="4"/>
      <c r="Q214" s="4"/>
    </row>
    <row r="215" spans="1:17">
      <c r="A215" s="434" t="s">
        <v>6961</v>
      </c>
      <c r="B215" s="434" t="s">
        <v>1070</v>
      </c>
      <c r="C215" s="4" t="s">
        <v>11399</v>
      </c>
      <c r="D215" s="456">
        <v>1418</v>
      </c>
      <c r="E215" s="456">
        <v>1484</v>
      </c>
      <c r="F215" s="456">
        <v>1472</v>
      </c>
      <c r="G215" s="48">
        <v>1454</v>
      </c>
      <c r="H215" s="48">
        <v>1445</v>
      </c>
      <c r="I215" s="48">
        <v>1437</v>
      </c>
      <c r="J215" s="48">
        <v>1455</v>
      </c>
      <c r="K215" s="48">
        <v>1509</v>
      </c>
      <c r="L215" s="48">
        <v>1496</v>
      </c>
      <c r="M215" s="453"/>
      <c r="N215" s="434" t="s">
        <v>4352</v>
      </c>
      <c r="O215" s="4"/>
      <c r="Q215" s="4"/>
    </row>
    <row r="216" spans="1:17">
      <c r="A216" s="434" t="s">
        <v>6963</v>
      </c>
      <c r="B216" s="434" t="s">
        <v>1071</v>
      </c>
      <c r="C216" s="4" t="s">
        <v>11400</v>
      </c>
      <c r="D216" s="456">
        <v>1398</v>
      </c>
      <c r="E216" s="456">
        <v>1442</v>
      </c>
      <c r="F216" s="456">
        <v>1454</v>
      </c>
      <c r="G216" s="48">
        <v>1444</v>
      </c>
      <c r="H216" s="48">
        <v>1447</v>
      </c>
      <c r="I216" s="48">
        <v>1435</v>
      </c>
      <c r="J216" s="48">
        <v>1409</v>
      </c>
      <c r="K216" s="48">
        <v>1434</v>
      </c>
      <c r="L216" s="48">
        <v>1457</v>
      </c>
      <c r="M216" s="453"/>
      <c r="N216" s="434" t="s">
        <v>4352</v>
      </c>
      <c r="O216" s="4"/>
      <c r="Q216" s="4"/>
    </row>
    <row r="217" spans="1:17">
      <c r="A217" s="434" t="s">
        <v>6965</v>
      </c>
      <c r="B217" s="434" t="s">
        <v>1072</v>
      </c>
      <c r="C217" s="4" t="s">
        <v>11401</v>
      </c>
      <c r="D217" s="456">
        <v>1392</v>
      </c>
      <c r="E217" s="456">
        <v>1432</v>
      </c>
      <c r="F217" s="456">
        <v>1414</v>
      </c>
      <c r="G217" s="48">
        <v>1421</v>
      </c>
      <c r="H217" s="48">
        <v>1379</v>
      </c>
      <c r="I217" s="48">
        <v>1370</v>
      </c>
      <c r="J217" s="48">
        <v>1336</v>
      </c>
      <c r="K217" s="48">
        <v>1401</v>
      </c>
      <c r="L217" s="48">
        <v>1378</v>
      </c>
      <c r="M217" s="453"/>
      <c r="N217" s="434" t="s">
        <v>4352</v>
      </c>
      <c r="O217" s="4"/>
      <c r="Q217" s="4"/>
    </row>
    <row r="218" spans="1:17">
      <c r="A218" s="434" t="s">
        <v>6997</v>
      </c>
      <c r="B218" s="434" t="s">
        <v>1073</v>
      </c>
      <c r="C218" s="4" t="s">
        <v>11402</v>
      </c>
      <c r="D218" s="456">
        <v>3164</v>
      </c>
      <c r="E218" s="456">
        <v>3214</v>
      </c>
      <c r="F218" s="456">
        <v>3262</v>
      </c>
      <c r="G218" s="48">
        <v>3251</v>
      </c>
      <c r="H218" s="48">
        <v>3274</v>
      </c>
      <c r="I218" s="48">
        <v>3289</v>
      </c>
      <c r="J218" s="48">
        <v>3153</v>
      </c>
      <c r="K218" s="48">
        <v>3225</v>
      </c>
      <c r="L218" s="48">
        <v>3247</v>
      </c>
      <c r="M218" s="453"/>
      <c r="N218" s="434" t="s">
        <v>4352</v>
      </c>
      <c r="O218" s="4"/>
      <c r="Q218" s="4"/>
    </row>
    <row r="219" spans="1:17">
      <c r="A219" s="434" t="s">
        <v>6999</v>
      </c>
      <c r="B219" s="434" t="s">
        <v>1074</v>
      </c>
      <c r="C219" s="4" t="s">
        <v>11403</v>
      </c>
      <c r="D219" s="456">
        <v>2664</v>
      </c>
      <c r="E219" s="456">
        <v>2697</v>
      </c>
      <c r="F219" s="456">
        <v>2713</v>
      </c>
      <c r="G219" s="48">
        <v>2718</v>
      </c>
      <c r="H219" s="48">
        <v>2745</v>
      </c>
      <c r="I219" s="48">
        <v>2650</v>
      </c>
      <c r="J219" s="48">
        <v>2595</v>
      </c>
      <c r="K219" s="48">
        <v>2687</v>
      </c>
      <c r="L219" s="48">
        <v>2691</v>
      </c>
      <c r="M219" s="453"/>
      <c r="N219" s="434" t="s">
        <v>4352</v>
      </c>
      <c r="O219" s="4"/>
      <c r="Q219" s="4"/>
    </row>
    <row r="220" spans="1:17">
      <c r="A220" s="434" t="s">
        <v>7001</v>
      </c>
      <c r="B220" s="434" t="s">
        <v>1075</v>
      </c>
      <c r="C220" s="4" t="s">
        <v>11404</v>
      </c>
      <c r="D220" s="456">
        <v>3927</v>
      </c>
      <c r="E220" s="456">
        <v>4041</v>
      </c>
      <c r="F220" s="456">
        <v>3949</v>
      </c>
      <c r="G220" s="48">
        <v>3902</v>
      </c>
      <c r="H220" s="48">
        <v>3980</v>
      </c>
      <c r="I220" s="48">
        <v>3886</v>
      </c>
      <c r="J220" s="48">
        <v>3767</v>
      </c>
      <c r="K220" s="48">
        <v>3824</v>
      </c>
      <c r="L220" s="48">
        <v>3814</v>
      </c>
      <c r="M220" s="453"/>
      <c r="N220" s="434" t="s">
        <v>4352</v>
      </c>
      <c r="O220" s="4"/>
      <c r="Q220" s="4"/>
    </row>
    <row r="221" spans="1:17">
      <c r="A221" s="434" t="s">
        <v>7003</v>
      </c>
      <c r="B221" s="434" t="s">
        <v>1076</v>
      </c>
      <c r="C221" s="4" t="s">
        <v>11405</v>
      </c>
      <c r="D221" s="456">
        <v>2625</v>
      </c>
      <c r="E221" s="456">
        <v>2647</v>
      </c>
      <c r="F221" s="456">
        <v>2666</v>
      </c>
      <c r="G221" s="48">
        <v>2732</v>
      </c>
      <c r="H221" s="48">
        <v>2725</v>
      </c>
      <c r="I221" s="48">
        <v>2581</v>
      </c>
      <c r="J221" s="48">
        <v>2608</v>
      </c>
      <c r="K221" s="48">
        <v>2679</v>
      </c>
      <c r="L221" s="48">
        <v>2735</v>
      </c>
      <c r="M221" s="453"/>
      <c r="N221" s="434" t="s">
        <v>4352</v>
      </c>
      <c r="O221" s="4"/>
      <c r="Q221" s="4"/>
    </row>
    <row r="222" spans="1:17">
      <c r="A222" s="434" t="s">
        <v>7005</v>
      </c>
      <c r="B222" s="434" t="s">
        <v>1077</v>
      </c>
      <c r="C222" s="4" t="s">
        <v>11406</v>
      </c>
      <c r="D222" s="456">
        <v>3770</v>
      </c>
      <c r="E222" s="456">
        <v>3819</v>
      </c>
      <c r="F222" s="456">
        <v>3835</v>
      </c>
      <c r="G222" s="48">
        <v>3824</v>
      </c>
      <c r="H222" s="48">
        <v>3806</v>
      </c>
      <c r="I222" s="48">
        <v>3689</v>
      </c>
      <c r="J222" s="48">
        <v>3656</v>
      </c>
      <c r="K222" s="48">
        <v>3801</v>
      </c>
      <c r="L222" s="48">
        <v>3921</v>
      </c>
      <c r="M222" s="453"/>
      <c r="N222" s="434" t="s">
        <v>4352</v>
      </c>
      <c r="O222" s="4"/>
      <c r="Q222" s="4"/>
    </row>
    <row r="223" spans="1:17">
      <c r="A223" s="434" t="s">
        <v>7007</v>
      </c>
      <c r="B223" s="434" t="s">
        <v>1078</v>
      </c>
      <c r="C223" s="4" t="s">
        <v>11407</v>
      </c>
      <c r="D223" s="456">
        <v>3940</v>
      </c>
      <c r="E223" s="456">
        <v>3978</v>
      </c>
      <c r="F223" s="456">
        <v>4057</v>
      </c>
      <c r="G223" s="48">
        <v>4048</v>
      </c>
      <c r="H223" s="48">
        <v>4040</v>
      </c>
      <c r="I223" s="48">
        <v>3925</v>
      </c>
      <c r="J223" s="48">
        <v>3816</v>
      </c>
      <c r="K223" s="48">
        <v>3987</v>
      </c>
      <c r="L223" s="48">
        <v>4016</v>
      </c>
      <c r="M223" s="453"/>
      <c r="N223" s="434" t="s">
        <v>4352</v>
      </c>
      <c r="O223" s="4"/>
      <c r="Q223" s="4"/>
    </row>
    <row r="224" spans="1:17">
      <c r="A224" s="434" t="s">
        <v>7009</v>
      </c>
      <c r="B224" s="434" t="s">
        <v>1079</v>
      </c>
      <c r="C224" s="4" t="s">
        <v>11408</v>
      </c>
      <c r="D224" s="456">
        <v>2553</v>
      </c>
      <c r="E224" s="456">
        <v>2546</v>
      </c>
      <c r="F224" s="456">
        <v>2579</v>
      </c>
      <c r="G224" s="48">
        <v>2533</v>
      </c>
      <c r="H224" s="48">
        <v>2558</v>
      </c>
      <c r="I224" s="48">
        <v>2466</v>
      </c>
      <c r="J224" s="48">
        <v>2383</v>
      </c>
      <c r="K224" s="48">
        <v>2481</v>
      </c>
      <c r="L224" s="48">
        <v>2519</v>
      </c>
      <c r="M224" s="453"/>
      <c r="N224" s="434" t="s">
        <v>4352</v>
      </c>
      <c r="O224" s="4"/>
      <c r="Q224" s="4"/>
    </row>
    <row r="225" spans="1:17">
      <c r="A225" s="434" t="s">
        <v>7011</v>
      </c>
      <c r="B225" s="434" t="s">
        <v>1080</v>
      </c>
      <c r="C225" s="4" t="s">
        <v>11409</v>
      </c>
      <c r="D225" s="456">
        <v>1563</v>
      </c>
      <c r="E225" s="456">
        <v>1592</v>
      </c>
      <c r="F225" s="456">
        <v>1602</v>
      </c>
      <c r="G225" s="48">
        <v>1592</v>
      </c>
      <c r="H225" s="48">
        <v>1596</v>
      </c>
      <c r="I225" s="48">
        <v>1583</v>
      </c>
      <c r="J225" s="48">
        <v>1482</v>
      </c>
      <c r="K225" s="48">
        <v>1568</v>
      </c>
      <c r="L225" s="48">
        <v>1542</v>
      </c>
      <c r="M225" s="453"/>
      <c r="N225" s="434" t="s">
        <v>4352</v>
      </c>
      <c r="O225" s="4"/>
      <c r="Q225" s="4"/>
    </row>
    <row r="226" spans="1:17">
      <c r="A226" s="434" t="s">
        <v>7013</v>
      </c>
      <c r="B226" s="434" t="s">
        <v>1081</v>
      </c>
      <c r="C226" s="4" t="s">
        <v>11410</v>
      </c>
      <c r="D226" s="456">
        <v>1390</v>
      </c>
      <c r="E226" s="456">
        <v>1406</v>
      </c>
      <c r="F226" s="456">
        <v>1412</v>
      </c>
      <c r="G226" s="48">
        <v>1431</v>
      </c>
      <c r="H226" s="48">
        <v>1417</v>
      </c>
      <c r="I226" s="48">
        <v>1395</v>
      </c>
      <c r="J226" s="48">
        <v>1374</v>
      </c>
      <c r="K226" s="48">
        <v>1383</v>
      </c>
      <c r="L226" s="48">
        <v>1411</v>
      </c>
      <c r="M226" s="453"/>
      <c r="N226" s="434" t="s">
        <v>4352</v>
      </c>
      <c r="O226" s="4"/>
      <c r="Q226" s="4"/>
    </row>
    <row r="227" spans="1:17">
      <c r="A227" s="434" t="s">
        <v>7015</v>
      </c>
      <c r="B227" s="434" t="s">
        <v>1082</v>
      </c>
      <c r="C227" s="4" t="s">
        <v>11411</v>
      </c>
      <c r="D227" s="456">
        <v>1243</v>
      </c>
      <c r="E227" s="456">
        <v>1285</v>
      </c>
      <c r="F227" s="456">
        <v>1239</v>
      </c>
      <c r="G227" s="48">
        <v>1266</v>
      </c>
      <c r="H227" s="48">
        <v>1320</v>
      </c>
      <c r="I227" s="48">
        <v>1292</v>
      </c>
      <c r="J227" s="48">
        <v>1269</v>
      </c>
      <c r="K227" s="48">
        <v>1282</v>
      </c>
      <c r="L227" s="48">
        <v>1286</v>
      </c>
      <c r="M227" s="453"/>
      <c r="N227" s="434" t="s">
        <v>4352</v>
      </c>
      <c r="O227" s="4"/>
      <c r="Q227" s="4"/>
    </row>
    <row r="228" spans="1:17">
      <c r="A228" s="434" t="s">
        <v>7017</v>
      </c>
      <c r="B228" s="434" t="s">
        <v>1083</v>
      </c>
      <c r="C228" s="4" t="s">
        <v>11412</v>
      </c>
      <c r="D228" s="456">
        <v>1199</v>
      </c>
      <c r="E228" s="456">
        <v>1224</v>
      </c>
      <c r="F228" s="456">
        <v>1217</v>
      </c>
      <c r="G228" s="48">
        <v>1208</v>
      </c>
      <c r="H228" s="48">
        <v>1213</v>
      </c>
      <c r="I228" s="48">
        <v>1190</v>
      </c>
      <c r="J228" s="48">
        <v>1148</v>
      </c>
      <c r="K228" s="48">
        <v>1216</v>
      </c>
      <c r="L228" s="48">
        <v>1212</v>
      </c>
      <c r="M228" s="453"/>
      <c r="N228" s="434" t="s">
        <v>4352</v>
      </c>
      <c r="O228" s="4"/>
      <c r="Q228" s="4"/>
    </row>
    <row r="229" spans="1:17">
      <c r="A229" s="453"/>
      <c r="B229" s="453"/>
      <c r="D229" s="459"/>
      <c r="E229" s="459"/>
      <c r="F229" s="459"/>
      <c r="G229" s="459"/>
      <c r="H229" s="459"/>
      <c r="I229" s="459"/>
      <c r="J229" s="459"/>
      <c r="K229" s="459"/>
      <c r="L229" s="459"/>
      <c r="M229" s="453"/>
      <c r="N229" s="453"/>
    </row>
    <row r="230" spans="1:17">
      <c r="A230" s="434" t="s">
        <v>6109</v>
      </c>
      <c r="D230" s="456">
        <f t="shared" ref="D230:I230" si="147">SUM(D213:D228)</f>
        <v>37655</v>
      </c>
      <c r="E230" s="456">
        <f t="shared" si="147"/>
        <v>38266</v>
      </c>
      <c r="F230" s="456">
        <f t="shared" si="147"/>
        <v>38399</v>
      </c>
      <c r="G230" s="456">
        <f t="shared" si="147"/>
        <v>38381</v>
      </c>
      <c r="H230" s="456">
        <f t="shared" si="147"/>
        <v>38473</v>
      </c>
      <c r="I230" s="456">
        <f t="shared" si="147"/>
        <v>37633</v>
      </c>
      <c r="J230" s="456">
        <f t="shared" ref="J230:K230" si="148">SUM(J213:J228)</f>
        <v>36820</v>
      </c>
      <c r="K230" s="456">
        <f t="shared" si="148"/>
        <v>37948</v>
      </c>
      <c r="L230" s="456">
        <f t="shared" ref="L230" si="149">SUM(L213:L228)</f>
        <v>38246</v>
      </c>
      <c r="M230" s="453"/>
      <c r="N230" s="453"/>
    </row>
    <row r="231" spans="1:17">
      <c r="A231" s="434"/>
      <c r="D231" s="456"/>
      <c r="E231" s="456"/>
      <c r="F231" s="456"/>
      <c r="G231" s="456"/>
      <c r="H231" s="456"/>
      <c r="I231" s="456"/>
      <c r="J231" s="456"/>
      <c r="K231" s="456"/>
      <c r="L231" s="456"/>
      <c r="M231" s="453"/>
      <c r="N231" s="453"/>
    </row>
    <row r="232" spans="1:17">
      <c r="A232" s="434" t="s">
        <v>4503</v>
      </c>
      <c r="D232" s="456"/>
      <c r="E232" s="456"/>
      <c r="F232" s="456"/>
      <c r="G232" s="456"/>
      <c r="H232" s="456"/>
      <c r="I232" s="456"/>
      <c r="J232" s="456"/>
      <c r="K232" s="456"/>
      <c r="L232" s="456"/>
      <c r="M232" s="453"/>
      <c r="N232" s="453"/>
    </row>
    <row r="233" spans="1:17">
      <c r="A233" s="434"/>
      <c r="B233" s="434"/>
      <c r="D233" s="663"/>
      <c r="E233" s="663"/>
      <c r="F233" s="663"/>
      <c r="G233" s="663"/>
      <c r="H233" s="663"/>
      <c r="I233" s="663"/>
      <c r="J233" s="663"/>
      <c r="K233" s="663"/>
      <c r="L233" s="663"/>
      <c r="M233" s="453"/>
      <c r="N233" s="453"/>
    </row>
    <row r="234" spans="1:17">
      <c r="A234" s="434"/>
      <c r="B234" s="434"/>
      <c r="D234" s="663"/>
      <c r="E234" s="663"/>
      <c r="F234" s="663"/>
      <c r="G234" s="663"/>
      <c r="H234" s="663"/>
      <c r="I234" s="663"/>
      <c r="J234" s="663"/>
      <c r="K234" s="663"/>
      <c r="L234" s="663"/>
      <c r="M234" s="453"/>
      <c r="N234" s="453"/>
    </row>
    <row r="235" spans="1:17">
      <c r="A235" s="453"/>
      <c r="B235" s="453"/>
      <c r="E235" s="42" t="s">
        <v>2303</v>
      </c>
      <c r="F235" s="42"/>
      <c r="G235" s="42"/>
      <c r="H235" s="42"/>
      <c r="I235" s="42"/>
      <c r="J235" s="42"/>
      <c r="K235" s="42"/>
      <c r="L235" s="42"/>
      <c r="M235" s="109"/>
      <c r="N235" s="112" t="s">
        <v>13319</v>
      </c>
    </row>
    <row r="236" spans="1:17">
      <c r="A236" s="453"/>
      <c r="B236" s="453"/>
      <c r="D236" s="110">
        <v>2010</v>
      </c>
      <c r="E236" s="110">
        <v>2011</v>
      </c>
      <c r="F236" s="110">
        <v>2012</v>
      </c>
      <c r="G236" s="110">
        <v>2013</v>
      </c>
      <c r="H236" s="110">
        <v>2014</v>
      </c>
      <c r="I236" s="110">
        <v>2015</v>
      </c>
      <c r="J236" s="110">
        <v>2016</v>
      </c>
      <c r="K236" s="110">
        <v>2017</v>
      </c>
      <c r="L236" s="110">
        <v>2018</v>
      </c>
      <c r="M236" s="453"/>
      <c r="N236" s="112" t="s">
        <v>2304</v>
      </c>
    </row>
    <row r="237" spans="1:17">
      <c r="A237" s="434" t="s">
        <v>4504</v>
      </c>
      <c r="D237" s="456">
        <f>SUM(D238:D275)</f>
        <v>71108</v>
      </c>
      <c r="E237" s="456">
        <f t="shared" ref="E237:I237" si="150">SUM(E238:E275)</f>
        <v>72022</v>
      </c>
      <c r="F237" s="456">
        <f t="shared" si="150"/>
        <v>72392</v>
      </c>
      <c r="G237" s="456">
        <f t="shared" si="150"/>
        <v>72823</v>
      </c>
      <c r="H237" s="456">
        <f t="shared" si="150"/>
        <v>72678</v>
      </c>
      <c r="I237" s="456">
        <f t="shared" si="150"/>
        <v>70231</v>
      </c>
      <c r="J237" s="456">
        <f t="shared" ref="J237:K237" si="151">SUM(J238:J275)</f>
        <v>71377</v>
      </c>
      <c r="K237" s="456">
        <f t="shared" si="151"/>
        <v>74767</v>
      </c>
      <c r="L237" s="456">
        <f t="shared" ref="L237" si="152">SUM(L238:L275)</f>
        <v>76225</v>
      </c>
      <c r="M237" s="453"/>
      <c r="N237" s="453"/>
    </row>
    <row r="238" spans="1:17">
      <c r="A238" s="434" t="s">
        <v>6957</v>
      </c>
      <c r="B238" s="434" t="s">
        <v>4505</v>
      </c>
      <c r="C238" s="4" t="s">
        <v>14171</v>
      </c>
      <c r="D238" s="456">
        <v>71108</v>
      </c>
      <c r="E238" s="456">
        <v>72022</v>
      </c>
      <c r="F238" s="456">
        <v>72392</v>
      </c>
      <c r="G238" s="48">
        <v>72823</v>
      </c>
      <c r="H238" s="30">
        <v>72678</v>
      </c>
      <c r="I238" s="30">
        <v>1751</v>
      </c>
      <c r="J238" s="30">
        <v>1731</v>
      </c>
      <c r="K238" s="30">
        <v>1815</v>
      </c>
      <c r="L238" s="30">
        <v>1870</v>
      </c>
      <c r="M238" s="453"/>
      <c r="N238" s="434" t="s">
        <v>4351</v>
      </c>
      <c r="O238" s="4"/>
      <c r="Q238" s="4"/>
    </row>
    <row r="239" spans="1:17">
      <c r="A239" s="434" t="s">
        <v>6959</v>
      </c>
      <c r="B239" s="434" t="s">
        <v>4506</v>
      </c>
      <c r="C239" s="4" t="s">
        <v>14172</v>
      </c>
      <c r="D239" s="456">
        <v>0</v>
      </c>
      <c r="E239" s="456">
        <v>0</v>
      </c>
      <c r="F239" s="456">
        <v>0</v>
      </c>
      <c r="G239" s="48">
        <v>0</v>
      </c>
      <c r="H239" s="30">
        <v>0</v>
      </c>
      <c r="I239" s="30">
        <v>1918</v>
      </c>
      <c r="J239" s="30">
        <v>2101</v>
      </c>
      <c r="K239" s="30">
        <v>2295</v>
      </c>
      <c r="L239" s="30">
        <v>2402</v>
      </c>
      <c r="M239" s="453"/>
      <c r="N239" s="434" t="s">
        <v>4351</v>
      </c>
      <c r="O239" s="4"/>
      <c r="Q239" s="4"/>
    </row>
    <row r="240" spans="1:17">
      <c r="A240" s="434" t="s">
        <v>6961</v>
      </c>
      <c r="B240" s="434" t="s">
        <v>4507</v>
      </c>
      <c r="C240" s="4" t="s">
        <v>14173</v>
      </c>
      <c r="D240" s="456">
        <v>0</v>
      </c>
      <c r="E240" s="456">
        <v>0</v>
      </c>
      <c r="F240" s="456">
        <v>0</v>
      </c>
      <c r="G240" s="48">
        <v>0</v>
      </c>
      <c r="H240" s="30">
        <v>0</v>
      </c>
      <c r="I240" s="30">
        <v>1945</v>
      </c>
      <c r="J240" s="30">
        <v>1995</v>
      </c>
      <c r="K240" s="30">
        <v>2007</v>
      </c>
      <c r="L240" s="30">
        <v>2022</v>
      </c>
      <c r="M240" s="453"/>
      <c r="N240" s="434" t="s">
        <v>4351</v>
      </c>
      <c r="O240" s="4"/>
      <c r="Q240" s="4"/>
    </row>
    <row r="241" spans="1:17">
      <c r="A241" s="434" t="s">
        <v>6963</v>
      </c>
      <c r="B241" s="434" t="s">
        <v>4508</v>
      </c>
      <c r="C241" s="4" t="s">
        <v>14174</v>
      </c>
      <c r="D241" s="456">
        <v>0</v>
      </c>
      <c r="E241" s="456">
        <v>0</v>
      </c>
      <c r="F241" s="456">
        <v>0</v>
      </c>
      <c r="G241" s="48">
        <v>0</v>
      </c>
      <c r="H241" s="30">
        <v>0</v>
      </c>
      <c r="I241" s="30">
        <v>1870</v>
      </c>
      <c r="J241" s="30">
        <v>1941</v>
      </c>
      <c r="K241" s="30">
        <v>2042</v>
      </c>
      <c r="L241" s="30">
        <v>2120</v>
      </c>
      <c r="M241" s="453"/>
      <c r="N241" s="434" t="s">
        <v>4351</v>
      </c>
      <c r="O241" s="4"/>
      <c r="Q241" s="4"/>
    </row>
    <row r="242" spans="1:17">
      <c r="A242" s="434" t="s">
        <v>6965</v>
      </c>
      <c r="B242" s="455" t="s">
        <v>13954</v>
      </c>
      <c r="C242" s="4" t="s">
        <v>14175</v>
      </c>
      <c r="D242" s="456">
        <v>0</v>
      </c>
      <c r="E242" s="456">
        <v>0</v>
      </c>
      <c r="F242" s="456">
        <v>0</v>
      </c>
      <c r="G242" s="48">
        <v>0</v>
      </c>
      <c r="H242" s="30">
        <v>0</v>
      </c>
      <c r="I242" s="30">
        <v>1799</v>
      </c>
      <c r="J242" s="30">
        <v>1951</v>
      </c>
      <c r="K242" s="30">
        <v>2118</v>
      </c>
      <c r="L242" s="30">
        <v>2117</v>
      </c>
      <c r="M242" s="453"/>
      <c r="N242" s="434" t="s">
        <v>4351</v>
      </c>
      <c r="O242" s="4"/>
      <c r="Q242" s="4"/>
    </row>
    <row r="243" spans="1:17">
      <c r="A243" s="434" t="s">
        <v>6997</v>
      </c>
      <c r="B243" s="455" t="s">
        <v>13955</v>
      </c>
      <c r="C243" s="4" t="s">
        <v>14176</v>
      </c>
      <c r="D243" s="456">
        <v>0</v>
      </c>
      <c r="E243" s="456">
        <v>0</v>
      </c>
      <c r="F243" s="456">
        <v>0</v>
      </c>
      <c r="G243" s="48">
        <v>0</v>
      </c>
      <c r="H243" s="30">
        <v>0</v>
      </c>
      <c r="I243" s="30">
        <v>1970</v>
      </c>
      <c r="J243" s="30">
        <v>1977</v>
      </c>
      <c r="K243" s="30">
        <v>2061</v>
      </c>
      <c r="L243" s="30">
        <v>2092</v>
      </c>
      <c r="M243" s="453"/>
      <c r="N243" s="434" t="s">
        <v>4351</v>
      </c>
      <c r="O243" s="4"/>
      <c r="Q243" s="4"/>
    </row>
    <row r="244" spans="1:17">
      <c r="A244" s="434" t="s">
        <v>6999</v>
      </c>
      <c r="B244" s="455" t="s">
        <v>13956</v>
      </c>
      <c r="C244" s="4" t="s">
        <v>14177</v>
      </c>
      <c r="D244" s="456">
        <v>0</v>
      </c>
      <c r="E244" s="456">
        <v>0</v>
      </c>
      <c r="F244" s="456">
        <v>0</v>
      </c>
      <c r="G244" s="48">
        <v>0</v>
      </c>
      <c r="H244" s="30">
        <v>0</v>
      </c>
      <c r="I244" s="30">
        <v>1860</v>
      </c>
      <c r="J244" s="30">
        <v>1866</v>
      </c>
      <c r="K244" s="30">
        <v>1923</v>
      </c>
      <c r="L244" s="30">
        <v>1942</v>
      </c>
      <c r="M244" s="453"/>
      <c r="N244" s="434" t="s">
        <v>4351</v>
      </c>
      <c r="O244" s="4"/>
      <c r="Q244" s="4"/>
    </row>
    <row r="245" spans="1:17">
      <c r="A245" s="434" t="s">
        <v>7001</v>
      </c>
      <c r="B245" s="434" t="s">
        <v>7626</v>
      </c>
      <c r="C245" s="4" t="s">
        <v>14178</v>
      </c>
      <c r="D245" s="456">
        <v>0</v>
      </c>
      <c r="E245" s="456">
        <v>0</v>
      </c>
      <c r="F245" s="456">
        <v>0</v>
      </c>
      <c r="G245" s="48">
        <v>0</v>
      </c>
      <c r="H245" s="30">
        <v>0</v>
      </c>
      <c r="I245" s="30">
        <v>1704</v>
      </c>
      <c r="J245" s="30">
        <v>1724</v>
      </c>
      <c r="K245" s="30">
        <v>1779</v>
      </c>
      <c r="L245" s="30">
        <v>1972</v>
      </c>
      <c r="M245" s="453"/>
      <c r="N245" s="434" t="s">
        <v>4351</v>
      </c>
      <c r="O245" s="4"/>
      <c r="Q245" s="4"/>
    </row>
    <row r="246" spans="1:17">
      <c r="A246" s="434" t="s">
        <v>7003</v>
      </c>
      <c r="B246" s="434" t="s">
        <v>13957</v>
      </c>
      <c r="C246" s="4" t="s">
        <v>14179</v>
      </c>
      <c r="D246" s="456">
        <v>0</v>
      </c>
      <c r="E246" s="456">
        <v>0</v>
      </c>
      <c r="F246" s="456">
        <v>0</v>
      </c>
      <c r="G246" s="48">
        <v>0</v>
      </c>
      <c r="H246" s="30">
        <v>0</v>
      </c>
      <c r="I246" s="30">
        <v>1958</v>
      </c>
      <c r="J246" s="30">
        <v>1987</v>
      </c>
      <c r="K246" s="30">
        <v>2123</v>
      </c>
      <c r="L246" s="30">
        <v>2206</v>
      </c>
      <c r="M246" s="453"/>
      <c r="N246" s="434" t="s">
        <v>4351</v>
      </c>
      <c r="O246" s="4"/>
      <c r="Q246" s="4"/>
    </row>
    <row r="247" spans="1:17">
      <c r="A247" s="434" t="s">
        <v>7005</v>
      </c>
      <c r="B247" s="455" t="s">
        <v>13958</v>
      </c>
      <c r="C247" s="4" t="s">
        <v>14180</v>
      </c>
      <c r="D247" s="456">
        <v>0</v>
      </c>
      <c r="E247" s="456">
        <v>0</v>
      </c>
      <c r="F247" s="456">
        <v>0</v>
      </c>
      <c r="G247" s="48">
        <v>0</v>
      </c>
      <c r="H247" s="30">
        <v>0</v>
      </c>
      <c r="I247" s="30">
        <v>2034</v>
      </c>
      <c r="J247" s="30">
        <v>2056</v>
      </c>
      <c r="K247" s="30">
        <v>2081</v>
      </c>
      <c r="L247" s="30">
        <v>2071</v>
      </c>
      <c r="M247" s="453"/>
      <c r="N247" s="434" t="s">
        <v>4351</v>
      </c>
      <c r="O247" s="4"/>
      <c r="Q247" s="4"/>
    </row>
    <row r="248" spans="1:17">
      <c r="A248" s="434" t="s">
        <v>7007</v>
      </c>
      <c r="B248" s="434" t="s">
        <v>13959</v>
      </c>
      <c r="C248" s="4" t="s">
        <v>14181</v>
      </c>
      <c r="D248" s="456">
        <v>0</v>
      </c>
      <c r="E248" s="456">
        <v>0</v>
      </c>
      <c r="F248" s="456">
        <v>0</v>
      </c>
      <c r="G248" s="48">
        <v>0</v>
      </c>
      <c r="H248" s="30">
        <v>0</v>
      </c>
      <c r="I248" s="30">
        <v>1996</v>
      </c>
      <c r="J248" s="30">
        <v>2013</v>
      </c>
      <c r="K248" s="30">
        <v>2075</v>
      </c>
      <c r="L248" s="30">
        <v>2097</v>
      </c>
      <c r="M248" s="453"/>
      <c r="N248" s="434" t="s">
        <v>4351</v>
      </c>
      <c r="O248" s="4"/>
      <c r="Q248" s="4"/>
    </row>
    <row r="249" spans="1:17">
      <c r="A249" s="434" t="s">
        <v>7009</v>
      </c>
      <c r="B249" s="434" t="s">
        <v>13960</v>
      </c>
      <c r="C249" s="4" t="s">
        <v>14182</v>
      </c>
      <c r="D249" s="456">
        <v>0</v>
      </c>
      <c r="E249" s="456">
        <v>0</v>
      </c>
      <c r="F249" s="456">
        <v>0</v>
      </c>
      <c r="G249" s="48">
        <v>0</v>
      </c>
      <c r="H249" s="30">
        <v>0</v>
      </c>
      <c r="I249" s="30">
        <v>1858</v>
      </c>
      <c r="J249" s="30">
        <v>1905</v>
      </c>
      <c r="K249" s="30">
        <v>1946</v>
      </c>
      <c r="L249" s="30">
        <v>1969</v>
      </c>
      <c r="M249" s="453"/>
      <c r="N249" s="434" t="s">
        <v>4351</v>
      </c>
      <c r="O249" s="4"/>
      <c r="Q249" s="4"/>
    </row>
    <row r="250" spans="1:17">
      <c r="A250" s="434" t="s">
        <v>7011</v>
      </c>
      <c r="B250" s="434" t="s">
        <v>13961</v>
      </c>
      <c r="C250" s="4" t="s">
        <v>14183</v>
      </c>
      <c r="D250" s="456">
        <v>0</v>
      </c>
      <c r="E250" s="456">
        <v>0</v>
      </c>
      <c r="F250" s="456">
        <v>0</v>
      </c>
      <c r="G250" s="48">
        <v>0</v>
      </c>
      <c r="H250" s="30">
        <v>0</v>
      </c>
      <c r="I250" s="30">
        <v>1134</v>
      </c>
      <c r="J250" s="30">
        <v>1236</v>
      </c>
      <c r="K250" s="30">
        <v>1366</v>
      </c>
      <c r="L250" s="30">
        <v>1408</v>
      </c>
      <c r="M250" s="453"/>
      <c r="N250" s="434" t="s">
        <v>4351</v>
      </c>
      <c r="O250" s="4"/>
      <c r="Q250" s="4"/>
    </row>
    <row r="251" spans="1:17">
      <c r="A251" s="434" t="s">
        <v>7013</v>
      </c>
      <c r="B251" s="434" t="s">
        <v>13962</v>
      </c>
      <c r="C251" s="4" t="s">
        <v>14184</v>
      </c>
      <c r="D251" s="456">
        <v>0</v>
      </c>
      <c r="E251" s="456">
        <v>0</v>
      </c>
      <c r="F251" s="456">
        <v>0</v>
      </c>
      <c r="G251" s="48">
        <v>0</v>
      </c>
      <c r="H251" s="30">
        <v>0</v>
      </c>
      <c r="I251" s="30">
        <v>1773</v>
      </c>
      <c r="J251" s="30">
        <v>1767</v>
      </c>
      <c r="K251" s="30">
        <v>1841</v>
      </c>
      <c r="L251" s="30">
        <v>1927</v>
      </c>
      <c r="M251" s="453"/>
      <c r="N251" s="434" t="s">
        <v>4351</v>
      </c>
      <c r="O251" s="4"/>
      <c r="Q251" s="4"/>
    </row>
    <row r="252" spans="1:17">
      <c r="A252" s="434" t="s">
        <v>7015</v>
      </c>
      <c r="B252" s="434" t="s">
        <v>13963</v>
      </c>
      <c r="C252" s="4" t="s">
        <v>14185</v>
      </c>
      <c r="D252" s="456">
        <v>0</v>
      </c>
      <c r="E252" s="456">
        <v>0</v>
      </c>
      <c r="F252" s="456">
        <v>0</v>
      </c>
      <c r="G252" s="48">
        <v>0</v>
      </c>
      <c r="H252" s="30">
        <v>0</v>
      </c>
      <c r="I252" s="30">
        <v>1985</v>
      </c>
      <c r="J252" s="30">
        <v>2026</v>
      </c>
      <c r="K252" s="30">
        <v>2067</v>
      </c>
      <c r="L252" s="30">
        <v>2086</v>
      </c>
      <c r="M252" s="453"/>
      <c r="N252" s="434" t="s">
        <v>4351</v>
      </c>
      <c r="O252" s="4"/>
      <c r="Q252" s="4"/>
    </row>
    <row r="253" spans="1:17">
      <c r="A253" s="434" t="s">
        <v>7017</v>
      </c>
      <c r="B253" s="455" t="s">
        <v>13964</v>
      </c>
      <c r="C253" s="4" t="s">
        <v>14186</v>
      </c>
      <c r="D253" s="456">
        <v>0</v>
      </c>
      <c r="E253" s="456">
        <v>0</v>
      </c>
      <c r="F253" s="456">
        <v>0</v>
      </c>
      <c r="G253" s="48">
        <v>0</v>
      </c>
      <c r="H253" s="30">
        <v>0</v>
      </c>
      <c r="I253" s="31">
        <v>1725</v>
      </c>
      <c r="J253" s="31">
        <v>1720</v>
      </c>
      <c r="K253" s="31">
        <v>1776</v>
      </c>
      <c r="L253" s="31">
        <v>1812</v>
      </c>
      <c r="M253" s="453"/>
      <c r="N253" s="434" t="s">
        <v>4351</v>
      </c>
      <c r="O253" s="4"/>
      <c r="Q253" s="4"/>
    </row>
    <row r="254" spans="1:17">
      <c r="A254" s="434" t="s">
        <v>7019</v>
      </c>
      <c r="B254" s="455" t="s">
        <v>13965</v>
      </c>
      <c r="C254" s="4" t="s">
        <v>14187</v>
      </c>
      <c r="D254" s="456">
        <v>0</v>
      </c>
      <c r="E254" s="456">
        <v>0</v>
      </c>
      <c r="F254" s="456">
        <v>0</v>
      </c>
      <c r="G254" s="48">
        <v>0</v>
      </c>
      <c r="H254" s="30">
        <v>0</v>
      </c>
      <c r="I254" s="31">
        <v>1602</v>
      </c>
      <c r="J254" s="31">
        <v>1666</v>
      </c>
      <c r="K254" s="31">
        <v>1711</v>
      </c>
      <c r="L254" s="31">
        <v>1729</v>
      </c>
      <c r="M254" s="453"/>
      <c r="N254" s="434" t="s">
        <v>4351</v>
      </c>
      <c r="O254" s="4"/>
      <c r="Q254" s="4"/>
    </row>
    <row r="255" spans="1:17">
      <c r="A255" s="434" t="s">
        <v>7021</v>
      </c>
      <c r="B255" s="455" t="s">
        <v>13966</v>
      </c>
      <c r="C255" s="4" t="s">
        <v>14188</v>
      </c>
      <c r="D255" s="456">
        <v>0</v>
      </c>
      <c r="E255" s="456">
        <v>0</v>
      </c>
      <c r="F255" s="456">
        <v>0</v>
      </c>
      <c r="G255" s="48">
        <v>0</v>
      </c>
      <c r="H255" s="30">
        <v>0</v>
      </c>
      <c r="I255" s="31">
        <v>1875</v>
      </c>
      <c r="J255" s="31">
        <v>1906</v>
      </c>
      <c r="K255" s="31">
        <v>1989</v>
      </c>
      <c r="L255" s="31">
        <v>2031</v>
      </c>
      <c r="M255" s="453"/>
      <c r="N255" s="434" t="s">
        <v>4351</v>
      </c>
      <c r="O255" s="4"/>
      <c r="Q255" s="4"/>
    </row>
    <row r="256" spans="1:17">
      <c r="A256" s="434" t="s">
        <v>7023</v>
      </c>
      <c r="B256" s="434" t="s">
        <v>5000</v>
      </c>
      <c r="C256" s="4" t="s">
        <v>14189</v>
      </c>
      <c r="D256" s="456">
        <v>0</v>
      </c>
      <c r="E256" s="456">
        <v>0</v>
      </c>
      <c r="F256" s="456">
        <v>0</v>
      </c>
      <c r="G256" s="48">
        <v>0</v>
      </c>
      <c r="H256" s="30">
        <v>0</v>
      </c>
      <c r="I256" s="31">
        <v>1987</v>
      </c>
      <c r="J256" s="31">
        <v>1994</v>
      </c>
      <c r="K256" s="31">
        <v>2065</v>
      </c>
      <c r="L256" s="31">
        <v>2073</v>
      </c>
      <c r="M256" s="453"/>
      <c r="N256" s="434" t="s">
        <v>4351</v>
      </c>
      <c r="O256" s="4"/>
      <c r="Q256" s="4"/>
    </row>
    <row r="257" spans="1:17">
      <c r="A257" s="434" t="s">
        <v>7025</v>
      </c>
      <c r="B257" s="455" t="s">
        <v>4258</v>
      </c>
      <c r="C257" s="4" t="s">
        <v>14190</v>
      </c>
      <c r="D257" s="456">
        <v>0</v>
      </c>
      <c r="E257" s="456">
        <v>0</v>
      </c>
      <c r="F257" s="456">
        <v>0</v>
      </c>
      <c r="G257" s="48">
        <v>0</v>
      </c>
      <c r="H257" s="30">
        <v>0</v>
      </c>
      <c r="I257" s="31">
        <v>1748</v>
      </c>
      <c r="J257" s="31">
        <v>1767</v>
      </c>
      <c r="K257" s="31">
        <v>1836</v>
      </c>
      <c r="L257" s="31">
        <v>1821</v>
      </c>
      <c r="M257" s="453"/>
      <c r="N257" s="434" t="s">
        <v>4351</v>
      </c>
      <c r="O257" s="4"/>
      <c r="Q257" s="4"/>
    </row>
    <row r="258" spans="1:17">
      <c r="A258" s="434" t="s">
        <v>7570</v>
      </c>
      <c r="B258" s="455" t="s">
        <v>13967</v>
      </c>
      <c r="C258" s="4" t="s">
        <v>14191</v>
      </c>
      <c r="D258" s="456">
        <v>0</v>
      </c>
      <c r="E258" s="456">
        <v>0</v>
      </c>
      <c r="F258" s="456">
        <v>0</v>
      </c>
      <c r="G258" s="48">
        <v>0</v>
      </c>
      <c r="H258" s="30">
        <v>0</v>
      </c>
      <c r="I258" s="31">
        <v>1950</v>
      </c>
      <c r="J258" s="31">
        <v>1986</v>
      </c>
      <c r="K258" s="31">
        <v>2052</v>
      </c>
      <c r="L258" s="31">
        <v>2021</v>
      </c>
      <c r="M258" s="453"/>
      <c r="N258" s="434" t="s">
        <v>4351</v>
      </c>
      <c r="O258" s="4"/>
      <c r="Q258" s="4"/>
    </row>
    <row r="259" spans="1:17">
      <c r="A259" s="434" t="s">
        <v>7572</v>
      </c>
      <c r="B259" s="434" t="s">
        <v>13968</v>
      </c>
      <c r="C259" s="4" t="s">
        <v>14192</v>
      </c>
      <c r="D259" s="456">
        <v>0</v>
      </c>
      <c r="E259" s="456">
        <v>0</v>
      </c>
      <c r="F259" s="456">
        <v>0</v>
      </c>
      <c r="G259" s="48">
        <v>0</v>
      </c>
      <c r="H259" s="30">
        <v>0</v>
      </c>
      <c r="I259" s="31">
        <v>1384</v>
      </c>
      <c r="J259" s="31">
        <v>1385</v>
      </c>
      <c r="K259" s="31">
        <v>1416</v>
      </c>
      <c r="L259" s="31">
        <v>1472</v>
      </c>
      <c r="M259" s="453"/>
      <c r="N259" s="434" t="s">
        <v>4351</v>
      </c>
      <c r="O259" s="4"/>
      <c r="Q259" s="4"/>
    </row>
    <row r="260" spans="1:17">
      <c r="A260" s="434" t="s">
        <v>7573</v>
      </c>
      <c r="B260" s="455" t="s">
        <v>13969</v>
      </c>
      <c r="C260" s="4" t="s">
        <v>14193</v>
      </c>
      <c r="D260" s="456">
        <v>0</v>
      </c>
      <c r="E260" s="456">
        <v>0</v>
      </c>
      <c r="F260" s="456">
        <v>0</v>
      </c>
      <c r="G260" s="48">
        <v>0</v>
      </c>
      <c r="H260" s="30">
        <v>0</v>
      </c>
      <c r="I260" s="31">
        <v>1896</v>
      </c>
      <c r="J260" s="31">
        <v>1901</v>
      </c>
      <c r="K260" s="31">
        <v>1982</v>
      </c>
      <c r="L260" s="31">
        <v>2008</v>
      </c>
      <c r="M260" s="453"/>
      <c r="N260" s="434" t="s">
        <v>4351</v>
      </c>
      <c r="O260" s="4"/>
      <c r="Q260" s="4"/>
    </row>
    <row r="261" spans="1:17">
      <c r="A261" s="434" t="s">
        <v>5798</v>
      </c>
      <c r="B261" s="434" t="s">
        <v>13970</v>
      </c>
      <c r="C261" s="4" t="s">
        <v>14194</v>
      </c>
      <c r="D261" s="456">
        <v>0</v>
      </c>
      <c r="E261" s="456">
        <v>0</v>
      </c>
      <c r="F261" s="456">
        <v>0</v>
      </c>
      <c r="G261" s="48">
        <v>0</v>
      </c>
      <c r="H261" s="30">
        <v>0</v>
      </c>
      <c r="I261" s="31">
        <v>1859</v>
      </c>
      <c r="J261" s="31">
        <v>1866</v>
      </c>
      <c r="K261" s="31">
        <v>1920</v>
      </c>
      <c r="L261" s="31">
        <v>1919</v>
      </c>
      <c r="M261" s="453"/>
      <c r="N261" s="434" t="s">
        <v>4351</v>
      </c>
      <c r="O261" s="4"/>
      <c r="Q261" s="4"/>
    </row>
    <row r="262" spans="1:17">
      <c r="A262" s="434" t="s">
        <v>5799</v>
      </c>
      <c r="B262" s="455" t="s">
        <v>13971</v>
      </c>
      <c r="C262" s="4" t="s">
        <v>14195</v>
      </c>
      <c r="D262" s="456">
        <v>0</v>
      </c>
      <c r="E262" s="456">
        <v>0</v>
      </c>
      <c r="F262" s="456">
        <v>0</v>
      </c>
      <c r="G262" s="48">
        <v>0</v>
      </c>
      <c r="H262" s="30">
        <v>0</v>
      </c>
      <c r="I262" s="31">
        <v>1773</v>
      </c>
      <c r="J262" s="31">
        <v>1801</v>
      </c>
      <c r="K262" s="31">
        <v>2044</v>
      </c>
      <c r="L262" s="31">
        <v>2177</v>
      </c>
      <c r="M262" s="453"/>
      <c r="N262" s="434" t="s">
        <v>4351</v>
      </c>
      <c r="O262" s="4"/>
      <c r="Q262" s="4"/>
    </row>
    <row r="263" spans="1:17">
      <c r="A263" s="434" t="s">
        <v>5801</v>
      </c>
      <c r="B263" s="455" t="s">
        <v>13972</v>
      </c>
      <c r="C263" s="4" t="s">
        <v>14196</v>
      </c>
      <c r="D263" s="456">
        <v>0</v>
      </c>
      <c r="E263" s="456">
        <v>0</v>
      </c>
      <c r="F263" s="456">
        <v>0</v>
      </c>
      <c r="G263" s="48">
        <v>0</v>
      </c>
      <c r="H263" s="30">
        <v>0</v>
      </c>
      <c r="I263" s="31">
        <v>1677</v>
      </c>
      <c r="J263" s="31">
        <v>1709</v>
      </c>
      <c r="K263" s="31">
        <v>1727</v>
      </c>
      <c r="L263" s="31">
        <v>1686</v>
      </c>
      <c r="M263" s="453"/>
      <c r="N263" s="434" t="s">
        <v>4351</v>
      </c>
      <c r="O263" s="4"/>
      <c r="Q263" s="4"/>
    </row>
    <row r="264" spans="1:17">
      <c r="A264" s="434" t="s">
        <v>5927</v>
      </c>
      <c r="B264" s="434" t="s">
        <v>13973</v>
      </c>
      <c r="C264" s="4" t="s">
        <v>14197</v>
      </c>
      <c r="D264" s="456">
        <v>0</v>
      </c>
      <c r="E264" s="456">
        <v>0</v>
      </c>
      <c r="F264" s="456">
        <v>0</v>
      </c>
      <c r="G264" s="48">
        <v>0</v>
      </c>
      <c r="H264" s="30">
        <v>0</v>
      </c>
      <c r="I264" s="31">
        <v>1999</v>
      </c>
      <c r="J264" s="31">
        <v>2017</v>
      </c>
      <c r="K264" s="31">
        <v>2059</v>
      </c>
      <c r="L264" s="31">
        <v>2121</v>
      </c>
      <c r="M264" s="453"/>
      <c r="N264" s="434" t="s">
        <v>4351</v>
      </c>
      <c r="O264" s="4"/>
      <c r="Q264" s="4"/>
    </row>
    <row r="265" spans="1:17">
      <c r="A265" s="434" t="s">
        <v>5929</v>
      </c>
      <c r="B265" s="455" t="s">
        <v>13974</v>
      </c>
      <c r="C265" s="4" t="s">
        <v>14198</v>
      </c>
      <c r="D265" s="456">
        <v>0</v>
      </c>
      <c r="E265" s="456">
        <v>0</v>
      </c>
      <c r="F265" s="456">
        <v>0</v>
      </c>
      <c r="G265" s="48">
        <v>0</v>
      </c>
      <c r="H265" s="30">
        <v>0</v>
      </c>
      <c r="I265" s="31">
        <v>1779</v>
      </c>
      <c r="J265" s="31">
        <v>1852</v>
      </c>
      <c r="K265" s="31">
        <v>1978</v>
      </c>
      <c r="L265" s="31">
        <v>2007</v>
      </c>
      <c r="M265" s="453"/>
      <c r="N265" s="434" t="s">
        <v>4351</v>
      </c>
      <c r="O265" s="4"/>
      <c r="Q265" s="4"/>
    </row>
    <row r="266" spans="1:17">
      <c r="A266" s="672">
        <v>29</v>
      </c>
      <c r="B266" s="434" t="s">
        <v>13975</v>
      </c>
      <c r="C266" s="4" t="s">
        <v>14199</v>
      </c>
      <c r="D266" s="456">
        <v>0</v>
      </c>
      <c r="E266" s="456">
        <v>0</v>
      </c>
      <c r="F266" s="456">
        <v>0</v>
      </c>
      <c r="G266" s="48">
        <v>0</v>
      </c>
      <c r="H266" s="30">
        <v>0</v>
      </c>
      <c r="I266" s="31">
        <v>1840</v>
      </c>
      <c r="J266" s="31">
        <v>1829</v>
      </c>
      <c r="K266" s="31">
        <v>1832</v>
      </c>
      <c r="L266" s="31">
        <v>1928</v>
      </c>
      <c r="M266" s="453"/>
      <c r="N266" s="434" t="s">
        <v>4351</v>
      </c>
      <c r="O266" s="4"/>
      <c r="Q266" s="4"/>
    </row>
    <row r="267" spans="1:17">
      <c r="A267" s="672">
        <v>30</v>
      </c>
      <c r="B267" s="434" t="s">
        <v>13976</v>
      </c>
      <c r="C267" s="4" t="s">
        <v>14200</v>
      </c>
      <c r="D267" s="456">
        <v>0</v>
      </c>
      <c r="E267" s="456">
        <v>0</v>
      </c>
      <c r="F267" s="456">
        <v>0</v>
      </c>
      <c r="G267" s="48">
        <v>0</v>
      </c>
      <c r="H267" s="30">
        <v>0</v>
      </c>
      <c r="I267" s="31">
        <v>1954</v>
      </c>
      <c r="J267" s="31">
        <v>1943</v>
      </c>
      <c r="K267" s="31">
        <v>2047</v>
      </c>
      <c r="L267" s="31">
        <v>2103</v>
      </c>
      <c r="M267" s="453"/>
      <c r="N267" s="434" t="s">
        <v>4351</v>
      </c>
      <c r="O267" s="4"/>
      <c r="Q267" s="4"/>
    </row>
    <row r="268" spans="1:17">
      <c r="A268" s="672">
        <v>31</v>
      </c>
      <c r="B268" s="434" t="s">
        <v>13977</v>
      </c>
      <c r="C268" s="4" t="s">
        <v>14201</v>
      </c>
      <c r="D268" s="456">
        <v>0</v>
      </c>
      <c r="E268" s="456">
        <v>0</v>
      </c>
      <c r="F268" s="456">
        <v>0</v>
      </c>
      <c r="G268" s="48">
        <v>0</v>
      </c>
      <c r="H268" s="30">
        <v>0</v>
      </c>
      <c r="I268" s="31">
        <v>1950</v>
      </c>
      <c r="J268" s="31">
        <v>1936</v>
      </c>
      <c r="K268" s="31">
        <v>2084</v>
      </c>
      <c r="L268" s="31">
        <v>2191</v>
      </c>
      <c r="M268" s="453"/>
      <c r="N268" s="434" t="s">
        <v>4351</v>
      </c>
      <c r="O268" s="4"/>
      <c r="Q268" s="4"/>
    </row>
    <row r="269" spans="1:17">
      <c r="A269" s="672">
        <v>32</v>
      </c>
      <c r="B269" s="434" t="s">
        <v>13978</v>
      </c>
      <c r="C269" s="4" t="s">
        <v>14202</v>
      </c>
      <c r="D269" s="456">
        <v>0</v>
      </c>
      <c r="E269" s="456">
        <v>0</v>
      </c>
      <c r="F269" s="456">
        <v>0</v>
      </c>
      <c r="G269" s="48">
        <v>0</v>
      </c>
      <c r="H269" s="30">
        <v>0</v>
      </c>
      <c r="I269" s="31">
        <v>2071</v>
      </c>
      <c r="J269" s="31">
        <v>2191</v>
      </c>
      <c r="K269" s="31">
        <v>2368</v>
      </c>
      <c r="L269" s="31">
        <v>2380</v>
      </c>
      <c r="M269" s="453"/>
      <c r="N269" s="434" t="s">
        <v>4351</v>
      </c>
      <c r="O269" s="4"/>
      <c r="Q269" s="4"/>
    </row>
    <row r="270" spans="1:17">
      <c r="A270" s="672">
        <v>33</v>
      </c>
      <c r="B270" s="434" t="s">
        <v>13979</v>
      </c>
      <c r="C270" s="4" t="s">
        <v>14203</v>
      </c>
      <c r="D270" s="456">
        <v>0</v>
      </c>
      <c r="E270" s="456">
        <v>0</v>
      </c>
      <c r="F270" s="456">
        <v>0</v>
      </c>
      <c r="G270" s="48">
        <v>0</v>
      </c>
      <c r="H270" s="30">
        <v>0</v>
      </c>
      <c r="I270" s="31">
        <v>1664</v>
      </c>
      <c r="J270" s="31">
        <v>1673</v>
      </c>
      <c r="K270" s="31">
        <v>1875</v>
      </c>
      <c r="L270" s="31">
        <v>1925</v>
      </c>
      <c r="M270" s="453"/>
      <c r="N270" s="434" t="s">
        <v>4351</v>
      </c>
      <c r="O270" s="4"/>
      <c r="Q270" s="4"/>
    </row>
    <row r="271" spans="1:17">
      <c r="A271" s="672">
        <v>34</v>
      </c>
      <c r="B271" s="455" t="s">
        <v>13980</v>
      </c>
      <c r="C271" s="4" t="s">
        <v>14204</v>
      </c>
      <c r="D271" s="456">
        <v>0</v>
      </c>
      <c r="E271" s="456">
        <v>0</v>
      </c>
      <c r="F271" s="456">
        <v>0</v>
      </c>
      <c r="G271" s="48">
        <v>0</v>
      </c>
      <c r="H271" s="30">
        <v>0</v>
      </c>
      <c r="I271" s="31">
        <v>1672</v>
      </c>
      <c r="J271" s="31">
        <v>1705</v>
      </c>
      <c r="K271" s="31">
        <v>1864</v>
      </c>
      <c r="L271" s="31">
        <v>1814</v>
      </c>
      <c r="M271" s="453"/>
      <c r="N271" s="434" t="s">
        <v>4351</v>
      </c>
      <c r="O271" s="4"/>
      <c r="Q271" s="4"/>
    </row>
    <row r="272" spans="1:17">
      <c r="A272" s="672">
        <v>35</v>
      </c>
      <c r="B272" s="455" t="s">
        <v>13981</v>
      </c>
      <c r="C272" s="4" t="s">
        <v>14205</v>
      </c>
      <c r="D272" s="456">
        <v>0</v>
      </c>
      <c r="E272" s="456">
        <v>0</v>
      </c>
      <c r="F272" s="456">
        <v>0</v>
      </c>
      <c r="G272" s="48">
        <v>0</v>
      </c>
      <c r="H272" s="30">
        <v>0</v>
      </c>
      <c r="I272" s="31">
        <v>2006</v>
      </c>
      <c r="J272" s="31">
        <v>1996</v>
      </c>
      <c r="K272" s="31">
        <v>2091</v>
      </c>
      <c r="L272" s="31">
        <v>2109</v>
      </c>
      <c r="M272" s="453"/>
      <c r="N272" s="434" t="s">
        <v>4351</v>
      </c>
      <c r="O272" s="4"/>
      <c r="Q272" s="4"/>
    </row>
    <row r="273" spans="1:17">
      <c r="A273" s="672">
        <v>36</v>
      </c>
      <c r="B273" s="434" t="s">
        <v>1398</v>
      </c>
      <c r="C273" s="4" t="s">
        <v>14206</v>
      </c>
      <c r="D273" s="456">
        <v>0</v>
      </c>
      <c r="E273" s="456">
        <v>0</v>
      </c>
      <c r="F273" s="456">
        <v>0</v>
      </c>
      <c r="G273" s="48">
        <v>0</v>
      </c>
      <c r="H273" s="30">
        <v>0</v>
      </c>
      <c r="I273" s="31">
        <v>1898</v>
      </c>
      <c r="J273" s="31">
        <v>1884</v>
      </c>
      <c r="K273" s="31">
        <v>1946</v>
      </c>
      <c r="L273" s="31">
        <v>1995</v>
      </c>
      <c r="M273" s="453"/>
      <c r="N273" s="434" t="s">
        <v>4351</v>
      </c>
      <c r="O273" s="4"/>
      <c r="Q273" s="4"/>
    </row>
    <row r="274" spans="1:17">
      <c r="A274" s="672">
        <v>37</v>
      </c>
      <c r="B274" s="434" t="s">
        <v>7796</v>
      </c>
      <c r="C274" s="4" t="s">
        <v>14207</v>
      </c>
      <c r="D274" s="456">
        <v>0</v>
      </c>
      <c r="E274" s="456">
        <v>0</v>
      </c>
      <c r="F274" s="456">
        <v>0</v>
      </c>
      <c r="G274" s="48">
        <v>0</v>
      </c>
      <c r="H274" s="30">
        <v>0</v>
      </c>
      <c r="I274" s="31">
        <v>2143</v>
      </c>
      <c r="J274" s="31">
        <v>2123</v>
      </c>
      <c r="K274" s="31">
        <v>2216</v>
      </c>
      <c r="L274" s="31">
        <v>2234</v>
      </c>
      <c r="M274" s="453"/>
      <c r="N274" s="434" t="s">
        <v>4351</v>
      </c>
      <c r="O274" s="4"/>
      <c r="Q274" s="4"/>
    </row>
    <row r="275" spans="1:17">
      <c r="A275" s="672">
        <v>38</v>
      </c>
      <c r="B275" s="434" t="s">
        <v>13982</v>
      </c>
      <c r="C275" s="4" t="s">
        <v>14208</v>
      </c>
      <c r="D275" s="456">
        <v>0</v>
      </c>
      <c r="E275" s="456">
        <v>0</v>
      </c>
      <c r="F275" s="456">
        <v>0</v>
      </c>
      <c r="G275" s="48">
        <v>0</v>
      </c>
      <c r="H275" s="30">
        <v>0</v>
      </c>
      <c r="I275" s="31">
        <v>2224</v>
      </c>
      <c r="J275" s="31">
        <v>2251</v>
      </c>
      <c r="K275" s="31">
        <v>2350</v>
      </c>
      <c r="L275" s="31">
        <v>2368</v>
      </c>
      <c r="M275" s="453"/>
      <c r="N275" s="434" t="s">
        <v>4351</v>
      </c>
      <c r="O275" s="4"/>
      <c r="Q275" s="4"/>
    </row>
    <row r="276" spans="1:17">
      <c r="A276" s="453"/>
      <c r="B276" s="453"/>
      <c r="D276" s="459"/>
      <c r="E276" s="459"/>
      <c r="F276" s="459"/>
      <c r="G276" s="459"/>
      <c r="H276" s="459"/>
      <c r="I276" s="459"/>
      <c r="J276" s="459"/>
      <c r="K276" s="459"/>
      <c r="L276" s="459"/>
      <c r="M276" s="453"/>
      <c r="N276" s="453"/>
    </row>
    <row r="277" spans="1:17">
      <c r="A277" s="434" t="s">
        <v>4351</v>
      </c>
      <c r="D277" s="456">
        <f>SUM(D238:D275)</f>
        <v>71108</v>
      </c>
      <c r="E277" s="456">
        <f t="shared" ref="E277:I277" si="153">SUM(E238:E275)</f>
        <v>72022</v>
      </c>
      <c r="F277" s="456">
        <f t="shared" si="153"/>
        <v>72392</v>
      </c>
      <c r="G277" s="456">
        <f t="shared" si="153"/>
        <v>72823</v>
      </c>
      <c r="H277" s="456">
        <f t="shared" si="153"/>
        <v>72678</v>
      </c>
      <c r="I277" s="456">
        <f t="shared" si="153"/>
        <v>70231</v>
      </c>
      <c r="J277" s="456">
        <f t="shared" ref="J277:K277" si="154">SUM(J238:J275)</f>
        <v>71377</v>
      </c>
      <c r="K277" s="456">
        <f t="shared" si="154"/>
        <v>74767</v>
      </c>
      <c r="L277" s="456">
        <f t="shared" ref="L277" si="155">SUM(L238:L275)</f>
        <v>76225</v>
      </c>
      <c r="M277" s="453"/>
      <c r="N277" s="453"/>
    </row>
    <row r="278" spans="1:17">
      <c r="A278" s="434"/>
      <c r="D278" s="456"/>
      <c r="E278" s="456"/>
      <c r="F278" s="456"/>
      <c r="G278" s="456"/>
      <c r="H278" s="456"/>
      <c r="I278" s="456"/>
      <c r="J278" s="456"/>
      <c r="K278" s="456"/>
      <c r="L278" s="456"/>
      <c r="M278" s="453"/>
      <c r="N278" s="453"/>
    </row>
    <row r="279" spans="1:17">
      <c r="A279" s="434" t="s">
        <v>13953</v>
      </c>
      <c r="D279" s="456"/>
      <c r="E279" s="456"/>
      <c r="F279" s="456"/>
      <c r="G279" s="456"/>
      <c r="H279" s="456"/>
      <c r="I279" s="456"/>
      <c r="J279" s="456"/>
      <c r="K279" s="456"/>
      <c r="L279" s="456"/>
      <c r="M279" s="453"/>
      <c r="N279" s="453"/>
    </row>
    <row r="280" spans="1:17">
      <c r="A280" s="434"/>
      <c r="B280" s="434"/>
      <c r="D280" s="663"/>
      <c r="E280" s="663"/>
      <c r="F280" s="663"/>
      <c r="G280" s="663"/>
      <c r="H280" s="663"/>
      <c r="I280" s="663"/>
      <c r="J280" s="663"/>
      <c r="K280" s="663"/>
      <c r="L280" s="663"/>
      <c r="M280" s="453"/>
      <c r="N280" s="453"/>
    </row>
    <row r="281" spans="1:17">
      <c r="A281" s="434"/>
      <c r="B281" s="434"/>
      <c r="D281" s="663"/>
      <c r="E281" s="663"/>
      <c r="F281" s="663"/>
      <c r="G281" s="663"/>
      <c r="H281" s="663"/>
      <c r="I281" s="663"/>
      <c r="J281" s="663"/>
      <c r="K281" s="663"/>
      <c r="L281" s="663"/>
      <c r="M281" s="453"/>
      <c r="N281" s="453"/>
    </row>
    <row r="282" spans="1:17">
      <c r="A282" s="453"/>
      <c r="B282" s="453"/>
      <c r="E282" s="42" t="s">
        <v>2303</v>
      </c>
      <c r="F282" s="42"/>
      <c r="G282" s="42"/>
      <c r="H282" s="42"/>
      <c r="I282" s="42"/>
      <c r="J282" s="42"/>
      <c r="K282" s="42"/>
      <c r="L282" s="42"/>
      <c r="M282" s="109"/>
      <c r="N282" s="112" t="s">
        <v>13319</v>
      </c>
    </row>
    <row r="283" spans="1:17">
      <c r="A283" s="453"/>
      <c r="B283" s="453"/>
      <c r="D283" s="110">
        <v>2010</v>
      </c>
      <c r="E283" s="110">
        <v>2011</v>
      </c>
      <c r="F283" s="110">
        <v>2012</v>
      </c>
      <c r="G283" s="110">
        <v>2013</v>
      </c>
      <c r="H283" s="110">
        <v>2014</v>
      </c>
      <c r="I283" s="110">
        <v>2015</v>
      </c>
      <c r="J283" s="110">
        <v>2016</v>
      </c>
      <c r="K283" s="110">
        <v>2017</v>
      </c>
      <c r="L283" s="110">
        <v>2018</v>
      </c>
      <c r="M283" s="453"/>
      <c r="N283" s="112" t="s">
        <v>2304</v>
      </c>
    </row>
    <row r="284" spans="1:17">
      <c r="A284" s="434" t="s">
        <v>1399</v>
      </c>
      <c r="D284" s="456">
        <f t="shared" ref="D284:I284" si="156">SUM(D285:D294)</f>
        <v>44786</v>
      </c>
      <c r="E284" s="456">
        <f t="shared" si="156"/>
        <v>45046</v>
      </c>
      <c r="F284" s="456">
        <f t="shared" si="156"/>
        <v>44892</v>
      </c>
      <c r="G284" s="456">
        <f t="shared" si="156"/>
        <v>45001</v>
      </c>
      <c r="H284" s="456">
        <f t="shared" si="156"/>
        <v>44899</v>
      </c>
      <c r="I284" s="456">
        <f t="shared" si="156"/>
        <v>42362</v>
      </c>
      <c r="J284" s="456">
        <f t="shared" ref="J284:K284" si="157">SUM(J285:J294)</f>
        <v>41620</v>
      </c>
      <c r="K284" s="456">
        <f t="shared" si="157"/>
        <v>41451</v>
      </c>
      <c r="L284" s="456">
        <f t="shared" ref="L284" si="158">SUM(L285:L294)</f>
        <v>41780</v>
      </c>
      <c r="M284" s="453"/>
      <c r="N284" s="453"/>
    </row>
    <row r="285" spans="1:17">
      <c r="A285" s="434" t="s">
        <v>6957</v>
      </c>
      <c r="B285" s="434" t="s">
        <v>0</v>
      </c>
      <c r="C285" s="4" t="s">
        <v>11413</v>
      </c>
      <c r="D285" s="456">
        <v>3148</v>
      </c>
      <c r="E285" s="456">
        <v>3183</v>
      </c>
      <c r="F285" s="456">
        <v>3181</v>
      </c>
      <c r="G285" s="48">
        <v>3172</v>
      </c>
      <c r="H285" s="48">
        <v>3176</v>
      </c>
      <c r="I285" s="30">
        <v>3139</v>
      </c>
      <c r="J285" s="30">
        <v>3047</v>
      </c>
      <c r="K285" s="30">
        <v>3017</v>
      </c>
      <c r="L285" s="30">
        <v>3058</v>
      </c>
      <c r="M285" s="453"/>
      <c r="N285" s="434" t="s">
        <v>2644</v>
      </c>
      <c r="O285" s="4"/>
      <c r="Q285" s="4"/>
    </row>
    <row r="286" spans="1:17">
      <c r="A286" s="434" t="s">
        <v>6959</v>
      </c>
      <c r="B286" s="434" t="s">
        <v>1</v>
      </c>
      <c r="C286" s="4" t="s">
        <v>11414</v>
      </c>
      <c r="D286" s="456">
        <v>5476</v>
      </c>
      <c r="E286" s="456">
        <v>5579</v>
      </c>
      <c r="F286" s="456">
        <v>5485</v>
      </c>
      <c r="G286" s="48">
        <v>5398</v>
      </c>
      <c r="H286" s="48">
        <v>5445</v>
      </c>
      <c r="I286" s="30">
        <v>3809</v>
      </c>
      <c r="J286" s="30">
        <v>4267</v>
      </c>
      <c r="K286" s="30">
        <v>3704</v>
      </c>
      <c r="L286" s="30">
        <v>3806</v>
      </c>
      <c r="M286" s="453"/>
      <c r="N286" s="434" t="s">
        <v>2644</v>
      </c>
      <c r="O286" s="4"/>
      <c r="Q286" s="4"/>
    </row>
    <row r="287" spans="1:17">
      <c r="A287" s="434" t="s">
        <v>6961</v>
      </c>
      <c r="B287" s="434" t="s">
        <v>2</v>
      </c>
      <c r="C287" s="4" t="s">
        <v>11415</v>
      </c>
      <c r="D287" s="456">
        <v>3310</v>
      </c>
      <c r="E287" s="456">
        <v>3366</v>
      </c>
      <c r="F287" s="456">
        <v>3389</v>
      </c>
      <c r="G287" s="48">
        <v>3443</v>
      </c>
      <c r="H287" s="48">
        <v>3398</v>
      </c>
      <c r="I287" s="30">
        <v>3240</v>
      </c>
      <c r="J287" s="30">
        <v>3186</v>
      </c>
      <c r="K287" s="30">
        <v>3260</v>
      </c>
      <c r="L287" s="30">
        <v>3295</v>
      </c>
      <c r="M287" s="453"/>
      <c r="N287" s="434" t="s">
        <v>2644</v>
      </c>
      <c r="O287" s="4"/>
      <c r="Q287" s="4"/>
    </row>
    <row r="288" spans="1:17">
      <c r="A288" s="434" t="s">
        <v>6963</v>
      </c>
      <c r="B288" s="434" t="s">
        <v>3</v>
      </c>
      <c r="C288" s="4" t="s">
        <v>11416</v>
      </c>
      <c r="D288" s="456">
        <v>3462</v>
      </c>
      <c r="E288" s="456">
        <v>3446</v>
      </c>
      <c r="F288" s="456">
        <v>3452</v>
      </c>
      <c r="G288" s="48">
        <v>3501</v>
      </c>
      <c r="H288" s="48">
        <v>3491</v>
      </c>
      <c r="I288" s="30">
        <v>3314</v>
      </c>
      <c r="J288" s="30">
        <v>3247</v>
      </c>
      <c r="K288" s="30">
        <v>3334</v>
      </c>
      <c r="L288" s="30">
        <v>3381</v>
      </c>
      <c r="M288" s="453"/>
      <c r="N288" s="434" t="s">
        <v>2644</v>
      </c>
      <c r="O288" s="4"/>
      <c r="Q288" s="4"/>
    </row>
    <row r="289" spans="1:17">
      <c r="A289" s="434" t="s">
        <v>6965</v>
      </c>
      <c r="B289" s="434" t="s">
        <v>4</v>
      </c>
      <c r="C289" s="4" t="s">
        <v>11417</v>
      </c>
      <c r="D289" s="456">
        <v>3537</v>
      </c>
      <c r="E289" s="456">
        <v>3529</v>
      </c>
      <c r="F289" s="456">
        <v>3539</v>
      </c>
      <c r="G289" s="48">
        <v>3584</v>
      </c>
      <c r="H289" s="48">
        <v>3619</v>
      </c>
      <c r="I289" s="30">
        <v>3525</v>
      </c>
      <c r="J289" s="30">
        <v>3425</v>
      </c>
      <c r="K289" s="30">
        <v>3502</v>
      </c>
      <c r="L289" s="30">
        <v>3464</v>
      </c>
      <c r="M289" s="453"/>
      <c r="N289" s="434" t="s">
        <v>2644</v>
      </c>
      <c r="O289" s="4"/>
      <c r="Q289" s="4"/>
    </row>
    <row r="290" spans="1:17">
      <c r="A290" s="434" t="s">
        <v>6997</v>
      </c>
      <c r="B290" s="434" t="s">
        <v>5</v>
      </c>
      <c r="C290" s="4" t="s">
        <v>11418</v>
      </c>
      <c r="D290" s="456">
        <v>5965</v>
      </c>
      <c r="E290" s="456">
        <v>5985</v>
      </c>
      <c r="F290" s="456">
        <v>5947</v>
      </c>
      <c r="G290" s="48">
        <v>5998</v>
      </c>
      <c r="H290" s="48">
        <v>5907</v>
      </c>
      <c r="I290" s="30">
        <v>5844</v>
      </c>
      <c r="J290" s="30">
        <v>5644</v>
      </c>
      <c r="K290" s="30">
        <v>5710</v>
      </c>
      <c r="L290" s="30">
        <v>5766</v>
      </c>
      <c r="M290" s="453"/>
      <c r="N290" s="434" t="s">
        <v>2644</v>
      </c>
      <c r="O290" s="4"/>
      <c r="Q290" s="4"/>
    </row>
    <row r="291" spans="1:17">
      <c r="A291" s="434" t="s">
        <v>6999</v>
      </c>
      <c r="B291" s="434" t="s">
        <v>6</v>
      </c>
      <c r="C291" s="4" t="s">
        <v>11419</v>
      </c>
      <c r="D291" s="456">
        <v>4856</v>
      </c>
      <c r="E291" s="456">
        <v>4868</v>
      </c>
      <c r="F291" s="456">
        <v>4841</v>
      </c>
      <c r="G291" s="48">
        <v>4797</v>
      </c>
      <c r="H291" s="48">
        <v>4821</v>
      </c>
      <c r="I291" s="30">
        <v>4732</v>
      </c>
      <c r="J291" s="30">
        <v>4584</v>
      </c>
      <c r="K291" s="30">
        <v>4564</v>
      </c>
      <c r="L291" s="30">
        <v>4586</v>
      </c>
      <c r="M291" s="453"/>
      <c r="N291" s="434" t="s">
        <v>2644</v>
      </c>
      <c r="O291" s="4"/>
      <c r="Q291" s="4"/>
    </row>
    <row r="292" spans="1:17">
      <c r="A292" s="434" t="s">
        <v>7001</v>
      </c>
      <c r="B292" s="434" t="s">
        <v>7</v>
      </c>
      <c r="C292" s="4" t="s">
        <v>11420</v>
      </c>
      <c r="D292" s="456">
        <v>5009</v>
      </c>
      <c r="E292" s="456">
        <v>5029</v>
      </c>
      <c r="F292" s="456">
        <v>5045</v>
      </c>
      <c r="G292" s="48">
        <v>5029</v>
      </c>
      <c r="H292" s="48">
        <v>5048</v>
      </c>
      <c r="I292" s="30">
        <v>4907</v>
      </c>
      <c r="J292" s="30">
        <v>4817</v>
      </c>
      <c r="K292" s="30">
        <v>4898</v>
      </c>
      <c r="L292" s="30">
        <v>4955</v>
      </c>
      <c r="M292" s="453"/>
      <c r="N292" s="434" t="s">
        <v>2644</v>
      </c>
      <c r="O292" s="4"/>
      <c r="Q292" s="4"/>
    </row>
    <row r="293" spans="1:17">
      <c r="A293" s="434" t="s">
        <v>7003</v>
      </c>
      <c r="B293" s="434" t="s">
        <v>8</v>
      </c>
      <c r="C293" s="4" t="s">
        <v>11421</v>
      </c>
      <c r="D293" s="456">
        <v>4842</v>
      </c>
      <c r="E293" s="456">
        <v>4814</v>
      </c>
      <c r="F293" s="456">
        <v>4768</v>
      </c>
      <c r="G293" s="48">
        <v>4778</v>
      </c>
      <c r="H293" s="48">
        <v>4739</v>
      </c>
      <c r="I293" s="30">
        <v>4677</v>
      </c>
      <c r="J293" s="30">
        <v>4475</v>
      </c>
      <c r="K293" s="30">
        <v>4510</v>
      </c>
      <c r="L293" s="30">
        <v>4556</v>
      </c>
      <c r="M293" s="453"/>
      <c r="N293" s="434" t="s">
        <v>2644</v>
      </c>
      <c r="O293" s="4"/>
      <c r="Q293" s="4"/>
    </row>
    <row r="294" spans="1:17">
      <c r="A294" s="434" t="s">
        <v>7005</v>
      </c>
      <c r="B294" s="434" t="s">
        <v>9</v>
      </c>
      <c r="C294" s="4" t="s">
        <v>11422</v>
      </c>
      <c r="D294" s="456">
        <v>5181</v>
      </c>
      <c r="E294" s="456">
        <v>5247</v>
      </c>
      <c r="F294" s="456">
        <v>5245</v>
      </c>
      <c r="G294" s="48">
        <v>5301</v>
      </c>
      <c r="H294" s="48">
        <v>5255</v>
      </c>
      <c r="I294" s="30">
        <v>5175</v>
      </c>
      <c r="J294" s="30">
        <v>4928</v>
      </c>
      <c r="K294" s="30">
        <v>4952</v>
      </c>
      <c r="L294" s="30">
        <v>4913</v>
      </c>
      <c r="M294" s="453"/>
      <c r="N294" s="434" t="s">
        <v>2644</v>
      </c>
      <c r="O294" s="4"/>
      <c r="Q294" s="4"/>
    </row>
    <row r="295" spans="1:17">
      <c r="A295" s="453"/>
      <c r="B295" s="453"/>
      <c r="C295" s="453"/>
      <c r="D295" s="459"/>
      <c r="E295" s="459"/>
      <c r="F295" s="459"/>
      <c r="G295" s="459"/>
      <c r="H295" s="459"/>
      <c r="I295" s="459"/>
      <c r="J295" s="459"/>
      <c r="K295" s="459"/>
      <c r="L295" s="459"/>
      <c r="M295" s="453"/>
      <c r="N295" s="453"/>
    </row>
    <row r="296" spans="1:17">
      <c r="A296" s="434" t="s">
        <v>4396</v>
      </c>
      <c r="D296" s="456">
        <f t="shared" ref="D296:L296" si="159">SUM(D285:D294)</f>
        <v>44786</v>
      </c>
      <c r="E296" s="456">
        <f t="shared" si="159"/>
        <v>45046</v>
      </c>
      <c r="F296" s="456">
        <f t="shared" si="159"/>
        <v>44892</v>
      </c>
      <c r="G296" s="456">
        <f t="shared" si="159"/>
        <v>45001</v>
      </c>
      <c r="H296" s="456">
        <f t="shared" si="159"/>
        <v>44899</v>
      </c>
      <c r="I296" s="456">
        <f t="shared" si="159"/>
        <v>42362</v>
      </c>
      <c r="J296" s="456">
        <f t="shared" si="159"/>
        <v>41620</v>
      </c>
      <c r="K296" s="456">
        <f t="shared" si="159"/>
        <v>41451</v>
      </c>
      <c r="L296" s="456">
        <f t="shared" si="159"/>
        <v>41780</v>
      </c>
      <c r="M296" s="453"/>
      <c r="N296" s="453"/>
    </row>
    <row r="297" spans="1:17">
      <c r="A297" s="434"/>
      <c r="B297" s="434"/>
      <c r="C297" s="434"/>
      <c r="D297" s="663"/>
      <c r="E297" s="663"/>
      <c r="F297" s="663"/>
      <c r="G297" s="663"/>
      <c r="H297" s="663"/>
      <c r="I297" s="663"/>
      <c r="J297" s="663"/>
      <c r="K297" s="663"/>
      <c r="L297" s="663"/>
      <c r="M297" s="453"/>
      <c r="N297" s="453"/>
    </row>
    <row r="298" spans="1:17">
      <c r="A298" s="434" t="s">
        <v>2194</v>
      </c>
      <c r="B298" s="434"/>
      <c r="C298" s="434"/>
      <c r="D298" s="663"/>
      <c r="E298" s="663"/>
      <c r="F298" s="663"/>
      <c r="G298" s="663"/>
      <c r="H298" s="663"/>
      <c r="I298" s="663"/>
      <c r="J298" s="663"/>
      <c r="K298" s="663"/>
      <c r="L298" s="663"/>
      <c r="M298" s="453"/>
      <c r="N298" s="453"/>
    </row>
    <row r="323" spans="1:14">
      <c r="A323" s="453"/>
      <c r="B323" s="453"/>
      <c r="C323" s="453"/>
      <c r="D323" s="453"/>
      <c r="E323" s="453"/>
      <c r="F323" s="453"/>
      <c r="G323" s="453"/>
      <c r="H323" s="453"/>
      <c r="I323" s="453"/>
      <c r="J323" s="453"/>
      <c r="K323" s="453"/>
      <c r="L323" s="453"/>
      <c r="M323" s="453"/>
      <c r="N323" s="453"/>
    </row>
    <row r="324" spans="1:14">
      <c r="A324" s="453"/>
      <c r="B324" s="453"/>
      <c r="C324" s="453"/>
      <c r="D324" s="453"/>
      <c r="E324" s="453"/>
      <c r="F324" s="453"/>
      <c r="G324" s="453"/>
      <c r="H324" s="453"/>
      <c r="I324" s="453"/>
      <c r="J324" s="453"/>
      <c r="K324" s="453"/>
      <c r="L324" s="453"/>
      <c r="M324" s="453"/>
      <c r="N324" s="453"/>
    </row>
    <row r="325" spans="1:14">
      <c r="A325" s="453"/>
      <c r="B325" s="453"/>
      <c r="C325" s="453"/>
      <c r="D325" s="453"/>
      <c r="E325" s="453"/>
      <c r="F325" s="453"/>
      <c r="G325" s="453"/>
      <c r="H325" s="453"/>
      <c r="I325" s="453"/>
      <c r="J325" s="453"/>
      <c r="K325" s="453"/>
      <c r="L325" s="453"/>
      <c r="M325" s="453"/>
      <c r="N325" s="453"/>
    </row>
    <row r="326" spans="1:14">
      <c r="A326" s="453"/>
      <c r="B326" s="453"/>
      <c r="C326" s="453"/>
      <c r="D326" s="453"/>
      <c r="E326" s="453"/>
      <c r="F326" s="453"/>
      <c r="G326" s="453"/>
      <c r="H326" s="453"/>
      <c r="I326" s="453"/>
      <c r="J326" s="453"/>
      <c r="K326" s="453"/>
      <c r="L326" s="453"/>
      <c r="M326" s="453"/>
      <c r="N326" s="453"/>
    </row>
    <row r="327" spans="1:14">
      <c r="A327" s="453"/>
      <c r="B327" s="453"/>
      <c r="C327" s="453"/>
      <c r="D327" s="453"/>
      <c r="E327" s="453"/>
      <c r="F327" s="453"/>
      <c r="G327" s="453"/>
      <c r="H327" s="453"/>
      <c r="I327" s="453"/>
      <c r="J327" s="453"/>
      <c r="K327" s="453"/>
      <c r="L327" s="453"/>
      <c r="M327" s="453"/>
      <c r="N327" s="453"/>
    </row>
    <row r="328" spans="1:14">
      <c r="A328" s="453"/>
      <c r="B328" s="453"/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</row>
    <row r="329" spans="1:14">
      <c r="A329" s="453"/>
      <c r="B329" s="453"/>
      <c r="C329" s="453"/>
      <c r="D329" s="453"/>
      <c r="E329" s="453"/>
      <c r="F329" s="453"/>
      <c r="G329" s="453"/>
      <c r="H329" s="453"/>
      <c r="I329" s="453"/>
      <c r="J329" s="453"/>
      <c r="K329" s="453"/>
      <c r="L329" s="453"/>
      <c r="M329" s="453"/>
      <c r="N329" s="453"/>
    </row>
    <row r="330" spans="1:14">
      <c r="A330" s="453"/>
      <c r="B330" s="453"/>
      <c r="C330" s="453"/>
      <c r="D330" s="453"/>
      <c r="E330" s="453"/>
      <c r="F330" s="453"/>
      <c r="G330" s="453"/>
      <c r="H330" s="453"/>
      <c r="I330" s="453"/>
      <c r="J330" s="453"/>
      <c r="K330" s="453"/>
      <c r="L330" s="453"/>
      <c r="M330" s="453"/>
      <c r="N330" s="453"/>
    </row>
    <row r="331" spans="1:14">
      <c r="A331" s="453"/>
      <c r="B331" s="453"/>
      <c r="C331" s="453"/>
      <c r="D331" s="453"/>
      <c r="E331" s="453"/>
      <c r="F331" s="453"/>
      <c r="G331" s="453"/>
      <c r="H331" s="453"/>
      <c r="I331" s="453"/>
      <c r="J331" s="453"/>
      <c r="K331" s="453"/>
      <c r="L331" s="453"/>
      <c r="M331" s="453"/>
      <c r="N331" s="453"/>
    </row>
    <row r="332" spans="1:14">
      <c r="A332" s="453"/>
      <c r="B332" s="453"/>
      <c r="C332" s="453"/>
      <c r="D332" s="453"/>
      <c r="E332" s="453"/>
      <c r="F332" s="453"/>
      <c r="G332" s="453"/>
      <c r="H332" s="453"/>
      <c r="I332" s="453"/>
      <c r="J332" s="453"/>
      <c r="K332" s="453"/>
      <c r="L332" s="453"/>
      <c r="M332" s="453"/>
      <c r="N332" s="453"/>
    </row>
    <row r="333" spans="1:14">
      <c r="A333" s="453"/>
      <c r="B333" s="453"/>
      <c r="C333" s="453"/>
      <c r="D333" s="453"/>
      <c r="E333" s="453"/>
      <c r="F333" s="453"/>
      <c r="G333" s="453"/>
      <c r="H333" s="453"/>
      <c r="I333" s="453"/>
      <c r="J333" s="453"/>
      <c r="K333" s="453"/>
      <c r="L333" s="453"/>
      <c r="M333" s="453"/>
      <c r="N333" s="453"/>
    </row>
    <row r="334" spans="1:14">
      <c r="A334" s="453"/>
      <c r="B334" s="453"/>
      <c r="C334" s="453"/>
      <c r="D334" s="453"/>
      <c r="E334" s="453"/>
      <c r="F334" s="453"/>
      <c r="G334" s="453"/>
      <c r="H334" s="453"/>
      <c r="I334" s="453"/>
      <c r="J334" s="453"/>
      <c r="K334" s="453"/>
      <c r="L334" s="453"/>
      <c r="M334" s="453"/>
      <c r="N334" s="453"/>
    </row>
    <row r="335" spans="1:14">
      <c r="A335" s="453"/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</row>
    <row r="336" spans="1:14">
      <c r="A336" s="453"/>
      <c r="B336" s="453"/>
      <c r="C336" s="453"/>
      <c r="D336" s="453"/>
      <c r="E336" s="453"/>
      <c r="F336" s="453"/>
      <c r="G336" s="453"/>
      <c r="H336" s="453"/>
      <c r="I336" s="453"/>
      <c r="J336" s="453"/>
      <c r="K336" s="453"/>
      <c r="L336" s="453"/>
      <c r="M336" s="453"/>
      <c r="N336" s="453"/>
    </row>
    <row r="337" spans="1:14">
      <c r="A337" s="453"/>
      <c r="B337" s="453"/>
      <c r="C337" s="453"/>
      <c r="D337" s="453"/>
      <c r="E337" s="453"/>
      <c r="F337" s="453"/>
      <c r="G337" s="453"/>
      <c r="H337" s="453"/>
      <c r="I337" s="453"/>
      <c r="J337" s="453"/>
      <c r="K337" s="453"/>
      <c r="L337" s="453"/>
      <c r="M337" s="453"/>
      <c r="N337" s="453"/>
    </row>
    <row r="338" spans="1:14">
      <c r="A338" s="453"/>
      <c r="B338" s="453"/>
      <c r="C338" s="453"/>
      <c r="D338" s="453"/>
      <c r="E338" s="453"/>
      <c r="F338" s="453"/>
      <c r="G338" s="453"/>
      <c r="H338" s="453"/>
      <c r="I338" s="453"/>
      <c r="J338" s="453"/>
      <c r="K338" s="453"/>
      <c r="L338" s="453"/>
      <c r="M338" s="453"/>
      <c r="N338" s="453"/>
    </row>
  </sheetData>
  <sortState ref="O187:Q202">
    <sortCondition ref="O18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5" orientation="portrait" horizontalDpi="300" verticalDpi="300" r:id="rId1"/>
  <headerFooter alignWithMargins="0">
    <oddFooter>&amp;C&amp;"Times New Roman,Regular"&amp;8&amp;P of &amp;N</oddFooter>
  </headerFooter>
  <rowBreaks count="8" manualBreakCount="8">
    <brk id="49" max="16383" man="1"/>
    <brk id="75" max="16383" man="1"/>
    <brk id="108" max="16383" man="1"/>
    <brk id="146" max="16383" man="1"/>
    <brk id="182" max="16383" man="1"/>
    <brk id="208" max="16383" man="1"/>
    <brk id="233" max="10" man="1"/>
    <brk id="280" max="10" man="1"/>
  </rowBreaks>
  <ignoredErrors>
    <ignoredError sqref="D186:K186 D204:D205 D212:K212 D230:K230 D54:K54 D72:K72 D284:K284 D296:K296 D142:D143 D112:K112 D177:D179 D150:K150 D3:D14 D17:D47 E204:E205 E142:E143 E177:E179 E3:E14 E17:E47 F142:F143 F177:F179 F204:F205 F3:F14 F17:F47 G142:G143 G177:G179 G204:G205 G3:G14 G17:G47 D15 E15 F15 G15 H142:H143 H177:H179 H204:H205 H3:H14 H17:H47 H15 I177:I179 I142:I143 I204:I205 D277:K277 D237:K237 I3:I15 I17:I47 D101:K101 D79:K79 D89:K89 D103:I104 J142:J143 J204:J205 J177:J179 J103:J104 J3:J15 J17:J47 K103:K104 K142:K143 K177:K179 K204:K205 K3:K15 K17:K47 L3:L15 L17:L296" unlockedFormula="1"/>
    <ignoredError sqref="D16:L16" formula="1" unlocked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7"/>
  <sheetViews>
    <sheetView showGridLines="0" zoomScaleNormal="100" workbookViewId="0"/>
  </sheetViews>
  <sheetFormatPr defaultColWidth="12.5703125" defaultRowHeight="15"/>
  <cols>
    <col min="1" max="1" width="4.85546875" style="232" customWidth="1"/>
    <col min="2" max="2" width="40.7109375" style="232" customWidth="1"/>
    <col min="3" max="3" width="11.5703125" style="232" customWidth="1"/>
    <col min="4" max="12" width="10" style="232" customWidth="1"/>
    <col min="13" max="13" width="2.28515625" style="232" customWidth="1"/>
    <col min="14" max="14" width="30.85546875" style="232" customWidth="1"/>
    <col min="15" max="16384" width="12.5703125" style="232"/>
  </cols>
  <sheetData>
    <row r="1" spans="1:14">
      <c r="A1" s="229" t="s">
        <v>7342</v>
      </c>
      <c r="B1" s="230"/>
      <c r="C1" s="230"/>
      <c r="D1" s="231">
        <v>2010</v>
      </c>
      <c r="E1" s="231">
        <v>2011</v>
      </c>
      <c r="F1" s="231">
        <v>2012</v>
      </c>
      <c r="G1" s="231">
        <v>2013</v>
      </c>
      <c r="H1" s="231">
        <v>2014</v>
      </c>
      <c r="I1" s="231">
        <v>2015</v>
      </c>
      <c r="J1" s="231">
        <v>2016</v>
      </c>
      <c r="K1" s="231">
        <v>2017</v>
      </c>
      <c r="L1" s="231">
        <v>2018</v>
      </c>
      <c r="M1" s="230"/>
    </row>
    <row r="2" spans="1:1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>
      <c r="A3" s="229" t="s">
        <v>6249</v>
      </c>
      <c r="B3" s="230"/>
      <c r="C3" s="230"/>
      <c r="D3" s="233">
        <f t="shared" ref="D3:I3" si="0">SUM(D27:D44)</f>
        <v>167913</v>
      </c>
      <c r="E3" s="233">
        <f t="shared" si="0"/>
        <v>171868</v>
      </c>
      <c r="F3" s="233">
        <f t="shared" si="0"/>
        <v>173203</v>
      </c>
      <c r="G3" s="233">
        <f t="shared" si="0"/>
        <v>175750</v>
      </c>
      <c r="H3" s="233">
        <f t="shared" si="0"/>
        <v>178734</v>
      </c>
      <c r="I3" s="233">
        <f t="shared" si="0"/>
        <v>173468</v>
      </c>
      <c r="J3" s="233">
        <f t="shared" ref="J3:K3" si="1">SUM(J27:J44)</f>
        <v>167222</v>
      </c>
      <c r="K3" s="233">
        <f t="shared" si="1"/>
        <v>176913</v>
      </c>
      <c r="L3" s="233">
        <f t="shared" ref="L3" si="2">SUM(L27:L44)</f>
        <v>180774</v>
      </c>
      <c r="M3" s="230"/>
    </row>
    <row r="4" spans="1:14">
      <c r="A4" s="230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</row>
    <row r="5" spans="1:14">
      <c r="A5" s="229" t="s">
        <v>7343</v>
      </c>
      <c r="B5" s="230"/>
      <c r="C5" s="230"/>
      <c r="D5" s="233">
        <f t="shared" ref="D5:I5" si="3">D3/2</f>
        <v>83956.5</v>
      </c>
      <c r="E5" s="233">
        <f t="shared" si="3"/>
        <v>85934</v>
      </c>
      <c r="F5" s="233">
        <f t="shared" si="3"/>
        <v>86601.5</v>
      </c>
      <c r="G5" s="233">
        <f t="shared" si="3"/>
        <v>87875</v>
      </c>
      <c r="H5" s="233">
        <f t="shared" si="3"/>
        <v>89367</v>
      </c>
      <c r="I5" s="233">
        <f t="shared" si="3"/>
        <v>86734</v>
      </c>
      <c r="J5" s="233">
        <f t="shared" ref="J5:K5" si="4">J3/2</f>
        <v>83611</v>
      </c>
      <c r="K5" s="233">
        <f t="shared" si="4"/>
        <v>88456.5</v>
      </c>
      <c r="L5" s="233">
        <f t="shared" ref="L5" si="5">L3/2</f>
        <v>90387</v>
      </c>
      <c r="M5" s="230"/>
      <c r="N5" s="230"/>
    </row>
    <row r="6" spans="1:14">
      <c r="A6" s="173"/>
      <c r="B6" s="230"/>
      <c r="C6" s="230"/>
      <c r="D6" s="234"/>
      <c r="E6" s="234"/>
      <c r="F6" s="234"/>
      <c r="G6" s="234"/>
      <c r="H6" s="234"/>
      <c r="I6" s="234"/>
      <c r="J6" s="234"/>
      <c r="K6" s="234"/>
      <c r="L6" s="234"/>
      <c r="M6" s="230"/>
      <c r="N6" s="230"/>
    </row>
    <row r="7" spans="1:14">
      <c r="A7" s="229" t="s">
        <v>4488</v>
      </c>
      <c r="D7" s="233">
        <f t="shared" ref="D7:H7" si="6">D29+D31+D33+D36+D38+D39+D43</f>
        <v>64809</v>
      </c>
      <c r="E7" s="233">
        <f t="shared" si="6"/>
        <v>67590</v>
      </c>
      <c r="F7" s="233">
        <f t="shared" si="6"/>
        <v>68405</v>
      </c>
      <c r="G7" s="233">
        <f t="shared" si="6"/>
        <v>70178</v>
      </c>
      <c r="H7" s="233">
        <f t="shared" si="6"/>
        <v>71651</v>
      </c>
      <c r="I7" s="233">
        <f>I29+I31+I33+I36+I38+I39+I43</f>
        <v>69292</v>
      </c>
      <c r="J7" s="233">
        <f>J29+J31+J33+J36+J38+J39+J43</f>
        <v>67166</v>
      </c>
      <c r="K7" s="233">
        <f>K29+K31+K33+K36+K38+K39+K43</f>
        <v>72220</v>
      </c>
      <c r="L7" s="233">
        <f>L29+L31+L33+L36+L38+L39+L43</f>
        <v>74576</v>
      </c>
      <c r="M7" s="230"/>
      <c r="N7" s="229" t="s">
        <v>4489</v>
      </c>
    </row>
    <row r="8" spans="1:14">
      <c r="A8" s="230"/>
      <c r="D8" s="234"/>
      <c r="E8" s="234"/>
      <c r="F8" s="234"/>
      <c r="G8" s="234"/>
      <c r="H8" s="234"/>
      <c r="I8" s="234"/>
      <c r="J8" s="234"/>
      <c r="K8" s="234"/>
      <c r="L8" s="234"/>
      <c r="M8" s="230"/>
      <c r="N8" s="230"/>
    </row>
    <row r="9" spans="1:14">
      <c r="A9" s="229" t="s">
        <v>4490</v>
      </c>
      <c r="D9" s="233">
        <f t="shared" ref="D9:H9" si="7">D28+D30+D32+D35+D37+D41+D44</f>
        <v>64937</v>
      </c>
      <c r="E9" s="233">
        <f t="shared" si="7"/>
        <v>65508</v>
      </c>
      <c r="F9" s="233">
        <f t="shared" si="7"/>
        <v>65797</v>
      </c>
      <c r="G9" s="233">
        <f t="shared" si="7"/>
        <v>66116</v>
      </c>
      <c r="H9" s="233">
        <f t="shared" si="7"/>
        <v>66939</v>
      </c>
      <c r="I9" s="233">
        <f>I28+I30+I32+I35+I37+I41+I44</f>
        <v>64984</v>
      </c>
      <c r="J9" s="233">
        <f>J28+J30+J32+J35+J37+J41+J44</f>
        <v>62366</v>
      </c>
      <c r="K9" s="233">
        <f>K28+K30+K32+K35+K37+K41+K44</f>
        <v>65099</v>
      </c>
      <c r="L9" s="233">
        <f>L28+L30+L32+L35+L37+L41+L44</f>
        <v>65970</v>
      </c>
      <c r="M9" s="230"/>
      <c r="N9" s="229" t="s">
        <v>4489</v>
      </c>
    </row>
    <row r="10" spans="1:14">
      <c r="A10" s="230"/>
      <c r="D10" s="234"/>
      <c r="E10" s="234"/>
      <c r="F10" s="234"/>
      <c r="G10" s="234"/>
      <c r="H10" s="234"/>
      <c r="I10" s="234"/>
      <c r="J10" s="234"/>
      <c r="K10" s="234"/>
      <c r="L10" s="234"/>
      <c r="M10" s="230"/>
    </row>
    <row r="11" spans="1:14">
      <c r="A11" s="229" t="s">
        <v>4491</v>
      </c>
      <c r="D11" s="235">
        <f>BROMLEY!D17</f>
        <v>30185</v>
      </c>
      <c r="E11" s="235">
        <f>BROMLEY!E17</f>
        <v>30629</v>
      </c>
      <c r="F11" s="235">
        <f>BROMLEY!F17</f>
        <v>30935</v>
      </c>
      <c r="G11" s="235">
        <f>BROMLEY!G17</f>
        <v>30545</v>
      </c>
      <c r="H11" s="235">
        <f>BROMLEY!H17</f>
        <v>30154</v>
      </c>
      <c r="I11" s="235">
        <f>BROMLEY!I17</f>
        <v>30342</v>
      </c>
      <c r="J11" s="235">
        <f>BROMLEY!J17</f>
        <v>29963</v>
      </c>
      <c r="K11" s="235">
        <f>BROMLEY!K17</f>
        <v>30687</v>
      </c>
      <c r="L11" s="235">
        <f>BROMLEY!L17</f>
        <v>30922</v>
      </c>
      <c r="N11" s="236" t="s">
        <v>4485</v>
      </c>
    </row>
    <row r="12" spans="1:14" ht="15.75" thickBot="1">
      <c r="A12" s="229"/>
      <c r="D12" s="233">
        <f t="shared" ref="D12:I12" si="8">D27+D34+D40+D42</f>
        <v>38167</v>
      </c>
      <c r="E12" s="233">
        <f t="shared" si="8"/>
        <v>38770</v>
      </c>
      <c r="F12" s="233">
        <f t="shared" si="8"/>
        <v>39001</v>
      </c>
      <c r="G12" s="233">
        <f t="shared" si="8"/>
        <v>39456</v>
      </c>
      <c r="H12" s="233">
        <f t="shared" si="8"/>
        <v>40144</v>
      </c>
      <c r="I12" s="233">
        <f t="shared" si="8"/>
        <v>39192</v>
      </c>
      <c r="J12" s="233">
        <f t="shared" ref="J12:K12" si="9">J27+J34+J40+J42</f>
        <v>37690</v>
      </c>
      <c r="K12" s="233">
        <f t="shared" si="9"/>
        <v>39594</v>
      </c>
      <c r="L12" s="233">
        <f t="shared" ref="L12" si="10">L27+L34+L40+L42</f>
        <v>40228</v>
      </c>
      <c r="M12" s="230"/>
      <c r="N12" s="229" t="s">
        <v>4489</v>
      </c>
    </row>
    <row r="13" spans="1:14" ht="15.75" thickBot="1">
      <c r="A13" s="229"/>
      <c r="D13" s="237">
        <f t="shared" ref="D13:I13" si="11">D11+D12</f>
        <v>68352</v>
      </c>
      <c r="E13" s="237">
        <f t="shared" si="11"/>
        <v>69399</v>
      </c>
      <c r="F13" s="237">
        <f t="shared" si="11"/>
        <v>69936</v>
      </c>
      <c r="G13" s="237">
        <f t="shared" si="11"/>
        <v>70001</v>
      </c>
      <c r="H13" s="237">
        <f t="shared" si="11"/>
        <v>70298</v>
      </c>
      <c r="I13" s="237">
        <f t="shared" si="11"/>
        <v>69534</v>
      </c>
      <c r="J13" s="237">
        <f t="shared" ref="J13:K13" si="12">J11+J12</f>
        <v>67653</v>
      </c>
      <c r="K13" s="237">
        <f t="shared" si="12"/>
        <v>70281</v>
      </c>
      <c r="L13" s="237">
        <f t="shared" ref="L13" si="13">L11+L12</f>
        <v>71150</v>
      </c>
      <c r="M13" s="230"/>
      <c r="N13" s="236"/>
    </row>
    <row r="14" spans="1:14">
      <c r="A14" s="229"/>
      <c r="D14" s="233"/>
      <c r="E14" s="233"/>
      <c r="F14" s="233"/>
      <c r="G14" s="233"/>
      <c r="H14" s="233"/>
      <c r="I14" s="233"/>
      <c r="J14" s="233"/>
      <c r="K14" s="233"/>
      <c r="L14" s="233"/>
      <c r="M14" s="230"/>
      <c r="N14" s="236"/>
    </row>
    <row r="15" spans="1:14">
      <c r="A15" s="236" t="s">
        <v>4484</v>
      </c>
      <c r="D15" s="233">
        <f>BROMLEY!D7</f>
        <v>66029</v>
      </c>
      <c r="E15" s="233">
        <f>BROMLEY!E7</f>
        <v>66470</v>
      </c>
      <c r="F15" s="233">
        <f>BROMLEY!F7</f>
        <v>67185</v>
      </c>
      <c r="G15" s="233">
        <f>BROMLEY!G7</f>
        <v>67054</v>
      </c>
      <c r="H15" s="233">
        <f>BROMLEY!H7</f>
        <v>66899</v>
      </c>
      <c r="I15" s="233">
        <f>BROMLEY!I7</f>
        <v>66654</v>
      </c>
      <c r="J15" s="233">
        <f>BROMLEY!J7</f>
        <v>66067</v>
      </c>
      <c r="K15" s="233">
        <f>BROMLEY!K7</f>
        <v>67390</v>
      </c>
      <c r="L15" s="233">
        <f>BROMLEY!L7</f>
        <v>67524</v>
      </c>
      <c r="M15" s="230"/>
      <c r="N15" s="236" t="s">
        <v>4485</v>
      </c>
    </row>
    <row r="16" spans="1:14">
      <c r="A16" s="229"/>
      <c r="D16" s="233"/>
      <c r="E16" s="233"/>
      <c r="F16" s="233"/>
      <c r="G16" s="233"/>
      <c r="H16" s="233"/>
      <c r="I16" s="233"/>
      <c r="J16" s="233"/>
      <c r="K16" s="233"/>
      <c r="L16" s="233"/>
      <c r="M16" s="230"/>
      <c r="N16" s="229"/>
    </row>
    <row r="17" spans="1:19">
      <c r="A17" s="236" t="s">
        <v>4486</v>
      </c>
      <c r="D17" s="233">
        <f>BROMLEY!D9</f>
        <v>65210</v>
      </c>
      <c r="E17" s="233">
        <f>BROMLEY!E9</f>
        <v>65508</v>
      </c>
      <c r="F17" s="233">
        <f>BROMLEY!F9</f>
        <v>65885</v>
      </c>
      <c r="G17" s="233">
        <f>BROMLEY!G9</f>
        <v>65183</v>
      </c>
      <c r="H17" s="233">
        <f>BROMLEY!H9</f>
        <v>64582</v>
      </c>
      <c r="I17" s="233">
        <f>BROMLEY!I9</f>
        <v>64556</v>
      </c>
      <c r="J17" s="233">
        <f>BROMLEY!J9</f>
        <v>63339</v>
      </c>
      <c r="K17" s="233">
        <f>BROMLEY!K9</f>
        <v>64452</v>
      </c>
      <c r="L17" s="233">
        <f>BROMLEY!L9</f>
        <v>64702</v>
      </c>
      <c r="M17" s="230"/>
      <c r="N17" s="236" t="s">
        <v>4485</v>
      </c>
    </row>
    <row r="18" spans="1:19">
      <c r="A18" s="229"/>
      <c r="D18" s="233"/>
      <c r="E18" s="233"/>
      <c r="F18" s="233"/>
      <c r="G18" s="233"/>
      <c r="H18" s="233"/>
      <c r="I18" s="233"/>
      <c r="J18" s="233"/>
      <c r="K18" s="233"/>
      <c r="L18" s="233"/>
      <c r="M18" s="230"/>
      <c r="N18" s="229"/>
    </row>
    <row r="19" spans="1:19">
      <c r="A19" s="236" t="s">
        <v>4487</v>
      </c>
      <c r="D19" s="233">
        <f>BROMLEY!D11</f>
        <v>67765</v>
      </c>
      <c r="E19" s="233">
        <f>BROMLEY!E11</f>
        <v>68221</v>
      </c>
      <c r="F19" s="233">
        <f>BROMLEY!F11</f>
        <v>68282</v>
      </c>
      <c r="G19" s="233">
        <f>BROMLEY!G11</f>
        <v>68023</v>
      </c>
      <c r="H19" s="233">
        <f>BROMLEY!H11</f>
        <v>67592</v>
      </c>
      <c r="I19" s="233">
        <f>BROMLEY!I11</f>
        <v>67623</v>
      </c>
      <c r="J19" s="233">
        <f>BROMLEY!J11</f>
        <v>66724</v>
      </c>
      <c r="K19" s="233">
        <f>BROMLEY!K11</f>
        <v>67837</v>
      </c>
      <c r="L19" s="233">
        <f>BROMLEY!L11</f>
        <v>67821</v>
      </c>
      <c r="M19" s="230"/>
      <c r="N19" s="236" t="s">
        <v>4485</v>
      </c>
    </row>
    <row r="20" spans="1:19">
      <c r="A20" s="230"/>
      <c r="B20" s="230"/>
      <c r="C20" s="230"/>
      <c r="D20" s="234"/>
      <c r="E20" s="234"/>
      <c r="F20" s="234"/>
      <c r="G20" s="234"/>
      <c r="H20" s="234"/>
      <c r="I20" s="234"/>
      <c r="J20" s="234"/>
      <c r="K20" s="234"/>
      <c r="L20" s="234"/>
      <c r="M20" s="230"/>
      <c r="N20" s="230"/>
    </row>
    <row r="21" spans="1:19">
      <c r="A21" s="229" t="s">
        <v>8697</v>
      </c>
      <c r="B21" s="230"/>
      <c r="C21" s="230"/>
      <c r="D21" s="233">
        <f t="shared" ref="D21:I21" si="14">D7+D9+D12</f>
        <v>167913</v>
      </c>
      <c r="E21" s="233">
        <f t="shared" si="14"/>
        <v>171868</v>
      </c>
      <c r="F21" s="233">
        <f t="shared" si="14"/>
        <v>173203</v>
      </c>
      <c r="G21" s="233">
        <f t="shared" si="14"/>
        <v>175750</v>
      </c>
      <c r="H21" s="233">
        <f t="shared" si="14"/>
        <v>178734</v>
      </c>
      <c r="I21" s="233">
        <f t="shared" si="14"/>
        <v>173468</v>
      </c>
      <c r="J21" s="233">
        <f t="shared" ref="J21:K21" si="15">J7+J9+J12</f>
        <v>167222</v>
      </c>
      <c r="K21" s="233">
        <f t="shared" si="15"/>
        <v>176913</v>
      </c>
      <c r="L21" s="233">
        <f t="shared" ref="L21" si="16">L7+L9+L12</f>
        <v>180774</v>
      </c>
      <c r="M21" s="230"/>
      <c r="N21" s="230"/>
    </row>
    <row r="22" spans="1:19">
      <c r="A22" s="230"/>
      <c r="B22" s="230"/>
      <c r="C22" s="230"/>
      <c r="D22" s="234"/>
      <c r="E22" s="234"/>
      <c r="F22" s="234"/>
      <c r="G22" s="234"/>
      <c r="H22" s="234"/>
      <c r="I22" s="234"/>
      <c r="J22" s="234"/>
      <c r="K22" s="234"/>
      <c r="L22" s="234"/>
      <c r="M22" s="230"/>
      <c r="N22" s="230"/>
    </row>
    <row r="23" spans="1:19">
      <c r="A23" s="229" t="s">
        <v>8698</v>
      </c>
      <c r="B23" s="230"/>
      <c r="C23" s="230"/>
      <c r="D23" s="233">
        <f t="shared" ref="D23:I23" si="17">MAX(D7,D9,D13,D15,D17,D19)-MIN(D7,D9,D13,D15,D17,D19)</f>
        <v>3543</v>
      </c>
      <c r="E23" s="233">
        <f t="shared" si="17"/>
        <v>3891</v>
      </c>
      <c r="F23" s="233">
        <f t="shared" si="17"/>
        <v>4139</v>
      </c>
      <c r="G23" s="233">
        <f t="shared" si="17"/>
        <v>4995</v>
      </c>
      <c r="H23" s="233">
        <f t="shared" si="17"/>
        <v>7069</v>
      </c>
      <c r="I23" s="233">
        <f t="shared" si="17"/>
        <v>4978</v>
      </c>
      <c r="J23" s="233">
        <f t="shared" ref="J23:K23" si="18">MAX(J7,J9,J13,J15,J17,J19)-MIN(J7,J9,J13,J15,J17,J19)</f>
        <v>5287</v>
      </c>
      <c r="K23" s="233">
        <f t="shared" si="18"/>
        <v>7768</v>
      </c>
      <c r="L23" s="233">
        <f t="shared" ref="L23" si="19">MAX(L7,L9,L13,L15,L17,L19)-MIN(L7,L9,L13,L15,L17,L19)</f>
        <v>9874</v>
      </c>
      <c r="M23" s="230"/>
      <c r="N23" s="230"/>
    </row>
    <row r="24" spans="1:19">
      <c r="A24" s="230"/>
      <c r="B24" s="230"/>
      <c r="C24" s="230"/>
      <c r="D24" s="234"/>
      <c r="E24" s="234"/>
      <c r="F24" s="234"/>
      <c r="G24" s="234"/>
      <c r="H24" s="234"/>
      <c r="I24" s="234"/>
      <c r="J24" s="234"/>
      <c r="K24" s="234"/>
      <c r="L24" s="234"/>
      <c r="M24" s="230"/>
      <c r="N24" s="230"/>
    </row>
    <row r="25" spans="1:19">
      <c r="A25" s="229" t="s">
        <v>8701</v>
      </c>
      <c r="B25" s="230"/>
      <c r="C25" s="230"/>
      <c r="D25" s="233">
        <f t="shared" ref="D25:I25" si="20">STDEVP(D7,D9,D13,D15,D17,D19)</f>
        <v>1391.5290949966595</v>
      </c>
      <c r="E25" s="233">
        <f t="shared" si="20"/>
        <v>1428.6610281425519</v>
      </c>
      <c r="F25" s="233">
        <f t="shared" si="20"/>
        <v>1468.1216646525663</v>
      </c>
      <c r="G25" s="233">
        <f t="shared" si="20"/>
        <v>1861.0064854505179</v>
      </c>
      <c r="H25" s="233">
        <f t="shared" si="20"/>
        <v>2337.999910892499</v>
      </c>
      <c r="I25" s="233">
        <f t="shared" si="20"/>
        <v>1921.4035162407249</v>
      </c>
      <c r="J25" s="233">
        <f t="shared" ref="J25:K25" si="21">STDEVP(J7,J9,J13,J15,J17,J19)</f>
        <v>1987.7109741274426</v>
      </c>
      <c r="K25" s="233">
        <f t="shared" si="21"/>
        <v>2718.0720751215476</v>
      </c>
      <c r="L25" s="233">
        <f t="shared" ref="L25" si="22">STDEVP(L7,L9,L13,L15,L17,L19)</f>
        <v>3318.8248129253357</v>
      </c>
      <c r="M25" s="230"/>
      <c r="N25" s="230"/>
    </row>
    <row r="26" spans="1:19">
      <c r="A26" s="230"/>
      <c r="B26" s="230"/>
      <c r="C26" s="230"/>
      <c r="D26" s="234"/>
      <c r="E26" s="234"/>
      <c r="F26" s="234"/>
      <c r="G26" s="234"/>
      <c r="H26" s="234"/>
      <c r="I26" s="234"/>
      <c r="J26" s="234"/>
      <c r="K26" s="234"/>
      <c r="L26" s="234"/>
      <c r="M26" s="230"/>
      <c r="N26" s="230"/>
    </row>
    <row r="27" spans="1:19">
      <c r="A27" s="229" t="s">
        <v>6957</v>
      </c>
      <c r="B27" s="229" t="s">
        <v>6250</v>
      </c>
      <c r="C27" s="4" t="s">
        <v>933</v>
      </c>
      <c r="D27" s="238">
        <v>9115</v>
      </c>
      <c r="E27" s="238">
        <v>9262</v>
      </c>
      <c r="F27" s="238">
        <v>9320</v>
      </c>
      <c r="G27" s="238">
        <v>9437</v>
      </c>
      <c r="H27" s="30">
        <v>9607</v>
      </c>
      <c r="I27" s="30">
        <v>9417</v>
      </c>
      <c r="J27" s="30">
        <v>9019</v>
      </c>
      <c r="K27" s="30">
        <v>9368</v>
      </c>
      <c r="L27" s="30">
        <v>9486</v>
      </c>
      <c r="M27" s="230"/>
      <c r="N27" s="229" t="s">
        <v>4491</v>
      </c>
      <c r="Q27" s="4"/>
      <c r="S27" s="4"/>
    </row>
    <row r="28" spans="1:19">
      <c r="A28" s="229" t="s">
        <v>6959</v>
      </c>
      <c r="B28" s="229" t="s">
        <v>6251</v>
      </c>
      <c r="C28" s="4" t="s">
        <v>934</v>
      </c>
      <c r="D28" s="238">
        <v>8938</v>
      </c>
      <c r="E28" s="238">
        <v>9235</v>
      </c>
      <c r="F28" s="238">
        <v>9161</v>
      </c>
      <c r="G28" s="238">
        <v>9168</v>
      </c>
      <c r="H28" s="30">
        <v>9428</v>
      </c>
      <c r="I28" s="30">
        <v>9069</v>
      </c>
      <c r="J28" s="30">
        <v>8642</v>
      </c>
      <c r="K28" s="30">
        <v>9107</v>
      </c>
      <c r="L28" s="30">
        <v>9089</v>
      </c>
      <c r="M28" s="230"/>
      <c r="N28" s="229" t="s">
        <v>4490</v>
      </c>
      <c r="Q28" s="4"/>
      <c r="S28" s="4"/>
    </row>
    <row r="29" spans="1:19">
      <c r="A29" s="229" t="s">
        <v>6961</v>
      </c>
      <c r="B29" s="229" t="s">
        <v>6252</v>
      </c>
      <c r="C29" s="4" t="s">
        <v>935</v>
      </c>
      <c r="D29" s="238">
        <v>10205</v>
      </c>
      <c r="E29" s="238">
        <v>10555</v>
      </c>
      <c r="F29" s="238">
        <v>10736</v>
      </c>
      <c r="G29" s="238">
        <v>10928</v>
      </c>
      <c r="H29" s="30">
        <v>11147</v>
      </c>
      <c r="I29" s="30">
        <v>10683</v>
      </c>
      <c r="J29" s="30">
        <v>10337</v>
      </c>
      <c r="K29" s="30">
        <v>11073</v>
      </c>
      <c r="L29" s="30">
        <v>11204</v>
      </c>
      <c r="M29" s="230"/>
      <c r="N29" s="229" t="s">
        <v>4488</v>
      </c>
      <c r="Q29" s="4"/>
      <c r="S29" s="4"/>
    </row>
    <row r="30" spans="1:19">
      <c r="A30" s="229" t="s">
        <v>6963</v>
      </c>
      <c r="B30" s="229" t="s">
        <v>6253</v>
      </c>
      <c r="C30" s="4" t="s">
        <v>936</v>
      </c>
      <c r="D30" s="239">
        <v>9815</v>
      </c>
      <c r="E30" s="239">
        <v>9858</v>
      </c>
      <c r="F30" s="239">
        <v>9909</v>
      </c>
      <c r="G30" s="239">
        <v>10088</v>
      </c>
      <c r="H30" s="30">
        <v>10195</v>
      </c>
      <c r="I30" s="30">
        <v>9809</v>
      </c>
      <c r="J30" s="30">
        <v>9413</v>
      </c>
      <c r="K30" s="30">
        <v>9815</v>
      </c>
      <c r="L30" s="30">
        <v>10053</v>
      </c>
      <c r="M30" s="230"/>
      <c r="N30" s="229" t="s">
        <v>4490</v>
      </c>
      <c r="Q30" s="4"/>
      <c r="S30" s="4"/>
    </row>
    <row r="31" spans="1:19">
      <c r="A31" s="229" t="s">
        <v>6965</v>
      </c>
      <c r="B31" s="229" t="s">
        <v>6254</v>
      </c>
      <c r="C31" s="4" t="s">
        <v>937</v>
      </c>
      <c r="D31" s="238">
        <v>9477</v>
      </c>
      <c r="E31" s="238">
        <v>9744</v>
      </c>
      <c r="F31" s="238">
        <v>9678</v>
      </c>
      <c r="G31" s="238">
        <v>9926</v>
      </c>
      <c r="H31" s="30">
        <v>9991</v>
      </c>
      <c r="I31" s="30">
        <v>9666</v>
      </c>
      <c r="J31" s="30">
        <v>9579</v>
      </c>
      <c r="K31" s="30">
        <v>10117</v>
      </c>
      <c r="L31" s="30">
        <v>10203</v>
      </c>
      <c r="M31" s="230"/>
      <c r="N31" s="229" t="s">
        <v>4488</v>
      </c>
      <c r="Q31" s="4"/>
      <c r="S31" s="4"/>
    </row>
    <row r="32" spans="1:19">
      <c r="A32" s="229" t="s">
        <v>6997</v>
      </c>
      <c r="B32" s="229" t="s">
        <v>6255</v>
      </c>
      <c r="C32" s="4" t="s">
        <v>938</v>
      </c>
      <c r="D32" s="238">
        <v>9505</v>
      </c>
      <c r="E32" s="238">
        <v>9507</v>
      </c>
      <c r="F32" s="238">
        <v>9406</v>
      </c>
      <c r="G32" s="238">
        <v>9472</v>
      </c>
      <c r="H32" s="30">
        <v>9554</v>
      </c>
      <c r="I32" s="30">
        <v>9466</v>
      </c>
      <c r="J32" s="30">
        <v>9072</v>
      </c>
      <c r="K32" s="30">
        <v>9325</v>
      </c>
      <c r="L32" s="30">
        <v>9429</v>
      </c>
      <c r="M32" s="230"/>
      <c r="N32" s="229" t="s">
        <v>4490</v>
      </c>
      <c r="Q32" s="4"/>
      <c r="S32" s="4"/>
    </row>
    <row r="33" spans="1:19">
      <c r="A33" s="229" t="s">
        <v>6999</v>
      </c>
      <c r="B33" s="229" t="s">
        <v>6256</v>
      </c>
      <c r="C33" s="4" t="s">
        <v>939</v>
      </c>
      <c r="D33" s="238">
        <v>8649</v>
      </c>
      <c r="E33" s="238">
        <v>9193</v>
      </c>
      <c r="F33" s="238">
        <v>9307</v>
      </c>
      <c r="G33" s="238">
        <v>9607</v>
      </c>
      <c r="H33" s="30">
        <v>9933</v>
      </c>
      <c r="I33" s="30">
        <v>9522</v>
      </c>
      <c r="J33" s="30">
        <v>9129</v>
      </c>
      <c r="K33" s="30">
        <v>10165</v>
      </c>
      <c r="L33" s="30">
        <v>10793</v>
      </c>
      <c r="M33" s="230"/>
      <c r="N33" s="229" t="s">
        <v>4488</v>
      </c>
      <c r="Q33" s="4"/>
      <c r="S33" s="4"/>
    </row>
    <row r="34" spans="1:19">
      <c r="A34" s="229" t="s">
        <v>7001</v>
      </c>
      <c r="B34" s="229" t="s">
        <v>6257</v>
      </c>
      <c r="C34" s="4" t="s">
        <v>940</v>
      </c>
      <c r="D34" s="238">
        <v>9402</v>
      </c>
      <c r="E34" s="238">
        <v>9462</v>
      </c>
      <c r="F34" s="238">
        <v>9433</v>
      </c>
      <c r="G34" s="238">
        <v>9508</v>
      </c>
      <c r="H34" s="31">
        <v>9766</v>
      </c>
      <c r="I34" s="31">
        <v>9545</v>
      </c>
      <c r="J34" s="31">
        <v>9201</v>
      </c>
      <c r="K34" s="31">
        <v>9712</v>
      </c>
      <c r="L34" s="31">
        <v>9903</v>
      </c>
      <c r="M34" s="230"/>
      <c r="N34" s="229" t="s">
        <v>4491</v>
      </c>
      <c r="Q34" s="4"/>
      <c r="S34" s="4"/>
    </row>
    <row r="35" spans="1:19">
      <c r="A35" s="229" t="s">
        <v>7003</v>
      </c>
      <c r="B35" s="229" t="s">
        <v>6258</v>
      </c>
      <c r="C35" s="4" t="s">
        <v>941</v>
      </c>
      <c r="D35" s="238">
        <v>9948</v>
      </c>
      <c r="E35" s="238">
        <v>9761</v>
      </c>
      <c r="F35" s="238">
        <v>9858</v>
      </c>
      <c r="G35" s="238">
        <v>9912</v>
      </c>
      <c r="H35" s="30">
        <v>9949</v>
      </c>
      <c r="I35" s="30">
        <v>9635</v>
      </c>
      <c r="J35" s="30">
        <v>9249</v>
      </c>
      <c r="K35" s="30">
        <v>9578</v>
      </c>
      <c r="L35" s="30">
        <v>9713</v>
      </c>
      <c r="M35" s="230"/>
      <c r="N35" s="229" t="s">
        <v>4490</v>
      </c>
      <c r="Q35" s="4"/>
      <c r="S35" s="4"/>
    </row>
    <row r="36" spans="1:19">
      <c r="A36" s="229" t="s">
        <v>7005</v>
      </c>
      <c r="B36" s="229" t="s">
        <v>6259</v>
      </c>
      <c r="C36" s="4" t="s">
        <v>942</v>
      </c>
      <c r="D36" s="238">
        <v>8535</v>
      </c>
      <c r="E36" s="238">
        <v>8778</v>
      </c>
      <c r="F36" s="238">
        <v>8852</v>
      </c>
      <c r="G36" s="238">
        <v>9031</v>
      </c>
      <c r="H36" s="30">
        <v>9079</v>
      </c>
      <c r="I36" s="30">
        <v>8907</v>
      </c>
      <c r="J36" s="30">
        <v>8688</v>
      </c>
      <c r="K36" s="30">
        <v>9185</v>
      </c>
      <c r="L36" s="30">
        <v>9281</v>
      </c>
      <c r="M36" s="230"/>
      <c r="N36" s="229" t="s">
        <v>4488</v>
      </c>
      <c r="Q36" s="4"/>
      <c r="S36" s="4"/>
    </row>
    <row r="37" spans="1:19">
      <c r="A37" s="229" t="s">
        <v>7007</v>
      </c>
      <c r="B37" s="229" t="s">
        <v>6260</v>
      </c>
      <c r="C37" s="4" t="s">
        <v>943</v>
      </c>
      <c r="D37" s="238">
        <v>9536</v>
      </c>
      <c r="E37" s="238">
        <v>9559</v>
      </c>
      <c r="F37" s="238">
        <v>9593</v>
      </c>
      <c r="G37" s="238">
        <v>9578</v>
      </c>
      <c r="H37" s="30">
        <v>9723</v>
      </c>
      <c r="I37" s="30">
        <v>9476</v>
      </c>
      <c r="J37" s="30">
        <v>9182</v>
      </c>
      <c r="K37" s="30">
        <v>9466</v>
      </c>
      <c r="L37" s="30">
        <v>9463</v>
      </c>
      <c r="M37" s="230"/>
      <c r="N37" s="229" t="s">
        <v>4490</v>
      </c>
      <c r="Q37" s="4"/>
      <c r="S37" s="4"/>
    </row>
    <row r="38" spans="1:19">
      <c r="A38" s="229" t="s">
        <v>7009</v>
      </c>
      <c r="B38" s="229" t="s">
        <v>6261</v>
      </c>
      <c r="C38" s="4" t="s">
        <v>944</v>
      </c>
      <c r="D38" s="239">
        <v>9795</v>
      </c>
      <c r="E38" s="239">
        <v>10222</v>
      </c>
      <c r="F38" s="239">
        <v>10494</v>
      </c>
      <c r="G38" s="239">
        <v>10948</v>
      </c>
      <c r="H38" s="30">
        <v>11344</v>
      </c>
      <c r="I38" s="30">
        <v>11000</v>
      </c>
      <c r="J38" s="30">
        <v>10532</v>
      </c>
      <c r="K38" s="30">
        <v>11422</v>
      </c>
      <c r="L38" s="30">
        <v>12266</v>
      </c>
      <c r="M38" s="230"/>
      <c r="N38" s="229" t="s">
        <v>4488</v>
      </c>
      <c r="Q38" s="4"/>
      <c r="S38" s="4"/>
    </row>
    <row r="39" spans="1:19">
      <c r="A39" s="229" t="s">
        <v>7011</v>
      </c>
      <c r="B39" s="229" t="s">
        <v>6262</v>
      </c>
      <c r="C39" s="4" t="s">
        <v>945</v>
      </c>
      <c r="D39" s="238">
        <v>8717</v>
      </c>
      <c r="E39" s="238">
        <v>9236</v>
      </c>
      <c r="F39" s="238">
        <v>9285</v>
      </c>
      <c r="G39" s="238">
        <v>9601</v>
      </c>
      <c r="H39" s="30">
        <v>9845</v>
      </c>
      <c r="I39" s="30">
        <v>9510</v>
      </c>
      <c r="J39" s="30">
        <v>9077</v>
      </c>
      <c r="K39" s="30">
        <v>9762</v>
      </c>
      <c r="L39" s="30">
        <v>10194</v>
      </c>
      <c r="M39" s="230"/>
      <c r="N39" s="229" t="s">
        <v>4488</v>
      </c>
      <c r="Q39" s="4"/>
      <c r="S39" s="4"/>
    </row>
    <row r="40" spans="1:19">
      <c r="A40" s="229" t="s">
        <v>7013</v>
      </c>
      <c r="B40" s="229" t="s">
        <v>6263</v>
      </c>
      <c r="C40" s="4" t="s">
        <v>946</v>
      </c>
      <c r="D40" s="238">
        <v>9614</v>
      </c>
      <c r="E40" s="238">
        <v>9858</v>
      </c>
      <c r="F40" s="238">
        <v>10025</v>
      </c>
      <c r="G40" s="238">
        <v>10197</v>
      </c>
      <c r="H40" s="31">
        <v>10363</v>
      </c>
      <c r="I40" s="31">
        <v>10196</v>
      </c>
      <c r="J40" s="31">
        <v>9807</v>
      </c>
      <c r="K40" s="31">
        <v>10280</v>
      </c>
      <c r="L40" s="31">
        <v>10467</v>
      </c>
      <c r="M40" s="230"/>
      <c r="N40" s="229" t="s">
        <v>4491</v>
      </c>
      <c r="Q40" s="4"/>
      <c r="S40" s="4"/>
    </row>
    <row r="41" spans="1:19">
      <c r="A41" s="229" t="s">
        <v>7015</v>
      </c>
      <c r="B41" s="229" t="s">
        <v>6264</v>
      </c>
      <c r="C41" s="4" t="s">
        <v>947</v>
      </c>
      <c r="D41" s="239">
        <v>8362</v>
      </c>
      <c r="E41" s="239">
        <v>8530</v>
      </c>
      <c r="F41" s="239">
        <v>8712</v>
      </c>
      <c r="G41" s="239">
        <v>8635</v>
      </c>
      <c r="H41" s="30">
        <v>8772</v>
      </c>
      <c r="I41" s="30">
        <v>8423</v>
      </c>
      <c r="J41" s="30">
        <v>8053</v>
      </c>
      <c r="K41" s="30">
        <v>8714</v>
      </c>
      <c r="L41" s="30">
        <v>9009</v>
      </c>
      <c r="M41" s="230"/>
      <c r="N41" s="229" t="s">
        <v>4490</v>
      </c>
      <c r="Q41" s="4"/>
      <c r="S41" s="4"/>
    </row>
    <row r="42" spans="1:19">
      <c r="A42" s="229" t="s">
        <v>7017</v>
      </c>
      <c r="B42" s="229" t="s">
        <v>6265</v>
      </c>
      <c r="C42" s="4" t="s">
        <v>948</v>
      </c>
      <c r="D42" s="238">
        <v>10036</v>
      </c>
      <c r="E42" s="238">
        <v>10188</v>
      </c>
      <c r="F42" s="238">
        <v>10223</v>
      </c>
      <c r="G42" s="238">
        <v>10314</v>
      </c>
      <c r="H42" s="31">
        <v>10408</v>
      </c>
      <c r="I42" s="31">
        <v>10034</v>
      </c>
      <c r="J42" s="31">
        <v>9663</v>
      </c>
      <c r="K42" s="31">
        <v>10234</v>
      </c>
      <c r="L42" s="31">
        <v>10372</v>
      </c>
      <c r="M42" s="230"/>
      <c r="N42" s="229" t="s">
        <v>4491</v>
      </c>
      <c r="Q42" s="4"/>
      <c r="S42" s="4"/>
    </row>
    <row r="43" spans="1:19">
      <c r="A43" s="229" t="s">
        <v>7019</v>
      </c>
      <c r="B43" s="229" t="s">
        <v>6266</v>
      </c>
      <c r="C43" s="4" t="s">
        <v>949</v>
      </c>
      <c r="D43" s="238">
        <v>9431</v>
      </c>
      <c r="E43" s="238">
        <v>9862</v>
      </c>
      <c r="F43" s="238">
        <v>10053</v>
      </c>
      <c r="G43" s="238">
        <v>10137</v>
      </c>
      <c r="H43" s="30">
        <v>10312</v>
      </c>
      <c r="I43" s="30">
        <v>10004</v>
      </c>
      <c r="J43" s="30">
        <v>9824</v>
      </c>
      <c r="K43" s="30">
        <v>10496</v>
      </c>
      <c r="L43" s="30">
        <v>10635</v>
      </c>
      <c r="M43" s="230"/>
      <c r="N43" s="229" t="s">
        <v>4488</v>
      </c>
      <c r="Q43" s="4"/>
      <c r="S43" s="4"/>
    </row>
    <row r="44" spans="1:19">
      <c r="A44" s="229" t="s">
        <v>7021</v>
      </c>
      <c r="B44" s="229" t="s">
        <v>6267</v>
      </c>
      <c r="C44" s="4" t="s">
        <v>950</v>
      </c>
      <c r="D44" s="238">
        <v>8833</v>
      </c>
      <c r="E44" s="238">
        <v>9058</v>
      </c>
      <c r="F44" s="238">
        <v>9158</v>
      </c>
      <c r="G44" s="238">
        <v>9263</v>
      </c>
      <c r="H44" s="30">
        <v>9318</v>
      </c>
      <c r="I44" s="30">
        <v>9106</v>
      </c>
      <c r="J44" s="30">
        <v>8755</v>
      </c>
      <c r="K44" s="30">
        <v>9094</v>
      </c>
      <c r="L44" s="30">
        <v>9214</v>
      </c>
      <c r="M44" s="230"/>
      <c r="N44" s="229" t="s">
        <v>4490</v>
      </c>
      <c r="Q44" s="4"/>
      <c r="S44" s="4"/>
    </row>
    <row r="45" spans="1:19">
      <c r="A45" s="230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</row>
    <row r="46" spans="1:19">
      <c r="A46" s="230" t="s">
        <v>6268</v>
      </c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</row>
    <row r="47" spans="1:19">
      <c r="A47" s="232" t="s">
        <v>6282</v>
      </c>
    </row>
  </sheetData>
  <sortState ref="O27:Q44">
    <sortCondition ref="O2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90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5 E5:E25 F5:F25 G5:G25 H3:H4 H5:H25 I3:I6 I10:I25 I8 I7 I9 J3:J25 K3:K25 L3:L25" unlockedFormula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96"/>
  <sheetViews>
    <sheetView showGridLines="0" zoomScaleNormal="100" workbookViewId="0"/>
  </sheetViews>
  <sheetFormatPr defaultColWidth="12.5703125" defaultRowHeight="15"/>
  <cols>
    <col min="1" max="1" width="4.85546875" style="666" customWidth="1"/>
    <col min="2" max="2" width="40.5703125" style="666" customWidth="1"/>
    <col min="3" max="3" width="11.5703125" style="666" customWidth="1"/>
    <col min="4" max="12" width="10.140625" style="666" customWidth="1"/>
    <col min="13" max="13" width="2.28515625" style="666" customWidth="1"/>
    <col min="14" max="14" width="35.85546875" style="666" customWidth="1"/>
    <col min="15" max="16384" width="12.5703125" style="666"/>
  </cols>
  <sheetData>
    <row r="1" spans="1:14">
      <c r="A1" s="664" t="s">
        <v>8847</v>
      </c>
      <c r="B1" s="111"/>
      <c r="C1" s="111"/>
      <c r="D1" s="665">
        <v>2010</v>
      </c>
      <c r="E1" s="665">
        <v>2011</v>
      </c>
      <c r="F1" s="665">
        <v>2012</v>
      </c>
      <c r="G1" s="665">
        <v>2013</v>
      </c>
      <c r="H1" s="665">
        <v>2014</v>
      </c>
      <c r="I1" s="665">
        <v>2015</v>
      </c>
      <c r="J1" s="665">
        <v>2016</v>
      </c>
      <c r="K1" s="665">
        <v>2017</v>
      </c>
      <c r="L1" s="665">
        <v>2018</v>
      </c>
      <c r="M1" s="111"/>
    </row>
    <row r="2" spans="1:14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</row>
    <row r="3" spans="1:14">
      <c r="A3" s="664" t="s">
        <v>8508</v>
      </c>
      <c r="B3" s="111"/>
      <c r="C3" s="111"/>
      <c r="D3" s="667">
        <f t="shared" ref="D3:I3" si="0">SUM(D5:D11)</f>
        <v>532705</v>
      </c>
      <c r="E3" s="667">
        <f t="shared" si="0"/>
        <v>534928</v>
      </c>
      <c r="F3" s="667">
        <f t="shared" si="0"/>
        <v>536244</v>
      </c>
      <c r="G3" s="667">
        <f t="shared" si="0"/>
        <v>534542</v>
      </c>
      <c r="H3" s="667">
        <f t="shared" si="0"/>
        <v>538485</v>
      </c>
      <c r="I3" s="667">
        <f t="shared" si="0"/>
        <v>521797</v>
      </c>
      <c r="J3" s="667">
        <f t="shared" ref="J3:K3" si="1">SUM(J5:J11)</f>
        <v>521281</v>
      </c>
      <c r="K3" s="667">
        <f t="shared" si="1"/>
        <v>536375</v>
      </c>
      <c r="L3" s="667">
        <f t="shared" ref="L3" si="2">SUM(L5:L11)</f>
        <v>537728</v>
      </c>
      <c r="M3" s="111"/>
    </row>
    <row r="4" spans="1:14">
      <c r="A4" s="111"/>
      <c r="B4" s="111"/>
      <c r="C4" s="111"/>
      <c r="D4" s="668"/>
      <c r="E4" s="668"/>
      <c r="F4" s="668"/>
      <c r="G4" s="668"/>
      <c r="H4" s="668"/>
      <c r="I4" s="668"/>
      <c r="J4" s="668"/>
      <c r="K4" s="668"/>
      <c r="L4" s="668"/>
      <c r="M4" s="111"/>
      <c r="N4" s="111"/>
    </row>
    <row r="5" spans="1:14">
      <c r="A5" s="664" t="s">
        <v>2195</v>
      </c>
      <c r="C5" s="664"/>
      <c r="D5" s="667">
        <f t="shared" ref="D5:I5" si="3">D48</f>
        <v>44167</v>
      </c>
      <c r="E5" s="667">
        <f t="shared" si="3"/>
        <v>44117</v>
      </c>
      <c r="F5" s="667">
        <f t="shared" si="3"/>
        <v>44030</v>
      </c>
      <c r="G5" s="667">
        <f t="shared" si="3"/>
        <v>43915</v>
      </c>
      <c r="H5" s="667">
        <f t="shared" si="3"/>
        <v>43313</v>
      </c>
      <c r="I5" s="667">
        <f t="shared" si="3"/>
        <v>40833</v>
      </c>
      <c r="J5" s="667">
        <f t="shared" ref="J5:K5" si="4">J48</f>
        <v>39834</v>
      </c>
      <c r="K5" s="667">
        <f t="shared" si="4"/>
        <v>39739</v>
      </c>
      <c r="L5" s="667">
        <f t="shared" ref="L5" si="5">L48</f>
        <v>40157</v>
      </c>
      <c r="M5" s="111"/>
      <c r="N5" s="669"/>
    </row>
    <row r="6" spans="1:14">
      <c r="A6" s="664" t="s">
        <v>2196</v>
      </c>
      <c r="C6" s="664"/>
      <c r="D6" s="667">
        <f t="shared" ref="D6:I6" si="6">D72</f>
        <v>105825</v>
      </c>
      <c r="E6" s="667">
        <f t="shared" si="6"/>
        <v>104586</v>
      </c>
      <c r="F6" s="667">
        <f t="shared" si="6"/>
        <v>104757</v>
      </c>
      <c r="G6" s="667">
        <f t="shared" si="6"/>
        <v>101192</v>
      </c>
      <c r="H6" s="667">
        <f t="shared" si="6"/>
        <v>106037</v>
      </c>
      <c r="I6" s="667">
        <f t="shared" si="6"/>
        <v>100037</v>
      </c>
      <c r="J6" s="667">
        <f t="shared" ref="J6:K6" si="7">J72</f>
        <v>102964</v>
      </c>
      <c r="K6" s="667">
        <f t="shared" si="7"/>
        <v>107124</v>
      </c>
      <c r="L6" s="667">
        <f t="shared" ref="L6" si="8">L72</f>
        <v>108850</v>
      </c>
      <c r="M6" s="111"/>
      <c r="N6" s="669"/>
    </row>
    <row r="7" spans="1:14">
      <c r="A7" s="664" t="s">
        <v>2197</v>
      </c>
      <c r="C7" s="664"/>
      <c r="D7" s="667">
        <f t="shared" ref="D7:I7" si="9">D122</f>
        <v>63464</v>
      </c>
      <c r="E7" s="667">
        <f t="shared" si="9"/>
        <v>63215</v>
      </c>
      <c r="F7" s="667">
        <f t="shared" si="9"/>
        <v>63266</v>
      </c>
      <c r="G7" s="667">
        <f t="shared" si="9"/>
        <v>62447</v>
      </c>
      <c r="H7" s="667">
        <f t="shared" si="9"/>
        <v>61327</v>
      </c>
      <c r="I7" s="667">
        <f t="shared" si="9"/>
        <v>60111</v>
      </c>
      <c r="J7" s="667">
        <f t="shared" ref="J7:K7" si="10">J122</f>
        <v>57705</v>
      </c>
      <c r="K7" s="667">
        <f t="shared" si="10"/>
        <v>58963</v>
      </c>
      <c r="L7" s="667">
        <f t="shared" ref="L7" si="11">L122</f>
        <v>58504</v>
      </c>
      <c r="M7" s="111"/>
      <c r="N7" s="669"/>
    </row>
    <row r="8" spans="1:14">
      <c r="A8" s="664" t="s">
        <v>2198</v>
      </c>
      <c r="C8" s="664"/>
      <c r="D8" s="667">
        <f t="shared" ref="D8:I8" si="12">D142</f>
        <v>81126</v>
      </c>
      <c r="E8" s="667">
        <f t="shared" si="12"/>
        <v>81989</v>
      </c>
      <c r="F8" s="667">
        <f t="shared" si="12"/>
        <v>83130</v>
      </c>
      <c r="G8" s="667">
        <f t="shared" si="12"/>
        <v>83815</v>
      </c>
      <c r="H8" s="667">
        <f t="shared" si="12"/>
        <v>84539</v>
      </c>
      <c r="I8" s="667">
        <f t="shared" si="12"/>
        <v>81591</v>
      </c>
      <c r="J8" s="667">
        <f t="shared" ref="J8:K8" si="13">J142</f>
        <v>83059</v>
      </c>
      <c r="K8" s="667">
        <f t="shared" si="13"/>
        <v>85520</v>
      </c>
      <c r="L8" s="667">
        <f t="shared" ref="L8" si="14">L142</f>
        <v>86946</v>
      </c>
      <c r="M8" s="111"/>
      <c r="N8" s="669"/>
    </row>
    <row r="9" spans="1:14">
      <c r="A9" s="664" t="s">
        <v>2199</v>
      </c>
      <c r="C9" s="664"/>
      <c r="D9" s="667">
        <f t="shared" ref="D9:I9" si="15">D182</f>
        <v>66166</v>
      </c>
      <c r="E9" s="667">
        <f t="shared" si="15"/>
        <v>66318</v>
      </c>
      <c r="F9" s="667">
        <f t="shared" si="15"/>
        <v>66084</v>
      </c>
      <c r="G9" s="667">
        <f t="shared" si="15"/>
        <v>65930</v>
      </c>
      <c r="H9" s="667">
        <f t="shared" si="15"/>
        <v>64854</v>
      </c>
      <c r="I9" s="667">
        <f t="shared" si="15"/>
        <v>64719</v>
      </c>
      <c r="J9" s="667">
        <f t="shared" ref="J9:K9" si="16">J182</f>
        <v>63636</v>
      </c>
      <c r="K9" s="667">
        <f t="shared" si="16"/>
        <v>66560</v>
      </c>
      <c r="L9" s="667">
        <f t="shared" ref="L9" si="17">L182</f>
        <v>65795</v>
      </c>
      <c r="M9" s="111"/>
      <c r="N9" s="669"/>
    </row>
    <row r="10" spans="1:14">
      <c r="A10" s="664" t="s">
        <v>2200</v>
      </c>
      <c r="C10" s="664"/>
      <c r="D10" s="667">
        <f t="shared" ref="D10:I10" si="18">D209</f>
        <v>100933</v>
      </c>
      <c r="E10" s="667">
        <f t="shared" si="18"/>
        <v>102758</v>
      </c>
      <c r="F10" s="667">
        <f t="shared" si="18"/>
        <v>102743</v>
      </c>
      <c r="G10" s="667">
        <f t="shared" si="18"/>
        <v>104467</v>
      </c>
      <c r="H10" s="667">
        <f t="shared" si="18"/>
        <v>105100</v>
      </c>
      <c r="I10" s="667">
        <f t="shared" si="18"/>
        <v>102679</v>
      </c>
      <c r="J10" s="667">
        <f t="shared" ref="J10:K10" si="19">J209</f>
        <v>101682</v>
      </c>
      <c r="K10" s="667">
        <f t="shared" si="19"/>
        <v>105585</v>
      </c>
      <c r="L10" s="667">
        <f t="shared" ref="L10" si="20">L209</f>
        <v>104537</v>
      </c>
      <c r="M10" s="111"/>
      <c r="N10" s="669"/>
    </row>
    <row r="11" spans="1:14">
      <c r="A11" s="664" t="s">
        <v>1541</v>
      </c>
      <c r="C11" s="664"/>
      <c r="D11" s="667">
        <f t="shared" ref="D11:I11" si="21">D256</f>
        <v>71024</v>
      </c>
      <c r="E11" s="667">
        <f t="shared" si="21"/>
        <v>71945</v>
      </c>
      <c r="F11" s="667">
        <f t="shared" si="21"/>
        <v>72234</v>
      </c>
      <c r="G11" s="667">
        <f t="shared" si="21"/>
        <v>72776</v>
      </c>
      <c r="H11" s="667">
        <f t="shared" si="21"/>
        <v>73315</v>
      </c>
      <c r="I11" s="667">
        <f t="shared" si="21"/>
        <v>71827</v>
      </c>
      <c r="J11" s="667">
        <f t="shared" ref="J11:K11" si="22">J256</f>
        <v>72401</v>
      </c>
      <c r="K11" s="667">
        <f t="shared" si="22"/>
        <v>72884</v>
      </c>
      <c r="L11" s="667">
        <f t="shared" ref="L11" si="23">L256</f>
        <v>72939</v>
      </c>
      <c r="M11" s="111"/>
      <c r="N11" s="669"/>
    </row>
    <row r="12" spans="1:14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</row>
    <row r="13" spans="1:14">
      <c r="A13" s="664" t="s">
        <v>7979</v>
      </c>
      <c r="B13" s="111"/>
      <c r="C13" s="111"/>
      <c r="D13" s="667">
        <f t="shared" ref="D13:I13" si="24">D3/7</f>
        <v>76100.71428571429</v>
      </c>
      <c r="E13" s="667">
        <f t="shared" si="24"/>
        <v>76418.28571428571</v>
      </c>
      <c r="F13" s="667">
        <f t="shared" si="24"/>
        <v>76606.28571428571</v>
      </c>
      <c r="G13" s="667">
        <f t="shared" si="24"/>
        <v>76363.142857142855</v>
      </c>
      <c r="H13" s="667">
        <f t="shared" si="24"/>
        <v>76926.428571428565</v>
      </c>
      <c r="I13" s="667">
        <f t="shared" si="24"/>
        <v>74542.428571428565</v>
      </c>
      <c r="J13" s="667">
        <f t="shared" ref="J13:K13" si="25">J3/7</f>
        <v>74468.71428571429</v>
      </c>
      <c r="K13" s="667">
        <f t="shared" si="25"/>
        <v>76625</v>
      </c>
      <c r="L13" s="667">
        <f t="shared" ref="L13" si="26">L3/7</f>
        <v>76818.28571428571</v>
      </c>
      <c r="M13" s="111"/>
      <c r="N13" s="111"/>
    </row>
    <row r="14" spans="1:14">
      <c r="A14" s="111"/>
      <c r="B14" s="111"/>
      <c r="C14" s="111"/>
      <c r="D14" s="668"/>
      <c r="E14" s="668"/>
      <c r="F14" s="668"/>
      <c r="G14" s="668"/>
      <c r="H14" s="668"/>
      <c r="I14" s="668"/>
      <c r="J14" s="668"/>
      <c r="K14" s="668"/>
      <c r="L14" s="668"/>
      <c r="M14" s="111"/>
      <c r="N14" s="111"/>
    </row>
    <row r="15" spans="1:14">
      <c r="A15" s="664" t="s">
        <v>1543</v>
      </c>
      <c r="D15" s="667">
        <f t="shared" ref="D15:I15" si="27">D65</f>
        <v>44167</v>
      </c>
      <c r="E15" s="667">
        <f t="shared" si="27"/>
        <v>44117</v>
      </c>
      <c r="F15" s="667">
        <f t="shared" si="27"/>
        <v>44030</v>
      </c>
      <c r="G15" s="667">
        <f t="shared" si="27"/>
        <v>43915</v>
      </c>
      <c r="H15" s="667">
        <f t="shared" si="27"/>
        <v>43313</v>
      </c>
      <c r="I15" s="667">
        <f t="shared" si="27"/>
        <v>40833</v>
      </c>
      <c r="J15" s="667">
        <f t="shared" ref="J15:K15" si="28">J65</f>
        <v>39834</v>
      </c>
      <c r="K15" s="667">
        <f t="shared" si="28"/>
        <v>39739</v>
      </c>
      <c r="L15" s="667">
        <f t="shared" ref="L15" si="29">L65</f>
        <v>40157</v>
      </c>
      <c r="M15" s="111"/>
      <c r="N15" s="664" t="s">
        <v>7650</v>
      </c>
    </row>
    <row r="16" spans="1:14" ht="15.75" thickBot="1">
      <c r="A16" s="111"/>
      <c r="D16" s="670">
        <f t="shared" ref="D16:I16" si="30">D113</f>
        <v>26806</v>
      </c>
      <c r="E16" s="670">
        <f t="shared" si="30"/>
        <v>26503</v>
      </c>
      <c r="F16" s="670">
        <f t="shared" si="30"/>
        <v>26698</v>
      </c>
      <c r="G16" s="670">
        <f t="shared" si="30"/>
        <v>25570</v>
      </c>
      <c r="H16" s="670">
        <f t="shared" si="30"/>
        <v>27196</v>
      </c>
      <c r="I16" s="670">
        <f t="shared" si="30"/>
        <v>25382</v>
      </c>
      <c r="J16" s="670">
        <f t="shared" ref="J16:K16" si="31">J113</f>
        <v>26416</v>
      </c>
      <c r="K16" s="670">
        <f t="shared" si="31"/>
        <v>27768</v>
      </c>
      <c r="L16" s="670">
        <f t="shared" ref="L16" si="32">L113</f>
        <v>28337</v>
      </c>
      <c r="M16" s="111"/>
      <c r="N16" s="664" t="s">
        <v>1544</v>
      </c>
    </row>
    <row r="17" spans="1:14" ht="15.75" thickBot="1">
      <c r="A17" s="111"/>
      <c r="D17" s="670">
        <f t="shared" ref="D17:I17" si="33">D15+D16</f>
        <v>70973</v>
      </c>
      <c r="E17" s="670">
        <f t="shared" si="33"/>
        <v>70620</v>
      </c>
      <c r="F17" s="670">
        <f t="shared" si="33"/>
        <v>70728</v>
      </c>
      <c r="G17" s="670">
        <f t="shared" si="33"/>
        <v>69485</v>
      </c>
      <c r="H17" s="670">
        <f t="shared" si="33"/>
        <v>70509</v>
      </c>
      <c r="I17" s="670">
        <f t="shared" si="33"/>
        <v>66215</v>
      </c>
      <c r="J17" s="670">
        <f t="shared" ref="J17:K17" si="34">J15+J16</f>
        <v>66250</v>
      </c>
      <c r="K17" s="670">
        <f t="shared" si="34"/>
        <v>67507</v>
      </c>
      <c r="L17" s="670">
        <f t="shared" ref="L17" si="35">L15+L16</f>
        <v>68494</v>
      </c>
      <c r="M17" s="111"/>
      <c r="N17" s="111"/>
    </row>
    <row r="18" spans="1:14">
      <c r="A18" s="111"/>
      <c r="D18" s="668"/>
      <c r="E18" s="668"/>
      <c r="F18" s="668"/>
      <c r="G18" s="668"/>
      <c r="H18" s="668"/>
      <c r="I18" s="668"/>
      <c r="J18" s="668"/>
      <c r="K18" s="668"/>
      <c r="L18" s="668"/>
      <c r="M18" s="111"/>
      <c r="N18" s="111"/>
    </row>
    <row r="19" spans="1:14">
      <c r="A19" s="664" t="s">
        <v>1545</v>
      </c>
      <c r="D19" s="667">
        <f t="shared" ref="D19:I19" si="36">D114</f>
        <v>1809</v>
      </c>
      <c r="E19" s="667">
        <f t="shared" si="36"/>
        <v>1850</v>
      </c>
      <c r="F19" s="667">
        <f t="shared" si="36"/>
        <v>1842</v>
      </c>
      <c r="G19" s="667">
        <f t="shared" si="36"/>
        <v>1819</v>
      </c>
      <c r="H19" s="667">
        <f t="shared" si="36"/>
        <v>1975</v>
      </c>
      <c r="I19" s="667">
        <f t="shared" si="36"/>
        <v>1864</v>
      </c>
      <c r="J19" s="667">
        <f t="shared" ref="J19:K19" si="37">J114</f>
        <v>1931</v>
      </c>
      <c r="K19" s="667">
        <f t="shared" si="37"/>
        <v>2019</v>
      </c>
      <c r="L19" s="667">
        <f t="shared" ref="L19" si="38">L114</f>
        <v>2041</v>
      </c>
      <c r="M19" s="111"/>
      <c r="N19" s="664" t="s">
        <v>1544</v>
      </c>
    </row>
    <row r="20" spans="1:14" ht="15.75" thickBot="1">
      <c r="A20" s="111"/>
      <c r="D20" s="670">
        <f t="shared" ref="D20:I20" si="39">D278</f>
        <v>71024</v>
      </c>
      <c r="E20" s="670">
        <f t="shared" si="39"/>
        <v>71945</v>
      </c>
      <c r="F20" s="670">
        <f t="shared" si="39"/>
        <v>72234</v>
      </c>
      <c r="G20" s="670">
        <f t="shared" si="39"/>
        <v>72776</v>
      </c>
      <c r="H20" s="670">
        <f t="shared" si="39"/>
        <v>73315</v>
      </c>
      <c r="I20" s="670">
        <f t="shared" si="39"/>
        <v>71827</v>
      </c>
      <c r="J20" s="670">
        <f t="shared" ref="J20:K20" si="40">J278</f>
        <v>72401</v>
      </c>
      <c r="K20" s="670">
        <f t="shared" si="40"/>
        <v>72884</v>
      </c>
      <c r="L20" s="670">
        <f t="shared" ref="L20" si="41">L278</f>
        <v>72939</v>
      </c>
      <c r="M20" s="111"/>
      <c r="N20" s="664" t="s">
        <v>8507</v>
      </c>
    </row>
    <row r="21" spans="1:14" ht="15.75" thickBot="1">
      <c r="A21" s="111"/>
      <c r="D21" s="670">
        <f t="shared" ref="D21:I21" si="42">D19+D20</f>
        <v>72833</v>
      </c>
      <c r="E21" s="670">
        <f t="shared" si="42"/>
        <v>73795</v>
      </c>
      <c r="F21" s="670">
        <f t="shared" si="42"/>
        <v>74076</v>
      </c>
      <c r="G21" s="670">
        <f t="shared" si="42"/>
        <v>74595</v>
      </c>
      <c r="H21" s="670">
        <f t="shared" si="42"/>
        <v>75290</v>
      </c>
      <c r="I21" s="670">
        <f t="shared" si="42"/>
        <v>73691</v>
      </c>
      <c r="J21" s="670">
        <f t="shared" ref="J21:K21" si="43">J19+J20</f>
        <v>74332</v>
      </c>
      <c r="K21" s="670">
        <f t="shared" si="43"/>
        <v>74903</v>
      </c>
      <c r="L21" s="670">
        <f t="shared" ref="L21" si="44">L19+L20</f>
        <v>74980</v>
      </c>
      <c r="M21" s="111"/>
      <c r="N21" s="111"/>
    </row>
    <row r="22" spans="1:14">
      <c r="A22" s="111"/>
      <c r="D22" s="668"/>
      <c r="E22" s="668"/>
      <c r="F22" s="668"/>
      <c r="G22" s="668"/>
      <c r="H22" s="668"/>
      <c r="I22" s="668"/>
      <c r="J22" s="668"/>
      <c r="K22" s="668"/>
      <c r="L22" s="668"/>
      <c r="M22" s="111"/>
      <c r="N22" s="111"/>
    </row>
    <row r="23" spans="1:14">
      <c r="A23" s="664" t="s">
        <v>3245</v>
      </c>
      <c r="D23" s="667">
        <f t="shared" ref="D23:I23" si="45">D247</f>
        <v>77694</v>
      </c>
      <c r="E23" s="667">
        <f t="shared" si="45"/>
        <v>79118</v>
      </c>
      <c r="F23" s="667">
        <f t="shared" si="45"/>
        <v>79144</v>
      </c>
      <c r="G23" s="667">
        <f t="shared" si="45"/>
        <v>80528</v>
      </c>
      <c r="H23" s="667">
        <f t="shared" si="45"/>
        <v>80750</v>
      </c>
      <c r="I23" s="667">
        <f t="shared" si="45"/>
        <v>78679</v>
      </c>
      <c r="J23" s="667">
        <f t="shared" ref="J23:K23" si="46">J247</f>
        <v>77983</v>
      </c>
      <c r="K23" s="667">
        <f t="shared" si="46"/>
        <v>81105</v>
      </c>
      <c r="L23" s="667">
        <f t="shared" ref="L23" si="47">L247</f>
        <v>80347</v>
      </c>
      <c r="M23" s="111"/>
      <c r="N23" s="664" t="s">
        <v>3246</v>
      </c>
    </row>
    <row r="24" spans="1:14">
      <c r="A24" s="111"/>
      <c r="D24" s="668"/>
      <c r="E24" s="668"/>
      <c r="F24" s="668"/>
      <c r="G24" s="668"/>
      <c r="H24" s="668"/>
      <c r="I24" s="668"/>
      <c r="J24" s="668"/>
      <c r="K24" s="668"/>
      <c r="L24" s="668"/>
      <c r="M24" s="111"/>
      <c r="N24" s="111"/>
    </row>
    <row r="25" spans="1:14">
      <c r="A25" s="664" t="s">
        <v>3247</v>
      </c>
      <c r="D25" s="667">
        <f t="shared" ref="D25:I25" si="48">D135</f>
        <v>63464</v>
      </c>
      <c r="E25" s="667">
        <f t="shared" si="48"/>
        <v>63215</v>
      </c>
      <c r="F25" s="667">
        <f t="shared" si="48"/>
        <v>63266</v>
      </c>
      <c r="G25" s="667">
        <f t="shared" si="48"/>
        <v>62447</v>
      </c>
      <c r="H25" s="667">
        <f t="shared" si="48"/>
        <v>61327</v>
      </c>
      <c r="I25" s="667">
        <f t="shared" si="48"/>
        <v>60111</v>
      </c>
      <c r="J25" s="667">
        <f t="shared" ref="J25:K25" si="49">J135</f>
        <v>57705</v>
      </c>
      <c r="K25" s="667">
        <f t="shared" si="49"/>
        <v>58963</v>
      </c>
      <c r="L25" s="667">
        <f t="shared" ref="L25" si="50">L135</f>
        <v>58504</v>
      </c>
      <c r="M25" s="111"/>
      <c r="N25" s="664" t="s">
        <v>7652</v>
      </c>
    </row>
    <row r="26" spans="1:14" ht="15.75" thickBot="1">
      <c r="A26" s="111"/>
      <c r="D26" s="670">
        <f t="shared" ref="D26:I26" si="51">D174</f>
        <v>9375</v>
      </c>
      <c r="E26" s="670">
        <f t="shared" si="51"/>
        <v>9447</v>
      </c>
      <c r="F26" s="670">
        <f t="shared" si="51"/>
        <v>9625</v>
      </c>
      <c r="G26" s="670">
        <f t="shared" si="51"/>
        <v>9622</v>
      </c>
      <c r="H26" s="670">
        <f t="shared" si="51"/>
        <v>9652</v>
      </c>
      <c r="I26" s="670">
        <f t="shared" si="51"/>
        <v>9261</v>
      </c>
      <c r="J26" s="670">
        <f t="shared" ref="J26:K26" si="52">J174</f>
        <v>9410</v>
      </c>
      <c r="K26" s="670">
        <f t="shared" si="52"/>
        <v>9766</v>
      </c>
      <c r="L26" s="670">
        <f t="shared" ref="L26" si="53">L174</f>
        <v>9980</v>
      </c>
      <c r="M26" s="111"/>
      <c r="N26" s="664" t="s">
        <v>3248</v>
      </c>
    </row>
    <row r="27" spans="1:14" ht="15.75" thickBot="1">
      <c r="A27" s="111"/>
      <c r="D27" s="670">
        <f t="shared" ref="D27:I27" si="54">D25+D26</f>
        <v>72839</v>
      </c>
      <c r="E27" s="670">
        <f t="shared" si="54"/>
        <v>72662</v>
      </c>
      <c r="F27" s="670">
        <f t="shared" si="54"/>
        <v>72891</v>
      </c>
      <c r="G27" s="670">
        <f t="shared" si="54"/>
        <v>72069</v>
      </c>
      <c r="H27" s="670">
        <f t="shared" si="54"/>
        <v>70979</v>
      </c>
      <c r="I27" s="670">
        <f t="shared" si="54"/>
        <v>69372</v>
      </c>
      <c r="J27" s="670">
        <f t="shared" ref="J27:K27" si="55">J25+J26</f>
        <v>67115</v>
      </c>
      <c r="K27" s="670">
        <f t="shared" si="55"/>
        <v>68729</v>
      </c>
      <c r="L27" s="670">
        <f t="shared" ref="L27" si="56">L25+L26</f>
        <v>68484</v>
      </c>
      <c r="M27" s="111"/>
      <c r="N27" s="111"/>
    </row>
    <row r="28" spans="1:14">
      <c r="A28" s="111"/>
      <c r="D28" s="668"/>
      <c r="E28" s="668"/>
      <c r="F28" s="668"/>
      <c r="G28" s="668"/>
      <c r="H28" s="668"/>
      <c r="I28" s="668"/>
      <c r="J28" s="668"/>
      <c r="K28" s="668"/>
      <c r="L28" s="668"/>
      <c r="M28" s="111"/>
      <c r="N28" s="111"/>
    </row>
    <row r="29" spans="1:14">
      <c r="A29" s="664" t="s">
        <v>1551</v>
      </c>
      <c r="D29" s="667">
        <f t="shared" ref="D29:I29" si="57">D115</f>
        <v>77210</v>
      </c>
      <c r="E29" s="667">
        <f t="shared" si="57"/>
        <v>76233</v>
      </c>
      <c r="F29" s="667">
        <f t="shared" si="57"/>
        <v>76217</v>
      </c>
      <c r="G29" s="667">
        <f t="shared" si="57"/>
        <v>73803</v>
      </c>
      <c r="H29" s="667">
        <f t="shared" si="57"/>
        <v>76866</v>
      </c>
      <c r="I29" s="667">
        <f t="shared" si="57"/>
        <v>72791</v>
      </c>
      <c r="J29" s="667">
        <f t="shared" ref="J29:K29" si="58">J115</f>
        <v>74617</v>
      </c>
      <c r="K29" s="667">
        <f t="shared" si="58"/>
        <v>77337</v>
      </c>
      <c r="L29" s="667">
        <f t="shared" ref="L29" si="59">L115</f>
        <v>78472</v>
      </c>
      <c r="M29" s="111"/>
      <c r="N29" s="664" t="s">
        <v>1544</v>
      </c>
    </row>
    <row r="30" spans="1:14">
      <c r="A30" s="111"/>
      <c r="D30" s="668"/>
      <c r="E30" s="668"/>
      <c r="F30" s="668"/>
      <c r="G30" s="668"/>
      <c r="H30" s="668"/>
      <c r="I30" s="668"/>
      <c r="J30" s="668"/>
      <c r="K30" s="668"/>
      <c r="L30" s="668"/>
      <c r="M30" s="111"/>
      <c r="N30" s="111"/>
    </row>
    <row r="31" spans="1:14">
      <c r="A31" s="664" t="s">
        <v>1552</v>
      </c>
      <c r="D31" s="667">
        <f t="shared" ref="D31:I31" si="60">D175</f>
        <v>71751</v>
      </c>
      <c r="E31" s="667">
        <f t="shared" si="60"/>
        <v>72542</v>
      </c>
      <c r="F31" s="667">
        <f t="shared" si="60"/>
        <v>73505</v>
      </c>
      <c r="G31" s="667">
        <f t="shared" si="60"/>
        <v>74193</v>
      </c>
      <c r="H31" s="667">
        <f t="shared" si="60"/>
        <v>74887</v>
      </c>
      <c r="I31" s="667">
        <f t="shared" si="60"/>
        <v>72330</v>
      </c>
      <c r="J31" s="667">
        <f t="shared" ref="J31:K31" si="61">J175</f>
        <v>73649</v>
      </c>
      <c r="K31" s="667">
        <f t="shared" si="61"/>
        <v>75754</v>
      </c>
      <c r="L31" s="667">
        <f t="shared" ref="L31" si="62">L175</f>
        <v>76966</v>
      </c>
      <c r="M31" s="111"/>
      <c r="N31" s="664" t="s">
        <v>3248</v>
      </c>
    </row>
    <row r="32" spans="1:14" ht="15.75" thickBot="1">
      <c r="A32" s="111"/>
      <c r="D32" s="670">
        <f t="shared" ref="D32:I32" si="63">D248</f>
        <v>12876</v>
      </c>
      <c r="E32" s="670">
        <f t="shared" si="63"/>
        <v>13019</v>
      </c>
      <c r="F32" s="670">
        <f t="shared" si="63"/>
        <v>12992</v>
      </c>
      <c r="G32" s="670">
        <f t="shared" si="63"/>
        <v>13160</v>
      </c>
      <c r="H32" s="670">
        <f t="shared" si="63"/>
        <v>13327</v>
      </c>
      <c r="I32" s="670">
        <f t="shared" si="63"/>
        <v>13119</v>
      </c>
      <c r="J32" s="670">
        <f t="shared" ref="J32:K32" si="64">J248</f>
        <v>13003</v>
      </c>
      <c r="K32" s="670">
        <f t="shared" si="64"/>
        <v>13413</v>
      </c>
      <c r="L32" s="670">
        <f t="shared" ref="L32" si="65">L248</f>
        <v>13263</v>
      </c>
      <c r="M32" s="111"/>
      <c r="N32" s="664" t="s">
        <v>3246</v>
      </c>
    </row>
    <row r="33" spans="1:14" ht="15.75" thickBot="1">
      <c r="A33" s="111"/>
      <c r="D33" s="670">
        <f t="shared" ref="D33:I33" si="66">SUM(D31:D32)</f>
        <v>84627</v>
      </c>
      <c r="E33" s="670">
        <f t="shared" si="66"/>
        <v>85561</v>
      </c>
      <c r="F33" s="670">
        <f t="shared" si="66"/>
        <v>86497</v>
      </c>
      <c r="G33" s="670">
        <f t="shared" si="66"/>
        <v>87353</v>
      </c>
      <c r="H33" s="670">
        <f t="shared" si="66"/>
        <v>88214</v>
      </c>
      <c r="I33" s="670">
        <f t="shared" si="66"/>
        <v>85449</v>
      </c>
      <c r="J33" s="670">
        <f t="shared" ref="J33:K33" si="67">SUM(J31:J32)</f>
        <v>86652</v>
      </c>
      <c r="K33" s="670">
        <f t="shared" si="67"/>
        <v>89167</v>
      </c>
      <c r="L33" s="670">
        <f t="shared" ref="L33" si="68">SUM(L31:L32)</f>
        <v>90229</v>
      </c>
      <c r="M33" s="111"/>
      <c r="N33" s="111"/>
    </row>
    <row r="34" spans="1:14">
      <c r="A34" s="111"/>
      <c r="D34" s="668"/>
      <c r="E34" s="668"/>
      <c r="F34" s="668"/>
      <c r="G34" s="668"/>
      <c r="H34" s="668"/>
      <c r="I34" s="668"/>
      <c r="J34" s="668"/>
      <c r="K34" s="668"/>
      <c r="L34" s="668"/>
      <c r="M34" s="111"/>
      <c r="N34" s="111"/>
    </row>
    <row r="35" spans="1:14">
      <c r="A35" s="664" t="s">
        <v>1553</v>
      </c>
      <c r="D35" s="667">
        <f t="shared" ref="D35:I35" si="69">D202</f>
        <v>66166</v>
      </c>
      <c r="E35" s="667">
        <f t="shared" si="69"/>
        <v>66318</v>
      </c>
      <c r="F35" s="667">
        <f t="shared" si="69"/>
        <v>66084</v>
      </c>
      <c r="G35" s="667">
        <f t="shared" si="69"/>
        <v>65930</v>
      </c>
      <c r="H35" s="667">
        <f t="shared" si="69"/>
        <v>64854</v>
      </c>
      <c r="I35" s="667">
        <f t="shared" si="69"/>
        <v>64719</v>
      </c>
      <c r="J35" s="667">
        <f t="shared" ref="J35:K35" si="70">J202</f>
        <v>63636</v>
      </c>
      <c r="K35" s="667">
        <f t="shared" si="70"/>
        <v>66560</v>
      </c>
      <c r="L35" s="667">
        <f t="shared" ref="L35" si="71">L202</f>
        <v>65795</v>
      </c>
      <c r="M35" s="111"/>
      <c r="N35" s="664" t="s">
        <v>7654</v>
      </c>
    </row>
    <row r="36" spans="1:14" ht="15.75" thickBot="1">
      <c r="A36" s="111"/>
      <c r="B36" s="111"/>
      <c r="C36" s="111"/>
      <c r="D36" s="670">
        <f t="shared" ref="D36:I36" si="72">D249</f>
        <v>10363</v>
      </c>
      <c r="E36" s="670">
        <f t="shared" si="72"/>
        <v>10621</v>
      </c>
      <c r="F36" s="670">
        <f t="shared" si="72"/>
        <v>10607</v>
      </c>
      <c r="G36" s="670">
        <f t="shared" si="72"/>
        <v>10779</v>
      </c>
      <c r="H36" s="670">
        <f t="shared" si="72"/>
        <v>11023</v>
      </c>
      <c r="I36" s="670">
        <f t="shared" si="72"/>
        <v>10881</v>
      </c>
      <c r="J36" s="670">
        <f t="shared" ref="J36:K36" si="73">J249</f>
        <v>10696</v>
      </c>
      <c r="K36" s="670">
        <f t="shared" si="73"/>
        <v>11067</v>
      </c>
      <c r="L36" s="670">
        <f t="shared" ref="L36" si="74">L249</f>
        <v>10927</v>
      </c>
      <c r="M36" s="111"/>
      <c r="N36" s="664" t="s">
        <v>3246</v>
      </c>
    </row>
    <row r="37" spans="1:14" ht="15.75" thickBot="1">
      <c r="A37" s="111"/>
      <c r="B37" s="111"/>
      <c r="C37" s="111"/>
      <c r="D37" s="670">
        <f t="shared" ref="D37:I37" si="75">D35+D36</f>
        <v>76529</v>
      </c>
      <c r="E37" s="670">
        <f t="shared" si="75"/>
        <v>76939</v>
      </c>
      <c r="F37" s="670">
        <f t="shared" si="75"/>
        <v>76691</v>
      </c>
      <c r="G37" s="670">
        <f t="shared" si="75"/>
        <v>76709</v>
      </c>
      <c r="H37" s="670">
        <f t="shared" si="75"/>
        <v>75877</v>
      </c>
      <c r="I37" s="670">
        <f t="shared" si="75"/>
        <v>75600</v>
      </c>
      <c r="J37" s="670">
        <f t="shared" ref="J37:K37" si="76">J35+J36</f>
        <v>74332</v>
      </c>
      <c r="K37" s="670">
        <f t="shared" si="76"/>
        <v>77627</v>
      </c>
      <c r="L37" s="670">
        <f t="shared" ref="L37" si="77">L35+L36</f>
        <v>76722</v>
      </c>
      <c r="M37" s="111"/>
      <c r="N37" s="111"/>
    </row>
    <row r="38" spans="1:14">
      <c r="A38" s="111"/>
      <c r="B38" s="111"/>
      <c r="C38" s="111"/>
      <c r="D38" s="668"/>
      <c r="E38" s="668"/>
      <c r="F38" s="668"/>
      <c r="G38" s="668"/>
      <c r="H38" s="668"/>
      <c r="I38" s="668"/>
      <c r="J38" s="668"/>
      <c r="K38" s="668"/>
      <c r="L38" s="668"/>
      <c r="M38" s="111"/>
      <c r="N38" s="111"/>
    </row>
    <row r="39" spans="1:14">
      <c r="A39" s="664" t="s">
        <v>8697</v>
      </c>
      <c r="B39" s="111"/>
      <c r="C39" s="111"/>
      <c r="D39" s="667">
        <f t="shared" ref="D39:I39" si="78">D17+D21+D23+D27+D29+D33+D37</f>
        <v>532705</v>
      </c>
      <c r="E39" s="667">
        <f t="shared" si="78"/>
        <v>534928</v>
      </c>
      <c r="F39" s="667">
        <f t="shared" si="78"/>
        <v>536244</v>
      </c>
      <c r="G39" s="667">
        <f t="shared" si="78"/>
        <v>534542</v>
      </c>
      <c r="H39" s="667">
        <f t="shared" si="78"/>
        <v>538485</v>
      </c>
      <c r="I39" s="667">
        <f t="shared" si="78"/>
        <v>521797</v>
      </c>
      <c r="J39" s="667">
        <f t="shared" ref="J39:K39" si="79">J17+J21+J23+J27+J29+J33+J37</f>
        <v>521281</v>
      </c>
      <c r="K39" s="667">
        <f t="shared" si="79"/>
        <v>536375</v>
      </c>
      <c r="L39" s="667">
        <f t="shared" ref="L39" si="80">L17+L21+L23+L27+L29+L33+L37</f>
        <v>537728</v>
      </c>
      <c r="M39" s="111"/>
      <c r="N39" s="111"/>
    </row>
    <row r="40" spans="1:14">
      <c r="A40" s="111"/>
      <c r="B40" s="111"/>
      <c r="C40" s="111"/>
      <c r="D40" s="668"/>
      <c r="E40" s="668"/>
      <c r="F40" s="668"/>
      <c r="G40" s="668"/>
      <c r="H40" s="668"/>
      <c r="I40" s="668"/>
      <c r="J40" s="668"/>
      <c r="K40" s="668"/>
      <c r="L40" s="668"/>
      <c r="M40" s="111"/>
      <c r="N40" s="111"/>
    </row>
    <row r="41" spans="1:14">
      <c r="A41" s="664" t="s">
        <v>8698</v>
      </c>
      <c r="B41" s="111"/>
      <c r="C41" s="111"/>
      <c r="D41" s="667">
        <f t="shared" ref="D41:I41" si="81">MAX(D17,D21,D23,D27,D29,D33,D37)-MIN(D17,D21,D23,D27,D29,D33,D37)</f>
        <v>13654</v>
      </c>
      <c r="E41" s="667">
        <f t="shared" si="81"/>
        <v>14941</v>
      </c>
      <c r="F41" s="667">
        <f t="shared" si="81"/>
        <v>15769</v>
      </c>
      <c r="G41" s="667">
        <f t="shared" si="81"/>
        <v>17868</v>
      </c>
      <c r="H41" s="667">
        <f t="shared" si="81"/>
        <v>17705</v>
      </c>
      <c r="I41" s="667">
        <f t="shared" si="81"/>
        <v>19234</v>
      </c>
      <c r="J41" s="667">
        <f t="shared" ref="J41:K41" si="82">MAX(J17,J21,J23,J27,J29,J33,J37)-MIN(J17,J21,J23,J27,J29,J33,J37)</f>
        <v>20402</v>
      </c>
      <c r="K41" s="667">
        <f t="shared" si="82"/>
        <v>21660</v>
      </c>
      <c r="L41" s="667">
        <f t="shared" ref="L41" si="83">MAX(L17,L21,L23,L27,L29,L33,L37)-MIN(L17,L21,L23,L27,L29,L33,L37)</f>
        <v>21745</v>
      </c>
      <c r="M41" s="111"/>
      <c r="N41" s="111"/>
    </row>
    <row r="42" spans="1:14">
      <c r="A42" s="111"/>
      <c r="B42" s="111"/>
      <c r="C42" s="111"/>
      <c r="D42" s="668"/>
      <c r="E42" s="668"/>
      <c r="F42" s="668"/>
      <c r="G42" s="668"/>
      <c r="H42" s="668"/>
      <c r="I42" s="668"/>
      <c r="J42" s="668"/>
      <c r="K42" s="668"/>
      <c r="L42" s="668"/>
      <c r="M42" s="111"/>
      <c r="N42" s="111"/>
    </row>
    <row r="43" spans="1:14">
      <c r="A43" s="664" t="s">
        <v>8701</v>
      </c>
      <c r="B43" s="111"/>
      <c r="C43" s="111"/>
      <c r="D43" s="667">
        <f t="shared" ref="D43:I43" si="84">STDEVP(D17,D21,D23,D27,D29,D33,D37)</f>
        <v>4213.2485164329546</v>
      </c>
      <c r="E43" s="667">
        <f t="shared" si="84"/>
        <v>4563.7481999616348</v>
      </c>
      <c r="F43" s="667">
        <f t="shared" si="84"/>
        <v>4768.7206944026921</v>
      </c>
      <c r="G43" s="667">
        <f t="shared" si="84"/>
        <v>5524.9018718776861</v>
      </c>
      <c r="H43" s="667">
        <f t="shared" si="84"/>
        <v>5636.1982337930813</v>
      </c>
      <c r="I43" s="667">
        <f t="shared" si="84"/>
        <v>5819.3619153684558</v>
      </c>
      <c r="J43" s="667">
        <f t="shared" ref="J43:K43" si="85">STDEVP(J17,J21,J23,J27,J29,J33,J37)</f>
        <v>6352.3494352041726</v>
      </c>
      <c r="K43" s="667">
        <f t="shared" si="85"/>
        <v>6838.265611354137</v>
      </c>
      <c r="L43" s="667">
        <f t="shared" ref="L43" si="86">STDEVP(L17,L21,L23,L27,L29,L33,L37)</f>
        <v>6940.321826920167</v>
      </c>
      <c r="M43" s="111"/>
      <c r="N43" s="111"/>
    </row>
    <row r="44" spans="1:14">
      <c r="A44" s="664"/>
      <c r="B44" s="111"/>
      <c r="C44" s="111"/>
      <c r="D44" s="671"/>
      <c r="E44" s="671"/>
      <c r="F44" s="671"/>
      <c r="G44" s="671"/>
      <c r="H44" s="671"/>
      <c r="I44" s="671"/>
      <c r="J44" s="671"/>
      <c r="K44" s="671"/>
      <c r="L44" s="671"/>
      <c r="M44" s="111"/>
      <c r="N44" s="111"/>
    </row>
    <row r="45" spans="1:14">
      <c r="A45" s="664"/>
      <c r="B45" s="111"/>
      <c r="C45" s="111"/>
      <c r="D45" s="671"/>
      <c r="E45" s="671"/>
      <c r="F45" s="671"/>
      <c r="G45" s="671"/>
      <c r="H45" s="671"/>
      <c r="I45" s="671"/>
      <c r="J45" s="671"/>
      <c r="K45" s="671"/>
      <c r="L45" s="671"/>
      <c r="M45" s="111"/>
      <c r="N45" s="111"/>
    </row>
    <row r="46" spans="1:14">
      <c r="A46" s="111"/>
      <c r="B46" s="111"/>
      <c r="E46" s="42" t="s">
        <v>2303</v>
      </c>
      <c r="F46" s="42"/>
      <c r="G46" s="42"/>
      <c r="H46" s="42"/>
      <c r="I46" s="42"/>
      <c r="J46" s="42"/>
      <c r="K46" s="42"/>
      <c r="L46" s="42"/>
      <c r="M46" s="153"/>
      <c r="N46" s="109" t="s">
        <v>13319</v>
      </c>
    </row>
    <row r="47" spans="1:14">
      <c r="A47" s="111"/>
      <c r="B47" s="111"/>
      <c r="C47" s="111"/>
      <c r="D47" s="110">
        <v>2010</v>
      </c>
      <c r="E47" s="110">
        <v>2011</v>
      </c>
      <c r="F47" s="110">
        <v>2012</v>
      </c>
      <c r="G47" s="110">
        <v>2013</v>
      </c>
      <c r="H47" s="110">
        <v>2014</v>
      </c>
      <c r="I47" s="110">
        <v>2015</v>
      </c>
      <c r="J47" s="110">
        <v>2016</v>
      </c>
      <c r="K47" s="110">
        <v>2017</v>
      </c>
      <c r="L47" s="110">
        <v>2018</v>
      </c>
      <c r="M47" s="111"/>
      <c r="N47" s="112" t="s">
        <v>2304</v>
      </c>
    </row>
    <row r="48" spans="1:14">
      <c r="A48" s="664" t="s">
        <v>1554</v>
      </c>
      <c r="C48" s="664"/>
      <c r="D48" s="667">
        <f t="shared" ref="D48:J48" si="87">SUM(D49:D63)</f>
        <v>44167</v>
      </c>
      <c r="E48" s="667">
        <f t="shared" si="87"/>
        <v>44117</v>
      </c>
      <c r="F48" s="667">
        <f t="shared" si="87"/>
        <v>44030</v>
      </c>
      <c r="G48" s="667">
        <f t="shared" si="87"/>
        <v>43915</v>
      </c>
      <c r="H48" s="667">
        <f t="shared" si="87"/>
        <v>43313</v>
      </c>
      <c r="I48" s="667">
        <f t="shared" si="87"/>
        <v>40833</v>
      </c>
      <c r="J48" s="667">
        <f t="shared" si="87"/>
        <v>39834</v>
      </c>
      <c r="K48" s="667">
        <f t="shared" ref="K48:L48" si="88">SUM(K49:K63)</f>
        <v>39739</v>
      </c>
      <c r="L48" s="667">
        <f t="shared" si="88"/>
        <v>40157</v>
      </c>
      <c r="M48" s="111"/>
      <c r="N48" s="111"/>
    </row>
    <row r="49" spans="1:18">
      <c r="A49" s="672">
        <v>1</v>
      </c>
      <c r="B49" s="664" t="s">
        <v>1555</v>
      </c>
      <c r="C49" s="4" t="s">
        <v>15100</v>
      </c>
      <c r="D49" s="667">
        <v>44167</v>
      </c>
      <c r="E49" s="667">
        <v>44117</v>
      </c>
      <c r="F49" s="667">
        <v>44030</v>
      </c>
      <c r="G49" s="30">
        <v>43915</v>
      </c>
      <c r="H49" s="30">
        <v>43313</v>
      </c>
      <c r="I49" s="30">
        <v>40833</v>
      </c>
      <c r="J49" s="30">
        <v>2839</v>
      </c>
      <c r="K49" s="30">
        <v>2842</v>
      </c>
      <c r="L49" s="30">
        <v>2838</v>
      </c>
      <c r="M49" s="111"/>
      <c r="N49" s="664" t="s">
        <v>1543</v>
      </c>
      <c r="O49" s="930"/>
      <c r="P49" s="945"/>
      <c r="Q49" s="949"/>
      <c r="R49" s="4"/>
    </row>
    <row r="50" spans="1:18">
      <c r="A50" s="672">
        <v>2</v>
      </c>
      <c r="B50" s="664" t="s">
        <v>1556</v>
      </c>
      <c r="C50" s="4" t="s">
        <v>15106</v>
      </c>
      <c r="D50" s="667">
        <v>0</v>
      </c>
      <c r="E50" s="667">
        <v>0</v>
      </c>
      <c r="F50" s="667">
        <v>0</v>
      </c>
      <c r="G50" s="30">
        <v>0</v>
      </c>
      <c r="H50" s="30">
        <v>0</v>
      </c>
      <c r="I50" s="30">
        <v>0</v>
      </c>
      <c r="J50" s="30">
        <v>1998</v>
      </c>
      <c r="K50" s="30">
        <v>1923</v>
      </c>
      <c r="L50" s="30">
        <v>1945</v>
      </c>
      <c r="M50" s="111"/>
      <c r="N50" s="664" t="s">
        <v>1543</v>
      </c>
      <c r="O50" s="930"/>
      <c r="P50" s="945"/>
      <c r="Q50" s="949"/>
      <c r="R50" s="4"/>
    </row>
    <row r="51" spans="1:18">
      <c r="A51" s="672">
        <v>3</v>
      </c>
      <c r="B51" s="664" t="s">
        <v>3263</v>
      </c>
      <c r="C51" s="4" t="s">
        <v>15107</v>
      </c>
      <c r="D51" s="667">
        <v>0</v>
      </c>
      <c r="E51" s="667">
        <v>0</v>
      </c>
      <c r="F51" s="667">
        <v>0</v>
      </c>
      <c r="G51" s="30">
        <v>0</v>
      </c>
      <c r="H51" s="30">
        <v>0</v>
      </c>
      <c r="I51" s="30">
        <v>0</v>
      </c>
      <c r="J51" s="30">
        <v>4806</v>
      </c>
      <c r="K51" s="30">
        <v>4708</v>
      </c>
      <c r="L51" s="30">
        <v>4736</v>
      </c>
      <c r="M51" s="111"/>
      <c r="N51" s="664" t="s">
        <v>1543</v>
      </c>
      <c r="O51" s="930"/>
      <c r="P51" s="945"/>
      <c r="Q51" s="949"/>
      <c r="R51" s="4"/>
    </row>
    <row r="52" spans="1:18">
      <c r="A52" s="672">
        <v>4</v>
      </c>
      <c r="B52" s="664" t="s">
        <v>3264</v>
      </c>
      <c r="C52" s="4" t="s">
        <v>15108</v>
      </c>
      <c r="D52" s="667">
        <v>0</v>
      </c>
      <c r="E52" s="667">
        <v>0</v>
      </c>
      <c r="F52" s="667">
        <v>0</v>
      </c>
      <c r="G52" s="30">
        <v>0</v>
      </c>
      <c r="H52" s="30">
        <v>0</v>
      </c>
      <c r="I52" s="30">
        <v>0</v>
      </c>
      <c r="J52" s="30">
        <v>2892</v>
      </c>
      <c r="K52" s="30">
        <v>3023</v>
      </c>
      <c r="L52" s="30">
        <v>3056</v>
      </c>
      <c r="M52" s="111"/>
      <c r="N52" s="664" t="s">
        <v>1543</v>
      </c>
      <c r="O52" s="930"/>
      <c r="P52" s="945"/>
      <c r="Q52" s="949"/>
      <c r="R52" s="4"/>
    </row>
    <row r="53" spans="1:18">
      <c r="A53" s="672">
        <v>5</v>
      </c>
      <c r="B53" s="664" t="s">
        <v>15102</v>
      </c>
      <c r="C53" s="4" t="s">
        <v>15109</v>
      </c>
      <c r="D53" s="667">
        <v>0</v>
      </c>
      <c r="E53" s="667">
        <v>0</v>
      </c>
      <c r="F53" s="667">
        <v>0</v>
      </c>
      <c r="G53" s="30">
        <v>0</v>
      </c>
      <c r="H53" s="30">
        <v>0</v>
      </c>
      <c r="I53" s="30">
        <v>0</v>
      </c>
      <c r="J53" s="30">
        <v>4512</v>
      </c>
      <c r="K53" s="30">
        <v>4498</v>
      </c>
      <c r="L53" s="30">
        <v>4544</v>
      </c>
      <c r="M53" s="111"/>
      <c r="N53" s="664" t="s">
        <v>1543</v>
      </c>
      <c r="O53" s="930"/>
      <c r="P53" s="945"/>
      <c r="Q53" s="949"/>
      <c r="R53" s="4"/>
    </row>
    <row r="54" spans="1:18">
      <c r="A54" s="672">
        <v>6</v>
      </c>
      <c r="B54" s="664" t="s">
        <v>3265</v>
      </c>
      <c r="C54" s="4" t="s">
        <v>15110</v>
      </c>
      <c r="D54" s="667">
        <v>0</v>
      </c>
      <c r="E54" s="667">
        <v>0</v>
      </c>
      <c r="F54" s="667">
        <v>0</v>
      </c>
      <c r="G54" s="30">
        <v>0</v>
      </c>
      <c r="H54" s="30">
        <v>0</v>
      </c>
      <c r="I54" s="30">
        <v>0</v>
      </c>
      <c r="J54" s="30">
        <v>2559</v>
      </c>
      <c r="K54" s="30">
        <v>2648</v>
      </c>
      <c r="L54" s="30">
        <v>2669</v>
      </c>
      <c r="M54" s="111"/>
      <c r="N54" s="664" t="s">
        <v>1543</v>
      </c>
      <c r="O54" s="930"/>
      <c r="P54" s="945"/>
      <c r="Q54" s="949"/>
      <c r="R54" s="4"/>
    </row>
    <row r="55" spans="1:18">
      <c r="A55" s="672">
        <v>7</v>
      </c>
      <c r="B55" s="664" t="s">
        <v>15103</v>
      </c>
      <c r="C55" s="4" t="s">
        <v>15111</v>
      </c>
      <c r="D55" s="667">
        <v>0</v>
      </c>
      <c r="E55" s="667">
        <v>0</v>
      </c>
      <c r="F55" s="667">
        <v>0</v>
      </c>
      <c r="G55" s="30">
        <v>0</v>
      </c>
      <c r="H55" s="30">
        <v>0</v>
      </c>
      <c r="I55" s="30">
        <v>0</v>
      </c>
      <c r="J55" s="30">
        <v>1432</v>
      </c>
      <c r="K55" s="30">
        <v>1434</v>
      </c>
      <c r="L55" s="30">
        <v>1441</v>
      </c>
      <c r="M55" s="111"/>
      <c r="N55" s="664" t="s">
        <v>1543</v>
      </c>
      <c r="O55" s="930"/>
      <c r="P55" s="945"/>
      <c r="Q55" s="949"/>
      <c r="R55" s="4"/>
    </row>
    <row r="56" spans="1:18">
      <c r="A56" s="672">
        <v>8</v>
      </c>
      <c r="B56" s="664" t="s">
        <v>2421</v>
      </c>
      <c r="C56" s="4" t="s">
        <v>15112</v>
      </c>
      <c r="D56" s="667">
        <v>0</v>
      </c>
      <c r="E56" s="667">
        <v>0</v>
      </c>
      <c r="F56" s="667">
        <v>0</v>
      </c>
      <c r="G56" s="30">
        <v>0</v>
      </c>
      <c r="H56" s="30">
        <v>0</v>
      </c>
      <c r="I56" s="30">
        <v>0</v>
      </c>
      <c r="J56" s="30">
        <v>3541</v>
      </c>
      <c r="K56" s="30">
        <v>3466</v>
      </c>
      <c r="L56" s="30">
        <v>3545</v>
      </c>
      <c r="M56" s="111"/>
      <c r="N56" s="664" t="s">
        <v>1543</v>
      </c>
      <c r="O56" s="930"/>
      <c r="P56" s="945"/>
      <c r="Q56" s="949"/>
      <c r="R56" s="4"/>
    </row>
    <row r="57" spans="1:18">
      <c r="A57" s="672">
        <v>9</v>
      </c>
      <c r="B57" s="664" t="s">
        <v>15104</v>
      </c>
      <c r="C57" s="4" t="s">
        <v>15113</v>
      </c>
      <c r="D57" s="667">
        <v>0</v>
      </c>
      <c r="E57" s="667">
        <v>0</v>
      </c>
      <c r="F57" s="667">
        <v>0</v>
      </c>
      <c r="G57" s="30">
        <v>0</v>
      </c>
      <c r="H57" s="30">
        <v>0</v>
      </c>
      <c r="I57" s="30">
        <v>0</v>
      </c>
      <c r="J57" s="30">
        <v>2294</v>
      </c>
      <c r="K57" s="30">
        <v>2198</v>
      </c>
      <c r="L57" s="30">
        <v>2241</v>
      </c>
      <c r="M57" s="111"/>
      <c r="N57" s="664" t="s">
        <v>1543</v>
      </c>
      <c r="O57" s="930"/>
      <c r="P57" s="945"/>
      <c r="Q57" s="949"/>
      <c r="R57" s="4"/>
    </row>
    <row r="58" spans="1:18">
      <c r="A58" s="672">
        <v>10</v>
      </c>
      <c r="B58" s="664" t="s">
        <v>15105</v>
      </c>
      <c r="C58" s="4" t="s">
        <v>15114</v>
      </c>
      <c r="D58" s="667">
        <v>0</v>
      </c>
      <c r="E58" s="667">
        <v>0</v>
      </c>
      <c r="F58" s="667">
        <v>0</v>
      </c>
      <c r="G58" s="30">
        <v>0</v>
      </c>
      <c r="H58" s="30">
        <v>0</v>
      </c>
      <c r="I58" s="30">
        <v>0</v>
      </c>
      <c r="J58" s="30">
        <v>840</v>
      </c>
      <c r="K58" s="30">
        <v>763</v>
      </c>
      <c r="L58" s="30">
        <v>745</v>
      </c>
      <c r="M58" s="111"/>
      <c r="N58" s="664" t="s">
        <v>1543</v>
      </c>
      <c r="O58" s="930"/>
      <c r="P58" s="945"/>
      <c r="Q58" s="949"/>
      <c r="R58" s="4"/>
    </row>
    <row r="59" spans="1:18">
      <c r="A59" s="672">
        <v>11</v>
      </c>
      <c r="B59" s="664" t="s">
        <v>2337</v>
      </c>
      <c r="C59" s="4" t="s">
        <v>15115</v>
      </c>
      <c r="D59" s="667">
        <v>0</v>
      </c>
      <c r="E59" s="667">
        <v>0</v>
      </c>
      <c r="F59" s="667">
        <v>0</v>
      </c>
      <c r="G59" s="30">
        <v>0</v>
      </c>
      <c r="H59" s="30">
        <v>0</v>
      </c>
      <c r="I59" s="30">
        <v>0</v>
      </c>
      <c r="J59" s="30">
        <v>2765</v>
      </c>
      <c r="K59" s="30">
        <v>2846</v>
      </c>
      <c r="L59" s="30">
        <v>2896</v>
      </c>
      <c r="M59" s="111"/>
      <c r="N59" s="664" t="s">
        <v>1543</v>
      </c>
      <c r="O59" s="930"/>
      <c r="P59" s="945"/>
      <c r="Q59" s="949"/>
      <c r="R59" s="4"/>
    </row>
    <row r="60" spans="1:18">
      <c r="A60" s="672">
        <v>12</v>
      </c>
      <c r="B60" s="664" t="s">
        <v>5546</v>
      </c>
      <c r="C60" s="4" t="s">
        <v>15116</v>
      </c>
      <c r="D60" s="667">
        <v>0</v>
      </c>
      <c r="E60" s="667">
        <v>0</v>
      </c>
      <c r="F60" s="667">
        <v>0</v>
      </c>
      <c r="G60" s="30">
        <v>0</v>
      </c>
      <c r="H60" s="30">
        <v>0</v>
      </c>
      <c r="I60" s="30">
        <v>0</v>
      </c>
      <c r="J60" s="30">
        <v>2703</v>
      </c>
      <c r="K60" s="30">
        <v>2663</v>
      </c>
      <c r="L60" s="30">
        <v>2673</v>
      </c>
      <c r="M60" s="111"/>
      <c r="N60" s="664" t="s">
        <v>1543</v>
      </c>
      <c r="O60" s="930"/>
      <c r="P60" s="945"/>
      <c r="Q60" s="949"/>
      <c r="R60" s="4"/>
    </row>
    <row r="61" spans="1:18">
      <c r="A61" s="672">
        <v>13</v>
      </c>
      <c r="B61" s="664" t="s">
        <v>7817</v>
      </c>
      <c r="C61" s="4" t="s">
        <v>15117</v>
      </c>
      <c r="D61" s="667">
        <v>0</v>
      </c>
      <c r="E61" s="667">
        <v>0</v>
      </c>
      <c r="F61" s="667">
        <v>0</v>
      </c>
      <c r="G61" s="30">
        <v>0</v>
      </c>
      <c r="H61" s="30">
        <v>0</v>
      </c>
      <c r="I61" s="30">
        <v>0</v>
      </c>
      <c r="J61" s="30">
        <v>1397</v>
      </c>
      <c r="K61" s="30">
        <v>1450</v>
      </c>
      <c r="L61" s="30">
        <v>1503</v>
      </c>
      <c r="M61" s="111"/>
      <c r="N61" s="664" t="s">
        <v>1543</v>
      </c>
      <c r="O61" s="930"/>
      <c r="P61" s="945"/>
      <c r="Q61" s="949"/>
      <c r="R61" s="4"/>
    </row>
    <row r="62" spans="1:18">
      <c r="A62" s="672">
        <v>14</v>
      </c>
      <c r="B62" s="664" t="s">
        <v>2338</v>
      </c>
      <c r="C62" s="4" t="s">
        <v>15118</v>
      </c>
      <c r="D62" s="667">
        <v>0</v>
      </c>
      <c r="E62" s="667">
        <v>0</v>
      </c>
      <c r="F62" s="667">
        <v>0</v>
      </c>
      <c r="G62" s="30">
        <v>0</v>
      </c>
      <c r="H62" s="30">
        <v>0</v>
      </c>
      <c r="I62" s="30">
        <v>0</v>
      </c>
      <c r="J62" s="30">
        <v>2262</v>
      </c>
      <c r="K62" s="30">
        <v>2244</v>
      </c>
      <c r="L62" s="30">
        <v>2233</v>
      </c>
      <c r="M62" s="111"/>
      <c r="N62" s="664" t="s">
        <v>1543</v>
      </c>
      <c r="O62" s="930"/>
      <c r="P62" s="945"/>
      <c r="Q62" s="949"/>
      <c r="R62" s="4"/>
    </row>
    <row r="63" spans="1:18">
      <c r="A63" s="672">
        <v>15</v>
      </c>
      <c r="B63" s="664" t="s">
        <v>2339</v>
      </c>
      <c r="C63" s="4" t="s">
        <v>15119</v>
      </c>
      <c r="D63" s="667">
        <v>0</v>
      </c>
      <c r="E63" s="667">
        <v>0</v>
      </c>
      <c r="F63" s="667">
        <v>0</v>
      </c>
      <c r="G63" s="30">
        <v>0</v>
      </c>
      <c r="H63" s="30">
        <v>0</v>
      </c>
      <c r="I63" s="30">
        <v>0</v>
      </c>
      <c r="J63" s="30">
        <v>2994</v>
      </c>
      <c r="K63" s="30">
        <v>3033</v>
      </c>
      <c r="L63" s="30">
        <v>3092</v>
      </c>
      <c r="M63" s="111"/>
      <c r="N63" s="664" t="s">
        <v>1543</v>
      </c>
      <c r="O63" s="930"/>
      <c r="P63" s="945"/>
      <c r="Q63" s="949"/>
      <c r="R63" s="4"/>
    </row>
    <row r="64" spans="1:18">
      <c r="A64" s="111"/>
      <c r="B64" s="111"/>
      <c r="C64" s="111"/>
      <c r="D64" s="668"/>
      <c r="E64" s="668"/>
      <c r="F64" s="668"/>
      <c r="G64" s="668"/>
      <c r="H64" s="668"/>
      <c r="I64" s="668"/>
      <c r="J64" s="668"/>
      <c r="K64" s="668"/>
      <c r="L64" s="668"/>
      <c r="M64" s="111"/>
      <c r="N64" s="111"/>
    </row>
    <row r="65" spans="1:18">
      <c r="A65" s="664" t="s">
        <v>5828</v>
      </c>
      <c r="C65" s="111"/>
      <c r="D65" s="667">
        <f t="shared" ref="D65:J65" si="89">SUM(D49:D63)</f>
        <v>44167</v>
      </c>
      <c r="E65" s="667">
        <f t="shared" si="89"/>
        <v>44117</v>
      </c>
      <c r="F65" s="667">
        <f t="shared" si="89"/>
        <v>44030</v>
      </c>
      <c r="G65" s="667">
        <f t="shared" si="89"/>
        <v>43915</v>
      </c>
      <c r="H65" s="667">
        <f t="shared" si="89"/>
        <v>43313</v>
      </c>
      <c r="I65" s="667">
        <f t="shared" si="89"/>
        <v>40833</v>
      </c>
      <c r="J65" s="667">
        <f t="shared" si="89"/>
        <v>39834</v>
      </c>
      <c r="K65" s="667">
        <f t="shared" ref="K65:L65" si="90">SUM(K49:K63)</f>
        <v>39739</v>
      </c>
      <c r="L65" s="667">
        <f t="shared" si="90"/>
        <v>40157</v>
      </c>
      <c r="M65" s="111"/>
      <c r="N65" s="111"/>
    </row>
    <row r="66" spans="1:18">
      <c r="A66" s="664"/>
      <c r="B66" s="664"/>
      <c r="C66" s="111"/>
      <c r="D66" s="673"/>
      <c r="E66" s="673"/>
      <c r="F66" s="673"/>
      <c r="G66" s="673"/>
      <c r="H66" s="673"/>
      <c r="I66" s="673"/>
      <c r="J66" s="673"/>
      <c r="K66" s="673"/>
      <c r="L66" s="673"/>
      <c r="M66" s="111"/>
      <c r="N66" s="111"/>
    </row>
    <row r="67" spans="1:18">
      <c r="A67" s="664" t="s">
        <v>15101</v>
      </c>
      <c r="B67" s="664"/>
      <c r="C67" s="111"/>
      <c r="D67" s="673"/>
      <c r="E67" s="673"/>
      <c r="F67" s="673"/>
      <c r="G67" s="673"/>
      <c r="H67" s="673"/>
      <c r="I67" s="673"/>
      <c r="J67" s="673"/>
      <c r="K67" s="673"/>
      <c r="L67" s="673"/>
      <c r="M67" s="111"/>
      <c r="N67" s="111"/>
    </row>
    <row r="68" spans="1:18">
      <c r="A68" s="664"/>
      <c r="B68" s="664"/>
      <c r="C68" s="111"/>
      <c r="D68" s="673"/>
      <c r="E68" s="673"/>
      <c r="F68" s="673"/>
      <c r="G68" s="673"/>
      <c r="H68" s="673"/>
      <c r="I68" s="673"/>
      <c r="J68" s="673"/>
      <c r="K68" s="673"/>
      <c r="L68" s="673"/>
      <c r="M68" s="111"/>
      <c r="N68" s="111"/>
    </row>
    <row r="69" spans="1:18">
      <c r="A69" s="664"/>
      <c r="B69" s="664"/>
      <c r="C69" s="111"/>
      <c r="D69" s="673"/>
      <c r="E69" s="673"/>
      <c r="F69" s="673"/>
      <c r="G69" s="673"/>
      <c r="H69" s="673"/>
      <c r="I69" s="673"/>
      <c r="J69" s="673"/>
      <c r="K69" s="673"/>
      <c r="L69" s="673"/>
      <c r="M69" s="111"/>
      <c r="N69" s="111"/>
    </row>
    <row r="70" spans="1:18">
      <c r="A70" s="111"/>
      <c r="B70" s="111"/>
      <c r="E70" s="42" t="s">
        <v>2303</v>
      </c>
      <c r="F70" s="42"/>
      <c r="G70" s="42"/>
      <c r="H70" s="42"/>
      <c r="I70" s="42"/>
      <c r="J70" s="42"/>
      <c r="K70" s="42"/>
      <c r="L70" s="42"/>
      <c r="M70" s="153"/>
      <c r="N70" s="109" t="s">
        <v>13319</v>
      </c>
    </row>
    <row r="71" spans="1:18">
      <c r="A71" s="111"/>
      <c r="B71" s="111"/>
      <c r="C71" s="111"/>
      <c r="D71" s="110">
        <v>2010</v>
      </c>
      <c r="E71" s="110">
        <v>2011</v>
      </c>
      <c r="F71" s="110">
        <v>2012</v>
      </c>
      <c r="G71" s="110">
        <v>2013</v>
      </c>
      <c r="H71" s="110">
        <v>2014</v>
      </c>
      <c r="I71" s="110">
        <v>2015</v>
      </c>
      <c r="J71" s="110">
        <v>2016</v>
      </c>
      <c r="K71" s="110">
        <v>2017</v>
      </c>
      <c r="L71" s="110">
        <v>2018</v>
      </c>
      <c r="M71" s="111"/>
      <c r="N71" s="112" t="s">
        <v>2304</v>
      </c>
    </row>
    <row r="72" spans="1:18">
      <c r="A72" s="664" t="s">
        <v>5829</v>
      </c>
      <c r="C72" s="111"/>
      <c r="D72" s="667">
        <f t="shared" ref="D72:I72" si="91">SUM(D73:D84)+SUM(D86:D111)</f>
        <v>105825</v>
      </c>
      <c r="E72" s="667">
        <f t="shared" si="91"/>
        <v>104586</v>
      </c>
      <c r="F72" s="667">
        <f t="shared" si="91"/>
        <v>104757</v>
      </c>
      <c r="G72" s="667">
        <f t="shared" si="91"/>
        <v>101192</v>
      </c>
      <c r="H72" s="667">
        <f t="shared" si="91"/>
        <v>106037</v>
      </c>
      <c r="I72" s="667">
        <f t="shared" si="91"/>
        <v>100037</v>
      </c>
      <c r="J72" s="667">
        <f t="shared" ref="J72:K72" si="92">SUM(J73:J84)+SUM(J86:J111)</f>
        <v>102964</v>
      </c>
      <c r="K72" s="667">
        <f t="shared" si="92"/>
        <v>107124</v>
      </c>
      <c r="L72" s="667">
        <f t="shared" ref="L72" si="93">SUM(L73:L84)+SUM(L86:L111)</f>
        <v>108850</v>
      </c>
      <c r="M72" s="111"/>
      <c r="N72" s="111"/>
    </row>
    <row r="73" spans="1:18">
      <c r="A73" s="672">
        <v>1</v>
      </c>
      <c r="B73" s="664" t="s">
        <v>5830</v>
      </c>
      <c r="C73" s="4" t="s">
        <v>14110</v>
      </c>
      <c r="D73" s="667">
        <v>77210</v>
      </c>
      <c r="E73" s="667">
        <v>76233</v>
      </c>
      <c r="F73" s="667">
        <v>76217</v>
      </c>
      <c r="G73" s="667">
        <v>73803</v>
      </c>
      <c r="H73" s="30">
        <v>76866</v>
      </c>
      <c r="I73" s="30">
        <v>3547</v>
      </c>
      <c r="J73" s="30">
        <v>3625</v>
      </c>
      <c r="K73" s="30">
        <v>3673</v>
      </c>
      <c r="L73" s="30">
        <v>3726</v>
      </c>
      <c r="M73" s="111"/>
      <c r="N73" s="664" t="s">
        <v>1551</v>
      </c>
      <c r="P73" s="4"/>
      <c r="R73" s="4"/>
    </row>
    <row r="74" spans="1:18">
      <c r="A74" s="672">
        <v>2</v>
      </c>
      <c r="B74" s="664" t="s">
        <v>5831</v>
      </c>
      <c r="C74" s="4" t="s">
        <v>14111</v>
      </c>
      <c r="D74" s="674">
        <v>0</v>
      </c>
      <c r="E74" s="674">
        <v>0</v>
      </c>
      <c r="F74" s="674">
        <v>0</v>
      </c>
      <c r="G74" s="674">
        <v>0</v>
      </c>
      <c r="H74" s="30">
        <v>0</v>
      </c>
      <c r="I74" s="30">
        <v>1887</v>
      </c>
      <c r="J74" s="30">
        <v>1982</v>
      </c>
      <c r="K74" s="30">
        <v>2060</v>
      </c>
      <c r="L74" s="30">
        <v>2049</v>
      </c>
      <c r="M74" s="111"/>
      <c r="N74" s="664" t="s">
        <v>1551</v>
      </c>
      <c r="P74" s="4"/>
      <c r="R74" s="4"/>
    </row>
    <row r="75" spans="1:18">
      <c r="A75" s="672">
        <v>3</v>
      </c>
      <c r="B75" s="664" t="s">
        <v>5832</v>
      </c>
      <c r="C75" s="4" t="s">
        <v>14112</v>
      </c>
      <c r="D75" s="667">
        <v>26806</v>
      </c>
      <c r="E75" s="667">
        <v>26503</v>
      </c>
      <c r="F75" s="667">
        <v>26698</v>
      </c>
      <c r="G75" s="667">
        <v>25570</v>
      </c>
      <c r="H75" s="30">
        <v>27196</v>
      </c>
      <c r="I75" s="30">
        <v>2020</v>
      </c>
      <c r="J75" s="30">
        <v>1984</v>
      </c>
      <c r="K75" s="30">
        <v>2035</v>
      </c>
      <c r="L75" s="30">
        <v>2006</v>
      </c>
      <c r="M75" s="111"/>
      <c r="N75" s="664" t="s">
        <v>1543</v>
      </c>
      <c r="P75" s="4"/>
      <c r="R75" s="4"/>
    </row>
    <row r="76" spans="1:18">
      <c r="A76" s="672">
        <v>4</v>
      </c>
      <c r="B76" s="664" t="s">
        <v>2432</v>
      </c>
      <c r="C76" s="4" t="s">
        <v>14113</v>
      </c>
      <c r="D76" s="667">
        <v>0</v>
      </c>
      <c r="E76" s="667">
        <v>0</v>
      </c>
      <c r="F76" s="667">
        <v>0</v>
      </c>
      <c r="G76" s="667">
        <v>0</v>
      </c>
      <c r="H76" s="30">
        <v>0</v>
      </c>
      <c r="I76" s="30">
        <v>3633</v>
      </c>
      <c r="J76" s="30">
        <v>3785</v>
      </c>
      <c r="K76" s="30">
        <v>3915</v>
      </c>
      <c r="L76" s="30">
        <v>3975</v>
      </c>
      <c r="M76" s="111"/>
      <c r="N76" s="664" t="s">
        <v>1551</v>
      </c>
      <c r="P76" s="4"/>
      <c r="R76" s="4"/>
    </row>
    <row r="77" spans="1:18">
      <c r="A77" s="672">
        <v>5</v>
      </c>
      <c r="B77" s="664" t="s">
        <v>13871</v>
      </c>
      <c r="C77" s="4" t="s">
        <v>14114</v>
      </c>
      <c r="D77" s="667">
        <v>0</v>
      </c>
      <c r="E77" s="667">
        <v>0</v>
      </c>
      <c r="F77" s="667">
        <v>0</v>
      </c>
      <c r="G77" s="667">
        <v>0</v>
      </c>
      <c r="H77" s="30">
        <v>0</v>
      </c>
      <c r="I77" s="30">
        <v>5645</v>
      </c>
      <c r="J77" s="30">
        <v>6065</v>
      </c>
      <c r="K77" s="30">
        <v>6430</v>
      </c>
      <c r="L77" s="30">
        <v>6647</v>
      </c>
      <c r="M77" s="111"/>
      <c r="N77" s="664" t="s">
        <v>1551</v>
      </c>
      <c r="P77" s="4"/>
      <c r="R77" s="4"/>
    </row>
    <row r="78" spans="1:18">
      <c r="A78" s="672">
        <v>6</v>
      </c>
      <c r="B78" s="664" t="s">
        <v>2433</v>
      </c>
      <c r="C78" s="4" t="s">
        <v>14115</v>
      </c>
      <c r="D78" s="667">
        <v>0</v>
      </c>
      <c r="E78" s="667">
        <v>0</v>
      </c>
      <c r="F78" s="667">
        <v>0</v>
      </c>
      <c r="G78" s="667">
        <v>0</v>
      </c>
      <c r="H78" s="30">
        <v>0</v>
      </c>
      <c r="I78" s="30">
        <v>1723</v>
      </c>
      <c r="J78" s="30">
        <v>1802</v>
      </c>
      <c r="K78" s="30">
        <v>1901</v>
      </c>
      <c r="L78" s="30">
        <v>1903</v>
      </c>
      <c r="M78" s="111"/>
      <c r="N78" s="664" t="s">
        <v>1543</v>
      </c>
      <c r="P78" s="4"/>
      <c r="R78" s="4"/>
    </row>
    <row r="79" spans="1:18">
      <c r="A79" s="672">
        <v>7</v>
      </c>
      <c r="B79" s="664" t="s">
        <v>13872</v>
      </c>
      <c r="C79" s="4" t="s">
        <v>14116</v>
      </c>
      <c r="D79" s="667">
        <v>0</v>
      </c>
      <c r="E79" s="667">
        <v>0</v>
      </c>
      <c r="F79" s="667">
        <v>0</v>
      </c>
      <c r="G79" s="667">
        <v>0</v>
      </c>
      <c r="H79" s="30">
        <v>0</v>
      </c>
      <c r="I79" s="30">
        <v>1621</v>
      </c>
      <c r="J79" s="30">
        <v>1698</v>
      </c>
      <c r="K79" s="30">
        <v>1759</v>
      </c>
      <c r="L79" s="30">
        <v>1761</v>
      </c>
      <c r="M79" s="111"/>
      <c r="N79" s="664" t="s">
        <v>1543</v>
      </c>
      <c r="P79" s="4"/>
      <c r="R79" s="4"/>
    </row>
    <row r="80" spans="1:18">
      <c r="A80" s="672">
        <v>8</v>
      </c>
      <c r="B80" s="666" t="s">
        <v>13873</v>
      </c>
      <c r="C80" s="4" t="s">
        <v>14117</v>
      </c>
      <c r="D80" s="667">
        <v>0</v>
      </c>
      <c r="E80" s="667">
        <v>0</v>
      </c>
      <c r="F80" s="667">
        <v>0</v>
      </c>
      <c r="G80" s="667">
        <v>0</v>
      </c>
      <c r="H80" s="30">
        <v>0</v>
      </c>
      <c r="I80" s="31">
        <v>1849</v>
      </c>
      <c r="J80" s="31">
        <v>1874</v>
      </c>
      <c r="K80" s="31">
        <v>1954</v>
      </c>
      <c r="L80" s="31">
        <v>1975</v>
      </c>
      <c r="M80" s="111"/>
      <c r="N80" s="664" t="s">
        <v>1551</v>
      </c>
      <c r="P80" s="4"/>
      <c r="R80" s="4"/>
    </row>
    <row r="81" spans="1:18">
      <c r="A81" s="672">
        <v>9</v>
      </c>
      <c r="B81" s="664" t="s">
        <v>2434</v>
      </c>
      <c r="C81" s="4" t="s">
        <v>14118</v>
      </c>
      <c r="D81" s="667">
        <v>0</v>
      </c>
      <c r="E81" s="667">
        <v>0</v>
      </c>
      <c r="F81" s="667">
        <v>0</v>
      </c>
      <c r="G81" s="667">
        <v>0</v>
      </c>
      <c r="H81" s="30">
        <v>0</v>
      </c>
      <c r="I81" s="31">
        <v>1712</v>
      </c>
      <c r="J81" s="31">
        <v>1734</v>
      </c>
      <c r="K81" s="31">
        <v>1744</v>
      </c>
      <c r="L81" s="31">
        <v>1770</v>
      </c>
      <c r="M81" s="111"/>
      <c r="N81" s="664" t="s">
        <v>1551</v>
      </c>
      <c r="P81" s="4"/>
      <c r="R81" s="4"/>
    </row>
    <row r="82" spans="1:18">
      <c r="A82" s="672">
        <v>10</v>
      </c>
      <c r="B82" s="666" t="s">
        <v>13874</v>
      </c>
      <c r="C82" s="4" t="s">
        <v>14119</v>
      </c>
      <c r="D82" s="667">
        <v>0</v>
      </c>
      <c r="E82" s="667">
        <v>0</v>
      </c>
      <c r="F82" s="667">
        <v>0</v>
      </c>
      <c r="G82" s="667">
        <v>0</v>
      </c>
      <c r="H82" s="30">
        <v>0</v>
      </c>
      <c r="I82" s="31">
        <v>1819</v>
      </c>
      <c r="J82" s="31">
        <v>1828</v>
      </c>
      <c r="K82" s="31">
        <v>1897</v>
      </c>
      <c r="L82" s="31">
        <v>1898</v>
      </c>
      <c r="M82" s="111"/>
      <c r="N82" s="664" t="s">
        <v>1551</v>
      </c>
      <c r="P82" s="4"/>
      <c r="R82" s="4"/>
    </row>
    <row r="83" spans="1:18">
      <c r="A83" s="672">
        <v>11</v>
      </c>
      <c r="B83" s="664" t="s">
        <v>2435</v>
      </c>
      <c r="C83" s="4" t="s">
        <v>14120</v>
      </c>
      <c r="D83" s="667">
        <v>0</v>
      </c>
      <c r="E83" s="667">
        <v>0</v>
      </c>
      <c r="F83" s="667">
        <v>0</v>
      </c>
      <c r="G83" s="667">
        <v>0</v>
      </c>
      <c r="H83" s="30">
        <v>0</v>
      </c>
      <c r="I83" s="30">
        <v>407</v>
      </c>
      <c r="J83" s="30">
        <v>405</v>
      </c>
      <c r="K83" s="30">
        <v>411</v>
      </c>
      <c r="L83" s="30">
        <v>414</v>
      </c>
      <c r="M83" s="111"/>
      <c r="N83" s="664" t="s">
        <v>1543</v>
      </c>
      <c r="P83" s="4"/>
      <c r="R83" s="4"/>
    </row>
    <row r="84" spans="1:18" ht="15.75" thickBot="1">
      <c r="A84" s="672"/>
      <c r="B84" s="664"/>
      <c r="C84" s="4" t="s">
        <v>14120</v>
      </c>
      <c r="D84" s="670">
        <v>0</v>
      </c>
      <c r="E84" s="670">
        <v>0</v>
      </c>
      <c r="F84" s="670">
        <v>0</v>
      </c>
      <c r="G84" s="670">
        <v>0</v>
      </c>
      <c r="H84" s="899">
        <v>0</v>
      </c>
      <c r="I84" s="31">
        <v>1586</v>
      </c>
      <c r="J84" s="31">
        <v>1637</v>
      </c>
      <c r="K84" s="31">
        <v>1698</v>
      </c>
      <c r="L84" s="31">
        <v>1782</v>
      </c>
      <c r="M84" s="111"/>
      <c r="N84" s="664" t="s">
        <v>1551</v>
      </c>
      <c r="P84" s="4"/>
      <c r="R84" s="4"/>
    </row>
    <row r="85" spans="1:18" ht="15.75" thickBot="1">
      <c r="A85" s="672"/>
      <c r="B85" s="664"/>
      <c r="C85" s="4" t="s">
        <v>14120</v>
      </c>
      <c r="D85" s="675">
        <f>D83+D84</f>
        <v>0</v>
      </c>
      <c r="E85" s="675">
        <f t="shared" ref="E85:L85" si="94">E83+E84</f>
        <v>0</v>
      </c>
      <c r="F85" s="675">
        <f t="shared" si="94"/>
        <v>0</v>
      </c>
      <c r="G85" s="675">
        <f t="shared" si="94"/>
        <v>0</v>
      </c>
      <c r="H85" s="675">
        <f t="shared" si="94"/>
        <v>0</v>
      </c>
      <c r="I85" s="675">
        <f t="shared" si="94"/>
        <v>1993</v>
      </c>
      <c r="J85" s="675">
        <f t="shared" si="94"/>
        <v>2042</v>
      </c>
      <c r="K85" s="675">
        <f t="shared" si="94"/>
        <v>2109</v>
      </c>
      <c r="L85" s="675">
        <f t="shared" si="94"/>
        <v>2196</v>
      </c>
      <c r="M85" s="111"/>
      <c r="N85" s="664"/>
      <c r="P85" s="4"/>
      <c r="R85" s="4"/>
    </row>
    <row r="86" spans="1:18">
      <c r="A86" s="672">
        <v>12</v>
      </c>
      <c r="B86" s="664" t="s">
        <v>13875</v>
      </c>
      <c r="C86" s="4" t="s">
        <v>14121</v>
      </c>
      <c r="D86" s="667">
        <v>0</v>
      </c>
      <c r="E86" s="667">
        <v>0</v>
      </c>
      <c r="F86" s="667">
        <v>0</v>
      </c>
      <c r="G86" s="667">
        <v>0</v>
      </c>
      <c r="H86" s="30">
        <v>0</v>
      </c>
      <c r="I86" s="31">
        <v>4025</v>
      </c>
      <c r="J86" s="903">
        <v>3953</v>
      </c>
      <c r="K86" s="31">
        <v>4047</v>
      </c>
      <c r="L86" s="31">
        <v>4027</v>
      </c>
      <c r="M86" s="111"/>
      <c r="N86" s="664" t="s">
        <v>1551</v>
      </c>
      <c r="P86" s="4"/>
      <c r="R86" s="4"/>
    </row>
    <row r="87" spans="1:18">
      <c r="A87" s="672">
        <v>13</v>
      </c>
      <c r="B87" s="664" t="s">
        <v>2436</v>
      </c>
      <c r="C87" s="4" t="s">
        <v>14122</v>
      </c>
      <c r="D87" s="667">
        <v>0</v>
      </c>
      <c r="E87" s="667">
        <v>0</v>
      </c>
      <c r="F87" s="667">
        <v>0</v>
      </c>
      <c r="G87" s="667">
        <v>0</v>
      </c>
      <c r="H87" s="30">
        <v>0</v>
      </c>
      <c r="I87" s="31">
        <v>5294</v>
      </c>
      <c r="J87" s="903">
        <v>5505</v>
      </c>
      <c r="K87" s="31">
        <v>5836</v>
      </c>
      <c r="L87" s="31">
        <v>5884</v>
      </c>
      <c r="M87" s="111"/>
      <c r="N87" s="664" t="s">
        <v>1551</v>
      </c>
      <c r="P87" s="4"/>
      <c r="R87" s="4"/>
    </row>
    <row r="88" spans="1:18">
      <c r="A88" s="672">
        <v>14</v>
      </c>
      <c r="B88" s="664" t="s">
        <v>2437</v>
      </c>
      <c r="C88" s="4" t="s">
        <v>14123</v>
      </c>
      <c r="D88" s="667">
        <v>0</v>
      </c>
      <c r="E88" s="667">
        <v>0</v>
      </c>
      <c r="F88" s="667">
        <v>0</v>
      </c>
      <c r="G88" s="667">
        <v>0</v>
      </c>
      <c r="H88" s="30">
        <v>0</v>
      </c>
      <c r="I88" s="30">
        <v>1411</v>
      </c>
      <c r="J88" s="809">
        <v>1476</v>
      </c>
      <c r="K88" s="30">
        <v>1563</v>
      </c>
      <c r="L88" s="30">
        <v>1630</v>
      </c>
      <c r="M88" s="111"/>
      <c r="N88" s="664" t="s">
        <v>1543</v>
      </c>
      <c r="P88" s="4"/>
      <c r="R88" s="4"/>
    </row>
    <row r="89" spans="1:18">
      <c r="A89" s="672">
        <v>15</v>
      </c>
      <c r="B89" s="664" t="s">
        <v>2438</v>
      </c>
      <c r="C89" s="4" t="s">
        <v>14124</v>
      </c>
      <c r="D89" s="667">
        <v>0</v>
      </c>
      <c r="E89" s="667">
        <v>0</v>
      </c>
      <c r="F89" s="667">
        <v>0</v>
      </c>
      <c r="G89" s="667">
        <v>0</v>
      </c>
      <c r="H89" s="30">
        <v>0</v>
      </c>
      <c r="I89" s="31">
        <v>1754</v>
      </c>
      <c r="J89" s="903">
        <v>1775</v>
      </c>
      <c r="K89" s="31">
        <v>1859</v>
      </c>
      <c r="L89" s="31">
        <v>1878</v>
      </c>
      <c r="M89" s="111"/>
      <c r="N89" s="664" t="s">
        <v>1551</v>
      </c>
      <c r="P89" s="4"/>
      <c r="R89" s="4"/>
    </row>
    <row r="90" spans="1:18">
      <c r="A90" s="672">
        <v>16</v>
      </c>
      <c r="B90" s="664" t="s">
        <v>13876</v>
      </c>
      <c r="C90" s="4" t="s">
        <v>14125</v>
      </c>
      <c r="D90" s="667">
        <v>0</v>
      </c>
      <c r="E90" s="667">
        <v>0</v>
      </c>
      <c r="F90" s="667">
        <v>0</v>
      </c>
      <c r="G90" s="667">
        <v>0</v>
      </c>
      <c r="H90" s="30">
        <v>0</v>
      </c>
      <c r="I90" s="31">
        <v>5740</v>
      </c>
      <c r="J90" s="903">
        <v>6028</v>
      </c>
      <c r="K90" s="31">
        <v>6322</v>
      </c>
      <c r="L90" s="31">
        <v>6519</v>
      </c>
      <c r="M90" s="111"/>
      <c r="N90" s="664" t="s">
        <v>1551</v>
      </c>
      <c r="P90" s="4"/>
      <c r="R90" s="4"/>
    </row>
    <row r="91" spans="1:18">
      <c r="A91" s="672">
        <v>17</v>
      </c>
      <c r="B91" s="664" t="s">
        <v>13877</v>
      </c>
      <c r="C91" s="4" t="s">
        <v>14126</v>
      </c>
      <c r="D91" s="667">
        <v>0</v>
      </c>
      <c r="E91" s="667">
        <v>0</v>
      </c>
      <c r="F91" s="667">
        <v>0</v>
      </c>
      <c r="G91" s="667">
        <v>0</v>
      </c>
      <c r="H91" s="30">
        <v>0</v>
      </c>
      <c r="I91" s="31">
        <v>3443</v>
      </c>
      <c r="J91" s="903">
        <v>3540</v>
      </c>
      <c r="K91" s="31">
        <v>3646</v>
      </c>
      <c r="L91" s="31">
        <v>3681</v>
      </c>
      <c r="M91" s="111"/>
      <c r="N91" s="664" t="s">
        <v>1551</v>
      </c>
      <c r="P91" s="4"/>
      <c r="R91" s="4"/>
    </row>
    <row r="92" spans="1:18">
      <c r="A92" s="672">
        <v>18</v>
      </c>
      <c r="B92" s="664" t="s">
        <v>1561</v>
      </c>
      <c r="C92" s="4" t="s">
        <v>14127</v>
      </c>
      <c r="D92" s="667">
        <v>0</v>
      </c>
      <c r="E92" s="667">
        <v>0</v>
      </c>
      <c r="F92" s="667">
        <v>0</v>
      </c>
      <c r="G92" s="667">
        <v>0</v>
      </c>
      <c r="H92" s="30">
        <v>0</v>
      </c>
      <c r="I92" s="31">
        <v>1798</v>
      </c>
      <c r="J92" s="903">
        <v>1781</v>
      </c>
      <c r="K92" s="31">
        <v>1800</v>
      </c>
      <c r="L92" s="31">
        <v>1821</v>
      </c>
      <c r="M92" s="111"/>
      <c r="N92" s="664" t="s">
        <v>1551</v>
      </c>
      <c r="P92" s="4"/>
      <c r="R92" s="4"/>
    </row>
    <row r="93" spans="1:18">
      <c r="A93" s="672">
        <v>19</v>
      </c>
      <c r="B93" s="664" t="s">
        <v>13878</v>
      </c>
      <c r="C93" s="4" t="s">
        <v>14128</v>
      </c>
      <c r="D93" s="667">
        <v>0</v>
      </c>
      <c r="E93" s="667">
        <v>0</v>
      </c>
      <c r="F93" s="667">
        <v>0</v>
      </c>
      <c r="G93" s="667">
        <v>0</v>
      </c>
      <c r="H93" s="30">
        <v>0</v>
      </c>
      <c r="I93" s="31">
        <v>3533</v>
      </c>
      <c r="J93" s="903">
        <v>3545</v>
      </c>
      <c r="K93" s="31">
        <v>3682</v>
      </c>
      <c r="L93" s="31">
        <v>3684</v>
      </c>
      <c r="M93" s="111"/>
      <c r="N93" s="664" t="s">
        <v>1551</v>
      </c>
      <c r="P93" s="4"/>
      <c r="R93" s="4"/>
    </row>
    <row r="94" spans="1:18">
      <c r="A94" s="672">
        <v>20</v>
      </c>
      <c r="B94" s="664" t="s">
        <v>1810</v>
      </c>
      <c r="C94" s="4" t="s">
        <v>14129</v>
      </c>
      <c r="D94" s="667">
        <v>0</v>
      </c>
      <c r="E94" s="667">
        <v>0</v>
      </c>
      <c r="F94" s="667">
        <v>0</v>
      </c>
      <c r="G94" s="667">
        <v>0</v>
      </c>
      <c r="H94" s="30">
        <v>0</v>
      </c>
      <c r="I94" s="31">
        <v>1849</v>
      </c>
      <c r="J94" s="903">
        <v>1908</v>
      </c>
      <c r="K94" s="31">
        <v>1962</v>
      </c>
      <c r="L94" s="31">
        <v>2002</v>
      </c>
      <c r="M94" s="111"/>
      <c r="N94" s="664" t="s">
        <v>1551</v>
      </c>
      <c r="P94" s="4"/>
      <c r="R94" s="4"/>
    </row>
    <row r="95" spans="1:18">
      <c r="A95" s="672">
        <v>21</v>
      </c>
      <c r="B95" s="664" t="s">
        <v>13879</v>
      </c>
      <c r="C95" s="4" t="s">
        <v>14134</v>
      </c>
      <c r="D95" s="667">
        <v>0</v>
      </c>
      <c r="E95" s="667">
        <v>0</v>
      </c>
      <c r="F95" s="667">
        <v>0</v>
      </c>
      <c r="G95" s="667">
        <v>0</v>
      </c>
      <c r="H95" s="30">
        <v>0</v>
      </c>
      <c r="I95" s="30">
        <v>5728</v>
      </c>
      <c r="J95" s="30">
        <v>5924</v>
      </c>
      <c r="K95" s="30">
        <v>6209</v>
      </c>
      <c r="L95" s="30">
        <v>6453</v>
      </c>
      <c r="M95" s="111"/>
      <c r="N95" s="664" t="s">
        <v>1543</v>
      </c>
      <c r="P95" s="4"/>
      <c r="R95" s="4"/>
    </row>
    <row r="96" spans="1:18">
      <c r="A96" s="672">
        <v>22</v>
      </c>
      <c r="B96" s="664" t="s">
        <v>13880</v>
      </c>
      <c r="C96" s="4" t="s">
        <v>14135</v>
      </c>
      <c r="D96" s="667">
        <v>0</v>
      </c>
      <c r="E96" s="667">
        <v>0</v>
      </c>
      <c r="F96" s="667">
        <v>0</v>
      </c>
      <c r="G96" s="667">
        <v>0</v>
      </c>
      <c r="H96" s="30">
        <v>0</v>
      </c>
      <c r="I96" s="30">
        <v>3858</v>
      </c>
      <c r="J96" s="30">
        <v>3992</v>
      </c>
      <c r="K96" s="30">
        <v>4123</v>
      </c>
      <c r="L96" s="30">
        <v>4097</v>
      </c>
      <c r="M96" s="111"/>
      <c r="N96" s="664" t="s">
        <v>1543</v>
      </c>
      <c r="P96" s="4"/>
      <c r="R96" s="4"/>
    </row>
    <row r="97" spans="1:18">
      <c r="A97" s="672">
        <v>23</v>
      </c>
      <c r="B97" s="664" t="s">
        <v>1564</v>
      </c>
      <c r="C97" s="4" t="s">
        <v>14136</v>
      </c>
      <c r="D97" s="667">
        <v>0</v>
      </c>
      <c r="E97" s="667">
        <v>0</v>
      </c>
      <c r="F97" s="667">
        <v>0</v>
      </c>
      <c r="G97" s="667">
        <v>0</v>
      </c>
      <c r="H97" s="30">
        <v>0</v>
      </c>
      <c r="I97" s="31">
        <v>2036</v>
      </c>
      <c r="J97" s="31">
        <v>2108</v>
      </c>
      <c r="K97" s="31">
        <v>2214</v>
      </c>
      <c r="L97" s="31">
        <v>2264</v>
      </c>
      <c r="M97" s="111"/>
      <c r="N97" s="664" t="s">
        <v>1551</v>
      </c>
      <c r="P97" s="4"/>
      <c r="R97" s="4"/>
    </row>
    <row r="98" spans="1:18">
      <c r="A98" s="672">
        <v>24</v>
      </c>
      <c r="B98" s="664" t="s">
        <v>1562</v>
      </c>
      <c r="C98" s="4" t="s">
        <v>14130</v>
      </c>
      <c r="D98" s="667">
        <v>0</v>
      </c>
      <c r="E98" s="667">
        <v>0</v>
      </c>
      <c r="F98" s="667">
        <v>0</v>
      </c>
      <c r="G98" s="667">
        <v>0</v>
      </c>
      <c r="H98" s="30">
        <v>0</v>
      </c>
      <c r="I98" s="30">
        <v>3135</v>
      </c>
      <c r="J98" s="30">
        <v>3398</v>
      </c>
      <c r="K98" s="30">
        <v>3639</v>
      </c>
      <c r="L98" s="30">
        <v>3759</v>
      </c>
      <c r="M98" s="111"/>
      <c r="N98" s="664" t="s">
        <v>1543</v>
      </c>
      <c r="P98" s="4"/>
      <c r="R98" s="4"/>
    </row>
    <row r="99" spans="1:18">
      <c r="A99" s="672">
        <v>25</v>
      </c>
      <c r="B99" s="664" t="s">
        <v>1563</v>
      </c>
      <c r="C99" s="4" t="s">
        <v>14131</v>
      </c>
      <c r="D99" s="667">
        <v>0</v>
      </c>
      <c r="E99" s="667">
        <v>0</v>
      </c>
      <c r="F99" s="667">
        <v>0</v>
      </c>
      <c r="G99" s="667">
        <v>0</v>
      </c>
      <c r="H99" s="30">
        <v>0</v>
      </c>
      <c r="I99" s="31">
        <v>1716</v>
      </c>
      <c r="J99" s="31">
        <v>1822</v>
      </c>
      <c r="K99" s="31">
        <v>1863</v>
      </c>
      <c r="L99" s="31">
        <v>1910</v>
      </c>
      <c r="M99" s="111"/>
      <c r="N99" s="664" t="s">
        <v>1551</v>
      </c>
      <c r="P99" s="4"/>
      <c r="R99" s="4"/>
    </row>
    <row r="100" spans="1:18">
      <c r="A100" s="672">
        <v>26</v>
      </c>
      <c r="B100" s="664" t="s">
        <v>8835</v>
      </c>
      <c r="C100" s="4" t="s">
        <v>14132</v>
      </c>
      <c r="D100" s="667">
        <v>0</v>
      </c>
      <c r="E100" s="667">
        <v>0</v>
      </c>
      <c r="F100" s="667">
        <v>0</v>
      </c>
      <c r="G100" s="667">
        <v>0</v>
      </c>
      <c r="H100" s="30">
        <v>0</v>
      </c>
      <c r="I100" s="31">
        <v>1823</v>
      </c>
      <c r="J100" s="31">
        <v>1806</v>
      </c>
      <c r="K100" s="31">
        <v>1837</v>
      </c>
      <c r="L100" s="31">
        <v>1852</v>
      </c>
      <c r="M100" s="111"/>
      <c r="N100" s="664" t="s">
        <v>1551</v>
      </c>
      <c r="P100" s="4"/>
      <c r="R100" s="4"/>
    </row>
    <row r="101" spans="1:18">
      <c r="A101" s="672">
        <v>27</v>
      </c>
      <c r="B101" s="664" t="s">
        <v>8836</v>
      </c>
      <c r="C101" s="4" t="s">
        <v>14133</v>
      </c>
      <c r="D101" s="667">
        <v>0</v>
      </c>
      <c r="E101" s="667">
        <v>0</v>
      </c>
      <c r="F101" s="667">
        <v>0</v>
      </c>
      <c r="G101" s="667">
        <v>0</v>
      </c>
      <c r="H101" s="30">
        <v>0</v>
      </c>
      <c r="I101" s="31">
        <v>1642</v>
      </c>
      <c r="J101" s="31">
        <v>1668</v>
      </c>
      <c r="K101" s="31">
        <v>1726</v>
      </c>
      <c r="L101" s="31">
        <v>1793</v>
      </c>
      <c r="M101" s="111"/>
      <c r="N101" s="664" t="s">
        <v>1551</v>
      </c>
      <c r="P101" s="4"/>
      <c r="R101" s="4"/>
    </row>
    <row r="102" spans="1:18">
      <c r="A102" s="672">
        <v>28</v>
      </c>
      <c r="B102" s="664" t="s">
        <v>13881</v>
      </c>
      <c r="C102" s="4" t="s">
        <v>14137</v>
      </c>
      <c r="D102" s="667">
        <v>0</v>
      </c>
      <c r="E102" s="667">
        <v>0</v>
      </c>
      <c r="F102" s="667">
        <v>0</v>
      </c>
      <c r="G102" s="667">
        <v>0</v>
      </c>
      <c r="H102" s="30">
        <v>0</v>
      </c>
      <c r="I102" s="31">
        <v>3679</v>
      </c>
      <c r="J102" s="31">
        <v>3735</v>
      </c>
      <c r="K102" s="31">
        <v>3870</v>
      </c>
      <c r="L102" s="31">
        <v>3941</v>
      </c>
      <c r="M102" s="111"/>
      <c r="N102" s="664" t="s">
        <v>1551</v>
      </c>
      <c r="P102" s="4"/>
      <c r="R102" s="4"/>
    </row>
    <row r="103" spans="1:18">
      <c r="A103" s="672">
        <v>29</v>
      </c>
      <c r="B103" s="664" t="s">
        <v>13882</v>
      </c>
      <c r="C103" s="4" t="s">
        <v>14138</v>
      </c>
      <c r="D103" s="667">
        <v>0</v>
      </c>
      <c r="E103" s="667">
        <v>0</v>
      </c>
      <c r="F103" s="667">
        <v>0</v>
      </c>
      <c r="G103" s="667">
        <v>0</v>
      </c>
      <c r="H103" s="30">
        <v>0</v>
      </c>
      <c r="I103" s="31">
        <v>1871</v>
      </c>
      <c r="J103" s="31">
        <v>1942</v>
      </c>
      <c r="K103" s="31">
        <v>2019</v>
      </c>
      <c r="L103" s="31">
        <v>2017</v>
      </c>
      <c r="M103" s="111"/>
      <c r="N103" s="664" t="s">
        <v>1551</v>
      </c>
      <c r="P103" s="4"/>
      <c r="R103" s="4"/>
    </row>
    <row r="104" spans="1:18">
      <c r="A104" s="672">
        <v>30</v>
      </c>
      <c r="B104" s="664" t="s">
        <v>4144</v>
      </c>
      <c r="C104" s="4" t="s">
        <v>14139</v>
      </c>
      <c r="D104" s="667">
        <v>0</v>
      </c>
      <c r="E104" s="667">
        <v>0</v>
      </c>
      <c r="F104" s="667">
        <v>0</v>
      </c>
      <c r="G104" s="667">
        <v>0</v>
      </c>
      <c r="H104" s="30">
        <v>0</v>
      </c>
      <c r="I104" s="31">
        <v>1801</v>
      </c>
      <c r="J104" s="31">
        <v>1824</v>
      </c>
      <c r="K104" s="31">
        <v>1865</v>
      </c>
      <c r="L104" s="31">
        <v>1911</v>
      </c>
      <c r="M104" s="111"/>
      <c r="N104" s="664" t="s">
        <v>1551</v>
      </c>
      <c r="P104" s="4"/>
      <c r="R104" s="4"/>
    </row>
    <row r="105" spans="1:18">
      <c r="A105" s="672">
        <v>31</v>
      </c>
      <c r="B105" s="664" t="s">
        <v>5546</v>
      </c>
      <c r="C105" s="4" t="s">
        <v>14140</v>
      </c>
      <c r="D105" s="667">
        <v>0</v>
      </c>
      <c r="E105" s="667">
        <v>0</v>
      </c>
      <c r="F105" s="667">
        <v>0</v>
      </c>
      <c r="G105" s="667">
        <v>0</v>
      </c>
      <c r="H105" s="30">
        <v>0</v>
      </c>
      <c r="I105" s="31">
        <v>1757</v>
      </c>
      <c r="J105" s="31">
        <v>1681</v>
      </c>
      <c r="K105" s="31">
        <v>1712</v>
      </c>
      <c r="L105" s="31">
        <v>1728</v>
      </c>
      <c r="M105" s="111"/>
      <c r="N105" s="664" t="s">
        <v>1551</v>
      </c>
      <c r="P105" s="4"/>
      <c r="R105" s="4"/>
    </row>
    <row r="106" spans="1:18">
      <c r="A106" s="672">
        <v>32</v>
      </c>
      <c r="B106" s="664" t="s">
        <v>13883</v>
      </c>
      <c r="C106" s="4" t="s">
        <v>14141</v>
      </c>
      <c r="D106" s="667">
        <v>0</v>
      </c>
      <c r="E106" s="667">
        <v>0</v>
      </c>
      <c r="F106" s="667">
        <v>0</v>
      </c>
      <c r="G106" s="667">
        <v>0</v>
      </c>
      <c r="H106" s="30">
        <v>0</v>
      </c>
      <c r="I106" s="30">
        <v>1773</v>
      </c>
      <c r="J106" s="30">
        <v>1841</v>
      </c>
      <c r="K106" s="30">
        <v>1952</v>
      </c>
      <c r="L106" s="30">
        <v>2008</v>
      </c>
      <c r="M106" s="111"/>
      <c r="N106" s="664" t="s">
        <v>1543</v>
      </c>
      <c r="P106" s="4"/>
      <c r="R106" s="4"/>
    </row>
    <row r="107" spans="1:18">
      <c r="A107" s="672">
        <v>33</v>
      </c>
      <c r="B107" s="664" t="s">
        <v>4145</v>
      </c>
      <c r="C107" s="4" t="s">
        <v>14142</v>
      </c>
      <c r="D107" s="667">
        <v>0</v>
      </c>
      <c r="E107" s="667">
        <v>0</v>
      </c>
      <c r="F107" s="667">
        <v>0</v>
      </c>
      <c r="G107" s="667">
        <v>0</v>
      </c>
      <c r="H107" s="30">
        <v>0</v>
      </c>
      <c r="I107" s="31">
        <v>1936</v>
      </c>
      <c r="J107" s="31">
        <v>1986</v>
      </c>
      <c r="K107" s="31">
        <v>2037</v>
      </c>
      <c r="L107" s="31">
        <v>2030</v>
      </c>
      <c r="M107" s="111"/>
      <c r="N107" s="664" t="s">
        <v>1551</v>
      </c>
      <c r="P107" s="4"/>
      <c r="R107" s="4"/>
    </row>
    <row r="108" spans="1:18">
      <c r="A108" s="672">
        <v>34</v>
      </c>
      <c r="B108" s="664" t="s">
        <v>4146</v>
      </c>
      <c r="C108" s="4" t="s">
        <v>14143</v>
      </c>
      <c r="D108" s="667">
        <v>0</v>
      </c>
      <c r="E108" s="667">
        <v>0</v>
      </c>
      <c r="F108" s="667">
        <v>0</v>
      </c>
      <c r="G108" s="667">
        <v>0</v>
      </c>
      <c r="H108" s="30">
        <v>0</v>
      </c>
      <c r="I108" s="30">
        <v>3706</v>
      </c>
      <c r="J108" s="30">
        <v>3896</v>
      </c>
      <c r="K108" s="30">
        <v>4176</v>
      </c>
      <c r="L108" s="30">
        <v>4306</v>
      </c>
      <c r="M108" s="111"/>
      <c r="N108" s="664" t="s">
        <v>1543</v>
      </c>
      <c r="P108" s="4"/>
      <c r="R108" s="4"/>
    </row>
    <row r="109" spans="1:18">
      <c r="A109" s="672">
        <v>35</v>
      </c>
      <c r="B109" s="664" t="s">
        <v>13884</v>
      </c>
      <c r="C109" s="4" t="s">
        <v>14144</v>
      </c>
      <c r="D109" s="667">
        <v>0</v>
      </c>
      <c r="E109" s="667">
        <v>0</v>
      </c>
      <c r="F109" s="667">
        <v>0</v>
      </c>
      <c r="G109" s="667">
        <v>0</v>
      </c>
      <c r="H109" s="30">
        <v>0</v>
      </c>
      <c r="I109" s="31">
        <v>1908</v>
      </c>
      <c r="J109" s="31">
        <v>1945</v>
      </c>
      <c r="K109" s="31">
        <v>1991</v>
      </c>
      <c r="L109" s="31">
        <v>2014</v>
      </c>
      <c r="M109" s="111"/>
      <c r="N109" s="664" t="s">
        <v>1551</v>
      </c>
      <c r="P109" s="4"/>
      <c r="R109" s="4"/>
    </row>
    <row r="110" spans="1:18">
      <c r="A110" s="672">
        <v>36</v>
      </c>
      <c r="B110" s="664" t="s">
        <v>4147</v>
      </c>
      <c r="C110" s="4" t="s">
        <v>14145</v>
      </c>
      <c r="D110" s="667">
        <v>0</v>
      </c>
      <c r="E110" s="667">
        <v>0</v>
      </c>
      <c r="F110" s="667">
        <v>0</v>
      </c>
      <c r="G110" s="667">
        <v>0</v>
      </c>
      <c r="H110" s="30">
        <v>0</v>
      </c>
      <c r="I110" s="31">
        <v>3508</v>
      </c>
      <c r="J110" s="31">
        <v>3535</v>
      </c>
      <c r="K110" s="31">
        <v>3678</v>
      </c>
      <c r="L110" s="31">
        <v>3694</v>
      </c>
      <c r="M110" s="111"/>
      <c r="N110" s="664" t="s">
        <v>1551</v>
      </c>
      <c r="P110" s="4"/>
      <c r="R110" s="4"/>
    </row>
    <row r="111" spans="1:18">
      <c r="A111" s="672">
        <v>37</v>
      </c>
      <c r="B111" s="664" t="s">
        <v>4148</v>
      </c>
      <c r="C111" s="4" t="s">
        <v>14146</v>
      </c>
      <c r="D111" s="667">
        <v>1809</v>
      </c>
      <c r="E111" s="667">
        <v>1850</v>
      </c>
      <c r="F111" s="667">
        <v>1842</v>
      </c>
      <c r="G111" s="667">
        <v>1819</v>
      </c>
      <c r="H111" s="30">
        <v>1975</v>
      </c>
      <c r="I111" s="30">
        <v>1864</v>
      </c>
      <c r="J111" s="30">
        <v>1931</v>
      </c>
      <c r="K111" s="30">
        <v>2019</v>
      </c>
      <c r="L111" s="30">
        <v>2041</v>
      </c>
      <c r="M111" s="111"/>
      <c r="N111" s="664" t="s">
        <v>1545</v>
      </c>
      <c r="P111" s="4"/>
      <c r="R111" s="4"/>
    </row>
    <row r="112" spans="1:18">
      <c r="A112" s="111"/>
      <c r="B112" s="111"/>
      <c r="D112" s="668"/>
      <c r="E112" s="668"/>
      <c r="F112" s="668"/>
      <c r="G112" s="668"/>
      <c r="H112" s="668"/>
      <c r="I112" s="668"/>
      <c r="J112" s="668"/>
      <c r="K112" s="668"/>
      <c r="L112" s="668"/>
      <c r="M112" s="111"/>
      <c r="N112" s="111"/>
    </row>
    <row r="113" spans="1:18">
      <c r="A113" s="664" t="s">
        <v>5828</v>
      </c>
      <c r="D113" s="667">
        <f t="shared" ref="D113:H113" si="95">D75+D78+D79+D83+D88+D95+D96+D98+D106+D108</f>
        <v>26806</v>
      </c>
      <c r="E113" s="667">
        <f t="shared" si="95"/>
        <v>26503</v>
      </c>
      <c r="F113" s="667">
        <f t="shared" si="95"/>
        <v>26698</v>
      </c>
      <c r="G113" s="667">
        <f t="shared" si="95"/>
        <v>25570</v>
      </c>
      <c r="H113" s="667">
        <f t="shared" si="95"/>
        <v>27196</v>
      </c>
      <c r="I113" s="667">
        <f>I75+I78+I79+I83+I88+I95+I96+I98+I106+I108</f>
        <v>25382</v>
      </c>
      <c r="J113" s="667">
        <f>J75+J78+J79+J83+J88+J95+J96+J98+J106+J108</f>
        <v>26416</v>
      </c>
      <c r="K113" s="667">
        <f>K75+K78+K79+K83+K88+K95+K96+K98+K106+K108</f>
        <v>27768</v>
      </c>
      <c r="L113" s="667">
        <f>L75+L78+L79+L83+L88+L95+L96+L98+L106+L108</f>
        <v>28337</v>
      </c>
      <c r="M113" s="111"/>
      <c r="N113" s="111"/>
    </row>
    <row r="114" spans="1:18">
      <c r="A114" s="664" t="s">
        <v>4149</v>
      </c>
      <c r="D114" s="667">
        <f t="shared" ref="D114:H114" si="96">D111</f>
        <v>1809</v>
      </c>
      <c r="E114" s="667">
        <f t="shared" si="96"/>
        <v>1850</v>
      </c>
      <c r="F114" s="667">
        <f t="shared" si="96"/>
        <v>1842</v>
      </c>
      <c r="G114" s="667">
        <f t="shared" si="96"/>
        <v>1819</v>
      </c>
      <c r="H114" s="667">
        <f t="shared" si="96"/>
        <v>1975</v>
      </c>
      <c r="I114" s="667">
        <f>I111</f>
        <v>1864</v>
      </c>
      <c r="J114" s="667">
        <f>J111</f>
        <v>1931</v>
      </c>
      <c r="K114" s="667">
        <f>K111</f>
        <v>2019</v>
      </c>
      <c r="L114" s="667">
        <f>L111</f>
        <v>2041</v>
      </c>
      <c r="M114" s="111"/>
      <c r="N114" s="111"/>
    </row>
    <row r="115" spans="1:18">
      <c r="A115" s="664" t="s">
        <v>1551</v>
      </c>
      <c r="D115" s="667">
        <f t="shared" ref="D115:H115" si="97">D73+D74+D76+D77+SUM(D80:D82)+D84+D86+D87+SUM(D89:D94)+D97+SUM(D99:D105)+D107+D109+D110</f>
        <v>77210</v>
      </c>
      <c r="E115" s="667">
        <f t="shared" si="97"/>
        <v>76233</v>
      </c>
      <c r="F115" s="667">
        <f t="shared" si="97"/>
        <v>76217</v>
      </c>
      <c r="G115" s="667">
        <f t="shared" si="97"/>
        <v>73803</v>
      </c>
      <c r="H115" s="667">
        <f t="shared" si="97"/>
        <v>76866</v>
      </c>
      <c r="I115" s="667">
        <f>I73+I74+I76+I77+SUM(I80:I82)+I84+I86+I87+SUM(I89:I94)+I97+SUM(I99:I105)+I107+I109+I110</f>
        <v>72791</v>
      </c>
      <c r="J115" s="667">
        <f>J73+J74+J76+J77+SUM(J80:J82)+J84+J86+J87+SUM(J89:J94)+J97+SUM(J99:J105)+J107+J109+J110</f>
        <v>74617</v>
      </c>
      <c r="K115" s="667">
        <f>K73+K74+K76+K77+SUM(K80:K82)+K84+K86+K87+SUM(K89:K94)+K97+SUM(K99:K105)+K107+K109+K110</f>
        <v>77337</v>
      </c>
      <c r="L115" s="667">
        <f>L73+L74+L76+L77+SUM(L80:L82)+L84+L86+L87+SUM(L89:L94)+L97+SUM(L99:L105)+L107+L109+L110</f>
        <v>78472</v>
      </c>
      <c r="M115" s="111"/>
      <c r="N115" s="111"/>
    </row>
    <row r="116" spans="1:18">
      <c r="A116" s="664"/>
      <c r="B116" s="664"/>
      <c r="D116" s="673"/>
      <c r="E116" s="673"/>
      <c r="F116" s="673"/>
      <c r="G116" s="673"/>
      <c r="H116" s="673"/>
      <c r="I116" s="673"/>
      <c r="J116" s="673"/>
      <c r="K116" s="673"/>
      <c r="L116" s="673"/>
      <c r="M116" s="111"/>
      <c r="N116" s="111"/>
    </row>
    <row r="117" spans="1:18">
      <c r="A117" s="664" t="s">
        <v>13898</v>
      </c>
      <c r="B117" s="664"/>
      <c r="D117" s="673"/>
      <c r="E117" s="673"/>
      <c r="F117" s="673"/>
      <c r="G117" s="673"/>
      <c r="H117" s="673"/>
      <c r="I117" s="673"/>
      <c r="J117" s="673"/>
      <c r="K117" s="673"/>
      <c r="L117" s="673"/>
      <c r="M117" s="111"/>
      <c r="N117" s="111"/>
    </row>
    <row r="118" spans="1:18">
      <c r="A118" s="664"/>
      <c r="B118" s="664"/>
      <c r="D118" s="673"/>
      <c r="E118" s="673"/>
      <c r="F118" s="673"/>
      <c r="G118" s="673"/>
      <c r="H118" s="673"/>
      <c r="I118" s="673"/>
      <c r="J118" s="673"/>
      <c r="K118" s="673"/>
      <c r="L118" s="673"/>
      <c r="M118" s="111"/>
      <c r="N118" s="111"/>
    </row>
    <row r="119" spans="1:18">
      <c r="A119" s="664"/>
      <c r="B119" s="664"/>
      <c r="D119" s="673"/>
      <c r="E119" s="673"/>
      <c r="F119" s="673"/>
      <c r="G119" s="673"/>
      <c r="H119" s="673"/>
      <c r="I119" s="673"/>
      <c r="J119" s="673"/>
      <c r="K119" s="673"/>
      <c r="L119" s="673"/>
      <c r="M119" s="111"/>
      <c r="N119" s="111"/>
    </row>
    <row r="120" spans="1:18">
      <c r="A120" s="111"/>
      <c r="B120" s="111"/>
      <c r="E120" s="42" t="s">
        <v>2303</v>
      </c>
      <c r="F120" s="42"/>
      <c r="G120" s="42"/>
      <c r="H120" s="42"/>
      <c r="I120" s="42"/>
      <c r="J120" s="42"/>
      <c r="K120" s="42"/>
      <c r="L120" s="42"/>
      <c r="M120" s="153"/>
      <c r="N120" s="109" t="s">
        <v>13319</v>
      </c>
    </row>
    <row r="121" spans="1:18">
      <c r="A121" s="111"/>
      <c r="B121" s="111"/>
      <c r="D121" s="110">
        <v>2010</v>
      </c>
      <c r="E121" s="110">
        <v>2011</v>
      </c>
      <c r="F121" s="110">
        <v>2012</v>
      </c>
      <c r="G121" s="110">
        <v>2013</v>
      </c>
      <c r="H121" s="110">
        <v>2014</v>
      </c>
      <c r="I121" s="110">
        <v>2015</v>
      </c>
      <c r="J121" s="110">
        <v>2016</v>
      </c>
      <c r="K121" s="110">
        <v>2017</v>
      </c>
      <c r="L121" s="110">
        <v>2018</v>
      </c>
      <c r="M121" s="111"/>
      <c r="N121" s="112" t="s">
        <v>2304</v>
      </c>
    </row>
    <row r="122" spans="1:18">
      <c r="A122" s="664" t="s">
        <v>2457</v>
      </c>
      <c r="D122" s="667">
        <f t="shared" ref="D122:I122" si="98">SUM(D123:D133)</f>
        <v>63464</v>
      </c>
      <c r="E122" s="667">
        <f t="shared" si="98"/>
        <v>63215</v>
      </c>
      <c r="F122" s="667">
        <f t="shared" si="98"/>
        <v>63266</v>
      </c>
      <c r="G122" s="667">
        <f t="shared" si="98"/>
        <v>62447</v>
      </c>
      <c r="H122" s="667">
        <f t="shared" si="98"/>
        <v>61327</v>
      </c>
      <c r="I122" s="667">
        <f t="shared" si="98"/>
        <v>60111</v>
      </c>
      <c r="J122" s="667">
        <f t="shared" ref="J122:K122" si="99">SUM(J123:J133)</f>
        <v>57705</v>
      </c>
      <c r="K122" s="667">
        <f t="shared" si="99"/>
        <v>58963</v>
      </c>
      <c r="L122" s="667">
        <f t="shared" ref="L122" si="100">SUM(L123:L133)</f>
        <v>58504</v>
      </c>
      <c r="M122" s="111"/>
      <c r="N122" s="111"/>
    </row>
    <row r="123" spans="1:18">
      <c r="A123" s="664" t="s">
        <v>6957</v>
      </c>
      <c r="B123" s="664" t="s">
        <v>8199</v>
      </c>
      <c r="C123" s="72" t="s">
        <v>15766</v>
      </c>
      <c r="D123" s="667">
        <v>63464</v>
      </c>
      <c r="E123" s="667">
        <v>63215</v>
      </c>
      <c r="F123" s="667">
        <v>63266</v>
      </c>
      <c r="G123" s="48">
        <v>62447</v>
      </c>
      <c r="H123" s="48">
        <v>61327</v>
      </c>
      <c r="I123" s="48">
        <v>60111</v>
      </c>
      <c r="J123" s="48">
        <v>5076</v>
      </c>
      <c r="K123" s="48">
        <v>5370</v>
      </c>
      <c r="L123" s="48">
        <v>5260</v>
      </c>
      <c r="M123" s="111"/>
      <c r="N123" s="664" t="s">
        <v>3247</v>
      </c>
      <c r="P123" s="72"/>
      <c r="R123" s="4"/>
    </row>
    <row r="124" spans="1:18">
      <c r="A124" s="664" t="s">
        <v>6959</v>
      </c>
      <c r="B124" s="664" t="s">
        <v>4140</v>
      </c>
      <c r="C124" s="72" t="s">
        <v>15767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5769</v>
      </c>
      <c r="K124" s="48">
        <v>5871</v>
      </c>
      <c r="L124" s="48">
        <v>5814</v>
      </c>
      <c r="M124" s="111"/>
      <c r="N124" s="664" t="s">
        <v>3247</v>
      </c>
      <c r="P124" s="72"/>
      <c r="R124" s="4"/>
    </row>
    <row r="125" spans="1:18">
      <c r="A125" s="664" t="s">
        <v>6961</v>
      </c>
      <c r="B125" s="664" t="s">
        <v>4141</v>
      </c>
      <c r="C125" s="72" t="s">
        <v>15768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4119</v>
      </c>
      <c r="K125" s="48">
        <v>4284</v>
      </c>
      <c r="L125" s="48">
        <v>4332</v>
      </c>
      <c r="M125" s="111"/>
      <c r="N125" s="664" t="s">
        <v>3247</v>
      </c>
      <c r="P125" s="72"/>
      <c r="R125" s="4"/>
    </row>
    <row r="126" spans="1:18">
      <c r="A126" s="664" t="s">
        <v>6963</v>
      </c>
      <c r="B126" s="664" t="s">
        <v>4142</v>
      </c>
      <c r="C126" s="72" t="s">
        <v>15769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4645</v>
      </c>
      <c r="K126" s="48">
        <v>4694</v>
      </c>
      <c r="L126" s="48">
        <v>4682</v>
      </c>
      <c r="M126" s="111"/>
      <c r="N126" s="664" t="s">
        <v>3247</v>
      </c>
      <c r="P126" s="72"/>
      <c r="R126" s="4"/>
    </row>
    <row r="127" spans="1:18">
      <c r="A127" s="664" t="s">
        <v>6965</v>
      </c>
      <c r="B127" s="664" t="s">
        <v>7588</v>
      </c>
      <c r="C127" s="72" t="s">
        <v>15770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5054</v>
      </c>
      <c r="K127" s="48">
        <v>5163</v>
      </c>
      <c r="L127" s="48">
        <v>5160</v>
      </c>
      <c r="M127" s="111"/>
      <c r="N127" s="664" t="s">
        <v>3247</v>
      </c>
      <c r="P127" s="72"/>
      <c r="R127" s="4"/>
    </row>
    <row r="128" spans="1:18">
      <c r="A128" s="664" t="s">
        <v>6997</v>
      </c>
      <c r="B128" s="664" t="s">
        <v>4143</v>
      </c>
      <c r="C128" s="72" t="s">
        <v>15771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5542</v>
      </c>
      <c r="K128" s="48">
        <v>5626</v>
      </c>
      <c r="L128" s="48">
        <v>5602</v>
      </c>
      <c r="M128" s="111"/>
      <c r="N128" s="664" t="s">
        <v>3247</v>
      </c>
      <c r="P128" s="72"/>
      <c r="R128" s="4"/>
    </row>
    <row r="129" spans="1:18">
      <c r="A129" s="664" t="s">
        <v>6999</v>
      </c>
      <c r="B129" s="664" t="s">
        <v>4118</v>
      </c>
      <c r="C129" s="72" t="s">
        <v>15772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6175</v>
      </c>
      <c r="K129" s="48">
        <v>6314</v>
      </c>
      <c r="L129" s="48">
        <v>6284</v>
      </c>
      <c r="M129" s="111"/>
      <c r="N129" s="664" t="s">
        <v>3247</v>
      </c>
      <c r="P129" s="72"/>
      <c r="R129" s="4"/>
    </row>
    <row r="130" spans="1:18">
      <c r="A130" s="664" t="s">
        <v>7001</v>
      </c>
      <c r="B130" s="664" t="s">
        <v>2440</v>
      </c>
      <c r="C130" s="72" t="s">
        <v>15773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5097</v>
      </c>
      <c r="K130" s="48">
        <v>5146</v>
      </c>
      <c r="L130" s="48">
        <v>5034</v>
      </c>
      <c r="M130" s="111"/>
      <c r="N130" s="664" t="s">
        <v>3247</v>
      </c>
      <c r="P130" s="72"/>
      <c r="R130" s="4"/>
    </row>
    <row r="131" spans="1:18">
      <c r="A131" s="664" t="s">
        <v>7003</v>
      </c>
      <c r="B131" s="664" t="s">
        <v>5622</v>
      </c>
      <c r="C131" s="72" t="s">
        <v>15774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5350</v>
      </c>
      <c r="K131" s="48">
        <v>5369</v>
      </c>
      <c r="L131" s="48">
        <v>5307</v>
      </c>
      <c r="M131" s="111"/>
      <c r="N131" s="664" t="s">
        <v>3247</v>
      </c>
      <c r="P131" s="72"/>
      <c r="R131" s="4"/>
    </row>
    <row r="132" spans="1:18">
      <c r="A132" s="664" t="s">
        <v>7005</v>
      </c>
      <c r="B132" s="664" t="s">
        <v>2442</v>
      </c>
      <c r="C132" s="72" t="s">
        <v>15775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4940</v>
      </c>
      <c r="K132" s="48">
        <v>5089</v>
      </c>
      <c r="L132" s="48">
        <v>4994</v>
      </c>
      <c r="M132" s="111"/>
      <c r="N132" s="664" t="s">
        <v>3247</v>
      </c>
      <c r="P132" s="72"/>
      <c r="R132" s="4"/>
    </row>
    <row r="133" spans="1:18">
      <c r="A133" s="664" t="s">
        <v>7007</v>
      </c>
      <c r="B133" s="664" t="s">
        <v>2338</v>
      </c>
      <c r="C133" s="72" t="s">
        <v>15776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5938</v>
      </c>
      <c r="K133" s="48">
        <v>6037</v>
      </c>
      <c r="L133" s="48">
        <v>6035</v>
      </c>
      <c r="M133" s="111"/>
      <c r="N133" s="664" t="s">
        <v>3247</v>
      </c>
      <c r="P133" s="72"/>
      <c r="R133" s="4"/>
    </row>
    <row r="134" spans="1:18">
      <c r="A134" s="111"/>
      <c r="B134" s="111"/>
      <c r="C134" s="111"/>
      <c r="D134" s="668"/>
      <c r="E134" s="668"/>
      <c r="F134" s="668"/>
      <c r="G134" s="668"/>
      <c r="H134" s="668"/>
      <c r="I134" s="668"/>
      <c r="J134" s="668"/>
      <c r="K134" s="668"/>
      <c r="L134" s="668"/>
      <c r="M134" s="111"/>
      <c r="N134" s="111"/>
    </row>
    <row r="135" spans="1:18">
      <c r="A135" s="664" t="s">
        <v>4119</v>
      </c>
      <c r="D135" s="667">
        <f t="shared" ref="D135:I135" si="101">SUM(D123:D133)</f>
        <v>63464</v>
      </c>
      <c r="E135" s="667">
        <f t="shared" si="101"/>
        <v>63215</v>
      </c>
      <c r="F135" s="667">
        <f t="shared" si="101"/>
        <v>63266</v>
      </c>
      <c r="G135" s="667">
        <f t="shared" si="101"/>
        <v>62447</v>
      </c>
      <c r="H135" s="667">
        <f t="shared" si="101"/>
        <v>61327</v>
      </c>
      <c r="I135" s="667">
        <f t="shared" si="101"/>
        <v>60111</v>
      </c>
      <c r="J135" s="667">
        <f t="shared" ref="J135:K135" si="102">SUM(J123:J133)</f>
        <v>57705</v>
      </c>
      <c r="K135" s="667">
        <f t="shared" si="102"/>
        <v>58963</v>
      </c>
      <c r="L135" s="667">
        <f t="shared" ref="L135" si="103">SUM(L123:L133)</f>
        <v>58504</v>
      </c>
      <c r="M135" s="111"/>
      <c r="N135" s="111"/>
    </row>
    <row r="136" spans="1:18">
      <c r="A136" s="664"/>
      <c r="B136" s="664"/>
      <c r="D136" s="673"/>
      <c r="E136" s="673"/>
      <c r="F136" s="673"/>
      <c r="G136" s="673"/>
      <c r="H136" s="673"/>
      <c r="I136" s="673"/>
      <c r="J136" s="673"/>
      <c r="K136" s="673"/>
      <c r="L136" s="673"/>
      <c r="M136" s="111"/>
      <c r="N136" s="111"/>
    </row>
    <row r="137" spans="1:18">
      <c r="A137" s="664" t="s">
        <v>15732</v>
      </c>
      <c r="B137" s="664"/>
      <c r="D137" s="673"/>
      <c r="E137" s="673"/>
      <c r="F137" s="673"/>
      <c r="G137" s="673"/>
      <c r="H137" s="673"/>
      <c r="I137" s="673"/>
      <c r="J137" s="673"/>
      <c r="K137" s="673"/>
      <c r="L137" s="673"/>
      <c r="M137" s="111"/>
      <c r="N137" s="111"/>
    </row>
    <row r="138" spans="1:18">
      <c r="A138" s="664"/>
      <c r="B138" s="664"/>
      <c r="D138" s="673"/>
      <c r="E138" s="673"/>
      <c r="F138" s="673"/>
      <c r="G138" s="673"/>
      <c r="H138" s="673"/>
      <c r="I138" s="673"/>
      <c r="J138" s="673"/>
      <c r="K138" s="673"/>
      <c r="L138" s="673"/>
      <c r="M138" s="111"/>
      <c r="N138" s="111"/>
    </row>
    <row r="139" spans="1:18">
      <c r="A139" s="664"/>
      <c r="B139" s="664"/>
      <c r="D139" s="673"/>
      <c r="E139" s="673"/>
      <c r="F139" s="673"/>
      <c r="G139" s="673"/>
      <c r="H139" s="673"/>
      <c r="I139" s="673"/>
      <c r="J139" s="673"/>
      <c r="K139" s="673"/>
      <c r="L139" s="673"/>
      <c r="M139" s="111"/>
      <c r="N139" s="111"/>
    </row>
    <row r="140" spans="1:18">
      <c r="A140" s="111"/>
      <c r="B140" s="111"/>
      <c r="E140" s="42" t="s">
        <v>2303</v>
      </c>
      <c r="F140" s="42"/>
      <c r="G140" s="42"/>
      <c r="H140" s="42"/>
      <c r="I140" s="42"/>
      <c r="J140" s="42"/>
      <c r="K140" s="42"/>
      <c r="L140" s="42"/>
      <c r="M140" s="153"/>
      <c r="N140" s="109" t="s">
        <v>13319</v>
      </c>
    </row>
    <row r="141" spans="1:18">
      <c r="A141" s="111"/>
      <c r="B141" s="111"/>
      <c r="D141" s="110">
        <v>2010</v>
      </c>
      <c r="E141" s="110">
        <v>2011</v>
      </c>
      <c r="F141" s="110">
        <v>2012</v>
      </c>
      <c r="G141" s="110">
        <v>2013</v>
      </c>
      <c r="H141" s="110">
        <v>2014</v>
      </c>
      <c r="I141" s="110">
        <v>2015</v>
      </c>
      <c r="J141" s="110">
        <v>2016</v>
      </c>
      <c r="K141" s="110">
        <v>2017</v>
      </c>
      <c r="L141" s="110">
        <v>2018</v>
      </c>
      <c r="M141" s="111"/>
      <c r="N141" s="112" t="s">
        <v>2304</v>
      </c>
    </row>
    <row r="142" spans="1:18">
      <c r="A142" s="664" t="s">
        <v>3266</v>
      </c>
      <c r="D142" s="667">
        <f t="shared" ref="D142:I142" si="104">SUM(D143:D147)+SUM(D149:D171)</f>
        <v>81126</v>
      </c>
      <c r="E142" s="667">
        <f t="shared" si="104"/>
        <v>81989</v>
      </c>
      <c r="F142" s="667">
        <f t="shared" si="104"/>
        <v>83130</v>
      </c>
      <c r="G142" s="667">
        <f t="shared" si="104"/>
        <v>83815</v>
      </c>
      <c r="H142" s="667">
        <f t="shared" si="104"/>
        <v>84539</v>
      </c>
      <c r="I142" s="667">
        <f t="shared" si="104"/>
        <v>81591</v>
      </c>
      <c r="J142" s="667">
        <f t="shared" ref="J142:K142" si="105">SUM(J143:J147)+SUM(J149:J171)</f>
        <v>83059</v>
      </c>
      <c r="K142" s="667">
        <f t="shared" si="105"/>
        <v>85520</v>
      </c>
      <c r="L142" s="667">
        <f t="shared" ref="L142" si="106">SUM(L143:L147)+SUM(L149:L171)</f>
        <v>86946</v>
      </c>
      <c r="M142" s="111"/>
      <c r="N142" s="111"/>
    </row>
    <row r="143" spans="1:18">
      <c r="A143" s="672">
        <v>1</v>
      </c>
      <c r="B143" s="664" t="s">
        <v>3267</v>
      </c>
      <c r="C143" s="4" t="s">
        <v>536</v>
      </c>
      <c r="D143" s="667">
        <v>3809</v>
      </c>
      <c r="E143" s="667">
        <v>3921</v>
      </c>
      <c r="F143" s="667">
        <v>4014</v>
      </c>
      <c r="G143" s="48">
        <v>4043</v>
      </c>
      <c r="H143" s="30">
        <v>4054</v>
      </c>
      <c r="I143" s="30">
        <v>3941</v>
      </c>
      <c r="J143" s="30">
        <v>3893</v>
      </c>
      <c r="K143" s="30">
        <v>3962</v>
      </c>
      <c r="L143" s="30">
        <v>3888</v>
      </c>
      <c r="M143" s="111"/>
      <c r="N143" s="664" t="s">
        <v>1552</v>
      </c>
      <c r="P143" s="4"/>
      <c r="R143" s="4"/>
    </row>
    <row r="144" spans="1:18">
      <c r="A144" s="672">
        <v>2</v>
      </c>
      <c r="B144" s="664" t="s">
        <v>3268</v>
      </c>
      <c r="C144" s="4" t="s">
        <v>537</v>
      </c>
      <c r="D144" s="667">
        <v>3646</v>
      </c>
      <c r="E144" s="667">
        <v>3730</v>
      </c>
      <c r="F144" s="667">
        <v>3814</v>
      </c>
      <c r="G144" s="48">
        <v>3853</v>
      </c>
      <c r="H144" s="30">
        <v>3915</v>
      </c>
      <c r="I144" s="30">
        <v>3787</v>
      </c>
      <c r="J144" s="30">
        <v>3884</v>
      </c>
      <c r="K144" s="30">
        <v>3917</v>
      </c>
      <c r="L144" s="30">
        <v>4037</v>
      </c>
      <c r="M144" s="111"/>
      <c r="N144" s="664" t="s">
        <v>1552</v>
      </c>
      <c r="P144" s="4"/>
      <c r="R144" s="4"/>
    </row>
    <row r="145" spans="1:18">
      <c r="A145" s="672">
        <v>3</v>
      </c>
      <c r="B145" s="664" t="s">
        <v>3269</v>
      </c>
      <c r="C145" s="4" t="s">
        <v>538</v>
      </c>
      <c r="D145" s="667">
        <v>3846</v>
      </c>
      <c r="E145" s="667">
        <v>3848</v>
      </c>
      <c r="F145" s="667">
        <v>3910</v>
      </c>
      <c r="G145" s="48">
        <v>3982</v>
      </c>
      <c r="H145" s="30">
        <v>4064</v>
      </c>
      <c r="I145" s="30">
        <v>3920</v>
      </c>
      <c r="J145" s="30">
        <v>4009</v>
      </c>
      <c r="K145" s="30">
        <v>4056</v>
      </c>
      <c r="L145" s="30">
        <v>4170</v>
      </c>
      <c r="M145" s="111"/>
      <c r="N145" s="664" t="s">
        <v>1552</v>
      </c>
      <c r="P145" s="4"/>
      <c r="R145" s="4"/>
    </row>
    <row r="146" spans="1:18">
      <c r="A146" s="672">
        <v>4</v>
      </c>
      <c r="B146" s="664" t="s">
        <v>4960</v>
      </c>
      <c r="C146" s="4" t="s">
        <v>539</v>
      </c>
      <c r="D146" s="667">
        <v>6572</v>
      </c>
      <c r="E146" s="667">
        <v>6668</v>
      </c>
      <c r="F146" s="667">
        <v>6780</v>
      </c>
      <c r="G146" s="48">
        <v>6791</v>
      </c>
      <c r="H146" s="30">
        <v>6794</v>
      </c>
      <c r="I146" s="30">
        <v>6489</v>
      </c>
      <c r="J146" s="30">
        <v>6592</v>
      </c>
      <c r="K146" s="30">
        <v>6967</v>
      </c>
      <c r="L146" s="30">
        <v>7166</v>
      </c>
      <c r="M146" s="111"/>
      <c r="N146" s="664" t="s">
        <v>3247</v>
      </c>
      <c r="P146" s="4"/>
      <c r="R146" s="4"/>
    </row>
    <row r="147" spans="1:18" ht="15.75" thickBot="1">
      <c r="A147" s="672"/>
      <c r="B147" s="664"/>
      <c r="C147" s="4" t="s">
        <v>539</v>
      </c>
      <c r="D147" s="674">
        <v>0</v>
      </c>
      <c r="E147" s="674">
        <v>0</v>
      </c>
      <c r="F147" s="674">
        <v>0</v>
      </c>
      <c r="G147" s="674">
        <v>0</v>
      </c>
      <c r="H147" s="674">
        <v>0</v>
      </c>
      <c r="I147" s="674">
        <v>0</v>
      </c>
      <c r="J147" s="674">
        <v>0</v>
      </c>
      <c r="K147" s="674">
        <v>0</v>
      </c>
      <c r="L147" s="674">
        <v>0</v>
      </c>
      <c r="M147" s="111"/>
      <c r="N147" s="664" t="s">
        <v>1552</v>
      </c>
      <c r="P147" s="4"/>
    </row>
    <row r="148" spans="1:18" ht="15.75" thickBot="1">
      <c r="A148" s="672"/>
      <c r="B148" s="664"/>
      <c r="C148" s="4" t="s">
        <v>539</v>
      </c>
      <c r="D148" s="675">
        <f t="shared" ref="D148:L148" si="107">D146+D147</f>
        <v>6572</v>
      </c>
      <c r="E148" s="675">
        <f t="shared" si="107"/>
        <v>6668</v>
      </c>
      <c r="F148" s="675">
        <f t="shared" si="107"/>
        <v>6780</v>
      </c>
      <c r="G148" s="675">
        <f t="shared" si="107"/>
        <v>6791</v>
      </c>
      <c r="H148" s="675">
        <f t="shared" si="107"/>
        <v>6794</v>
      </c>
      <c r="I148" s="675">
        <f t="shared" si="107"/>
        <v>6489</v>
      </c>
      <c r="J148" s="675">
        <f t="shared" si="107"/>
        <v>6592</v>
      </c>
      <c r="K148" s="675">
        <f t="shared" si="107"/>
        <v>6967</v>
      </c>
      <c r="L148" s="675">
        <f t="shared" si="107"/>
        <v>7166</v>
      </c>
      <c r="M148" s="111"/>
      <c r="N148" s="664"/>
      <c r="P148" s="4"/>
    </row>
    <row r="149" spans="1:18">
      <c r="A149" s="672">
        <v>5</v>
      </c>
      <c r="B149" s="664" t="s">
        <v>4961</v>
      </c>
      <c r="C149" s="4" t="s">
        <v>540</v>
      </c>
      <c r="D149" s="667">
        <v>3958</v>
      </c>
      <c r="E149" s="667">
        <v>4027</v>
      </c>
      <c r="F149" s="667">
        <v>4018</v>
      </c>
      <c r="G149" s="48">
        <v>4047</v>
      </c>
      <c r="H149" s="30">
        <v>4020</v>
      </c>
      <c r="I149" s="30">
        <v>3939</v>
      </c>
      <c r="J149" s="30">
        <v>3889</v>
      </c>
      <c r="K149" s="30">
        <v>3970</v>
      </c>
      <c r="L149" s="30">
        <v>3989</v>
      </c>
      <c r="M149" s="111"/>
      <c r="N149" s="664" t="s">
        <v>1552</v>
      </c>
      <c r="R149" s="4"/>
    </row>
    <row r="150" spans="1:18">
      <c r="A150" s="672">
        <v>6</v>
      </c>
      <c r="B150" s="664" t="s">
        <v>4962</v>
      </c>
      <c r="C150" s="4" t="s">
        <v>541</v>
      </c>
      <c r="D150" s="667">
        <v>4049</v>
      </c>
      <c r="E150" s="667">
        <v>4119</v>
      </c>
      <c r="F150" s="667">
        <v>4169</v>
      </c>
      <c r="G150" s="48">
        <v>4255</v>
      </c>
      <c r="H150" s="30">
        <v>4273</v>
      </c>
      <c r="I150" s="30">
        <v>4170</v>
      </c>
      <c r="J150" s="30">
        <v>4215</v>
      </c>
      <c r="K150" s="30">
        <v>4283</v>
      </c>
      <c r="L150" s="30">
        <v>4347</v>
      </c>
      <c r="M150" s="111"/>
      <c r="N150" s="664" t="s">
        <v>1552</v>
      </c>
      <c r="R150" s="4"/>
    </row>
    <row r="151" spans="1:18">
      <c r="A151" s="672">
        <v>7</v>
      </c>
      <c r="B151" s="72" t="s">
        <v>3278</v>
      </c>
      <c r="C151" s="4" t="s">
        <v>542</v>
      </c>
      <c r="D151" s="667">
        <v>3608</v>
      </c>
      <c r="E151" s="667">
        <v>3728</v>
      </c>
      <c r="F151" s="667">
        <v>3807</v>
      </c>
      <c r="G151" s="48">
        <v>3895</v>
      </c>
      <c r="H151" s="30">
        <v>4075</v>
      </c>
      <c r="I151" s="30">
        <v>3847</v>
      </c>
      <c r="J151" s="30">
        <v>4140</v>
      </c>
      <c r="K151" s="30">
        <v>4400</v>
      </c>
      <c r="L151" s="30">
        <v>4524</v>
      </c>
      <c r="M151" s="111"/>
      <c r="N151" s="664" t="s">
        <v>1552</v>
      </c>
      <c r="P151" s="4"/>
      <c r="R151" s="4"/>
    </row>
    <row r="152" spans="1:18">
      <c r="A152" s="672">
        <v>8</v>
      </c>
      <c r="B152" s="664" t="s">
        <v>3279</v>
      </c>
      <c r="C152" s="4" t="s">
        <v>543</v>
      </c>
      <c r="D152" s="667">
        <v>4334</v>
      </c>
      <c r="E152" s="667">
        <v>4334</v>
      </c>
      <c r="F152" s="667">
        <v>4315</v>
      </c>
      <c r="G152" s="48">
        <v>4377</v>
      </c>
      <c r="H152" s="30">
        <v>4432</v>
      </c>
      <c r="I152" s="30">
        <v>4301</v>
      </c>
      <c r="J152" s="30">
        <v>4269</v>
      </c>
      <c r="K152" s="30">
        <v>4355</v>
      </c>
      <c r="L152" s="30">
        <v>4439</v>
      </c>
      <c r="M152" s="111"/>
      <c r="N152" s="664" t="s">
        <v>1552</v>
      </c>
      <c r="P152" s="4"/>
      <c r="R152" s="4"/>
    </row>
    <row r="153" spans="1:18">
      <c r="A153" s="672">
        <v>9</v>
      </c>
      <c r="B153" s="664" t="s">
        <v>3280</v>
      </c>
      <c r="C153" s="4" t="s">
        <v>544</v>
      </c>
      <c r="D153" s="667">
        <v>5394</v>
      </c>
      <c r="E153" s="667">
        <v>5377</v>
      </c>
      <c r="F153" s="667">
        <v>5418</v>
      </c>
      <c r="G153" s="48">
        <v>5427</v>
      </c>
      <c r="H153" s="30">
        <v>5506</v>
      </c>
      <c r="I153" s="30">
        <v>5343</v>
      </c>
      <c r="J153" s="30">
        <v>5417</v>
      </c>
      <c r="K153" s="30">
        <v>5526</v>
      </c>
      <c r="L153" s="30">
        <v>5562</v>
      </c>
      <c r="M153" s="111"/>
      <c r="N153" s="664" t="s">
        <v>1552</v>
      </c>
      <c r="P153" s="4"/>
      <c r="R153" s="4"/>
    </row>
    <row r="154" spans="1:18">
      <c r="A154" s="672">
        <v>10</v>
      </c>
      <c r="B154" s="664" t="s">
        <v>3281</v>
      </c>
      <c r="C154" s="4" t="s">
        <v>545</v>
      </c>
      <c r="D154" s="667">
        <v>1855</v>
      </c>
      <c r="E154" s="667">
        <v>1867</v>
      </c>
      <c r="F154" s="667">
        <v>1881</v>
      </c>
      <c r="G154" s="48">
        <v>1871</v>
      </c>
      <c r="H154" s="30">
        <v>1894</v>
      </c>
      <c r="I154" s="30">
        <v>1839</v>
      </c>
      <c r="J154" s="30">
        <v>1875</v>
      </c>
      <c r="K154" s="30">
        <v>1893</v>
      </c>
      <c r="L154" s="30">
        <v>1918</v>
      </c>
      <c r="M154" s="111"/>
      <c r="N154" s="664" t="s">
        <v>1552</v>
      </c>
      <c r="P154" s="4"/>
      <c r="R154" s="4"/>
    </row>
    <row r="155" spans="1:18">
      <c r="A155" s="672">
        <v>11</v>
      </c>
      <c r="B155" s="664" t="s">
        <v>3282</v>
      </c>
      <c r="C155" s="4" t="s">
        <v>546</v>
      </c>
      <c r="D155" s="667">
        <v>1727</v>
      </c>
      <c r="E155" s="667">
        <v>1727</v>
      </c>
      <c r="F155" s="667">
        <v>1709</v>
      </c>
      <c r="G155" s="48">
        <v>1706</v>
      </c>
      <c r="H155" s="30">
        <v>1743</v>
      </c>
      <c r="I155" s="30">
        <v>1711</v>
      </c>
      <c r="J155" s="30">
        <v>1736</v>
      </c>
      <c r="K155" s="30">
        <v>1781</v>
      </c>
      <c r="L155" s="30">
        <v>1764</v>
      </c>
      <c r="M155" s="111"/>
      <c r="N155" s="664" t="s">
        <v>1552</v>
      </c>
      <c r="P155" s="4"/>
      <c r="R155" s="4"/>
    </row>
    <row r="156" spans="1:18">
      <c r="A156" s="672">
        <v>12</v>
      </c>
      <c r="B156" s="664" t="s">
        <v>3283</v>
      </c>
      <c r="C156" s="4" t="s">
        <v>547</v>
      </c>
      <c r="D156" s="667">
        <v>4189</v>
      </c>
      <c r="E156" s="667">
        <v>4174</v>
      </c>
      <c r="F156" s="667">
        <v>4272</v>
      </c>
      <c r="G156" s="48">
        <v>4265</v>
      </c>
      <c r="H156" s="30">
        <v>4222</v>
      </c>
      <c r="I156" s="30">
        <v>4095</v>
      </c>
      <c r="J156" s="30">
        <v>4142</v>
      </c>
      <c r="K156" s="30">
        <v>4209</v>
      </c>
      <c r="L156" s="30">
        <v>4294</v>
      </c>
      <c r="M156" s="111"/>
      <c r="N156" s="664" t="s">
        <v>1552</v>
      </c>
      <c r="P156" s="4"/>
      <c r="R156" s="4"/>
    </row>
    <row r="157" spans="1:18">
      <c r="A157" s="672">
        <v>13</v>
      </c>
      <c r="B157" s="664" t="s">
        <v>1518</v>
      </c>
      <c r="C157" s="4" t="s">
        <v>548</v>
      </c>
      <c r="D157" s="667">
        <v>1835</v>
      </c>
      <c r="E157" s="667">
        <v>1806</v>
      </c>
      <c r="F157" s="667">
        <v>1828</v>
      </c>
      <c r="G157" s="48">
        <v>1844</v>
      </c>
      <c r="H157" s="30">
        <v>1824</v>
      </c>
      <c r="I157" s="30">
        <v>1812</v>
      </c>
      <c r="J157" s="30">
        <v>1809</v>
      </c>
      <c r="K157" s="30">
        <v>1823</v>
      </c>
      <c r="L157" s="30">
        <v>1854</v>
      </c>
      <c r="M157" s="111"/>
      <c r="N157" s="664" t="s">
        <v>1552</v>
      </c>
      <c r="P157" s="4"/>
      <c r="R157" s="4"/>
    </row>
    <row r="158" spans="1:18">
      <c r="A158" s="672">
        <v>14</v>
      </c>
      <c r="B158" s="664" t="s">
        <v>1519</v>
      </c>
      <c r="C158" s="4" t="s">
        <v>549</v>
      </c>
      <c r="D158" s="667">
        <v>2102</v>
      </c>
      <c r="E158" s="667">
        <v>2102</v>
      </c>
      <c r="F158" s="667">
        <v>2154</v>
      </c>
      <c r="G158" s="48">
        <v>2156</v>
      </c>
      <c r="H158" s="30">
        <v>2144</v>
      </c>
      <c r="I158" s="30">
        <v>2059</v>
      </c>
      <c r="J158" s="30">
        <v>2195</v>
      </c>
      <c r="K158" s="30">
        <v>2358</v>
      </c>
      <c r="L158" s="30">
        <v>2481</v>
      </c>
      <c r="M158" s="111"/>
      <c r="N158" s="664" t="s">
        <v>1552</v>
      </c>
      <c r="P158" s="4"/>
      <c r="R158" s="4"/>
    </row>
    <row r="159" spans="1:18">
      <c r="A159" s="672">
        <v>15</v>
      </c>
      <c r="B159" s="664" t="s">
        <v>2464</v>
      </c>
      <c r="C159" s="4" t="s">
        <v>550</v>
      </c>
      <c r="D159" s="667">
        <v>2652</v>
      </c>
      <c r="E159" s="667">
        <v>2955</v>
      </c>
      <c r="F159" s="667">
        <v>3117</v>
      </c>
      <c r="G159" s="48">
        <v>3316</v>
      </c>
      <c r="H159" s="31">
        <v>3524</v>
      </c>
      <c r="I159" s="31">
        <v>3405</v>
      </c>
      <c r="J159" s="31">
        <v>3702</v>
      </c>
      <c r="K159" s="31">
        <v>4007</v>
      </c>
      <c r="L159" s="31">
        <v>4271</v>
      </c>
      <c r="M159" s="111"/>
      <c r="N159" s="664" t="s">
        <v>1552</v>
      </c>
      <c r="P159" s="4"/>
      <c r="R159" s="4"/>
    </row>
    <row r="160" spans="1:18">
      <c r="A160" s="672">
        <v>16</v>
      </c>
      <c r="B160" s="664" t="s">
        <v>2465</v>
      </c>
      <c r="C160" s="4" t="s">
        <v>551</v>
      </c>
      <c r="D160" s="667">
        <v>1941</v>
      </c>
      <c r="E160" s="667">
        <v>1935</v>
      </c>
      <c r="F160" s="667">
        <v>1943</v>
      </c>
      <c r="G160" s="48">
        <v>1941</v>
      </c>
      <c r="H160" s="31">
        <v>1933</v>
      </c>
      <c r="I160" s="31">
        <v>1879</v>
      </c>
      <c r="J160" s="31">
        <v>1854</v>
      </c>
      <c r="K160" s="31">
        <v>1854</v>
      </c>
      <c r="L160" s="31">
        <v>1849</v>
      </c>
      <c r="M160" s="111"/>
      <c r="N160" s="664" t="s">
        <v>1552</v>
      </c>
      <c r="P160" s="4"/>
      <c r="R160" s="4"/>
    </row>
    <row r="161" spans="1:18">
      <c r="A161" s="672">
        <v>17</v>
      </c>
      <c r="B161" s="664" t="s">
        <v>5908</v>
      </c>
      <c r="C161" s="4" t="s">
        <v>552</v>
      </c>
      <c r="D161" s="667">
        <v>1930</v>
      </c>
      <c r="E161" s="667">
        <v>1942</v>
      </c>
      <c r="F161" s="667">
        <v>1969</v>
      </c>
      <c r="G161" s="48">
        <v>1985</v>
      </c>
      <c r="H161" s="31">
        <v>1994</v>
      </c>
      <c r="I161" s="31">
        <v>1924</v>
      </c>
      <c r="J161" s="31">
        <v>1919</v>
      </c>
      <c r="K161" s="31">
        <v>1939</v>
      </c>
      <c r="L161" s="31">
        <v>1916</v>
      </c>
      <c r="M161" s="111"/>
      <c r="N161" s="664" t="s">
        <v>1552</v>
      </c>
      <c r="P161" s="4"/>
      <c r="R161" s="4"/>
    </row>
    <row r="162" spans="1:18">
      <c r="A162" s="672">
        <v>18</v>
      </c>
      <c r="B162" s="664" t="s">
        <v>5909</v>
      </c>
      <c r="C162" s="4" t="s">
        <v>553</v>
      </c>
      <c r="D162" s="667">
        <v>1862</v>
      </c>
      <c r="E162" s="667">
        <v>1857</v>
      </c>
      <c r="F162" s="667">
        <v>1853</v>
      </c>
      <c r="G162" s="48">
        <v>1837</v>
      </c>
      <c r="H162" s="31">
        <v>1857</v>
      </c>
      <c r="I162" s="31">
        <v>1816</v>
      </c>
      <c r="J162" s="31">
        <v>1861</v>
      </c>
      <c r="K162" s="31">
        <v>1910</v>
      </c>
      <c r="L162" s="31">
        <v>1895</v>
      </c>
      <c r="M162" s="111"/>
      <c r="N162" s="664" t="s">
        <v>1552</v>
      </c>
      <c r="P162" s="4"/>
      <c r="R162" s="4"/>
    </row>
    <row r="163" spans="1:18">
      <c r="A163" s="672">
        <v>19</v>
      </c>
      <c r="B163" s="664" t="s">
        <v>5910</v>
      </c>
      <c r="C163" s="4" t="s">
        <v>554</v>
      </c>
      <c r="D163" s="667">
        <v>4349</v>
      </c>
      <c r="E163" s="667">
        <v>4359</v>
      </c>
      <c r="F163" s="667">
        <v>4375</v>
      </c>
      <c r="G163" s="48">
        <v>4410</v>
      </c>
      <c r="H163" s="31">
        <v>4441</v>
      </c>
      <c r="I163" s="31">
        <v>4273</v>
      </c>
      <c r="J163" s="31">
        <v>4329</v>
      </c>
      <c r="K163" s="31">
        <v>4428</v>
      </c>
      <c r="L163" s="31">
        <v>4391</v>
      </c>
      <c r="M163" s="111"/>
      <c r="N163" s="664" t="s">
        <v>1552</v>
      </c>
      <c r="P163" s="4"/>
      <c r="R163" s="4"/>
    </row>
    <row r="164" spans="1:18">
      <c r="A164" s="672">
        <v>20</v>
      </c>
      <c r="B164" s="664" t="s">
        <v>5911</v>
      </c>
      <c r="C164" s="4" t="s">
        <v>555</v>
      </c>
      <c r="D164" s="667">
        <v>2803</v>
      </c>
      <c r="E164" s="667">
        <v>2779</v>
      </c>
      <c r="F164" s="667">
        <v>2845</v>
      </c>
      <c r="G164" s="48">
        <v>2831</v>
      </c>
      <c r="H164" s="30">
        <v>2858</v>
      </c>
      <c r="I164" s="30">
        <v>2772</v>
      </c>
      <c r="J164" s="30">
        <v>2818</v>
      </c>
      <c r="K164" s="30">
        <v>2799</v>
      </c>
      <c r="L164" s="30">
        <v>2814</v>
      </c>
      <c r="M164" s="111"/>
      <c r="N164" s="664" t="s">
        <v>3247</v>
      </c>
      <c r="P164" s="4"/>
      <c r="R164" s="4"/>
    </row>
    <row r="165" spans="1:18">
      <c r="A165" s="672">
        <v>21</v>
      </c>
      <c r="B165" s="664" t="s">
        <v>5912</v>
      </c>
      <c r="C165" s="4" t="s">
        <v>556</v>
      </c>
      <c r="D165" s="667">
        <v>1871</v>
      </c>
      <c r="E165" s="667">
        <v>1890</v>
      </c>
      <c r="F165" s="667">
        <v>1882</v>
      </c>
      <c r="G165" s="48">
        <v>1860</v>
      </c>
      <c r="H165" s="31">
        <v>1845</v>
      </c>
      <c r="I165" s="31">
        <v>1742</v>
      </c>
      <c r="J165" s="31">
        <v>1789</v>
      </c>
      <c r="K165" s="31">
        <v>1912</v>
      </c>
      <c r="L165" s="31">
        <v>1972</v>
      </c>
      <c r="M165" s="111"/>
      <c r="N165" s="664" t="s">
        <v>1552</v>
      </c>
      <c r="P165" s="4"/>
      <c r="R165" s="4"/>
    </row>
    <row r="166" spans="1:18">
      <c r="A166" s="672">
        <v>22</v>
      </c>
      <c r="B166" s="664" t="s">
        <v>5913</v>
      </c>
      <c r="C166" s="4" t="s">
        <v>557</v>
      </c>
      <c r="D166" s="667">
        <v>1971</v>
      </c>
      <c r="E166" s="667">
        <v>1904</v>
      </c>
      <c r="F166" s="667">
        <v>1985</v>
      </c>
      <c r="G166" s="48">
        <v>2009</v>
      </c>
      <c r="H166" s="31">
        <v>1981</v>
      </c>
      <c r="I166" s="31">
        <v>1882</v>
      </c>
      <c r="J166" s="31">
        <v>1929</v>
      </c>
      <c r="K166" s="31">
        <v>2017</v>
      </c>
      <c r="L166" s="31">
        <v>2048</v>
      </c>
      <c r="M166" s="111"/>
      <c r="N166" s="664" t="s">
        <v>1552</v>
      </c>
      <c r="P166" s="4"/>
      <c r="R166" s="4"/>
    </row>
    <row r="167" spans="1:18">
      <c r="A167" s="672">
        <v>23</v>
      </c>
      <c r="B167" s="664" t="s">
        <v>5914</v>
      </c>
      <c r="C167" s="4" t="s">
        <v>558</v>
      </c>
      <c r="D167" s="667">
        <v>1904</v>
      </c>
      <c r="E167" s="667">
        <v>1906</v>
      </c>
      <c r="F167" s="667">
        <v>1882</v>
      </c>
      <c r="G167" s="48">
        <v>1886</v>
      </c>
      <c r="H167" s="31">
        <v>1932</v>
      </c>
      <c r="I167" s="31">
        <v>1825</v>
      </c>
      <c r="J167" s="31">
        <v>1817</v>
      </c>
      <c r="K167" s="31">
        <v>1890</v>
      </c>
      <c r="L167" s="31">
        <v>1908</v>
      </c>
      <c r="M167" s="111"/>
      <c r="N167" s="664" t="s">
        <v>1552</v>
      </c>
      <c r="P167" s="4"/>
      <c r="R167" s="4"/>
    </row>
    <row r="168" spans="1:18">
      <c r="A168" s="672">
        <v>24</v>
      </c>
      <c r="B168" s="664" t="s">
        <v>5915</v>
      </c>
      <c r="C168" s="4" t="s">
        <v>559</v>
      </c>
      <c r="D168" s="667">
        <v>5124</v>
      </c>
      <c r="E168" s="667">
        <v>5245</v>
      </c>
      <c r="F168" s="667">
        <v>5325</v>
      </c>
      <c r="G168" s="48">
        <v>5319</v>
      </c>
      <c r="H168" s="31">
        <v>5288</v>
      </c>
      <c r="I168" s="31">
        <v>5082</v>
      </c>
      <c r="J168" s="31">
        <v>5296</v>
      </c>
      <c r="K168" s="31">
        <v>5563</v>
      </c>
      <c r="L168" s="31">
        <v>5678</v>
      </c>
      <c r="M168" s="111"/>
      <c r="N168" s="664" t="s">
        <v>1552</v>
      </c>
      <c r="P168" s="4"/>
      <c r="R168" s="4"/>
    </row>
    <row r="169" spans="1:18">
      <c r="A169" s="672">
        <v>25</v>
      </c>
      <c r="B169" s="664" t="s">
        <v>4169</v>
      </c>
      <c r="C169" s="4" t="s">
        <v>560</v>
      </c>
      <c r="D169" s="667">
        <v>1871</v>
      </c>
      <c r="E169" s="667">
        <v>1859</v>
      </c>
      <c r="F169" s="667">
        <v>1929</v>
      </c>
      <c r="G169" s="48">
        <v>1957</v>
      </c>
      <c r="H169" s="31">
        <v>1959</v>
      </c>
      <c r="I169" s="31">
        <v>1851</v>
      </c>
      <c r="J169" s="31">
        <v>1793</v>
      </c>
      <c r="K169" s="31">
        <v>1772</v>
      </c>
      <c r="L169" s="31">
        <v>1782</v>
      </c>
      <c r="M169" s="111"/>
      <c r="N169" s="664" t="s">
        <v>1552</v>
      </c>
      <c r="P169" s="4"/>
      <c r="R169" s="4"/>
    </row>
    <row r="170" spans="1:18">
      <c r="A170" s="672">
        <v>26</v>
      </c>
      <c r="B170" s="664" t="s">
        <v>3773</v>
      </c>
      <c r="C170" s="4" t="s">
        <v>561</v>
      </c>
      <c r="D170" s="674">
        <v>0</v>
      </c>
      <c r="E170" s="674">
        <v>0</v>
      </c>
      <c r="F170" s="674">
        <v>0</v>
      </c>
      <c r="G170" s="674">
        <v>0</v>
      </c>
      <c r="H170" s="674">
        <v>0</v>
      </c>
      <c r="I170" s="674">
        <v>0</v>
      </c>
      <c r="J170" s="674">
        <v>0</v>
      </c>
      <c r="K170" s="674">
        <v>0</v>
      </c>
      <c r="L170" s="674">
        <v>0</v>
      </c>
      <c r="M170" s="111"/>
      <c r="N170" s="664" t="s">
        <v>3247</v>
      </c>
      <c r="P170" s="4"/>
      <c r="R170" s="4"/>
    </row>
    <row r="171" spans="1:18" ht="15.75" thickBot="1">
      <c r="A171" s="111"/>
      <c r="B171" s="664"/>
      <c r="C171" s="4" t="s">
        <v>561</v>
      </c>
      <c r="D171" s="668">
        <v>1924</v>
      </c>
      <c r="E171" s="668">
        <v>1930</v>
      </c>
      <c r="F171" s="668">
        <v>1936</v>
      </c>
      <c r="G171" s="668">
        <v>1952</v>
      </c>
      <c r="H171" s="31">
        <v>1967</v>
      </c>
      <c r="I171" s="31">
        <v>1887</v>
      </c>
      <c r="J171" s="31">
        <v>1887</v>
      </c>
      <c r="K171" s="31">
        <v>1929</v>
      </c>
      <c r="L171" s="31">
        <v>1989</v>
      </c>
      <c r="M171" s="111"/>
      <c r="N171" s="111" t="s">
        <v>1552</v>
      </c>
      <c r="P171" s="4"/>
    </row>
    <row r="172" spans="1:18" ht="15.75" thickBot="1">
      <c r="C172" s="4" t="s">
        <v>561</v>
      </c>
      <c r="D172" s="675">
        <f t="shared" ref="D172:I172" si="108">D170+D171</f>
        <v>1924</v>
      </c>
      <c r="E172" s="675">
        <f t="shared" si="108"/>
        <v>1930</v>
      </c>
      <c r="F172" s="675">
        <f t="shared" si="108"/>
        <v>1936</v>
      </c>
      <c r="G172" s="675">
        <f t="shared" si="108"/>
        <v>1952</v>
      </c>
      <c r="H172" s="675">
        <f t="shared" si="108"/>
        <v>1967</v>
      </c>
      <c r="I172" s="675">
        <f t="shared" si="108"/>
        <v>1887</v>
      </c>
      <c r="J172" s="675">
        <f t="shared" ref="J172:K172" si="109">J170+J171</f>
        <v>1887</v>
      </c>
      <c r="K172" s="675">
        <f t="shared" si="109"/>
        <v>1929</v>
      </c>
      <c r="L172" s="675">
        <f t="shared" ref="L172" si="110">L170+L171</f>
        <v>1989</v>
      </c>
      <c r="M172" s="111"/>
      <c r="N172" s="664"/>
      <c r="P172" s="4"/>
    </row>
    <row r="173" spans="1:18">
      <c r="A173" s="111"/>
      <c r="B173" s="664"/>
      <c r="M173" s="111"/>
      <c r="N173" s="111"/>
    </row>
    <row r="174" spans="1:18">
      <c r="A174" s="664" t="s">
        <v>4119</v>
      </c>
      <c r="D174" s="667">
        <f t="shared" ref="D174:I174" si="111">D146+D164+D170</f>
        <v>9375</v>
      </c>
      <c r="E174" s="667">
        <f t="shared" si="111"/>
        <v>9447</v>
      </c>
      <c r="F174" s="667">
        <f t="shared" si="111"/>
        <v>9625</v>
      </c>
      <c r="G174" s="667">
        <f t="shared" si="111"/>
        <v>9622</v>
      </c>
      <c r="H174" s="667">
        <f t="shared" si="111"/>
        <v>9652</v>
      </c>
      <c r="I174" s="667">
        <f t="shared" si="111"/>
        <v>9261</v>
      </c>
      <c r="J174" s="667">
        <f t="shared" ref="J174:K174" si="112">J146+J164+J170</f>
        <v>9410</v>
      </c>
      <c r="K174" s="667">
        <f t="shared" si="112"/>
        <v>9766</v>
      </c>
      <c r="L174" s="667">
        <f t="shared" ref="L174" si="113">L146+L164+L170</f>
        <v>9980</v>
      </c>
      <c r="M174" s="111"/>
      <c r="N174" s="111"/>
    </row>
    <row r="175" spans="1:18">
      <c r="A175" s="664" t="s">
        <v>3774</v>
      </c>
      <c r="D175" s="667">
        <f t="shared" ref="D175:I175" si="114">SUM(D143:D145)+SUM(D149:D163)+SUM(D165:D169)+D171</f>
        <v>71751</v>
      </c>
      <c r="E175" s="667">
        <f t="shared" si="114"/>
        <v>72542</v>
      </c>
      <c r="F175" s="667">
        <f t="shared" si="114"/>
        <v>73505</v>
      </c>
      <c r="G175" s="667">
        <f t="shared" si="114"/>
        <v>74193</v>
      </c>
      <c r="H175" s="667">
        <f t="shared" si="114"/>
        <v>74887</v>
      </c>
      <c r="I175" s="667">
        <f t="shared" si="114"/>
        <v>72330</v>
      </c>
      <c r="J175" s="667">
        <f t="shared" ref="J175:K175" si="115">SUM(J143:J145)+SUM(J149:J163)+SUM(J165:J169)+J171</f>
        <v>73649</v>
      </c>
      <c r="K175" s="667">
        <f t="shared" si="115"/>
        <v>75754</v>
      </c>
      <c r="L175" s="667">
        <f t="shared" ref="L175" si="116">SUM(L143:L145)+SUM(L149:L163)+SUM(L165:L169)+L171</f>
        <v>76966</v>
      </c>
      <c r="M175" s="111"/>
      <c r="N175" s="111"/>
    </row>
    <row r="176" spans="1:18">
      <c r="A176" s="664"/>
      <c r="B176" s="664"/>
      <c r="D176" s="673"/>
      <c r="E176" s="673"/>
      <c r="F176" s="673"/>
      <c r="G176" s="673"/>
      <c r="H176" s="673"/>
      <c r="I176" s="673"/>
      <c r="J176" s="673"/>
      <c r="K176" s="673"/>
      <c r="L176" s="673"/>
      <c r="M176" s="111"/>
      <c r="N176" s="111"/>
    </row>
    <row r="177" spans="1:18">
      <c r="A177" s="664" t="s">
        <v>3780</v>
      </c>
      <c r="B177" s="664"/>
      <c r="D177" s="673"/>
      <c r="E177" s="673"/>
      <c r="F177" s="673"/>
      <c r="G177" s="673"/>
      <c r="H177" s="673"/>
      <c r="I177" s="673"/>
      <c r="J177" s="673"/>
      <c r="K177" s="673"/>
      <c r="L177" s="673"/>
      <c r="M177" s="111"/>
      <c r="N177" s="111"/>
    </row>
    <row r="178" spans="1:18">
      <c r="A178" s="664"/>
      <c r="B178" s="664"/>
      <c r="D178" s="673"/>
      <c r="E178" s="673"/>
      <c r="F178" s="673"/>
      <c r="G178" s="673"/>
      <c r="H178" s="673"/>
      <c r="I178" s="673"/>
      <c r="J178" s="673"/>
      <c r="K178" s="673"/>
      <c r="L178" s="673"/>
      <c r="M178" s="111"/>
      <c r="N178" s="111"/>
    </row>
    <row r="179" spans="1:18">
      <c r="A179" s="664"/>
      <c r="B179" s="664"/>
      <c r="D179" s="673"/>
      <c r="E179" s="673"/>
      <c r="F179" s="673"/>
      <c r="G179" s="673"/>
      <c r="H179" s="673"/>
      <c r="I179" s="673"/>
      <c r="J179" s="673"/>
      <c r="K179" s="673"/>
      <c r="L179" s="673"/>
      <c r="M179" s="111"/>
      <c r="N179" s="111"/>
    </row>
    <row r="180" spans="1:18">
      <c r="A180" s="111"/>
      <c r="B180" s="111"/>
      <c r="E180" s="42" t="s">
        <v>2303</v>
      </c>
      <c r="F180" s="42"/>
      <c r="G180" s="42"/>
      <c r="H180" s="42"/>
      <c r="I180" s="42"/>
      <c r="J180" s="42"/>
      <c r="K180" s="42"/>
      <c r="L180" s="42"/>
      <c r="M180" s="153"/>
      <c r="N180" s="109" t="s">
        <v>13319</v>
      </c>
    </row>
    <row r="181" spans="1:18">
      <c r="A181" s="111"/>
      <c r="B181" s="111"/>
      <c r="D181" s="110">
        <v>2010</v>
      </c>
      <c r="E181" s="110">
        <v>2011</v>
      </c>
      <c r="F181" s="110">
        <v>2012</v>
      </c>
      <c r="G181" s="110">
        <v>2013</v>
      </c>
      <c r="H181" s="110">
        <v>2014</v>
      </c>
      <c r="I181" s="110">
        <v>2015</v>
      </c>
      <c r="J181" s="110">
        <v>2016</v>
      </c>
      <c r="K181" s="110">
        <v>2017</v>
      </c>
      <c r="L181" s="110">
        <v>2018</v>
      </c>
      <c r="M181" s="111"/>
      <c r="N181" s="112" t="s">
        <v>2304</v>
      </c>
    </row>
    <row r="182" spans="1:18">
      <c r="A182" s="664" t="s">
        <v>1530</v>
      </c>
      <c r="D182" s="667">
        <f t="shared" ref="D182:I182" si="117">SUM(D183:D200)</f>
        <v>66166</v>
      </c>
      <c r="E182" s="667">
        <f t="shared" si="117"/>
        <v>66318</v>
      </c>
      <c r="F182" s="667">
        <f t="shared" si="117"/>
        <v>66084</v>
      </c>
      <c r="G182" s="667">
        <f t="shared" si="117"/>
        <v>65930</v>
      </c>
      <c r="H182" s="667">
        <f t="shared" si="117"/>
        <v>64854</v>
      </c>
      <c r="I182" s="667">
        <f t="shared" si="117"/>
        <v>64719</v>
      </c>
      <c r="J182" s="667">
        <f t="shared" ref="J182:K182" si="118">SUM(J183:J200)</f>
        <v>63636</v>
      </c>
      <c r="K182" s="667">
        <f t="shared" si="118"/>
        <v>66560</v>
      </c>
      <c r="L182" s="667">
        <f t="shared" ref="L182" si="119">SUM(L183:L200)</f>
        <v>65795</v>
      </c>
      <c r="M182" s="111"/>
      <c r="N182" s="111"/>
    </row>
    <row r="183" spans="1:18">
      <c r="A183" s="672">
        <v>1</v>
      </c>
      <c r="B183" s="664" t="s">
        <v>1531</v>
      </c>
      <c r="C183" s="4" t="s">
        <v>562</v>
      </c>
      <c r="D183" s="667">
        <v>4716</v>
      </c>
      <c r="E183" s="667">
        <v>4716</v>
      </c>
      <c r="F183" s="667">
        <v>4462</v>
      </c>
      <c r="G183" s="48">
        <v>4729</v>
      </c>
      <c r="H183" s="30">
        <v>4585</v>
      </c>
      <c r="I183" s="30">
        <v>4658</v>
      </c>
      <c r="J183" s="30">
        <v>4596</v>
      </c>
      <c r="K183" s="30">
        <v>4893</v>
      </c>
      <c r="L183" s="30">
        <v>4922</v>
      </c>
      <c r="M183" s="111"/>
      <c r="N183" s="664" t="s">
        <v>1553</v>
      </c>
      <c r="R183" s="4"/>
    </row>
    <row r="184" spans="1:18">
      <c r="A184" s="672">
        <v>2</v>
      </c>
      <c r="B184" s="664" t="s">
        <v>3211</v>
      </c>
      <c r="C184" s="4" t="s">
        <v>563</v>
      </c>
      <c r="D184" s="667">
        <v>5654</v>
      </c>
      <c r="E184" s="667">
        <v>5681</v>
      </c>
      <c r="F184" s="667">
        <v>5697</v>
      </c>
      <c r="G184" s="48">
        <v>5665</v>
      </c>
      <c r="H184" s="30">
        <v>5591</v>
      </c>
      <c r="I184" s="30">
        <v>5584</v>
      </c>
      <c r="J184" s="30">
        <v>5503</v>
      </c>
      <c r="K184" s="30">
        <v>5817</v>
      </c>
      <c r="L184" s="30">
        <v>5713</v>
      </c>
      <c r="M184" s="111"/>
      <c r="N184" s="664" t="s">
        <v>1553</v>
      </c>
      <c r="R184" s="4"/>
    </row>
    <row r="185" spans="1:18">
      <c r="A185" s="672">
        <v>3</v>
      </c>
      <c r="B185" s="664" t="s">
        <v>3212</v>
      </c>
      <c r="C185" s="4" t="s">
        <v>564</v>
      </c>
      <c r="D185" s="667">
        <v>1739</v>
      </c>
      <c r="E185" s="667">
        <v>1746</v>
      </c>
      <c r="F185" s="667">
        <v>1703</v>
      </c>
      <c r="G185" s="48">
        <v>1739</v>
      </c>
      <c r="H185" s="30">
        <v>1728</v>
      </c>
      <c r="I185" s="30">
        <v>1728</v>
      </c>
      <c r="J185" s="30">
        <v>1745</v>
      </c>
      <c r="K185" s="30">
        <v>1832</v>
      </c>
      <c r="L185" s="30">
        <v>1802</v>
      </c>
      <c r="M185" s="111"/>
      <c r="N185" s="664" t="s">
        <v>1553</v>
      </c>
      <c r="P185" s="4"/>
      <c r="R185" s="4"/>
    </row>
    <row r="186" spans="1:18">
      <c r="A186" s="672">
        <v>4</v>
      </c>
      <c r="B186" s="664" t="s">
        <v>3213</v>
      </c>
      <c r="C186" s="4" t="s">
        <v>565</v>
      </c>
      <c r="D186" s="667">
        <v>1884</v>
      </c>
      <c r="E186" s="667">
        <v>1905</v>
      </c>
      <c r="F186" s="667">
        <v>1915</v>
      </c>
      <c r="G186" s="48">
        <v>1890</v>
      </c>
      <c r="H186" s="30">
        <v>1841</v>
      </c>
      <c r="I186" s="30">
        <v>1850</v>
      </c>
      <c r="J186" s="30">
        <v>1828</v>
      </c>
      <c r="K186" s="30">
        <v>1911</v>
      </c>
      <c r="L186" s="30">
        <v>1890</v>
      </c>
      <c r="M186" s="111"/>
      <c r="N186" s="664" t="s">
        <v>1553</v>
      </c>
      <c r="P186" s="4"/>
      <c r="R186" s="4"/>
    </row>
    <row r="187" spans="1:18">
      <c r="A187" s="672">
        <v>5</v>
      </c>
      <c r="B187" s="664" t="s">
        <v>3214</v>
      </c>
      <c r="C187" s="4" t="s">
        <v>566</v>
      </c>
      <c r="D187" s="667">
        <v>1741</v>
      </c>
      <c r="E187" s="667">
        <v>1774</v>
      </c>
      <c r="F187" s="667">
        <v>1776</v>
      </c>
      <c r="G187" s="48">
        <v>1743</v>
      </c>
      <c r="H187" s="30">
        <v>1676</v>
      </c>
      <c r="I187" s="30">
        <v>1678</v>
      </c>
      <c r="J187" s="30">
        <v>1679</v>
      </c>
      <c r="K187" s="30">
        <v>1794</v>
      </c>
      <c r="L187" s="30">
        <v>1799</v>
      </c>
      <c r="M187" s="111"/>
      <c r="N187" s="664" t="s">
        <v>1553</v>
      </c>
      <c r="P187" s="4"/>
      <c r="R187" s="4"/>
    </row>
    <row r="188" spans="1:18">
      <c r="A188" s="672">
        <v>6</v>
      </c>
      <c r="B188" s="664" t="s">
        <v>3215</v>
      </c>
      <c r="C188" s="4" t="s">
        <v>567</v>
      </c>
      <c r="D188" s="667">
        <v>5666</v>
      </c>
      <c r="E188" s="667">
        <v>5673</v>
      </c>
      <c r="F188" s="667">
        <v>5735</v>
      </c>
      <c r="G188" s="48">
        <v>5690</v>
      </c>
      <c r="H188" s="30">
        <v>5568</v>
      </c>
      <c r="I188" s="30">
        <v>5588</v>
      </c>
      <c r="J188" s="30">
        <v>5480</v>
      </c>
      <c r="K188" s="30">
        <v>5685</v>
      </c>
      <c r="L188" s="30">
        <v>5664</v>
      </c>
      <c r="M188" s="111"/>
      <c r="N188" s="664" t="s">
        <v>1553</v>
      </c>
      <c r="P188" s="4"/>
      <c r="R188" s="4"/>
    </row>
    <row r="189" spans="1:18">
      <c r="A189" s="672">
        <v>7</v>
      </c>
      <c r="B189" s="664" t="s">
        <v>5521</v>
      </c>
      <c r="C189" s="4" t="s">
        <v>568</v>
      </c>
      <c r="D189" s="667">
        <v>5966</v>
      </c>
      <c r="E189" s="667">
        <v>6033</v>
      </c>
      <c r="F189" s="667">
        <v>6075</v>
      </c>
      <c r="G189" s="48">
        <v>6040</v>
      </c>
      <c r="H189" s="30">
        <v>5930</v>
      </c>
      <c r="I189" s="30">
        <v>5881</v>
      </c>
      <c r="J189" s="30">
        <v>5831</v>
      </c>
      <c r="K189" s="30">
        <v>6138</v>
      </c>
      <c r="L189" s="30">
        <v>6113</v>
      </c>
      <c r="M189" s="111"/>
      <c r="N189" s="664" t="s">
        <v>1553</v>
      </c>
      <c r="P189" s="4"/>
      <c r="R189" s="4"/>
    </row>
    <row r="190" spans="1:18">
      <c r="A190" s="672">
        <v>8</v>
      </c>
      <c r="B190" s="664" t="s">
        <v>3216</v>
      </c>
      <c r="C190" s="4" t="s">
        <v>569</v>
      </c>
      <c r="D190" s="667">
        <v>5311</v>
      </c>
      <c r="E190" s="667">
        <v>5345</v>
      </c>
      <c r="F190" s="667">
        <v>5369</v>
      </c>
      <c r="G190" s="48">
        <v>5361</v>
      </c>
      <c r="H190" s="30">
        <v>5357</v>
      </c>
      <c r="I190" s="30">
        <v>5314</v>
      </c>
      <c r="J190" s="30">
        <v>5232</v>
      </c>
      <c r="K190" s="30">
        <v>5507</v>
      </c>
      <c r="L190" s="30">
        <v>5452</v>
      </c>
      <c r="M190" s="111"/>
      <c r="N190" s="664" t="s">
        <v>1553</v>
      </c>
      <c r="P190" s="4"/>
      <c r="R190" s="4"/>
    </row>
    <row r="191" spans="1:18">
      <c r="A191" s="672">
        <v>9</v>
      </c>
      <c r="B191" s="664" t="s">
        <v>3217</v>
      </c>
      <c r="C191" s="4" t="s">
        <v>570</v>
      </c>
      <c r="D191" s="667">
        <v>5317</v>
      </c>
      <c r="E191" s="667">
        <v>5284</v>
      </c>
      <c r="F191" s="667">
        <v>5314</v>
      </c>
      <c r="G191" s="48">
        <v>5319</v>
      </c>
      <c r="H191" s="30">
        <v>5215</v>
      </c>
      <c r="I191" s="30">
        <v>5226</v>
      </c>
      <c r="J191" s="30">
        <v>5193</v>
      </c>
      <c r="K191" s="30">
        <v>5435</v>
      </c>
      <c r="L191" s="30">
        <v>5351</v>
      </c>
      <c r="M191" s="111"/>
      <c r="N191" s="664" t="s">
        <v>1553</v>
      </c>
      <c r="P191" s="4"/>
      <c r="R191" s="4"/>
    </row>
    <row r="192" spans="1:18">
      <c r="A192" s="672">
        <v>10</v>
      </c>
      <c r="B192" s="664" t="s">
        <v>3218</v>
      </c>
      <c r="C192" s="4" t="s">
        <v>571</v>
      </c>
      <c r="D192" s="667">
        <v>1640</v>
      </c>
      <c r="E192" s="667">
        <v>1645</v>
      </c>
      <c r="F192" s="667">
        <v>1629</v>
      </c>
      <c r="G192" s="48">
        <v>1654</v>
      </c>
      <c r="H192" s="30">
        <v>1562</v>
      </c>
      <c r="I192" s="30">
        <v>1580</v>
      </c>
      <c r="J192" s="30">
        <v>1547</v>
      </c>
      <c r="K192" s="30">
        <v>1599</v>
      </c>
      <c r="L192" s="30">
        <v>1578</v>
      </c>
      <c r="M192" s="111"/>
      <c r="N192" s="664" t="s">
        <v>1553</v>
      </c>
      <c r="P192" s="4"/>
      <c r="R192" s="4"/>
    </row>
    <row r="193" spans="1:18">
      <c r="A193" s="672">
        <v>11</v>
      </c>
      <c r="B193" s="664" t="s">
        <v>3219</v>
      </c>
      <c r="C193" s="4" t="s">
        <v>572</v>
      </c>
      <c r="D193" s="667">
        <v>3688</v>
      </c>
      <c r="E193" s="667">
        <v>3711</v>
      </c>
      <c r="F193" s="667">
        <v>3703</v>
      </c>
      <c r="G193" s="48">
        <v>3658</v>
      </c>
      <c r="H193" s="30">
        <v>3605</v>
      </c>
      <c r="I193" s="30">
        <v>3542</v>
      </c>
      <c r="J193" s="30">
        <v>3406</v>
      </c>
      <c r="K193" s="30">
        <v>3459</v>
      </c>
      <c r="L193" s="30">
        <v>3396</v>
      </c>
      <c r="M193" s="111"/>
      <c r="N193" s="664" t="s">
        <v>1553</v>
      </c>
      <c r="P193" s="4"/>
      <c r="R193" s="4"/>
    </row>
    <row r="194" spans="1:18">
      <c r="A194" s="672">
        <v>12</v>
      </c>
      <c r="B194" s="664" t="s">
        <v>3220</v>
      </c>
      <c r="C194" s="4" t="s">
        <v>573</v>
      </c>
      <c r="D194" s="667">
        <v>3852</v>
      </c>
      <c r="E194" s="667">
        <v>3779</v>
      </c>
      <c r="F194" s="667">
        <v>3773</v>
      </c>
      <c r="G194" s="48">
        <v>3719</v>
      </c>
      <c r="H194" s="30">
        <v>3601</v>
      </c>
      <c r="I194" s="30">
        <v>3485</v>
      </c>
      <c r="J194" s="30">
        <v>3362</v>
      </c>
      <c r="K194" s="30">
        <v>3449</v>
      </c>
      <c r="L194" s="30">
        <v>3329</v>
      </c>
      <c r="M194" s="111"/>
      <c r="N194" s="664" t="s">
        <v>1553</v>
      </c>
      <c r="P194" s="4"/>
      <c r="R194" s="4"/>
    </row>
    <row r="195" spans="1:18">
      <c r="A195" s="672">
        <v>13</v>
      </c>
      <c r="B195" s="664" t="s">
        <v>3221</v>
      </c>
      <c r="C195" s="4" t="s">
        <v>574</v>
      </c>
      <c r="D195" s="667">
        <v>3565</v>
      </c>
      <c r="E195" s="667">
        <v>3523</v>
      </c>
      <c r="F195" s="667">
        <v>3547</v>
      </c>
      <c r="G195" s="48">
        <v>3522</v>
      </c>
      <c r="H195" s="30">
        <v>3402</v>
      </c>
      <c r="I195" s="30">
        <v>3356</v>
      </c>
      <c r="J195" s="30">
        <v>3226</v>
      </c>
      <c r="K195" s="30">
        <v>3313</v>
      </c>
      <c r="L195" s="30">
        <v>3234</v>
      </c>
      <c r="M195" s="111"/>
      <c r="N195" s="664" t="s">
        <v>1553</v>
      </c>
      <c r="P195" s="4"/>
      <c r="R195" s="4"/>
    </row>
    <row r="196" spans="1:18">
      <c r="A196" s="672">
        <v>14</v>
      </c>
      <c r="B196" s="664" t="s">
        <v>3222</v>
      </c>
      <c r="C196" s="4" t="s">
        <v>575</v>
      </c>
      <c r="D196" s="667">
        <v>3401</v>
      </c>
      <c r="E196" s="667">
        <v>3341</v>
      </c>
      <c r="F196" s="667">
        <v>3291</v>
      </c>
      <c r="G196" s="48">
        <v>3225</v>
      </c>
      <c r="H196" s="30">
        <v>3110</v>
      </c>
      <c r="I196" s="30">
        <v>3104</v>
      </c>
      <c r="J196" s="30">
        <v>2990</v>
      </c>
      <c r="K196" s="30">
        <v>3060</v>
      </c>
      <c r="L196" s="30">
        <v>3009</v>
      </c>
      <c r="M196" s="111"/>
      <c r="N196" s="664" t="s">
        <v>1553</v>
      </c>
      <c r="P196" s="4"/>
      <c r="R196" s="4"/>
    </row>
    <row r="197" spans="1:18">
      <c r="A197" s="672">
        <v>15</v>
      </c>
      <c r="B197" s="664" t="s">
        <v>3223</v>
      </c>
      <c r="C197" s="4" t="s">
        <v>576</v>
      </c>
      <c r="D197" s="667">
        <v>3275</v>
      </c>
      <c r="E197" s="667">
        <v>3330</v>
      </c>
      <c r="F197" s="667">
        <v>3275</v>
      </c>
      <c r="G197" s="48">
        <v>3248</v>
      </c>
      <c r="H197" s="30">
        <v>3374</v>
      </c>
      <c r="I197" s="30">
        <v>3438</v>
      </c>
      <c r="J197" s="30">
        <v>3502</v>
      </c>
      <c r="K197" s="30">
        <v>3771</v>
      </c>
      <c r="L197" s="30">
        <v>3761</v>
      </c>
      <c r="M197" s="111"/>
      <c r="N197" s="664" t="s">
        <v>1553</v>
      </c>
      <c r="P197" s="4"/>
      <c r="R197" s="4"/>
    </row>
    <row r="198" spans="1:18">
      <c r="A198" s="672">
        <v>16</v>
      </c>
      <c r="B198" s="664" t="s">
        <v>3224</v>
      </c>
      <c r="C198" s="4" t="s">
        <v>577</v>
      </c>
      <c r="D198" s="667">
        <v>3370</v>
      </c>
      <c r="E198" s="667">
        <v>3361</v>
      </c>
      <c r="F198" s="667">
        <v>3340</v>
      </c>
      <c r="G198" s="48">
        <v>3306</v>
      </c>
      <c r="H198" s="31">
        <v>3269</v>
      </c>
      <c r="I198" s="31">
        <v>3245</v>
      </c>
      <c r="J198" s="31">
        <v>3173</v>
      </c>
      <c r="K198" s="31">
        <v>3332</v>
      </c>
      <c r="L198" s="31">
        <v>3285</v>
      </c>
      <c r="M198" s="111"/>
      <c r="N198" s="664" t="s">
        <v>1553</v>
      </c>
      <c r="P198" s="4"/>
      <c r="R198" s="4"/>
    </row>
    <row r="199" spans="1:18">
      <c r="A199" s="672">
        <v>17</v>
      </c>
      <c r="B199" s="664" t="s">
        <v>3225</v>
      </c>
      <c r="C199" s="4" t="s">
        <v>578</v>
      </c>
      <c r="D199" s="667">
        <v>1965</v>
      </c>
      <c r="E199" s="667">
        <v>2005</v>
      </c>
      <c r="F199" s="667">
        <v>2034</v>
      </c>
      <c r="G199" s="48">
        <v>2018</v>
      </c>
      <c r="H199" s="31">
        <v>1995</v>
      </c>
      <c r="I199" s="31">
        <v>2004</v>
      </c>
      <c r="J199" s="31">
        <v>1975</v>
      </c>
      <c r="K199" s="31">
        <v>2060</v>
      </c>
      <c r="L199" s="31">
        <v>2053</v>
      </c>
      <c r="M199" s="111"/>
      <c r="N199" s="664" t="s">
        <v>1553</v>
      </c>
      <c r="P199" s="4"/>
      <c r="R199" s="4"/>
    </row>
    <row r="200" spans="1:18">
      <c r="A200" s="672">
        <v>18</v>
      </c>
      <c r="B200" s="664" t="s">
        <v>3226</v>
      </c>
      <c r="C200" s="4" t="s">
        <v>579</v>
      </c>
      <c r="D200" s="667">
        <v>3416</v>
      </c>
      <c r="E200" s="667">
        <v>3466</v>
      </c>
      <c r="F200" s="667">
        <v>3446</v>
      </c>
      <c r="G200" s="48">
        <v>3404</v>
      </c>
      <c r="H200" s="31">
        <v>3445</v>
      </c>
      <c r="I200" s="31">
        <v>3458</v>
      </c>
      <c r="J200" s="31">
        <v>3368</v>
      </c>
      <c r="K200" s="31">
        <v>3505</v>
      </c>
      <c r="L200" s="31">
        <v>3444</v>
      </c>
      <c r="M200" s="111"/>
      <c r="N200" s="664" t="s">
        <v>1553</v>
      </c>
      <c r="P200" s="4"/>
      <c r="R200" s="4"/>
    </row>
    <row r="201" spans="1:18">
      <c r="A201" s="111"/>
      <c r="B201" s="111"/>
      <c r="C201" s="111"/>
      <c r="D201" s="667"/>
      <c r="E201" s="667"/>
      <c r="F201" s="667"/>
      <c r="G201" s="667"/>
      <c r="H201" s="667"/>
      <c r="I201" s="667"/>
      <c r="J201" s="667"/>
      <c r="K201" s="667"/>
      <c r="L201" s="667"/>
      <c r="M201" s="111"/>
      <c r="N201" s="664"/>
      <c r="P201" s="4"/>
    </row>
    <row r="202" spans="1:18">
      <c r="A202" s="664" t="s">
        <v>3227</v>
      </c>
      <c r="C202" s="111"/>
      <c r="D202" s="667">
        <f t="shared" ref="D202:I202" si="120">SUM(D183:D200)</f>
        <v>66166</v>
      </c>
      <c r="E202" s="667">
        <f t="shared" si="120"/>
        <v>66318</v>
      </c>
      <c r="F202" s="667">
        <f t="shared" si="120"/>
        <v>66084</v>
      </c>
      <c r="G202" s="667">
        <f t="shared" si="120"/>
        <v>65930</v>
      </c>
      <c r="H202" s="667">
        <f t="shared" si="120"/>
        <v>64854</v>
      </c>
      <c r="I202" s="667">
        <f t="shared" si="120"/>
        <v>64719</v>
      </c>
      <c r="J202" s="667">
        <f t="shared" ref="J202:K202" si="121">SUM(J183:J200)</f>
        <v>63636</v>
      </c>
      <c r="K202" s="667">
        <f t="shared" si="121"/>
        <v>66560</v>
      </c>
      <c r="L202" s="667">
        <f t="shared" ref="L202" si="122">SUM(L183:L200)</f>
        <v>65795</v>
      </c>
      <c r="M202" s="111"/>
      <c r="N202" s="664"/>
      <c r="P202" s="4"/>
    </row>
    <row r="203" spans="1:18">
      <c r="A203" s="664"/>
      <c r="C203" s="111"/>
      <c r="D203" s="667"/>
      <c r="E203" s="667"/>
      <c r="F203" s="667"/>
      <c r="G203" s="667"/>
      <c r="H203" s="667"/>
      <c r="I203" s="667"/>
      <c r="J203" s="667"/>
      <c r="K203" s="667"/>
      <c r="L203" s="667"/>
      <c r="M203" s="111"/>
      <c r="N203" s="664"/>
    </row>
    <row r="204" spans="1:18">
      <c r="A204" s="664" t="s">
        <v>5012</v>
      </c>
      <c r="B204" s="664"/>
      <c r="C204" s="664"/>
      <c r="D204" s="667"/>
      <c r="E204" s="667"/>
      <c r="F204" s="667"/>
      <c r="G204" s="667"/>
      <c r="H204" s="667"/>
      <c r="I204" s="667"/>
      <c r="J204" s="667"/>
      <c r="K204" s="667"/>
      <c r="L204" s="667"/>
      <c r="M204" s="111"/>
      <c r="N204" s="664"/>
    </row>
    <row r="205" spans="1:18">
      <c r="A205" s="111"/>
      <c r="B205" s="111"/>
      <c r="D205" s="668"/>
      <c r="E205" s="668"/>
      <c r="F205" s="668"/>
      <c r="G205" s="668"/>
      <c r="H205" s="668"/>
      <c r="I205" s="668"/>
      <c r="J205" s="668"/>
      <c r="K205" s="668"/>
      <c r="L205" s="668"/>
      <c r="M205" s="111"/>
      <c r="N205" s="111"/>
    </row>
    <row r="206" spans="1:18">
      <c r="A206" s="664"/>
      <c r="B206" s="664"/>
      <c r="D206" s="673"/>
      <c r="E206" s="673"/>
      <c r="F206" s="673"/>
      <c r="G206" s="673"/>
      <c r="H206" s="673"/>
      <c r="I206" s="673"/>
      <c r="J206" s="673"/>
      <c r="K206" s="673"/>
      <c r="L206" s="673"/>
      <c r="M206" s="111"/>
      <c r="N206" s="111"/>
    </row>
    <row r="207" spans="1:18">
      <c r="A207" s="111"/>
      <c r="B207" s="111"/>
      <c r="E207" s="42" t="s">
        <v>2303</v>
      </c>
      <c r="F207" s="42"/>
      <c r="G207" s="42"/>
      <c r="H207" s="42"/>
      <c r="I207" s="42"/>
      <c r="J207" s="42"/>
      <c r="K207" s="42"/>
      <c r="L207" s="42"/>
      <c r="M207" s="153"/>
      <c r="N207" s="109" t="s">
        <v>13319</v>
      </c>
    </row>
    <row r="208" spans="1:18">
      <c r="A208" s="111"/>
      <c r="B208" s="111"/>
      <c r="D208" s="110">
        <v>2010</v>
      </c>
      <c r="E208" s="110">
        <v>2011</v>
      </c>
      <c r="F208" s="110">
        <v>2012</v>
      </c>
      <c r="G208" s="110">
        <v>2013</v>
      </c>
      <c r="H208" s="110">
        <v>2014</v>
      </c>
      <c r="I208" s="110">
        <v>2015</v>
      </c>
      <c r="J208" s="110">
        <v>2016</v>
      </c>
      <c r="K208" s="110">
        <v>2017</v>
      </c>
      <c r="L208" s="110">
        <v>2018</v>
      </c>
      <c r="M208" s="111"/>
      <c r="N208" s="112" t="s">
        <v>2304</v>
      </c>
    </row>
    <row r="209" spans="1:17">
      <c r="A209" s="664" t="s">
        <v>5013</v>
      </c>
      <c r="D209" s="667">
        <f t="shared" ref="D209:J209" si="123">SUM(D210:D213)+SUM(D215:D224)+SUM(D226:D231)+SUM(D233:D245)</f>
        <v>100933</v>
      </c>
      <c r="E209" s="667">
        <f t="shared" si="123"/>
        <v>102758</v>
      </c>
      <c r="F209" s="667">
        <f t="shared" si="123"/>
        <v>102743</v>
      </c>
      <c r="G209" s="667">
        <f t="shared" si="123"/>
        <v>104467</v>
      </c>
      <c r="H209" s="667">
        <f t="shared" si="123"/>
        <v>105100</v>
      </c>
      <c r="I209" s="667">
        <f t="shared" si="123"/>
        <v>102679</v>
      </c>
      <c r="J209" s="667">
        <f t="shared" si="123"/>
        <v>101682</v>
      </c>
      <c r="K209" s="667">
        <f t="shared" ref="K209:L209" si="124">SUM(K210:K213)+SUM(K215:K224)+SUM(K226:K231)+SUM(K233:K245)</f>
        <v>105585</v>
      </c>
      <c r="L209" s="667">
        <f t="shared" si="124"/>
        <v>104537</v>
      </c>
      <c r="M209" s="111"/>
      <c r="N209" s="111"/>
    </row>
    <row r="210" spans="1:17">
      <c r="A210" s="672">
        <v>1</v>
      </c>
      <c r="B210" s="664" t="s">
        <v>5014</v>
      </c>
      <c r="C210" s="4" t="s">
        <v>15121</v>
      </c>
      <c r="D210" s="667">
        <v>77694</v>
      </c>
      <c r="E210" s="667">
        <v>79118</v>
      </c>
      <c r="F210" s="667">
        <v>79144</v>
      </c>
      <c r="G210" s="667">
        <v>80528</v>
      </c>
      <c r="H210" s="30">
        <v>80750</v>
      </c>
      <c r="I210" s="30">
        <v>78679</v>
      </c>
      <c r="J210" s="30">
        <v>1994</v>
      </c>
      <c r="K210" s="30">
        <v>2078</v>
      </c>
      <c r="L210" s="30">
        <v>2032</v>
      </c>
      <c r="M210" s="111"/>
      <c r="N210" s="664" t="s">
        <v>3245</v>
      </c>
    </row>
    <row r="211" spans="1:17">
      <c r="A211" s="672">
        <v>2</v>
      </c>
      <c r="B211" s="664" t="s">
        <v>5938</v>
      </c>
      <c r="C211" s="4" t="s">
        <v>15123</v>
      </c>
      <c r="D211" s="667">
        <v>0</v>
      </c>
      <c r="E211" s="667">
        <v>0</v>
      </c>
      <c r="F211" s="667">
        <v>0</v>
      </c>
      <c r="G211" s="667">
        <v>0</v>
      </c>
      <c r="H211" s="30">
        <v>0</v>
      </c>
      <c r="I211" s="30">
        <v>0</v>
      </c>
      <c r="J211" s="30">
        <v>3392</v>
      </c>
      <c r="K211" s="30">
        <v>3534</v>
      </c>
      <c r="L211" s="30">
        <v>3526</v>
      </c>
      <c r="M211" s="111"/>
      <c r="N211" s="664" t="s">
        <v>3245</v>
      </c>
    </row>
    <row r="212" spans="1:17">
      <c r="A212" s="672">
        <v>3</v>
      </c>
      <c r="B212" s="664" t="s">
        <v>15122</v>
      </c>
      <c r="C212" s="4" t="s">
        <v>15124</v>
      </c>
      <c r="D212" s="667">
        <v>0</v>
      </c>
      <c r="E212" s="667">
        <v>0</v>
      </c>
      <c r="F212" s="667">
        <v>0</v>
      </c>
      <c r="G212" s="667">
        <v>0</v>
      </c>
      <c r="H212" s="31">
        <v>0</v>
      </c>
      <c r="I212" s="31">
        <v>0</v>
      </c>
      <c r="J212" s="30">
        <v>1244</v>
      </c>
      <c r="K212" s="30">
        <v>1282</v>
      </c>
      <c r="L212" s="30">
        <v>1260</v>
      </c>
      <c r="M212" s="111"/>
      <c r="N212" s="664" t="s">
        <v>3245</v>
      </c>
      <c r="O212" s="4"/>
      <c r="Q212" s="4"/>
    </row>
    <row r="213" spans="1:17" ht="15.75" thickBot="1">
      <c r="A213" s="672"/>
      <c r="B213" s="664"/>
      <c r="C213" s="4" t="s">
        <v>15124</v>
      </c>
      <c r="D213" s="670">
        <v>0</v>
      </c>
      <c r="E213" s="670">
        <v>0</v>
      </c>
      <c r="F213" s="670">
        <v>0</v>
      </c>
      <c r="G213" s="670">
        <v>0</v>
      </c>
      <c r="H213" s="905">
        <v>0</v>
      </c>
      <c r="I213" s="905">
        <v>0</v>
      </c>
      <c r="J213" s="31">
        <v>2652</v>
      </c>
      <c r="K213" s="31">
        <v>2701</v>
      </c>
      <c r="L213" s="31">
        <v>2680</v>
      </c>
      <c r="M213" s="111"/>
      <c r="N213" s="664" t="s">
        <v>1552</v>
      </c>
      <c r="O213" s="4"/>
      <c r="Q213" s="4"/>
    </row>
    <row r="214" spans="1:17" ht="15.75" thickBot="1">
      <c r="A214" s="672"/>
      <c r="B214" s="664"/>
      <c r="C214" s="4" t="s">
        <v>15124</v>
      </c>
      <c r="D214" s="675">
        <f>D212+D213</f>
        <v>0</v>
      </c>
      <c r="E214" s="675">
        <f t="shared" ref="E214:L214" si="125">E212+E213</f>
        <v>0</v>
      </c>
      <c r="F214" s="675">
        <f t="shared" si="125"/>
        <v>0</v>
      </c>
      <c r="G214" s="675">
        <f t="shared" si="125"/>
        <v>0</v>
      </c>
      <c r="H214" s="675">
        <f t="shared" si="125"/>
        <v>0</v>
      </c>
      <c r="I214" s="675">
        <f t="shared" si="125"/>
        <v>0</v>
      </c>
      <c r="J214" s="675">
        <f t="shared" si="125"/>
        <v>3896</v>
      </c>
      <c r="K214" s="675">
        <f t="shared" si="125"/>
        <v>3983</v>
      </c>
      <c r="L214" s="675">
        <f t="shared" si="125"/>
        <v>3940</v>
      </c>
      <c r="M214" s="111"/>
      <c r="N214" s="664"/>
      <c r="O214" s="4"/>
      <c r="Q214" s="4"/>
    </row>
    <row r="215" spans="1:17">
      <c r="A215" s="672">
        <v>4</v>
      </c>
      <c r="B215" s="664" t="s">
        <v>15125</v>
      </c>
      <c r="C215" s="4" t="s">
        <v>15129</v>
      </c>
      <c r="D215" s="667">
        <v>0</v>
      </c>
      <c r="E215" s="667">
        <v>0</v>
      </c>
      <c r="F215" s="667">
        <v>0</v>
      </c>
      <c r="G215" s="667">
        <v>0</v>
      </c>
      <c r="H215" s="30">
        <v>0</v>
      </c>
      <c r="I215" s="30">
        <v>0</v>
      </c>
      <c r="J215" s="30">
        <v>4430</v>
      </c>
      <c r="K215" s="30">
        <v>4754</v>
      </c>
      <c r="L215" s="30">
        <v>4888</v>
      </c>
      <c r="M215" s="111"/>
      <c r="N215" s="664" t="s">
        <v>3245</v>
      </c>
      <c r="O215" s="4"/>
      <c r="Q215" s="4"/>
    </row>
    <row r="216" spans="1:17">
      <c r="A216" s="672">
        <v>5</v>
      </c>
      <c r="B216" s="664" t="s">
        <v>5015</v>
      </c>
      <c r="C216" s="4" t="s">
        <v>15130</v>
      </c>
      <c r="D216" s="667">
        <v>0</v>
      </c>
      <c r="E216" s="667">
        <v>0</v>
      </c>
      <c r="F216" s="667">
        <v>0</v>
      </c>
      <c r="G216" s="667">
        <v>0</v>
      </c>
      <c r="H216" s="30">
        <v>0</v>
      </c>
      <c r="I216" s="30">
        <v>0</v>
      </c>
      <c r="J216" s="30">
        <v>3415</v>
      </c>
      <c r="K216" s="30">
        <v>3547</v>
      </c>
      <c r="L216" s="30">
        <v>3508</v>
      </c>
      <c r="M216" s="111"/>
      <c r="N216" s="664" t="s">
        <v>3245</v>
      </c>
      <c r="O216" s="4"/>
      <c r="Q216" s="4"/>
    </row>
    <row r="217" spans="1:17">
      <c r="A217" s="672">
        <v>6</v>
      </c>
      <c r="B217" s="664" t="s">
        <v>5016</v>
      </c>
      <c r="C217" s="4" t="s">
        <v>15131</v>
      </c>
      <c r="D217" s="667">
        <v>0</v>
      </c>
      <c r="E217" s="667">
        <v>0</v>
      </c>
      <c r="F217" s="667">
        <v>0</v>
      </c>
      <c r="G217" s="667">
        <v>0</v>
      </c>
      <c r="H217" s="30">
        <v>0</v>
      </c>
      <c r="I217" s="30">
        <v>0</v>
      </c>
      <c r="J217" s="30">
        <v>3987</v>
      </c>
      <c r="K217" s="30">
        <v>4057</v>
      </c>
      <c r="L217" s="30">
        <v>3984</v>
      </c>
      <c r="M217" s="111"/>
      <c r="N217" s="664" t="s">
        <v>3245</v>
      </c>
      <c r="O217" s="4"/>
      <c r="Q217" s="4"/>
    </row>
    <row r="218" spans="1:17">
      <c r="A218" s="672">
        <v>7</v>
      </c>
      <c r="B218" s="666" t="s">
        <v>15126</v>
      </c>
      <c r="C218" s="4" t="s">
        <v>15132</v>
      </c>
      <c r="D218" s="667">
        <v>0</v>
      </c>
      <c r="E218" s="667">
        <v>0</v>
      </c>
      <c r="F218" s="667">
        <v>0</v>
      </c>
      <c r="G218" s="667">
        <v>0</v>
      </c>
      <c r="H218" s="30">
        <v>0</v>
      </c>
      <c r="I218" s="30">
        <v>0</v>
      </c>
      <c r="J218" s="30">
        <v>4059</v>
      </c>
      <c r="K218" s="30">
        <v>4316</v>
      </c>
      <c r="L218" s="30">
        <v>4320</v>
      </c>
      <c r="M218" s="111"/>
      <c r="N218" s="664" t="s">
        <v>3245</v>
      </c>
      <c r="O218" s="4"/>
      <c r="Q218" s="4"/>
    </row>
    <row r="219" spans="1:17">
      <c r="A219" s="672">
        <v>8</v>
      </c>
      <c r="B219" s="664" t="s">
        <v>7588</v>
      </c>
      <c r="C219" s="4" t="s">
        <v>15133</v>
      </c>
      <c r="D219" s="667">
        <v>0</v>
      </c>
      <c r="E219" s="667">
        <v>0</v>
      </c>
      <c r="F219" s="667">
        <v>0</v>
      </c>
      <c r="G219" s="667">
        <v>0</v>
      </c>
      <c r="H219" s="30">
        <v>0</v>
      </c>
      <c r="I219" s="30">
        <v>0</v>
      </c>
      <c r="J219" s="30">
        <v>1913</v>
      </c>
      <c r="K219" s="30">
        <v>1995</v>
      </c>
      <c r="L219" s="30">
        <v>1955</v>
      </c>
      <c r="M219" s="111"/>
      <c r="N219" s="664" t="s">
        <v>3245</v>
      </c>
      <c r="O219" s="4"/>
      <c r="Q219" s="4"/>
    </row>
    <row r="220" spans="1:17">
      <c r="A220" s="672">
        <v>9</v>
      </c>
      <c r="B220" s="664" t="s">
        <v>5017</v>
      </c>
      <c r="C220" s="4" t="s">
        <v>15134</v>
      </c>
      <c r="D220" s="674">
        <v>10363</v>
      </c>
      <c r="E220" s="674">
        <v>10621</v>
      </c>
      <c r="F220" s="674">
        <v>10607</v>
      </c>
      <c r="G220" s="674">
        <v>10779</v>
      </c>
      <c r="H220" s="31">
        <v>11023</v>
      </c>
      <c r="I220" s="31">
        <v>10881</v>
      </c>
      <c r="J220" s="31">
        <v>5561</v>
      </c>
      <c r="K220" s="31">
        <v>5703</v>
      </c>
      <c r="L220" s="31">
        <v>5568</v>
      </c>
      <c r="M220" s="111"/>
      <c r="N220" s="664" t="s">
        <v>1553</v>
      </c>
      <c r="O220" s="4"/>
      <c r="Q220" s="4"/>
    </row>
    <row r="221" spans="1:17">
      <c r="A221" s="672">
        <v>10</v>
      </c>
      <c r="B221" s="664" t="s">
        <v>15127</v>
      </c>
      <c r="C221" s="4" t="s">
        <v>15135</v>
      </c>
      <c r="D221" s="667">
        <v>0</v>
      </c>
      <c r="E221" s="667">
        <v>0</v>
      </c>
      <c r="F221" s="667">
        <v>0</v>
      </c>
      <c r="G221" s="667">
        <v>0</v>
      </c>
      <c r="H221" s="30">
        <v>0</v>
      </c>
      <c r="I221" s="30">
        <v>0</v>
      </c>
      <c r="J221" s="30">
        <v>1938</v>
      </c>
      <c r="K221" s="30">
        <v>1977</v>
      </c>
      <c r="L221" s="30">
        <v>1968</v>
      </c>
      <c r="M221" s="111"/>
      <c r="N221" s="664" t="s">
        <v>3245</v>
      </c>
      <c r="O221" s="4"/>
      <c r="Q221" s="4"/>
    </row>
    <row r="222" spans="1:17">
      <c r="A222" s="672">
        <v>11</v>
      </c>
      <c r="B222" s="664" t="s">
        <v>101</v>
      </c>
      <c r="C222" s="4" t="s">
        <v>15136</v>
      </c>
      <c r="D222" s="667">
        <v>0</v>
      </c>
      <c r="E222" s="667">
        <v>0</v>
      </c>
      <c r="F222" s="667">
        <v>0</v>
      </c>
      <c r="G222" s="667">
        <v>0</v>
      </c>
      <c r="H222" s="30">
        <v>0</v>
      </c>
      <c r="I222" s="30">
        <v>0</v>
      </c>
      <c r="J222" s="30">
        <v>1847</v>
      </c>
      <c r="K222" s="30">
        <v>1923</v>
      </c>
      <c r="L222" s="30">
        <v>1893</v>
      </c>
      <c r="M222" s="111"/>
      <c r="N222" s="664" t="s">
        <v>3245</v>
      </c>
      <c r="O222" s="4"/>
      <c r="Q222" s="4"/>
    </row>
    <row r="223" spans="1:17">
      <c r="A223" s="672">
        <v>12</v>
      </c>
      <c r="B223" s="664" t="s">
        <v>15128</v>
      </c>
      <c r="C223" s="4" t="s">
        <v>15137</v>
      </c>
      <c r="D223" s="667">
        <v>0</v>
      </c>
      <c r="E223" s="667">
        <v>0</v>
      </c>
      <c r="F223" s="667">
        <v>0</v>
      </c>
      <c r="G223" s="667">
        <v>0</v>
      </c>
      <c r="H223" s="30">
        <v>0</v>
      </c>
      <c r="I223" s="30">
        <v>0</v>
      </c>
      <c r="J223" s="30">
        <v>3181</v>
      </c>
      <c r="K223" s="30">
        <v>3375</v>
      </c>
      <c r="L223" s="30">
        <v>3362</v>
      </c>
      <c r="M223" s="111"/>
      <c r="N223" s="664" t="s">
        <v>3245</v>
      </c>
      <c r="O223" s="4"/>
      <c r="Q223" s="4"/>
    </row>
    <row r="224" spans="1:17" ht="15.75" thickBot="1">
      <c r="A224" s="672"/>
      <c r="B224" s="664"/>
      <c r="C224" s="4" t="s">
        <v>15137</v>
      </c>
      <c r="D224" s="670">
        <v>0</v>
      </c>
      <c r="E224" s="670">
        <v>0</v>
      </c>
      <c r="F224" s="670">
        <v>0</v>
      </c>
      <c r="G224" s="670">
        <v>0</v>
      </c>
      <c r="H224" s="905">
        <v>0</v>
      </c>
      <c r="I224" s="905">
        <v>0</v>
      </c>
      <c r="J224" s="31">
        <v>182</v>
      </c>
      <c r="K224" s="31">
        <v>189</v>
      </c>
      <c r="L224" s="31">
        <v>195</v>
      </c>
      <c r="M224" s="111"/>
      <c r="N224" s="664" t="s">
        <v>1552</v>
      </c>
      <c r="O224" s="4"/>
      <c r="Q224" s="4"/>
    </row>
    <row r="225" spans="1:17" ht="15.75" thickBot="1">
      <c r="A225" s="672"/>
      <c r="B225" s="664"/>
      <c r="C225" s="4" t="s">
        <v>15137</v>
      </c>
      <c r="D225" s="675">
        <f>D223+D224</f>
        <v>0</v>
      </c>
      <c r="E225" s="675">
        <f t="shared" ref="E225" si="126">E223+E224</f>
        <v>0</v>
      </c>
      <c r="F225" s="675">
        <f t="shared" ref="F225" si="127">F223+F224</f>
        <v>0</v>
      </c>
      <c r="G225" s="675">
        <f t="shared" ref="G225" si="128">G223+G224</f>
        <v>0</v>
      </c>
      <c r="H225" s="675">
        <f t="shared" ref="H225" si="129">H223+H224</f>
        <v>0</v>
      </c>
      <c r="I225" s="675">
        <f t="shared" ref="I225" si="130">I223+I224</f>
        <v>0</v>
      </c>
      <c r="J225" s="675">
        <f t="shared" ref="J225:L225" si="131">J223+J224</f>
        <v>3363</v>
      </c>
      <c r="K225" s="675">
        <f t="shared" si="131"/>
        <v>3564</v>
      </c>
      <c r="L225" s="675">
        <f t="shared" si="131"/>
        <v>3557</v>
      </c>
      <c r="M225" s="111"/>
      <c r="N225" s="664"/>
      <c r="O225" s="4"/>
      <c r="Q225" s="4"/>
    </row>
    <row r="226" spans="1:17">
      <c r="A226" s="672">
        <v>13</v>
      </c>
      <c r="B226" s="664" t="s">
        <v>15138</v>
      </c>
      <c r="C226" s="4" t="s">
        <v>15144</v>
      </c>
      <c r="D226" s="667">
        <v>0</v>
      </c>
      <c r="E226" s="667">
        <v>0</v>
      </c>
      <c r="F226" s="667">
        <v>0</v>
      </c>
      <c r="G226" s="667">
        <v>0</v>
      </c>
      <c r="H226" s="30">
        <v>0</v>
      </c>
      <c r="I226" s="30">
        <v>0</v>
      </c>
      <c r="J226" s="30">
        <v>3807</v>
      </c>
      <c r="K226" s="30">
        <v>3857</v>
      </c>
      <c r="L226" s="30">
        <v>3841</v>
      </c>
      <c r="M226" s="111"/>
      <c r="N226" s="664" t="s">
        <v>3245</v>
      </c>
      <c r="O226" s="4"/>
      <c r="Q226" s="4"/>
    </row>
    <row r="227" spans="1:17">
      <c r="A227" s="672">
        <v>14</v>
      </c>
      <c r="B227" s="664" t="s">
        <v>15139</v>
      </c>
      <c r="C227" s="4" t="s">
        <v>15145</v>
      </c>
      <c r="D227" s="667">
        <v>0</v>
      </c>
      <c r="E227" s="667">
        <v>0</v>
      </c>
      <c r="F227" s="667">
        <v>0</v>
      </c>
      <c r="G227" s="667">
        <v>0</v>
      </c>
      <c r="H227" s="30">
        <v>0</v>
      </c>
      <c r="I227" s="30">
        <v>0</v>
      </c>
      <c r="J227" s="30">
        <v>3393</v>
      </c>
      <c r="K227" s="30">
        <v>3532</v>
      </c>
      <c r="L227" s="30">
        <v>3363</v>
      </c>
      <c r="M227" s="111"/>
      <c r="N227" s="664" t="s">
        <v>3245</v>
      </c>
      <c r="O227" s="4"/>
      <c r="Q227" s="4"/>
    </row>
    <row r="228" spans="1:17">
      <c r="A228" s="672">
        <v>15</v>
      </c>
      <c r="B228" s="664" t="s">
        <v>15140</v>
      </c>
      <c r="C228" s="4" t="s">
        <v>15146</v>
      </c>
      <c r="D228" s="667">
        <v>0</v>
      </c>
      <c r="E228" s="667">
        <v>0</v>
      </c>
      <c r="F228" s="667">
        <v>0</v>
      </c>
      <c r="G228" s="667">
        <v>0</v>
      </c>
      <c r="H228" s="30">
        <v>0</v>
      </c>
      <c r="I228" s="30">
        <v>0</v>
      </c>
      <c r="J228" s="30">
        <v>3534</v>
      </c>
      <c r="K228" s="30">
        <v>3633</v>
      </c>
      <c r="L228" s="30">
        <v>3500</v>
      </c>
      <c r="M228" s="111"/>
      <c r="N228" s="664" t="s">
        <v>3245</v>
      </c>
      <c r="O228" s="4"/>
      <c r="Q228" s="4"/>
    </row>
    <row r="229" spans="1:17">
      <c r="A229" s="672">
        <v>16</v>
      </c>
      <c r="B229" s="664" t="s">
        <v>15141</v>
      </c>
      <c r="C229" s="4" t="s">
        <v>15147</v>
      </c>
      <c r="D229" s="667">
        <v>0</v>
      </c>
      <c r="E229" s="667">
        <v>0</v>
      </c>
      <c r="F229" s="667">
        <v>0</v>
      </c>
      <c r="G229" s="667">
        <v>0</v>
      </c>
      <c r="H229" s="31">
        <v>0</v>
      </c>
      <c r="I229" s="31">
        <v>0</v>
      </c>
      <c r="J229" s="31">
        <v>4560</v>
      </c>
      <c r="K229" s="31">
        <v>4802</v>
      </c>
      <c r="L229" s="31">
        <v>4892</v>
      </c>
      <c r="M229" s="111"/>
      <c r="N229" s="664" t="s">
        <v>3245</v>
      </c>
      <c r="O229" s="4"/>
      <c r="Q229" s="4"/>
    </row>
    <row r="230" spans="1:17">
      <c r="A230" s="672">
        <v>17</v>
      </c>
      <c r="B230" s="664" t="s">
        <v>15142</v>
      </c>
      <c r="C230" s="4" t="s">
        <v>15148</v>
      </c>
      <c r="D230" s="667">
        <v>0</v>
      </c>
      <c r="E230" s="667">
        <v>0</v>
      </c>
      <c r="F230" s="667">
        <v>0</v>
      </c>
      <c r="G230" s="667">
        <v>0</v>
      </c>
      <c r="H230" s="30">
        <v>0</v>
      </c>
      <c r="I230" s="30">
        <v>0</v>
      </c>
      <c r="J230" s="31">
        <v>3693</v>
      </c>
      <c r="K230" s="31">
        <v>3752</v>
      </c>
      <c r="L230" s="31">
        <v>3681</v>
      </c>
      <c r="M230" s="111"/>
      <c r="N230" s="664" t="s">
        <v>3245</v>
      </c>
      <c r="O230" s="4"/>
      <c r="Q230" s="4"/>
    </row>
    <row r="231" spans="1:17" ht="15.75" thickBot="1">
      <c r="A231" s="672"/>
      <c r="B231" s="664"/>
      <c r="C231" s="4" t="s">
        <v>15148</v>
      </c>
      <c r="D231" s="670">
        <v>0</v>
      </c>
      <c r="E231" s="670">
        <v>0</v>
      </c>
      <c r="F231" s="670">
        <v>0</v>
      </c>
      <c r="G231" s="670">
        <v>0</v>
      </c>
      <c r="H231" s="905">
        <v>0</v>
      </c>
      <c r="I231" s="905">
        <v>0</v>
      </c>
      <c r="J231" s="31">
        <v>235</v>
      </c>
      <c r="K231" s="31">
        <v>239</v>
      </c>
      <c r="L231" s="31">
        <v>241</v>
      </c>
      <c r="M231" s="111"/>
      <c r="N231" s="664" t="s">
        <v>1552</v>
      </c>
      <c r="O231" s="4"/>
      <c r="Q231" s="4"/>
    </row>
    <row r="232" spans="1:17" ht="15.75" thickBot="1">
      <c r="A232" s="672"/>
      <c r="B232" s="664"/>
      <c r="C232" s="4" t="s">
        <v>15148</v>
      </c>
      <c r="D232" s="675">
        <f>D230+D231</f>
        <v>0</v>
      </c>
      <c r="E232" s="675">
        <f t="shared" ref="E232" si="132">E230+E231</f>
        <v>0</v>
      </c>
      <c r="F232" s="675">
        <f t="shared" ref="F232" si="133">F230+F231</f>
        <v>0</v>
      </c>
      <c r="G232" s="675">
        <f t="shared" ref="G232" si="134">G230+G231</f>
        <v>0</v>
      </c>
      <c r="H232" s="675">
        <f t="shared" ref="H232" si="135">H230+H231</f>
        <v>0</v>
      </c>
      <c r="I232" s="675">
        <f t="shared" ref="I232" si="136">I230+I231</f>
        <v>0</v>
      </c>
      <c r="J232" s="675">
        <f t="shared" ref="J232:L232" si="137">J230+J231</f>
        <v>3928</v>
      </c>
      <c r="K232" s="675">
        <f t="shared" si="137"/>
        <v>3991</v>
      </c>
      <c r="L232" s="675">
        <f t="shared" si="137"/>
        <v>3922</v>
      </c>
      <c r="M232" s="111"/>
      <c r="N232" s="664"/>
    </row>
    <row r="233" spans="1:17">
      <c r="A233" s="672">
        <v>18</v>
      </c>
      <c r="B233" s="666" t="s">
        <v>15143</v>
      </c>
      <c r="C233" s="4" t="s">
        <v>15149</v>
      </c>
      <c r="D233" s="667">
        <v>0</v>
      </c>
      <c r="E233" s="667">
        <v>0</v>
      </c>
      <c r="F233" s="667">
        <v>0</v>
      </c>
      <c r="G233" s="667">
        <v>0</v>
      </c>
      <c r="H233" s="30">
        <v>0</v>
      </c>
      <c r="I233" s="30">
        <v>0</v>
      </c>
      <c r="J233" s="30">
        <v>3247</v>
      </c>
      <c r="K233" s="30">
        <v>3456</v>
      </c>
      <c r="L233" s="30">
        <v>3428</v>
      </c>
      <c r="M233" s="111"/>
      <c r="N233" s="664" t="s">
        <v>3245</v>
      </c>
      <c r="O233" s="4"/>
      <c r="Q233" s="4"/>
    </row>
    <row r="234" spans="1:17">
      <c r="A234" s="672">
        <v>19</v>
      </c>
      <c r="B234" s="664" t="s">
        <v>3292</v>
      </c>
      <c r="C234" s="4" t="s">
        <v>15156</v>
      </c>
      <c r="D234" s="667">
        <v>0</v>
      </c>
      <c r="E234" s="667">
        <v>0</v>
      </c>
      <c r="F234" s="667">
        <v>0</v>
      </c>
      <c r="G234" s="667">
        <v>0</v>
      </c>
      <c r="H234" s="30">
        <v>0</v>
      </c>
      <c r="I234" s="30">
        <v>0</v>
      </c>
      <c r="J234" s="31">
        <v>3672</v>
      </c>
      <c r="K234" s="31">
        <v>3850</v>
      </c>
      <c r="L234" s="31">
        <v>3753</v>
      </c>
      <c r="M234" s="111"/>
      <c r="N234" s="664" t="s">
        <v>3245</v>
      </c>
      <c r="O234" s="4"/>
      <c r="Q234" s="4"/>
    </row>
    <row r="235" spans="1:17">
      <c r="A235" s="672">
        <v>20</v>
      </c>
      <c r="B235" s="664" t="s">
        <v>3293</v>
      </c>
      <c r="C235" s="4" t="s">
        <v>15157</v>
      </c>
      <c r="D235" s="667">
        <v>0</v>
      </c>
      <c r="E235" s="667">
        <v>0</v>
      </c>
      <c r="F235" s="667">
        <v>0</v>
      </c>
      <c r="G235" s="667">
        <v>0</v>
      </c>
      <c r="H235" s="30">
        <v>0</v>
      </c>
      <c r="I235" s="30">
        <v>0</v>
      </c>
      <c r="J235" s="31">
        <v>1942</v>
      </c>
      <c r="K235" s="31">
        <v>1989</v>
      </c>
      <c r="L235" s="31">
        <v>1981</v>
      </c>
      <c r="M235" s="111"/>
      <c r="N235" s="664" t="s">
        <v>3245</v>
      </c>
      <c r="O235" s="4"/>
      <c r="Q235" s="4"/>
    </row>
    <row r="236" spans="1:17">
      <c r="A236" s="672">
        <v>21</v>
      </c>
      <c r="B236" s="664" t="s">
        <v>15150</v>
      </c>
      <c r="C236" s="4" t="s">
        <v>15158</v>
      </c>
      <c r="D236" s="667">
        <v>12876</v>
      </c>
      <c r="E236" s="667">
        <v>13019</v>
      </c>
      <c r="F236" s="667">
        <v>12992</v>
      </c>
      <c r="G236" s="667">
        <v>13160</v>
      </c>
      <c r="H236" s="30">
        <v>13327</v>
      </c>
      <c r="I236" s="30">
        <v>13119</v>
      </c>
      <c r="J236" s="31">
        <v>2057</v>
      </c>
      <c r="K236" s="31">
        <v>2165</v>
      </c>
      <c r="L236" s="31">
        <v>2120</v>
      </c>
      <c r="M236" s="111"/>
      <c r="N236" s="664" t="s">
        <v>1552</v>
      </c>
      <c r="O236" s="4"/>
      <c r="Q236" s="4"/>
    </row>
    <row r="237" spans="1:17">
      <c r="A237" s="672">
        <v>22</v>
      </c>
      <c r="B237" s="664" t="s">
        <v>15151</v>
      </c>
      <c r="C237" s="4" t="s">
        <v>15159</v>
      </c>
      <c r="D237" s="667">
        <v>0</v>
      </c>
      <c r="E237" s="667">
        <v>0</v>
      </c>
      <c r="F237" s="667">
        <v>0</v>
      </c>
      <c r="G237" s="667">
        <v>0</v>
      </c>
      <c r="H237" s="30">
        <v>0</v>
      </c>
      <c r="I237" s="30">
        <v>0</v>
      </c>
      <c r="J237" s="31">
        <v>5135</v>
      </c>
      <c r="K237" s="31">
        <v>5364</v>
      </c>
      <c r="L237" s="31">
        <v>5359</v>
      </c>
      <c r="M237" s="111"/>
      <c r="N237" s="664" t="s">
        <v>1553</v>
      </c>
      <c r="O237" s="4"/>
      <c r="Q237" s="4"/>
    </row>
    <row r="238" spans="1:17">
      <c r="A238" s="672">
        <v>23</v>
      </c>
      <c r="B238" s="664" t="s">
        <v>3045</v>
      </c>
      <c r="C238" s="4" t="s">
        <v>15160</v>
      </c>
      <c r="D238" s="667">
        <v>0</v>
      </c>
      <c r="E238" s="667">
        <v>0</v>
      </c>
      <c r="F238" s="667">
        <v>0</v>
      </c>
      <c r="G238" s="667">
        <v>0</v>
      </c>
      <c r="H238" s="30">
        <v>0</v>
      </c>
      <c r="I238" s="30">
        <v>0</v>
      </c>
      <c r="J238" s="31">
        <v>1890</v>
      </c>
      <c r="K238" s="31">
        <v>1945</v>
      </c>
      <c r="L238" s="31">
        <v>1936</v>
      </c>
      <c r="M238" s="111"/>
      <c r="N238" s="664" t="s">
        <v>3245</v>
      </c>
      <c r="O238" s="4"/>
      <c r="Q238" s="4"/>
    </row>
    <row r="239" spans="1:17">
      <c r="A239" s="672">
        <v>24</v>
      </c>
      <c r="B239" s="664" t="s">
        <v>15152</v>
      </c>
      <c r="C239" s="4" t="s">
        <v>15161</v>
      </c>
      <c r="D239" s="667">
        <v>0</v>
      </c>
      <c r="E239" s="667">
        <v>0</v>
      </c>
      <c r="F239" s="667">
        <v>0</v>
      </c>
      <c r="G239" s="667">
        <v>0</v>
      </c>
      <c r="H239" s="30">
        <v>0</v>
      </c>
      <c r="I239" s="30">
        <v>0</v>
      </c>
      <c r="J239" s="31">
        <v>3889</v>
      </c>
      <c r="K239" s="31">
        <v>4022</v>
      </c>
      <c r="L239" s="31">
        <v>4022</v>
      </c>
      <c r="M239" s="111"/>
      <c r="N239" s="664" t="s">
        <v>1552</v>
      </c>
      <c r="O239" s="4"/>
      <c r="Q239" s="4"/>
    </row>
    <row r="240" spans="1:17">
      <c r="A240" s="672">
        <v>25</v>
      </c>
      <c r="B240" s="664" t="s">
        <v>15153</v>
      </c>
      <c r="C240" s="4" t="s">
        <v>15162</v>
      </c>
      <c r="D240" s="667">
        <v>0</v>
      </c>
      <c r="E240" s="667">
        <v>0</v>
      </c>
      <c r="F240" s="667">
        <v>0</v>
      </c>
      <c r="G240" s="667">
        <v>0</v>
      </c>
      <c r="H240" s="30">
        <v>0</v>
      </c>
      <c r="I240" s="30">
        <v>0</v>
      </c>
      <c r="J240" s="31">
        <v>3825</v>
      </c>
      <c r="K240" s="31">
        <v>3945</v>
      </c>
      <c r="L240" s="31">
        <v>3823</v>
      </c>
      <c r="M240" s="111"/>
      <c r="N240" s="664" t="s">
        <v>3245</v>
      </c>
      <c r="O240" s="4"/>
      <c r="Q240" s="4"/>
    </row>
    <row r="241" spans="1:17">
      <c r="A241" s="672">
        <v>26</v>
      </c>
      <c r="B241" s="664" t="s">
        <v>15154</v>
      </c>
      <c r="C241" s="4" t="s">
        <v>15163</v>
      </c>
      <c r="D241" s="667">
        <v>0</v>
      </c>
      <c r="E241" s="667">
        <v>0</v>
      </c>
      <c r="F241" s="667">
        <v>0</v>
      </c>
      <c r="G241" s="667">
        <v>0</v>
      </c>
      <c r="H241" s="30">
        <v>0</v>
      </c>
      <c r="I241" s="30">
        <v>0</v>
      </c>
      <c r="J241" s="31">
        <v>3744</v>
      </c>
      <c r="K241" s="31">
        <v>3846</v>
      </c>
      <c r="L241" s="31">
        <v>3833</v>
      </c>
      <c r="M241" s="111"/>
      <c r="N241" s="664" t="s">
        <v>3245</v>
      </c>
      <c r="O241" s="4"/>
      <c r="Q241" s="4"/>
    </row>
    <row r="242" spans="1:17">
      <c r="A242" s="672">
        <v>27</v>
      </c>
      <c r="B242" s="664" t="s">
        <v>3294</v>
      </c>
      <c r="C242" s="4" t="s">
        <v>15164</v>
      </c>
      <c r="D242" s="667">
        <v>0</v>
      </c>
      <c r="E242" s="667">
        <v>0</v>
      </c>
      <c r="F242" s="667">
        <v>0</v>
      </c>
      <c r="G242" s="667">
        <v>0</v>
      </c>
      <c r="H242" s="30">
        <v>0</v>
      </c>
      <c r="I242" s="30">
        <v>0</v>
      </c>
      <c r="J242" s="31">
        <v>3786</v>
      </c>
      <c r="K242" s="31">
        <v>3881</v>
      </c>
      <c r="L242" s="31">
        <v>3928</v>
      </c>
      <c r="M242" s="111"/>
      <c r="N242" s="664" t="s">
        <v>3245</v>
      </c>
      <c r="O242" s="4"/>
      <c r="Q242" s="4"/>
    </row>
    <row r="243" spans="1:17">
      <c r="A243" s="672">
        <v>28</v>
      </c>
      <c r="B243" s="664" t="s">
        <v>15155</v>
      </c>
      <c r="C243" s="4" t="s">
        <v>15165</v>
      </c>
      <c r="D243" s="667">
        <v>0</v>
      </c>
      <c r="E243" s="667">
        <v>0</v>
      </c>
      <c r="F243" s="667">
        <v>0</v>
      </c>
      <c r="G243" s="667">
        <v>0</v>
      </c>
      <c r="H243" s="30">
        <v>0</v>
      </c>
      <c r="I243" s="30">
        <v>0</v>
      </c>
      <c r="J243" s="31">
        <v>3488</v>
      </c>
      <c r="K243" s="31">
        <v>3691</v>
      </c>
      <c r="L243" s="31">
        <v>3634</v>
      </c>
      <c r="M243" s="111"/>
      <c r="N243" s="664" t="s">
        <v>3245</v>
      </c>
      <c r="O243" s="4"/>
      <c r="Q243" s="4"/>
    </row>
    <row r="244" spans="1:17">
      <c r="A244" s="672">
        <v>29</v>
      </c>
      <c r="B244" s="664" t="s">
        <v>3295</v>
      </c>
      <c r="C244" s="4" t="s">
        <v>15166</v>
      </c>
      <c r="D244" s="667">
        <v>0</v>
      </c>
      <c r="E244" s="667">
        <v>0</v>
      </c>
      <c r="F244" s="667">
        <v>0</v>
      </c>
      <c r="G244" s="667">
        <v>0</v>
      </c>
      <c r="H244" s="30">
        <v>0</v>
      </c>
      <c r="I244" s="30">
        <v>0</v>
      </c>
      <c r="J244" s="31">
        <v>2002</v>
      </c>
      <c r="K244" s="31">
        <v>2088</v>
      </c>
      <c r="L244" s="31">
        <v>2058</v>
      </c>
      <c r="M244" s="111"/>
      <c r="N244" s="664" t="s">
        <v>3245</v>
      </c>
      <c r="O244" s="4"/>
      <c r="Q244" s="4"/>
    </row>
    <row r="245" spans="1:17">
      <c r="A245" s="672">
        <v>30</v>
      </c>
      <c r="B245" s="664" t="s">
        <v>5099</v>
      </c>
      <c r="C245" s="4" t="s">
        <v>15167</v>
      </c>
      <c r="D245" s="667">
        <v>0</v>
      </c>
      <c r="E245" s="667">
        <v>0</v>
      </c>
      <c r="F245" s="667">
        <v>0</v>
      </c>
      <c r="G245" s="667">
        <v>0</v>
      </c>
      <c r="H245" s="30">
        <v>0</v>
      </c>
      <c r="I245" s="30">
        <v>0</v>
      </c>
      <c r="J245" s="31">
        <v>3988</v>
      </c>
      <c r="K245" s="31">
        <v>4097</v>
      </c>
      <c r="L245" s="31">
        <v>4005</v>
      </c>
      <c r="M245" s="111"/>
      <c r="N245" s="664" t="s">
        <v>1552</v>
      </c>
      <c r="O245" s="4"/>
      <c r="Q245" s="4"/>
    </row>
    <row r="246" spans="1:17">
      <c r="A246" s="111"/>
      <c r="B246" s="111"/>
      <c r="C246" s="664"/>
      <c r="D246" s="668"/>
      <c r="E246" s="668"/>
      <c r="F246" s="668"/>
      <c r="G246" s="668"/>
      <c r="H246" s="668"/>
      <c r="I246" s="668"/>
      <c r="J246" s="668"/>
      <c r="K246" s="668"/>
      <c r="L246" s="668"/>
      <c r="M246" s="111"/>
      <c r="N246" s="111"/>
      <c r="O246" s="4"/>
      <c r="Q246" s="4"/>
    </row>
    <row r="247" spans="1:17">
      <c r="A247" s="664" t="s">
        <v>3245</v>
      </c>
      <c r="D247" s="667">
        <f>SUM(D210:D212)+SUM(D215:D219)+SUM(D221:D223)+SUM(D226:D230)+SUM(D233:D235)+D238+SUM(D240:D244)</f>
        <v>77694</v>
      </c>
      <c r="E247" s="667">
        <f t="shared" ref="E247:J247" si="138">SUM(E210:E212)+SUM(E215:E219)+SUM(E221:E223)+SUM(E226:E230)+SUM(E233:E235)+E238+SUM(E240:E244)</f>
        <v>79118</v>
      </c>
      <c r="F247" s="667">
        <f t="shared" si="138"/>
        <v>79144</v>
      </c>
      <c r="G247" s="667">
        <f t="shared" si="138"/>
        <v>80528</v>
      </c>
      <c r="H247" s="667">
        <f t="shared" si="138"/>
        <v>80750</v>
      </c>
      <c r="I247" s="667">
        <f t="shared" si="138"/>
        <v>78679</v>
      </c>
      <c r="J247" s="667">
        <f t="shared" si="138"/>
        <v>77983</v>
      </c>
      <c r="K247" s="667">
        <f t="shared" ref="K247:L247" si="139">SUM(K210:K212)+SUM(K215:K219)+SUM(K221:K223)+SUM(K226:K230)+SUM(K233:K235)+K238+SUM(K240:K244)</f>
        <v>81105</v>
      </c>
      <c r="L247" s="667">
        <f t="shared" si="139"/>
        <v>80347</v>
      </c>
      <c r="M247" s="111"/>
      <c r="N247" s="111"/>
      <c r="O247" s="4"/>
      <c r="Q247" s="4"/>
    </row>
    <row r="248" spans="1:17">
      <c r="A248" s="664" t="s">
        <v>3774</v>
      </c>
      <c r="D248" s="667">
        <f>D213+D224+D231+D236+D239+D245</f>
        <v>12876</v>
      </c>
      <c r="E248" s="667">
        <f t="shared" ref="E248:J248" si="140">E213+E224+E231+E236+E239+E245</f>
        <v>13019</v>
      </c>
      <c r="F248" s="667">
        <f t="shared" si="140"/>
        <v>12992</v>
      </c>
      <c r="G248" s="667">
        <f t="shared" si="140"/>
        <v>13160</v>
      </c>
      <c r="H248" s="667">
        <f t="shared" si="140"/>
        <v>13327</v>
      </c>
      <c r="I248" s="667">
        <f t="shared" si="140"/>
        <v>13119</v>
      </c>
      <c r="J248" s="667">
        <f t="shared" si="140"/>
        <v>13003</v>
      </c>
      <c r="K248" s="667">
        <f t="shared" ref="K248:L248" si="141">K213+K224+K231+K236+K239+K245</f>
        <v>13413</v>
      </c>
      <c r="L248" s="667">
        <f t="shared" si="141"/>
        <v>13263</v>
      </c>
      <c r="M248" s="111"/>
      <c r="N248" s="111"/>
    </row>
    <row r="249" spans="1:17">
      <c r="A249" s="664" t="s">
        <v>3227</v>
      </c>
      <c r="D249" s="667">
        <f>D220+D237</f>
        <v>10363</v>
      </c>
      <c r="E249" s="667">
        <f t="shared" ref="E249:J249" si="142">E220+E237</f>
        <v>10621</v>
      </c>
      <c r="F249" s="667">
        <f t="shared" si="142"/>
        <v>10607</v>
      </c>
      <c r="G249" s="667">
        <f t="shared" si="142"/>
        <v>10779</v>
      </c>
      <c r="H249" s="667">
        <f t="shared" si="142"/>
        <v>11023</v>
      </c>
      <c r="I249" s="667">
        <f t="shared" si="142"/>
        <v>10881</v>
      </c>
      <c r="J249" s="667">
        <f t="shared" si="142"/>
        <v>10696</v>
      </c>
      <c r="K249" s="667">
        <f t="shared" ref="K249:L249" si="143">K220+K237</f>
        <v>11067</v>
      </c>
      <c r="L249" s="667">
        <f t="shared" si="143"/>
        <v>10927</v>
      </c>
      <c r="M249" s="111"/>
      <c r="N249" s="111"/>
      <c r="O249" s="4"/>
      <c r="Q249" s="4"/>
    </row>
    <row r="250" spans="1:17">
      <c r="A250" s="664"/>
      <c r="B250" s="664"/>
      <c r="C250" s="664"/>
      <c r="D250" s="673"/>
      <c r="E250" s="673"/>
      <c r="F250" s="673"/>
      <c r="G250" s="673"/>
      <c r="H250" s="673"/>
      <c r="I250" s="673"/>
      <c r="J250" s="673"/>
      <c r="K250" s="673"/>
      <c r="L250" s="673"/>
      <c r="M250" s="111"/>
      <c r="N250" s="111"/>
    </row>
    <row r="251" spans="1:17">
      <c r="A251" s="664" t="s">
        <v>15120</v>
      </c>
      <c r="B251" s="664"/>
      <c r="C251" s="664"/>
      <c r="D251" s="673"/>
      <c r="E251" s="673"/>
      <c r="F251" s="673"/>
      <c r="G251" s="673"/>
      <c r="H251" s="673"/>
      <c r="I251" s="673"/>
      <c r="J251" s="673"/>
      <c r="K251" s="673"/>
      <c r="L251" s="673"/>
      <c r="M251" s="111"/>
      <c r="N251" s="111"/>
    </row>
    <row r="252" spans="1:17">
      <c r="A252" s="664"/>
      <c r="B252" s="664"/>
      <c r="D252" s="673"/>
      <c r="E252" s="673"/>
      <c r="F252" s="673"/>
      <c r="G252" s="673"/>
      <c r="H252" s="673"/>
      <c r="I252" s="673"/>
      <c r="J252" s="673"/>
      <c r="K252" s="673"/>
      <c r="L252" s="673"/>
      <c r="M252" s="111"/>
      <c r="N252" s="111"/>
    </row>
    <row r="253" spans="1:17">
      <c r="A253" s="664"/>
      <c r="B253" s="664"/>
      <c r="D253" s="673"/>
      <c r="E253" s="673"/>
      <c r="F253" s="673"/>
      <c r="G253" s="673"/>
      <c r="H253" s="673"/>
      <c r="I253" s="673"/>
      <c r="J253" s="673"/>
      <c r="K253" s="673"/>
      <c r="L253" s="673"/>
      <c r="M253" s="111"/>
      <c r="N253" s="111"/>
    </row>
    <row r="254" spans="1:17">
      <c r="A254" s="111"/>
      <c r="B254" s="111"/>
      <c r="E254" s="42" t="s">
        <v>2303</v>
      </c>
      <c r="F254" s="42"/>
      <c r="G254" s="42"/>
      <c r="H254" s="42"/>
      <c r="I254" s="42"/>
      <c r="J254" s="42"/>
      <c r="K254" s="42"/>
      <c r="L254" s="42"/>
      <c r="M254" s="153"/>
      <c r="N254" s="109" t="s">
        <v>13319</v>
      </c>
    </row>
    <row r="255" spans="1:17">
      <c r="A255" s="111"/>
      <c r="B255" s="111"/>
      <c r="D255" s="110">
        <v>2010</v>
      </c>
      <c r="E255" s="110">
        <v>2011</v>
      </c>
      <c r="F255" s="110">
        <v>2012</v>
      </c>
      <c r="G255" s="110">
        <v>2013</v>
      </c>
      <c r="H255" s="110">
        <v>2014</v>
      </c>
      <c r="I255" s="110">
        <v>2015</v>
      </c>
      <c r="J255" s="110">
        <v>2016</v>
      </c>
      <c r="K255" s="110">
        <v>2017</v>
      </c>
      <c r="L255" s="110">
        <v>2018</v>
      </c>
      <c r="M255" s="111"/>
      <c r="N255" s="112" t="s">
        <v>2304</v>
      </c>
    </row>
    <row r="256" spans="1:17">
      <c r="A256" s="664" t="s">
        <v>3296</v>
      </c>
      <c r="D256" s="667">
        <f t="shared" ref="D256:I256" si="144">SUM(D257:D276)</f>
        <v>71024</v>
      </c>
      <c r="E256" s="667">
        <f t="shared" si="144"/>
        <v>71945</v>
      </c>
      <c r="F256" s="667">
        <f t="shared" si="144"/>
        <v>72234</v>
      </c>
      <c r="G256" s="667">
        <f t="shared" si="144"/>
        <v>72776</v>
      </c>
      <c r="H256" s="667">
        <f t="shared" si="144"/>
        <v>73315</v>
      </c>
      <c r="I256" s="667">
        <f t="shared" si="144"/>
        <v>71827</v>
      </c>
      <c r="J256" s="667">
        <f t="shared" ref="J256:K256" si="145">SUM(J257:J276)</f>
        <v>72401</v>
      </c>
      <c r="K256" s="667">
        <f t="shared" si="145"/>
        <v>72884</v>
      </c>
      <c r="L256" s="667">
        <f t="shared" ref="L256" si="146">SUM(L257:L276)</f>
        <v>72939</v>
      </c>
      <c r="M256" s="111"/>
      <c r="N256" s="111"/>
    </row>
    <row r="257" spans="1:18">
      <c r="A257" s="672">
        <v>1</v>
      </c>
      <c r="B257" s="664" t="s">
        <v>5004</v>
      </c>
      <c r="C257" s="4" t="s">
        <v>14147</v>
      </c>
      <c r="D257" s="667">
        <v>71024</v>
      </c>
      <c r="E257" s="667">
        <v>71945</v>
      </c>
      <c r="F257" s="667">
        <v>72234</v>
      </c>
      <c r="G257" s="30">
        <v>72776</v>
      </c>
      <c r="H257" s="30">
        <v>73315</v>
      </c>
      <c r="I257" s="30">
        <v>2044</v>
      </c>
      <c r="J257" s="30">
        <v>2053</v>
      </c>
      <c r="K257" s="30">
        <v>2077</v>
      </c>
      <c r="L257" s="30">
        <v>2040</v>
      </c>
      <c r="M257" s="111"/>
      <c r="N257" s="664" t="s">
        <v>1545</v>
      </c>
      <c r="R257" s="4"/>
    </row>
    <row r="258" spans="1:18">
      <c r="A258" s="672">
        <v>2</v>
      </c>
      <c r="B258" s="664" t="s">
        <v>14002</v>
      </c>
      <c r="C258" s="4" t="s">
        <v>14148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4405</v>
      </c>
      <c r="J258" s="30">
        <v>4438</v>
      </c>
      <c r="K258" s="30">
        <v>4432</v>
      </c>
      <c r="L258" s="30">
        <v>4418</v>
      </c>
      <c r="M258" s="111"/>
      <c r="N258" s="664" t="s">
        <v>1545</v>
      </c>
      <c r="R258" s="4"/>
    </row>
    <row r="259" spans="1:18">
      <c r="A259" s="672">
        <v>3</v>
      </c>
      <c r="B259" s="108" t="s">
        <v>5005</v>
      </c>
      <c r="C259" s="4" t="s">
        <v>14149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5934</v>
      </c>
      <c r="J259" s="30">
        <v>6089</v>
      </c>
      <c r="K259" s="30">
        <v>6136</v>
      </c>
      <c r="L259" s="30">
        <v>6175</v>
      </c>
      <c r="M259" s="111"/>
      <c r="N259" s="664" t="s">
        <v>1545</v>
      </c>
      <c r="R259" s="4"/>
    </row>
    <row r="260" spans="1:18">
      <c r="A260" s="672">
        <v>4</v>
      </c>
      <c r="B260" s="664" t="s">
        <v>14003</v>
      </c>
      <c r="C260" s="4" t="s">
        <v>14150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6496</v>
      </c>
      <c r="J260" s="30">
        <v>6517</v>
      </c>
      <c r="K260" s="30">
        <v>6505</v>
      </c>
      <c r="L260" s="30">
        <v>6566</v>
      </c>
      <c r="M260" s="111"/>
      <c r="N260" s="664" t="s">
        <v>1545</v>
      </c>
      <c r="R260" s="4"/>
    </row>
    <row r="261" spans="1:18">
      <c r="A261" s="672">
        <v>5</v>
      </c>
      <c r="B261" s="664" t="s">
        <v>5006</v>
      </c>
      <c r="C261" s="4" t="s">
        <v>14151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5122</v>
      </c>
      <c r="J261" s="30">
        <v>5140</v>
      </c>
      <c r="K261" s="30">
        <v>5257</v>
      </c>
      <c r="L261" s="30">
        <v>5259</v>
      </c>
      <c r="M261" s="111"/>
      <c r="N261" s="664" t="s">
        <v>1545</v>
      </c>
      <c r="P261" s="4"/>
      <c r="R261" s="4"/>
    </row>
    <row r="262" spans="1:18">
      <c r="A262" s="672">
        <v>6</v>
      </c>
      <c r="B262" s="664" t="s">
        <v>75</v>
      </c>
      <c r="C262" s="4" t="s">
        <v>14152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5080</v>
      </c>
      <c r="J262" s="30">
        <v>5029</v>
      </c>
      <c r="K262" s="30">
        <v>5118</v>
      </c>
      <c r="L262" s="30">
        <v>5120</v>
      </c>
      <c r="M262" s="111"/>
      <c r="N262" s="664" t="s">
        <v>1545</v>
      </c>
      <c r="P262" s="4"/>
      <c r="R262" s="4"/>
    </row>
    <row r="263" spans="1:18">
      <c r="A263" s="672">
        <v>7</v>
      </c>
      <c r="B263" s="664" t="s">
        <v>76</v>
      </c>
      <c r="C263" s="4" t="s">
        <v>14153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3743</v>
      </c>
      <c r="J263" s="30">
        <v>3657</v>
      </c>
      <c r="K263" s="30">
        <v>3793</v>
      </c>
      <c r="L263" s="30">
        <v>3772</v>
      </c>
      <c r="M263" s="111"/>
      <c r="N263" s="664" t="s">
        <v>1545</v>
      </c>
      <c r="P263" s="4"/>
      <c r="R263" s="4"/>
    </row>
    <row r="264" spans="1:18">
      <c r="A264" s="672">
        <v>8</v>
      </c>
      <c r="B264" s="664" t="s">
        <v>77</v>
      </c>
      <c r="C264" s="4" t="s">
        <v>14154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2174</v>
      </c>
      <c r="J264" s="30">
        <v>2182</v>
      </c>
      <c r="K264" s="30">
        <v>2224</v>
      </c>
      <c r="L264" s="30">
        <v>2167</v>
      </c>
      <c r="M264" s="111"/>
      <c r="N264" s="664" t="s">
        <v>1545</v>
      </c>
      <c r="P264" s="4"/>
      <c r="R264" s="4"/>
    </row>
    <row r="265" spans="1:18">
      <c r="A265" s="672">
        <v>9</v>
      </c>
      <c r="B265" s="664" t="s">
        <v>14004</v>
      </c>
      <c r="C265" s="4" t="s">
        <v>14155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2128</v>
      </c>
      <c r="J265" s="30">
        <v>2189</v>
      </c>
      <c r="K265" s="30">
        <v>2177</v>
      </c>
      <c r="L265" s="30">
        <v>2189</v>
      </c>
      <c r="M265" s="111"/>
      <c r="N265" s="664" t="s">
        <v>1545</v>
      </c>
      <c r="P265" s="4"/>
      <c r="R265" s="4"/>
    </row>
    <row r="266" spans="1:18">
      <c r="A266" s="672">
        <v>10</v>
      </c>
      <c r="B266" s="664" t="s">
        <v>6541</v>
      </c>
      <c r="C266" s="4" t="s">
        <v>14156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1783</v>
      </c>
      <c r="J266" s="30">
        <v>1813</v>
      </c>
      <c r="K266" s="30">
        <v>1792</v>
      </c>
      <c r="L266" s="30">
        <v>1790</v>
      </c>
      <c r="M266" s="111"/>
      <c r="N266" s="664" t="s">
        <v>1545</v>
      </c>
      <c r="P266" s="4"/>
      <c r="R266" s="4"/>
    </row>
    <row r="267" spans="1:18">
      <c r="A267" s="672">
        <v>11</v>
      </c>
      <c r="B267" s="664" t="s">
        <v>78</v>
      </c>
      <c r="C267" s="4" t="s">
        <v>14157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6707</v>
      </c>
      <c r="J267" s="30">
        <v>6776</v>
      </c>
      <c r="K267" s="30">
        <v>6756</v>
      </c>
      <c r="L267" s="30">
        <v>6771</v>
      </c>
      <c r="M267" s="111"/>
      <c r="N267" s="664" t="s">
        <v>1545</v>
      </c>
      <c r="P267" s="4"/>
      <c r="R267" s="4"/>
    </row>
    <row r="268" spans="1:18">
      <c r="A268" s="672">
        <v>12</v>
      </c>
      <c r="B268" s="664" t="s">
        <v>79</v>
      </c>
      <c r="C268" s="4" t="s">
        <v>14158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3230</v>
      </c>
      <c r="J268" s="30">
        <v>3314</v>
      </c>
      <c r="K268" s="30">
        <v>3350</v>
      </c>
      <c r="L268" s="30">
        <v>3392</v>
      </c>
      <c r="M268" s="111"/>
      <c r="N268" s="664" t="s">
        <v>1545</v>
      </c>
      <c r="P268" s="4"/>
      <c r="R268" s="4"/>
    </row>
    <row r="269" spans="1:18">
      <c r="A269" s="672">
        <v>13</v>
      </c>
      <c r="B269" s="664" t="s">
        <v>80</v>
      </c>
      <c r="C269" s="4" t="s">
        <v>14159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4298</v>
      </c>
      <c r="J269" s="30">
        <v>4398</v>
      </c>
      <c r="K269" s="30">
        <v>4494</v>
      </c>
      <c r="L269" s="30">
        <v>4506</v>
      </c>
      <c r="M269" s="111"/>
      <c r="N269" s="664" t="s">
        <v>1545</v>
      </c>
      <c r="P269" s="4"/>
      <c r="R269" s="4"/>
    </row>
    <row r="270" spans="1:18">
      <c r="A270" s="672">
        <v>14</v>
      </c>
      <c r="B270" s="664" t="s">
        <v>1534</v>
      </c>
      <c r="C270" s="4" t="s">
        <v>14160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2125</v>
      </c>
      <c r="J270" s="30">
        <v>2132</v>
      </c>
      <c r="K270" s="30">
        <v>2136</v>
      </c>
      <c r="L270" s="30">
        <v>2088</v>
      </c>
      <c r="M270" s="111"/>
      <c r="N270" s="664" t="s">
        <v>1545</v>
      </c>
      <c r="P270" s="4"/>
      <c r="R270" s="4"/>
    </row>
    <row r="271" spans="1:18">
      <c r="A271" s="672">
        <v>15</v>
      </c>
      <c r="B271" s="664" t="s">
        <v>14005</v>
      </c>
      <c r="C271" s="4" t="s">
        <v>14161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6070</v>
      </c>
      <c r="J271" s="30">
        <v>6098</v>
      </c>
      <c r="K271" s="30">
        <v>6097</v>
      </c>
      <c r="L271" s="30">
        <v>6119</v>
      </c>
      <c r="M271" s="111"/>
      <c r="N271" s="664" t="s">
        <v>1545</v>
      </c>
      <c r="P271" s="4"/>
      <c r="R271" s="4"/>
    </row>
    <row r="272" spans="1:18">
      <c r="A272" s="672">
        <v>16</v>
      </c>
      <c r="B272" s="664" t="s">
        <v>2398</v>
      </c>
      <c r="C272" s="4" t="s">
        <v>14162</v>
      </c>
      <c r="D272" s="31">
        <v>0</v>
      </c>
      <c r="E272" s="31">
        <v>0</v>
      </c>
      <c r="F272" s="31">
        <v>0</v>
      </c>
      <c r="G272" s="31">
        <v>0</v>
      </c>
      <c r="H272" s="31">
        <v>0</v>
      </c>
      <c r="I272" s="31">
        <v>1940</v>
      </c>
      <c r="J272" s="31">
        <v>1963</v>
      </c>
      <c r="K272" s="31">
        <v>1959</v>
      </c>
      <c r="L272" s="31">
        <v>1968</v>
      </c>
      <c r="M272" s="111"/>
      <c r="N272" s="664" t="s">
        <v>1545</v>
      </c>
      <c r="P272" s="4"/>
      <c r="R272" s="4"/>
    </row>
    <row r="273" spans="1:18">
      <c r="A273" s="672">
        <v>17</v>
      </c>
      <c r="B273" s="664" t="s">
        <v>2399</v>
      </c>
      <c r="C273" s="4" t="s">
        <v>14163</v>
      </c>
      <c r="D273" s="31">
        <v>0</v>
      </c>
      <c r="E273" s="31">
        <v>0</v>
      </c>
      <c r="F273" s="31">
        <v>0</v>
      </c>
      <c r="G273" s="31">
        <v>0</v>
      </c>
      <c r="H273" s="31">
        <v>0</v>
      </c>
      <c r="I273" s="31">
        <v>2125</v>
      </c>
      <c r="J273" s="31">
        <v>2150</v>
      </c>
      <c r="K273" s="31">
        <v>2097</v>
      </c>
      <c r="L273" s="31">
        <v>2112</v>
      </c>
      <c r="M273" s="111"/>
      <c r="N273" s="664" t="s">
        <v>1545</v>
      </c>
      <c r="P273" s="4"/>
      <c r="R273" s="4"/>
    </row>
    <row r="274" spans="1:18">
      <c r="A274" s="672">
        <v>18</v>
      </c>
      <c r="B274" s="664" t="s">
        <v>3409</v>
      </c>
      <c r="C274" s="4" t="s">
        <v>14164</v>
      </c>
      <c r="D274" s="31">
        <v>0</v>
      </c>
      <c r="E274" s="31">
        <v>0</v>
      </c>
      <c r="F274" s="31">
        <v>0</v>
      </c>
      <c r="G274" s="31">
        <v>0</v>
      </c>
      <c r="H274" s="31">
        <v>0</v>
      </c>
      <c r="I274" s="31">
        <v>2348</v>
      </c>
      <c r="J274" s="31">
        <v>2372</v>
      </c>
      <c r="K274" s="31">
        <v>2394</v>
      </c>
      <c r="L274" s="31">
        <v>2408</v>
      </c>
      <c r="M274" s="111"/>
      <c r="N274" s="664" t="s">
        <v>1545</v>
      </c>
      <c r="P274" s="4"/>
      <c r="R274" s="4"/>
    </row>
    <row r="275" spans="1:18">
      <c r="A275" s="672">
        <v>19</v>
      </c>
      <c r="B275" s="664" t="s">
        <v>3410</v>
      </c>
      <c r="C275" s="4" t="s">
        <v>14165</v>
      </c>
      <c r="D275" s="31">
        <v>0</v>
      </c>
      <c r="E275" s="31">
        <v>0</v>
      </c>
      <c r="F275" s="31">
        <v>0</v>
      </c>
      <c r="G275" s="31">
        <v>0</v>
      </c>
      <c r="H275" s="31">
        <v>0</v>
      </c>
      <c r="I275" s="31">
        <v>1982</v>
      </c>
      <c r="J275" s="31">
        <v>2002</v>
      </c>
      <c r="K275" s="31">
        <v>1984</v>
      </c>
      <c r="L275" s="31">
        <v>1987</v>
      </c>
      <c r="M275" s="111"/>
      <c r="N275" s="664" t="s">
        <v>1545</v>
      </c>
      <c r="P275" s="4"/>
      <c r="R275" s="4"/>
    </row>
    <row r="276" spans="1:18">
      <c r="A276" s="672">
        <v>20</v>
      </c>
      <c r="B276" s="664" t="s">
        <v>3411</v>
      </c>
      <c r="C276" s="4" t="s">
        <v>14166</v>
      </c>
      <c r="D276" s="31">
        <v>0</v>
      </c>
      <c r="E276" s="31">
        <v>0</v>
      </c>
      <c r="F276" s="31">
        <v>0</v>
      </c>
      <c r="G276" s="31">
        <v>0</v>
      </c>
      <c r="H276" s="31">
        <v>0</v>
      </c>
      <c r="I276" s="31">
        <v>2093</v>
      </c>
      <c r="J276" s="31">
        <v>2089</v>
      </c>
      <c r="K276" s="31">
        <v>2106</v>
      </c>
      <c r="L276" s="31">
        <v>2092</v>
      </c>
      <c r="M276" s="111"/>
      <c r="N276" s="664" t="s">
        <v>1545</v>
      </c>
      <c r="P276" s="4"/>
      <c r="R276" s="4"/>
    </row>
    <row r="277" spans="1:18">
      <c r="A277" s="111"/>
      <c r="B277" s="111"/>
      <c r="C277" s="111"/>
      <c r="D277" s="668"/>
      <c r="E277" s="668"/>
      <c r="F277" s="668"/>
      <c r="G277" s="668"/>
      <c r="H277" s="668"/>
      <c r="I277" s="668"/>
      <c r="J277" s="668"/>
      <c r="K277" s="668"/>
      <c r="L277" s="668"/>
      <c r="M277" s="111"/>
      <c r="N277" s="111"/>
      <c r="P277" s="4"/>
    </row>
    <row r="278" spans="1:18">
      <c r="A278" s="664" t="s">
        <v>4149</v>
      </c>
      <c r="D278" s="667">
        <f t="shared" ref="D278:L278" si="147">SUM(D257:D276)</f>
        <v>71024</v>
      </c>
      <c r="E278" s="667">
        <f t="shared" si="147"/>
        <v>71945</v>
      </c>
      <c r="F278" s="667">
        <f t="shared" si="147"/>
        <v>72234</v>
      </c>
      <c r="G278" s="667">
        <f t="shared" si="147"/>
        <v>72776</v>
      </c>
      <c r="H278" s="667">
        <f t="shared" si="147"/>
        <v>73315</v>
      </c>
      <c r="I278" s="667">
        <f t="shared" si="147"/>
        <v>71827</v>
      </c>
      <c r="J278" s="667">
        <f t="shared" si="147"/>
        <v>72401</v>
      </c>
      <c r="K278" s="667">
        <f t="shared" si="147"/>
        <v>72884</v>
      </c>
      <c r="L278" s="667">
        <f t="shared" si="147"/>
        <v>72939</v>
      </c>
      <c r="M278" s="111"/>
      <c r="N278" s="111"/>
      <c r="P278" s="4"/>
    </row>
    <row r="279" spans="1:18">
      <c r="A279" s="111"/>
      <c r="B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P279" s="4"/>
    </row>
    <row r="280" spans="1:18">
      <c r="A280" s="111" t="s">
        <v>14006</v>
      </c>
      <c r="B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P280" s="4"/>
    </row>
    <row r="281" spans="1:18">
      <c r="A281" s="111"/>
      <c r="B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</row>
    <row r="282" spans="1:18">
      <c r="A282" s="111"/>
      <c r="B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</row>
    <row r="283" spans="1:18">
      <c r="A283" s="111"/>
      <c r="B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</row>
    <row r="284" spans="1:18">
      <c r="A284" s="111"/>
      <c r="B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</row>
    <row r="285" spans="1:18">
      <c r="A285" s="111"/>
      <c r="B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</row>
    <row r="286" spans="1:18">
      <c r="A286" s="111"/>
      <c r="B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</row>
    <row r="287" spans="1:18">
      <c r="A287" s="111"/>
      <c r="B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</row>
    <row r="288" spans="1:18">
      <c r="A288" s="111"/>
      <c r="B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</row>
    <row r="289" spans="1:14">
      <c r="A289" s="111"/>
      <c r="B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</row>
    <row r="290" spans="1:14">
      <c r="A290" s="111"/>
      <c r="B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</row>
    <row r="291" spans="1:14">
      <c r="A291" s="111"/>
      <c r="B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</row>
    <row r="292" spans="1:14">
      <c r="A292" s="111"/>
      <c r="B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</row>
    <row r="293" spans="1:14">
      <c r="A293" s="111"/>
      <c r="B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</row>
    <row r="294" spans="1:14">
      <c r="A294" s="111"/>
      <c r="B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</row>
    <row r="295" spans="1:14">
      <c r="A295" s="111"/>
      <c r="B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</row>
    <row r="296" spans="1:14">
      <c r="A296" s="111"/>
      <c r="B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</row>
  </sheetData>
  <sortState ref="O183:Q200">
    <sortCondition ref="O183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48:K48 D65:K65 D135:K135 D122:K122 D172:D175 D142 D148 D3:D12 D256:K256 D278:K278 D182:K182 D202:K202 E142:E148 E172:E175 E3:E12 F148:K148 F142:K142 F172:F175 F3:F12 G172:G175 G3:G12 D13 E13 F13 G13 D14:D43 E14:E43 F14:F43 G14:G43 H172:H175 H3:H12 H13:H43 I172:I175 D85:K85 D72:K72 D113:I115 I3:I43 D214:K214 D225:K225 D232:K232 D249:I249 D209:K209 D248:I248 D247:I247 J113:J115 J172:J175 J247:J249 J3:J43 K113:K115 K172 K174:K175 K247:K249 K3:K43 L3:L278" unlocked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17"/>
  <sheetViews>
    <sheetView showGridLines="0" zoomScaleNormal="100" workbookViewId="0"/>
  </sheetViews>
  <sheetFormatPr defaultColWidth="12.5703125" defaultRowHeight="15"/>
  <cols>
    <col min="1" max="1" width="4.85546875" style="371" customWidth="1"/>
    <col min="2" max="2" width="36" style="371" customWidth="1"/>
    <col min="3" max="3" width="11.5703125" style="371" customWidth="1"/>
    <col min="4" max="12" width="10" style="371" customWidth="1"/>
    <col min="13" max="13" width="2.28515625" style="371" customWidth="1"/>
    <col min="14" max="14" width="39.5703125" style="371" customWidth="1"/>
    <col min="15" max="16384" width="12.5703125" style="371"/>
  </cols>
  <sheetData>
    <row r="1" spans="1:14">
      <c r="A1" s="370" t="s">
        <v>8847</v>
      </c>
      <c r="D1" s="372">
        <v>2010</v>
      </c>
      <c r="E1" s="372">
        <v>2011</v>
      </c>
      <c r="F1" s="372">
        <v>2012</v>
      </c>
      <c r="G1" s="372">
        <v>2013</v>
      </c>
      <c r="H1" s="372">
        <v>2014</v>
      </c>
      <c r="I1" s="372">
        <v>2015</v>
      </c>
      <c r="J1" s="372">
        <v>2016</v>
      </c>
      <c r="K1" s="372">
        <v>2017</v>
      </c>
      <c r="L1" s="372">
        <v>2018</v>
      </c>
    </row>
    <row r="3" spans="1:14">
      <c r="A3" s="370" t="s">
        <v>6644</v>
      </c>
      <c r="D3" s="373">
        <f t="shared" ref="D3:I3" si="0">SUM(D5:D9)</f>
        <v>1014398</v>
      </c>
      <c r="E3" s="373">
        <f t="shared" si="0"/>
        <v>1010822</v>
      </c>
      <c r="F3" s="373">
        <f t="shared" si="0"/>
        <v>1008921</v>
      </c>
      <c r="G3" s="373">
        <f t="shared" si="0"/>
        <v>1008939</v>
      </c>
      <c r="H3" s="373">
        <f t="shared" si="0"/>
        <v>1009128</v>
      </c>
      <c r="I3" s="373">
        <f t="shared" si="0"/>
        <v>978073</v>
      </c>
      <c r="J3" s="373">
        <f t="shared" ref="J3:K3" si="1">SUM(J5:J9)</f>
        <v>978417</v>
      </c>
      <c r="K3" s="373">
        <f t="shared" si="1"/>
        <v>1006300</v>
      </c>
      <c r="L3" s="373">
        <f t="shared" ref="L3" si="2">SUM(L5:L9)</f>
        <v>1018857</v>
      </c>
    </row>
    <row r="4" spans="1:14">
      <c r="D4" s="374"/>
      <c r="E4" s="374"/>
      <c r="F4" s="374"/>
      <c r="G4" s="374"/>
      <c r="H4" s="374"/>
      <c r="I4" s="374"/>
      <c r="J4" s="374"/>
      <c r="K4" s="374"/>
      <c r="L4" s="374"/>
      <c r="N4" s="375"/>
    </row>
    <row r="5" spans="1:14">
      <c r="A5" s="370" t="s">
        <v>5568</v>
      </c>
      <c r="C5" s="370"/>
      <c r="D5" s="373">
        <f t="shared" ref="D5:I5" si="3">D56</f>
        <v>111228</v>
      </c>
      <c r="E5" s="373">
        <f t="shared" si="3"/>
        <v>111388</v>
      </c>
      <c r="F5" s="373">
        <f t="shared" si="3"/>
        <v>111832</v>
      </c>
      <c r="G5" s="373">
        <f t="shared" si="3"/>
        <v>112616</v>
      </c>
      <c r="H5" s="373">
        <f t="shared" si="3"/>
        <v>112265</v>
      </c>
      <c r="I5" s="373">
        <f t="shared" si="3"/>
        <v>110513</v>
      </c>
      <c r="J5" s="373">
        <f t="shared" ref="J5:K5" si="4">J56</f>
        <v>109974</v>
      </c>
      <c r="K5" s="373">
        <f t="shared" si="4"/>
        <v>114004</v>
      </c>
      <c r="L5" s="373">
        <f t="shared" ref="L5" si="5">L56</f>
        <v>115305</v>
      </c>
      <c r="N5" s="376"/>
    </row>
    <row r="6" spans="1:14">
      <c r="A6" s="370" t="s">
        <v>3861</v>
      </c>
      <c r="C6" s="370"/>
      <c r="D6" s="373">
        <f t="shared" ref="D6:I6" si="6">D86</f>
        <v>317103</v>
      </c>
      <c r="E6" s="373">
        <f t="shared" si="6"/>
        <v>315865</v>
      </c>
      <c r="F6" s="373">
        <f t="shared" si="6"/>
        <v>316483</v>
      </c>
      <c r="G6" s="373">
        <f t="shared" si="6"/>
        <v>317585</v>
      </c>
      <c r="H6" s="373">
        <f t="shared" si="6"/>
        <v>319104</v>
      </c>
      <c r="I6" s="373">
        <f t="shared" si="6"/>
        <v>299961</v>
      </c>
      <c r="J6" s="373">
        <f t="shared" ref="J6:K6" si="7">J86</f>
        <v>303978</v>
      </c>
      <c r="K6" s="373">
        <f t="shared" si="7"/>
        <v>312360</v>
      </c>
      <c r="L6" s="373">
        <f t="shared" ref="L6" si="8">L86</f>
        <v>313534</v>
      </c>
      <c r="N6" s="376"/>
    </row>
    <row r="7" spans="1:14">
      <c r="A7" s="370" t="s">
        <v>3862</v>
      </c>
      <c r="C7" s="370"/>
      <c r="D7" s="373">
        <f t="shared" ref="D7:I7" si="9">D129</f>
        <v>138155</v>
      </c>
      <c r="E7" s="373">
        <f t="shared" si="9"/>
        <v>137767</v>
      </c>
      <c r="F7" s="373">
        <f t="shared" si="9"/>
        <v>137983</v>
      </c>
      <c r="G7" s="373">
        <f t="shared" si="9"/>
        <v>138632</v>
      </c>
      <c r="H7" s="373">
        <f t="shared" si="9"/>
        <v>135297</v>
      </c>
      <c r="I7" s="373">
        <f t="shared" si="9"/>
        <v>134182</v>
      </c>
      <c r="J7" s="373">
        <f t="shared" ref="J7:K7" si="10">J129</f>
        <v>130576</v>
      </c>
      <c r="K7" s="373">
        <f t="shared" si="10"/>
        <v>133835</v>
      </c>
      <c r="L7" s="373">
        <f t="shared" ref="L7" si="11">L129</f>
        <v>136412</v>
      </c>
      <c r="N7" s="376"/>
    </row>
    <row r="8" spans="1:14">
      <c r="A8" s="370" t="s">
        <v>3863</v>
      </c>
      <c r="C8" s="370"/>
      <c r="D8" s="373">
        <f t="shared" ref="D8:I8" si="12">D155</f>
        <v>207522</v>
      </c>
      <c r="E8" s="373">
        <f t="shared" si="12"/>
        <v>206323</v>
      </c>
      <c r="F8" s="373">
        <f t="shared" si="12"/>
        <v>204776</v>
      </c>
      <c r="G8" s="373">
        <f t="shared" si="12"/>
        <v>200718</v>
      </c>
      <c r="H8" s="373">
        <f t="shared" si="12"/>
        <v>203483</v>
      </c>
      <c r="I8" s="373">
        <f t="shared" si="12"/>
        <v>199765</v>
      </c>
      <c r="J8" s="373">
        <f t="shared" ref="J8:K8" si="13">J155</f>
        <v>198900</v>
      </c>
      <c r="K8" s="373">
        <f t="shared" si="13"/>
        <v>206451</v>
      </c>
      <c r="L8" s="373">
        <f t="shared" ref="L8" si="14">L155</f>
        <v>212684</v>
      </c>
      <c r="N8" s="376"/>
    </row>
    <row r="9" spans="1:14">
      <c r="A9" s="370" t="s">
        <v>3864</v>
      </c>
      <c r="C9" s="370"/>
      <c r="D9" s="373">
        <f t="shared" ref="D9:I9" si="15">D188</f>
        <v>240390</v>
      </c>
      <c r="E9" s="373">
        <f t="shared" si="15"/>
        <v>239479</v>
      </c>
      <c r="F9" s="373">
        <f t="shared" si="15"/>
        <v>237847</v>
      </c>
      <c r="G9" s="373">
        <f t="shared" si="15"/>
        <v>239388</v>
      </c>
      <c r="H9" s="373">
        <f t="shared" si="15"/>
        <v>238979</v>
      </c>
      <c r="I9" s="373">
        <f t="shared" si="15"/>
        <v>233652</v>
      </c>
      <c r="J9" s="373">
        <f t="shared" ref="J9:K9" si="16">J188</f>
        <v>234989</v>
      </c>
      <c r="K9" s="373">
        <f t="shared" si="16"/>
        <v>239650</v>
      </c>
      <c r="L9" s="373">
        <f t="shared" ref="L9" si="17">L188</f>
        <v>240922</v>
      </c>
      <c r="N9" s="376"/>
    </row>
    <row r="11" spans="1:14">
      <c r="A11" s="370" t="s">
        <v>1019</v>
      </c>
      <c r="D11" s="373">
        <f t="shared" ref="D11:I11" si="18">D3/13</f>
        <v>78030.61538461539</v>
      </c>
      <c r="E11" s="373">
        <f t="shared" si="18"/>
        <v>77755.538461538468</v>
      </c>
      <c r="F11" s="373">
        <f t="shared" si="18"/>
        <v>77609.307692307688</v>
      </c>
      <c r="G11" s="373">
        <f t="shared" si="18"/>
        <v>77610.692307692312</v>
      </c>
      <c r="H11" s="373">
        <f t="shared" si="18"/>
        <v>77625.230769230766</v>
      </c>
      <c r="I11" s="373">
        <f t="shared" si="18"/>
        <v>75236.38461538461</v>
      </c>
      <c r="J11" s="373">
        <f t="shared" ref="J11:K11" si="19">J3/13</f>
        <v>75262.846153846156</v>
      </c>
      <c r="K11" s="373">
        <f t="shared" si="19"/>
        <v>77407.692307692312</v>
      </c>
      <c r="L11" s="373">
        <f t="shared" ref="L11" si="20">L3/13</f>
        <v>78373.61538461539</v>
      </c>
    </row>
    <row r="12" spans="1:14">
      <c r="D12" s="374"/>
      <c r="E12" s="374"/>
      <c r="F12" s="374"/>
      <c r="G12" s="374"/>
      <c r="H12" s="374"/>
      <c r="I12" s="374"/>
      <c r="J12" s="374"/>
      <c r="K12" s="374"/>
      <c r="L12" s="374"/>
    </row>
    <row r="13" spans="1:14">
      <c r="A13" s="370" t="s">
        <v>3865</v>
      </c>
      <c r="D13" s="373">
        <f t="shared" ref="D13:I13" si="21">D212</f>
        <v>62970</v>
      </c>
      <c r="E13" s="373">
        <f t="shared" si="21"/>
        <v>62432</v>
      </c>
      <c r="F13" s="373">
        <f t="shared" si="21"/>
        <v>61583</v>
      </c>
      <c r="G13" s="373">
        <f t="shared" si="21"/>
        <v>62399</v>
      </c>
      <c r="H13" s="373">
        <f t="shared" si="21"/>
        <v>62303</v>
      </c>
      <c r="I13" s="373">
        <f t="shared" si="21"/>
        <v>60194</v>
      </c>
      <c r="J13" s="373">
        <f t="shared" ref="J13:K13" si="22">J212</f>
        <v>60845</v>
      </c>
      <c r="K13" s="373">
        <f t="shared" si="22"/>
        <v>62434</v>
      </c>
      <c r="L13" s="373">
        <f t="shared" ref="L13" si="23">L212</f>
        <v>63062</v>
      </c>
      <c r="N13" s="370" t="s">
        <v>3866</v>
      </c>
    </row>
    <row r="14" spans="1:14">
      <c r="D14" s="374"/>
      <c r="E14" s="374"/>
      <c r="F14" s="374"/>
      <c r="G14" s="374"/>
      <c r="H14" s="374"/>
      <c r="I14" s="374"/>
      <c r="J14" s="374"/>
      <c r="K14" s="374"/>
      <c r="L14" s="374"/>
    </row>
    <row r="15" spans="1:14">
      <c r="A15" s="370" t="s">
        <v>3867</v>
      </c>
      <c r="D15" s="373">
        <f t="shared" ref="D15:I15" si="24">D179</f>
        <v>71995</v>
      </c>
      <c r="E15" s="373">
        <f t="shared" si="24"/>
        <v>70824</v>
      </c>
      <c r="F15" s="373">
        <f t="shared" si="24"/>
        <v>70303</v>
      </c>
      <c r="G15" s="373">
        <f t="shared" si="24"/>
        <v>68025</v>
      </c>
      <c r="H15" s="373">
        <f t="shared" si="24"/>
        <v>69457</v>
      </c>
      <c r="I15" s="373">
        <f t="shared" si="24"/>
        <v>67761</v>
      </c>
      <c r="J15" s="373">
        <f t="shared" ref="J15:K15" si="25">J179</f>
        <v>67611</v>
      </c>
      <c r="K15" s="373">
        <f t="shared" si="25"/>
        <v>70372</v>
      </c>
      <c r="L15" s="373">
        <f t="shared" ref="L15" si="26">L179</f>
        <v>73285</v>
      </c>
      <c r="N15" s="370" t="s">
        <v>3868</v>
      </c>
    </row>
    <row r="16" spans="1:14">
      <c r="D16" s="374"/>
      <c r="E16" s="374"/>
      <c r="F16" s="374"/>
      <c r="G16" s="374"/>
      <c r="H16" s="374"/>
      <c r="I16" s="374"/>
      <c r="J16" s="374"/>
      <c r="K16" s="374"/>
      <c r="L16" s="374"/>
    </row>
    <row r="17" spans="1:14">
      <c r="A17" s="370" t="s">
        <v>3869</v>
      </c>
      <c r="D17" s="373">
        <f t="shared" ref="D17:I17" si="27">D77</f>
        <v>15541</v>
      </c>
      <c r="E17" s="373">
        <f t="shared" si="27"/>
        <v>15521</v>
      </c>
      <c r="F17" s="373">
        <f t="shared" si="27"/>
        <v>15564</v>
      </c>
      <c r="G17" s="373">
        <f t="shared" si="27"/>
        <v>15752</v>
      </c>
      <c r="H17" s="373">
        <f t="shared" si="27"/>
        <v>15679</v>
      </c>
      <c r="I17" s="373">
        <f t="shared" si="27"/>
        <v>15618</v>
      </c>
      <c r="J17" s="373">
        <f t="shared" ref="J17:K17" si="28">J77</f>
        <v>15689</v>
      </c>
      <c r="K17" s="373">
        <f t="shared" si="28"/>
        <v>16271</v>
      </c>
      <c r="L17" s="373">
        <f t="shared" ref="L17" si="29">L77</f>
        <v>16492</v>
      </c>
      <c r="N17" s="370" t="s">
        <v>3870</v>
      </c>
    </row>
    <row r="18" spans="1:14" ht="15.75" thickBot="1">
      <c r="D18" s="377">
        <f t="shared" ref="D18:I18" si="30">D118</f>
        <v>55805</v>
      </c>
      <c r="E18" s="377">
        <f t="shared" si="30"/>
        <v>56097</v>
      </c>
      <c r="F18" s="377">
        <f t="shared" si="30"/>
        <v>56489</v>
      </c>
      <c r="G18" s="377">
        <f t="shared" si="30"/>
        <v>56925</v>
      </c>
      <c r="H18" s="377">
        <f t="shared" si="30"/>
        <v>57269</v>
      </c>
      <c r="I18" s="377">
        <f t="shared" si="30"/>
        <v>56130</v>
      </c>
      <c r="J18" s="377">
        <f t="shared" ref="J18:K18" si="31">J118</f>
        <v>56253</v>
      </c>
      <c r="K18" s="377">
        <f t="shared" si="31"/>
        <v>57253</v>
      </c>
      <c r="L18" s="377">
        <f t="shared" ref="L18" si="32">L118</f>
        <v>57940</v>
      </c>
      <c r="N18" s="370" t="s">
        <v>3871</v>
      </c>
    </row>
    <row r="19" spans="1:14" ht="15.75" thickBot="1">
      <c r="D19" s="377">
        <f t="shared" ref="D19:I19" si="33">D17+D18</f>
        <v>71346</v>
      </c>
      <c r="E19" s="377">
        <f t="shared" si="33"/>
        <v>71618</v>
      </c>
      <c r="F19" s="377">
        <f t="shared" si="33"/>
        <v>72053</v>
      </c>
      <c r="G19" s="377">
        <f t="shared" si="33"/>
        <v>72677</v>
      </c>
      <c r="H19" s="377">
        <f t="shared" si="33"/>
        <v>72948</v>
      </c>
      <c r="I19" s="377">
        <f t="shared" si="33"/>
        <v>71748</v>
      </c>
      <c r="J19" s="377">
        <f t="shared" ref="J19:K19" si="34">J17+J18</f>
        <v>71942</v>
      </c>
      <c r="K19" s="377">
        <f t="shared" si="34"/>
        <v>73524</v>
      </c>
      <c r="L19" s="377">
        <f t="shared" ref="L19" si="35">L17+L18</f>
        <v>74432</v>
      </c>
    </row>
    <row r="20" spans="1:14">
      <c r="D20" s="374"/>
      <c r="E20" s="374"/>
      <c r="F20" s="374"/>
      <c r="G20" s="374"/>
      <c r="H20" s="374"/>
      <c r="I20" s="374"/>
      <c r="J20" s="374"/>
      <c r="K20" s="374"/>
      <c r="L20" s="374"/>
    </row>
    <row r="21" spans="1:14">
      <c r="A21" s="370" t="s">
        <v>8450</v>
      </c>
      <c r="D21" s="373">
        <f t="shared" ref="D21:I21" si="36">D78</f>
        <v>79271</v>
      </c>
      <c r="E21" s="373">
        <f t="shared" si="36"/>
        <v>79334</v>
      </c>
      <c r="F21" s="373">
        <f t="shared" si="36"/>
        <v>79603</v>
      </c>
      <c r="G21" s="373">
        <f t="shared" si="36"/>
        <v>80134</v>
      </c>
      <c r="H21" s="373">
        <f t="shared" si="36"/>
        <v>79797</v>
      </c>
      <c r="I21" s="373">
        <f t="shared" si="36"/>
        <v>78377</v>
      </c>
      <c r="J21" s="373">
        <f t="shared" ref="J21:K21" si="37">J78</f>
        <v>77916</v>
      </c>
      <c r="K21" s="373">
        <f t="shared" si="37"/>
        <v>80748</v>
      </c>
      <c r="L21" s="373">
        <f t="shared" ref="L21" si="38">L78</f>
        <v>81749</v>
      </c>
      <c r="N21" s="370" t="s">
        <v>3870</v>
      </c>
    </row>
    <row r="22" spans="1:14">
      <c r="D22" s="374"/>
      <c r="E22" s="374"/>
      <c r="F22" s="374"/>
      <c r="G22" s="374"/>
      <c r="H22" s="374"/>
      <c r="I22" s="374"/>
      <c r="J22" s="374"/>
      <c r="K22" s="374"/>
      <c r="L22" s="374"/>
    </row>
    <row r="23" spans="1:14">
      <c r="A23" s="370" t="s">
        <v>8451</v>
      </c>
      <c r="D23" s="373">
        <f t="shared" ref="D23:I23" si="39">D119</f>
        <v>73310</v>
      </c>
      <c r="E23" s="373">
        <f t="shared" si="39"/>
        <v>73406</v>
      </c>
      <c r="F23" s="373">
        <f t="shared" si="39"/>
        <v>73891</v>
      </c>
      <c r="G23" s="373">
        <f t="shared" si="39"/>
        <v>73880</v>
      </c>
      <c r="H23" s="373">
        <f t="shared" si="39"/>
        <v>74602</v>
      </c>
      <c r="I23" s="373">
        <f t="shared" si="39"/>
        <v>63264</v>
      </c>
      <c r="J23" s="373">
        <f t="shared" ref="J23:K23" si="40">J119</f>
        <v>67054</v>
      </c>
      <c r="K23" s="373">
        <f t="shared" si="40"/>
        <v>70950</v>
      </c>
      <c r="L23" s="373">
        <f t="shared" ref="L23" si="41">L119</f>
        <v>69419</v>
      </c>
      <c r="N23" s="370" t="s">
        <v>3871</v>
      </c>
    </row>
    <row r="24" spans="1:14">
      <c r="D24" s="374"/>
      <c r="E24" s="374"/>
      <c r="F24" s="374"/>
      <c r="G24" s="374"/>
      <c r="H24" s="374"/>
      <c r="I24" s="374"/>
      <c r="J24" s="374"/>
      <c r="K24" s="374"/>
      <c r="L24" s="374"/>
    </row>
    <row r="25" spans="1:14">
      <c r="A25" s="370" t="s">
        <v>8452</v>
      </c>
      <c r="D25" s="373">
        <f t="shared" ref="D25:I25" si="42">D120</f>
        <v>62746</v>
      </c>
      <c r="E25" s="373">
        <f t="shared" si="42"/>
        <v>61974</v>
      </c>
      <c r="F25" s="373">
        <f t="shared" si="42"/>
        <v>61948</v>
      </c>
      <c r="G25" s="373">
        <f t="shared" si="42"/>
        <v>62328</v>
      </c>
      <c r="H25" s="373">
        <f t="shared" si="42"/>
        <v>62274</v>
      </c>
      <c r="I25" s="373">
        <f t="shared" si="42"/>
        <v>60078</v>
      </c>
      <c r="J25" s="373">
        <f t="shared" ref="J25:K25" si="43">J120</f>
        <v>59917</v>
      </c>
      <c r="K25" s="373">
        <f t="shared" si="43"/>
        <v>60878</v>
      </c>
      <c r="L25" s="373">
        <f t="shared" ref="L25" si="44">L120</f>
        <v>61318</v>
      </c>
      <c r="N25" s="370" t="s">
        <v>3871</v>
      </c>
    </row>
    <row r="26" spans="1:14">
      <c r="D26" s="374"/>
      <c r="E26" s="374"/>
      <c r="F26" s="374"/>
      <c r="G26" s="374"/>
      <c r="H26" s="374"/>
      <c r="I26" s="374"/>
      <c r="J26" s="374"/>
      <c r="K26" s="374"/>
      <c r="L26" s="374"/>
    </row>
    <row r="27" spans="1:14">
      <c r="A27" s="370" t="s">
        <v>8453</v>
      </c>
      <c r="D27" s="373">
        <f t="shared" ref="D27:I27" si="45">D121</f>
        <v>62112</v>
      </c>
      <c r="E27" s="373">
        <f t="shared" si="45"/>
        <v>61679</v>
      </c>
      <c r="F27" s="373">
        <f t="shared" si="45"/>
        <v>61404</v>
      </c>
      <c r="G27" s="373">
        <f t="shared" si="45"/>
        <v>61137</v>
      </c>
      <c r="H27" s="373">
        <f t="shared" si="45"/>
        <v>61334</v>
      </c>
      <c r="I27" s="373">
        <f t="shared" si="45"/>
        <v>58790</v>
      </c>
      <c r="J27" s="373">
        <f t="shared" ref="J27:K27" si="46">J121</f>
        <v>58601</v>
      </c>
      <c r="K27" s="373">
        <f t="shared" si="46"/>
        <v>59901</v>
      </c>
      <c r="L27" s="373">
        <f t="shared" ref="L27" si="47">L121</f>
        <v>60506</v>
      </c>
      <c r="N27" s="370" t="s">
        <v>3871</v>
      </c>
    </row>
    <row r="28" spans="1:14">
      <c r="A28" s="370"/>
      <c r="D28" s="373"/>
      <c r="E28" s="373"/>
      <c r="F28" s="373"/>
      <c r="G28" s="373"/>
      <c r="H28" s="373"/>
      <c r="I28" s="373"/>
      <c r="J28" s="373"/>
      <c r="K28" s="373"/>
      <c r="L28" s="373"/>
      <c r="N28" s="370"/>
    </row>
    <row r="29" spans="1:14">
      <c r="A29" s="370" t="s">
        <v>8454</v>
      </c>
      <c r="D29" s="373">
        <f t="shared" ref="D29:I29" si="48">D122</f>
        <v>63130</v>
      </c>
      <c r="E29" s="373">
        <f t="shared" si="48"/>
        <v>62709</v>
      </c>
      <c r="F29" s="373">
        <f t="shared" si="48"/>
        <v>62751</v>
      </c>
      <c r="G29" s="373">
        <f t="shared" si="48"/>
        <v>63315</v>
      </c>
      <c r="H29" s="373">
        <f t="shared" si="48"/>
        <v>63625</v>
      </c>
      <c r="I29" s="373">
        <f t="shared" si="48"/>
        <v>61699</v>
      </c>
      <c r="J29" s="373">
        <f t="shared" ref="J29:K29" si="49">J122</f>
        <v>62153</v>
      </c>
      <c r="K29" s="373">
        <f t="shared" si="49"/>
        <v>63378</v>
      </c>
      <c r="L29" s="373">
        <f t="shared" ref="L29" si="50">L122</f>
        <v>64351</v>
      </c>
      <c r="N29" s="370" t="s">
        <v>3871</v>
      </c>
    </row>
    <row r="30" spans="1:14">
      <c r="A30" s="370"/>
      <c r="D30" s="373"/>
      <c r="E30" s="373"/>
      <c r="F30" s="373"/>
      <c r="G30" s="373"/>
      <c r="H30" s="373"/>
      <c r="I30" s="373"/>
      <c r="J30" s="373"/>
      <c r="K30" s="373"/>
      <c r="L30" s="373"/>
      <c r="N30" s="370"/>
    </row>
    <row r="31" spans="1:14">
      <c r="A31" s="370" t="s">
        <v>8455</v>
      </c>
      <c r="D31" s="373">
        <f t="shared" ref="D31:I31" si="51">D147</f>
        <v>75866</v>
      </c>
      <c r="E31" s="373">
        <f t="shared" si="51"/>
        <v>75688</v>
      </c>
      <c r="F31" s="373">
        <f t="shared" si="51"/>
        <v>76035</v>
      </c>
      <c r="G31" s="373">
        <f t="shared" si="51"/>
        <v>76220</v>
      </c>
      <c r="H31" s="373">
        <f t="shared" si="51"/>
        <v>74689</v>
      </c>
      <c r="I31" s="373">
        <f t="shared" si="51"/>
        <v>74074</v>
      </c>
      <c r="J31" s="373">
        <f t="shared" ref="J31:K31" si="52">J147</f>
        <v>72060</v>
      </c>
      <c r="K31" s="373">
        <f t="shared" si="52"/>
        <v>73902</v>
      </c>
      <c r="L31" s="373">
        <f t="shared" ref="L31" si="53">L147</f>
        <v>75205</v>
      </c>
      <c r="N31" s="370" t="s">
        <v>8456</v>
      </c>
    </row>
    <row r="32" spans="1:14">
      <c r="D32" s="374"/>
      <c r="E32" s="374"/>
      <c r="F32" s="374"/>
      <c r="G32" s="374"/>
      <c r="H32" s="374"/>
      <c r="I32" s="374"/>
      <c r="J32" s="374"/>
      <c r="K32" s="374"/>
      <c r="L32" s="374"/>
    </row>
    <row r="33" spans="1:14">
      <c r="A33" s="370" t="s">
        <v>8457</v>
      </c>
      <c r="D33" s="373">
        <f t="shared" ref="D33:I33" si="54">D79</f>
        <v>16416</v>
      </c>
      <c r="E33" s="373">
        <f t="shared" si="54"/>
        <v>16533</v>
      </c>
      <c r="F33" s="373">
        <f t="shared" si="54"/>
        <v>16665</v>
      </c>
      <c r="G33" s="373">
        <f t="shared" si="54"/>
        <v>16730</v>
      </c>
      <c r="H33" s="373">
        <f t="shared" si="54"/>
        <v>16789</v>
      </c>
      <c r="I33" s="373">
        <f t="shared" si="54"/>
        <v>16518</v>
      </c>
      <c r="J33" s="373">
        <f t="shared" ref="J33:K33" si="55">J79</f>
        <v>16369</v>
      </c>
      <c r="K33" s="373">
        <f t="shared" si="55"/>
        <v>16985</v>
      </c>
      <c r="L33" s="373">
        <f t="shared" ref="L33" si="56">L79</f>
        <v>17064</v>
      </c>
      <c r="N33" s="370" t="s">
        <v>3870</v>
      </c>
    </row>
    <row r="34" spans="1:14" ht="15.75" thickBot="1">
      <c r="A34" s="370"/>
      <c r="D34" s="377">
        <f t="shared" ref="D34:I34" si="57">D148</f>
        <v>62289</v>
      </c>
      <c r="E34" s="377">
        <f t="shared" si="57"/>
        <v>62079</v>
      </c>
      <c r="F34" s="377">
        <f t="shared" si="57"/>
        <v>61948</v>
      </c>
      <c r="G34" s="377">
        <f t="shared" si="57"/>
        <v>62412</v>
      </c>
      <c r="H34" s="377">
        <f t="shared" si="57"/>
        <v>60608</v>
      </c>
      <c r="I34" s="377">
        <f t="shared" si="57"/>
        <v>60108</v>
      </c>
      <c r="J34" s="377">
        <f t="shared" ref="J34:K34" si="58">J148</f>
        <v>58516</v>
      </c>
      <c r="K34" s="377">
        <f t="shared" si="58"/>
        <v>59933</v>
      </c>
      <c r="L34" s="377">
        <f t="shared" ref="L34" si="59">L148</f>
        <v>61207</v>
      </c>
      <c r="N34" s="370" t="s">
        <v>8456</v>
      </c>
    </row>
    <row r="35" spans="1:14" ht="15.75" thickBot="1">
      <c r="A35" s="370"/>
      <c r="D35" s="378">
        <f t="shared" ref="D35:I35" si="60">D33+D34</f>
        <v>78705</v>
      </c>
      <c r="E35" s="378">
        <f t="shared" si="60"/>
        <v>78612</v>
      </c>
      <c r="F35" s="378">
        <f t="shared" si="60"/>
        <v>78613</v>
      </c>
      <c r="G35" s="378">
        <f t="shared" si="60"/>
        <v>79142</v>
      </c>
      <c r="H35" s="378">
        <f t="shared" si="60"/>
        <v>77397</v>
      </c>
      <c r="I35" s="378">
        <f t="shared" si="60"/>
        <v>76626</v>
      </c>
      <c r="J35" s="378">
        <f t="shared" ref="J35:K35" si="61">J33+J34</f>
        <v>74885</v>
      </c>
      <c r="K35" s="378">
        <f t="shared" si="61"/>
        <v>76918</v>
      </c>
      <c r="L35" s="378">
        <f t="shared" ref="L35" si="62">L33+L34</f>
        <v>78271</v>
      </c>
      <c r="N35" s="370"/>
    </row>
    <row r="36" spans="1:14">
      <c r="A36" s="370"/>
      <c r="D36" s="379"/>
      <c r="E36" s="379"/>
      <c r="F36" s="379"/>
      <c r="G36" s="379"/>
      <c r="H36" s="379"/>
      <c r="I36" s="379"/>
      <c r="J36" s="379"/>
      <c r="K36" s="379"/>
      <c r="L36" s="379"/>
      <c r="N36" s="370"/>
    </row>
    <row r="37" spans="1:14">
      <c r="A37" s="370" t="s">
        <v>8458</v>
      </c>
      <c r="D37" s="373">
        <f t="shared" ref="D37:I37" si="63">D180</f>
        <v>67766</v>
      </c>
      <c r="E37" s="373">
        <f t="shared" si="63"/>
        <v>67696</v>
      </c>
      <c r="F37" s="373">
        <f t="shared" si="63"/>
        <v>67189</v>
      </c>
      <c r="G37" s="373">
        <f t="shared" si="63"/>
        <v>66565</v>
      </c>
      <c r="H37" s="373">
        <f t="shared" si="63"/>
        <v>67292</v>
      </c>
      <c r="I37" s="373">
        <f t="shared" si="63"/>
        <v>66386</v>
      </c>
      <c r="J37" s="373">
        <f t="shared" ref="J37:K37" si="64">J180</f>
        <v>66208</v>
      </c>
      <c r="K37" s="373">
        <f t="shared" si="64"/>
        <v>67961</v>
      </c>
      <c r="L37" s="373">
        <f t="shared" ref="L37" si="65">L180</f>
        <v>69428</v>
      </c>
      <c r="N37" s="370" t="s">
        <v>3868</v>
      </c>
    </row>
    <row r="38" spans="1:14">
      <c r="D38" s="374"/>
      <c r="E38" s="374"/>
      <c r="F38" s="374"/>
      <c r="G38" s="374"/>
      <c r="H38" s="374"/>
      <c r="I38" s="374"/>
      <c r="J38" s="374"/>
      <c r="K38" s="374"/>
      <c r="L38" s="374"/>
    </row>
    <row r="39" spans="1:14">
      <c r="A39" s="370" t="s">
        <v>8459</v>
      </c>
      <c r="D39" s="373">
        <f t="shared" ref="D39:I39" si="66">D181</f>
        <v>67761</v>
      </c>
      <c r="E39" s="373">
        <f t="shared" si="66"/>
        <v>67803</v>
      </c>
      <c r="F39" s="373">
        <f t="shared" si="66"/>
        <v>67284</v>
      </c>
      <c r="G39" s="373">
        <f t="shared" si="66"/>
        <v>66128</v>
      </c>
      <c r="H39" s="373">
        <f t="shared" si="66"/>
        <v>66734</v>
      </c>
      <c r="I39" s="373">
        <f t="shared" si="66"/>
        <v>65618</v>
      </c>
      <c r="J39" s="373">
        <f t="shared" ref="J39:K39" si="67">J181</f>
        <v>65081</v>
      </c>
      <c r="K39" s="373">
        <f t="shared" si="67"/>
        <v>68118</v>
      </c>
      <c r="L39" s="373">
        <f t="shared" ref="L39" si="68">L181</f>
        <v>69971</v>
      </c>
      <c r="N39" s="370" t="s">
        <v>3868</v>
      </c>
    </row>
    <row r="40" spans="1:14">
      <c r="D40" s="374"/>
      <c r="E40" s="374"/>
      <c r="F40" s="374"/>
      <c r="G40" s="374"/>
      <c r="H40" s="374"/>
      <c r="I40" s="374"/>
      <c r="J40" s="374"/>
      <c r="K40" s="374"/>
      <c r="L40" s="374"/>
    </row>
    <row r="41" spans="1:14">
      <c r="A41" s="370" t="s">
        <v>8460</v>
      </c>
      <c r="D41" s="379">
        <f t="shared" ref="D41:I41" si="69">D213</f>
        <v>66068</v>
      </c>
      <c r="E41" s="379">
        <f t="shared" si="69"/>
        <v>65732</v>
      </c>
      <c r="F41" s="379">
        <f t="shared" si="69"/>
        <v>64969</v>
      </c>
      <c r="G41" s="379">
        <f t="shared" si="69"/>
        <v>65261</v>
      </c>
      <c r="H41" s="379">
        <f t="shared" si="69"/>
        <v>65223</v>
      </c>
      <c r="I41" s="379">
        <f t="shared" si="69"/>
        <v>63696</v>
      </c>
      <c r="J41" s="379">
        <f t="shared" ref="J41:K41" si="70">J213</f>
        <v>63940</v>
      </c>
      <c r="K41" s="379">
        <f t="shared" si="70"/>
        <v>65535</v>
      </c>
      <c r="L41" s="379">
        <f t="shared" ref="L41" si="71">L213</f>
        <v>65845</v>
      </c>
      <c r="N41" s="370" t="s">
        <v>3866</v>
      </c>
    </row>
    <row r="42" spans="1:14">
      <c r="D42" s="374"/>
      <c r="E42" s="374"/>
      <c r="F42" s="374"/>
      <c r="G42" s="374"/>
      <c r="H42" s="374"/>
      <c r="I42" s="374"/>
      <c r="J42" s="374"/>
      <c r="K42" s="374"/>
      <c r="L42" s="374"/>
    </row>
    <row r="43" spans="1:14">
      <c r="A43" s="370" t="s">
        <v>8461</v>
      </c>
      <c r="D43" s="373">
        <f t="shared" ref="D43:I43" si="72">D214</f>
        <v>56200</v>
      </c>
      <c r="E43" s="373">
        <f t="shared" si="72"/>
        <v>56238</v>
      </c>
      <c r="F43" s="373">
        <f t="shared" si="72"/>
        <v>56503</v>
      </c>
      <c r="G43" s="373">
        <f t="shared" si="72"/>
        <v>56583</v>
      </c>
      <c r="H43" s="373">
        <f t="shared" si="72"/>
        <v>56639</v>
      </c>
      <c r="I43" s="373">
        <f t="shared" si="72"/>
        <v>55885</v>
      </c>
      <c r="J43" s="373">
        <f t="shared" ref="J43:K43" si="73">J214</f>
        <v>55972</v>
      </c>
      <c r="K43" s="373">
        <f t="shared" si="73"/>
        <v>56754</v>
      </c>
      <c r="L43" s="373">
        <f t="shared" ref="L43" si="74">L214</f>
        <v>56931</v>
      </c>
      <c r="N43" s="370" t="s">
        <v>3866</v>
      </c>
    </row>
    <row r="44" spans="1:14">
      <c r="D44" s="374"/>
      <c r="E44" s="374"/>
      <c r="F44" s="374"/>
      <c r="G44" s="374"/>
      <c r="H44" s="374"/>
      <c r="I44" s="374"/>
      <c r="J44" s="374"/>
      <c r="K44" s="374"/>
      <c r="L44" s="374"/>
    </row>
    <row r="45" spans="1:14">
      <c r="A45" s="370" t="s">
        <v>8462</v>
      </c>
      <c r="D45" s="373">
        <f t="shared" ref="D45:I45" si="75">D215</f>
        <v>55152</v>
      </c>
      <c r="E45" s="373">
        <f t="shared" si="75"/>
        <v>55077</v>
      </c>
      <c r="F45" s="373">
        <f t="shared" si="75"/>
        <v>54792</v>
      </c>
      <c r="G45" s="373">
        <f t="shared" si="75"/>
        <v>55145</v>
      </c>
      <c r="H45" s="373">
        <f t="shared" si="75"/>
        <v>54814</v>
      </c>
      <c r="I45" s="373">
        <f t="shared" si="75"/>
        <v>53877</v>
      </c>
      <c r="J45" s="373">
        <f t="shared" ref="J45:K45" si="76">J215</f>
        <v>54232</v>
      </c>
      <c r="K45" s="373">
        <f t="shared" si="76"/>
        <v>54927</v>
      </c>
      <c r="L45" s="373">
        <f t="shared" ref="L45" si="77">L215</f>
        <v>55084</v>
      </c>
      <c r="N45" s="370" t="s">
        <v>3866</v>
      </c>
    </row>
    <row r="46" spans="1:14">
      <c r="D46" s="374"/>
      <c r="E46" s="374"/>
      <c r="F46" s="374"/>
      <c r="G46" s="374"/>
      <c r="H46" s="374"/>
      <c r="I46" s="374"/>
      <c r="J46" s="374"/>
      <c r="K46" s="374"/>
      <c r="L46" s="374"/>
    </row>
    <row r="47" spans="1:14">
      <c r="A47" s="370" t="s">
        <v>8697</v>
      </c>
      <c r="D47" s="373">
        <f t="shared" ref="D47:I47" si="78">D13+D15+D19+D23+D25+D27+D29+D21+D31+D35+D37+D39+D41+D43+D45</f>
        <v>1014398</v>
      </c>
      <c r="E47" s="373">
        <f t="shared" si="78"/>
        <v>1010822</v>
      </c>
      <c r="F47" s="373">
        <f t="shared" si="78"/>
        <v>1008921</v>
      </c>
      <c r="G47" s="373">
        <f t="shared" si="78"/>
        <v>1008939</v>
      </c>
      <c r="H47" s="373">
        <f t="shared" si="78"/>
        <v>1009128</v>
      </c>
      <c r="I47" s="373">
        <f t="shared" si="78"/>
        <v>978073</v>
      </c>
      <c r="J47" s="373">
        <f t="shared" ref="J47:K47" si="79">J13+J15+J19+J23+J25+J27+J29+J21+J31+J35+J37+J39+J41+J43+J45</f>
        <v>978417</v>
      </c>
      <c r="K47" s="373">
        <f t="shared" si="79"/>
        <v>1006300</v>
      </c>
      <c r="L47" s="373">
        <f t="shared" ref="L47" si="80">L13+L15+L19+L23+L25+L27+L29+L21+L31+L35+L37+L39+L41+L43+L45</f>
        <v>1018857</v>
      </c>
    </row>
    <row r="48" spans="1:14">
      <c r="D48" s="374"/>
      <c r="E48" s="374"/>
      <c r="F48" s="374"/>
      <c r="G48" s="374"/>
      <c r="H48" s="374"/>
      <c r="I48" s="374"/>
      <c r="J48" s="374"/>
      <c r="K48" s="374"/>
      <c r="L48" s="374"/>
    </row>
    <row r="49" spans="1:18">
      <c r="A49" s="370" t="s">
        <v>8698</v>
      </c>
      <c r="D49" s="373">
        <f>MAX(D13,D15,D19,D23,D25,D27,D29,D21,D31,D35,D37,D39,D41,D43,D45)-MIN(D13,D15,D19,D23,D25,D27,D29,D21,D31,D35,D37,D39,D41,D43,D45)</f>
        <v>24119</v>
      </c>
      <c r="E49" s="373">
        <f t="shared" ref="E49:I49" si="81">MAX(E13,E15,E19,E23,E25,E27,E29,E21,E31,E35,E37,E39,E41,E43,E45)-MIN(E13,E15,E19,E23,E25,E27,E29,E21,E31,E35,E37,E39,E41,E43,E45)</f>
        <v>24257</v>
      </c>
      <c r="F49" s="373">
        <f t="shared" si="81"/>
        <v>24811</v>
      </c>
      <c r="G49" s="373">
        <f t="shared" si="81"/>
        <v>24989</v>
      </c>
      <c r="H49" s="373">
        <f t="shared" si="81"/>
        <v>24983</v>
      </c>
      <c r="I49" s="373">
        <f t="shared" si="81"/>
        <v>24500</v>
      </c>
      <c r="J49" s="373">
        <f t="shared" ref="J49:K49" si="82">MAX(J13,J15,J19,J23,J25,J27,J29,J21,J31,J35,J37,J39,J41,J43,J45)-MIN(J13,J15,J19,J23,J25,J27,J29,J21,J31,J35,J37,J39,J41,J43,J45)</f>
        <v>23684</v>
      </c>
      <c r="K49" s="373">
        <f t="shared" si="82"/>
        <v>25821</v>
      </c>
      <c r="L49" s="373">
        <f t="shared" ref="L49" si="83">MAX(L13,L15,L19,L23,L25,L27,L29,L21,L31,L35,L37,L39,L41,L43,L45)-MIN(L13,L15,L19,L23,L25,L27,L29,L21,L31,L35,L37,L39,L41,L43,L45)</f>
        <v>26665</v>
      </c>
    </row>
    <row r="50" spans="1:18">
      <c r="D50" s="374"/>
      <c r="E50" s="374"/>
      <c r="F50" s="374"/>
      <c r="G50" s="374"/>
      <c r="H50" s="374"/>
      <c r="I50" s="374"/>
      <c r="J50" s="374"/>
      <c r="K50" s="374"/>
      <c r="L50" s="374"/>
    </row>
    <row r="51" spans="1:18">
      <c r="A51" s="380" t="s">
        <v>8701</v>
      </c>
      <c r="D51" s="373">
        <f t="shared" ref="D51:I51" si="84">STDEVP(D13,D15,D19,D23,D25,D27,D29,D21,D31,D35,D37,D39,D41,D43,D45)</f>
        <v>7193.5738347191209</v>
      </c>
      <c r="E51" s="373">
        <f t="shared" si="84"/>
        <v>7260.5881843155257</v>
      </c>
      <c r="F51" s="373">
        <f t="shared" si="84"/>
        <v>7420.3844177149385</v>
      </c>
      <c r="G51" s="373">
        <f t="shared" si="84"/>
        <v>7431.8993337279981</v>
      </c>
      <c r="H51" s="373">
        <f t="shared" si="84"/>
        <v>7193.0763117505339</v>
      </c>
      <c r="I51" s="373">
        <f t="shared" si="84"/>
        <v>7116.0867417110339</v>
      </c>
      <c r="J51" s="373">
        <f t="shared" ref="J51:K51" si="85">STDEVP(J13,J15,J19,J23,J25,J27,J29,J21,J31,J35,J37,J39,J41,J43,J45)</f>
        <v>6658.4615159960185</v>
      </c>
      <c r="K51" s="373">
        <f t="shared" si="85"/>
        <v>7217.2666355684059</v>
      </c>
      <c r="L51" s="373">
        <f t="shared" ref="L51" si="86">STDEVP(L13,L15,L19,L23,L25,L27,L29,L21,L31,L35,L37,L39,L41,L43,L45)</f>
        <v>7554.6491310538922</v>
      </c>
    </row>
    <row r="52" spans="1:18">
      <c r="A52" s="380"/>
      <c r="D52" s="381"/>
      <c r="E52" s="381"/>
      <c r="F52" s="381"/>
      <c r="G52" s="381"/>
      <c r="H52" s="381"/>
      <c r="I52" s="381"/>
      <c r="J52" s="381"/>
      <c r="K52" s="381"/>
      <c r="L52" s="381"/>
    </row>
    <row r="53" spans="1:18">
      <c r="A53" s="380"/>
      <c r="D53" s="381"/>
      <c r="E53" s="381"/>
      <c r="F53" s="381"/>
      <c r="G53" s="381"/>
      <c r="H53" s="381"/>
      <c r="I53" s="381"/>
      <c r="J53" s="381"/>
      <c r="K53" s="381"/>
      <c r="L53" s="381"/>
    </row>
    <row r="54" spans="1:18">
      <c r="E54" s="42" t="s">
        <v>2303</v>
      </c>
      <c r="F54" s="42"/>
      <c r="G54" s="42"/>
      <c r="H54" s="42"/>
      <c r="I54" s="42"/>
      <c r="J54" s="42"/>
      <c r="K54" s="42"/>
      <c r="L54" s="42"/>
      <c r="M54" s="109"/>
      <c r="N54" s="109" t="s">
        <v>13319</v>
      </c>
    </row>
    <row r="55" spans="1:18">
      <c r="D55" s="110">
        <v>2010</v>
      </c>
      <c r="E55" s="110">
        <v>2011</v>
      </c>
      <c r="F55" s="110">
        <v>2012</v>
      </c>
      <c r="G55" s="110">
        <v>2013</v>
      </c>
      <c r="H55" s="110">
        <v>2014</v>
      </c>
      <c r="I55" s="110">
        <v>2015</v>
      </c>
      <c r="J55" s="110">
        <v>2016</v>
      </c>
      <c r="K55" s="110">
        <v>2017</v>
      </c>
      <c r="L55" s="110">
        <v>2018</v>
      </c>
      <c r="N55" s="112" t="s">
        <v>2304</v>
      </c>
    </row>
    <row r="56" spans="1:18">
      <c r="A56" s="370" t="s">
        <v>8463</v>
      </c>
      <c r="C56" s="370"/>
      <c r="D56" s="373">
        <f>SUM(D57:D63)+SUM(D65:D73)+D75</f>
        <v>111228</v>
      </c>
      <c r="E56" s="373">
        <f t="shared" ref="E56:K56" si="87">SUM(E57:E63)+SUM(E65:E73)+E75</f>
        <v>111388</v>
      </c>
      <c r="F56" s="373">
        <f t="shared" si="87"/>
        <v>111832</v>
      </c>
      <c r="G56" s="373">
        <f t="shared" si="87"/>
        <v>112616</v>
      </c>
      <c r="H56" s="373">
        <f t="shared" si="87"/>
        <v>112265</v>
      </c>
      <c r="I56" s="373">
        <f t="shared" si="87"/>
        <v>110513</v>
      </c>
      <c r="J56" s="373">
        <f t="shared" si="87"/>
        <v>109974</v>
      </c>
      <c r="K56" s="373">
        <f t="shared" si="87"/>
        <v>114004</v>
      </c>
      <c r="L56" s="373">
        <f t="shared" ref="L56" si="88">SUM(L57:L63)+SUM(L65:L73)+L75</f>
        <v>115305</v>
      </c>
      <c r="M56" s="373"/>
    </row>
    <row r="57" spans="1:18">
      <c r="A57" s="370" t="s">
        <v>6957</v>
      </c>
      <c r="B57" s="370" t="s">
        <v>8464</v>
      </c>
      <c r="C57" s="4" t="s">
        <v>16062</v>
      </c>
      <c r="D57" s="374">
        <v>79271</v>
      </c>
      <c r="E57" s="374">
        <v>79334</v>
      </c>
      <c r="F57" s="374">
        <v>79603</v>
      </c>
      <c r="G57" s="374">
        <v>80134</v>
      </c>
      <c r="H57" s="30">
        <v>79797</v>
      </c>
      <c r="I57" s="30">
        <v>78377</v>
      </c>
      <c r="J57" s="30">
        <v>77916</v>
      </c>
      <c r="K57" s="30">
        <v>7989</v>
      </c>
      <c r="L57" s="30">
        <v>8007</v>
      </c>
      <c r="N57" s="370" t="s">
        <v>8450</v>
      </c>
      <c r="P57" s="4"/>
      <c r="R57" s="4"/>
    </row>
    <row r="58" spans="1:18">
      <c r="A58" s="370" t="s">
        <v>6959</v>
      </c>
      <c r="B58" s="370" t="s">
        <v>8465</v>
      </c>
      <c r="C58" s="4" t="s">
        <v>16063</v>
      </c>
      <c r="D58" s="374">
        <v>15541</v>
      </c>
      <c r="E58" s="374">
        <v>15521</v>
      </c>
      <c r="F58" s="374">
        <v>15564</v>
      </c>
      <c r="G58" s="374">
        <v>15752</v>
      </c>
      <c r="H58" s="30">
        <v>15679</v>
      </c>
      <c r="I58" s="30">
        <v>15618</v>
      </c>
      <c r="J58" s="30">
        <v>15689</v>
      </c>
      <c r="K58" s="30">
        <v>8019</v>
      </c>
      <c r="L58" s="30">
        <v>8172</v>
      </c>
      <c r="N58" s="370" t="s">
        <v>3869</v>
      </c>
      <c r="P58" s="4"/>
      <c r="R58" s="4"/>
    </row>
    <row r="59" spans="1:18">
      <c r="A59" s="370" t="s">
        <v>6961</v>
      </c>
      <c r="B59" s="370" t="s">
        <v>8466</v>
      </c>
      <c r="C59" s="4" t="s">
        <v>16064</v>
      </c>
      <c r="D59" s="374">
        <v>0</v>
      </c>
      <c r="E59" s="374">
        <v>0</v>
      </c>
      <c r="F59" s="374">
        <v>0</v>
      </c>
      <c r="G59" s="374">
        <v>0</v>
      </c>
      <c r="H59" s="30">
        <v>0</v>
      </c>
      <c r="I59" s="30">
        <v>0</v>
      </c>
      <c r="J59" s="30">
        <v>0</v>
      </c>
      <c r="K59" s="30">
        <v>8128</v>
      </c>
      <c r="L59" s="30">
        <v>8200</v>
      </c>
      <c r="N59" s="370" t="s">
        <v>3869</v>
      </c>
      <c r="P59" s="4"/>
      <c r="R59" s="4"/>
    </row>
    <row r="60" spans="1:18">
      <c r="A60" s="370" t="s">
        <v>6963</v>
      </c>
      <c r="B60" s="370" t="s">
        <v>7778</v>
      </c>
      <c r="C60" s="4" t="s">
        <v>16065</v>
      </c>
      <c r="D60" s="374">
        <v>0</v>
      </c>
      <c r="E60" s="374">
        <v>0</v>
      </c>
      <c r="F60" s="374">
        <v>0</v>
      </c>
      <c r="G60" s="374">
        <v>0</v>
      </c>
      <c r="H60" s="30">
        <v>0</v>
      </c>
      <c r="I60" s="30">
        <v>0</v>
      </c>
      <c r="J60" s="30">
        <v>0</v>
      </c>
      <c r="K60" s="30">
        <v>8182</v>
      </c>
      <c r="L60" s="30">
        <v>8361</v>
      </c>
      <c r="N60" s="370" t="s">
        <v>8450</v>
      </c>
      <c r="P60" s="4"/>
      <c r="R60" s="4"/>
    </row>
    <row r="61" spans="1:18">
      <c r="A61" s="370" t="s">
        <v>6965</v>
      </c>
      <c r="B61" s="370" t="s">
        <v>8467</v>
      </c>
      <c r="C61" s="4" t="s">
        <v>16066</v>
      </c>
      <c r="D61" s="374">
        <v>0</v>
      </c>
      <c r="E61" s="374">
        <v>0</v>
      </c>
      <c r="F61" s="374">
        <v>0</v>
      </c>
      <c r="G61" s="374">
        <v>0</v>
      </c>
      <c r="H61" s="30">
        <v>0</v>
      </c>
      <c r="I61" s="30">
        <v>0</v>
      </c>
      <c r="J61" s="30">
        <v>0</v>
      </c>
      <c r="K61" s="30">
        <v>7499</v>
      </c>
      <c r="L61" s="30">
        <v>7693</v>
      </c>
      <c r="N61" s="370" t="s">
        <v>8450</v>
      </c>
      <c r="P61" s="4"/>
      <c r="R61" s="4"/>
    </row>
    <row r="62" spans="1:18">
      <c r="A62" s="370" t="s">
        <v>6997</v>
      </c>
      <c r="B62" s="370" t="s">
        <v>16077</v>
      </c>
      <c r="C62" s="4" t="s">
        <v>16067</v>
      </c>
      <c r="D62" s="374">
        <v>0</v>
      </c>
      <c r="E62" s="374">
        <v>0</v>
      </c>
      <c r="F62" s="374">
        <v>0</v>
      </c>
      <c r="G62" s="374">
        <v>0</v>
      </c>
      <c r="H62" s="30">
        <v>0</v>
      </c>
      <c r="I62" s="30">
        <v>0</v>
      </c>
      <c r="J62" s="30">
        <v>0</v>
      </c>
      <c r="K62" s="30">
        <v>5148</v>
      </c>
      <c r="L62" s="30">
        <v>5090</v>
      </c>
      <c r="N62" s="370" t="s">
        <v>8450</v>
      </c>
      <c r="P62" s="4"/>
      <c r="R62" s="4"/>
    </row>
    <row r="63" spans="1:18" ht="15.75" thickBot="1">
      <c r="A63" s="370"/>
      <c r="B63" s="370"/>
      <c r="C63" s="4" t="s">
        <v>16067</v>
      </c>
      <c r="D63" s="927">
        <v>0</v>
      </c>
      <c r="E63" s="927">
        <v>0</v>
      </c>
      <c r="F63" s="927">
        <v>0</v>
      </c>
      <c r="G63" s="927">
        <v>0</v>
      </c>
      <c r="H63" s="899">
        <v>0</v>
      </c>
      <c r="I63" s="899">
        <v>0</v>
      </c>
      <c r="J63" s="899">
        <v>0</v>
      </c>
      <c r="K63" s="30">
        <v>2481</v>
      </c>
      <c r="L63" s="30">
        <v>2536</v>
      </c>
      <c r="N63" s="370" t="s">
        <v>8457</v>
      </c>
      <c r="P63" s="4"/>
      <c r="R63" s="4"/>
    </row>
    <row r="64" spans="1:18" ht="15.75" thickBot="1">
      <c r="A64" s="370"/>
      <c r="B64" s="370"/>
      <c r="C64" s="4" t="s">
        <v>16067</v>
      </c>
      <c r="D64" s="928">
        <f>D62+D63</f>
        <v>0</v>
      </c>
      <c r="E64" s="928">
        <f t="shared" ref="E64:L64" si="89">E62+E63</f>
        <v>0</v>
      </c>
      <c r="F64" s="928">
        <f t="shared" si="89"/>
        <v>0</v>
      </c>
      <c r="G64" s="928">
        <f t="shared" si="89"/>
        <v>0</v>
      </c>
      <c r="H64" s="928">
        <f t="shared" si="89"/>
        <v>0</v>
      </c>
      <c r="I64" s="928">
        <f t="shared" si="89"/>
        <v>0</v>
      </c>
      <c r="J64" s="928">
        <f t="shared" si="89"/>
        <v>0</v>
      </c>
      <c r="K64" s="928">
        <f t="shared" si="89"/>
        <v>7629</v>
      </c>
      <c r="L64" s="928">
        <f t="shared" si="89"/>
        <v>7626</v>
      </c>
      <c r="N64" s="370"/>
      <c r="P64" s="4"/>
      <c r="R64" s="4"/>
    </row>
    <row r="65" spans="1:18">
      <c r="A65" s="370" t="s">
        <v>6999</v>
      </c>
      <c r="B65" s="370" t="s">
        <v>16078</v>
      </c>
      <c r="C65" s="4" t="s">
        <v>16068</v>
      </c>
      <c r="D65" s="374">
        <v>16416</v>
      </c>
      <c r="E65" s="374">
        <v>16533</v>
      </c>
      <c r="F65" s="374">
        <v>16665</v>
      </c>
      <c r="G65" s="374">
        <v>16730</v>
      </c>
      <c r="H65" s="30">
        <v>16789</v>
      </c>
      <c r="I65" s="30">
        <v>16518</v>
      </c>
      <c r="J65" s="30">
        <v>16369</v>
      </c>
      <c r="K65" s="31">
        <v>7127</v>
      </c>
      <c r="L65" s="31">
        <v>7139</v>
      </c>
      <c r="N65" s="370" t="s">
        <v>8457</v>
      </c>
      <c r="P65" s="4"/>
      <c r="R65" s="4"/>
    </row>
    <row r="66" spans="1:18">
      <c r="A66" s="370" t="s">
        <v>7001</v>
      </c>
      <c r="B66" s="370" t="s">
        <v>8468</v>
      </c>
      <c r="C66" s="4" t="s">
        <v>16069</v>
      </c>
      <c r="D66" s="374">
        <v>0</v>
      </c>
      <c r="E66" s="374">
        <v>0</v>
      </c>
      <c r="F66" s="374">
        <v>0</v>
      </c>
      <c r="G66" s="374">
        <v>0</v>
      </c>
      <c r="H66" s="30">
        <v>0</v>
      </c>
      <c r="I66" s="30">
        <v>0</v>
      </c>
      <c r="J66" s="30">
        <v>0</v>
      </c>
      <c r="K66" s="30">
        <v>7277</v>
      </c>
      <c r="L66" s="30">
        <v>7479</v>
      </c>
      <c r="N66" s="370" t="s">
        <v>8450</v>
      </c>
      <c r="P66" s="4"/>
      <c r="R66" s="4"/>
    </row>
    <row r="67" spans="1:18">
      <c r="A67" s="370" t="s">
        <v>7003</v>
      </c>
      <c r="B67" s="370" t="s">
        <v>8470</v>
      </c>
      <c r="C67" s="4" t="s">
        <v>16070</v>
      </c>
      <c r="D67" s="374">
        <v>0</v>
      </c>
      <c r="E67" s="374">
        <v>0</v>
      </c>
      <c r="F67" s="374">
        <v>0</v>
      </c>
      <c r="G67" s="374">
        <v>0</v>
      </c>
      <c r="H67" s="30">
        <v>0</v>
      </c>
      <c r="I67" s="30">
        <v>0</v>
      </c>
      <c r="J67" s="30">
        <v>0</v>
      </c>
      <c r="K67" s="30">
        <v>7377</v>
      </c>
      <c r="L67" s="30">
        <v>7553</v>
      </c>
      <c r="N67" s="370" t="s">
        <v>8450</v>
      </c>
      <c r="P67" s="4"/>
      <c r="R67" s="4"/>
    </row>
    <row r="68" spans="1:18">
      <c r="A68" s="370" t="s">
        <v>7005</v>
      </c>
      <c r="B68" s="370" t="s">
        <v>8469</v>
      </c>
      <c r="C68" s="4" t="s">
        <v>16071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0">
        <v>7150</v>
      </c>
      <c r="L68" s="30">
        <v>7215</v>
      </c>
      <c r="N68" s="370" t="s">
        <v>8450</v>
      </c>
      <c r="P68" s="4"/>
      <c r="R68" s="4"/>
    </row>
    <row r="69" spans="1:18">
      <c r="A69" s="370" t="s">
        <v>7007</v>
      </c>
      <c r="B69" s="370" t="s">
        <v>1508</v>
      </c>
      <c r="C69" s="4" t="s">
        <v>16072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7068</v>
      </c>
      <c r="L69" s="30">
        <v>7080</v>
      </c>
      <c r="N69" s="370" t="s">
        <v>8450</v>
      </c>
      <c r="P69" s="4"/>
      <c r="R69" s="4"/>
    </row>
    <row r="70" spans="1:18">
      <c r="A70" s="370" t="s">
        <v>7009</v>
      </c>
      <c r="B70" s="370" t="s">
        <v>8471</v>
      </c>
      <c r="C70" s="4" t="s">
        <v>16073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7751</v>
      </c>
      <c r="L70" s="30">
        <v>7810</v>
      </c>
      <c r="N70" s="370" t="s">
        <v>8450</v>
      </c>
      <c r="P70" s="4"/>
      <c r="R70" s="4"/>
    </row>
    <row r="71" spans="1:18">
      <c r="A71" s="370" t="s">
        <v>7011</v>
      </c>
      <c r="B71" s="370" t="s">
        <v>6679</v>
      </c>
      <c r="C71" s="4" t="s">
        <v>16074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7344</v>
      </c>
      <c r="L71" s="30">
        <v>7465</v>
      </c>
      <c r="N71" s="370" t="s">
        <v>8450</v>
      </c>
      <c r="P71" s="4"/>
      <c r="R71" s="4"/>
    </row>
    <row r="72" spans="1:18">
      <c r="A72" s="370" t="s">
        <v>7013</v>
      </c>
      <c r="B72" s="370" t="s">
        <v>16079</v>
      </c>
      <c r="C72" s="4" t="s">
        <v>16075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124</v>
      </c>
      <c r="L72" s="30">
        <v>120</v>
      </c>
      <c r="N72" s="370" t="s">
        <v>3869</v>
      </c>
      <c r="P72" s="4"/>
      <c r="R72" s="4"/>
    </row>
    <row r="73" spans="1:18" ht="15.75" thickBot="1">
      <c r="C73" s="4" t="s">
        <v>16075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1">
        <v>7377</v>
      </c>
      <c r="L73" s="31">
        <v>7389</v>
      </c>
      <c r="N73" s="370" t="s">
        <v>8457</v>
      </c>
      <c r="P73" s="4"/>
      <c r="R73" s="4"/>
    </row>
    <row r="74" spans="1:18" ht="15.75" thickBot="1">
      <c r="A74" s="370"/>
      <c r="B74" s="370"/>
      <c r="C74" s="4" t="s">
        <v>16075</v>
      </c>
      <c r="D74" s="928">
        <f>D72+D73</f>
        <v>0</v>
      </c>
      <c r="E74" s="928">
        <f t="shared" ref="E74" si="90">E72+E73</f>
        <v>0</v>
      </c>
      <c r="F74" s="928">
        <f t="shared" ref="F74" si="91">F72+F73</f>
        <v>0</v>
      </c>
      <c r="G74" s="928">
        <f t="shared" ref="G74" si="92">G72+G73</f>
        <v>0</v>
      </c>
      <c r="H74" s="928">
        <f t="shared" ref="H74" si="93">H72+H73</f>
        <v>0</v>
      </c>
      <c r="I74" s="928">
        <f t="shared" ref="I74" si="94">I72+I73</f>
        <v>0</v>
      </c>
      <c r="J74" s="928">
        <f t="shared" ref="J74" si="95">J72+J73</f>
        <v>0</v>
      </c>
      <c r="K74" s="928">
        <f t="shared" ref="K74:L74" si="96">K72+K73</f>
        <v>7501</v>
      </c>
      <c r="L74" s="928">
        <f t="shared" si="96"/>
        <v>7509</v>
      </c>
      <c r="N74" s="370"/>
      <c r="P74" s="4"/>
      <c r="R74" s="4"/>
    </row>
    <row r="75" spans="1:18">
      <c r="A75" s="370" t="s">
        <v>7015</v>
      </c>
      <c r="B75" s="370" t="s">
        <v>6531</v>
      </c>
      <c r="C75" s="4" t="s">
        <v>16076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7963</v>
      </c>
      <c r="L75" s="30">
        <v>7996</v>
      </c>
      <c r="N75" s="370" t="s">
        <v>8450</v>
      </c>
      <c r="P75" s="4"/>
      <c r="R75" s="4"/>
    </row>
    <row r="76" spans="1:18">
      <c r="D76" s="374"/>
      <c r="E76" s="374"/>
      <c r="F76" s="374"/>
      <c r="G76" s="374"/>
      <c r="H76" s="374"/>
      <c r="I76" s="374"/>
      <c r="J76" s="374"/>
      <c r="K76" s="374"/>
      <c r="L76" s="374"/>
    </row>
    <row r="77" spans="1:18">
      <c r="A77" s="370" t="s">
        <v>6680</v>
      </c>
      <c r="D77" s="373">
        <f>D58+D59+D72</f>
        <v>15541</v>
      </c>
      <c r="E77" s="373">
        <f t="shared" ref="E77:K77" si="97">E58+E59+E72</f>
        <v>15521</v>
      </c>
      <c r="F77" s="373">
        <f t="shared" si="97"/>
        <v>15564</v>
      </c>
      <c r="G77" s="373">
        <f t="shared" si="97"/>
        <v>15752</v>
      </c>
      <c r="H77" s="373">
        <f t="shared" si="97"/>
        <v>15679</v>
      </c>
      <c r="I77" s="373">
        <f t="shared" si="97"/>
        <v>15618</v>
      </c>
      <c r="J77" s="373">
        <f t="shared" si="97"/>
        <v>15689</v>
      </c>
      <c r="K77" s="373">
        <f t="shared" si="97"/>
        <v>16271</v>
      </c>
      <c r="L77" s="373">
        <f t="shared" ref="L77" si="98">L58+L59+L72</f>
        <v>16492</v>
      </c>
    </row>
    <row r="78" spans="1:18">
      <c r="A78" s="370" t="s">
        <v>8450</v>
      </c>
      <c r="D78" s="373">
        <f>D57+SUM(D60:D62)+SUM(D66:D71)+D75</f>
        <v>79271</v>
      </c>
      <c r="E78" s="373">
        <f t="shared" ref="E78:K78" si="99">E57+SUM(E60:E62)+SUM(E66:E71)+E75</f>
        <v>79334</v>
      </c>
      <c r="F78" s="373">
        <f t="shared" si="99"/>
        <v>79603</v>
      </c>
      <c r="G78" s="373">
        <f t="shared" si="99"/>
        <v>80134</v>
      </c>
      <c r="H78" s="373">
        <f t="shared" si="99"/>
        <v>79797</v>
      </c>
      <c r="I78" s="373">
        <f t="shared" si="99"/>
        <v>78377</v>
      </c>
      <c r="J78" s="373">
        <f t="shared" si="99"/>
        <v>77916</v>
      </c>
      <c r="K78" s="373">
        <f t="shared" si="99"/>
        <v>80748</v>
      </c>
      <c r="L78" s="373">
        <f t="shared" ref="L78" si="100">L57+SUM(L60:L62)+SUM(L66:L71)+L75</f>
        <v>81749</v>
      </c>
    </row>
    <row r="79" spans="1:18">
      <c r="A79" s="370" t="s">
        <v>6681</v>
      </c>
      <c r="D79" s="373">
        <f>D63+D65+D73</f>
        <v>16416</v>
      </c>
      <c r="E79" s="373">
        <f t="shared" ref="E79:K79" si="101">E63+E65+E73</f>
        <v>16533</v>
      </c>
      <c r="F79" s="373">
        <f t="shared" si="101"/>
        <v>16665</v>
      </c>
      <c r="G79" s="373">
        <f t="shared" si="101"/>
        <v>16730</v>
      </c>
      <c r="H79" s="373">
        <f t="shared" si="101"/>
        <v>16789</v>
      </c>
      <c r="I79" s="373">
        <f t="shared" si="101"/>
        <v>16518</v>
      </c>
      <c r="J79" s="373">
        <f t="shared" si="101"/>
        <v>16369</v>
      </c>
      <c r="K79" s="373">
        <f t="shared" si="101"/>
        <v>16985</v>
      </c>
      <c r="L79" s="373">
        <f t="shared" ref="L79" si="102">L63+L65+L73</f>
        <v>17064</v>
      </c>
    </row>
    <row r="80" spans="1:18">
      <c r="A80" s="370"/>
      <c r="D80" s="373"/>
      <c r="E80" s="373"/>
      <c r="F80" s="373"/>
      <c r="G80" s="373"/>
      <c r="H80" s="373"/>
      <c r="I80" s="373"/>
      <c r="J80" s="373"/>
      <c r="K80" s="373"/>
      <c r="L80" s="373"/>
    </row>
    <row r="81" spans="1:18">
      <c r="A81" s="370" t="s">
        <v>16061</v>
      </c>
      <c r="D81" s="373"/>
      <c r="E81" s="373"/>
      <c r="F81" s="373"/>
      <c r="G81" s="373"/>
      <c r="H81" s="373"/>
      <c r="I81" s="373"/>
      <c r="J81" s="373"/>
      <c r="K81" s="373"/>
      <c r="L81" s="373"/>
    </row>
    <row r="82" spans="1:18">
      <c r="A82" s="370"/>
      <c r="B82" s="370"/>
      <c r="D82" s="382"/>
      <c r="E82" s="382"/>
      <c r="F82" s="382"/>
      <c r="G82" s="382"/>
      <c r="H82" s="382"/>
      <c r="I82" s="382"/>
      <c r="J82" s="382"/>
      <c r="K82" s="382"/>
      <c r="L82" s="382"/>
    </row>
    <row r="83" spans="1:18">
      <c r="A83" s="370"/>
      <c r="B83" s="370"/>
      <c r="D83" s="382"/>
      <c r="E83" s="382"/>
      <c r="F83" s="382"/>
      <c r="G83" s="382"/>
      <c r="H83" s="382"/>
      <c r="I83" s="382"/>
      <c r="J83" s="382"/>
      <c r="K83" s="382"/>
      <c r="L83" s="382"/>
    </row>
    <row r="84" spans="1:18">
      <c r="E84" s="42" t="s">
        <v>2303</v>
      </c>
      <c r="F84" s="42"/>
      <c r="G84" s="42"/>
      <c r="H84" s="42"/>
      <c r="I84" s="42"/>
      <c r="J84" s="42"/>
      <c r="K84" s="42"/>
      <c r="L84" s="42"/>
      <c r="M84" s="109"/>
      <c r="N84" s="109" t="s">
        <v>13319</v>
      </c>
    </row>
    <row r="85" spans="1:18">
      <c r="D85" s="110">
        <v>2010</v>
      </c>
      <c r="E85" s="110">
        <v>2011</v>
      </c>
      <c r="F85" s="110">
        <v>2012</v>
      </c>
      <c r="G85" s="110">
        <v>2013</v>
      </c>
      <c r="H85" s="110">
        <v>2014</v>
      </c>
      <c r="I85" s="110">
        <v>2015</v>
      </c>
      <c r="J85" s="110">
        <v>2016</v>
      </c>
      <c r="K85" s="110">
        <v>2017</v>
      </c>
      <c r="L85" s="110">
        <v>2018</v>
      </c>
      <c r="N85" s="112" t="s">
        <v>2304</v>
      </c>
    </row>
    <row r="86" spans="1:18">
      <c r="A86" s="370" t="s">
        <v>6682</v>
      </c>
      <c r="D86" s="373">
        <f t="shared" ref="D86:I86" si="103">SUM(D87:D116)</f>
        <v>317103</v>
      </c>
      <c r="E86" s="373">
        <f t="shared" si="103"/>
        <v>315865</v>
      </c>
      <c r="F86" s="373">
        <f t="shared" si="103"/>
        <v>316483</v>
      </c>
      <c r="G86" s="373">
        <f t="shared" si="103"/>
        <v>317585</v>
      </c>
      <c r="H86" s="373">
        <f t="shared" si="103"/>
        <v>319104</v>
      </c>
      <c r="I86" s="373">
        <f t="shared" si="103"/>
        <v>299961</v>
      </c>
      <c r="J86" s="373">
        <f t="shared" ref="J86:K86" si="104">SUM(J87:J116)</f>
        <v>303978</v>
      </c>
      <c r="K86" s="373">
        <f t="shared" si="104"/>
        <v>312360</v>
      </c>
      <c r="L86" s="373">
        <f t="shared" ref="L86" si="105">SUM(L87:L116)</f>
        <v>313534</v>
      </c>
    </row>
    <row r="87" spans="1:18">
      <c r="A87" s="370" t="s">
        <v>6957</v>
      </c>
      <c r="B87" s="370" t="s">
        <v>6683</v>
      </c>
      <c r="C87" s="4" t="s">
        <v>9193</v>
      </c>
      <c r="D87" s="374">
        <v>11011</v>
      </c>
      <c r="E87" s="374">
        <v>10961</v>
      </c>
      <c r="F87" s="374">
        <v>11040</v>
      </c>
      <c r="G87" s="374">
        <v>11147</v>
      </c>
      <c r="H87" s="30">
        <v>11179</v>
      </c>
      <c r="I87" s="30">
        <v>11012</v>
      </c>
      <c r="J87" s="30">
        <v>11090</v>
      </c>
      <c r="K87" s="30">
        <v>11331</v>
      </c>
      <c r="L87" s="30">
        <v>11428</v>
      </c>
      <c r="N87" s="370" t="s">
        <v>3869</v>
      </c>
      <c r="P87" s="4"/>
      <c r="R87" s="4"/>
    </row>
    <row r="88" spans="1:18">
      <c r="A88" s="370" t="s">
        <v>6959</v>
      </c>
      <c r="B88" s="370" t="s">
        <v>6684</v>
      </c>
      <c r="C88" s="4" t="s">
        <v>9194</v>
      </c>
      <c r="D88" s="374">
        <v>9459</v>
      </c>
      <c r="E88" s="374">
        <v>9381</v>
      </c>
      <c r="F88" s="374">
        <v>9324</v>
      </c>
      <c r="G88" s="374">
        <v>9360</v>
      </c>
      <c r="H88" s="30">
        <v>9169</v>
      </c>
      <c r="I88" s="30">
        <v>8769</v>
      </c>
      <c r="J88" s="30">
        <v>8764</v>
      </c>
      <c r="K88" s="30">
        <v>8923</v>
      </c>
      <c r="L88" s="30">
        <v>8874</v>
      </c>
      <c r="N88" s="370" t="s">
        <v>8452</v>
      </c>
      <c r="P88" s="4"/>
      <c r="R88" s="4"/>
    </row>
    <row r="89" spans="1:18">
      <c r="A89" s="370" t="s">
        <v>6961</v>
      </c>
      <c r="B89" s="370" t="s">
        <v>6685</v>
      </c>
      <c r="C89" s="4" t="s">
        <v>9195</v>
      </c>
      <c r="D89" s="374">
        <v>10634</v>
      </c>
      <c r="E89" s="374">
        <v>10885</v>
      </c>
      <c r="F89" s="374">
        <v>11053</v>
      </c>
      <c r="G89" s="374">
        <v>11155</v>
      </c>
      <c r="H89" s="30">
        <v>11247</v>
      </c>
      <c r="I89" s="30">
        <v>11060</v>
      </c>
      <c r="J89" s="30">
        <v>11158</v>
      </c>
      <c r="K89" s="30">
        <v>11292</v>
      </c>
      <c r="L89" s="30">
        <v>11474</v>
      </c>
      <c r="N89" s="370" t="s">
        <v>3869</v>
      </c>
      <c r="P89" s="4"/>
      <c r="R89" s="4"/>
    </row>
    <row r="90" spans="1:18">
      <c r="A90" s="370" t="s">
        <v>6963</v>
      </c>
      <c r="B90" s="370" t="s">
        <v>7725</v>
      </c>
      <c r="C90" s="4" t="s">
        <v>9196</v>
      </c>
      <c r="D90" s="374">
        <v>11112</v>
      </c>
      <c r="E90" s="374">
        <v>11785</v>
      </c>
      <c r="F90" s="374">
        <v>12450</v>
      </c>
      <c r="G90" s="374">
        <v>12894</v>
      </c>
      <c r="H90" s="30">
        <v>13196</v>
      </c>
      <c r="I90" s="30">
        <v>7958</v>
      </c>
      <c r="J90" s="30">
        <v>9353</v>
      </c>
      <c r="K90" s="30">
        <v>10299</v>
      </c>
      <c r="L90" s="30">
        <v>8091</v>
      </c>
      <c r="N90" s="370" t="s">
        <v>8451</v>
      </c>
      <c r="P90" s="4"/>
      <c r="R90" s="4"/>
    </row>
    <row r="91" spans="1:18">
      <c r="A91" s="370" t="s">
        <v>6965</v>
      </c>
      <c r="B91" s="370" t="s">
        <v>6686</v>
      </c>
      <c r="C91" s="4" t="s">
        <v>9197</v>
      </c>
      <c r="D91" s="374">
        <v>11060</v>
      </c>
      <c r="E91" s="374">
        <v>11122</v>
      </c>
      <c r="F91" s="374">
        <v>11067</v>
      </c>
      <c r="G91" s="374">
        <v>11015</v>
      </c>
      <c r="H91" s="31">
        <v>11105</v>
      </c>
      <c r="I91" s="31">
        <v>10610</v>
      </c>
      <c r="J91" s="31">
        <v>10784</v>
      </c>
      <c r="K91" s="31">
        <v>10877</v>
      </c>
      <c r="L91" s="31">
        <v>10745</v>
      </c>
      <c r="N91" s="370" t="s">
        <v>8453</v>
      </c>
      <c r="P91" s="4"/>
      <c r="R91" s="4"/>
    </row>
    <row r="92" spans="1:18">
      <c r="A92" s="370" t="s">
        <v>6997</v>
      </c>
      <c r="B92" s="370" t="s">
        <v>2425</v>
      </c>
      <c r="C92" s="4" t="s">
        <v>9198</v>
      </c>
      <c r="D92" s="374">
        <v>10688</v>
      </c>
      <c r="E92" s="374">
        <v>10618</v>
      </c>
      <c r="F92" s="374">
        <v>10621</v>
      </c>
      <c r="G92" s="374">
        <v>10637</v>
      </c>
      <c r="H92" s="31">
        <v>10717</v>
      </c>
      <c r="I92" s="31">
        <v>10509</v>
      </c>
      <c r="J92" s="31">
        <v>10373</v>
      </c>
      <c r="K92" s="31">
        <v>10527</v>
      </c>
      <c r="L92" s="31">
        <v>10488</v>
      </c>
      <c r="N92" s="370" t="s">
        <v>8453</v>
      </c>
      <c r="P92" s="4"/>
      <c r="R92" s="4"/>
    </row>
    <row r="93" spans="1:18">
      <c r="A93" s="370" t="s">
        <v>6999</v>
      </c>
      <c r="B93" s="370" t="s">
        <v>6687</v>
      </c>
      <c r="C93" s="4" t="s">
        <v>9199</v>
      </c>
      <c r="D93" s="374">
        <v>11179</v>
      </c>
      <c r="E93" s="374">
        <v>11092</v>
      </c>
      <c r="F93" s="374">
        <v>11006</v>
      </c>
      <c r="G93" s="374">
        <v>11169</v>
      </c>
      <c r="H93" s="30">
        <v>11131</v>
      </c>
      <c r="I93" s="30">
        <v>10754</v>
      </c>
      <c r="J93" s="30">
        <v>10704</v>
      </c>
      <c r="K93" s="30">
        <v>10865</v>
      </c>
      <c r="L93" s="30">
        <v>11036</v>
      </c>
      <c r="N93" s="370" t="s">
        <v>8452</v>
      </c>
      <c r="P93" s="4"/>
      <c r="R93" s="4"/>
    </row>
    <row r="94" spans="1:18">
      <c r="A94" s="370" t="s">
        <v>7001</v>
      </c>
      <c r="B94" s="370" t="s">
        <v>6688</v>
      </c>
      <c r="C94" s="4" t="s">
        <v>9200</v>
      </c>
      <c r="D94" s="374">
        <v>9748</v>
      </c>
      <c r="E94" s="374">
        <v>9498</v>
      </c>
      <c r="F94" s="374">
        <v>9554</v>
      </c>
      <c r="G94" s="374">
        <v>9667</v>
      </c>
      <c r="H94" s="30">
        <v>9588</v>
      </c>
      <c r="I94" s="30">
        <v>9142</v>
      </c>
      <c r="J94" s="30">
        <v>9088</v>
      </c>
      <c r="K94" s="30">
        <v>9221</v>
      </c>
      <c r="L94" s="30">
        <v>9112</v>
      </c>
      <c r="N94" s="370" t="s">
        <v>8452</v>
      </c>
      <c r="P94" s="4"/>
      <c r="R94" s="4"/>
    </row>
    <row r="95" spans="1:18">
      <c r="A95" s="370" t="s">
        <v>7003</v>
      </c>
      <c r="B95" s="370" t="s">
        <v>6672</v>
      </c>
      <c r="C95" s="4" t="s">
        <v>9201</v>
      </c>
      <c r="D95" s="374">
        <v>11131</v>
      </c>
      <c r="E95" s="374">
        <v>11240</v>
      </c>
      <c r="F95" s="374">
        <v>11402</v>
      </c>
      <c r="G95" s="374">
        <v>11544</v>
      </c>
      <c r="H95" s="30">
        <v>11574</v>
      </c>
      <c r="I95" s="30">
        <v>11329</v>
      </c>
      <c r="J95" s="30">
        <v>11285</v>
      </c>
      <c r="K95" s="30">
        <v>11424</v>
      </c>
      <c r="L95" s="30">
        <v>11460</v>
      </c>
      <c r="N95" s="370" t="s">
        <v>3869</v>
      </c>
      <c r="P95" s="4"/>
      <c r="R95" s="4"/>
    </row>
    <row r="96" spans="1:18">
      <c r="A96" s="370" t="s">
        <v>7005</v>
      </c>
      <c r="B96" s="370" t="s">
        <v>6673</v>
      </c>
      <c r="C96" s="4" t="s">
        <v>9202</v>
      </c>
      <c r="D96" s="374">
        <v>10551</v>
      </c>
      <c r="E96" s="374">
        <v>10458</v>
      </c>
      <c r="F96" s="374">
        <v>10359</v>
      </c>
      <c r="G96" s="374">
        <v>10341</v>
      </c>
      <c r="H96" s="31">
        <v>10419</v>
      </c>
      <c r="I96" s="31">
        <v>10000</v>
      </c>
      <c r="J96" s="31">
        <v>9980</v>
      </c>
      <c r="K96" s="31">
        <v>10117</v>
      </c>
      <c r="L96" s="31">
        <v>10267</v>
      </c>
      <c r="N96" s="370" t="s">
        <v>8454</v>
      </c>
      <c r="P96" s="4"/>
      <c r="R96" s="4"/>
    </row>
    <row r="97" spans="1:18">
      <c r="A97" s="370" t="s">
        <v>7007</v>
      </c>
      <c r="B97" s="370" t="s">
        <v>6674</v>
      </c>
      <c r="C97" s="4" t="s">
        <v>9203</v>
      </c>
      <c r="D97" s="374">
        <v>9825</v>
      </c>
      <c r="E97" s="374">
        <v>9644</v>
      </c>
      <c r="F97" s="374">
        <v>9717</v>
      </c>
      <c r="G97" s="374">
        <v>9749</v>
      </c>
      <c r="H97" s="31">
        <v>9967</v>
      </c>
      <c r="I97" s="31">
        <v>9700</v>
      </c>
      <c r="J97" s="31">
        <v>9832</v>
      </c>
      <c r="K97" s="31">
        <v>10051</v>
      </c>
      <c r="L97" s="31">
        <v>10254</v>
      </c>
      <c r="N97" s="370" t="s">
        <v>8452</v>
      </c>
      <c r="P97" s="4"/>
      <c r="R97" s="4"/>
    </row>
    <row r="98" spans="1:18">
      <c r="A98" s="370" t="s">
        <v>7009</v>
      </c>
      <c r="B98" s="370" t="s">
        <v>6675</v>
      </c>
      <c r="C98" s="4" t="s">
        <v>9204</v>
      </c>
      <c r="D98" s="374">
        <v>11335</v>
      </c>
      <c r="E98" s="374">
        <v>11161</v>
      </c>
      <c r="F98" s="374">
        <v>11105</v>
      </c>
      <c r="G98" s="374">
        <v>11133</v>
      </c>
      <c r="H98" s="31">
        <v>11168</v>
      </c>
      <c r="I98" s="31">
        <v>10854</v>
      </c>
      <c r="J98" s="31">
        <v>10768</v>
      </c>
      <c r="K98" s="31">
        <v>10933</v>
      </c>
      <c r="L98" s="31">
        <v>11105</v>
      </c>
      <c r="N98" s="370" t="s">
        <v>8452</v>
      </c>
      <c r="P98" s="4"/>
      <c r="R98" s="4"/>
    </row>
    <row r="99" spans="1:18">
      <c r="A99" s="370" t="s">
        <v>7011</v>
      </c>
      <c r="B99" s="370" t="s">
        <v>4930</v>
      </c>
      <c r="C99" s="4" t="s">
        <v>9205</v>
      </c>
      <c r="D99" s="374">
        <v>10227</v>
      </c>
      <c r="E99" s="374">
        <v>10043</v>
      </c>
      <c r="F99" s="374">
        <v>10535</v>
      </c>
      <c r="G99" s="374">
        <v>10309</v>
      </c>
      <c r="H99" s="30">
        <v>10011</v>
      </c>
      <c r="I99" s="30">
        <v>8048</v>
      </c>
      <c r="J99" s="30">
        <v>7985</v>
      </c>
      <c r="K99" s="30">
        <v>8382</v>
      </c>
      <c r="L99" s="30">
        <v>8726</v>
      </c>
      <c r="N99" s="370" t="s">
        <v>8451</v>
      </c>
      <c r="P99" s="4"/>
      <c r="R99" s="4"/>
    </row>
    <row r="100" spans="1:18">
      <c r="A100" s="370" t="s">
        <v>7013</v>
      </c>
      <c r="B100" s="370" t="s">
        <v>4931</v>
      </c>
      <c r="C100" s="4" t="s">
        <v>9206</v>
      </c>
      <c r="D100" s="374">
        <v>8500</v>
      </c>
      <c r="E100" s="374">
        <v>8454</v>
      </c>
      <c r="F100" s="374">
        <v>8497</v>
      </c>
      <c r="G100" s="374">
        <v>8574</v>
      </c>
      <c r="H100" s="31">
        <v>8514</v>
      </c>
      <c r="I100" s="31">
        <v>8029</v>
      </c>
      <c r="J100" s="31">
        <v>8036</v>
      </c>
      <c r="K100" s="31">
        <v>8288</v>
      </c>
      <c r="L100" s="31">
        <v>8501</v>
      </c>
      <c r="N100" s="370" t="s">
        <v>8453</v>
      </c>
      <c r="P100" s="4"/>
      <c r="R100" s="4"/>
    </row>
    <row r="101" spans="1:18">
      <c r="A101" s="370" t="s">
        <v>7015</v>
      </c>
      <c r="B101" s="370" t="s">
        <v>6689</v>
      </c>
      <c r="C101" s="4" t="s">
        <v>9207</v>
      </c>
      <c r="D101" s="374">
        <v>11150</v>
      </c>
      <c r="E101" s="374">
        <v>11173</v>
      </c>
      <c r="F101" s="374">
        <v>11294</v>
      </c>
      <c r="G101" s="374">
        <v>11462</v>
      </c>
      <c r="H101" s="30">
        <v>11530</v>
      </c>
      <c r="I101" s="30">
        <v>10379</v>
      </c>
      <c r="J101" s="30">
        <v>10453</v>
      </c>
      <c r="K101" s="30">
        <v>10831</v>
      </c>
      <c r="L101" s="30">
        <v>10852</v>
      </c>
      <c r="N101" s="370" t="s">
        <v>8451</v>
      </c>
      <c r="P101" s="4"/>
      <c r="R101" s="4"/>
    </row>
    <row r="102" spans="1:18">
      <c r="A102" s="370" t="s">
        <v>7017</v>
      </c>
      <c r="B102" s="370" t="s">
        <v>6690</v>
      </c>
      <c r="C102" s="4" t="s">
        <v>9208</v>
      </c>
      <c r="D102" s="374">
        <v>9880</v>
      </c>
      <c r="E102" s="374">
        <v>9756</v>
      </c>
      <c r="F102" s="374">
        <v>9875</v>
      </c>
      <c r="G102" s="374">
        <v>9964</v>
      </c>
      <c r="H102" s="31">
        <v>10085</v>
      </c>
      <c r="I102" s="31">
        <v>9807</v>
      </c>
      <c r="J102" s="31">
        <v>10095</v>
      </c>
      <c r="K102" s="31">
        <v>10328</v>
      </c>
      <c r="L102" s="31">
        <v>10430</v>
      </c>
      <c r="N102" s="370" t="s">
        <v>8454</v>
      </c>
      <c r="P102" s="4"/>
      <c r="R102" s="4"/>
    </row>
    <row r="103" spans="1:18">
      <c r="A103" s="370" t="s">
        <v>7019</v>
      </c>
      <c r="B103" s="370" t="s">
        <v>6691</v>
      </c>
      <c r="C103" s="4" t="s">
        <v>9209</v>
      </c>
      <c r="D103" s="383">
        <v>10549</v>
      </c>
      <c r="E103" s="383">
        <v>10490</v>
      </c>
      <c r="F103" s="383">
        <v>10328</v>
      </c>
      <c r="G103" s="383">
        <v>9708</v>
      </c>
      <c r="H103" s="30">
        <v>10237</v>
      </c>
      <c r="I103" s="30">
        <v>9222</v>
      </c>
      <c r="J103" s="30">
        <v>9639</v>
      </c>
      <c r="K103" s="30">
        <v>9727</v>
      </c>
      <c r="L103" s="30">
        <v>9289</v>
      </c>
      <c r="N103" s="370" t="s">
        <v>8451</v>
      </c>
      <c r="P103" s="4"/>
      <c r="R103" s="4"/>
    </row>
    <row r="104" spans="1:18">
      <c r="A104" s="370" t="s">
        <v>7021</v>
      </c>
      <c r="B104" s="370" t="s">
        <v>6692</v>
      </c>
      <c r="C104" s="4" t="s">
        <v>9210</v>
      </c>
      <c r="D104" s="383">
        <v>10177</v>
      </c>
      <c r="E104" s="383">
        <v>9969</v>
      </c>
      <c r="F104" s="383">
        <v>10102</v>
      </c>
      <c r="G104" s="383">
        <v>10270</v>
      </c>
      <c r="H104" s="31">
        <v>10329</v>
      </c>
      <c r="I104" s="31">
        <v>10039</v>
      </c>
      <c r="J104" s="31">
        <v>10233</v>
      </c>
      <c r="K104" s="31">
        <v>10731</v>
      </c>
      <c r="L104" s="31">
        <v>11231</v>
      </c>
      <c r="N104" s="370" t="s">
        <v>8454</v>
      </c>
      <c r="P104" s="4"/>
      <c r="R104" s="4"/>
    </row>
    <row r="105" spans="1:18">
      <c r="A105" s="370" t="s">
        <v>7023</v>
      </c>
      <c r="B105" s="370" t="s">
        <v>6693</v>
      </c>
      <c r="C105" s="4" t="s">
        <v>9211</v>
      </c>
      <c r="D105" s="374">
        <v>11226</v>
      </c>
      <c r="E105" s="374">
        <v>11124</v>
      </c>
      <c r="F105" s="374">
        <v>11137</v>
      </c>
      <c r="G105" s="374">
        <v>11086</v>
      </c>
      <c r="H105" s="31">
        <v>11128</v>
      </c>
      <c r="I105" s="31">
        <v>10833</v>
      </c>
      <c r="J105" s="31">
        <v>10679</v>
      </c>
      <c r="K105" s="31">
        <v>10853</v>
      </c>
      <c r="L105" s="31">
        <v>11026</v>
      </c>
      <c r="N105" s="370" t="s">
        <v>8453</v>
      </c>
      <c r="P105" s="4"/>
      <c r="R105" s="4"/>
    </row>
    <row r="106" spans="1:18">
      <c r="A106" s="370" t="s">
        <v>7025</v>
      </c>
      <c r="B106" s="370" t="s">
        <v>6694</v>
      </c>
      <c r="C106" s="4" t="s">
        <v>9212</v>
      </c>
      <c r="D106" s="383">
        <v>10281</v>
      </c>
      <c r="E106" s="383">
        <v>10189</v>
      </c>
      <c r="F106" s="383">
        <v>10080</v>
      </c>
      <c r="G106" s="383">
        <v>9811</v>
      </c>
      <c r="H106" s="31">
        <v>9741</v>
      </c>
      <c r="I106" s="31">
        <v>8893</v>
      </c>
      <c r="J106" s="31">
        <v>8756</v>
      </c>
      <c r="K106" s="31">
        <v>9116</v>
      </c>
      <c r="L106" s="31">
        <v>9407</v>
      </c>
      <c r="N106" s="370" t="s">
        <v>8453</v>
      </c>
      <c r="P106" s="4"/>
      <c r="R106" s="4"/>
    </row>
    <row r="107" spans="1:18">
      <c r="A107" s="370" t="s">
        <v>7570</v>
      </c>
      <c r="B107" s="370" t="s">
        <v>6597</v>
      </c>
      <c r="C107" s="4" t="s">
        <v>9213</v>
      </c>
      <c r="D107" s="374">
        <v>9483</v>
      </c>
      <c r="E107" s="374">
        <v>9289</v>
      </c>
      <c r="F107" s="374">
        <v>8968</v>
      </c>
      <c r="G107" s="374">
        <v>8953</v>
      </c>
      <c r="H107" s="30">
        <v>8943</v>
      </c>
      <c r="I107" s="30">
        <v>8563</v>
      </c>
      <c r="J107" s="30">
        <v>9174</v>
      </c>
      <c r="K107" s="30">
        <v>9848</v>
      </c>
      <c r="L107" s="30">
        <v>10069</v>
      </c>
      <c r="N107" s="370" t="s">
        <v>8451</v>
      </c>
      <c r="P107" s="4"/>
      <c r="R107" s="4"/>
    </row>
    <row r="108" spans="1:18">
      <c r="A108" s="370" t="s">
        <v>7572</v>
      </c>
      <c r="B108" s="370" t="s">
        <v>8572</v>
      </c>
      <c r="C108" s="4" t="s">
        <v>9214</v>
      </c>
      <c r="D108" s="374">
        <v>11155</v>
      </c>
      <c r="E108" s="374">
        <v>11047</v>
      </c>
      <c r="F108" s="374">
        <v>10793</v>
      </c>
      <c r="G108" s="374">
        <v>11078</v>
      </c>
      <c r="H108" s="30">
        <v>11327</v>
      </c>
      <c r="I108" s="30">
        <v>10469</v>
      </c>
      <c r="J108" s="30">
        <v>11460</v>
      </c>
      <c r="K108" s="30">
        <v>12529</v>
      </c>
      <c r="L108" s="30">
        <v>12983</v>
      </c>
      <c r="N108" s="370" t="s">
        <v>8451</v>
      </c>
      <c r="P108" s="4"/>
      <c r="R108" s="4"/>
    </row>
    <row r="109" spans="1:18">
      <c r="A109" s="370" t="s">
        <v>7573</v>
      </c>
      <c r="B109" s="370" t="s">
        <v>8836</v>
      </c>
      <c r="C109" s="4" t="s">
        <v>9215</v>
      </c>
      <c r="D109" s="374">
        <v>9634</v>
      </c>
      <c r="E109" s="374">
        <v>9579</v>
      </c>
      <c r="F109" s="374">
        <v>9523</v>
      </c>
      <c r="G109" s="374">
        <v>9476</v>
      </c>
      <c r="H109" s="30">
        <v>9358</v>
      </c>
      <c r="I109" s="30">
        <v>8625</v>
      </c>
      <c r="J109" s="30">
        <v>8990</v>
      </c>
      <c r="K109" s="30">
        <v>9334</v>
      </c>
      <c r="L109" s="30">
        <v>9409</v>
      </c>
      <c r="N109" s="370" t="s">
        <v>8451</v>
      </c>
      <c r="P109" s="4"/>
      <c r="R109" s="4"/>
    </row>
    <row r="110" spans="1:18">
      <c r="A110" s="370" t="s">
        <v>5798</v>
      </c>
      <c r="B110" s="370" t="s">
        <v>6695</v>
      </c>
      <c r="C110" s="4" t="s">
        <v>9216</v>
      </c>
      <c r="D110" s="374">
        <v>12592</v>
      </c>
      <c r="E110" s="374">
        <v>12631</v>
      </c>
      <c r="F110" s="374">
        <v>12616</v>
      </c>
      <c r="G110" s="374">
        <v>12692</v>
      </c>
      <c r="H110" s="30">
        <v>12808</v>
      </c>
      <c r="I110" s="30">
        <v>12436</v>
      </c>
      <c r="J110" s="30">
        <v>12523</v>
      </c>
      <c r="K110" s="30">
        <v>12855</v>
      </c>
      <c r="L110" s="30">
        <v>13087</v>
      </c>
      <c r="N110" s="370" t="s">
        <v>3869</v>
      </c>
      <c r="P110" s="4"/>
      <c r="R110" s="4"/>
    </row>
    <row r="111" spans="1:18">
      <c r="A111" s="370" t="s">
        <v>5799</v>
      </c>
      <c r="B111" s="370" t="s">
        <v>6696</v>
      </c>
      <c r="C111" s="4" t="s">
        <v>9217</v>
      </c>
      <c r="D111" s="374">
        <v>10291</v>
      </c>
      <c r="E111" s="374">
        <v>10262</v>
      </c>
      <c r="F111" s="374">
        <v>10296</v>
      </c>
      <c r="G111" s="374">
        <v>10400</v>
      </c>
      <c r="H111" s="31">
        <v>10145</v>
      </c>
      <c r="I111" s="31">
        <v>9682</v>
      </c>
      <c r="J111" s="31">
        <v>9675</v>
      </c>
      <c r="K111" s="31">
        <v>9819</v>
      </c>
      <c r="L111" s="31">
        <v>9956</v>
      </c>
      <c r="N111" s="370" t="s">
        <v>8454</v>
      </c>
      <c r="P111" s="4"/>
      <c r="R111" s="4"/>
    </row>
    <row r="112" spans="1:18">
      <c r="A112" s="370" t="s">
        <v>5801</v>
      </c>
      <c r="B112" s="370" t="s">
        <v>1200</v>
      </c>
      <c r="C112" s="4" t="s">
        <v>9218</v>
      </c>
      <c r="D112" s="374">
        <v>11200</v>
      </c>
      <c r="E112" s="374">
        <v>11198</v>
      </c>
      <c r="F112" s="374">
        <v>11242</v>
      </c>
      <c r="G112" s="374">
        <v>11250</v>
      </c>
      <c r="H112" s="31">
        <v>11251</v>
      </c>
      <c r="I112" s="31">
        <v>10859</v>
      </c>
      <c r="J112" s="31">
        <v>10761</v>
      </c>
      <c r="K112" s="31">
        <v>10885</v>
      </c>
      <c r="L112" s="31">
        <v>10937</v>
      </c>
      <c r="N112" s="370" t="s">
        <v>8452</v>
      </c>
      <c r="P112" s="4"/>
      <c r="R112" s="4"/>
    </row>
    <row r="113" spans="1:18">
      <c r="A113" s="370" t="s">
        <v>5927</v>
      </c>
      <c r="B113" s="370" t="s">
        <v>6697</v>
      </c>
      <c r="C113" s="4" t="s">
        <v>9219</v>
      </c>
      <c r="D113" s="374">
        <v>10357</v>
      </c>
      <c r="E113" s="374">
        <v>10172</v>
      </c>
      <c r="F113" s="374">
        <v>10002</v>
      </c>
      <c r="G113" s="374">
        <v>10014</v>
      </c>
      <c r="H113" s="31">
        <v>10129</v>
      </c>
      <c r="I113" s="31">
        <v>9916</v>
      </c>
      <c r="J113" s="31">
        <v>9973</v>
      </c>
      <c r="K113" s="31">
        <v>10240</v>
      </c>
      <c r="L113" s="31">
        <v>10339</v>
      </c>
      <c r="N113" s="370" t="s">
        <v>8453</v>
      </c>
      <c r="P113" s="4"/>
      <c r="R113" s="4"/>
    </row>
    <row r="114" spans="1:18">
      <c r="A114" s="370" t="s">
        <v>5929</v>
      </c>
      <c r="B114" s="370" t="s">
        <v>6698</v>
      </c>
      <c r="C114" s="4" t="s">
        <v>9220</v>
      </c>
      <c r="D114" s="374">
        <v>10932</v>
      </c>
      <c r="E114" s="374">
        <v>11033</v>
      </c>
      <c r="F114" s="374">
        <v>10994</v>
      </c>
      <c r="G114" s="374">
        <v>11061</v>
      </c>
      <c r="H114" s="31">
        <v>11083</v>
      </c>
      <c r="I114" s="31">
        <v>10909</v>
      </c>
      <c r="J114" s="31">
        <v>10895</v>
      </c>
      <c r="K114" s="31">
        <v>10881</v>
      </c>
      <c r="L114" s="31">
        <v>10952</v>
      </c>
      <c r="N114" s="370" t="s">
        <v>8454</v>
      </c>
      <c r="P114" s="4"/>
      <c r="R114" s="4"/>
    </row>
    <row r="115" spans="1:18">
      <c r="A115" s="370" t="s">
        <v>5931</v>
      </c>
      <c r="B115" s="370" t="s">
        <v>6699</v>
      </c>
      <c r="C115" s="4" t="s">
        <v>9221</v>
      </c>
      <c r="D115" s="374">
        <v>10437</v>
      </c>
      <c r="E115" s="374">
        <v>10380</v>
      </c>
      <c r="F115" s="374">
        <v>10378</v>
      </c>
      <c r="G115" s="374">
        <v>10387</v>
      </c>
      <c r="H115" s="30">
        <v>10461</v>
      </c>
      <c r="I115" s="30">
        <v>10293</v>
      </c>
      <c r="J115" s="30">
        <v>10197</v>
      </c>
      <c r="K115" s="30">
        <v>10351</v>
      </c>
      <c r="L115" s="30">
        <v>10491</v>
      </c>
      <c r="N115" s="370" t="s">
        <v>3869</v>
      </c>
      <c r="P115" s="4"/>
      <c r="R115" s="4"/>
    </row>
    <row r="116" spans="1:18">
      <c r="A116" s="370" t="s">
        <v>5933</v>
      </c>
      <c r="B116" s="370" t="s">
        <v>6700</v>
      </c>
      <c r="C116" s="4" t="s">
        <v>9222</v>
      </c>
      <c r="D116" s="374">
        <v>11299</v>
      </c>
      <c r="E116" s="374">
        <v>11231</v>
      </c>
      <c r="F116" s="374">
        <v>11125</v>
      </c>
      <c r="G116" s="374">
        <v>11279</v>
      </c>
      <c r="H116" s="31">
        <v>11564</v>
      </c>
      <c r="I116" s="31">
        <v>11262</v>
      </c>
      <c r="J116" s="31">
        <v>11275</v>
      </c>
      <c r="K116" s="31">
        <v>11502</v>
      </c>
      <c r="L116" s="31">
        <v>11515</v>
      </c>
      <c r="N116" s="370" t="s">
        <v>8454</v>
      </c>
      <c r="P116" s="4"/>
      <c r="R116" s="4"/>
    </row>
    <row r="117" spans="1:18">
      <c r="D117" s="374"/>
      <c r="E117" s="374"/>
      <c r="F117" s="374"/>
      <c r="G117" s="374"/>
      <c r="H117" s="374"/>
      <c r="I117" s="374"/>
      <c r="J117" s="374"/>
      <c r="K117" s="374"/>
      <c r="L117" s="374"/>
    </row>
    <row r="118" spans="1:18">
      <c r="A118" s="370" t="s">
        <v>6680</v>
      </c>
      <c r="D118" s="374">
        <f t="shared" ref="D118:I118" si="106">D87+D89+D95+D110+D115</f>
        <v>55805</v>
      </c>
      <c r="E118" s="374">
        <f t="shared" si="106"/>
        <v>56097</v>
      </c>
      <c r="F118" s="374">
        <f t="shared" si="106"/>
        <v>56489</v>
      </c>
      <c r="G118" s="374">
        <f t="shared" si="106"/>
        <v>56925</v>
      </c>
      <c r="H118" s="374">
        <f t="shared" si="106"/>
        <v>57269</v>
      </c>
      <c r="I118" s="374">
        <f t="shared" si="106"/>
        <v>56130</v>
      </c>
      <c r="J118" s="374">
        <f>J87+J89+J95+J110+J115</f>
        <v>56253</v>
      </c>
      <c r="K118" s="374">
        <f>K87+K89+K95+K110+K115</f>
        <v>57253</v>
      </c>
      <c r="L118" s="374">
        <f>L87+L89+L95+L110+L115</f>
        <v>57940</v>
      </c>
    </row>
    <row r="119" spans="1:18">
      <c r="A119" s="370" t="s">
        <v>8451</v>
      </c>
      <c r="D119" s="373">
        <f t="shared" ref="D119:I119" si="107">D90+D99+D101+D103+SUM(D107:D109)</f>
        <v>73310</v>
      </c>
      <c r="E119" s="373">
        <f t="shared" si="107"/>
        <v>73406</v>
      </c>
      <c r="F119" s="373">
        <f t="shared" si="107"/>
        <v>73891</v>
      </c>
      <c r="G119" s="373">
        <f t="shared" si="107"/>
        <v>73880</v>
      </c>
      <c r="H119" s="373">
        <f t="shared" si="107"/>
        <v>74602</v>
      </c>
      <c r="I119" s="373">
        <f t="shared" si="107"/>
        <v>63264</v>
      </c>
      <c r="J119" s="373">
        <f>J90+J99+J101+J103+SUM(J107:J109)</f>
        <v>67054</v>
      </c>
      <c r="K119" s="373">
        <f>K90+K99+K101+K103+SUM(K107:K109)</f>
        <v>70950</v>
      </c>
      <c r="L119" s="373">
        <f>L90+L99+L101+L103+SUM(L107:L109)</f>
        <v>69419</v>
      </c>
    </row>
    <row r="120" spans="1:18">
      <c r="A120" s="370" t="s">
        <v>8452</v>
      </c>
      <c r="D120" s="373">
        <f t="shared" ref="D120:I120" si="108">D88+D93+D94+D97+D98+D112</f>
        <v>62746</v>
      </c>
      <c r="E120" s="373">
        <f t="shared" si="108"/>
        <v>61974</v>
      </c>
      <c r="F120" s="373">
        <f t="shared" si="108"/>
        <v>61948</v>
      </c>
      <c r="G120" s="373">
        <f t="shared" si="108"/>
        <v>62328</v>
      </c>
      <c r="H120" s="373">
        <f t="shared" si="108"/>
        <v>62274</v>
      </c>
      <c r="I120" s="373">
        <f t="shared" si="108"/>
        <v>60078</v>
      </c>
      <c r="J120" s="373">
        <f t="shared" ref="J120:K120" si="109">J88+J93+J94+J97+J98+J112</f>
        <v>59917</v>
      </c>
      <c r="K120" s="373">
        <f t="shared" si="109"/>
        <v>60878</v>
      </c>
      <c r="L120" s="373">
        <f t="shared" ref="L120" si="110">L88+L93+L94+L97+L98+L112</f>
        <v>61318</v>
      </c>
    </row>
    <row r="121" spans="1:18">
      <c r="A121" s="370" t="s">
        <v>8453</v>
      </c>
      <c r="D121" s="373">
        <f t="shared" ref="D121:I121" si="111">D91+D92+D100+D105+D106+D113</f>
        <v>62112</v>
      </c>
      <c r="E121" s="373">
        <f t="shared" si="111"/>
        <v>61679</v>
      </c>
      <c r="F121" s="373">
        <f t="shared" si="111"/>
        <v>61404</v>
      </c>
      <c r="G121" s="373">
        <f t="shared" si="111"/>
        <v>61137</v>
      </c>
      <c r="H121" s="373">
        <f t="shared" si="111"/>
        <v>61334</v>
      </c>
      <c r="I121" s="373">
        <f t="shared" si="111"/>
        <v>58790</v>
      </c>
      <c r="J121" s="373">
        <f t="shared" ref="J121:K121" si="112">J91+J92+J100+J105+J106+J113</f>
        <v>58601</v>
      </c>
      <c r="K121" s="373">
        <f t="shared" si="112"/>
        <v>59901</v>
      </c>
      <c r="L121" s="373">
        <f t="shared" ref="L121" si="113">L91+L92+L100+L105+L106+L113</f>
        <v>60506</v>
      </c>
    </row>
    <row r="122" spans="1:18">
      <c r="A122" s="370" t="s">
        <v>8454</v>
      </c>
      <c r="D122" s="374">
        <f t="shared" ref="D122:I122" si="114">D96+D102+D104+D111+D114+D116</f>
        <v>63130</v>
      </c>
      <c r="E122" s="374">
        <f t="shared" si="114"/>
        <v>62709</v>
      </c>
      <c r="F122" s="374">
        <f t="shared" si="114"/>
        <v>62751</v>
      </c>
      <c r="G122" s="374">
        <f t="shared" si="114"/>
        <v>63315</v>
      </c>
      <c r="H122" s="374">
        <f t="shared" si="114"/>
        <v>63625</v>
      </c>
      <c r="I122" s="374">
        <f t="shared" si="114"/>
        <v>61699</v>
      </c>
      <c r="J122" s="374">
        <f>J96+J102+J104+J111+J114+J116</f>
        <v>62153</v>
      </c>
      <c r="K122" s="374">
        <f>K96+K102+K104+K111+K114+K116</f>
        <v>63378</v>
      </c>
      <c r="L122" s="374">
        <f>L96+L102+L104+L111+L114+L116</f>
        <v>64351</v>
      </c>
    </row>
    <row r="123" spans="1:18">
      <c r="A123" s="370"/>
      <c r="D123" s="373"/>
      <c r="E123" s="373"/>
      <c r="F123" s="373"/>
      <c r="G123" s="373"/>
      <c r="H123" s="373"/>
      <c r="I123" s="373"/>
      <c r="J123" s="373"/>
      <c r="K123" s="373"/>
      <c r="L123" s="373"/>
    </row>
    <row r="124" spans="1:18">
      <c r="A124" s="370" t="s">
        <v>6701</v>
      </c>
      <c r="D124" s="373"/>
      <c r="E124" s="373"/>
      <c r="F124" s="373"/>
      <c r="G124" s="373"/>
      <c r="H124" s="373"/>
      <c r="I124" s="373"/>
      <c r="J124" s="373"/>
      <c r="K124" s="373"/>
      <c r="L124" s="373"/>
    </row>
    <row r="125" spans="1:18">
      <c r="A125" s="370"/>
      <c r="B125" s="370"/>
      <c r="D125" s="382"/>
      <c r="E125" s="382"/>
      <c r="F125" s="382"/>
      <c r="G125" s="382"/>
      <c r="H125" s="382"/>
      <c r="I125" s="382"/>
      <c r="J125" s="382"/>
      <c r="K125" s="382"/>
      <c r="L125" s="382"/>
    </row>
    <row r="126" spans="1:18">
      <c r="A126" s="370"/>
      <c r="B126" s="370"/>
      <c r="D126" s="382"/>
      <c r="E126" s="382"/>
      <c r="F126" s="382"/>
      <c r="G126" s="382"/>
      <c r="H126" s="382"/>
      <c r="I126" s="382"/>
      <c r="J126" s="382"/>
      <c r="K126" s="382"/>
      <c r="L126" s="382"/>
    </row>
    <row r="127" spans="1:18">
      <c r="E127" s="42" t="s">
        <v>2303</v>
      </c>
      <c r="F127" s="42"/>
      <c r="G127" s="42"/>
      <c r="H127" s="42"/>
      <c r="I127" s="42"/>
      <c r="J127" s="42"/>
      <c r="K127" s="42"/>
      <c r="L127" s="42"/>
      <c r="M127" s="109"/>
      <c r="N127" s="109" t="s">
        <v>13319</v>
      </c>
    </row>
    <row r="128" spans="1:18">
      <c r="D128" s="110">
        <v>2010</v>
      </c>
      <c r="E128" s="110">
        <v>2011</v>
      </c>
      <c r="F128" s="110">
        <v>2012</v>
      </c>
      <c r="G128" s="110">
        <v>2013</v>
      </c>
      <c r="H128" s="110">
        <v>2014</v>
      </c>
      <c r="I128" s="110">
        <v>2015</v>
      </c>
      <c r="J128" s="110">
        <v>2016</v>
      </c>
      <c r="K128" s="110">
        <v>2017</v>
      </c>
      <c r="L128" s="110">
        <v>2018</v>
      </c>
      <c r="N128" s="112" t="s">
        <v>2304</v>
      </c>
    </row>
    <row r="129" spans="1:18">
      <c r="A129" s="370" t="s">
        <v>5852</v>
      </c>
      <c r="D129" s="373">
        <f t="shared" ref="D129:I129" si="115">SUM(D130:D145)</f>
        <v>138155</v>
      </c>
      <c r="E129" s="373">
        <f t="shared" si="115"/>
        <v>137767</v>
      </c>
      <c r="F129" s="373">
        <f t="shared" si="115"/>
        <v>137983</v>
      </c>
      <c r="G129" s="373">
        <f t="shared" si="115"/>
        <v>138632</v>
      </c>
      <c r="H129" s="373">
        <f t="shared" si="115"/>
        <v>135297</v>
      </c>
      <c r="I129" s="373">
        <f t="shared" si="115"/>
        <v>134182</v>
      </c>
      <c r="J129" s="373">
        <f t="shared" ref="J129:K129" si="116">SUM(J130:J145)</f>
        <v>130576</v>
      </c>
      <c r="K129" s="373">
        <f t="shared" si="116"/>
        <v>133835</v>
      </c>
      <c r="L129" s="373">
        <f t="shared" ref="L129" si="117">SUM(L130:L145)</f>
        <v>136412</v>
      </c>
    </row>
    <row r="130" spans="1:18">
      <c r="A130" s="370" t="s">
        <v>6957</v>
      </c>
      <c r="B130" s="370" t="s">
        <v>5853</v>
      </c>
      <c r="C130" s="4" t="s">
        <v>9223</v>
      </c>
      <c r="D130" s="374">
        <v>9065</v>
      </c>
      <c r="E130" s="374">
        <v>9070</v>
      </c>
      <c r="F130" s="374">
        <v>9044</v>
      </c>
      <c r="G130" s="374">
        <v>9006</v>
      </c>
      <c r="H130" s="30">
        <v>8908</v>
      </c>
      <c r="I130" s="30">
        <v>8816</v>
      </c>
      <c r="J130" s="30">
        <v>8503</v>
      </c>
      <c r="K130" s="30">
        <v>8667</v>
      </c>
      <c r="L130" s="30">
        <v>8762</v>
      </c>
      <c r="N130" s="370" t="s">
        <v>8455</v>
      </c>
      <c r="P130" s="4"/>
      <c r="R130" s="4"/>
    </row>
    <row r="131" spans="1:18">
      <c r="A131" s="370" t="s">
        <v>6959</v>
      </c>
      <c r="B131" s="370" t="s">
        <v>5389</v>
      </c>
      <c r="C131" s="4" t="s">
        <v>9224</v>
      </c>
      <c r="D131" s="374">
        <v>8598</v>
      </c>
      <c r="E131" s="374">
        <v>8492</v>
      </c>
      <c r="F131" s="374">
        <v>8493</v>
      </c>
      <c r="G131" s="374">
        <v>8492</v>
      </c>
      <c r="H131" s="30">
        <v>8308</v>
      </c>
      <c r="I131" s="30">
        <v>8174</v>
      </c>
      <c r="J131" s="30">
        <v>7946</v>
      </c>
      <c r="K131" s="30">
        <v>8041</v>
      </c>
      <c r="L131" s="30">
        <v>8089</v>
      </c>
      <c r="N131" s="370" t="s">
        <v>8455</v>
      </c>
      <c r="P131" s="4"/>
      <c r="R131" s="4"/>
    </row>
    <row r="132" spans="1:18">
      <c r="A132" s="370" t="s">
        <v>6961</v>
      </c>
      <c r="B132" s="370" t="s">
        <v>5854</v>
      </c>
      <c r="C132" s="4" t="s">
        <v>9225</v>
      </c>
      <c r="D132" s="374">
        <v>7568</v>
      </c>
      <c r="E132" s="374">
        <v>7636</v>
      </c>
      <c r="F132" s="374">
        <v>7666</v>
      </c>
      <c r="G132" s="374">
        <v>7684</v>
      </c>
      <c r="H132" s="30">
        <v>7502</v>
      </c>
      <c r="I132" s="30">
        <v>7434</v>
      </c>
      <c r="J132" s="30">
        <v>7201</v>
      </c>
      <c r="K132" s="30">
        <v>7409</v>
      </c>
      <c r="L132" s="30">
        <v>7584</v>
      </c>
      <c r="N132" s="370" t="s">
        <v>8457</v>
      </c>
      <c r="P132" s="4"/>
      <c r="R132" s="4"/>
    </row>
    <row r="133" spans="1:18">
      <c r="A133" s="370" t="s">
        <v>6963</v>
      </c>
      <c r="B133" s="370" t="s">
        <v>5855</v>
      </c>
      <c r="C133" s="4" t="s">
        <v>9226</v>
      </c>
      <c r="D133" s="374">
        <v>8126</v>
      </c>
      <c r="E133" s="374">
        <v>8168</v>
      </c>
      <c r="F133" s="374">
        <v>8301</v>
      </c>
      <c r="G133" s="374">
        <v>8348</v>
      </c>
      <c r="H133" s="30">
        <v>8179</v>
      </c>
      <c r="I133" s="30">
        <v>8107</v>
      </c>
      <c r="J133" s="30">
        <v>7806</v>
      </c>
      <c r="K133" s="30">
        <v>8076</v>
      </c>
      <c r="L133" s="30">
        <v>8319</v>
      </c>
      <c r="N133" s="370" t="s">
        <v>8455</v>
      </c>
      <c r="P133" s="4"/>
      <c r="R133" s="4"/>
    </row>
    <row r="134" spans="1:18">
      <c r="A134" s="370" t="s">
        <v>6965</v>
      </c>
      <c r="B134" s="370" t="s">
        <v>5856</v>
      </c>
      <c r="C134" s="4" t="s">
        <v>9227</v>
      </c>
      <c r="D134" s="374">
        <v>9404</v>
      </c>
      <c r="E134" s="374">
        <v>9375</v>
      </c>
      <c r="F134" s="374">
        <v>9348</v>
      </c>
      <c r="G134" s="374">
        <v>9398</v>
      </c>
      <c r="H134" s="30">
        <v>9303</v>
      </c>
      <c r="I134" s="30">
        <v>9249</v>
      </c>
      <c r="J134" s="30">
        <v>9127</v>
      </c>
      <c r="K134" s="30">
        <v>9299</v>
      </c>
      <c r="L134" s="30">
        <v>9457</v>
      </c>
      <c r="N134" s="370" t="s">
        <v>8457</v>
      </c>
      <c r="P134" s="4"/>
      <c r="R134" s="4"/>
    </row>
    <row r="135" spans="1:18">
      <c r="A135" s="370" t="s">
        <v>6997</v>
      </c>
      <c r="B135" s="370" t="s">
        <v>5628</v>
      </c>
      <c r="C135" s="4" t="s">
        <v>9228</v>
      </c>
      <c r="D135" s="374">
        <v>9115</v>
      </c>
      <c r="E135" s="374">
        <v>9138</v>
      </c>
      <c r="F135" s="374">
        <v>9140</v>
      </c>
      <c r="G135" s="374">
        <v>9138</v>
      </c>
      <c r="H135" s="30">
        <v>8991</v>
      </c>
      <c r="I135" s="30">
        <v>8921</v>
      </c>
      <c r="J135" s="30">
        <v>8637</v>
      </c>
      <c r="K135" s="30">
        <v>8837</v>
      </c>
      <c r="L135" s="30">
        <v>8946</v>
      </c>
      <c r="N135" s="370" t="s">
        <v>8455</v>
      </c>
      <c r="P135" s="4"/>
      <c r="R135" s="4"/>
    </row>
    <row r="136" spans="1:18">
      <c r="A136" s="370" t="s">
        <v>6999</v>
      </c>
      <c r="B136" s="370" t="s">
        <v>5629</v>
      </c>
      <c r="C136" s="4" t="s">
        <v>9229</v>
      </c>
      <c r="D136" s="374">
        <v>8727</v>
      </c>
      <c r="E136" s="374">
        <v>8678</v>
      </c>
      <c r="F136" s="374">
        <v>8708</v>
      </c>
      <c r="G136" s="374">
        <v>8670</v>
      </c>
      <c r="H136" s="30">
        <v>8474</v>
      </c>
      <c r="I136" s="30">
        <v>8397</v>
      </c>
      <c r="J136" s="30">
        <v>8285</v>
      </c>
      <c r="K136" s="30">
        <v>8477</v>
      </c>
      <c r="L136" s="30">
        <v>8655</v>
      </c>
      <c r="N136" s="370" t="s">
        <v>8455</v>
      </c>
      <c r="P136" s="4"/>
      <c r="R136" s="4"/>
    </row>
    <row r="137" spans="1:18">
      <c r="A137" s="370" t="s">
        <v>7001</v>
      </c>
      <c r="B137" s="370" t="s">
        <v>5630</v>
      </c>
      <c r="C137" s="4" t="s">
        <v>9230</v>
      </c>
      <c r="D137" s="374">
        <v>8610</v>
      </c>
      <c r="E137" s="374">
        <v>8575</v>
      </c>
      <c r="F137" s="374">
        <v>8688</v>
      </c>
      <c r="G137" s="374">
        <v>8824</v>
      </c>
      <c r="H137" s="30">
        <v>8718</v>
      </c>
      <c r="I137" s="30">
        <v>8726</v>
      </c>
      <c r="J137" s="30">
        <v>8608</v>
      </c>
      <c r="K137" s="30">
        <v>9145</v>
      </c>
      <c r="L137" s="30">
        <v>9395</v>
      </c>
      <c r="N137" s="370" t="s">
        <v>8455</v>
      </c>
      <c r="P137" s="4"/>
      <c r="R137" s="4"/>
    </row>
    <row r="138" spans="1:18">
      <c r="A138" s="370" t="s">
        <v>7003</v>
      </c>
      <c r="B138" s="370" t="s">
        <v>5631</v>
      </c>
      <c r="C138" s="4" t="s">
        <v>9231</v>
      </c>
      <c r="D138" s="383">
        <v>8701</v>
      </c>
      <c r="E138" s="383">
        <v>8706</v>
      </c>
      <c r="F138" s="383">
        <v>8729</v>
      </c>
      <c r="G138" s="383">
        <v>8764</v>
      </c>
      <c r="H138" s="30">
        <v>8460</v>
      </c>
      <c r="I138" s="30">
        <v>8381</v>
      </c>
      <c r="J138" s="30">
        <v>8038</v>
      </c>
      <c r="K138" s="30">
        <v>8225</v>
      </c>
      <c r="L138" s="30">
        <v>8459</v>
      </c>
      <c r="N138" s="370" t="s">
        <v>8455</v>
      </c>
      <c r="P138" s="4"/>
      <c r="R138" s="4"/>
    </row>
    <row r="139" spans="1:18">
      <c r="A139" s="370" t="s">
        <v>7005</v>
      </c>
      <c r="B139" s="370" t="s">
        <v>5632</v>
      </c>
      <c r="C139" s="4" t="s">
        <v>9232</v>
      </c>
      <c r="D139" s="374">
        <v>6779</v>
      </c>
      <c r="E139" s="374">
        <v>6721</v>
      </c>
      <c r="F139" s="374">
        <v>6749</v>
      </c>
      <c r="G139" s="374">
        <v>6752</v>
      </c>
      <c r="H139" s="30">
        <v>6603</v>
      </c>
      <c r="I139" s="30">
        <v>6585</v>
      </c>
      <c r="J139" s="30">
        <v>6498</v>
      </c>
      <c r="K139" s="30">
        <v>6627</v>
      </c>
      <c r="L139" s="30">
        <v>6681</v>
      </c>
      <c r="N139" s="370" t="s">
        <v>8455</v>
      </c>
      <c r="P139" s="4"/>
      <c r="R139" s="4"/>
    </row>
    <row r="140" spans="1:18">
      <c r="A140" s="370" t="s">
        <v>7007</v>
      </c>
      <c r="B140" s="370" t="s">
        <v>2215</v>
      </c>
      <c r="C140" s="4" t="s">
        <v>9233</v>
      </c>
      <c r="D140" s="374">
        <v>9209</v>
      </c>
      <c r="E140" s="374">
        <v>9118</v>
      </c>
      <c r="F140" s="374">
        <v>9026</v>
      </c>
      <c r="G140" s="374">
        <v>9124</v>
      </c>
      <c r="H140" s="30">
        <v>8999</v>
      </c>
      <c r="I140" s="30">
        <v>8843</v>
      </c>
      <c r="J140" s="30">
        <v>8724</v>
      </c>
      <c r="K140" s="30">
        <v>8909</v>
      </c>
      <c r="L140" s="30">
        <v>9033</v>
      </c>
      <c r="N140" s="370" t="s">
        <v>8457</v>
      </c>
      <c r="P140" s="4"/>
      <c r="R140" s="4"/>
    </row>
    <row r="141" spans="1:18">
      <c r="A141" s="370" t="s">
        <v>7009</v>
      </c>
      <c r="B141" s="370" t="s">
        <v>8811</v>
      </c>
      <c r="C141" s="4" t="s">
        <v>9234</v>
      </c>
      <c r="D141" s="374">
        <v>9209</v>
      </c>
      <c r="E141" s="374">
        <v>9185</v>
      </c>
      <c r="F141" s="374">
        <v>9150</v>
      </c>
      <c r="G141" s="374">
        <v>9174</v>
      </c>
      <c r="H141" s="30">
        <v>8835</v>
      </c>
      <c r="I141" s="30">
        <v>8789</v>
      </c>
      <c r="J141" s="30">
        <v>8618</v>
      </c>
      <c r="K141" s="30">
        <v>8741</v>
      </c>
      <c r="L141" s="30">
        <v>8889</v>
      </c>
      <c r="N141" s="370" t="s">
        <v>8457</v>
      </c>
      <c r="P141" s="4"/>
      <c r="R141" s="4"/>
    </row>
    <row r="142" spans="1:18">
      <c r="A142" s="370" t="s">
        <v>7011</v>
      </c>
      <c r="B142" s="370" t="s">
        <v>2216</v>
      </c>
      <c r="C142" s="4" t="s">
        <v>9235</v>
      </c>
      <c r="D142" s="374">
        <v>9486</v>
      </c>
      <c r="E142" s="374">
        <v>9550</v>
      </c>
      <c r="F142" s="374">
        <v>9629</v>
      </c>
      <c r="G142" s="374">
        <v>9729</v>
      </c>
      <c r="H142" s="30">
        <v>9511</v>
      </c>
      <c r="I142" s="30">
        <v>9450</v>
      </c>
      <c r="J142" s="30">
        <v>9153</v>
      </c>
      <c r="K142" s="30">
        <v>9448</v>
      </c>
      <c r="L142" s="30">
        <v>9732</v>
      </c>
      <c r="N142" s="370" t="s">
        <v>8457</v>
      </c>
      <c r="P142" s="4"/>
      <c r="R142" s="4"/>
    </row>
    <row r="143" spans="1:18">
      <c r="A143" s="370" t="s">
        <v>7013</v>
      </c>
      <c r="B143" s="370" t="s">
        <v>1366</v>
      </c>
      <c r="C143" s="4" t="s">
        <v>9236</v>
      </c>
      <c r="D143" s="374">
        <v>8360</v>
      </c>
      <c r="E143" s="374">
        <v>8220</v>
      </c>
      <c r="F143" s="374">
        <v>8217</v>
      </c>
      <c r="G143" s="374">
        <v>8313</v>
      </c>
      <c r="H143" s="30">
        <v>7763</v>
      </c>
      <c r="I143" s="30">
        <v>7666</v>
      </c>
      <c r="J143" s="30">
        <v>7249</v>
      </c>
      <c r="K143" s="30">
        <v>7385</v>
      </c>
      <c r="L143" s="30">
        <v>7654</v>
      </c>
      <c r="N143" s="370" t="s">
        <v>8457</v>
      </c>
      <c r="P143" s="4"/>
      <c r="R143" s="4"/>
    </row>
    <row r="144" spans="1:18">
      <c r="A144" s="370" t="s">
        <v>7015</v>
      </c>
      <c r="B144" s="370" t="s">
        <v>2217</v>
      </c>
      <c r="C144" s="4" t="s">
        <v>9237</v>
      </c>
      <c r="D144" s="374">
        <v>9053</v>
      </c>
      <c r="E144" s="374">
        <v>8995</v>
      </c>
      <c r="F144" s="374">
        <v>8912</v>
      </c>
      <c r="G144" s="374">
        <v>8990</v>
      </c>
      <c r="H144" s="31">
        <v>8695</v>
      </c>
      <c r="I144" s="31">
        <v>8677</v>
      </c>
      <c r="J144" s="31">
        <v>8444</v>
      </c>
      <c r="K144" s="31">
        <v>8742</v>
      </c>
      <c r="L144" s="31">
        <v>8858</v>
      </c>
      <c r="N144" s="370" t="s">
        <v>8457</v>
      </c>
      <c r="P144" s="4"/>
      <c r="R144" s="4"/>
    </row>
    <row r="145" spans="1:18">
      <c r="A145" s="370" t="s">
        <v>7017</v>
      </c>
      <c r="B145" s="370" t="s">
        <v>2218</v>
      </c>
      <c r="C145" s="4" t="s">
        <v>9238</v>
      </c>
      <c r="D145" s="383">
        <v>8145</v>
      </c>
      <c r="E145" s="383">
        <v>8140</v>
      </c>
      <c r="F145" s="383">
        <v>8183</v>
      </c>
      <c r="G145" s="383">
        <v>8226</v>
      </c>
      <c r="H145" s="30">
        <v>8048</v>
      </c>
      <c r="I145" s="30">
        <v>7967</v>
      </c>
      <c r="J145" s="30">
        <v>7739</v>
      </c>
      <c r="K145" s="30">
        <v>7807</v>
      </c>
      <c r="L145" s="30">
        <v>7899</v>
      </c>
      <c r="N145" s="370" t="s">
        <v>8455</v>
      </c>
      <c r="P145" s="4"/>
      <c r="R145" s="4"/>
    </row>
    <row r="146" spans="1:18">
      <c r="D146" s="374"/>
      <c r="E146" s="374"/>
      <c r="F146" s="374"/>
      <c r="G146" s="374"/>
      <c r="H146" s="374"/>
      <c r="I146" s="374"/>
      <c r="J146" s="374"/>
      <c r="K146" s="374"/>
      <c r="L146" s="374"/>
    </row>
    <row r="147" spans="1:18">
      <c r="A147" s="370" t="s">
        <v>8455</v>
      </c>
      <c r="D147" s="373">
        <f t="shared" ref="D147:I147" si="118">D130+D131+D133+SUM(D135:D139)+D145</f>
        <v>75866</v>
      </c>
      <c r="E147" s="373">
        <f t="shared" si="118"/>
        <v>75688</v>
      </c>
      <c r="F147" s="373">
        <f t="shared" si="118"/>
        <v>76035</v>
      </c>
      <c r="G147" s="373">
        <f t="shared" si="118"/>
        <v>76220</v>
      </c>
      <c r="H147" s="373">
        <f t="shared" si="118"/>
        <v>74689</v>
      </c>
      <c r="I147" s="373">
        <f t="shared" si="118"/>
        <v>74074</v>
      </c>
      <c r="J147" s="373">
        <f t="shared" ref="J147:K147" si="119">J130+J131+J133+SUM(J135:J139)+J145</f>
        <v>72060</v>
      </c>
      <c r="K147" s="373">
        <f t="shared" si="119"/>
        <v>73902</v>
      </c>
      <c r="L147" s="373">
        <f t="shared" ref="L147" si="120">L130+L131+L133+SUM(L135:L139)+L145</f>
        <v>75205</v>
      </c>
    </row>
    <row r="148" spans="1:18">
      <c r="A148" s="370" t="s">
        <v>6681</v>
      </c>
      <c r="D148" s="373">
        <f t="shared" ref="D148:I148" si="121">D132+D134+SUM(D140:D144)</f>
        <v>62289</v>
      </c>
      <c r="E148" s="373">
        <f t="shared" si="121"/>
        <v>62079</v>
      </c>
      <c r="F148" s="373">
        <f t="shared" si="121"/>
        <v>61948</v>
      </c>
      <c r="G148" s="373">
        <f t="shared" si="121"/>
        <v>62412</v>
      </c>
      <c r="H148" s="373">
        <f t="shared" si="121"/>
        <v>60608</v>
      </c>
      <c r="I148" s="373">
        <f t="shared" si="121"/>
        <v>60108</v>
      </c>
      <c r="J148" s="373">
        <f t="shared" ref="J148:K148" si="122">J132+J134+SUM(J140:J144)</f>
        <v>58516</v>
      </c>
      <c r="K148" s="373">
        <f t="shared" si="122"/>
        <v>59933</v>
      </c>
      <c r="L148" s="373">
        <f t="shared" ref="L148" si="123">L132+L134+SUM(L140:L144)</f>
        <v>61207</v>
      </c>
    </row>
    <row r="149" spans="1:18">
      <c r="A149" s="370"/>
      <c r="D149" s="373"/>
      <c r="E149" s="373"/>
      <c r="F149" s="373"/>
      <c r="G149" s="373"/>
      <c r="H149" s="373"/>
      <c r="I149" s="373"/>
      <c r="J149" s="373"/>
      <c r="K149" s="373"/>
      <c r="L149" s="373"/>
    </row>
    <row r="150" spans="1:18">
      <c r="A150" s="370" t="s">
        <v>2219</v>
      </c>
      <c r="D150" s="373"/>
      <c r="E150" s="373"/>
      <c r="F150" s="373"/>
      <c r="G150" s="373"/>
      <c r="H150" s="373"/>
      <c r="I150" s="373"/>
      <c r="J150" s="373"/>
      <c r="K150" s="373"/>
      <c r="L150" s="373"/>
    </row>
    <row r="151" spans="1:18">
      <c r="A151" s="370"/>
      <c r="B151" s="370"/>
      <c r="D151" s="382"/>
      <c r="E151" s="382"/>
      <c r="F151" s="382"/>
      <c r="G151" s="382"/>
      <c r="H151" s="382"/>
      <c r="I151" s="382"/>
      <c r="J151" s="382"/>
      <c r="K151" s="382"/>
      <c r="L151" s="382"/>
    </row>
    <row r="152" spans="1:18">
      <c r="A152" s="370"/>
      <c r="B152" s="370"/>
      <c r="D152" s="382"/>
      <c r="E152" s="382"/>
      <c r="F152" s="382"/>
      <c r="G152" s="382"/>
      <c r="H152" s="382"/>
      <c r="I152" s="382"/>
      <c r="J152" s="382"/>
      <c r="K152" s="382"/>
      <c r="L152" s="382"/>
    </row>
    <row r="153" spans="1:18">
      <c r="E153" s="42" t="s">
        <v>2303</v>
      </c>
      <c r="F153" s="42"/>
      <c r="G153" s="42"/>
      <c r="H153" s="42"/>
      <c r="I153" s="42"/>
      <c r="J153" s="42"/>
      <c r="K153" s="42"/>
      <c r="L153" s="42"/>
      <c r="M153" s="109"/>
      <c r="N153" s="109" t="s">
        <v>13319</v>
      </c>
    </row>
    <row r="154" spans="1:18">
      <c r="D154" s="110">
        <v>2010</v>
      </c>
      <c r="E154" s="110">
        <v>2011</v>
      </c>
      <c r="F154" s="110">
        <v>2012</v>
      </c>
      <c r="G154" s="110">
        <v>2013</v>
      </c>
      <c r="H154" s="110">
        <v>2014</v>
      </c>
      <c r="I154" s="110">
        <v>2015</v>
      </c>
      <c r="J154" s="110">
        <v>2016</v>
      </c>
      <c r="K154" s="110">
        <v>2017</v>
      </c>
      <c r="L154" s="110">
        <v>2018</v>
      </c>
      <c r="N154" s="112" t="s">
        <v>2304</v>
      </c>
    </row>
    <row r="155" spans="1:18">
      <c r="A155" s="370" t="s">
        <v>2220</v>
      </c>
      <c r="D155" s="373">
        <f t="shared" ref="D155:I155" si="124">SUM(D156:D168)+SUM(D169:D174)+SUM(D175:D177)</f>
        <v>207522</v>
      </c>
      <c r="E155" s="373">
        <f t="shared" si="124"/>
        <v>206323</v>
      </c>
      <c r="F155" s="373">
        <f t="shared" si="124"/>
        <v>204776</v>
      </c>
      <c r="G155" s="373">
        <f t="shared" si="124"/>
        <v>200718</v>
      </c>
      <c r="H155" s="373">
        <f t="shared" si="124"/>
        <v>203483</v>
      </c>
      <c r="I155" s="373">
        <f t="shared" si="124"/>
        <v>199765</v>
      </c>
      <c r="J155" s="373">
        <f t="shared" ref="J155:K155" si="125">SUM(J156:J168)+SUM(J169:J174)+SUM(J175:J177)</f>
        <v>198900</v>
      </c>
      <c r="K155" s="373">
        <f t="shared" si="125"/>
        <v>206451</v>
      </c>
      <c r="L155" s="373">
        <f t="shared" ref="L155" si="126">SUM(L156:L168)+SUM(L169:L174)+SUM(L175:L177)</f>
        <v>212684</v>
      </c>
    </row>
    <row r="156" spans="1:18">
      <c r="A156" s="370" t="s">
        <v>6957</v>
      </c>
      <c r="B156" s="370" t="s">
        <v>2221</v>
      </c>
      <c r="C156" s="4" t="s">
        <v>9239</v>
      </c>
      <c r="D156" s="374">
        <v>9708</v>
      </c>
      <c r="E156" s="374">
        <v>9626</v>
      </c>
      <c r="F156" s="374">
        <v>9576</v>
      </c>
      <c r="G156" s="374">
        <v>9460</v>
      </c>
      <c r="H156" s="31">
        <v>9539</v>
      </c>
      <c r="I156" s="31">
        <v>9513</v>
      </c>
      <c r="J156" s="31">
        <v>9540</v>
      </c>
      <c r="K156" s="31">
        <v>9905</v>
      </c>
      <c r="L156" s="31">
        <v>10086</v>
      </c>
      <c r="N156" s="370" t="s">
        <v>8459</v>
      </c>
      <c r="O156"/>
      <c r="P156" s="936"/>
      <c r="Q156" s="929"/>
      <c r="R156" s="4"/>
    </row>
    <row r="157" spans="1:18">
      <c r="A157" s="370" t="s">
        <v>6959</v>
      </c>
      <c r="B157" s="370" t="s">
        <v>2222</v>
      </c>
      <c r="C157" s="4" t="s">
        <v>9240</v>
      </c>
      <c r="D157" s="374">
        <v>9925</v>
      </c>
      <c r="E157" s="374">
        <v>9926</v>
      </c>
      <c r="F157" s="374">
        <v>9781</v>
      </c>
      <c r="G157" s="374">
        <v>9618</v>
      </c>
      <c r="H157" s="31">
        <v>9694</v>
      </c>
      <c r="I157" s="31">
        <v>9576</v>
      </c>
      <c r="J157" s="31">
        <v>9494</v>
      </c>
      <c r="K157" s="31">
        <v>9896</v>
      </c>
      <c r="L157" s="31">
        <v>10168</v>
      </c>
      <c r="N157" s="370" t="s">
        <v>8459</v>
      </c>
      <c r="O157"/>
      <c r="P157" s="936"/>
      <c r="Q157" s="929"/>
      <c r="R157" s="4"/>
    </row>
    <row r="158" spans="1:18">
      <c r="A158" s="370" t="s">
        <v>6961</v>
      </c>
      <c r="B158" s="370" t="s">
        <v>3927</v>
      </c>
      <c r="C158" s="4" t="s">
        <v>9241</v>
      </c>
      <c r="D158" s="374">
        <v>8842</v>
      </c>
      <c r="E158" s="374">
        <v>8910</v>
      </c>
      <c r="F158" s="374">
        <v>8923</v>
      </c>
      <c r="G158" s="374">
        <v>8810</v>
      </c>
      <c r="H158" s="30">
        <v>9064</v>
      </c>
      <c r="I158" s="30">
        <v>8889</v>
      </c>
      <c r="J158" s="30">
        <v>9004</v>
      </c>
      <c r="K158" s="30">
        <v>9280</v>
      </c>
      <c r="L158" s="30">
        <v>9496</v>
      </c>
      <c r="N158" s="370" t="s">
        <v>8458</v>
      </c>
      <c r="O158" s="933"/>
      <c r="P158" s="934"/>
      <c r="Q158" s="935"/>
      <c r="R158" s="4"/>
    </row>
    <row r="159" spans="1:18">
      <c r="A159" s="370" t="s">
        <v>6963</v>
      </c>
      <c r="B159" s="370" t="s">
        <v>3298</v>
      </c>
      <c r="C159" s="4" t="s">
        <v>9242</v>
      </c>
      <c r="D159" s="374">
        <v>9353</v>
      </c>
      <c r="E159" s="374">
        <v>9427</v>
      </c>
      <c r="F159" s="374">
        <v>9310</v>
      </c>
      <c r="G159" s="374">
        <v>9069</v>
      </c>
      <c r="H159" s="31">
        <v>9163</v>
      </c>
      <c r="I159" s="31">
        <v>8971</v>
      </c>
      <c r="J159" s="31">
        <v>8945</v>
      </c>
      <c r="K159" s="31">
        <v>9538</v>
      </c>
      <c r="L159" s="31">
        <v>9909</v>
      </c>
      <c r="N159" s="370" t="s">
        <v>8459</v>
      </c>
      <c r="O159"/>
      <c r="P159" s="936"/>
      <c r="Q159" s="929"/>
      <c r="R159" s="4"/>
    </row>
    <row r="160" spans="1:18">
      <c r="A160" s="370" t="s">
        <v>6965</v>
      </c>
      <c r="B160" s="370" t="s">
        <v>2425</v>
      </c>
      <c r="C160" s="4" t="s">
        <v>9243</v>
      </c>
      <c r="D160" s="374">
        <v>8934</v>
      </c>
      <c r="E160" s="374">
        <v>8897</v>
      </c>
      <c r="F160" s="374">
        <v>8751</v>
      </c>
      <c r="G160" s="374">
        <v>8461</v>
      </c>
      <c r="H160" s="30">
        <v>8705</v>
      </c>
      <c r="I160" s="30">
        <v>8480</v>
      </c>
      <c r="J160" s="30">
        <v>8550</v>
      </c>
      <c r="K160" s="30">
        <v>8895</v>
      </c>
      <c r="L160" s="30">
        <v>9197</v>
      </c>
      <c r="N160" s="370" t="s">
        <v>3867</v>
      </c>
      <c r="O160" s="933"/>
      <c r="P160" s="934"/>
      <c r="Q160" s="935"/>
      <c r="R160" s="4"/>
    </row>
    <row r="161" spans="1:18">
      <c r="A161" s="370" t="s">
        <v>6997</v>
      </c>
      <c r="B161" s="370" t="s">
        <v>3976</v>
      </c>
      <c r="C161" s="4" t="s">
        <v>9244</v>
      </c>
      <c r="D161" s="374">
        <v>9294</v>
      </c>
      <c r="E161" s="374">
        <v>9125</v>
      </c>
      <c r="F161" s="374">
        <v>9049</v>
      </c>
      <c r="G161" s="374">
        <v>8465</v>
      </c>
      <c r="H161" s="30">
        <v>8572</v>
      </c>
      <c r="I161" s="30">
        <v>8211</v>
      </c>
      <c r="J161" s="30">
        <v>8174</v>
      </c>
      <c r="K161" s="30">
        <v>8581</v>
      </c>
      <c r="L161" s="30">
        <v>8944</v>
      </c>
      <c r="N161" s="370" t="s">
        <v>3867</v>
      </c>
      <c r="O161" s="933"/>
      <c r="P161" s="934"/>
      <c r="Q161" s="935"/>
      <c r="R161" s="4"/>
    </row>
    <row r="162" spans="1:18">
      <c r="A162" s="370" t="s">
        <v>6999</v>
      </c>
      <c r="B162" s="370" t="s">
        <v>1952</v>
      </c>
      <c r="C162" s="4" t="s">
        <v>9245</v>
      </c>
      <c r="D162" s="374">
        <v>9543</v>
      </c>
      <c r="E162" s="374">
        <v>9730</v>
      </c>
      <c r="F162" s="374">
        <v>9658</v>
      </c>
      <c r="G162" s="374">
        <v>9532</v>
      </c>
      <c r="H162" s="31">
        <v>9579</v>
      </c>
      <c r="I162" s="31">
        <v>9297</v>
      </c>
      <c r="J162" s="31">
        <v>9181</v>
      </c>
      <c r="K162" s="31">
        <v>9760</v>
      </c>
      <c r="L162" s="31">
        <v>10037</v>
      </c>
      <c r="N162" s="370" t="s">
        <v>8459</v>
      </c>
      <c r="O162"/>
      <c r="P162" s="936"/>
      <c r="Q162" s="929"/>
      <c r="R162" s="4"/>
    </row>
    <row r="163" spans="1:18">
      <c r="A163" s="370" t="s">
        <v>7001</v>
      </c>
      <c r="B163" s="370" t="s">
        <v>3928</v>
      </c>
      <c r="C163" s="4" t="s">
        <v>9246</v>
      </c>
      <c r="D163" s="374">
        <v>9167</v>
      </c>
      <c r="E163" s="374">
        <v>8985</v>
      </c>
      <c r="F163" s="374">
        <v>8927</v>
      </c>
      <c r="G163" s="374">
        <v>8745</v>
      </c>
      <c r="H163" s="30">
        <v>8847</v>
      </c>
      <c r="I163" s="30">
        <v>8675</v>
      </c>
      <c r="J163" s="30">
        <v>8599</v>
      </c>
      <c r="K163" s="30">
        <v>8881</v>
      </c>
      <c r="L163" s="30">
        <v>9218</v>
      </c>
      <c r="N163" s="370" t="s">
        <v>3867</v>
      </c>
      <c r="O163" s="933"/>
      <c r="P163" s="934"/>
      <c r="Q163" s="935"/>
      <c r="R163" s="4"/>
    </row>
    <row r="164" spans="1:18">
      <c r="A164" s="370" t="s">
        <v>7003</v>
      </c>
      <c r="B164" s="370" t="s">
        <v>3929</v>
      </c>
      <c r="C164" s="4" t="s">
        <v>9247</v>
      </c>
      <c r="D164" s="374">
        <v>9751</v>
      </c>
      <c r="E164" s="374">
        <v>9752</v>
      </c>
      <c r="F164" s="374">
        <v>9680</v>
      </c>
      <c r="G164" s="374">
        <v>9638</v>
      </c>
      <c r="H164" s="30">
        <v>9649</v>
      </c>
      <c r="I164" s="30">
        <v>9545</v>
      </c>
      <c r="J164" s="30">
        <v>9560</v>
      </c>
      <c r="K164" s="30">
        <v>9825</v>
      </c>
      <c r="L164" s="30">
        <v>9986</v>
      </c>
      <c r="N164" s="370" t="s">
        <v>8458</v>
      </c>
      <c r="O164" s="933"/>
      <c r="P164" s="934"/>
      <c r="Q164" s="935"/>
      <c r="R164" s="4"/>
    </row>
    <row r="165" spans="1:18">
      <c r="A165" s="370" t="s">
        <v>7005</v>
      </c>
      <c r="B165" s="370" t="s">
        <v>1913</v>
      </c>
      <c r="C165" s="4" t="s">
        <v>9248</v>
      </c>
      <c r="D165" s="374">
        <v>9203</v>
      </c>
      <c r="E165" s="374">
        <v>9206</v>
      </c>
      <c r="F165" s="374">
        <v>9214</v>
      </c>
      <c r="G165" s="374">
        <v>9113</v>
      </c>
      <c r="H165" s="31">
        <v>9279</v>
      </c>
      <c r="I165" s="31">
        <v>9087</v>
      </c>
      <c r="J165" s="31">
        <v>8901</v>
      </c>
      <c r="K165" s="31">
        <v>9263</v>
      </c>
      <c r="L165" s="31">
        <v>9576</v>
      </c>
      <c r="N165" s="370" t="s">
        <v>8459</v>
      </c>
      <c r="O165"/>
      <c r="P165" s="936"/>
      <c r="Q165" s="929"/>
      <c r="R165" s="4"/>
    </row>
    <row r="166" spans="1:18">
      <c r="A166" s="370" t="s">
        <v>7007</v>
      </c>
      <c r="B166" s="370" t="s">
        <v>5350</v>
      </c>
      <c r="C166" s="4" t="s">
        <v>9249</v>
      </c>
      <c r="D166" s="374">
        <v>8088</v>
      </c>
      <c r="E166" s="374">
        <v>7897</v>
      </c>
      <c r="F166" s="374">
        <v>7872</v>
      </c>
      <c r="G166" s="374">
        <v>7467</v>
      </c>
      <c r="H166" s="30">
        <v>7873</v>
      </c>
      <c r="I166" s="30">
        <v>7528</v>
      </c>
      <c r="J166" s="30">
        <v>7423</v>
      </c>
      <c r="K166" s="30">
        <v>7878</v>
      </c>
      <c r="L166" s="30">
        <v>8376</v>
      </c>
      <c r="N166" s="370" t="s">
        <v>3867</v>
      </c>
      <c r="O166" s="933"/>
      <c r="P166" s="934"/>
      <c r="Q166" s="935"/>
      <c r="R166" s="4"/>
    </row>
    <row r="167" spans="1:18">
      <c r="A167" s="370" t="s">
        <v>7009</v>
      </c>
      <c r="B167" s="370" t="s">
        <v>3930</v>
      </c>
      <c r="C167" s="4" t="s">
        <v>9250</v>
      </c>
      <c r="D167" s="374">
        <v>8488</v>
      </c>
      <c r="E167" s="374">
        <v>8307</v>
      </c>
      <c r="F167" s="374">
        <v>8279</v>
      </c>
      <c r="G167" s="374">
        <v>8059</v>
      </c>
      <c r="H167" s="30">
        <v>8137</v>
      </c>
      <c r="I167" s="30">
        <v>7922</v>
      </c>
      <c r="J167" s="30">
        <v>7977</v>
      </c>
      <c r="K167" s="30">
        <v>8388</v>
      </c>
      <c r="L167" s="30">
        <v>8775</v>
      </c>
      <c r="N167" s="370" t="s">
        <v>3867</v>
      </c>
      <c r="O167" s="933"/>
      <c r="P167" s="934"/>
      <c r="Q167" s="935"/>
      <c r="R167" s="4"/>
    </row>
    <row r="168" spans="1:18">
      <c r="A168" s="370" t="s">
        <v>7011</v>
      </c>
      <c r="B168" s="370" t="s">
        <v>7605</v>
      </c>
      <c r="C168" s="4" t="s">
        <v>9251</v>
      </c>
      <c r="D168" s="374">
        <v>9836</v>
      </c>
      <c r="E168" s="374">
        <v>9825</v>
      </c>
      <c r="F168" s="374">
        <v>9833</v>
      </c>
      <c r="G168" s="374">
        <v>9609</v>
      </c>
      <c r="H168" s="30">
        <v>9806</v>
      </c>
      <c r="I168" s="30">
        <v>9659</v>
      </c>
      <c r="J168" s="30">
        <v>9574</v>
      </c>
      <c r="K168" s="30">
        <v>9775</v>
      </c>
      <c r="L168" s="30">
        <v>10035</v>
      </c>
      <c r="N168" s="370" t="s">
        <v>8458</v>
      </c>
      <c r="O168" s="933"/>
      <c r="P168" s="934"/>
      <c r="Q168" s="935"/>
      <c r="R168" s="4"/>
    </row>
    <row r="169" spans="1:18">
      <c r="A169" s="370" t="s">
        <v>7013</v>
      </c>
      <c r="B169" s="370" t="s">
        <v>2240</v>
      </c>
      <c r="C169" s="4" t="s">
        <v>9252</v>
      </c>
      <c r="D169" s="374">
        <v>9864</v>
      </c>
      <c r="E169" s="374">
        <v>9785</v>
      </c>
      <c r="F169" s="374">
        <v>9687</v>
      </c>
      <c r="G169" s="374">
        <v>9597</v>
      </c>
      <c r="H169" s="31">
        <v>9635</v>
      </c>
      <c r="I169" s="31">
        <v>9509</v>
      </c>
      <c r="J169" s="31">
        <v>9528</v>
      </c>
      <c r="K169" s="31">
        <v>9847</v>
      </c>
      <c r="L169" s="31">
        <v>10057</v>
      </c>
      <c r="N169" s="370" t="s">
        <v>8459</v>
      </c>
      <c r="O169"/>
      <c r="P169" s="936"/>
      <c r="Q169" s="929"/>
      <c r="R169" s="4"/>
    </row>
    <row r="170" spans="1:18">
      <c r="A170" s="370" t="s">
        <v>7015</v>
      </c>
      <c r="B170" s="370" t="s">
        <v>2241</v>
      </c>
      <c r="C170" s="4" t="s">
        <v>9253</v>
      </c>
      <c r="D170" s="374">
        <v>10124</v>
      </c>
      <c r="E170" s="374">
        <v>10061</v>
      </c>
      <c r="F170" s="374">
        <v>9847</v>
      </c>
      <c r="G170" s="374">
        <v>9790</v>
      </c>
      <c r="H170" s="30">
        <v>9945</v>
      </c>
      <c r="I170" s="30">
        <v>9799</v>
      </c>
      <c r="J170" s="30">
        <v>9766</v>
      </c>
      <c r="K170" s="30">
        <v>10004</v>
      </c>
      <c r="L170" s="30">
        <v>10215</v>
      </c>
      <c r="N170" s="370" t="s">
        <v>8458</v>
      </c>
      <c r="O170" s="933"/>
      <c r="P170" s="934"/>
      <c r="Q170" s="935"/>
      <c r="R170" s="4"/>
    </row>
    <row r="171" spans="1:18">
      <c r="A171" s="370" t="s">
        <v>7017</v>
      </c>
      <c r="B171" s="370" t="s">
        <v>2242</v>
      </c>
      <c r="C171" s="4" t="s">
        <v>9254</v>
      </c>
      <c r="D171" s="374">
        <v>9075</v>
      </c>
      <c r="E171" s="374">
        <v>8807</v>
      </c>
      <c r="F171" s="374">
        <v>8840</v>
      </c>
      <c r="G171" s="374">
        <v>8664</v>
      </c>
      <c r="H171" s="30">
        <v>8994</v>
      </c>
      <c r="I171" s="30">
        <v>8869</v>
      </c>
      <c r="J171" s="30">
        <v>8847</v>
      </c>
      <c r="K171" s="30">
        <v>9119</v>
      </c>
      <c r="L171" s="30">
        <v>9554</v>
      </c>
      <c r="N171" s="370" t="s">
        <v>3867</v>
      </c>
      <c r="O171" s="933"/>
      <c r="P171" s="934"/>
      <c r="Q171" s="935"/>
      <c r="R171" s="4"/>
    </row>
    <row r="172" spans="1:18">
      <c r="A172" s="370" t="s">
        <v>7019</v>
      </c>
      <c r="B172" s="370" t="s">
        <v>2243</v>
      </c>
      <c r="C172" s="4" t="s">
        <v>9255</v>
      </c>
      <c r="D172" s="374">
        <v>10165</v>
      </c>
      <c r="E172" s="374">
        <v>10103</v>
      </c>
      <c r="F172" s="374">
        <v>10058</v>
      </c>
      <c r="G172" s="374">
        <v>9739</v>
      </c>
      <c r="H172" s="31">
        <v>9845</v>
      </c>
      <c r="I172" s="31">
        <v>9665</v>
      </c>
      <c r="J172" s="31">
        <v>9492</v>
      </c>
      <c r="K172" s="31">
        <v>9909</v>
      </c>
      <c r="L172" s="31">
        <v>10138</v>
      </c>
      <c r="N172" s="370" t="s">
        <v>8459</v>
      </c>
      <c r="O172"/>
      <c r="P172" s="936"/>
      <c r="Q172" s="929"/>
      <c r="R172" s="4"/>
    </row>
    <row r="173" spans="1:18">
      <c r="A173" s="370" t="s">
        <v>7021</v>
      </c>
      <c r="B173" s="370" t="s">
        <v>2442</v>
      </c>
      <c r="C173" s="4" t="s">
        <v>9256</v>
      </c>
      <c r="D173" s="383">
        <v>9703</v>
      </c>
      <c r="E173" s="383">
        <v>9702</v>
      </c>
      <c r="F173" s="383">
        <v>9615</v>
      </c>
      <c r="G173" s="383">
        <v>9554</v>
      </c>
      <c r="H173" s="30">
        <v>9613</v>
      </c>
      <c r="I173" s="30">
        <v>9511</v>
      </c>
      <c r="J173" s="30">
        <v>9456</v>
      </c>
      <c r="K173" s="30">
        <v>9695</v>
      </c>
      <c r="L173" s="30">
        <v>9853</v>
      </c>
      <c r="N173" s="370" t="s">
        <v>8458</v>
      </c>
      <c r="O173" s="933"/>
      <c r="P173" s="934"/>
      <c r="Q173" s="935"/>
      <c r="R173" s="4"/>
    </row>
    <row r="174" spans="1:18">
      <c r="A174" s="370" t="s">
        <v>7023</v>
      </c>
      <c r="B174" s="370" t="s">
        <v>2244</v>
      </c>
      <c r="C174" s="4" t="s">
        <v>9257</v>
      </c>
      <c r="D174" s="374">
        <v>9388</v>
      </c>
      <c r="E174" s="374">
        <v>9412</v>
      </c>
      <c r="F174" s="374">
        <v>9294</v>
      </c>
      <c r="G174" s="374">
        <v>9236</v>
      </c>
      <c r="H174" s="30">
        <v>9258</v>
      </c>
      <c r="I174" s="30">
        <v>9181</v>
      </c>
      <c r="J174" s="30">
        <v>9162</v>
      </c>
      <c r="K174" s="30">
        <v>9435</v>
      </c>
      <c r="L174" s="30">
        <v>9704</v>
      </c>
      <c r="N174" s="370" t="s">
        <v>8458</v>
      </c>
      <c r="O174" s="933"/>
      <c r="P174" s="934"/>
      <c r="Q174" s="935"/>
      <c r="R174" s="4"/>
    </row>
    <row r="175" spans="1:18">
      <c r="A175" s="370" t="s">
        <v>7025</v>
      </c>
      <c r="B175" s="370" t="s">
        <v>8083</v>
      </c>
      <c r="C175" s="4" t="s">
        <v>9258</v>
      </c>
      <c r="D175" s="374">
        <v>8695</v>
      </c>
      <c r="E175" s="374">
        <v>8554</v>
      </c>
      <c r="F175" s="374">
        <v>8452</v>
      </c>
      <c r="G175" s="374">
        <v>8213</v>
      </c>
      <c r="H175" s="30">
        <v>8176</v>
      </c>
      <c r="I175" s="30">
        <v>7937</v>
      </c>
      <c r="J175" s="30">
        <v>7871</v>
      </c>
      <c r="K175" s="30">
        <v>8119</v>
      </c>
      <c r="L175" s="30">
        <v>8400</v>
      </c>
      <c r="N175" s="370" t="s">
        <v>3867</v>
      </c>
      <c r="O175" s="933"/>
      <c r="P175" s="934"/>
      <c r="Q175" s="935"/>
      <c r="R175" s="4"/>
    </row>
    <row r="176" spans="1:18">
      <c r="A176" s="370" t="s">
        <v>7570</v>
      </c>
      <c r="B176" s="370" t="s">
        <v>3650</v>
      </c>
      <c r="C176" s="4" t="s">
        <v>9259</v>
      </c>
      <c r="D176" s="374">
        <v>10122</v>
      </c>
      <c r="E176" s="374">
        <v>10034</v>
      </c>
      <c r="F176" s="374">
        <v>9997</v>
      </c>
      <c r="G176" s="374">
        <v>9928</v>
      </c>
      <c r="H176" s="30">
        <v>9957</v>
      </c>
      <c r="I176" s="30">
        <v>9802</v>
      </c>
      <c r="J176" s="30">
        <v>9686</v>
      </c>
      <c r="K176" s="30">
        <v>9947</v>
      </c>
      <c r="L176" s="30">
        <v>10139</v>
      </c>
      <c r="N176" s="370" t="s">
        <v>8458</v>
      </c>
      <c r="O176" s="933"/>
      <c r="P176" s="934"/>
      <c r="Q176" s="935"/>
      <c r="R176" s="4"/>
    </row>
    <row r="177" spans="1:18">
      <c r="A177" s="370" t="s">
        <v>7572</v>
      </c>
      <c r="B177" s="370" t="s">
        <v>5932</v>
      </c>
      <c r="C177" s="4" t="s">
        <v>9260</v>
      </c>
      <c r="D177" s="374">
        <v>10254</v>
      </c>
      <c r="E177" s="374">
        <v>10252</v>
      </c>
      <c r="F177" s="374">
        <v>10133</v>
      </c>
      <c r="G177" s="374">
        <v>9951</v>
      </c>
      <c r="H177" s="30">
        <v>10153</v>
      </c>
      <c r="I177" s="30">
        <v>10139</v>
      </c>
      <c r="J177" s="30">
        <v>10170</v>
      </c>
      <c r="K177" s="30">
        <v>10511</v>
      </c>
      <c r="L177" s="30">
        <v>10821</v>
      </c>
      <c r="N177" s="370" t="s">
        <v>3867</v>
      </c>
      <c r="O177" s="933"/>
      <c r="P177" s="934"/>
      <c r="Q177" s="935"/>
      <c r="R177" s="4"/>
    </row>
    <row r="178" spans="1:18">
      <c r="A178" s="370"/>
    </row>
    <row r="179" spans="1:18">
      <c r="A179" s="370" t="s">
        <v>3867</v>
      </c>
      <c r="D179" s="373">
        <f t="shared" ref="D179:I179" si="127">D160+D161+D163+D166+D167+D171+D175+D177</f>
        <v>71995</v>
      </c>
      <c r="E179" s="373">
        <f t="shared" si="127"/>
        <v>70824</v>
      </c>
      <c r="F179" s="373">
        <f t="shared" si="127"/>
        <v>70303</v>
      </c>
      <c r="G179" s="373">
        <f t="shared" si="127"/>
        <v>68025</v>
      </c>
      <c r="H179" s="373">
        <f t="shared" si="127"/>
        <v>69457</v>
      </c>
      <c r="I179" s="373">
        <f t="shared" si="127"/>
        <v>67761</v>
      </c>
      <c r="J179" s="373">
        <f t="shared" ref="J179:K179" si="128">J160+J161+J163+J166+J167+J171+J175+J177</f>
        <v>67611</v>
      </c>
      <c r="K179" s="373">
        <f t="shared" si="128"/>
        <v>70372</v>
      </c>
      <c r="L179" s="373">
        <f t="shared" ref="L179" si="129">L160+L161+L163+L166+L167+L171+L175+L177</f>
        <v>73285</v>
      </c>
    </row>
    <row r="180" spans="1:18">
      <c r="A180" s="370" t="s">
        <v>8458</v>
      </c>
      <c r="D180" s="373">
        <f t="shared" ref="D180:I180" si="130">D158+D164+D168+D170+D173+D174+D176</f>
        <v>67766</v>
      </c>
      <c r="E180" s="373">
        <f t="shared" si="130"/>
        <v>67696</v>
      </c>
      <c r="F180" s="373">
        <f t="shared" si="130"/>
        <v>67189</v>
      </c>
      <c r="G180" s="373">
        <f t="shared" si="130"/>
        <v>66565</v>
      </c>
      <c r="H180" s="373">
        <f t="shared" si="130"/>
        <v>67292</v>
      </c>
      <c r="I180" s="373">
        <f t="shared" si="130"/>
        <v>66386</v>
      </c>
      <c r="J180" s="373">
        <f t="shared" ref="J180:K180" si="131">J158+J164+J168+J170+J173+J174+J176</f>
        <v>66208</v>
      </c>
      <c r="K180" s="373">
        <f t="shared" si="131"/>
        <v>67961</v>
      </c>
      <c r="L180" s="373">
        <f t="shared" ref="L180" si="132">L158+L164+L168+L170+L173+L174+L176</f>
        <v>69428</v>
      </c>
    </row>
    <row r="181" spans="1:18">
      <c r="A181" s="370" t="s">
        <v>8459</v>
      </c>
      <c r="D181" s="373">
        <f t="shared" ref="D181:I181" si="133">D156+D157+D159+D162+D165+D169+D172</f>
        <v>67761</v>
      </c>
      <c r="E181" s="373">
        <f t="shared" si="133"/>
        <v>67803</v>
      </c>
      <c r="F181" s="373">
        <f t="shared" si="133"/>
        <v>67284</v>
      </c>
      <c r="G181" s="373">
        <f t="shared" si="133"/>
        <v>66128</v>
      </c>
      <c r="H181" s="373">
        <f t="shared" si="133"/>
        <v>66734</v>
      </c>
      <c r="I181" s="373">
        <f t="shared" si="133"/>
        <v>65618</v>
      </c>
      <c r="J181" s="373">
        <f t="shared" ref="J181:K181" si="134">J156+J157+J159+J162+J165+J169+J172</f>
        <v>65081</v>
      </c>
      <c r="K181" s="373">
        <f t="shared" si="134"/>
        <v>68118</v>
      </c>
      <c r="L181" s="373">
        <f t="shared" ref="L181" si="135">L156+L157+L159+L162+L165+L169+L172</f>
        <v>69971</v>
      </c>
    </row>
    <row r="183" spans="1:18">
      <c r="A183" s="371" t="s">
        <v>3940</v>
      </c>
    </row>
    <row r="186" spans="1:18">
      <c r="E186" s="42" t="s">
        <v>2303</v>
      </c>
      <c r="F186" s="42"/>
      <c r="G186" s="42"/>
      <c r="H186" s="42"/>
      <c r="I186" s="42"/>
      <c r="J186" s="42"/>
      <c r="K186" s="42"/>
      <c r="L186" s="42"/>
      <c r="M186" s="109"/>
      <c r="N186" s="109" t="s">
        <v>13319</v>
      </c>
    </row>
    <row r="187" spans="1:18">
      <c r="D187" s="110">
        <v>2010</v>
      </c>
      <c r="E187" s="110">
        <v>2011</v>
      </c>
      <c r="F187" s="110">
        <v>2012</v>
      </c>
      <c r="G187" s="110">
        <v>2013</v>
      </c>
      <c r="H187" s="110">
        <v>2014</v>
      </c>
      <c r="I187" s="110">
        <v>2015</v>
      </c>
      <c r="J187" s="110">
        <v>2016</v>
      </c>
      <c r="K187" s="110">
        <v>2017</v>
      </c>
      <c r="L187" s="110">
        <v>2018</v>
      </c>
      <c r="N187" s="112" t="s">
        <v>2304</v>
      </c>
    </row>
    <row r="188" spans="1:18">
      <c r="A188" s="370" t="s">
        <v>3941</v>
      </c>
      <c r="D188" s="373">
        <f t="shared" ref="D188:I188" si="136">SUM(D189:D210)</f>
        <v>240390</v>
      </c>
      <c r="E188" s="373">
        <f t="shared" si="136"/>
        <v>239479</v>
      </c>
      <c r="F188" s="373">
        <f t="shared" si="136"/>
        <v>237847</v>
      </c>
      <c r="G188" s="373">
        <f t="shared" si="136"/>
        <v>239388</v>
      </c>
      <c r="H188" s="373">
        <f t="shared" si="136"/>
        <v>238979</v>
      </c>
      <c r="I188" s="373">
        <f t="shared" si="136"/>
        <v>233652</v>
      </c>
      <c r="J188" s="373">
        <f t="shared" ref="J188:K188" si="137">SUM(J189:J210)</f>
        <v>234989</v>
      </c>
      <c r="K188" s="373">
        <f t="shared" si="137"/>
        <v>239650</v>
      </c>
      <c r="L188" s="373">
        <f t="shared" ref="L188" si="138">SUM(L189:L210)</f>
        <v>240922</v>
      </c>
    </row>
    <row r="189" spans="1:18">
      <c r="A189" s="370" t="s">
        <v>6957</v>
      </c>
      <c r="B189" s="370" t="s">
        <v>3942</v>
      </c>
      <c r="C189" s="4" t="s">
        <v>9261</v>
      </c>
      <c r="D189" s="383">
        <v>11786</v>
      </c>
      <c r="E189" s="383">
        <v>11832</v>
      </c>
      <c r="F189" s="383">
        <v>11959</v>
      </c>
      <c r="G189" s="383">
        <v>11947</v>
      </c>
      <c r="H189" s="893">
        <v>11965</v>
      </c>
      <c r="I189" s="30">
        <v>11846</v>
      </c>
      <c r="J189" s="30">
        <v>11827</v>
      </c>
      <c r="K189" s="30">
        <v>11970</v>
      </c>
      <c r="L189" s="30">
        <v>11999</v>
      </c>
      <c r="N189" s="370" t="s">
        <v>8461</v>
      </c>
      <c r="P189" s="4"/>
      <c r="R189" s="4"/>
    </row>
    <row r="190" spans="1:18">
      <c r="A190" s="370" t="s">
        <v>6959</v>
      </c>
      <c r="B190" s="370" t="s">
        <v>3943</v>
      </c>
      <c r="C190" s="4" t="s">
        <v>9262</v>
      </c>
      <c r="D190" s="374">
        <v>9736</v>
      </c>
      <c r="E190" s="374">
        <v>9787</v>
      </c>
      <c r="F190" s="374">
        <v>9832</v>
      </c>
      <c r="G190" s="374">
        <v>9905</v>
      </c>
      <c r="H190" s="893">
        <v>9849</v>
      </c>
      <c r="I190" s="30">
        <v>9546</v>
      </c>
      <c r="J190" s="30">
        <v>9694</v>
      </c>
      <c r="K190" s="30">
        <v>9951</v>
      </c>
      <c r="L190" s="30">
        <v>9881</v>
      </c>
      <c r="N190" s="370" t="s">
        <v>3865</v>
      </c>
      <c r="P190" s="4"/>
      <c r="R190" s="4"/>
    </row>
    <row r="191" spans="1:18">
      <c r="A191" s="370" t="s">
        <v>6961</v>
      </c>
      <c r="B191" s="370" t="s">
        <v>3944</v>
      </c>
      <c r="C191" s="4" t="s">
        <v>9263</v>
      </c>
      <c r="D191" s="374">
        <v>9852</v>
      </c>
      <c r="E191" s="374">
        <v>9743</v>
      </c>
      <c r="F191" s="374">
        <v>9417</v>
      </c>
      <c r="G191" s="374">
        <v>9544</v>
      </c>
      <c r="H191" s="893">
        <v>9696</v>
      </c>
      <c r="I191" s="30">
        <v>9276</v>
      </c>
      <c r="J191" s="30">
        <v>9305</v>
      </c>
      <c r="K191" s="30">
        <v>9698</v>
      </c>
      <c r="L191" s="30">
        <v>9957</v>
      </c>
      <c r="N191" s="370" t="s">
        <v>3865</v>
      </c>
      <c r="P191" s="4"/>
      <c r="R191" s="4"/>
    </row>
    <row r="192" spans="1:18">
      <c r="A192" s="370" t="s">
        <v>6963</v>
      </c>
      <c r="B192" s="370" t="s">
        <v>3945</v>
      </c>
      <c r="C192" s="4" t="s">
        <v>9264</v>
      </c>
      <c r="D192" s="383">
        <v>10636</v>
      </c>
      <c r="E192" s="383">
        <v>10730</v>
      </c>
      <c r="F192" s="383">
        <v>10914</v>
      </c>
      <c r="G192" s="383">
        <v>11051</v>
      </c>
      <c r="H192" s="893">
        <v>11202</v>
      </c>
      <c r="I192" s="30">
        <v>10986</v>
      </c>
      <c r="J192" s="30">
        <v>11158</v>
      </c>
      <c r="K192" s="30">
        <v>11340</v>
      </c>
      <c r="L192" s="30">
        <v>11453</v>
      </c>
      <c r="N192" s="370" t="s">
        <v>8461</v>
      </c>
      <c r="P192" s="4"/>
      <c r="R192" s="4"/>
    </row>
    <row r="193" spans="1:18">
      <c r="A193" s="370" t="s">
        <v>6965</v>
      </c>
      <c r="B193" s="370" t="s">
        <v>3946</v>
      </c>
      <c r="C193" s="4" t="s">
        <v>9265</v>
      </c>
      <c r="D193" s="374">
        <v>11754</v>
      </c>
      <c r="E193" s="374">
        <v>11705</v>
      </c>
      <c r="F193" s="374">
        <v>11692</v>
      </c>
      <c r="G193" s="374">
        <v>11742</v>
      </c>
      <c r="H193" s="893">
        <v>11699</v>
      </c>
      <c r="I193" s="30">
        <v>11568</v>
      </c>
      <c r="J193" s="30">
        <v>11460</v>
      </c>
      <c r="K193" s="30">
        <v>11502</v>
      </c>
      <c r="L193" s="30">
        <v>11457</v>
      </c>
      <c r="N193" s="370" t="s">
        <v>8461</v>
      </c>
      <c r="P193" s="4"/>
      <c r="R193" s="4"/>
    </row>
    <row r="194" spans="1:18">
      <c r="A194" s="370" t="s">
        <v>6997</v>
      </c>
      <c r="B194" s="370" t="s">
        <v>3947</v>
      </c>
      <c r="C194" s="4" t="s">
        <v>9266</v>
      </c>
      <c r="D194" s="374">
        <v>11340</v>
      </c>
      <c r="E194" s="374">
        <v>11294</v>
      </c>
      <c r="F194" s="374">
        <v>11072</v>
      </c>
      <c r="G194" s="374">
        <v>11214</v>
      </c>
      <c r="H194" s="893">
        <v>11164</v>
      </c>
      <c r="I194" s="30">
        <v>10707</v>
      </c>
      <c r="J194" s="30">
        <v>11035</v>
      </c>
      <c r="K194" s="30">
        <v>11306</v>
      </c>
      <c r="L194" s="30">
        <v>11475</v>
      </c>
      <c r="N194" s="370" t="s">
        <v>3865</v>
      </c>
      <c r="P194" s="4"/>
      <c r="R194" s="4"/>
    </row>
    <row r="195" spans="1:18">
      <c r="A195" s="370" t="s">
        <v>6999</v>
      </c>
      <c r="B195" s="370" t="s">
        <v>3948</v>
      </c>
      <c r="C195" s="4" t="s">
        <v>9267</v>
      </c>
      <c r="D195" s="374">
        <v>11065</v>
      </c>
      <c r="E195" s="374">
        <v>11003</v>
      </c>
      <c r="F195" s="374">
        <v>10993</v>
      </c>
      <c r="G195" s="374">
        <v>10928</v>
      </c>
      <c r="H195" s="894">
        <v>10898</v>
      </c>
      <c r="I195" s="31">
        <v>10781</v>
      </c>
      <c r="J195" s="31">
        <v>10872</v>
      </c>
      <c r="K195" s="31">
        <v>11083</v>
      </c>
      <c r="L195" s="31">
        <v>11110</v>
      </c>
      <c r="N195" s="370" t="s">
        <v>8461</v>
      </c>
      <c r="P195" s="4"/>
      <c r="R195" s="4"/>
    </row>
    <row r="196" spans="1:18">
      <c r="A196" s="370" t="s">
        <v>7001</v>
      </c>
      <c r="B196" s="370" t="s">
        <v>3949</v>
      </c>
      <c r="C196" s="4" t="s">
        <v>9268</v>
      </c>
      <c r="D196" s="374">
        <v>11582</v>
      </c>
      <c r="E196" s="374">
        <v>11546</v>
      </c>
      <c r="F196" s="374">
        <v>11510</v>
      </c>
      <c r="G196" s="374">
        <v>11585</v>
      </c>
      <c r="H196" s="894">
        <v>11536</v>
      </c>
      <c r="I196" s="31">
        <v>11384</v>
      </c>
      <c r="J196" s="31">
        <v>11342</v>
      </c>
      <c r="K196" s="31">
        <v>11447</v>
      </c>
      <c r="L196" s="31">
        <v>11467</v>
      </c>
      <c r="N196" s="370" t="s">
        <v>8462</v>
      </c>
      <c r="P196" s="4"/>
      <c r="R196" s="4"/>
    </row>
    <row r="197" spans="1:18">
      <c r="A197" s="370" t="s">
        <v>7003</v>
      </c>
      <c r="B197" s="370" t="s">
        <v>3950</v>
      </c>
      <c r="C197" s="4" t="s">
        <v>9269</v>
      </c>
      <c r="D197" s="374">
        <v>10959</v>
      </c>
      <c r="E197" s="374">
        <v>10968</v>
      </c>
      <c r="F197" s="374">
        <v>10945</v>
      </c>
      <c r="G197" s="374">
        <v>10915</v>
      </c>
      <c r="H197" s="894">
        <v>10875</v>
      </c>
      <c r="I197" s="31">
        <v>10704</v>
      </c>
      <c r="J197" s="31">
        <v>10655</v>
      </c>
      <c r="K197" s="31">
        <v>10859</v>
      </c>
      <c r="L197" s="31">
        <v>10912</v>
      </c>
      <c r="N197" s="370" t="s">
        <v>8461</v>
      </c>
      <c r="P197" s="4"/>
      <c r="R197" s="4"/>
    </row>
    <row r="198" spans="1:18">
      <c r="A198" s="370" t="s">
        <v>7005</v>
      </c>
      <c r="B198" s="370" t="s">
        <v>3951</v>
      </c>
      <c r="C198" s="4" t="s">
        <v>9270</v>
      </c>
      <c r="D198" s="383">
        <v>10359</v>
      </c>
      <c r="E198" s="383">
        <v>10439</v>
      </c>
      <c r="F198" s="383">
        <v>10331</v>
      </c>
      <c r="G198" s="383">
        <v>10410</v>
      </c>
      <c r="H198" s="894">
        <v>10330</v>
      </c>
      <c r="I198" s="31">
        <v>10127</v>
      </c>
      <c r="J198" s="31">
        <v>10300</v>
      </c>
      <c r="K198" s="31">
        <v>10500</v>
      </c>
      <c r="L198" s="31">
        <v>10516</v>
      </c>
      <c r="N198" s="370" t="s">
        <v>8462</v>
      </c>
      <c r="P198" s="4"/>
      <c r="R198" s="4"/>
    </row>
    <row r="199" spans="1:18">
      <c r="A199" s="370" t="s">
        <v>7007</v>
      </c>
      <c r="B199" s="370" t="s">
        <v>3952</v>
      </c>
      <c r="C199" s="4" t="s">
        <v>9271</v>
      </c>
      <c r="D199" s="374">
        <v>10902</v>
      </c>
      <c r="E199" s="374">
        <v>10653</v>
      </c>
      <c r="F199" s="374">
        <v>10445</v>
      </c>
      <c r="G199" s="374">
        <v>10389</v>
      </c>
      <c r="H199" s="893">
        <v>10638</v>
      </c>
      <c r="I199" s="30">
        <v>10457</v>
      </c>
      <c r="J199" s="30">
        <v>10480</v>
      </c>
      <c r="K199" s="30">
        <v>10716</v>
      </c>
      <c r="L199" s="30">
        <v>10758</v>
      </c>
      <c r="N199" s="370" t="s">
        <v>8460</v>
      </c>
      <c r="P199" s="4"/>
      <c r="R199" s="4"/>
    </row>
    <row r="200" spans="1:18">
      <c r="A200" s="370" t="s">
        <v>7009</v>
      </c>
      <c r="B200" s="370" t="s">
        <v>3953</v>
      </c>
      <c r="C200" s="4" t="s">
        <v>9272</v>
      </c>
      <c r="D200" s="374">
        <v>11069</v>
      </c>
      <c r="E200" s="374">
        <v>11096</v>
      </c>
      <c r="F200" s="374">
        <v>10983</v>
      </c>
      <c r="G200" s="374">
        <v>11105</v>
      </c>
      <c r="H200" s="893">
        <v>11082</v>
      </c>
      <c r="I200" s="30">
        <v>10769</v>
      </c>
      <c r="J200" s="30">
        <v>10730</v>
      </c>
      <c r="K200" s="30">
        <v>11058</v>
      </c>
      <c r="L200" s="30">
        <v>11110</v>
      </c>
      <c r="N200" s="370" t="s">
        <v>8460</v>
      </c>
      <c r="P200" s="4"/>
      <c r="R200" s="4"/>
    </row>
    <row r="201" spans="1:18">
      <c r="A201" s="370" t="s">
        <v>7011</v>
      </c>
      <c r="B201" s="370" t="s">
        <v>3954</v>
      </c>
      <c r="C201" s="4" t="s">
        <v>9273</v>
      </c>
      <c r="D201" s="383">
        <v>10810</v>
      </c>
      <c r="E201" s="383">
        <v>10794</v>
      </c>
      <c r="F201" s="383">
        <v>10679</v>
      </c>
      <c r="G201" s="383">
        <v>10833</v>
      </c>
      <c r="H201" s="893">
        <v>10861</v>
      </c>
      <c r="I201" s="30">
        <v>10608</v>
      </c>
      <c r="J201" s="30">
        <v>10563</v>
      </c>
      <c r="K201" s="30">
        <v>10774</v>
      </c>
      <c r="L201" s="30">
        <v>10681</v>
      </c>
      <c r="N201" s="370" t="s">
        <v>8460</v>
      </c>
      <c r="P201" s="4"/>
      <c r="R201" s="4"/>
    </row>
    <row r="202" spans="1:18">
      <c r="A202" s="370" t="s">
        <v>7013</v>
      </c>
      <c r="B202" s="370" t="s">
        <v>7509</v>
      </c>
      <c r="C202" s="4" t="s">
        <v>9274</v>
      </c>
      <c r="D202" s="374">
        <v>10904</v>
      </c>
      <c r="E202" s="374">
        <v>10807</v>
      </c>
      <c r="F202" s="374">
        <v>10630</v>
      </c>
      <c r="G202" s="374">
        <v>10728</v>
      </c>
      <c r="H202" s="893">
        <v>10713</v>
      </c>
      <c r="I202" s="30">
        <v>10502</v>
      </c>
      <c r="J202" s="30">
        <v>10685</v>
      </c>
      <c r="K202" s="30">
        <v>11040</v>
      </c>
      <c r="L202" s="30">
        <v>11291</v>
      </c>
      <c r="N202" s="370" t="s">
        <v>8460</v>
      </c>
      <c r="P202" s="4"/>
      <c r="R202" s="4"/>
    </row>
    <row r="203" spans="1:18">
      <c r="A203" s="370" t="s">
        <v>7015</v>
      </c>
      <c r="B203" s="370" t="s">
        <v>7510</v>
      </c>
      <c r="C203" s="4" t="s">
        <v>9275</v>
      </c>
      <c r="D203" s="374">
        <v>11198</v>
      </c>
      <c r="E203" s="374">
        <v>11092</v>
      </c>
      <c r="F203" s="374">
        <v>11093</v>
      </c>
      <c r="G203" s="374">
        <v>11178</v>
      </c>
      <c r="H203" s="893">
        <v>11244</v>
      </c>
      <c r="I203" s="30">
        <v>10916</v>
      </c>
      <c r="J203" s="30">
        <v>10866</v>
      </c>
      <c r="K203" s="30">
        <v>10998</v>
      </c>
      <c r="L203" s="30">
        <v>11001</v>
      </c>
      <c r="N203" s="370" t="s">
        <v>3865</v>
      </c>
      <c r="P203" s="4"/>
      <c r="R203" s="4"/>
    </row>
    <row r="204" spans="1:18">
      <c r="A204" s="370" t="s">
        <v>7017</v>
      </c>
      <c r="B204" s="370" t="s">
        <v>7511</v>
      </c>
      <c r="C204" s="4" t="s">
        <v>9276</v>
      </c>
      <c r="D204" s="374">
        <v>10664</v>
      </c>
      <c r="E204" s="374">
        <v>10554</v>
      </c>
      <c r="F204" s="374">
        <v>10496</v>
      </c>
      <c r="G204" s="374">
        <v>10548</v>
      </c>
      <c r="H204" s="894">
        <v>10455</v>
      </c>
      <c r="I204" s="31">
        <v>10385</v>
      </c>
      <c r="J204" s="31">
        <v>10319</v>
      </c>
      <c r="K204" s="31">
        <v>10444</v>
      </c>
      <c r="L204" s="31">
        <v>10433</v>
      </c>
      <c r="N204" s="370" t="s">
        <v>8462</v>
      </c>
      <c r="P204" s="4"/>
      <c r="R204" s="4"/>
    </row>
    <row r="205" spans="1:18">
      <c r="A205" s="370" t="s">
        <v>7019</v>
      </c>
      <c r="B205" s="370" t="s">
        <v>7512</v>
      </c>
      <c r="C205" s="4" t="s">
        <v>9277</v>
      </c>
      <c r="D205" s="374">
        <v>11047</v>
      </c>
      <c r="E205" s="374">
        <v>10877</v>
      </c>
      <c r="F205" s="374">
        <v>10616</v>
      </c>
      <c r="G205" s="374">
        <v>10830</v>
      </c>
      <c r="H205" s="893">
        <v>10793</v>
      </c>
      <c r="I205" s="30">
        <v>10568</v>
      </c>
      <c r="J205" s="30">
        <v>10604</v>
      </c>
      <c r="K205" s="30">
        <v>10822</v>
      </c>
      <c r="L205" s="30">
        <v>10942</v>
      </c>
      <c r="N205" s="370" t="s">
        <v>3865</v>
      </c>
      <c r="P205" s="4"/>
      <c r="R205" s="4"/>
    </row>
    <row r="206" spans="1:18">
      <c r="A206" s="370" t="s">
        <v>7021</v>
      </c>
      <c r="B206" s="370" t="s">
        <v>7513</v>
      </c>
      <c r="C206" s="4" t="s">
        <v>9278</v>
      </c>
      <c r="D206" s="374">
        <v>9797</v>
      </c>
      <c r="E206" s="374">
        <v>9639</v>
      </c>
      <c r="F206" s="374">
        <v>9553</v>
      </c>
      <c r="G206" s="374">
        <v>9728</v>
      </c>
      <c r="H206" s="893">
        <v>9557</v>
      </c>
      <c r="I206" s="30">
        <v>9181</v>
      </c>
      <c r="J206" s="30">
        <v>9341</v>
      </c>
      <c r="K206" s="30">
        <v>9659</v>
      </c>
      <c r="L206" s="30">
        <v>9806</v>
      </c>
      <c r="N206" s="370" t="s">
        <v>3865</v>
      </c>
      <c r="P206" s="4"/>
      <c r="R206" s="4"/>
    </row>
    <row r="207" spans="1:18">
      <c r="A207" s="370" t="s">
        <v>7023</v>
      </c>
      <c r="B207" s="370" t="s">
        <v>7514</v>
      </c>
      <c r="C207" s="4" t="s">
        <v>9279</v>
      </c>
      <c r="D207" s="374">
        <v>10307</v>
      </c>
      <c r="E207" s="374">
        <v>10425</v>
      </c>
      <c r="F207" s="374">
        <v>10327</v>
      </c>
      <c r="G207" s="374">
        <v>10343</v>
      </c>
      <c r="H207" s="893">
        <v>10193</v>
      </c>
      <c r="I207" s="30">
        <v>9790</v>
      </c>
      <c r="J207" s="30">
        <v>9869</v>
      </c>
      <c r="K207" s="30">
        <v>10161</v>
      </c>
      <c r="L207" s="30">
        <v>10189</v>
      </c>
      <c r="N207" s="370" t="s">
        <v>8460</v>
      </c>
      <c r="P207" s="4"/>
      <c r="R207" s="4"/>
    </row>
    <row r="208" spans="1:18">
      <c r="A208" s="370" t="s">
        <v>7025</v>
      </c>
      <c r="B208" s="370" t="s">
        <v>5839</v>
      </c>
      <c r="C208" s="4" t="s">
        <v>9280</v>
      </c>
      <c r="D208" s="374">
        <v>12250</v>
      </c>
      <c r="E208" s="374">
        <v>12173</v>
      </c>
      <c r="F208" s="374">
        <v>12216</v>
      </c>
      <c r="G208" s="374">
        <v>12187</v>
      </c>
      <c r="H208" s="894">
        <v>12186</v>
      </c>
      <c r="I208" s="31">
        <v>11896</v>
      </c>
      <c r="J208" s="31">
        <v>12112</v>
      </c>
      <c r="K208" s="31">
        <v>12224</v>
      </c>
      <c r="L208" s="31">
        <v>12381</v>
      </c>
      <c r="N208" s="370" t="s">
        <v>8462</v>
      </c>
      <c r="P208" s="4"/>
      <c r="R208" s="4"/>
    </row>
    <row r="209" spans="1:18">
      <c r="A209" s="370" t="s">
        <v>7570</v>
      </c>
      <c r="B209" s="370" t="s">
        <v>3933</v>
      </c>
      <c r="C209" s="4" t="s">
        <v>9281</v>
      </c>
      <c r="D209" s="374">
        <v>12076</v>
      </c>
      <c r="E209" s="374">
        <v>11957</v>
      </c>
      <c r="F209" s="374">
        <v>11905</v>
      </c>
      <c r="G209" s="374">
        <v>11863</v>
      </c>
      <c r="H209" s="893">
        <v>11736</v>
      </c>
      <c r="I209" s="30">
        <v>11570</v>
      </c>
      <c r="J209" s="30">
        <v>11613</v>
      </c>
      <c r="K209" s="30">
        <v>11786</v>
      </c>
      <c r="L209" s="30">
        <v>11816</v>
      </c>
      <c r="N209" s="370" t="s">
        <v>8460</v>
      </c>
      <c r="P209" s="4"/>
      <c r="R209" s="4"/>
    </row>
    <row r="210" spans="1:18">
      <c r="A210" s="370" t="s">
        <v>7572</v>
      </c>
      <c r="B210" s="370" t="s">
        <v>3934</v>
      </c>
      <c r="C210" s="4" t="s">
        <v>9282</v>
      </c>
      <c r="D210" s="374">
        <v>10297</v>
      </c>
      <c r="E210" s="374">
        <v>10365</v>
      </c>
      <c r="F210" s="374">
        <v>10239</v>
      </c>
      <c r="G210" s="374">
        <v>10415</v>
      </c>
      <c r="H210" s="894">
        <v>10307</v>
      </c>
      <c r="I210" s="31">
        <v>10085</v>
      </c>
      <c r="J210" s="31">
        <v>10159</v>
      </c>
      <c r="K210" s="31">
        <v>10312</v>
      </c>
      <c r="L210" s="31">
        <v>10287</v>
      </c>
      <c r="N210" s="370" t="s">
        <v>8462</v>
      </c>
      <c r="P210" s="4"/>
      <c r="R210" s="4"/>
    </row>
    <row r="211" spans="1:18">
      <c r="D211" s="374"/>
      <c r="E211" s="374"/>
      <c r="F211" s="374"/>
      <c r="G211" s="374"/>
      <c r="H211" s="374"/>
      <c r="I211" s="374"/>
      <c r="J211" s="374"/>
      <c r="K211" s="374"/>
      <c r="L211" s="374"/>
    </row>
    <row r="212" spans="1:18">
      <c r="A212" s="370" t="s">
        <v>3865</v>
      </c>
      <c r="D212" s="373">
        <f t="shared" ref="D212:I212" si="139">D190+D191+D194+D203+D205+D206</f>
        <v>62970</v>
      </c>
      <c r="E212" s="373">
        <f t="shared" si="139"/>
        <v>62432</v>
      </c>
      <c r="F212" s="373">
        <f t="shared" si="139"/>
        <v>61583</v>
      </c>
      <c r="G212" s="373">
        <f t="shared" si="139"/>
        <v>62399</v>
      </c>
      <c r="H212" s="373">
        <f t="shared" si="139"/>
        <v>62303</v>
      </c>
      <c r="I212" s="373">
        <f t="shared" si="139"/>
        <v>60194</v>
      </c>
      <c r="J212" s="373">
        <f t="shared" ref="J212:K212" si="140">J190+J191+J194+J203+J205+J206</f>
        <v>60845</v>
      </c>
      <c r="K212" s="373">
        <f t="shared" si="140"/>
        <v>62434</v>
      </c>
      <c r="L212" s="373">
        <f t="shared" ref="L212" si="141">L190+L191+L194+L203+L205+L206</f>
        <v>63062</v>
      </c>
    </row>
    <row r="213" spans="1:18">
      <c r="A213" s="370" t="s">
        <v>8460</v>
      </c>
      <c r="D213" s="373">
        <f t="shared" ref="D213:I213" si="142">SUM(D199:D202)+D207+D209</f>
        <v>66068</v>
      </c>
      <c r="E213" s="373">
        <f t="shared" si="142"/>
        <v>65732</v>
      </c>
      <c r="F213" s="373">
        <f t="shared" si="142"/>
        <v>64969</v>
      </c>
      <c r="G213" s="373">
        <f t="shared" si="142"/>
        <v>65261</v>
      </c>
      <c r="H213" s="373">
        <f t="shared" si="142"/>
        <v>65223</v>
      </c>
      <c r="I213" s="373">
        <f t="shared" si="142"/>
        <v>63696</v>
      </c>
      <c r="J213" s="373">
        <f t="shared" ref="J213:K213" si="143">SUM(J199:J202)+J207+J209</f>
        <v>63940</v>
      </c>
      <c r="K213" s="373">
        <f t="shared" si="143"/>
        <v>65535</v>
      </c>
      <c r="L213" s="373">
        <f t="shared" ref="L213" si="144">SUM(L199:L202)+L207+L209</f>
        <v>65845</v>
      </c>
    </row>
    <row r="214" spans="1:18">
      <c r="A214" s="370" t="s">
        <v>8461</v>
      </c>
      <c r="D214" s="373">
        <f t="shared" ref="D214:I214" si="145">D189+D192+D193+D195+D197</f>
        <v>56200</v>
      </c>
      <c r="E214" s="373">
        <f t="shared" si="145"/>
        <v>56238</v>
      </c>
      <c r="F214" s="373">
        <f t="shared" si="145"/>
        <v>56503</v>
      </c>
      <c r="G214" s="373">
        <f t="shared" si="145"/>
        <v>56583</v>
      </c>
      <c r="H214" s="373">
        <f t="shared" si="145"/>
        <v>56639</v>
      </c>
      <c r="I214" s="373">
        <f t="shared" si="145"/>
        <v>55885</v>
      </c>
      <c r="J214" s="373">
        <f t="shared" ref="J214:K214" si="146">J189+J192+J193+J195+J197</f>
        <v>55972</v>
      </c>
      <c r="K214" s="373">
        <f t="shared" si="146"/>
        <v>56754</v>
      </c>
      <c r="L214" s="373">
        <f t="shared" ref="L214" si="147">L189+L192+L193+L195+L197</f>
        <v>56931</v>
      </c>
    </row>
    <row r="215" spans="1:18">
      <c r="A215" s="370" t="s">
        <v>8462</v>
      </c>
      <c r="D215" s="373">
        <f t="shared" ref="D215:I215" si="148">D196+D198+D204+D208+D210</f>
        <v>55152</v>
      </c>
      <c r="E215" s="373">
        <f t="shared" si="148"/>
        <v>55077</v>
      </c>
      <c r="F215" s="373">
        <f t="shared" si="148"/>
        <v>54792</v>
      </c>
      <c r="G215" s="373">
        <f t="shared" si="148"/>
        <v>55145</v>
      </c>
      <c r="H215" s="373">
        <f t="shared" si="148"/>
        <v>54814</v>
      </c>
      <c r="I215" s="373">
        <f t="shared" si="148"/>
        <v>53877</v>
      </c>
      <c r="J215" s="373">
        <f t="shared" ref="J215:K215" si="149">J196+J198+J204+J208+J210</f>
        <v>54232</v>
      </c>
      <c r="K215" s="373">
        <f t="shared" si="149"/>
        <v>54927</v>
      </c>
      <c r="L215" s="373">
        <f t="shared" ref="L215" si="150">L196+L198+L204+L208+L210</f>
        <v>55084</v>
      </c>
    </row>
    <row r="217" spans="1:18">
      <c r="A217" s="371" t="s">
        <v>13640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58" orientation="portrait" horizontalDpi="300" verticalDpi="300" r:id="rId1"/>
  <headerFooter alignWithMargins="0">
    <oddFooter>&amp;C&amp;"Times New Roman,Regular"&amp;8&amp;P of &amp;N</oddFooter>
  </headerFooter>
  <ignoredErrors>
    <ignoredError sqref="D119:D121 D86:E86 D155:E155 D147:D148 D129:E129 D179:D181 D212:D215 D188:E188 D3:D10 E212:E215 E119:E121 E147:E148 E3:E10 E179:E181 F80:F86 F119:F121 F147:F155 F179:F188 F212:F215 F3:F10 F123:F129 G147:G148 G129:K129 G188:K188 G212:G215 G86:K86 G119:G121 G155:K155 G179:G181 G3:G10 D12:D48 E12:E51 F12:F55 G12:G51 D11:G11 H119:H121 H147:H148 H212:H215 H179:H181 H3:H10 H11:H51 I212:I215 I147:I148 I119:I121 I179:I181 I3:I49 J119:J121 J147:J148 J179:J181 J212:J215 J3:J51 I51 D56:K56 D77:J79 K119:K121 K77:K79 K179:K181 K147:K148 K212:K215 K3:K51 D50:D51 L3:L215" unlockedFormula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39"/>
  <sheetViews>
    <sheetView showGridLines="0" zoomScaleNormal="100" workbookViewId="0"/>
  </sheetViews>
  <sheetFormatPr defaultColWidth="12.5703125" defaultRowHeight="15"/>
  <cols>
    <col min="1" max="1" width="4.85546875" style="241" customWidth="1"/>
    <col min="2" max="2" width="40.5703125" style="241" customWidth="1"/>
    <col min="3" max="3" width="11.140625" style="241" customWidth="1"/>
    <col min="4" max="12" width="10" style="241" customWidth="1"/>
    <col min="13" max="13" width="2.28515625" style="241" customWidth="1"/>
    <col min="14" max="14" width="35.7109375" style="241" customWidth="1"/>
    <col min="15" max="16384" width="12.5703125" style="241"/>
  </cols>
  <sheetData>
    <row r="1" spans="1:14">
      <c r="A1" s="240" t="s">
        <v>7342</v>
      </c>
      <c r="D1" s="242">
        <v>2010</v>
      </c>
      <c r="E1" s="242">
        <v>2011</v>
      </c>
      <c r="F1" s="242">
        <v>2012</v>
      </c>
      <c r="G1" s="242">
        <v>2013</v>
      </c>
      <c r="H1" s="242">
        <v>2014</v>
      </c>
      <c r="I1" s="242">
        <v>2015</v>
      </c>
      <c r="J1" s="242">
        <v>2016</v>
      </c>
      <c r="K1" s="242">
        <v>2017</v>
      </c>
      <c r="L1" s="242">
        <v>2018</v>
      </c>
    </row>
    <row r="3" spans="1:14">
      <c r="A3" s="240" t="s">
        <v>3935</v>
      </c>
      <c r="D3" s="243">
        <f t="shared" ref="D3:I3" si="0">SUM(D17:D36)</f>
        <v>130323</v>
      </c>
      <c r="E3" s="243">
        <f t="shared" si="0"/>
        <v>133010</v>
      </c>
      <c r="F3" s="243">
        <f t="shared" si="0"/>
        <v>132637</v>
      </c>
      <c r="G3" s="243">
        <f t="shared" si="0"/>
        <v>133792</v>
      </c>
      <c r="H3" s="243">
        <f t="shared" si="0"/>
        <v>132225</v>
      </c>
      <c r="I3" s="243">
        <f t="shared" si="0"/>
        <v>129817</v>
      </c>
      <c r="J3" s="243">
        <f t="shared" ref="J3:K3" si="1">SUM(J17:J36)</f>
        <v>129825</v>
      </c>
      <c r="K3" s="243">
        <f t="shared" si="1"/>
        <v>133315</v>
      </c>
      <c r="L3" s="243">
        <f t="shared" ref="L3" si="2">SUM(L17:L36)</f>
        <v>132604</v>
      </c>
    </row>
    <row r="5" spans="1:14">
      <c r="A5" s="240" t="s">
        <v>7343</v>
      </c>
      <c r="D5" s="243">
        <f t="shared" ref="D5:I5" si="3">D3/2</f>
        <v>65161.5</v>
      </c>
      <c r="E5" s="243">
        <f t="shared" si="3"/>
        <v>66505</v>
      </c>
      <c r="F5" s="243">
        <f t="shared" si="3"/>
        <v>66318.5</v>
      </c>
      <c r="G5" s="243">
        <f t="shared" si="3"/>
        <v>66896</v>
      </c>
      <c r="H5" s="243">
        <f t="shared" si="3"/>
        <v>66112.5</v>
      </c>
      <c r="I5" s="243">
        <f t="shared" si="3"/>
        <v>64908.5</v>
      </c>
      <c r="J5" s="243">
        <f t="shared" ref="J5:K5" si="4">J3/2</f>
        <v>64912.5</v>
      </c>
      <c r="K5" s="243">
        <f t="shared" si="4"/>
        <v>66657.5</v>
      </c>
      <c r="L5" s="243">
        <f t="shared" ref="L5" si="5">L3/2</f>
        <v>66302</v>
      </c>
    </row>
    <row r="6" spans="1:14">
      <c r="D6" s="244"/>
      <c r="E6" s="244"/>
      <c r="F6" s="244"/>
      <c r="G6" s="244"/>
      <c r="H6" s="244"/>
      <c r="I6" s="244"/>
      <c r="J6" s="244"/>
      <c r="K6" s="244"/>
      <c r="L6" s="244"/>
    </row>
    <row r="7" spans="1:14">
      <c r="A7" s="240" t="s">
        <v>3936</v>
      </c>
      <c r="D7" s="243">
        <f t="shared" ref="D7:I7" si="6">D19+D20+D22+D23+SUM(D25:D27)+D29+D30+D32</f>
        <v>65390</v>
      </c>
      <c r="E7" s="243">
        <f t="shared" si="6"/>
        <v>67074</v>
      </c>
      <c r="F7" s="243">
        <f t="shared" si="6"/>
        <v>66615</v>
      </c>
      <c r="G7" s="243">
        <f t="shared" si="6"/>
        <v>67488</v>
      </c>
      <c r="H7" s="243">
        <f t="shared" si="6"/>
        <v>67036</v>
      </c>
      <c r="I7" s="243">
        <f t="shared" si="6"/>
        <v>66342</v>
      </c>
      <c r="J7" s="243">
        <f t="shared" ref="J7:K7" si="7">J19+J20+J22+J23+SUM(J25:J27)+J29+J30+J32</f>
        <v>66320</v>
      </c>
      <c r="K7" s="243">
        <f t="shared" si="7"/>
        <v>67858</v>
      </c>
      <c r="L7" s="243">
        <f t="shared" ref="L7" si="8">L19+L20+L22+L23+SUM(L25:L27)+L29+L30+L32</f>
        <v>67669</v>
      </c>
      <c r="N7" s="240" t="s">
        <v>3937</v>
      </c>
    </row>
    <row r="8" spans="1:14">
      <c r="D8" s="244"/>
      <c r="E8" s="244"/>
      <c r="F8" s="244"/>
      <c r="G8" s="244"/>
      <c r="H8" s="244"/>
      <c r="I8" s="244"/>
      <c r="J8" s="244"/>
      <c r="K8" s="244"/>
      <c r="L8" s="244"/>
    </row>
    <row r="9" spans="1:14">
      <c r="A9" s="240" t="s">
        <v>3938</v>
      </c>
      <c r="D9" s="243">
        <f t="shared" ref="D9:I9" si="9">D17+D18+D21+D24+D28+D31+SUM(D33:D36)</f>
        <v>64933</v>
      </c>
      <c r="E9" s="243">
        <f t="shared" si="9"/>
        <v>65936</v>
      </c>
      <c r="F9" s="243">
        <f t="shared" si="9"/>
        <v>66022</v>
      </c>
      <c r="G9" s="243">
        <f t="shared" si="9"/>
        <v>66304</v>
      </c>
      <c r="H9" s="243">
        <f t="shared" si="9"/>
        <v>65189</v>
      </c>
      <c r="I9" s="243">
        <f t="shared" si="9"/>
        <v>63475</v>
      </c>
      <c r="J9" s="243">
        <f t="shared" ref="J9:K9" si="10">J17+J18+J21+J24+J28+J31+SUM(J33:J36)</f>
        <v>63505</v>
      </c>
      <c r="K9" s="243">
        <f t="shared" si="10"/>
        <v>65457</v>
      </c>
      <c r="L9" s="243">
        <f t="shared" ref="L9" si="11">L17+L18+L21+L24+L28+L31+SUM(L33:L36)</f>
        <v>64935</v>
      </c>
      <c r="N9" s="240" t="s">
        <v>3937</v>
      </c>
    </row>
    <row r="10" spans="1:14">
      <c r="D10" s="244"/>
      <c r="E10" s="244"/>
      <c r="F10" s="244"/>
      <c r="G10" s="244"/>
      <c r="H10" s="244"/>
      <c r="I10" s="244"/>
      <c r="J10" s="244"/>
      <c r="K10" s="244"/>
      <c r="L10" s="244"/>
    </row>
    <row r="11" spans="1:14">
      <c r="A11" s="240" t="s">
        <v>8697</v>
      </c>
      <c r="D11" s="243">
        <f t="shared" ref="D11:I11" si="12">D7+D9</f>
        <v>130323</v>
      </c>
      <c r="E11" s="243">
        <f t="shared" si="12"/>
        <v>133010</v>
      </c>
      <c r="F11" s="243">
        <f t="shared" si="12"/>
        <v>132637</v>
      </c>
      <c r="G11" s="243">
        <f t="shared" si="12"/>
        <v>133792</v>
      </c>
      <c r="H11" s="243">
        <f t="shared" si="12"/>
        <v>132225</v>
      </c>
      <c r="I11" s="243">
        <f t="shared" si="12"/>
        <v>129817</v>
      </c>
      <c r="J11" s="243">
        <f t="shared" ref="J11:K11" si="13">J7+J9</f>
        <v>129825</v>
      </c>
      <c r="K11" s="243">
        <f t="shared" si="13"/>
        <v>133315</v>
      </c>
      <c r="L11" s="243">
        <f t="shared" ref="L11" si="14">L7+L9</f>
        <v>132604</v>
      </c>
    </row>
    <row r="12" spans="1:14">
      <c r="D12" s="244"/>
      <c r="E12" s="244"/>
      <c r="F12" s="244"/>
      <c r="G12" s="244"/>
      <c r="H12" s="244"/>
      <c r="I12" s="244"/>
      <c r="J12" s="244"/>
      <c r="K12" s="244"/>
      <c r="L12" s="244"/>
    </row>
    <row r="13" spans="1:14">
      <c r="A13" s="240" t="s">
        <v>8698</v>
      </c>
      <c r="D13" s="243">
        <f t="shared" ref="D13:I13" si="15">MAX(D7,D9)-MIN(D7,D9)</f>
        <v>457</v>
      </c>
      <c r="E13" s="243">
        <f t="shared" si="15"/>
        <v>1138</v>
      </c>
      <c r="F13" s="243">
        <f t="shared" si="15"/>
        <v>593</v>
      </c>
      <c r="G13" s="243">
        <f t="shared" si="15"/>
        <v>1184</v>
      </c>
      <c r="H13" s="243">
        <f t="shared" si="15"/>
        <v>1847</v>
      </c>
      <c r="I13" s="243">
        <f t="shared" si="15"/>
        <v>2867</v>
      </c>
      <c r="J13" s="243">
        <f t="shared" ref="J13:K13" si="16">MAX(J7,J9)-MIN(J7,J9)</f>
        <v>2815</v>
      </c>
      <c r="K13" s="243">
        <f t="shared" si="16"/>
        <v>2401</v>
      </c>
      <c r="L13" s="243">
        <f t="shared" ref="L13" si="17">MAX(L7,L9)-MIN(L7,L9)</f>
        <v>2734</v>
      </c>
    </row>
    <row r="14" spans="1:14">
      <c r="D14" s="244"/>
      <c r="E14" s="244"/>
      <c r="F14" s="244"/>
      <c r="G14" s="244"/>
      <c r="H14" s="244"/>
      <c r="I14" s="244"/>
      <c r="J14" s="244"/>
      <c r="K14" s="244"/>
      <c r="L14" s="244"/>
    </row>
    <row r="15" spans="1:14">
      <c r="A15" s="240" t="s">
        <v>8701</v>
      </c>
      <c r="D15" s="243">
        <f t="shared" ref="D15:I15" si="18">STDEVP(D7,D9)</f>
        <v>228.5</v>
      </c>
      <c r="E15" s="243">
        <f t="shared" si="18"/>
        <v>569</v>
      </c>
      <c r="F15" s="243">
        <f t="shared" si="18"/>
        <v>296.5</v>
      </c>
      <c r="G15" s="243">
        <f t="shared" si="18"/>
        <v>592</v>
      </c>
      <c r="H15" s="243">
        <f t="shared" si="18"/>
        <v>923.5</v>
      </c>
      <c r="I15" s="243">
        <f t="shared" si="18"/>
        <v>1433.5</v>
      </c>
      <c r="J15" s="243">
        <f t="shared" ref="J15:K15" si="19">STDEVP(J7,J9)</f>
        <v>1407.5</v>
      </c>
      <c r="K15" s="243">
        <f t="shared" si="19"/>
        <v>1200.5</v>
      </c>
      <c r="L15" s="243">
        <f t="shared" ref="L15" si="20">STDEVP(L7,L9)</f>
        <v>1367</v>
      </c>
    </row>
    <row r="16" spans="1:14">
      <c r="D16" s="244"/>
      <c r="E16" s="244"/>
      <c r="F16" s="244"/>
      <c r="G16" s="244"/>
      <c r="H16" s="244"/>
      <c r="I16" s="244"/>
      <c r="J16" s="244"/>
      <c r="K16" s="244"/>
      <c r="L16" s="244"/>
    </row>
    <row r="17" spans="1:19">
      <c r="A17" s="240" t="s">
        <v>6957</v>
      </c>
      <c r="B17" s="240" t="s">
        <v>8199</v>
      </c>
      <c r="C17" s="4" t="s">
        <v>951</v>
      </c>
      <c r="D17" s="245">
        <v>6551</v>
      </c>
      <c r="E17" s="245">
        <v>6708</v>
      </c>
      <c r="F17" s="245">
        <v>6761</v>
      </c>
      <c r="G17" s="245">
        <v>6875</v>
      </c>
      <c r="H17" s="48">
        <v>6648</v>
      </c>
      <c r="I17" s="48">
        <v>6480</v>
      </c>
      <c r="J17" s="48">
        <v>6376</v>
      </c>
      <c r="K17" s="48">
        <v>6705</v>
      </c>
      <c r="L17" s="48">
        <v>6742</v>
      </c>
      <c r="N17" s="240" t="s">
        <v>3938</v>
      </c>
      <c r="Q17" s="4"/>
      <c r="S17" s="4"/>
    </row>
    <row r="18" spans="1:19">
      <c r="A18" s="240" t="s">
        <v>6959</v>
      </c>
      <c r="B18" s="240" t="s">
        <v>3939</v>
      </c>
      <c r="C18" s="4" t="s">
        <v>952</v>
      </c>
      <c r="D18" s="246">
        <v>6608</v>
      </c>
      <c r="E18" s="246">
        <v>6696</v>
      </c>
      <c r="F18" s="246">
        <v>6664</v>
      </c>
      <c r="G18" s="246">
        <v>6678</v>
      </c>
      <c r="H18" s="48">
        <v>6582</v>
      </c>
      <c r="I18" s="48">
        <v>6551</v>
      </c>
      <c r="J18" s="48">
        <v>6559</v>
      </c>
      <c r="K18" s="48">
        <v>6676</v>
      </c>
      <c r="L18" s="48">
        <v>6595</v>
      </c>
      <c r="N18" s="240" t="s">
        <v>3938</v>
      </c>
      <c r="Q18" s="4"/>
      <c r="S18" s="4"/>
    </row>
    <row r="19" spans="1:19">
      <c r="A19" s="240" t="s">
        <v>6961</v>
      </c>
      <c r="B19" s="240" t="s">
        <v>8399</v>
      </c>
      <c r="C19" s="4" t="s">
        <v>953</v>
      </c>
      <c r="D19" s="245">
        <v>6638</v>
      </c>
      <c r="E19" s="245">
        <v>6844</v>
      </c>
      <c r="F19" s="245">
        <v>6750</v>
      </c>
      <c r="G19" s="245">
        <v>6805</v>
      </c>
      <c r="H19" s="48">
        <v>6663</v>
      </c>
      <c r="I19" s="48">
        <v>6461</v>
      </c>
      <c r="J19" s="48">
        <v>6511</v>
      </c>
      <c r="K19" s="48">
        <v>6790</v>
      </c>
      <c r="L19" s="48">
        <v>6669</v>
      </c>
      <c r="N19" s="240" t="s">
        <v>3936</v>
      </c>
      <c r="Q19" s="4"/>
      <c r="S19" s="4"/>
    </row>
    <row r="20" spans="1:19">
      <c r="A20" s="240" t="s">
        <v>6963</v>
      </c>
      <c r="B20" s="240" t="s">
        <v>8400</v>
      </c>
      <c r="C20" s="4" t="s">
        <v>954</v>
      </c>
      <c r="D20" s="245">
        <v>6994</v>
      </c>
      <c r="E20" s="245">
        <v>7163</v>
      </c>
      <c r="F20" s="245">
        <v>7155</v>
      </c>
      <c r="G20" s="245">
        <v>7192</v>
      </c>
      <c r="H20" s="48">
        <v>7107</v>
      </c>
      <c r="I20" s="48">
        <v>7073</v>
      </c>
      <c r="J20" s="48">
        <v>7142</v>
      </c>
      <c r="K20" s="48">
        <v>7261</v>
      </c>
      <c r="L20" s="48">
        <v>7271</v>
      </c>
      <c r="N20" s="240" t="s">
        <v>3936</v>
      </c>
      <c r="Q20" s="4"/>
      <c r="S20" s="4"/>
    </row>
    <row r="21" spans="1:19">
      <c r="A21" s="240" t="s">
        <v>6965</v>
      </c>
      <c r="B21" s="240" t="s">
        <v>8401</v>
      </c>
      <c r="C21" s="4" t="s">
        <v>955</v>
      </c>
      <c r="D21" s="245">
        <v>6425</v>
      </c>
      <c r="E21" s="245">
        <v>6491</v>
      </c>
      <c r="F21" s="245">
        <v>6381</v>
      </c>
      <c r="G21" s="245">
        <v>6378</v>
      </c>
      <c r="H21" s="48">
        <v>6291</v>
      </c>
      <c r="I21" s="48">
        <v>5980</v>
      </c>
      <c r="J21" s="48">
        <v>6046</v>
      </c>
      <c r="K21" s="48">
        <v>6241</v>
      </c>
      <c r="L21" s="48">
        <v>6217</v>
      </c>
      <c r="N21" s="240" t="s">
        <v>3938</v>
      </c>
      <c r="Q21" s="4"/>
      <c r="S21" s="4"/>
    </row>
    <row r="22" spans="1:19">
      <c r="A22" s="240" t="s">
        <v>6997</v>
      </c>
      <c r="B22" s="240" t="s">
        <v>8402</v>
      </c>
      <c r="C22" s="4" t="s">
        <v>956</v>
      </c>
      <c r="D22" s="245">
        <v>6878</v>
      </c>
      <c r="E22" s="245">
        <v>7077</v>
      </c>
      <c r="F22" s="245">
        <v>7047</v>
      </c>
      <c r="G22" s="245">
        <v>7232</v>
      </c>
      <c r="H22" s="48">
        <v>7123</v>
      </c>
      <c r="I22" s="48">
        <v>7081</v>
      </c>
      <c r="J22" s="48">
        <v>6997</v>
      </c>
      <c r="K22" s="48">
        <v>7105</v>
      </c>
      <c r="L22" s="48">
        <v>7155</v>
      </c>
      <c r="N22" s="240" t="s">
        <v>3936</v>
      </c>
      <c r="Q22" s="4"/>
      <c r="S22" s="4"/>
    </row>
    <row r="23" spans="1:19">
      <c r="A23" s="240" t="s">
        <v>6999</v>
      </c>
      <c r="B23" s="240" t="s">
        <v>8403</v>
      </c>
      <c r="C23" s="4" t="s">
        <v>957</v>
      </c>
      <c r="D23" s="245">
        <v>6021</v>
      </c>
      <c r="E23" s="245">
        <v>6215</v>
      </c>
      <c r="F23" s="245">
        <v>6174</v>
      </c>
      <c r="G23" s="245">
        <v>6223</v>
      </c>
      <c r="H23" s="48">
        <v>6087</v>
      </c>
      <c r="I23" s="48">
        <v>5897</v>
      </c>
      <c r="J23" s="48">
        <v>5860</v>
      </c>
      <c r="K23" s="48">
        <v>6043</v>
      </c>
      <c r="L23" s="48">
        <v>6050</v>
      </c>
      <c r="N23" s="240" t="s">
        <v>3936</v>
      </c>
      <c r="Q23" s="4"/>
      <c r="S23" s="4"/>
    </row>
    <row r="24" spans="1:19">
      <c r="A24" s="240" t="s">
        <v>7001</v>
      </c>
      <c r="B24" s="240" t="s">
        <v>6914</v>
      </c>
      <c r="C24" s="4" t="s">
        <v>958</v>
      </c>
      <c r="D24" s="245">
        <v>5960</v>
      </c>
      <c r="E24" s="245">
        <v>6061</v>
      </c>
      <c r="F24" s="245">
        <v>6064</v>
      </c>
      <c r="G24" s="245">
        <v>6102</v>
      </c>
      <c r="H24" s="48">
        <v>5941</v>
      </c>
      <c r="I24" s="48">
        <v>5692</v>
      </c>
      <c r="J24" s="48">
        <v>5666</v>
      </c>
      <c r="K24" s="48">
        <v>5889</v>
      </c>
      <c r="L24" s="48">
        <v>5772</v>
      </c>
      <c r="N24" s="240" t="s">
        <v>3938</v>
      </c>
      <c r="Q24" s="4"/>
      <c r="S24" s="4"/>
    </row>
    <row r="25" spans="1:19">
      <c r="A25" s="240" t="s">
        <v>7003</v>
      </c>
      <c r="B25" s="240" t="s">
        <v>8404</v>
      </c>
      <c r="C25" s="4" t="s">
        <v>959</v>
      </c>
      <c r="D25" s="243">
        <v>6112</v>
      </c>
      <c r="E25" s="243">
        <v>6288</v>
      </c>
      <c r="F25" s="243">
        <v>6190</v>
      </c>
      <c r="G25" s="243">
        <v>6219</v>
      </c>
      <c r="H25" s="48">
        <v>6186</v>
      </c>
      <c r="I25" s="48">
        <v>6168</v>
      </c>
      <c r="J25" s="48">
        <v>6198</v>
      </c>
      <c r="K25" s="48">
        <v>6393</v>
      </c>
      <c r="L25" s="48">
        <v>6330</v>
      </c>
      <c r="N25" s="240" t="s">
        <v>3936</v>
      </c>
      <c r="Q25" s="4"/>
      <c r="S25" s="4"/>
    </row>
    <row r="26" spans="1:19">
      <c r="A26" s="240" t="s">
        <v>7005</v>
      </c>
      <c r="B26" s="240" t="s">
        <v>8405</v>
      </c>
      <c r="C26" s="4" t="s">
        <v>960</v>
      </c>
      <c r="D26" s="245">
        <v>6388</v>
      </c>
      <c r="E26" s="245">
        <v>6532</v>
      </c>
      <c r="F26" s="245">
        <v>6456</v>
      </c>
      <c r="G26" s="245">
        <v>6516</v>
      </c>
      <c r="H26" s="48">
        <v>6600</v>
      </c>
      <c r="I26" s="48">
        <v>6585</v>
      </c>
      <c r="J26" s="48">
        <v>6583</v>
      </c>
      <c r="K26" s="48">
        <v>6730</v>
      </c>
      <c r="L26" s="48">
        <v>6735</v>
      </c>
      <c r="N26" s="240" t="s">
        <v>3936</v>
      </c>
      <c r="Q26" s="4"/>
      <c r="S26" s="4"/>
    </row>
    <row r="27" spans="1:19">
      <c r="A27" s="240" t="s">
        <v>7007</v>
      </c>
      <c r="B27" s="240" t="s">
        <v>8406</v>
      </c>
      <c r="C27" s="4" t="s">
        <v>961</v>
      </c>
      <c r="D27" s="245">
        <v>6550</v>
      </c>
      <c r="E27" s="245">
        <v>6599</v>
      </c>
      <c r="F27" s="245">
        <v>6622</v>
      </c>
      <c r="G27" s="245">
        <v>6682</v>
      </c>
      <c r="H27" s="48">
        <v>6567</v>
      </c>
      <c r="I27" s="48">
        <v>6497</v>
      </c>
      <c r="J27" s="48">
        <v>6491</v>
      </c>
      <c r="K27" s="48">
        <v>6576</v>
      </c>
      <c r="L27" s="48">
        <v>6553</v>
      </c>
      <c r="N27" s="240" t="s">
        <v>3936</v>
      </c>
      <c r="Q27" s="4"/>
      <c r="S27" s="4"/>
    </row>
    <row r="28" spans="1:19">
      <c r="A28" s="240" t="s">
        <v>7009</v>
      </c>
      <c r="B28" s="240" t="s">
        <v>8407</v>
      </c>
      <c r="C28" s="4" t="s">
        <v>962</v>
      </c>
      <c r="D28" s="245">
        <v>6422</v>
      </c>
      <c r="E28" s="245">
        <v>6507</v>
      </c>
      <c r="F28" s="245">
        <v>6491</v>
      </c>
      <c r="G28" s="245">
        <v>6478</v>
      </c>
      <c r="H28" s="48">
        <v>6392</v>
      </c>
      <c r="I28" s="48">
        <v>6320</v>
      </c>
      <c r="J28" s="48">
        <v>6329</v>
      </c>
      <c r="K28" s="48">
        <v>6505</v>
      </c>
      <c r="L28" s="48">
        <v>6373</v>
      </c>
      <c r="N28" s="240" t="s">
        <v>3938</v>
      </c>
      <c r="Q28" s="4"/>
      <c r="S28" s="4"/>
    </row>
    <row r="29" spans="1:19">
      <c r="A29" s="240" t="s">
        <v>7011</v>
      </c>
      <c r="B29" s="240" t="s">
        <v>8408</v>
      </c>
      <c r="C29" s="4" t="s">
        <v>963</v>
      </c>
      <c r="D29" s="245">
        <v>6837</v>
      </c>
      <c r="E29" s="245">
        <v>7009</v>
      </c>
      <c r="F29" s="245">
        <v>6985</v>
      </c>
      <c r="G29" s="245">
        <v>7141</v>
      </c>
      <c r="H29" s="48">
        <v>7282</v>
      </c>
      <c r="I29" s="48">
        <v>7257</v>
      </c>
      <c r="J29" s="48">
        <v>7185</v>
      </c>
      <c r="K29" s="48">
        <v>7364</v>
      </c>
      <c r="L29" s="48">
        <v>7341</v>
      </c>
      <c r="N29" s="240" t="s">
        <v>3936</v>
      </c>
      <c r="Q29" s="4"/>
      <c r="S29" s="4"/>
    </row>
    <row r="30" spans="1:19">
      <c r="A30" s="240" t="s">
        <v>7013</v>
      </c>
      <c r="B30" s="240" t="s">
        <v>8409</v>
      </c>
      <c r="C30" s="4" t="s">
        <v>964</v>
      </c>
      <c r="D30" s="245">
        <v>6500</v>
      </c>
      <c r="E30" s="245">
        <v>6657</v>
      </c>
      <c r="F30" s="245">
        <v>6579</v>
      </c>
      <c r="G30" s="245">
        <v>6628</v>
      </c>
      <c r="H30" s="48">
        <v>6506</v>
      </c>
      <c r="I30" s="48">
        <v>6484</v>
      </c>
      <c r="J30" s="48">
        <v>6411</v>
      </c>
      <c r="K30" s="48">
        <v>6573</v>
      </c>
      <c r="L30" s="48">
        <v>6547</v>
      </c>
      <c r="N30" s="240" t="s">
        <v>3936</v>
      </c>
      <c r="Q30" s="4"/>
      <c r="S30" s="4"/>
    </row>
    <row r="31" spans="1:19">
      <c r="A31" s="240" t="s">
        <v>7015</v>
      </c>
      <c r="B31" s="240" t="s">
        <v>7583</v>
      </c>
      <c r="C31" s="4" t="s">
        <v>965</v>
      </c>
      <c r="D31" s="245">
        <v>6763</v>
      </c>
      <c r="E31" s="245">
        <v>6801</v>
      </c>
      <c r="F31" s="245">
        <v>6892</v>
      </c>
      <c r="G31" s="245">
        <v>6907</v>
      </c>
      <c r="H31" s="48">
        <v>6711</v>
      </c>
      <c r="I31" s="48">
        <v>6550</v>
      </c>
      <c r="J31" s="48">
        <v>6607</v>
      </c>
      <c r="K31" s="48">
        <v>6688</v>
      </c>
      <c r="L31" s="48">
        <v>6689</v>
      </c>
      <c r="N31" s="240" t="s">
        <v>3938</v>
      </c>
      <c r="Q31" s="4"/>
      <c r="S31" s="4"/>
    </row>
    <row r="32" spans="1:19">
      <c r="A32" s="240" t="s">
        <v>7017</v>
      </c>
      <c r="B32" s="240" t="s">
        <v>7584</v>
      </c>
      <c r="C32" s="4" t="s">
        <v>966</v>
      </c>
      <c r="D32" s="243">
        <v>6472</v>
      </c>
      <c r="E32" s="243">
        <v>6690</v>
      </c>
      <c r="F32" s="243">
        <v>6657</v>
      </c>
      <c r="G32" s="243">
        <v>6850</v>
      </c>
      <c r="H32" s="48">
        <v>6915</v>
      </c>
      <c r="I32" s="48">
        <v>6839</v>
      </c>
      <c r="J32" s="48">
        <v>6942</v>
      </c>
      <c r="K32" s="48">
        <v>7023</v>
      </c>
      <c r="L32" s="48">
        <v>7018</v>
      </c>
      <c r="N32" s="240" t="s">
        <v>3936</v>
      </c>
      <c r="Q32" s="4"/>
      <c r="S32" s="4"/>
    </row>
    <row r="33" spans="1:19">
      <c r="A33" s="240" t="s">
        <v>7019</v>
      </c>
      <c r="B33" s="240" t="s">
        <v>5546</v>
      </c>
      <c r="C33" s="4" t="s">
        <v>967</v>
      </c>
      <c r="D33" s="246">
        <v>6519</v>
      </c>
      <c r="E33" s="246">
        <v>6639</v>
      </c>
      <c r="F33" s="246">
        <v>6648</v>
      </c>
      <c r="G33" s="246">
        <v>6686</v>
      </c>
      <c r="H33" s="48">
        <v>6570</v>
      </c>
      <c r="I33" s="48">
        <v>6345</v>
      </c>
      <c r="J33" s="48">
        <v>6424</v>
      </c>
      <c r="K33" s="48">
        <v>6721</v>
      </c>
      <c r="L33" s="48">
        <v>6557</v>
      </c>
      <c r="N33" s="240" t="s">
        <v>3938</v>
      </c>
      <c r="Q33" s="4"/>
      <c r="S33" s="4"/>
    </row>
    <row r="34" spans="1:19">
      <c r="A34" s="240" t="s">
        <v>7021</v>
      </c>
      <c r="B34" s="240" t="s">
        <v>5182</v>
      </c>
      <c r="C34" s="4" t="s">
        <v>968</v>
      </c>
      <c r="D34" s="245">
        <v>5968</v>
      </c>
      <c r="E34" s="245">
        <v>5969</v>
      </c>
      <c r="F34" s="245">
        <v>5999</v>
      </c>
      <c r="G34" s="245">
        <v>5922</v>
      </c>
      <c r="H34" s="48">
        <v>5836</v>
      </c>
      <c r="I34" s="48">
        <v>5722</v>
      </c>
      <c r="J34" s="48">
        <v>5633</v>
      </c>
      <c r="K34" s="48">
        <v>5870</v>
      </c>
      <c r="L34" s="48">
        <v>5820</v>
      </c>
      <c r="N34" s="240" t="s">
        <v>3938</v>
      </c>
      <c r="Q34" s="4"/>
      <c r="S34" s="4"/>
    </row>
    <row r="35" spans="1:19">
      <c r="A35" s="240" t="s">
        <v>7023</v>
      </c>
      <c r="B35" s="240" t="s">
        <v>7585</v>
      </c>
      <c r="C35" s="4" t="s">
        <v>969</v>
      </c>
      <c r="D35" s="247">
        <v>6628</v>
      </c>
      <c r="E35" s="247">
        <v>6738</v>
      </c>
      <c r="F35" s="247">
        <v>6747</v>
      </c>
      <c r="G35" s="247">
        <v>6901</v>
      </c>
      <c r="H35" s="48">
        <v>6934</v>
      </c>
      <c r="I35" s="48">
        <v>6777</v>
      </c>
      <c r="J35" s="48">
        <v>6831</v>
      </c>
      <c r="K35" s="48">
        <v>6906</v>
      </c>
      <c r="L35" s="48">
        <v>6872</v>
      </c>
      <c r="N35" s="240" t="s">
        <v>3938</v>
      </c>
      <c r="Q35" s="4"/>
      <c r="S35" s="4"/>
    </row>
    <row r="36" spans="1:19">
      <c r="A36" s="240" t="s">
        <v>7025</v>
      </c>
      <c r="B36" s="240" t="s">
        <v>7586</v>
      </c>
      <c r="C36" s="4" t="s">
        <v>970</v>
      </c>
      <c r="D36" s="247">
        <v>7089</v>
      </c>
      <c r="E36" s="247">
        <v>7326</v>
      </c>
      <c r="F36" s="247">
        <v>7375</v>
      </c>
      <c r="G36" s="247">
        <v>7377</v>
      </c>
      <c r="H36" s="48">
        <v>7284</v>
      </c>
      <c r="I36" s="48">
        <v>7058</v>
      </c>
      <c r="J36" s="48">
        <v>7034</v>
      </c>
      <c r="K36" s="48">
        <v>7256</v>
      </c>
      <c r="L36" s="48">
        <v>7298</v>
      </c>
      <c r="N36" s="240" t="s">
        <v>3938</v>
      </c>
      <c r="Q36" s="4"/>
      <c r="S36" s="4"/>
    </row>
    <row r="38" spans="1:19">
      <c r="A38" s="240" t="s">
        <v>7598</v>
      </c>
    </row>
    <row r="39" spans="1:19">
      <c r="A39" s="248"/>
    </row>
  </sheetData>
  <sortState ref="O17:Q36">
    <sortCondition ref="O1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6 G5:G15 H3:H4 H5:H15 I3:I15 J3:J15 K3:K15 L3:L15" unlockedFormula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97"/>
  <sheetViews>
    <sheetView showGridLines="0" zoomScaleNormal="100" workbookViewId="0"/>
  </sheetViews>
  <sheetFormatPr defaultColWidth="12.5703125" defaultRowHeight="15"/>
  <cols>
    <col min="1" max="1" width="4.85546875" style="428" customWidth="1"/>
    <col min="2" max="2" width="45.7109375" style="428" customWidth="1"/>
    <col min="3" max="3" width="11.5703125" style="428" customWidth="1"/>
    <col min="4" max="12" width="10" style="428" customWidth="1"/>
    <col min="13" max="13" width="2.28515625" style="428" customWidth="1"/>
    <col min="14" max="14" width="41.85546875" style="428" bestFit="1" customWidth="1"/>
    <col min="15" max="16384" width="12.5703125" style="428"/>
  </cols>
  <sheetData>
    <row r="1" spans="1:14">
      <c r="A1" s="427" t="s">
        <v>8847</v>
      </c>
      <c r="D1" s="24">
        <v>2010</v>
      </c>
      <c r="E1" s="24">
        <v>2011</v>
      </c>
      <c r="F1" s="24">
        <v>2012</v>
      </c>
      <c r="G1" s="24">
        <v>2013</v>
      </c>
      <c r="H1" s="24">
        <v>2014</v>
      </c>
      <c r="I1" s="24">
        <v>2015</v>
      </c>
      <c r="J1" s="24">
        <v>2016</v>
      </c>
      <c r="K1" s="24">
        <v>2017</v>
      </c>
      <c r="L1" s="24">
        <v>2018</v>
      </c>
    </row>
    <row r="3" spans="1:14">
      <c r="A3" s="427" t="s">
        <v>7599</v>
      </c>
      <c r="D3" s="429">
        <f t="shared" ref="D3:J3" si="0">D28</f>
        <v>100536</v>
      </c>
      <c r="E3" s="429">
        <f t="shared" si="0"/>
        <v>100528</v>
      </c>
      <c r="F3" s="429">
        <f t="shared" si="0"/>
        <v>100367</v>
      </c>
      <c r="G3" s="429">
        <f t="shared" si="0"/>
        <v>100405</v>
      </c>
      <c r="H3" s="429">
        <f t="shared" si="0"/>
        <v>99049</v>
      </c>
      <c r="I3" s="429">
        <f t="shared" si="0"/>
        <v>98731</v>
      </c>
      <c r="J3" s="429">
        <f t="shared" si="0"/>
        <v>90162</v>
      </c>
      <c r="K3" s="429">
        <f t="shared" ref="K3:L3" si="1">K28</f>
        <v>93401</v>
      </c>
      <c r="L3" s="429">
        <f t="shared" si="1"/>
        <v>93454</v>
      </c>
    </row>
    <row r="4" spans="1:14" ht="15.75" thickBot="1">
      <c r="A4" s="427" t="s">
        <v>5723</v>
      </c>
      <c r="D4" s="430">
        <f t="shared" ref="D4:I4" si="2">D64</f>
        <v>105718</v>
      </c>
      <c r="E4" s="430">
        <f t="shared" si="2"/>
        <v>105394</v>
      </c>
      <c r="F4" s="430">
        <f t="shared" si="2"/>
        <v>105792</v>
      </c>
      <c r="G4" s="430">
        <f t="shared" si="2"/>
        <v>105819</v>
      </c>
      <c r="H4" s="430">
        <f t="shared" si="2"/>
        <v>104221</v>
      </c>
      <c r="I4" s="430">
        <f t="shared" si="2"/>
        <v>100231</v>
      </c>
      <c r="J4" s="430">
        <f t="shared" ref="J4:K4" si="3">J64</f>
        <v>100365</v>
      </c>
      <c r="K4" s="430">
        <f t="shared" si="3"/>
        <v>102985</v>
      </c>
      <c r="L4" s="430">
        <f t="shared" ref="L4" si="4">L64</f>
        <v>103078</v>
      </c>
    </row>
    <row r="5" spans="1:14" ht="15.75" thickBot="1">
      <c r="A5" s="427"/>
      <c r="D5" s="430">
        <f t="shared" ref="D5:I5" si="5">SUM(D3:D4)</f>
        <v>206254</v>
      </c>
      <c r="E5" s="430">
        <f t="shared" si="5"/>
        <v>205922</v>
      </c>
      <c r="F5" s="430">
        <f t="shared" si="5"/>
        <v>206159</v>
      </c>
      <c r="G5" s="430">
        <f t="shared" si="5"/>
        <v>206224</v>
      </c>
      <c r="H5" s="430">
        <f t="shared" si="5"/>
        <v>203270</v>
      </c>
      <c r="I5" s="430">
        <f t="shared" si="5"/>
        <v>198962</v>
      </c>
      <c r="J5" s="430">
        <f t="shared" ref="J5:K5" si="6">SUM(J3:J4)</f>
        <v>190527</v>
      </c>
      <c r="K5" s="430">
        <f t="shared" si="6"/>
        <v>196386</v>
      </c>
      <c r="L5" s="430">
        <f t="shared" ref="L5" si="7">SUM(L3:L4)</f>
        <v>196532</v>
      </c>
    </row>
    <row r="6" spans="1:1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>
      <c r="A7" s="427" t="s">
        <v>5724</v>
      </c>
      <c r="D7" s="429">
        <f t="shared" ref="D7:I8" si="8">D3/2</f>
        <v>50268</v>
      </c>
      <c r="E7" s="429">
        <f t="shared" si="8"/>
        <v>50264</v>
      </c>
      <c r="F7" s="429">
        <f t="shared" si="8"/>
        <v>50183.5</v>
      </c>
      <c r="G7" s="429">
        <f t="shared" si="8"/>
        <v>50202.5</v>
      </c>
      <c r="H7" s="429">
        <f t="shared" si="8"/>
        <v>49524.5</v>
      </c>
      <c r="I7" s="429">
        <f t="shared" si="8"/>
        <v>49365.5</v>
      </c>
      <c r="J7" s="429">
        <f t="shared" ref="J7:K7" si="9">J3/2</f>
        <v>45081</v>
      </c>
      <c r="K7" s="429">
        <f t="shared" si="9"/>
        <v>46700.5</v>
      </c>
      <c r="L7" s="429">
        <f t="shared" ref="L7" si="10">L3/2</f>
        <v>46727</v>
      </c>
    </row>
    <row r="8" spans="1:14">
      <c r="A8" s="427" t="s">
        <v>5725</v>
      </c>
      <c r="D8" s="429">
        <f t="shared" si="8"/>
        <v>52859</v>
      </c>
      <c r="E8" s="429">
        <f t="shared" si="8"/>
        <v>52697</v>
      </c>
      <c r="F8" s="429">
        <f t="shared" si="8"/>
        <v>52896</v>
      </c>
      <c r="G8" s="429">
        <f t="shared" si="8"/>
        <v>52909.5</v>
      </c>
      <c r="H8" s="429">
        <f t="shared" si="8"/>
        <v>52110.5</v>
      </c>
      <c r="I8" s="429">
        <f t="shared" si="8"/>
        <v>50115.5</v>
      </c>
      <c r="J8" s="429">
        <f t="shared" ref="J8:K8" si="11">J4/2</f>
        <v>50182.5</v>
      </c>
      <c r="K8" s="429">
        <f t="shared" si="11"/>
        <v>51492.5</v>
      </c>
      <c r="L8" s="429">
        <f t="shared" ref="L8" si="12">L4/2</f>
        <v>51539</v>
      </c>
    </row>
    <row r="9" spans="1:14">
      <c r="A9" s="427" t="s">
        <v>5726</v>
      </c>
      <c r="D9" s="429">
        <f t="shared" ref="D9:I9" si="13">D5/3</f>
        <v>68751.333333333328</v>
      </c>
      <c r="E9" s="429">
        <f t="shared" si="13"/>
        <v>68640.666666666672</v>
      </c>
      <c r="F9" s="429">
        <f t="shared" si="13"/>
        <v>68719.666666666672</v>
      </c>
      <c r="G9" s="429">
        <f t="shared" si="13"/>
        <v>68741.333333333328</v>
      </c>
      <c r="H9" s="429">
        <f t="shared" si="13"/>
        <v>67756.666666666672</v>
      </c>
      <c r="I9" s="429">
        <f t="shared" si="13"/>
        <v>66320.666666666672</v>
      </c>
      <c r="J9" s="429">
        <f t="shared" ref="J9:K9" si="14">J5/3</f>
        <v>63509</v>
      </c>
      <c r="K9" s="429">
        <f t="shared" si="14"/>
        <v>65462</v>
      </c>
      <c r="L9" s="429">
        <f t="shared" ref="L9" si="15">L5/3</f>
        <v>65510.666666666664</v>
      </c>
    </row>
    <row r="10" spans="1:14">
      <c r="D10" s="431"/>
      <c r="E10" s="431"/>
      <c r="F10" s="431"/>
      <c r="G10" s="431"/>
      <c r="H10" s="431"/>
      <c r="I10" s="431"/>
      <c r="J10" s="431"/>
      <c r="K10" s="431"/>
      <c r="L10" s="431"/>
    </row>
    <row r="11" spans="1:14">
      <c r="A11" s="427" t="s">
        <v>5727</v>
      </c>
      <c r="D11" s="429">
        <f t="shared" ref="D11:I11" si="16">D56</f>
        <v>65726</v>
      </c>
      <c r="E11" s="429">
        <f t="shared" si="16"/>
        <v>65851</v>
      </c>
      <c r="F11" s="429">
        <f t="shared" si="16"/>
        <v>65910</v>
      </c>
      <c r="G11" s="429">
        <f t="shared" si="16"/>
        <v>65720</v>
      </c>
      <c r="H11" s="429">
        <f t="shared" si="16"/>
        <v>64395</v>
      </c>
      <c r="I11" s="429">
        <f t="shared" si="16"/>
        <v>64144</v>
      </c>
      <c r="J11" s="429">
        <f t="shared" ref="J11:K11" si="17">J56</f>
        <v>57532</v>
      </c>
      <c r="K11" s="429">
        <f t="shared" si="17"/>
        <v>59718</v>
      </c>
      <c r="L11" s="429">
        <f t="shared" ref="L11" si="18">L56</f>
        <v>59744</v>
      </c>
      <c r="N11" s="427" t="s">
        <v>5728</v>
      </c>
    </row>
    <row r="12" spans="1:14">
      <c r="D12" s="431"/>
      <c r="E12" s="431"/>
      <c r="F12" s="431"/>
      <c r="G12" s="431"/>
      <c r="H12" s="431"/>
      <c r="I12" s="431"/>
      <c r="J12" s="431"/>
      <c r="K12" s="431"/>
      <c r="L12" s="431"/>
    </row>
    <row r="13" spans="1:14">
      <c r="A13" s="427" t="s">
        <v>5729</v>
      </c>
      <c r="D13" s="429">
        <f t="shared" ref="D13:I13" si="19">D57</f>
        <v>34810</v>
      </c>
      <c r="E13" s="429">
        <f t="shared" si="19"/>
        <v>34677</v>
      </c>
      <c r="F13" s="429">
        <f t="shared" si="19"/>
        <v>34457</v>
      </c>
      <c r="G13" s="429">
        <f t="shared" si="19"/>
        <v>34685</v>
      </c>
      <c r="H13" s="429">
        <f t="shared" si="19"/>
        <v>34654</v>
      </c>
      <c r="I13" s="429">
        <f t="shared" si="19"/>
        <v>34587</v>
      </c>
      <c r="J13" s="429">
        <f t="shared" ref="J13:K13" si="20">J57</f>
        <v>32630</v>
      </c>
      <c r="K13" s="429">
        <f t="shared" si="20"/>
        <v>33683</v>
      </c>
      <c r="L13" s="429">
        <f t="shared" ref="L13" si="21">L57</f>
        <v>33710</v>
      </c>
      <c r="N13" s="427" t="s">
        <v>5728</v>
      </c>
    </row>
    <row r="14" spans="1:14" ht="15.75" thickBot="1">
      <c r="D14" s="430">
        <f t="shared" ref="D14:I14" si="22">D88</f>
        <v>38313</v>
      </c>
      <c r="E14" s="430">
        <f t="shared" si="22"/>
        <v>38199</v>
      </c>
      <c r="F14" s="430">
        <f t="shared" si="22"/>
        <v>38234</v>
      </c>
      <c r="G14" s="430">
        <f t="shared" si="22"/>
        <v>38280</v>
      </c>
      <c r="H14" s="430">
        <f t="shared" si="22"/>
        <v>37846</v>
      </c>
      <c r="I14" s="430">
        <f t="shared" si="22"/>
        <v>36463</v>
      </c>
      <c r="J14" s="430">
        <f t="shared" ref="J14:K14" si="23">J88</f>
        <v>36340</v>
      </c>
      <c r="K14" s="430">
        <f t="shared" si="23"/>
        <v>37396</v>
      </c>
      <c r="L14" s="430">
        <f t="shared" ref="L14" si="24">L88</f>
        <v>37554</v>
      </c>
      <c r="N14" s="427" t="s">
        <v>5730</v>
      </c>
    </row>
    <row r="15" spans="1:14" ht="15.75" thickBot="1">
      <c r="D15" s="430">
        <f t="shared" ref="D15:I15" si="25">D13+D14</f>
        <v>73123</v>
      </c>
      <c r="E15" s="430">
        <f t="shared" si="25"/>
        <v>72876</v>
      </c>
      <c r="F15" s="430">
        <f t="shared" si="25"/>
        <v>72691</v>
      </c>
      <c r="G15" s="430">
        <f t="shared" si="25"/>
        <v>72965</v>
      </c>
      <c r="H15" s="430">
        <f t="shared" si="25"/>
        <v>72500</v>
      </c>
      <c r="I15" s="430">
        <f t="shared" si="25"/>
        <v>71050</v>
      </c>
      <c r="J15" s="430">
        <f t="shared" ref="J15:K15" si="26">J13+J14</f>
        <v>68970</v>
      </c>
      <c r="K15" s="430">
        <f t="shared" si="26"/>
        <v>71079</v>
      </c>
      <c r="L15" s="430">
        <f t="shared" ref="L15" si="27">L13+L14</f>
        <v>71264</v>
      </c>
    </row>
    <row r="16" spans="1:14">
      <c r="D16" s="431"/>
      <c r="E16" s="431"/>
      <c r="F16" s="431"/>
      <c r="G16" s="431"/>
      <c r="H16" s="431"/>
      <c r="I16" s="431"/>
      <c r="J16" s="431"/>
      <c r="K16" s="431"/>
      <c r="L16" s="431"/>
    </row>
    <row r="17" spans="1:18">
      <c r="A17" s="427" t="s">
        <v>5731</v>
      </c>
      <c r="D17" s="429">
        <f t="shared" ref="D17:I17" si="28">D89</f>
        <v>67405</v>
      </c>
      <c r="E17" s="429">
        <f t="shared" si="28"/>
        <v>67195</v>
      </c>
      <c r="F17" s="429">
        <f t="shared" si="28"/>
        <v>67558</v>
      </c>
      <c r="G17" s="429">
        <f t="shared" si="28"/>
        <v>67539</v>
      </c>
      <c r="H17" s="429">
        <f t="shared" si="28"/>
        <v>66375</v>
      </c>
      <c r="I17" s="429">
        <f t="shared" si="28"/>
        <v>63768</v>
      </c>
      <c r="J17" s="429">
        <f t="shared" ref="J17:K17" si="29">J89</f>
        <v>64025</v>
      </c>
      <c r="K17" s="429">
        <f t="shared" si="29"/>
        <v>65589</v>
      </c>
      <c r="L17" s="429">
        <f t="shared" ref="L17" si="30">L89</f>
        <v>65524</v>
      </c>
      <c r="N17" s="427" t="s">
        <v>5730</v>
      </c>
    </row>
    <row r="18" spans="1:18">
      <c r="D18" s="431"/>
      <c r="E18" s="431"/>
      <c r="F18" s="431"/>
      <c r="G18" s="431"/>
      <c r="H18" s="431"/>
      <c r="I18" s="431"/>
      <c r="J18" s="431"/>
      <c r="K18" s="431"/>
      <c r="L18" s="431"/>
    </row>
    <row r="19" spans="1:18">
      <c r="A19" s="427" t="s">
        <v>8697</v>
      </c>
      <c r="D19" s="429">
        <f t="shared" ref="D19:I19" si="31">D11+D15+D17</f>
        <v>206254</v>
      </c>
      <c r="E19" s="429">
        <f t="shared" si="31"/>
        <v>205922</v>
      </c>
      <c r="F19" s="429">
        <f t="shared" si="31"/>
        <v>206159</v>
      </c>
      <c r="G19" s="429">
        <f t="shared" si="31"/>
        <v>206224</v>
      </c>
      <c r="H19" s="429">
        <f t="shared" si="31"/>
        <v>203270</v>
      </c>
      <c r="I19" s="429">
        <f t="shared" si="31"/>
        <v>198962</v>
      </c>
      <c r="J19" s="429">
        <f t="shared" ref="J19:K19" si="32">J11+J15+J17</f>
        <v>190527</v>
      </c>
      <c r="K19" s="429">
        <f t="shared" si="32"/>
        <v>196386</v>
      </c>
      <c r="L19" s="429">
        <f t="shared" ref="L19" si="33">L11+L15+L17</f>
        <v>196532</v>
      </c>
    </row>
    <row r="20" spans="1:18">
      <c r="D20" s="431"/>
      <c r="E20" s="431"/>
      <c r="F20" s="431"/>
      <c r="G20" s="431"/>
      <c r="H20" s="431"/>
      <c r="I20" s="431"/>
      <c r="J20" s="431"/>
      <c r="K20" s="431"/>
      <c r="L20" s="431"/>
    </row>
    <row r="21" spans="1:18">
      <c r="A21" s="427" t="s">
        <v>8698</v>
      </c>
      <c r="D21" s="429">
        <f t="shared" ref="D21:I21" si="34">MAX(D11,D15,D17)-MIN(D11,D15,D17)</f>
        <v>7397</v>
      </c>
      <c r="E21" s="429">
        <f t="shared" si="34"/>
        <v>7025</v>
      </c>
      <c r="F21" s="429">
        <f t="shared" si="34"/>
        <v>6781</v>
      </c>
      <c r="G21" s="429">
        <f t="shared" si="34"/>
        <v>7245</v>
      </c>
      <c r="H21" s="429">
        <f t="shared" si="34"/>
        <v>8105</v>
      </c>
      <c r="I21" s="429">
        <f t="shared" si="34"/>
        <v>7282</v>
      </c>
      <c r="J21" s="429">
        <f t="shared" ref="J21:K21" si="35">MAX(J11,J15,J17)-MIN(J11,J15,J17)</f>
        <v>11438</v>
      </c>
      <c r="K21" s="429">
        <f t="shared" si="35"/>
        <v>11361</v>
      </c>
      <c r="L21" s="429">
        <f t="shared" ref="L21" si="36">MAX(L11,L15,L17)-MIN(L11,L15,L17)</f>
        <v>11520</v>
      </c>
    </row>
    <row r="22" spans="1:18">
      <c r="D22" s="431"/>
      <c r="E22" s="431"/>
      <c r="F22" s="431"/>
      <c r="G22" s="431"/>
      <c r="H22" s="431"/>
      <c r="I22" s="431"/>
      <c r="J22" s="431"/>
      <c r="K22" s="431"/>
      <c r="L22" s="431"/>
    </row>
    <row r="23" spans="1:18">
      <c r="A23" s="427" t="s">
        <v>8701</v>
      </c>
      <c r="D23" s="429">
        <f t="shared" ref="D23:I23" si="37">STDEVP(D11,D15,D17)</f>
        <v>3166.3188230007554</v>
      </c>
      <c r="E23" s="429">
        <f t="shared" si="37"/>
        <v>3044.6806437165496</v>
      </c>
      <c r="F23" s="429">
        <f t="shared" si="37"/>
        <v>2887.6279000052773</v>
      </c>
      <c r="G23" s="429">
        <f t="shared" si="37"/>
        <v>3077.5217663279363</v>
      </c>
      <c r="H23" s="429">
        <f t="shared" si="37"/>
        <v>3450.0732681430918</v>
      </c>
      <c r="I23" s="429">
        <f t="shared" si="37"/>
        <v>3347.6647913964675</v>
      </c>
      <c r="J23" s="429">
        <f t="shared" ref="J23:K23" si="38">STDEVP(J11,J15,J17)</f>
        <v>4683.7771794425353</v>
      </c>
      <c r="K23" s="429">
        <f t="shared" si="38"/>
        <v>4638.9781202329459</v>
      </c>
      <c r="L23" s="429">
        <f t="shared" ref="L23" si="39">STDEVP(L11,L15,L17)</f>
        <v>4703.0297563261165</v>
      </c>
    </row>
    <row r="25" spans="1:18">
      <c r="A25" s="427"/>
      <c r="B25" s="427"/>
      <c r="C25" s="427"/>
      <c r="D25" s="432"/>
      <c r="E25" s="432"/>
      <c r="F25" s="432"/>
      <c r="G25" s="432"/>
      <c r="H25" s="432"/>
      <c r="I25" s="432"/>
      <c r="J25" s="432"/>
      <c r="K25" s="432"/>
      <c r="L25" s="432"/>
    </row>
    <row r="26" spans="1:18">
      <c r="E26" s="42" t="s">
        <v>2303</v>
      </c>
      <c r="F26" s="42"/>
      <c r="G26" s="42"/>
      <c r="H26" s="42"/>
      <c r="I26" s="42"/>
      <c r="J26" s="42"/>
      <c r="K26" s="42"/>
      <c r="L26" s="42"/>
      <c r="M26" s="25"/>
      <c r="N26" s="25" t="s">
        <v>13319</v>
      </c>
    </row>
    <row r="27" spans="1:18">
      <c r="D27" s="24">
        <v>2010</v>
      </c>
      <c r="E27" s="24">
        <v>2011</v>
      </c>
      <c r="F27" s="24">
        <v>2012</v>
      </c>
      <c r="G27" s="24">
        <v>2013</v>
      </c>
      <c r="H27" s="24">
        <v>2014</v>
      </c>
      <c r="I27" s="24">
        <v>2015</v>
      </c>
      <c r="J27" s="24">
        <v>2016</v>
      </c>
      <c r="K27" s="24">
        <v>2017</v>
      </c>
      <c r="L27" s="24">
        <v>2018</v>
      </c>
      <c r="N27" s="29" t="s">
        <v>2304</v>
      </c>
    </row>
    <row r="28" spans="1:18">
      <c r="A28" s="427" t="s">
        <v>7599</v>
      </c>
      <c r="D28" s="429">
        <f t="shared" ref="D28:J28" si="40">SUM(D29:D32)+SUM(D34:D40)+SUM(D42:D51)+D53+D54</f>
        <v>100536</v>
      </c>
      <c r="E28" s="429">
        <f t="shared" si="40"/>
        <v>100528</v>
      </c>
      <c r="F28" s="429">
        <f t="shared" si="40"/>
        <v>100367</v>
      </c>
      <c r="G28" s="429">
        <f t="shared" si="40"/>
        <v>100405</v>
      </c>
      <c r="H28" s="429">
        <f t="shared" si="40"/>
        <v>99049</v>
      </c>
      <c r="I28" s="429">
        <f t="shared" si="40"/>
        <v>98731</v>
      </c>
      <c r="J28" s="429">
        <f t="shared" si="40"/>
        <v>90162</v>
      </c>
      <c r="K28" s="429">
        <f t="shared" ref="K28:L28" si="41">SUM(K29:K32)+SUM(K34:K40)+SUM(K42:K51)+K53+K54</f>
        <v>93401</v>
      </c>
      <c r="L28" s="429">
        <f t="shared" si="41"/>
        <v>93454</v>
      </c>
    </row>
    <row r="29" spans="1:18">
      <c r="A29" s="427" t="s">
        <v>6957</v>
      </c>
      <c r="B29" s="427" t="s">
        <v>4774</v>
      </c>
      <c r="C29" s="4" t="s">
        <v>15168</v>
      </c>
      <c r="D29" s="429">
        <v>65726</v>
      </c>
      <c r="E29" s="429">
        <v>65851</v>
      </c>
      <c r="F29" s="429">
        <v>65910</v>
      </c>
      <c r="G29" s="30">
        <v>65720</v>
      </c>
      <c r="H29" s="30">
        <v>64395</v>
      </c>
      <c r="I29" s="30">
        <v>64144</v>
      </c>
      <c r="J29" s="30">
        <v>4288</v>
      </c>
      <c r="K29" s="30">
        <v>4451</v>
      </c>
      <c r="L29" s="30">
        <v>4455</v>
      </c>
      <c r="N29" s="427" t="s">
        <v>5727</v>
      </c>
      <c r="P29" s="4"/>
      <c r="R29" s="4"/>
    </row>
    <row r="30" spans="1:18">
      <c r="A30" s="427" t="s">
        <v>6959</v>
      </c>
      <c r="B30" s="427" t="s">
        <v>4775</v>
      </c>
      <c r="C30" s="4" t="s">
        <v>15171</v>
      </c>
      <c r="D30" s="429">
        <v>0</v>
      </c>
      <c r="E30" s="429">
        <v>0</v>
      </c>
      <c r="F30" s="429">
        <v>0</v>
      </c>
      <c r="G30" s="30">
        <v>0</v>
      </c>
      <c r="H30" s="30">
        <v>0</v>
      </c>
      <c r="I30" s="30">
        <v>0</v>
      </c>
      <c r="J30" s="30">
        <v>3988</v>
      </c>
      <c r="K30" s="30">
        <v>4096</v>
      </c>
      <c r="L30" s="30">
        <v>4051</v>
      </c>
      <c r="N30" s="427" t="s">
        <v>5727</v>
      </c>
      <c r="P30" s="4"/>
      <c r="R30" s="4"/>
    </row>
    <row r="31" spans="1:18">
      <c r="A31" s="427" t="s">
        <v>6961</v>
      </c>
      <c r="B31" s="427" t="s">
        <v>15170</v>
      </c>
      <c r="C31" s="4" t="s">
        <v>15172</v>
      </c>
      <c r="D31" s="429">
        <v>0</v>
      </c>
      <c r="E31" s="429">
        <v>0</v>
      </c>
      <c r="F31" s="429">
        <v>0</v>
      </c>
      <c r="G31" s="30">
        <v>0</v>
      </c>
      <c r="H31" s="30">
        <v>0</v>
      </c>
      <c r="I31" s="30">
        <v>0</v>
      </c>
      <c r="J31" s="30">
        <v>4158</v>
      </c>
      <c r="K31" s="30">
        <v>4227</v>
      </c>
      <c r="L31" s="30">
        <v>4161</v>
      </c>
      <c r="N31" s="427" t="s">
        <v>5727</v>
      </c>
      <c r="P31" s="4"/>
      <c r="R31" s="4"/>
    </row>
    <row r="32" spans="1:18" ht="15.75" thickBot="1">
      <c r="A32" s="427"/>
      <c r="B32" s="427"/>
      <c r="C32" s="4" t="s">
        <v>15172</v>
      </c>
      <c r="D32" s="430">
        <v>0</v>
      </c>
      <c r="E32" s="430">
        <v>0</v>
      </c>
      <c r="F32" s="430">
        <v>0</v>
      </c>
      <c r="G32" s="899">
        <v>0</v>
      </c>
      <c r="H32" s="899">
        <v>0</v>
      </c>
      <c r="I32" s="899">
        <v>0</v>
      </c>
      <c r="J32" s="30">
        <v>1721</v>
      </c>
      <c r="K32" s="30">
        <v>1773</v>
      </c>
      <c r="L32" s="30">
        <v>1776</v>
      </c>
      <c r="N32" s="427" t="s">
        <v>5729</v>
      </c>
      <c r="P32" s="4"/>
      <c r="R32" s="4"/>
    </row>
    <row r="33" spans="1:18" ht="15.75" thickBot="1">
      <c r="A33" s="427"/>
      <c r="B33" s="427"/>
      <c r="C33" s="4" t="s">
        <v>15172</v>
      </c>
      <c r="D33" s="915">
        <f>D31+D32</f>
        <v>0</v>
      </c>
      <c r="E33" s="915">
        <f t="shared" ref="E33:L33" si="42">E31+E32</f>
        <v>0</v>
      </c>
      <c r="F33" s="915">
        <f t="shared" si="42"/>
        <v>0</v>
      </c>
      <c r="G33" s="915">
        <f t="shared" si="42"/>
        <v>0</v>
      </c>
      <c r="H33" s="915">
        <f t="shared" si="42"/>
        <v>0</v>
      </c>
      <c r="I33" s="915">
        <f t="shared" si="42"/>
        <v>0</v>
      </c>
      <c r="J33" s="915">
        <f t="shared" si="42"/>
        <v>5879</v>
      </c>
      <c r="K33" s="915">
        <f t="shared" si="42"/>
        <v>6000</v>
      </c>
      <c r="L33" s="915">
        <f t="shared" si="42"/>
        <v>5937</v>
      </c>
      <c r="N33" s="427"/>
      <c r="P33" s="4"/>
      <c r="R33" s="4"/>
    </row>
    <row r="34" spans="1:18">
      <c r="A34" s="427" t="s">
        <v>6963</v>
      </c>
      <c r="B34" s="427" t="s">
        <v>15173</v>
      </c>
      <c r="C34" s="4" t="s">
        <v>15174</v>
      </c>
      <c r="D34" s="429">
        <v>0</v>
      </c>
      <c r="E34" s="429">
        <v>0</v>
      </c>
      <c r="F34" s="429">
        <v>0</v>
      </c>
      <c r="G34" s="30">
        <v>0</v>
      </c>
      <c r="H34" s="30">
        <v>0</v>
      </c>
      <c r="I34" s="30">
        <v>0</v>
      </c>
      <c r="J34" s="30">
        <v>5418</v>
      </c>
      <c r="K34" s="30">
        <v>5686</v>
      </c>
      <c r="L34" s="30">
        <v>5608</v>
      </c>
      <c r="N34" s="427" t="s">
        <v>5727</v>
      </c>
      <c r="P34" s="4"/>
      <c r="R34" s="4"/>
    </row>
    <row r="35" spans="1:18">
      <c r="A35" s="427" t="s">
        <v>6965</v>
      </c>
      <c r="B35" s="427" t="s">
        <v>7725</v>
      </c>
      <c r="C35" s="4" t="s">
        <v>15175</v>
      </c>
      <c r="D35" s="429">
        <v>0</v>
      </c>
      <c r="E35" s="429">
        <v>0</v>
      </c>
      <c r="F35" s="429">
        <v>0</v>
      </c>
      <c r="G35" s="30">
        <v>0</v>
      </c>
      <c r="H35" s="30">
        <v>0</v>
      </c>
      <c r="I35" s="30">
        <v>0</v>
      </c>
      <c r="J35" s="30">
        <v>4953</v>
      </c>
      <c r="K35" s="30">
        <v>5263</v>
      </c>
      <c r="L35" s="30">
        <v>5410</v>
      </c>
      <c r="N35" s="427" t="s">
        <v>5727</v>
      </c>
      <c r="P35" s="4"/>
      <c r="R35" s="4"/>
    </row>
    <row r="36" spans="1:18">
      <c r="A36" s="427" t="s">
        <v>6997</v>
      </c>
      <c r="B36" s="427" t="s">
        <v>4776</v>
      </c>
      <c r="C36" s="4" t="s">
        <v>15176</v>
      </c>
      <c r="D36" s="429">
        <v>34810</v>
      </c>
      <c r="E36" s="429">
        <v>34677</v>
      </c>
      <c r="F36" s="429">
        <v>34457</v>
      </c>
      <c r="G36" s="30">
        <v>34685</v>
      </c>
      <c r="H36" s="30">
        <v>34654</v>
      </c>
      <c r="I36" s="30">
        <v>34587</v>
      </c>
      <c r="J36" s="31">
        <v>6366</v>
      </c>
      <c r="K36" s="31">
        <v>6453</v>
      </c>
      <c r="L36" s="31">
        <v>6451</v>
      </c>
      <c r="N36" s="427" t="s">
        <v>5729</v>
      </c>
      <c r="P36" s="4"/>
      <c r="R36" s="4"/>
    </row>
    <row r="37" spans="1:18">
      <c r="A37" s="427" t="s">
        <v>6999</v>
      </c>
      <c r="B37" s="427" t="s">
        <v>4777</v>
      </c>
      <c r="C37" s="4" t="s">
        <v>15177</v>
      </c>
      <c r="D37" s="429">
        <v>0</v>
      </c>
      <c r="E37" s="429">
        <v>0</v>
      </c>
      <c r="F37" s="429">
        <v>0</v>
      </c>
      <c r="G37" s="31">
        <v>0</v>
      </c>
      <c r="H37" s="31">
        <v>0</v>
      </c>
      <c r="I37" s="31">
        <v>0</v>
      </c>
      <c r="J37" s="31">
        <v>4386</v>
      </c>
      <c r="K37" s="31">
        <v>4504</v>
      </c>
      <c r="L37" s="31">
        <v>4479</v>
      </c>
      <c r="N37" s="427" t="s">
        <v>5729</v>
      </c>
      <c r="P37" s="4"/>
      <c r="R37" s="4"/>
    </row>
    <row r="38" spans="1:18">
      <c r="A38" s="427" t="s">
        <v>7001</v>
      </c>
      <c r="B38" s="427" t="s">
        <v>4778</v>
      </c>
      <c r="C38" s="4" t="s">
        <v>15178</v>
      </c>
      <c r="D38" s="429">
        <v>0</v>
      </c>
      <c r="E38" s="429">
        <v>0</v>
      </c>
      <c r="F38" s="429">
        <v>0</v>
      </c>
      <c r="G38" s="30">
        <v>0</v>
      </c>
      <c r="H38" s="30">
        <v>0</v>
      </c>
      <c r="I38" s="30">
        <v>0</v>
      </c>
      <c r="J38" s="30">
        <v>4413</v>
      </c>
      <c r="K38" s="30">
        <v>4459</v>
      </c>
      <c r="L38" s="30">
        <v>4409</v>
      </c>
      <c r="N38" s="427" t="s">
        <v>5727</v>
      </c>
      <c r="P38" s="4"/>
      <c r="R38" s="4"/>
    </row>
    <row r="39" spans="1:18">
      <c r="A39" s="427" t="s">
        <v>7003</v>
      </c>
      <c r="B39" s="427" t="s">
        <v>4779</v>
      </c>
      <c r="C39" s="4" t="s">
        <v>15179</v>
      </c>
      <c r="D39" s="429">
        <v>0</v>
      </c>
      <c r="E39" s="429">
        <v>0</v>
      </c>
      <c r="F39" s="429">
        <v>0</v>
      </c>
      <c r="G39" s="30">
        <v>0</v>
      </c>
      <c r="H39" s="30">
        <v>0</v>
      </c>
      <c r="I39" s="30">
        <v>0</v>
      </c>
      <c r="J39" s="30">
        <v>25</v>
      </c>
      <c r="K39" s="30">
        <v>27</v>
      </c>
      <c r="L39" s="30">
        <v>26</v>
      </c>
      <c r="N39" s="427" t="s">
        <v>5727</v>
      </c>
      <c r="P39" s="4"/>
      <c r="R39" s="4"/>
    </row>
    <row r="40" spans="1:18" ht="15.75" thickBot="1">
      <c r="C40" s="4" t="s">
        <v>15179</v>
      </c>
      <c r="D40" s="430">
        <v>0</v>
      </c>
      <c r="E40" s="430">
        <v>0</v>
      </c>
      <c r="F40" s="430">
        <v>0</v>
      </c>
      <c r="G40" s="899">
        <v>0</v>
      </c>
      <c r="H40" s="899">
        <v>0</v>
      </c>
      <c r="I40" s="899">
        <v>0</v>
      </c>
      <c r="J40" s="31">
        <v>3835</v>
      </c>
      <c r="K40" s="31">
        <v>3883</v>
      </c>
      <c r="L40" s="31">
        <v>3852</v>
      </c>
      <c r="N40" s="427" t="s">
        <v>5729</v>
      </c>
      <c r="P40" s="4"/>
      <c r="R40" s="4"/>
    </row>
    <row r="41" spans="1:18" ht="15.75" thickBot="1">
      <c r="C41" s="4" t="s">
        <v>15179</v>
      </c>
      <c r="D41" s="915">
        <f>D39+D40</f>
        <v>0</v>
      </c>
      <c r="E41" s="915">
        <f t="shared" ref="E41" si="43">E39+E40</f>
        <v>0</v>
      </c>
      <c r="F41" s="915">
        <f t="shared" ref="F41" si="44">F39+F40</f>
        <v>0</v>
      </c>
      <c r="G41" s="915">
        <f t="shared" ref="G41" si="45">G39+G40</f>
        <v>0</v>
      </c>
      <c r="H41" s="915">
        <f t="shared" ref="H41" si="46">H39+H40</f>
        <v>0</v>
      </c>
      <c r="I41" s="915">
        <f t="shared" ref="I41" si="47">I39+I40</f>
        <v>0</v>
      </c>
      <c r="J41" s="915">
        <f t="shared" ref="J41:L41" si="48">J39+J40</f>
        <v>3860</v>
      </c>
      <c r="K41" s="915">
        <f t="shared" si="48"/>
        <v>3910</v>
      </c>
      <c r="L41" s="915">
        <f t="shared" si="48"/>
        <v>3878</v>
      </c>
      <c r="N41" s="427"/>
      <c r="P41" s="4"/>
      <c r="R41" s="4"/>
    </row>
    <row r="42" spans="1:18">
      <c r="A42" s="427" t="s">
        <v>7005</v>
      </c>
      <c r="B42" s="427" t="s">
        <v>4780</v>
      </c>
      <c r="C42" s="4" t="s">
        <v>15180</v>
      </c>
      <c r="D42" s="429">
        <v>0</v>
      </c>
      <c r="E42" s="429">
        <v>0</v>
      </c>
      <c r="F42" s="429">
        <v>0</v>
      </c>
      <c r="G42" s="30">
        <v>0</v>
      </c>
      <c r="H42" s="30">
        <v>0</v>
      </c>
      <c r="I42" s="30">
        <v>0</v>
      </c>
      <c r="J42" s="30">
        <v>4266</v>
      </c>
      <c r="K42" s="30">
        <v>4465</v>
      </c>
      <c r="L42" s="30">
        <v>4450</v>
      </c>
      <c r="N42" s="427" t="s">
        <v>5727</v>
      </c>
      <c r="P42" s="4"/>
      <c r="R42" s="4"/>
    </row>
    <row r="43" spans="1:18">
      <c r="A43" s="427" t="s">
        <v>7007</v>
      </c>
      <c r="B43" s="427" t="s">
        <v>15182</v>
      </c>
      <c r="C43" s="4" t="s">
        <v>15181</v>
      </c>
      <c r="D43" s="429">
        <v>0</v>
      </c>
      <c r="E43" s="429">
        <v>0</v>
      </c>
      <c r="F43" s="429">
        <v>0</v>
      </c>
      <c r="G43" s="31">
        <v>0</v>
      </c>
      <c r="H43" s="31">
        <v>0</v>
      </c>
      <c r="I43" s="31">
        <v>0</v>
      </c>
      <c r="J43" s="30">
        <v>6171</v>
      </c>
      <c r="K43" s="30">
        <v>6350</v>
      </c>
      <c r="L43" s="30">
        <v>6350</v>
      </c>
      <c r="N43" s="427" t="s">
        <v>5727</v>
      </c>
      <c r="P43" s="4"/>
      <c r="R43" s="4"/>
    </row>
    <row r="44" spans="1:18">
      <c r="A44" s="427" t="s">
        <v>7009</v>
      </c>
      <c r="B44" s="427" t="s">
        <v>15183</v>
      </c>
      <c r="C44" s="4" t="s">
        <v>15186</v>
      </c>
      <c r="D44" s="429">
        <v>0</v>
      </c>
      <c r="E44" s="429">
        <v>0</v>
      </c>
      <c r="F44" s="429">
        <v>0</v>
      </c>
      <c r="G44" s="31">
        <v>0</v>
      </c>
      <c r="H44" s="31">
        <v>0</v>
      </c>
      <c r="I44" s="31">
        <v>0</v>
      </c>
      <c r="J44" s="31">
        <v>4066</v>
      </c>
      <c r="K44" s="31">
        <v>4274</v>
      </c>
      <c r="L44" s="31">
        <v>4341</v>
      </c>
      <c r="N44" s="427" t="s">
        <v>5729</v>
      </c>
      <c r="P44" s="4"/>
      <c r="R44" s="4"/>
    </row>
    <row r="45" spans="1:18">
      <c r="A45" s="427" t="s">
        <v>7011</v>
      </c>
      <c r="B45" s="427" t="s">
        <v>4781</v>
      </c>
      <c r="C45" s="4" t="s">
        <v>15187</v>
      </c>
      <c r="D45" s="429">
        <v>0</v>
      </c>
      <c r="E45" s="429">
        <v>0</v>
      </c>
      <c r="F45" s="429">
        <v>0</v>
      </c>
      <c r="G45" s="31">
        <v>0</v>
      </c>
      <c r="H45" s="31">
        <v>0</v>
      </c>
      <c r="I45" s="31">
        <v>0</v>
      </c>
      <c r="J45" s="31">
        <v>4210</v>
      </c>
      <c r="K45" s="31">
        <v>4395</v>
      </c>
      <c r="L45" s="31">
        <v>4383</v>
      </c>
      <c r="N45" s="427" t="s">
        <v>5729</v>
      </c>
      <c r="P45" s="4"/>
      <c r="R45" s="4"/>
    </row>
    <row r="46" spans="1:18">
      <c r="A46" s="427" t="s">
        <v>7013</v>
      </c>
      <c r="B46" s="427" t="s">
        <v>3903</v>
      </c>
      <c r="C46" s="4" t="s">
        <v>15188</v>
      </c>
      <c r="D46" s="429">
        <v>0</v>
      </c>
      <c r="E46" s="429">
        <v>0</v>
      </c>
      <c r="F46" s="429">
        <v>0</v>
      </c>
      <c r="G46" s="31">
        <v>0</v>
      </c>
      <c r="H46" s="31">
        <v>0</v>
      </c>
      <c r="I46" s="31">
        <v>0</v>
      </c>
      <c r="J46" s="30">
        <v>5012</v>
      </c>
      <c r="K46" s="30">
        <v>5143</v>
      </c>
      <c r="L46" s="30">
        <v>5043</v>
      </c>
      <c r="N46" s="427" t="s">
        <v>5727</v>
      </c>
      <c r="P46" s="4"/>
      <c r="R46" s="4"/>
    </row>
    <row r="47" spans="1:18">
      <c r="A47" s="427" t="s">
        <v>7015</v>
      </c>
      <c r="B47" s="427" t="s">
        <v>15184</v>
      </c>
      <c r="C47" s="4" t="s">
        <v>15189</v>
      </c>
      <c r="D47" s="429">
        <v>0</v>
      </c>
      <c r="E47" s="429">
        <v>0</v>
      </c>
      <c r="F47" s="429">
        <v>0</v>
      </c>
      <c r="G47" s="31">
        <v>0</v>
      </c>
      <c r="H47" s="31">
        <v>0</v>
      </c>
      <c r="I47" s="31">
        <v>0</v>
      </c>
      <c r="J47" s="30">
        <v>1570</v>
      </c>
      <c r="K47" s="30">
        <v>1682</v>
      </c>
      <c r="L47" s="30">
        <v>1727</v>
      </c>
      <c r="N47" s="427" t="s">
        <v>5727</v>
      </c>
      <c r="P47" s="4"/>
      <c r="R47" s="4"/>
    </row>
    <row r="48" spans="1:18">
      <c r="A48" s="427" t="s">
        <v>7017</v>
      </c>
      <c r="B48" s="427" t="s">
        <v>8367</v>
      </c>
      <c r="C48" s="4" t="s">
        <v>15190</v>
      </c>
      <c r="D48" s="429">
        <v>0</v>
      </c>
      <c r="E48" s="429">
        <v>0</v>
      </c>
      <c r="F48" s="429">
        <v>0</v>
      </c>
      <c r="G48" s="31">
        <v>0</v>
      </c>
      <c r="H48" s="31">
        <v>0</v>
      </c>
      <c r="I48" s="31">
        <v>0</v>
      </c>
      <c r="J48" s="31">
        <v>3891</v>
      </c>
      <c r="K48" s="31">
        <v>4075</v>
      </c>
      <c r="L48" s="31">
        <v>4114</v>
      </c>
      <c r="N48" s="427" t="s">
        <v>5729</v>
      </c>
      <c r="P48" s="4"/>
      <c r="R48" s="4"/>
    </row>
    <row r="49" spans="1:18">
      <c r="A49" s="427" t="s">
        <v>7019</v>
      </c>
      <c r="B49" s="427" t="s">
        <v>2442</v>
      </c>
      <c r="C49" s="4" t="s">
        <v>15191</v>
      </c>
      <c r="D49" s="429">
        <v>0</v>
      </c>
      <c r="E49" s="429">
        <v>0</v>
      </c>
      <c r="F49" s="429">
        <v>0</v>
      </c>
      <c r="G49" s="31">
        <v>0</v>
      </c>
      <c r="H49" s="31">
        <v>0</v>
      </c>
      <c r="I49" s="31">
        <v>0</v>
      </c>
      <c r="J49" s="30">
        <v>6383</v>
      </c>
      <c r="K49" s="30">
        <v>6549</v>
      </c>
      <c r="L49" s="30">
        <v>6554</v>
      </c>
      <c r="N49" s="427" t="s">
        <v>5727</v>
      </c>
      <c r="P49" s="4"/>
      <c r="R49" s="4"/>
    </row>
    <row r="50" spans="1:18">
      <c r="A50" s="427" t="s">
        <v>7021</v>
      </c>
      <c r="B50" s="427" t="s">
        <v>15185</v>
      </c>
      <c r="C50" s="4" t="s">
        <v>15192</v>
      </c>
      <c r="D50" s="429">
        <v>0</v>
      </c>
      <c r="E50" s="429">
        <v>0</v>
      </c>
      <c r="F50" s="429">
        <v>0</v>
      </c>
      <c r="G50" s="31">
        <v>0</v>
      </c>
      <c r="H50" s="31">
        <v>0</v>
      </c>
      <c r="I50" s="31">
        <v>0</v>
      </c>
      <c r="J50" s="30">
        <v>3314</v>
      </c>
      <c r="K50" s="30">
        <v>3459</v>
      </c>
      <c r="L50" s="30">
        <v>3463</v>
      </c>
      <c r="N50" s="427" t="s">
        <v>5727</v>
      </c>
      <c r="P50" s="4"/>
      <c r="R50" s="4"/>
    </row>
    <row r="51" spans="1:18" ht="15.75" thickBot="1">
      <c r="A51" s="427"/>
      <c r="B51" s="427"/>
      <c r="C51" s="4" t="s">
        <v>15192</v>
      </c>
      <c r="D51" s="430">
        <v>0</v>
      </c>
      <c r="E51" s="430">
        <v>0</v>
      </c>
      <c r="F51" s="430">
        <v>0</v>
      </c>
      <c r="G51" s="899">
        <v>0</v>
      </c>
      <c r="H51" s="899">
        <v>0</v>
      </c>
      <c r="I51" s="899">
        <v>0</v>
      </c>
      <c r="J51" s="31">
        <v>2311</v>
      </c>
      <c r="K51" s="31">
        <v>2323</v>
      </c>
      <c r="L51" s="31">
        <v>2265</v>
      </c>
      <c r="N51" s="427" t="s">
        <v>5729</v>
      </c>
      <c r="P51" s="4"/>
      <c r="R51" s="4"/>
    </row>
    <row r="52" spans="1:18" ht="15.75" thickBot="1">
      <c r="A52" s="427"/>
      <c r="B52" s="427"/>
      <c r="C52" s="4" t="s">
        <v>15192</v>
      </c>
      <c r="D52" s="915">
        <f>D50+D51</f>
        <v>0</v>
      </c>
      <c r="E52" s="915">
        <f t="shared" ref="E52" si="49">E50+E51</f>
        <v>0</v>
      </c>
      <c r="F52" s="915">
        <f t="shared" ref="F52" si="50">F50+F51</f>
        <v>0</v>
      </c>
      <c r="G52" s="915">
        <f t="shared" ref="G52" si="51">G50+G51</f>
        <v>0</v>
      </c>
      <c r="H52" s="915">
        <f t="shared" ref="H52" si="52">H50+H51</f>
        <v>0</v>
      </c>
      <c r="I52" s="915">
        <f t="shared" ref="I52" si="53">I50+I51</f>
        <v>0</v>
      </c>
      <c r="J52" s="915">
        <f t="shared" ref="J52:L52" si="54">J50+J51</f>
        <v>5625</v>
      </c>
      <c r="K52" s="915">
        <f t="shared" si="54"/>
        <v>5782</v>
      </c>
      <c r="L52" s="915">
        <f t="shared" si="54"/>
        <v>5728</v>
      </c>
      <c r="N52" s="427"/>
      <c r="P52" s="4"/>
      <c r="R52" s="4"/>
    </row>
    <row r="53" spans="1:18">
      <c r="A53" s="427" t="s">
        <v>7023</v>
      </c>
      <c r="B53" s="427" t="s">
        <v>15193</v>
      </c>
      <c r="C53" s="4" t="s">
        <v>15195</v>
      </c>
      <c r="D53" s="429">
        <v>0</v>
      </c>
      <c r="E53" s="429">
        <v>0</v>
      </c>
      <c r="F53" s="429">
        <v>0</v>
      </c>
      <c r="G53" s="31">
        <v>0</v>
      </c>
      <c r="H53" s="31">
        <v>0</v>
      </c>
      <c r="I53" s="31">
        <v>0</v>
      </c>
      <c r="J53" s="31">
        <v>1844</v>
      </c>
      <c r="K53" s="31">
        <v>2003</v>
      </c>
      <c r="L53" s="31">
        <v>2049</v>
      </c>
      <c r="N53" s="427" t="s">
        <v>5729</v>
      </c>
      <c r="P53" s="4"/>
      <c r="R53" s="4"/>
    </row>
    <row r="54" spans="1:18">
      <c r="A54" s="427" t="s">
        <v>7025</v>
      </c>
      <c r="B54" s="427" t="s">
        <v>15194</v>
      </c>
      <c r="C54" s="4" t="s">
        <v>15196</v>
      </c>
      <c r="D54" s="429">
        <v>0</v>
      </c>
      <c r="E54" s="429">
        <v>0</v>
      </c>
      <c r="F54" s="429">
        <v>0</v>
      </c>
      <c r="G54" s="31">
        <v>0</v>
      </c>
      <c r="H54" s="31">
        <v>0</v>
      </c>
      <c r="I54" s="31">
        <v>0</v>
      </c>
      <c r="J54" s="30">
        <v>3573</v>
      </c>
      <c r="K54" s="30">
        <v>3861</v>
      </c>
      <c r="L54" s="30">
        <v>4037</v>
      </c>
      <c r="N54" s="427" t="s">
        <v>5727</v>
      </c>
      <c r="P54" s="4"/>
      <c r="R54" s="4"/>
    </row>
    <row r="55" spans="1:18">
      <c r="D55" s="431"/>
      <c r="E55" s="431"/>
      <c r="F55" s="431"/>
      <c r="G55" s="431"/>
      <c r="H55" s="431"/>
      <c r="I55" s="431"/>
      <c r="J55" s="431"/>
      <c r="K55" s="431"/>
      <c r="L55" s="431"/>
    </row>
    <row r="56" spans="1:18">
      <c r="A56" s="427" t="s">
        <v>5727</v>
      </c>
      <c r="D56" s="429">
        <f>SUM(D29:D31)+D34+D35+D38+D39+D42+D46+D43+D47+D49+D50+D54</f>
        <v>65726</v>
      </c>
      <c r="E56" s="429">
        <f t="shared" ref="E56:J56" si="55">SUM(E29:E31)+E34+E35+E38+E39+E42+E46+E43+E47+E49+E50+E54</f>
        <v>65851</v>
      </c>
      <c r="F56" s="429">
        <f t="shared" si="55"/>
        <v>65910</v>
      </c>
      <c r="G56" s="429">
        <f t="shared" si="55"/>
        <v>65720</v>
      </c>
      <c r="H56" s="429">
        <f t="shared" si="55"/>
        <v>64395</v>
      </c>
      <c r="I56" s="429">
        <f t="shared" si="55"/>
        <v>64144</v>
      </c>
      <c r="J56" s="429">
        <f t="shared" si="55"/>
        <v>57532</v>
      </c>
      <c r="K56" s="429">
        <f t="shared" ref="K56:L56" si="56">SUM(K29:K31)+K34+K35+K38+K39+K42+K46+K43+K47+K49+K50+K54</f>
        <v>59718</v>
      </c>
      <c r="L56" s="429">
        <f t="shared" si="56"/>
        <v>59744</v>
      </c>
    </row>
    <row r="57" spans="1:18">
      <c r="A57" s="427" t="s">
        <v>6552</v>
      </c>
      <c r="D57" s="429">
        <f>D32+D36+D37+D40+D44+D45+D48+D51+D53</f>
        <v>34810</v>
      </c>
      <c r="E57" s="429">
        <f t="shared" ref="E57:J57" si="57">E32+E36+E37+E40+E44+E45+E48+E51+E53</f>
        <v>34677</v>
      </c>
      <c r="F57" s="429">
        <f t="shared" si="57"/>
        <v>34457</v>
      </c>
      <c r="G57" s="429">
        <f t="shared" si="57"/>
        <v>34685</v>
      </c>
      <c r="H57" s="429">
        <f t="shared" si="57"/>
        <v>34654</v>
      </c>
      <c r="I57" s="429">
        <f t="shared" si="57"/>
        <v>34587</v>
      </c>
      <c r="J57" s="429">
        <f t="shared" si="57"/>
        <v>32630</v>
      </c>
      <c r="K57" s="429">
        <f t="shared" ref="K57:L57" si="58">K32+K36+K37+K40+K44+K45+K48+K51+K53</f>
        <v>33683</v>
      </c>
      <c r="L57" s="429">
        <f t="shared" si="58"/>
        <v>33710</v>
      </c>
    </row>
    <row r="58" spans="1:18">
      <c r="A58" s="427"/>
      <c r="B58" s="427"/>
      <c r="D58" s="432"/>
      <c r="E58" s="432"/>
      <c r="F58" s="432"/>
      <c r="G58" s="432"/>
      <c r="H58" s="432"/>
      <c r="I58" s="432"/>
      <c r="J58" s="432"/>
      <c r="K58" s="432"/>
      <c r="L58" s="432"/>
    </row>
    <row r="59" spans="1:18">
      <c r="A59" s="427" t="s">
        <v>15169</v>
      </c>
      <c r="B59" s="427"/>
      <c r="D59" s="432"/>
      <c r="E59" s="432"/>
      <c r="F59" s="432"/>
      <c r="G59" s="432"/>
      <c r="H59" s="432"/>
      <c r="I59" s="432"/>
      <c r="J59" s="432"/>
      <c r="K59" s="432"/>
      <c r="L59" s="432"/>
    </row>
    <row r="60" spans="1:18">
      <c r="A60" s="427"/>
      <c r="B60" s="427"/>
      <c r="D60" s="432"/>
      <c r="E60" s="432"/>
      <c r="F60" s="432"/>
      <c r="G60" s="432"/>
      <c r="H60" s="432"/>
      <c r="I60" s="432"/>
      <c r="J60" s="432"/>
      <c r="K60" s="432"/>
      <c r="L60" s="432"/>
    </row>
    <row r="61" spans="1:18">
      <c r="A61" s="427"/>
      <c r="B61" s="427"/>
      <c r="D61" s="432"/>
      <c r="E61" s="432"/>
      <c r="F61" s="432"/>
      <c r="G61" s="432"/>
      <c r="H61" s="432"/>
      <c r="I61" s="432"/>
      <c r="J61" s="432"/>
      <c r="K61" s="432"/>
      <c r="L61" s="432"/>
    </row>
    <row r="62" spans="1:18">
      <c r="E62" s="42" t="s">
        <v>2303</v>
      </c>
      <c r="F62" s="42"/>
      <c r="G62" s="42"/>
      <c r="H62" s="42"/>
      <c r="I62" s="42"/>
      <c r="J62" s="42"/>
      <c r="K62" s="42"/>
      <c r="L62" s="42"/>
      <c r="M62" s="25"/>
      <c r="N62" s="25" t="s">
        <v>13319</v>
      </c>
    </row>
    <row r="63" spans="1:18">
      <c r="D63" s="24">
        <v>2010</v>
      </c>
      <c r="E63" s="24">
        <v>2011</v>
      </c>
      <c r="F63" s="24">
        <v>2012</v>
      </c>
      <c r="G63" s="24">
        <v>2013</v>
      </c>
      <c r="H63" s="24">
        <v>2014</v>
      </c>
      <c r="I63" s="24">
        <v>2015</v>
      </c>
      <c r="J63" s="24">
        <v>2016</v>
      </c>
      <c r="K63" s="24">
        <v>2017</v>
      </c>
      <c r="L63" s="24">
        <v>2018</v>
      </c>
      <c r="N63" s="29" t="s">
        <v>2304</v>
      </c>
    </row>
    <row r="64" spans="1:18">
      <c r="A64" s="427" t="s">
        <v>5723</v>
      </c>
      <c r="D64" s="429">
        <f t="shared" ref="D64:I64" si="59">SUM(D65:D86)</f>
        <v>105718</v>
      </c>
      <c r="E64" s="429">
        <f t="shared" si="59"/>
        <v>105394</v>
      </c>
      <c r="F64" s="429">
        <f t="shared" si="59"/>
        <v>105792</v>
      </c>
      <c r="G64" s="429">
        <f t="shared" si="59"/>
        <v>105819</v>
      </c>
      <c r="H64" s="429">
        <f t="shared" si="59"/>
        <v>104221</v>
      </c>
      <c r="I64" s="429">
        <f t="shared" si="59"/>
        <v>100231</v>
      </c>
      <c r="J64" s="429">
        <f t="shared" ref="J64:K64" si="60">SUM(J65:J86)</f>
        <v>100365</v>
      </c>
      <c r="K64" s="429">
        <f t="shared" si="60"/>
        <v>102985</v>
      </c>
      <c r="L64" s="429">
        <f t="shared" ref="L64" si="61">SUM(L65:L86)</f>
        <v>103078</v>
      </c>
    </row>
    <row r="65" spans="1:18">
      <c r="A65" s="427" t="s">
        <v>6957</v>
      </c>
      <c r="B65" s="427" t="s">
        <v>6553</v>
      </c>
      <c r="C65" s="4" t="s">
        <v>7484</v>
      </c>
      <c r="D65" s="429">
        <v>5389</v>
      </c>
      <c r="E65" s="429">
        <v>5374</v>
      </c>
      <c r="F65" s="429">
        <v>5352</v>
      </c>
      <c r="G65" s="429">
        <v>5351</v>
      </c>
      <c r="H65" s="30">
        <v>5442</v>
      </c>
      <c r="I65" s="30">
        <v>5236</v>
      </c>
      <c r="J65" s="30">
        <v>5151</v>
      </c>
      <c r="K65" s="30">
        <v>5212</v>
      </c>
      <c r="L65" s="30">
        <v>5149</v>
      </c>
      <c r="N65" s="427" t="s">
        <v>5729</v>
      </c>
      <c r="P65" s="4"/>
      <c r="R65" s="4"/>
    </row>
    <row r="66" spans="1:18">
      <c r="A66" s="427" t="s">
        <v>6959</v>
      </c>
      <c r="B66" s="427" t="s">
        <v>6554</v>
      </c>
      <c r="C66" s="4" t="s">
        <v>7485</v>
      </c>
      <c r="D66" s="429">
        <v>3962</v>
      </c>
      <c r="E66" s="429">
        <v>3910</v>
      </c>
      <c r="F66" s="429">
        <v>3926</v>
      </c>
      <c r="G66" s="429">
        <v>3966</v>
      </c>
      <c r="H66" s="30">
        <v>3729</v>
      </c>
      <c r="I66" s="30">
        <v>3519</v>
      </c>
      <c r="J66" s="30">
        <v>3598</v>
      </c>
      <c r="K66" s="30">
        <v>3856</v>
      </c>
      <c r="L66" s="30">
        <v>3756</v>
      </c>
      <c r="N66" s="427" t="s">
        <v>5731</v>
      </c>
      <c r="P66" s="4"/>
      <c r="R66" s="4"/>
    </row>
    <row r="67" spans="1:18">
      <c r="A67" s="427" t="s">
        <v>6961</v>
      </c>
      <c r="B67" s="427" t="s">
        <v>4743</v>
      </c>
      <c r="C67" s="4" t="s">
        <v>7486</v>
      </c>
      <c r="D67" s="429">
        <v>5275</v>
      </c>
      <c r="E67" s="429">
        <v>5212</v>
      </c>
      <c r="F67" s="429">
        <v>5273</v>
      </c>
      <c r="G67" s="429">
        <v>5288</v>
      </c>
      <c r="H67" s="30">
        <v>5224</v>
      </c>
      <c r="I67" s="30">
        <v>4969</v>
      </c>
      <c r="J67" s="30">
        <v>4951</v>
      </c>
      <c r="K67" s="30">
        <v>5073</v>
      </c>
      <c r="L67" s="30">
        <v>4999</v>
      </c>
      <c r="N67" s="427" t="s">
        <v>5731</v>
      </c>
      <c r="P67" s="4"/>
      <c r="R67" s="4"/>
    </row>
    <row r="68" spans="1:18">
      <c r="A68" s="427" t="s">
        <v>6963</v>
      </c>
      <c r="B68" s="427" t="s">
        <v>4744</v>
      </c>
      <c r="C68" s="4" t="s">
        <v>7487</v>
      </c>
      <c r="D68" s="429">
        <v>5497</v>
      </c>
      <c r="E68" s="429">
        <v>5557</v>
      </c>
      <c r="F68" s="429">
        <v>5591</v>
      </c>
      <c r="G68" s="429">
        <v>5498</v>
      </c>
      <c r="H68" s="30">
        <v>5308</v>
      </c>
      <c r="I68" s="30">
        <v>4914</v>
      </c>
      <c r="J68" s="30">
        <v>4928</v>
      </c>
      <c r="K68" s="30">
        <v>5108</v>
      </c>
      <c r="L68" s="30">
        <v>5108</v>
      </c>
      <c r="N68" s="427" t="s">
        <v>5731</v>
      </c>
      <c r="P68" s="4"/>
      <c r="R68" s="4"/>
    </row>
    <row r="69" spans="1:18">
      <c r="A69" s="427" t="s">
        <v>6965</v>
      </c>
      <c r="B69" s="427" t="s">
        <v>4745</v>
      </c>
      <c r="C69" s="4" t="s">
        <v>7488</v>
      </c>
      <c r="D69" s="429">
        <v>3178</v>
      </c>
      <c r="E69" s="429">
        <v>3223</v>
      </c>
      <c r="F69" s="429">
        <v>3247</v>
      </c>
      <c r="G69" s="429">
        <v>3312</v>
      </c>
      <c r="H69" s="30">
        <v>3130</v>
      </c>
      <c r="I69" s="30">
        <v>2947</v>
      </c>
      <c r="J69" s="30">
        <v>2879</v>
      </c>
      <c r="K69" s="30">
        <v>2990</v>
      </c>
      <c r="L69" s="30">
        <v>2972</v>
      </c>
      <c r="N69" s="427" t="s">
        <v>5731</v>
      </c>
      <c r="P69" s="4"/>
      <c r="R69" s="4"/>
    </row>
    <row r="70" spans="1:18">
      <c r="A70" s="427" t="s">
        <v>6997</v>
      </c>
      <c r="B70" s="427" t="s">
        <v>4746</v>
      </c>
      <c r="C70" s="4" t="s">
        <v>7489</v>
      </c>
      <c r="D70" s="429">
        <v>6009</v>
      </c>
      <c r="E70" s="429">
        <v>6023</v>
      </c>
      <c r="F70" s="429">
        <v>5941</v>
      </c>
      <c r="G70" s="429">
        <v>5944</v>
      </c>
      <c r="H70" s="30">
        <v>5781</v>
      </c>
      <c r="I70" s="30">
        <v>5508</v>
      </c>
      <c r="J70" s="30">
        <v>5512</v>
      </c>
      <c r="K70" s="30">
        <v>5815</v>
      </c>
      <c r="L70" s="30">
        <v>5898</v>
      </c>
      <c r="N70" s="427" t="s">
        <v>5729</v>
      </c>
      <c r="P70" s="4"/>
      <c r="R70" s="4"/>
    </row>
    <row r="71" spans="1:18">
      <c r="A71" s="427" t="s">
        <v>6999</v>
      </c>
      <c r="B71" s="427" t="s">
        <v>4747</v>
      </c>
      <c r="C71" s="4" t="s">
        <v>7490</v>
      </c>
      <c r="D71" s="429">
        <v>5955</v>
      </c>
      <c r="E71" s="429">
        <v>5916</v>
      </c>
      <c r="F71" s="429">
        <v>5997</v>
      </c>
      <c r="G71" s="429">
        <v>5972</v>
      </c>
      <c r="H71" s="30">
        <v>5967</v>
      </c>
      <c r="I71" s="30">
        <v>5818</v>
      </c>
      <c r="J71" s="30">
        <v>5841</v>
      </c>
      <c r="K71" s="30">
        <v>6030</v>
      </c>
      <c r="L71" s="30">
        <v>6142</v>
      </c>
      <c r="N71" s="427" t="s">
        <v>5729</v>
      </c>
      <c r="P71" s="4"/>
      <c r="R71" s="4"/>
    </row>
    <row r="72" spans="1:18">
      <c r="A72" s="427" t="s">
        <v>7001</v>
      </c>
      <c r="B72" s="427" t="s">
        <v>4748</v>
      </c>
      <c r="C72" s="4" t="s">
        <v>7491</v>
      </c>
      <c r="D72" s="429">
        <v>5016</v>
      </c>
      <c r="E72" s="429">
        <v>5130</v>
      </c>
      <c r="F72" s="429">
        <v>5492</v>
      </c>
      <c r="G72" s="429">
        <v>5584</v>
      </c>
      <c r="H72" s="30">
        <v>5559</v>
      </c>
      <c r="I72" s="30">
        <v>5355</v>
      </c>
      <c r="J72" s="30">
        <v>5397</v>
      </c>
      <c r="K72" s="30">
        <v>5545</v>
      </c>
      <c r="L72" s="30">
        <v>5565</v>
      </c>
      <c r="N72" s="427" t="s">
        <v>5731</v>
      </c>
      <c r="P72" s="4"/>
      <c r="R72" s="4"/>
    </row>
    <row r="73" spans="1:18">
      <c r="A73" s="427" t="s">
        <v>7003</v>
      </c>
      <c r="B73" s="427" t="s">
        <v>4749</v>
      </c>
      <c r="C73" s="4" t="s">
        <v>7492</v>
      </c>
      <c r="D73" s="429">
        <v>1592</v>
      </c>
      <c r="E73" s="429">
        <v>1570</v>
      </c>
      <c r="F73" s="429">
        <v>1601</v>
      </c>
      <c r="G73" s="429">
        <v>1610</v>
      </c>
      <c r="H73" s="30">
        <v>1577</v>
      </c>
      <c r="I73" s="30">
        <v>1533</v>
      </c>
      <c r="J73" s="30">
        <v>1509</v>
      </c>
      <c r="K73" s="30">
        <v>1516</v>
      </c>
      <c r="L73" s="30">
        <v>1530</v>
      </c>
      <c r="N73" s="427" t="s">
        <v>5729</v>
      </c>
      <c r="P73" s="4"/>
      <c r="R73" s="4"/>
    </row>
    <row r="74" spans="1:18">
      <c r="A74" s="427" t="s">
        <v>7005</v>
      </c>
      <c r="B74" s="427" t="s">
        <v>4750</v>
      </c>
      <c r="C74" s="4" t="s">
        <v>7493</v>
      </c>
      <c r="D74" s="429">
        <v>5111</v>
      </c>
      <c r="E74" s="429">
        <v>5022</v>
      </c>
      <c r="F74" s="429">
        <v>4986</v>
      </c>
      <c r="G74" s="429">
        <v>5054</v>
      </c>
      <c r="H74" s="30">
        <v>4795</v>
      </c>
      <c r="I74" s="30">
        <v>4523</v>
      </c>
      <c r="J74" s="30">
        <v>4586</v>
      </c>
      <c r="K74" s="30">
        <v>4747</v>
      </c>
      <c r="L74" s="30">
        <v>4700</v>
      </c>
      <c r="N74" s="427" t="s">
        <v>5729</v>
      </c>
      <c r="P74" s="4"/>
      <c r="R74" s="4"/>
    </row>
    <row r="75" spans="1:18">
      <c r="A75" s="427" t="s">
        <v>7007</v>
      </c>
      <c r="B75" s="427" t="s">
        <v>4751</v>
      </c>
      <c r="C75" s="4" t="s">
        <v>7494</v>
      </c>
      <c r="D75" s="429">
        <v>5537</v>
      </c>
      <c r="E75" s="429">
        <v>5480</v>
      </c>
      <c r="F75" s="429">
        <v>5497</v>
      </c>
      <c r="G75" s="429">
        <v>5493</v>
      </c>
      <c r="H75" s="30">
        <v>5349</v>
      </c>
      <c r="I75" s="30">
        <v>5309</v>
      </c>
      <c r="J75" s="30">
        <v>5355</v>
      </c>
      <c r="K75" s="30">
        <v>5424</v>
      </c>
      <c r="L75" s="30">
        <v>5434</v>
      </c>
      <c r="N75" s="427" t="s">
        <v>5731</v>
      </c>
      <c r="P75" s="4"/>
      <c r="R75" s="4"/>
    </row>
    <row r="76" spans="1:18">
      <c r="A76" s="427" t="s">
        <v>7009</v>
      </c>
      <c r="B76" s="427" t="s">
        <v>4752</v>
      </c>
      <c r="C76" s="4" t="s">
        <v>7495</v>
      </c>
      <c r="D76" s="429">
        <v>3448</v>
      </c>
      <c r="E76" s="429">
        <v>3360</v>
      </c>
      <c r="F76" s="429">
        <v>3261</v>
      </c>
      <c r="G76" s="429">
        <v>3161</v>
      </c>
      <c r="H76" s="30">
        <v>3068</v>
      </c>
      <c r="I76" s="30">
        <v>3014</v>
      </c>
      <c r="J76" s="30">
        <v>3124</v>
      </c>
      <c r="K76" s="30">
        <v>3271</v>
      </c>
      <c r="L76" s="30">
        <v>3301</v>
      </c>
      <c r="N76" s="427" t="s">
        <v>5731</v>
      </c>
      <c r="P76" s="4"/>
      <c r="R76" s="4"/>
    </row>
    <row r="77" spans="1:18">
      <c r="A77" s="427" t="s">
        <v>7011</v>
      </c>
      <c r="B77" s="427" t="s">
        <v>4753</v>
      </c>
      <c r="C77" s="4" t="s">
        <v>7496</v>
      </c>
      <c r="D77" s="429">
        <v>5685</v>
      </c>
      <c r="E77" s="429">
        <v>5643</v>
      </c>
      <c r="F77" s="429">
        <v>5657</v>
      </c>
      <c r="G77" s="429">
        <v>5692</v>
      </c>
      <c r="H77" s="31">
        <v>5750</v>
      </c>
      <c r="I77" s="31">
        <v>5573</v>
      </c>
      <c r="J77" s="31">
        <v>5589</v>
      </c>
      <c r="K77" s="31">
        <v>5585</v>
      </c>
      <c r="L77" s="31">
        <v>5569</v>
      </c>
      <c r="N77" s="427" t="s">
        <v>5731</v>
      </c>
      <c r="P77" s="4"/>
      <c r="R77" s="4"/>
    </row>
    <row r="78" spans="1:18">
      <c r="A78" s="427" t="s">
        <v>7013</v>
      </c>
      <c r="B78" s="427" t="s">
        <v>6035</v>
      </c>
      <c r="C78" s="4" t="s">
        <v>7497</v>
      </c>
      <c r="D78" s="429">
        <v>4818</v>
      </c>
      <c r="E78" s="429">
        <v>4744</v>
      </c>
      <c r="F78" s="429">
        <v>4791</v>
      </c>
      <c r="G78" s="429">
        <v>4804</v>
      </c>
      <c r="H78" s="31">
        <v>4772</v>
      </c>
      <c r="I78" s="31">
        <v>4525</v>
      </c>
      <c r="J78" s="31">
        <v>4575</v>
      </c>
      <c r="K78" s="31">
        <v>4664</v>
      </c>
      <c r="L78" s="31">
        <v>4668</v>
      </c>
      <c r="N78" s="427" t="s">
        <v>5731</v>
      </c>
      <c r="O78" s="30"/>
      <c r="P78" s="4"/>
      <c r="R78" s="4"/>
    </row>
    <row r="79" spans="1:18">
      <c r="A79" s="427" t="s">
        <v>7015</v>
      </c>
      <c r="B79" s="427" t="s">
        <v>4754</v>
      </c>
      <c r="C79" s="4" t="s">
        <v>7498</v>
      </c>
      <c r="D79" s="429">
        <v>5110</v>
      </c>
      <c r="E79" s="429">
        <v>5076</v>
      </c>
      <c r="F79" s="429">
        <v>5043</v>
      </c>
      <c r="G79" s="429">
        <v>5084</v>
      </c>
      <c r="H79" s="31">
        <v>5035</v>
      </c>
      <c r="I79" s="31">
        <v>4883</v>
      </c>
      <c r="J79" s="31">
        <v>4835</v>
      </c>
      <c r="K79" s="31">
        <v>4907</v>
      </c>
      <c r="L79" s="31">
        <v>4902</v>
      </c>
      <c r="N79" s="427" t="s">
        <v>5731</v>
      </c>
      <c r="O79" s="31"/>
      <c r="P79" s="4"/>
      <c r="R79" s="4"/>
    </row>
    <row r="80" spans="1:18">
      <c r="A80" s="427" t="s">
        <v>7017</v>
      </c>
      <c r="B80" s="427" t="s">
        <v>4755</v>
      </c>
      <c r="C80" s="4" t="s">
        <v>7499</v>
      </c>
      <c r="D80" s="429">
        <v>4787</v>
      </c>
      <c r="E80" s="429">
        <v>4801</v>
      </c>
      <c r="F80" s="429">
        <v>4859</v>
      </c>
      <c r="G80" s="429">
        <v>4887</v>
      </c>
      <c r="H80" s="30">
        <v>4881</v>
      </c>
      <c r="I80" s="30">
        <v>4717</v>
      </c>
      <c r="J80" s="30">
        <v>4664</v>
      </c>
      <c r="K80" s="30">
        <v>4741</v>
      </c>
      <c r="L80" s="30">
        <v>4768</v>
      </c>
      <c r="N80" s="427" t="s">
        <v>5729</v>
      </c>
      <c r="P80" s="4"/>
      <c r="R80" s="4"/>
    </row>
    <row r="81" spans="1:18">
      <c r="A81" s="427" t="s">
        <v>7019</v>
      </c>
      <c r="B81" s="427" t="s">
        <v>3025</v>
      </c>
      <c r="C81" s="4" t="s">
        <v>7500</v>
      </c>
      <c r="D81" s="429">
        <v>5738</v>
      </c>
      <c r="E81" s="429">
        <v>5765</v>
      </c>
      <c r="F81" s="429">
        <v>5795</v>
      </c>
      <c r="G81" s="429">
        <v>5781</v>
      </c>
      <c r="H81" s="30">
        <v>5806</v>
      </c>
      <c r="I81" s="30">
        <v>5653</v>
      </c>
      <c r="J81" s="30">
        <v>5641</v>
      </c>
      <c r="K81" s="30">
        <v>5801</v>
      </c>
      <c r="L81" s="30">
        <v>5840</v>
      </c>
      <c r="N81" s="427" t="s">
        <v>5729</v>
      </c>
      <c r="O81" s="31"/>
      <c r="P81" s="4"/>
      <c r="R81" s="4"/>
    </row>
    <row r="82" spans="1:18">
      <c r="A82" s="427" t="s">
        <v>7021</v>
      </c>
      <c r="B82" s="427" t="s">
        <v>4756</v>
      </c>
      <c r="C82" s="4" t="s">
        <v>7501</v>
      </c>
      <c r="D82" s="429">
        <v>5028</v>
      </c>
      <c r="E82" s="429">
        <v>5012</v>
      </c>
      <c r="F82" s="429">
        <v>4991</v>
      </c>
      <c r="G82" s="429">
        <v>4949</v>
      </c>
      <c r="H82" s="31">
        <v>4690</v>
      </c>
      <c r="I82" s="31">
        <v>4557</v>
      </c>
      <c r="J82" s="31">
        <v>4604</v>
      </c>
      <c r="K82" s="31">
        <v>4691</v>
      </c>
      <c r="L82" s="31">
        <v>4741</v>
      </c>
      <c r="N82" s="427" t="s">
        <v>5731</v>
      </c>
      <c r="O82" s="31"/>
      <c r="P82" s="4"/>
      <c r="R82" s="4"/>
    </row>
    <row r="83" spans="1:18">
      <c r="A83" s="427" t="s">
        <v>7023</v>
      </c>
      <c r="B83" s="427" t="s">
        <v>4757</v>
      </c>
      <c r="C83" s="4" t="s">
        <v>7502</v>
      </c>
      <c r="D83" s="429">
        <v>5175</v>
      </c>
      <c r="E83" s="429">
        <v>5279</v>
      </c>
      <c r="F83" s="429">
        <v>5272</v>
      </c>
      <c r="G83" s="429">
        <v>5167</v>
      </c>
      <c r="H83" s="31">
        <v>5165</v>
      </c>
      <c r="I83" s="31">
        <v>4885</v>
      </c>
      <c r="J83" s="31">
        <v>4839</v>
      </c>
      <c r="K83" s="31">
        <v>4942</v>
      </c>
      <c r="L83" s="31">
        <v>4971</v>
      </c>
      <c r="N83" s="427" t="s">
        <v>5731</v>
      </c>
      <c r="P83" s="4"/>
      <c r="R83" s="4"/>
    </row>
    <row r="84" spans="1:18">
      <c r="A84" s="427" t="s">
        <v>7025</v>
      </c>
      <c r="B84" s="427" t="s">
        <v>4758</v>
      </c>
      <c r="C84" s="4" t="s">
        <v>7503</v>
      </c>
      <c r="D84" s="429">
        <v>5975</v>
      </c>
      <c r="E84" s="429">
        <v>5940</v>
      </c>
      <c r="F84" s="429">
        <v>5939</v>
      </c>
      <c r="G84" s="429">
        <v>5957</v>
      </c>
      <c r="H84" s="31">
        <v>6013</v>
      </c>
      <c r="I84" s="31">
        <v>5891</v>
      </c>
      <c r="J84" s="31">
        <v>5943</v>
      </c>
      <c r="K84" s="31">
        <v>6091</v>
      </c>
      <c r="L84" s="31">
        <v>6102</v>
      </c>
      <c r="N84" s="427" t="s">
        <v>5731</v>
      </c>
      <c r="P84" s="4"/>
      <c r="R84" s="4"/>
    </row>
    <row r="85" spans="1:18">
      <c r="A85" s="427" t="s">
        <v>7570</v>
      </c>
      <c r="B85" s="427" t="s">
        <v>6523</v>
      </c>
      <c r="C85" s="4" t="s">
        <v>7504</v>
      </c>
      <c r="D85" s="429">
        <v>3732</v>
      </c>
      <c r="E85" s="429">
        <v>3728</v>
      </c>
      <c r="F85" s="429">
        <v>3703</v>
      </c>
      <c r="G85" s="429">
        <v>3681</v>
      </c>
      <c r="H85" s="30">
        <v>3597</v>
      </c>
      <c r="I85" s="30">
        <v>3475</v>
      </c>
      <c r="J85" s="30">
        <v>3436</v>
      </c>
      <c r="K85" s="30">
        <v>3534</v>
      </c>
      <c r="L85" s="30">
        <v>3527</v>
      </c>
      <c r="N85" s="427" t="s">
        <v>5729</v>
      </c>
      <c r="P85" s="4"/>
      <c r="R85" s="4"/>
    </row>
    <row r="86" spans="1:18">
      <c r="A86" s="427" t="s">
        <v>7572</v>
      </c>
      <c r="B86" s="427" t="s">
        <v>6524</v>
      </c>
      <c r="C86" s="4" t="s">
        <v>7505</v>
      </c>
      <c r="D86" s="429">
        <v>3701</v>
      </c>
      <c r="E86" s="429">
        <v>3629</v>
      </c>
      <c r="F86" s="429">
        <v>3578</v>
      </c>
      <c r="G86" s="429">
        <v>3584</v>
      </c>
      <c r="H86" s="31">
        <v>3583</v>
      </c>
      <c r="I86" s="31">
        <v>3427</v>
      </c>
      <c r="J86" s="31">
        <v>3408</v>
      </c>
      <c r="K86" s="31">
        <v>3442</v>
      </c>
      <c r="L86" s="31">
        <v>3436</v>
      </c>
      <c r="N86" s="427" t="s">
        <v>5731</v>
      </c>
      <c r="P86" s="4"/>
      <c r="R86" s="4"/>
    </row>
    <row r="88" spans="1:18">
      <c r="A88" s="427" t="s">
        <v>6525</v>
      </c>
      <c r="D88" s="429">
        <f t="shared" ref="D88:I88" si="62">D65+D70+D71+D73+D74+D80+D81+D85</f>
        <v>38313</v>
      </c>
      <c r="E88" s="429">
        <f t="shared" si="62"/>
        <v>38199</v>
      </c>
      <c r="F88" s="429">
        <f t="shared" si="62"/>
        <v>38234</v>
      </c>
      <c r="G88" s="429">
        <f t="shared" si="62"/>
        <v>38280</v>
      </c>
      <c r="H88" s="429">
        <f t="shared" si="62"/>
        <v>37846</v>
      </c>
      <c r="I88" s="429">
        <f t="shared" si="62"/>
        <v>36463</v>
      </c>
      <c r="J88" s="429">
        <f>J65+J70+J71+J73+J74+J80+J81+J85</f>
        <v>36340</v>
      </c>
      <c r="K88" s="429">
        <f>K65+K70+K71+K73+K74+K80+K81+K85</f>
        <v>37396</v>
      </c>
      <c r="L88" s="429">
        <f>L65+L70+L71+L73+L74+L80+L81+L85</f>
        <v>37554</v>
      </c>
    </row>
    <row r="89" spans="1:18">
      <c r="A89" s="427" t="s">
        <v>5731</v>
      </c>
      <c r="D89" s="429">
        <f t="shared" ref="D89:I89" si="63">SUM(D66:D69)+D72+SUM(D75:D79)+SUM(D82:D84)+D86</f>
        <v>67405</v>
      </c>
      <c r="E89" s="429">
        <f t="shared" si="63"/>
        <v>67195</v>
      </c>
      <c r="F89" s="429">
        <f t="shared" si="63"/>
        <v>67558</v>
      </c>
      <c r="G89" s="429">
        <f t="shared" si="63"/>
        <v>67539</v>
      </c>
      <c r="H89" s="429">
        <f t="shared" si="63"/>
        <v>66375</v>
      </c>
      <c r="I89" s="429">
        <f t="shared" si="63"/>
        <v>63768</v>
      </c>
      <c r="J89" s="429">
        <f>SUM(J66:J69)+J72+SUM(J75:J79)+SUM(J82:J84)+J86</f>
        <v>64025</v>
      </c>
      <c r="K89" s="429">
        <f>SUM(K66:K69)+K72+SUM(K75:K79)+SUM(K82:K84)+K86</f>
        <v>65589</v>
      </c>
      <c r="L89" s="429">
        <f>SUM(L66:L69)+L72+SUM(L75:L79)+SUM(L82:L84)+L86</f>
        <v>65524</v>
      </c>
    </row>
    <row r="91" spans="1:18">
      <c r="A91" s="427" t="s">
        <v>6526</v>
      </c>
    </row>
    <row r="92" spans="1:18">
      <c r="A92" s="427"/>
    </row>
    <row r="93" spans="1:18">
      <c r="A93" s="427"/>
      <c r="D93" s="24"/>
      <c r="E93" s="24"/>
      <c r="F93" s="24"/>
      <c r="G93" s="24"/>
      <c r="H93" s="24"/>
      <c r="I93" s="24"/>
      <c r="J93" s="24"/>
      <c r="K93" s="24"/>
      <c r="L93" s="24"/>
      <c r="M93" s="25"/>
      <c r="N93" s="25"/>
    </row>
    <row r="97" spans="1:1">
      <c r="A97" s="427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3" orientation="portrait" horizontalDpi="300" verticalDpi="300" r:id="rId1"/>
  <headerFooter alignWithMargins="0">
    <oddFooter>&amp;C&amp;"Times New Roman,Regular"&amp;8&amp;P of &amp;N</oddFooter>
  </headerFooter>
  <rowBreaks count="1" manualBreakCount="1">
    <brk id="24" max="16383" man="1"/>
  </rowBreaks>
  <ignoredErrors>
    <ignoredError sqref="D88:D89 D64:K64 D3:D6 E88:E89 E3:E6 F88:F89 F3:F6 G88:G89 G3:G6 D7:D23 E7:E23 F7:F23 G7:G23 H88:H89 H3:H6 H7:H23 I88:I89 I3:I23 D33:K33 D41:K41 D52:K52 D28:K28 D57:J57 J3:J23 J88:J89 K88:K89 K3:K19 K21:K23 K57 L3:L89" unlockedFormula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49"/>
  <sheetViews>
    <sheetView showGridLines="0" zoomScaleNormal="100" workbookViewId="0"/>
  </sheetViews>
  <sheetFormatPr defaultColWidth="12.5703125" defaultRowHeight="15"/>
  <cols>
    <col min="1" max="1" width="4.85546875" style="25" customWidth="1"/>
    <col min="2" max="2" width="37.7109375" style="25" customWidth="1"/>
    <col min="3" max="3" width="11.5703125" style="25" customWidth="1"/>
    <col min="4" max="12" width="10" style="25" customWidth="1"/>
    <col min="13" max="13" width="2.42578125" style="25" customWidth="1"/>
    <col min="14" max="14" width="33.140625" style="25" customWidth="1"/>
    <col min="15" max="16384" width="12.5703125" style="25"/>
  </cols>
  <sheetData>
    <row r="1" spans="1:14">
      <c r="A1" s="29" t="s">
        <v>8847</v>
      </c>
      <c r="D1" s="24">
        <v>2010</v>
      </c>
      <c r="E1" s="24">
        <v>2011</v>
      </c>
      <c r="F1" s="24">
        <v>2012</v>
      </c>
      <c r="G1" s="24">
        <v>2013</v>
      </c>
      <c r="H1" s="24">
        <v>2014</v>
      </c>
      <c r="I1" s="24">
        <v>2015</v>
      </c>
      <c r="J1" s="24">
        <v>2016</v>
      </c>
      <c r="K1" s="24">
        <v>2017</v>
      </c>
      <c r="L1" s="24">
        <v>2018</v>
      </c>
    </row>
    <row r="3" spans="1:14">
      <c r="A3" s="29" t="s">
        <v>5613</v>
      </c>
      <c r="D3" s="26">
        <f t="shared" ref="D3:H3" si="0">SUM(D17:D21)+D23+D24+D26+D27+SUM(D29:D32)+D34+D35+SUM(D37:D46)</f>
        <v>168892</v>
      </c>
      <c r="E3" s="26">
        <f t="shared" si="0"/>
        <v>166778</v>
      </c>
      <c r="F3" s="26">
        <f t="shared" si="0"/>
        <v>171221</v>
      </c>
      <c r="G3" s="26">
        <f t="shared" si="0"/>
        <v>174497</v>
      </c>
      <c r="H3" s="26">
        <f t="shared" si="0"/>
        <v>177085</v>
      </c>
      <c r="I3" s="26">
        <f>SUM(I17:I21)+I23+I24+I26+I27+SUM(I29:I32)+I34+I35+SUM(I37:I46)</f>
        <v>172712</v>
      </c>
      <c r="J3" s="26">
        <f>SUM(J17:J21)+J23+J24+J26+J27+SUM(J29:J32)+J34+J35+SUM(J37:J46)</f>
        <v>169933</v>
      </c>
      <c r="K3" s="26">
        <f>SUM(K17:K21)+K23+K24+K26+K27+SUM(K29:K32)+K34+K35+SUM(K37:K46)</f>
        <v>178749</v>
      </c>
      <c r="L3" s="26">
        <f>SUM(L17:L21)+L23+L24+L26+L27+SUM(L29:L32)+L34+L35+SUM(L37:L46)</f>
        <v>180641</v>
      </c>
    </row>
    <row r="4" spans="1:14">
      <c r="D4" s="27"/>
      <c r="E4" s="27"/>
      <c r="F4" s="27"/>
      <c r="G4" s="27"/>
      <c r="H4" s="27"/>
      <c r="I4" s="27"/>
      <c r="J4" s="27"/>
      <c r="K4" s="27"/>
      <c r="L4" s="27"/>
    </row>
    <row r="5" spans="1:14">
      <c r="A5" s="29" t="s">
        <v>3520</v>
      </c>
      <c r="D5" s="28">
        <f t="shared" ref="D5:I5" si="1">D3/2</f>
        <v>84446</v>
      </c>
      <c r="E5" s="28">
        <f t="shared" si="1"/>
        <v>83389</v>
      </c>
      <c r="F5" s="28">
        <f t="shared" si="1"/>
        <v>85610.5</v>
      </c>
      <c r="G5" s="28">
        <f t="shared" si="1"/>
        <v>87248.5</v>
      </c>
      <c r="H5" s="28">
        <f t="shared" si="1"/>
        <v>88542.5</v>
      </c>
      <c r="I5" s="28">
        <f t="shared" si="1"/>
        <v>86356</v>
      </c>
      <c r="J5" s="28">
        <f t="shared" ref="J5:K5" si="2">J3/2</f>
        <v>84966.5</v>
      </c>
      <c r="K5" s="28">
        <f t="shared" si="2"/>
        <v>89374.5</v>
      </c>
      <c r="L5" s="28">
        <f t="shared" ref="L5" si="3">L3/2</f>
        <v>90320.5</v>
      </c>
    </row>
    <row r="6" spans="1:14">
      <c r="D6" s="27"/>
      <c r="E6" s="27"/>
      <c r="F6" s="27"/>
      <c r="G6" s="27"/>
      <c r="H6" s="27"/>
      <c r="I6" s="27"/>
      <c r="J6" s="27"/>
      <c r="K6" s="27"/>
      <c r="L6" s="27"/>
    </row>
    <row r="7" spans="1:14">
      <c r="A7" s="29" t="s">
        <v>5614</v>
      </c>
      <c r="D7" s="28">
        <f t="shared" ref="D7:H7" si="4">D20+D23+D26+D29+D31+D34+SUM(D37:D39)+D41+D44+D45</f>
        <v>81991</v>
      </c>
      <c r="E7" s="28">
        <f t="shared" si="4"/>
        <v>81226</v>
      </c>
      <c r="F7" s="28">
        <f t="shared" si="4"/>
        <v>83919</v>
      </c>
      <c r="G7" s="28">
        <f t="shared" si="4"/>
        <v>85537</v>
      </c>
      <c r="H7" s="28">
        <f t="shared" si="4"/>
        <v>87028</v>
      </c>
      <c r="I7" s="28">
        <f>I20+I23+I26+I29+I31+I34+SUM(I37:I39)+I41+I44+I45</f>
        <v>84679</v>
      </c>
      <c r="J7" s="28">
        <f>J20+J23+J26+J29+J31+J34+SUM(J37:J39)+J41+J44+J45</f>
        <v>83348</v>
      </c>
      <c r="K7" s="28">
        <f>K20+K23+K26+K29+K31+K34+SUM(K37:K39)+K41+K44+K45</f>
        <v>87756</v>
      </c>
      <c r="L7" s="28">
        <f>L20+L23+L26+L29+L31+L34+SUM(L37:L39)+L41+L44+L45</f>
        <v>88630</v>
      </c>
      <c r="N7" s="29" t="s">
        <v>5615</v>
      </c>
    </row>
    <row r="8" spans="1:14">
      <c r="D8" s="27"/>
      <c r="E8" s="27"/>
      <c r="F8" s="27"/>
      <c r="G8" s="27"/>
      <c r="H8" s="27"/>
      <c r="I8" s="27"/>
      <c r="J8" s="27"/>
      <c r="K8" s="27"/>
      <c r="L8" s="27"/>
    </row>
    <row r="9" spans="1:14">
      <c r="A9" s="29" t="s">
        <v>5616</v>
      </c>
      <c r="D9" s="28">
        <f t="shared" ref="D9:H9" si="5">SUM(D17:D19)+D21+D24+D27+D30+D32+D35+D40+D42+D43+D46</f>
        <v>86901</v>
      </c>
      <c r="E9" s="28">
        <f t="shared" si="5"/>
        <v>85552</v>
      </c>
      <c r="F9" s="28">
        <f t="shared" si="5"/>
        <v>87302</v>
      </c>
      <c r="G9" s="28">
        <f t="shared" si="5"/>
        <v>88960</v>
      </c>
      <c r="H9" s="28">
        <f t="shared" si="5"/>
        <v>90057</v>
      </c>
      <c r="I9" s="28">
        <f>SUM(I17:I19)+I21+I24+I27+I30+I32+I35+I40+I42+I43+I46</f>
        <v>88033</v>
      </c>
      <c r="J9" s="28">
        <f>SUM(J17:J19)+J21+J24+J27+J30+J32+J35+J40+J42+J43+J46</f>
        <v>86585</v>
      </c>
      <c r="K9" s="28">
        <f>SUM(K17:K19)+K21+K24+K27+K30+K32+K35+K40+K42+K43+K46</f>
        <v>90993</v>
      </c>
      <c r="L9" s="28">
        <f>SUM(L17:L19)+L21+L24+L27+L30+L32+L35+L40+L42+L43+L46</f>
        <v>92011</v>
      </c>
      <c r="N9" s="29" t="s">
        <v>5615</v>
      </c>
    </row>
    <row r="10" spans="1:14">
      <c r="D10" s="27"/>
      <c r="E10" s="27"/>
      <c r="F10" s="27"/>
      <c r="G10" s="27"/>
      <c r="H10" s="27"/>
      <c r="I10" s="27"/>
      <c r="J10" s="27"/>
      <c r="K10" s="27"/>
      <c r="L10" s="27"/>
    </row>
    <row r="11" spans="1:14">
      <c r="A11" s="29" t="s">
        <v>8697</v>
      </c>
      <c r="D11" s="28">
        <f>D7+D9</f>
        <v>168892</v>
      </c>
      <c r="E11" s="28">
        <f>E7+E9</f>
        <v>166778</v>
      </c>
      <c r="F11" s="28">
        <f>F7+F9</f>
        <v>171221</v>
      </c>
      <c r="G11" s="28">
        <f>G7+G9</f>
        <v>174497</v>
      </c>
      <c r="H11" s="28">
        <f t="shared" ref="H11:I11" si="6">H9+H7</f>
        <v>177085</v>
      </c>
      <c r="I11" s="28">
        <f t="shared" si="6"/>
        <v>172712</v>
      </c>
      <c r="J11" s="28">
        <f t="shared" ref="J11:K11" si="7">J9+J7</f>
        <v>169933</v>
      </c>
      <c r="K11" s="28">
        <f t="shared" si="7"/>
        <v>178749</v>
      </c>
      <c r="L11" s="28">
        <f t="shared" ref="L11" si="8">L9+L7</f>
        <v>180641</v>
      </c>
    </row>
    <row r="12" spans="1:14">
      <c r="D12" s="27"/>
      <c r="E12" s="27"/>
      <c r="F12" s="27"/>
      <c r="G12" s="27"/>
      <c r="H12" s="27"/>
      <c r="I12" s="27"/>
      <c r="J12" s="27"/>
      <c r="K12" s="27"/>
      <c r="L12" s="27"/>
    </row>
    <row r="13" spans="1:14">
      <c r="A13" s="29" t="s">
        <v>8698</v>
      </c>
      <c r="D13" s="28">
        <f>MAX(D7,D9)-MIN(D7,D9)</f>
        <v>4910</v>
      </c>
      <c r="E13" s="28">
        <f>MAX(E7,E9)-MIN(E7,E9)</f>
        <v>4326</v>
      </c>
      <c r="F13" s="28">
        <f>MAX(F7,F9)-MIN(F7,F9)</f>
        <v>3383</v>
      </c>
      <c r="G13" s="28">
        <f>MAX(G7,G9)-MIN(G7,G9)</f>
        <v>3423</v>
      </c>
      <c r="H13" s="28">
        <f t="shared" ref="H13:I13" si="9">MAX(H9,H7)-MIN(H9,H7)</f>
        <v>3029</v>
      </c>
      <c r="I13" s="28">
        <f t="shared" si="9"/>
        <v>3354</v>
      </c>
      <c r="J13" s="28">
        <f t="shared" ref="J13:K13" si="10">MAX(J9,J7)-MIN(J9,J7)</f>
        <v>3237</v>
      </c>
      <c r="K13" s="28">
        <f t="shared" si="10"/>
        <v>3237</v>
      </c>
      <c r="L13" s="28">
        <f t="shared" ref="L13" si="11">MAX(L9,L7)-MIN(L9,L7)</f>
        <v>3381</v>
      </c>
    </row>
    <row r="14" spans="1:14">
      <c r="D14" s="27"/>
      <c r="E14" s="27"/>
      <c r="F14" s="27"/>
      <c r="G14" s="27"/>
      <c r="H14" s="27"/>
      <c r="I14" s="27"/>
      <c r="J14" s="27"/>
      <c r="K14" s="27"/>
      <c r="L14" s="27"/>
    </row>
    <row r="15" spans="1:14">
      <c r="A15" s="32" t="s">
        <v>8701</v>
      </c>
      <c r="D15" s="28">
        <f>STDEVP(D7,D9)</f>
        <v>2455</v>
      </c>
      <c r="E15" s="28">
        <f>STDEVP(E7,E9)</f>
        <v>2163</v>
      </c>
      <c r="F15" s="28">
        <f>STDEVP(F7,F9)</f>
        <v>1691.5</v>
      </c>
      <c r="G15" s="28">
        <f>STDEVP(G7,G9)</f>
        <v>1711.5</v>
      </c>
      <c r="H15" s="28">
        <f t="shared" ref="H15:I15" si="12">STDEVP(H9,H7)</f>
        <v>1514.5</v>
      </c>
      <c r="I15" s="28">
        <f t="shared" si="12"/>
        <v>1677</v>
      </c>
      <c r="J15" s="28">
        <f t="shared" ref="J15:K15" si="13">STDEVP(J9,J7)</f>
        <v>1618.5</v>
      </c>
      <c r="K15" s="28">
        <f t="shared" si="13"/>
        <v>1618.5</v>
      </c>
      <c r="L15" s="28">
        <f t="shared" ref="L15" si="14">STDEVP(L9,L7)</f>
        <v>1690.5</v>
      </c>
    </row>
    <row r="17" spans="1:17">
      <c r="A17" s="29" t="s">
        <v>6957</v>
      </c>
      <c r="B17" s="29" t="s">
        <v>13731</v>
      </c>
      <c r="C17" s="72" t="s">
        <v>13744</v>
      </c>
      <c r="D17" s="28">
        <v>86901</v>
      </c>
      <c r="E17" s="28">
        <v>85552</v>
      </c>
      <c r="F17" s="28">
        <v>87302</v>
      </c>
      <c r="G17" s="30">
        <v>88960</v>
      </c>
      <c r="H17" s="30">
        <v>90057</v>
      </c>
      <c r="I17" s="30">
        <v>9252</v>
      </c>
      <c r="J17" s="30">
        <v>9140</v>
      </c>
      <c r="K17" s="30">
        <v>9935</v>
      </c>
      <c r="L17" s="30">
        <v>10320</v>
      </c>
      <c r="N17" s="29" t="s">
        <v>5616</v>
      </c>
      <c r="P17" s="72"/>
      <c r="Q17" s="4"/>
    </row>
    <row r="18" spans="1:17">
      <c r="A18" s="29" t="s">
        <v>6959</v>
      </c>
      <c r="B18" s="29" t="s">
        <v>13732</v>
      </c>
      <c r="C18" s="72" t="s">
        <v>13745</v>
      </c>
      <c r="D18" s="26">
        <v>0</v>
      </c>
      <c r="E18" s="26">
        <v>0</v>
      </c>
      <c r="F18" s="26">
        <v>0</v>
      </c>
      <c r="G18" s="30">
        <v>0</v>
      </c>
      <c r="H18" s="30">
        <v>0</v>
      </c>
      <c r="I18" s="30">
        <v>10324</v>
      </c>
      <c r="J18" s="30">
        <v>10204</v>
      </c>
      <c r="K18" s="30">
        <v>10553</v>
      </c>
      <c r="L18" s="30">
        <v>10697</v>
      </c>
      <c r="N18" s="29" t="s">
        <v>5616</v>
      </c>
      <c r="P18" s="72"/>
      <c r="Q18" s="4"/>
    </row>
    <row r="19" spans="1:17">
      <c r="A19" s="29" t="s">
        <v>6961</v>
      </c>
      <c r="B19" s="29" t="s">
        <v>13733</v>
      </c>
      <c r="C19" s="72" t="s">
        <v>13746</v>
      </c>
      <c r="D19" s="28">
        <v>0</v>
      </c>
      <c r="E19" s="28">
        <v>0</v>
      </c>
      <c r="F19" s="28">
        <v>0</v>
      </c>
      <c r="G19" s="30">
        <v>0</v>
      </c>
      <c r="H19" s="30">
        <v>0</v>
      </c>
      <c r="I19" s="30">
        <v>10347</v>
      </c>
      <c r="J19" s="30">
        <v>10136</v>
      </c>
      <c r="K19" s="30">
        <v>10549</v>
      </c>
      <c r="L19" s="30">
        <v>10519</v>
      </c>
      <c r="N19" s="29" t="s">
        <v>5616</v>
      </c>
      <c r="P19" s="72"/>
      <c r="Q19" s="4"/>
    </row>
    <row r="20" spans="1:17">
      <c r="A20" s="29" t="s">
        <v>6963</v>
      </c>
      <c r="B20" s="29" t="s">
        <v>5364</v>
      </c>
      <c r="C20" s="72" t="s">
        <v>13747</v>
      </c>
      <c r="D20" s="28">
        <v>0</v>
      </c>
      <c r="E20" s="28">
        <v>0</v>
      </c>
      <c r="F20" s="28">
        <v>0</v>
      </c>
      <c r="G20" s="30">
        <v>0</v>
      </c>
      <c r="H20" s="30">
        <v>0</v>
      </c>
      <c r="I20" s="30">
        <v>6001</v>
      </c>
      <c r="J20" s="30">
        <v>5882</v>
      </c>
      <c r="K20" s="30">
        <v>6067</v>
      </c>
      <c r="L20" s="30">
        <v>6142</v>
      </c>
      <c r="N20" s="29" t="s">
        <v>5614</v>
      </c>
      <c r="P20" s="72"/>
      <c r="Q20" s="4"/>
    </row>
    <row r="21" spans="1:17" ht="15.75" thickBot="1">
      <c r="A21" s="29"/>
      <c r="B21" s="29"/>
      <c r="C21" s="72" t="s">
        <v>13747</v>
      </c>
      <c r="D21" s="28">
        <v>0</v>
      </c>
      <c r="E21" s="28">
        <v>0</v>
      </c>
      <c r="F21" s="28">
        <v>0</v>
      </c>
      <c r="G21" s="30">
        <v>0</v>
      </c>
      <c r="H21" s="30">
        <v>0</v>
      </c>
      <c r="I21" s="30">
        <v>3087</v>
      </c>
      <c r="J21" s="30">
        <v>2991</v>
      </c>
      <c r="K21" s="30">
        <v>3070</v>
      </c>
      <c r="L21" s="30">
        <v>3015</v>
      </c>
      <c r="N21" s="29" t="s">
        <v>5616</v>
      </c>
      <c r="P21" s="72"/>
      <c r="Q21" s="4"/>
    </row>
    <row r="22" spans="1:17" ht="15.75" thickBot="1">
      <c r="A22" s="29"/>
      <c r="B22" s="29"/>
      <c r="C22" s="72" t="s">
        <v>13747</v>
      </c>
      <c r="D22" s="900">
        <f t="shared" ref="D22:H22" si="15">D20+D21</f>
        <v>0</v>
      </c>
      <c r="E22" s="900">
        <f t="shared" si="15"/>
        <v>0</v>
      </c>
      <c r="F22" s="900">
        <f t="shared" si="15"/>
        <v>0</v>
      </c>
      <c r="G22" s="900">
        <f t="shared" si="15"/>
        <v>0</v>
      </c>
      <c r="H22" s="900">
        <f t="shared" si="15"/>
        <v>0</v>
      </c>
      <c r="I22" s="900">
        <f>I20+I21</f>
        <v>9088</v>
      </c>
      <c r="J22" s="900">
        <f>J20+J21</f>
        <v>8873</v>
      </c>
      <c r="K22" s="900">
        <f>K20+K21</f>
        <v>9137</v>
      </c>
      <c r="L22" s="900">
        <f>L20+L21</f>
        <v>9157</v>
      </c>
      <c r="N22" s="29"/>
      <c r="P22" s="72"/>
      <c r="Q22" s="4"/>
    </row>
    <row r="23" spans="1:17">
      <c r="A23" s="29" t="s">
        <v>6965</v>
      </c>
      <c r="B23" s="29" t="s">
        <v>6442</v>
      </c>
      <c r="C23" s="72" t="s">
        <v>13748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7960</v>
      </c>
      <c r="J23" s="30">
        <v>8239</v>
      </c>
      <c r="K23" s="30">
        <v>9316</v>
      </c>
      <c r="L23" s="30">
        <v>9790</v>
      </c>
      <c r="N23" s="29" t="s">
        <v>5614</v>
      </c>
      <c r="P23" s="72"/>
      <c r="Q23" s="4"/>
    </row>
    <row r="24" spans="1:17" ht="15.75" thickBot="1">
      <c r="A24" s="29"/>
      <c r="B24" s="29"/>
      <c r="C24" s="72" t="s">
        <v>13748</v>
      </c>
      <c r="D24" s="899">
        <v>0</v>
      </c>
      <c r="E24" s="899">
        <v>0</v>
      </c>
      <c r="F24" s="899">
        <v>0</v>
      </c>
      <c r="G24" s="899">
        <v>0</v>
      </c>
      <c r="H24" s="899">
        <v>0</v>
      </c>
      <c r="I24" s="899">
        <v>0</v>
      </c>
      <c r="J24" s="30">
        <v>0</v>
      </c>
      <c r="K24" s="30">
        <v>0</v>
      </c>
      <c r="L24" s="30">
        <v>0</v>
      </c>
      <c r="N24" s="29" t="s">
        <v>5616</v>
      </c>
      <c r="P24" s="72"/>
      <c r="Q24" s="4"/>
    </row>
    <row r="25" spans="1:17" ht="15.75" thickBot="1">
      <c r="A25" s="29"/>
      <c r="B25" s="29"/>
      <c r="C25" s="72" t="s">
        <v>13748</v>
      </c>
      <c r="D25" s="900">
        <f t="shared" ref="D25:H25" si="16">D23+D24</f>
        <v>0</v>
      </c>
      <c r="E25" s="900">
        <f t="shared" si="16"/>
        <v>0</v>
      </c>
      <c r="F25" s="900">
        <f t="shared" si="16"/>
        <v>0</v>
      </c>
      <c r="G25" s="900">
        <f t="shared" si="16"/>
        <v>0</v>
      </c>
      <c r="H25" s="900">
        <f t="shared" si="16"/>
        <v>0</v>
      </c>
      <c r="I25" s="900">
        <f>I23+I24</f>
        <v>7960</v>
      </c>
      <c r="J25" s="900">
        <f>J23+J24</f>
        <v>8239</v>
      </c>
      <c r="K25" s="900">
        <f>K23+K24</f>
        <v>9316</v>
      </c>
      <c r="L25" s="900">
        <f>L23+L24</f>
        <v>9790</v>
      </c>
      <c r="N25" s="29"/>
      <c r="P25" s="72"/>
      <c r="Q25" s="4"/>
    </row>
    <row r="26" spans="1:17">
      <c r="A26" s="29" t="s">
        <v>6997</v>
      </c>
      <c r="B26" s="29" t="s">
        <v>13734</v>
      </c>
      <c r="C26" s="72" t="s">
        <v>13749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8118</v>
      </c>
      <c r="J26" s="30">
        <v>7959</v>
      </c>
      <c r="K26" s="30">
        <v>8255</v>
      </c>
      <c r="L26" s="30">
        <v>8212</v>
      </c>
      <c r="N26" s="29" t="s">
        <v>5614</v>
      </c>
      <c r="P26" s="72"/>
      <c r="Q26" s="4"/>
    </row>
    <row r="27" spans="1:17" ht="15.75" thickBot="1">
      <c r="A27" s="29"/>
      <c r="B27" s="29"/>
      <c r="C27" s="72" t="s">
        <v>13749</v>
      </c>
      <c r="D27" s="899">
        <v>0</v>
      </c>
      <c r="E27" s="899">
        <v>0</v>
      </c>
      <c r="F27" s="899">
        <v>0</v>
      </c>
      <c r="G27" s="899">
        <v>0</v>
      </c>
      <c r="H27" s="899">
        <v>0</v>
      </c>
      <c r="I27" s="31">
        <v>858</v>
      </c>
      <c r="J27" s="31">
        <v>861</v>
      </c>
      <c r="K27" s="31">
        <v>933</v>
      </c>
      <c r="L27" s="31">
        <v>981</v>
      </c>
      <c r="N27" s="29" t="s">
        <v>5616</v>
      </c>
      <c r="P27" s="72"/>
      <c r="Q27" s="4"/>
    </row>
    <row r="28" spans="1:17" ht="15.75" thickBot="1">
      <c r="A28" s="29"/>
      <c r="B28" s="29"/>
      <c r="C28" s="72" t="s">
        <v>13749</v>
      </c>
      <c r="D28" s="900">
        <f t="shared" ref="D28:H28" si="17">D26+D27</f>
        <v>0</v>
      </c>
      <c r="E28" s="900">
        <f t="shared" si="17"/>
        <v>0</v>
      </c>
      <c r="F28" s="900">
        <f t="shared" si="17"/>
        <v>0</v>
      </c>
      <c r="G28" s="900">
        <f t="shared" si="17"/>
        <v>0</v>
      </c>
      <c r="H28" s="900">
        <f t="shared" si="17"/>
        <v>0</v>
      </c>
      <c r="I28" s="900">
        <f>I26+I27</f>
        <v>8976</v>
      </c>
      <c r="J28" s="900">
        <f>J26+J27</f>
        <v>8820</v>
      </c>
      <c r="K28" s="900">
        <f>K26+K27</f>
        <v>9188</v>
      </c>
      <c r="L28" s="900">
        <f>L26+L27</f>
        <v>9193</v>
      </c>
      <c r="N28" s="29"/>
      <c r="P28" s="72"/>
      <c r="Q28" s="4"/>
    </row>
    <row r="29" spans="1:17">
      <c r="A29" s="29" t="s">
        <v>6999</v>
      </c>
      <c r="B29" s="29" t="s">
        <v>13735</v>
      </c>
      <c r="C29" s="72" t="s">
        <v>13750</v>
      </c>
      <c r="D29" s="30">
        <v>81991</v>
      </c>
      <c r="E29" s="30">
        <v>81226</v>
      </c>
      <c r="F29" s="30">
        <v>83919</v>
      </c>
      <c r="G29" s="30">
        <v>85537</v>
      </c>
      <c r="H29" s="30">
        <v>87028</v>
      </c>
      <c r="I29" s="30">
        <v>8309</v>
      </c>
      <c r="J29" s="30">
        <v>7840</v>
      </c>
      <c r="K29" s="30">
        <v>8333</v>
      </c>
      <c r="L29" s="30">
        <v>8467</v>
      </c>
      <c r="N29" s="29" t="s">
        <v>5614</v>
      </c>
      <c r="P29" s="72"/>
      <c r="Q29" s="4"/>
    </row>
    <row r="30" spans="1:17">
      <c r="A30" s="29" t="s">
        <v>7001</v>
      </c>
      <c r="B30" s="29" t="s">
        <v>13736</v>
      </c>
      <c r="C30" s="72" t="s">
        <v>13751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1">
        <v>8624</v>
      </c>
      <c r="J30" s="31">
        <v>8563</v>
      </c>
      <c r="K30" s="31">
        <v>9078</v>
      </c>
      <c r="L30" s="31">
        <v>9036</v>
      </c>
      <c r="N30" s="29" t="s">
        <v>5616</v>
      </c>
      <c r="P30" s="72"/>
      <c r="Q30" s="4"/>
    </row>
    <row r="31" spans="1:17">
      <c r="A31" s="29" t="s">
        <v>7003</v>
      </c>
      <c r="B31" s="29" t="s">
        <v>13737</v>
      </c>
      <c r="C31" s="72" t="s">
        <v>13752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1">
        <v>0</v>
      </c>
      <c r="J31" s="31">
        <v>0</v>
      </c>
      <c r="K31" s="31">
        <v>0</v>
      </c>
      <c r="L31" s="31">
        <v>0</v>
      </c>
      <c r="N31" s="29" t="s">
        <v>5614</v>
      </c>
      <c r="P31" s="72"/>
      <c r="Q31" s="4"/>
    </row>
    <row r="32" spans="1:17" ht="15.75" thickBot="1">
      <c r="A32" s="29"/>
      <c r="B32" s="29"/>
      <c r="C32" s="72" t="s">
        <v>13752</v>
      </c>
      <c r="D32" s="899">
        <v>0</v>
      </c>
      <c r="E32" s="899">
        <v>0</v>
      </c>
      <c r="F32" s="899">
        <v>0</v>
      </c>
      <c r="G32" s="899">
        <v>0</v>
      </c>
      <c r="H32" s="899">
        <v>0</v>
      </c>
      <c r="I32" s="899">
        <v>9864</v>
      </c>
      <c r="J32" s="31">
        <v>9556</v>
      </c>
      <c r="K32" s="31">
        <v>9818</v>
      </c>
      <c r="L32" s="31">
        <v>9851</v>
      </c>
      <c r="N32" s="29" t="s">
        <v>5616</v>
      </c>
      <c r="P32" s="72"/>
      <c r="Q32" s="4"/>
    </row>
    <row r="33" spans="1:17" ht="15.75" thickBot="1">
      <c r="A33" s="29"/>
      <c r="B33" s="29"/>
      <c r="C33" s="72" t="s">
        <v>13752</v>
      </c>
      <c r="D33" s="900">
        <f t="shared" ref="D33:H33" si="18">D31+D32</f>
        <v>0</v>
      </c>
      <c r="E33" s="900">
        <f t="shared" si="18"/>
        <v>0</v>
      </c>
      <c r="F33" s="900">
        <f t="shared" si="18"/>
        <v>0</v>
      </c>
      <c r="G33" s="900">
        <f t="shared" si="18"/>
        <v>0</v>
      </c>
      <c r="H33" s="900">
        <f t="shared" si="18"/>
        <v>0</v>
      </c>
      <c r="I33" s="900">
        <f>I31+I32</f>
        <v>9864</v>
      </c>
      <c r="J33" s="900">
        <f>J31+J32</f>
        <v>9556</v>
      </c>
      <c r="K33" s="900">
        <f>K31+K32</f>
        <v>9818</v>
      </c>
      <c r="L33" s="900">
        <f>L31+L32</f>
        <v>9851</v>
      </c>
      <c r="N33" s="29"/>
      <c r="P33" s="72"/>
      <c r="Q33" s="4"/>
    </row>
    <row r="34" spans="1:17">
      <c r="A34" s="29" t="s">
        <v>7005</v>
      </c>
      <c r="B34" s="29" t="s">
        <v>13738</v>
      </c>
      <c r="C34" s="72" t="s">
        <v>13753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3422</v>
      </c>
      <c r="J34" s="30">
        <v>3291</v>
      </c>
      <c r="K34" s="30">
        <v>3411</v>
      </c>
      <c r="L34" s="30">
        <v>3417</v>
      </c>
      <c r="N34" s="29" t="s">
        <v>5614</v>
      </c>
      <c r="P34" s="72"/>
      <c r="Q34" s="4"/>
    </row>
    <row r="35" spans="1:17" ht="15.75" thickBot="1">
      <c r="A35" s="29"/>
      <c r="B35" s="29"/>
      <c r="C35" s="72" t="s">
        <v>13753</v>
      </c>
      <c r="D35" s="899">
        <v>0</v>
      </c>
      <c r="E35" s="899">
        <v>0</v>
      </c>
      <c r="F35" s="899">
        <v>0</v>
      </c>
      <c r="G35" s="899">
        <v>0</v>
      </c>
      <c r="H35" s="899">
        <v>0</v>
      </c>
      <c r="I35" s="31">
        <v>4974</v>
      </c>
      <c r="J35" s="31">
        <v>4899</v>
      </c>
      <c r="K35" s="31">
        <v>5178</v>
      </c>
      <c r="L35" s="31">
        <v>5064</v>
      </c>
      <c r="N35" s="29" t="s">
        <v>5616</v>
      </c>
      <c r="P35" s="72"/>
      <c r="Q35" s="4"/>
    </row>
    <row r="36" spans="1:17" ht="15.75" thickBot="1">
      <c r="A36" s="29"/>
      <c r="B36" s="29"/>
      <c r="C36" s="72" t="s">
        <v>13753</v>
      </c>
      <c r="D36" s="900">
        <f t="shared" ref="D36:H36" si="19">D34+D35</f>
        <v>0</v>
      </c>
      <c r="E36" s="900">
        <f t="shared" si="19"/>
        <v>0</v>
      </c>
      <c r="F36" s="900">
        <f t="shared" si="19"/>
        <v>0</v>
      </c>
      <c r="G36" s="900">
        <f t="shared" si="19"/>
        <v>0</v>
      </c>
      <c r="H36" s="900">
        <f t="shared" si="19"/>
        <v>0</v>
      </c>
      <c r="I36" s="900">
        <f>I34+I35</f>
        <v>8396</v>
      </c>
      <c r="J36" s="900">
        <f>J34+J35</f>
        <v>8190</v>
      </c>
      <c r="K36" s="900">
        <f>K34+K35</f>
        <v>8589</v>
      </c>
      <c r="L36" s="900">
        <f>L34+L35</f>
        <v>8481</v>
      </c>
      <c r="N36" s="29"/>
      <c r="O36" s="4"/>
      <c r="Q36" s="4"/>
    </row>
    <row r="37" spans="1:17">
      <c r="A37" s="29" t="s">
        <v>7007</v>
      </c>
      <c r="B37" s="29" t="s">
        <v>13739</v>
      </c>
      <c r="C37" s="72" t="s">
        <v>13754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9417</v>
      </c>
      <c r="J37" s="30">
        <v>9451</v>
      </c>
      <c r="K37" s="30">
        <v>9805</v>
      </c>
      <c r="L37" s="30">
        <v>9775</v>
      </c>
      <c r="N37" s="29" t="s">
        <v>5614</v>
      </c>
      <c r="O37" s="4"/>
      <c r="Q37" s="4"/>
    </row>
    <row r="38" spans="1:17">
      <c r="A38" s="29" t="s">
        <v>7009</v>
      </c>
      <c r="B38" s="29" t="s">
        <v>4033</v>
      </c>
      <c r="C38" s="72" t="s">
        <v>13755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8932</v>
      </c>
      <c r="J38" s="30">
        <v>8748</v>
      </c>
      <c r="K38" s="30">
        <v>8959</v>
      </c>
      <c r="L38" s="30">
        <v>8949</v>
      </c>
      <c r="N38" s="29" t="s">
        <v>5614</v>
      </c>
      <c r="O38" s="4"/>
      <c r="Q38" s="4"/>
    </row>
    <row r="39" spans="1:17">
      <c r="A39" s="29" t="s">
        <v>7011</v>
      </c>
      <c r="B39" s="29" t="s">
        <v>5758</v>
      </c>
      <c r="C39" s="72" t="s">
        <v>13756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9373</v>
      </c>
      <c r="J39" s="30">
        <v>9307</v>
      </c>
      <c r="K39" s="30">
        <v>9710</v>
      </c>
      <c r="L39" s="30">
        <v>9614</v>
      </c>
      <c r="N39" s="29" t="s">
        <v>5614</v>
      </c>
      <c r="O39" s="4"/>
      <c r="Q39" s="4"/>
    </row>
    <row r="40" spans="1:17">
      <c r="A40" s="29" t="s">
        <v>7013</v>
      </c>
      <c r="B40" s="29" t="s">
        <v>13740</v>
      </c>
      <c r="C40" s="72" t="s">
        <v>13757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9118</v>
      </c>
      <c r="J40" s="31">
        <v>8953</v>
      </c>
      <c r="K40" s="31">
        <v>9331</v>
      </c>
      <c r="L40" s="31">
        <v>9300</v>
      </c>
      <c r="N40" s="29" t="s">
        <v>5616</v>
      </c>
      <c r="O40" s="4"/>
      <c r="Q40" s="4"/>
    </row>
    <row r="41" spans="1:17">
      <c r="A41" s="29" t="s">
        <v>7015</v>
      </c>
      <c r="B41" s="29" t="s">
        <v>5759</v>
      </c>
      <c r="C41" s="72" t="s">
        <v>13758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10477</v>
      </c>
      <c r="J41" s="30">
        <v>10139</v>
      </c>
      <c r="K41" s="30">
        <v>10634</v>
      </c>
      <c r="L41" s="30">
        <v>10820</v>
      </c>
      <c r="N41" s="29" t="s">
        <v>5614</v>
      </c>
      <c r="O41" s="4"/>
      <c r="Q41" s="4"/>
    </row>
    <row r="42" spans="1:17">
      <c r="A42" s="29" t="s">
        <v>7017</v>
      </c>
      <c r="B42" s="29" t="s">
        <v>5760</v>
      </c>
      <c r="C42" s="72" t="s">
        <v>13759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7609</v>
      </c>
      <c r="J42" s="31">
        <v>7408</v>
      </c>
      <c r="K42" s="31">
        <v>7981</v>
      </c>
      <c r="L42" s="31">
        <v>8545</v>
      </c>
      <c r="N42" s="29" t="s">
        <v>5616</v>
      </c>
    </row>
    <row r="43" spans="1:17">
      <c r="A43" s="29" t="s">
        <v>7019</v>
      </c>
      <c r="B43" s="29" t="s">
        <v>13741</v>
      </c>
      <c r="C43" s="72" t="s">
        <v>13760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7226</v>
      </c>
      <c r="J43" s="31">
        <v>7373</v>
      </c>
      <c r="K43" s="31">
        <v>7766</v>
      </c>
      <c r="L43" s="31">
        <v>7770</v>
      </c>
      <c r="N43" s="29" t="s">
        <v>5616</v>
      </c>
    </row>
    <row r="44" spans="1:17">
      <c r="A44" s="29" t="s">
        <v>7021</v>
      </c>
      <c r="B44" s="29" t="s">
        <v>5761</v>
      </c>
      <c r="C44" s="72" t="s">
        <v>13761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9882</v>
      </c>
      <c r="J44" s="30">
        <v>9857</v>
      </c>
      <c r="K44" s="30">
        <v>10385</v>
      </c>
      <c r="L44" s="30">
        <v>10468</v>
      </c>
      <c r="N44" s="29" t="s">
        <v>5614</v>
      </c>
    </row>
    <row r="45" spans="1:17">
      <c r="A45" s="29" t="s">
        <v>7023</v>
      </c>
      <c r="B45" s="29" t="s">
        <v>13742</v>
      </c>
      <c r="C45" s="72" t="s">
        <v>13762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2788</v>
      </c>
      <c r="J45" s="30">
        <v>2635</v>
      </c>
      <c r="K45" s="30">
        <v>2881</v>
      </c>
      <c r="L45" s="30">
        <v>2976</v>
      </c>
      <c r="N45" s="29" t="s">
        <v>5614</v>
      </c>
    </row>
    <row r="46" spans="1:17" ht="15.75" thickBot="1">
      <c r="A46" s="29"/>
      <c r="B46" s="29"/>
      <c r="C46" s="72" t="s">
        <v>13762</v>
      </c>
      <c r="D46" s="899">
        <v>0</v>
      </c>
      <c r="E46" s="899">
        <v>0</v>
      </c>
      <c r="F46" s="899">
        <v>0</v>
      </c>
      <c r="G46" s="899">
        <v>0</v>
      </c>
      <c r="H46" s="899">
        <v>0</v>
      </c>
      <c r="I46" s="31">
        <v>6750</v>
      </c>
      <c r="J46" s="31">
        <v>6501</v>
      </c>
      <c r="K46" s="31">
        <v>6801</v>
      </c>
      <c r="L46" s="31">
        <v>6913</v>
      </c>
      <c r="N46" s="29" t="s">
        <v>5616</v>
      </c>
    </row>
    <row r="47" spans="1:17" ht="15.75" thickBot="1">
      <c r="A47" s="29"/>
      <c r="B47" s="29"/>
      <c r="C47" s="72" t="s">
        <v>13762</v>
      </c>
      <c r="D47" s="900">
        <f t="shared" ref="D47:H47" si="20">D45+D46</f>
        <v>0</v>
      </c>
      <c r="E47" s="900">
        <f t="shared" si="20"/>
        <v>0</v>
      </c>
      <c r="F47" s="900">
        <f t="shared" si="20"/>
        <v>0</v>
      </c>
      <c r="G47" s="900">
        <f t="shared" si="20"/>
        <v>0</v>
      </c>
      <c r="H47" s="900">
        <f t="shared" si="20"/>
        <v>0</v>
      </c>
      <c r="I47" s="900">
        <f>I45+I46</f>
        <v>9538</v>
      </c>
      <c r="J47" s="900">
        <f>J45+J46</f>
        <v>9136</v>
      </c>
      <c r="K47" s="900">
        <f>K45+K46</f>
        <v>9682</v>
      </c>
      <c r="L47" s="900">
        <f>L45+L46</f>
        <v>9889</v>
      </c>
      <c r="N47" s="29"/>
    </row>
    <row r="49" spans="1:1">
      <c r="A49" s="29" t="s">
        <v>13743</v>
      </c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1" orientation="portrait" horizontalDpi="300" verticalDpi="300" r:id="rId1"/>
  <headerFooter alignWithMargins="0">
    <oddFooter>&amp;C&amp;"Times New Roman,Regular"&amp;8&amp;P of &amp;N</oddFooter>
  </headerFooter>
  <ignoredErrors>
    <ignoredError sqref="D12:D15 E12:E15 F12:F15 G12:G15 G10:G11 F10:F11 E10:E11 D10:D11 H10:H15 H5:H6 D4 E4 F4 G4 D5:D6 E5:E6 F5:F6 G5:G6 D3:H3 D7:H9 H4 D22:H47 I3:I15 I22:I33 I36:K36 I47:K47 J22 J25 J28 J33 J3:J15 K22:K25 K28:K33 K3:K15 L3:L15" unlockedFormula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38"/>
  <sheetViews>
    <sheetView showGridLines="0" zoomScaleNormal="100" workbookViewId="0"/>
  </sheetViews>
  <sheetFormatPr defaultColWidth="12.5703125" defaultRowHeight="15"/>
  <cols>
    <col min="1" max="1" width="4.85546875" style="250" customWidth="1"/>
    <col min="2" max="2" width="40.7109375" style="250" customWidth="1"/>
    <col min="3" max="3" width="11.5703125" style="250" customWidth="1"/>
    <col min="4" max="12" width="10" style="250" customWidth="1"/>
    <col min="13" max="13" width="2.28515625" style="250" customWidth="1"/>
    <col min="14" max="14" width="33" style="250" customWidth="1"/>
    <col min="15" max="16384" width="12.5703125" style="250"/>
  </cols>
  <sheetData>
    <row r="1" spans="1:14">
      <c r="A1" s="249" t="s">
        <v>7342</v>
      </c>
      <c r="D1" s="251">
        <v>2010</v>
      </c>
      <c r="E1" s="251">
        <v>2011</v>
      </c>
      <c r="F1" s="251">
        <v>2012</v>
      </c>
      <c r="G1" s="251">
        <v>2013</v>
      </c>
      <c r="H1" s="251">
        <v>2014</v>
      </c>
      <c r="I1" s="251">
        <v>2015</v>
      </c>
      <c r="J1" s="251">
        <v>2016</v>
      </c>
      <c r="K1" s="251">
        <v>2017</v>
      </c>
      <c r="L1" s="251">
        <v>2018</v>
      </c>
    </row>
    <row r="3" spans="1:14">
      <c r="A3" s="249" t="s">
        <v>8030</v>
      </c>
      <c r="D3" s="252">
        <f t="shared" ref="D3:I3" si="0">SUM(D17:D36)</f>
        <v>171381</v>
      </c>
      <c r="E3" s="252">
        <f t="shared" si="0"/>
        <v>177931</v>
      </c>
      <c r="F3" s="252">
        <f t="shared" si="0"/>
        <v>180188</v>
      </c>
      <c r="G3" s="252">
        <f t="shared" si="0"/>
        <v>179938</v>
      </c>
      <c r="H3" s="252">
        <f t="shared" si="0"/>
        <v>166501</v>
      </c>
      <c r="I3" s="252">
        <f t="shared" si="0"/>
        <v>165961</v>
      </c>
      <c r="J3" s="252">
        <f t="shared" ref="J3:K3" si="1">SUM(J17:J36)</f>
        <v>169712</v>
      </c>
      <c r="K3" s="252">
        <f t="shared" si="1"/>
        <v>175453</v>
      </c>
      <c r="L3" s="252">
        <f t="shared" ref="L3" si="2">SUM(L17:L36)</f>
        <v>172997</v>
      </c>
    </row>
    <row r="4" spans="1:14">
      <c r="A4" s="249"/>
      <c r="D4" s="252"/>
      <c r="E4" s="252"/>
      <c r="F4" s="252"/>
      <c r="G4" s="252"/>
      <c r="H4" s="252"/>
      <c r="I4" s="252"/>
      <c r="J4" s="252"/>
      <c r="K4" s="252"/>
      <c r="L4" s="252"/>
      <c r="N4" s="253"/>
    </row>
    <row r="5" spans="1:14">
      <c r="A5" s="249" t="s">
        <v>7343</v>
      </c>
      <c r="D5" s="252">
        <f t="shared" ref="D5:I5" si="3">D3/2</f>
        <v>85690.5</v>
      </c>
      <c r="E5" s="252">
        <f t="shared" si="3"/>
        <v>88965.5</v>
      </c>
      <c r="F5" s="252">
        <f t="shared" si="3"/>
        <v>90094</v>
      </c>
      <c r="G5" s="252">
        <f t="shared" si="3"/>
        <v>89969</v>
      </c>
      <c r="H5" s="252">
        <f t="shared" si="3"/>
        <v>83250.5</v>
      </c>
      <c r="I5" s="252">
        <f t="shared" si="3"/>
        <v>82980.5</v>
      </c>
      <c r="J5" s="252">
        <f t="shared" ref="J5:K5" si="4">J3/2</f>
        <v>84856</v>
      </c>
      <c r="K5" s="252">
        <f t="shared" si="4"/>
        <v>87726.5</v>
      </c>
      <c r="L5" s="252">
        <f t="shared" ref="L5" si="5">L3/2</f>
        <v>86498.5</v>
      </c>
    </row>
    <row r="6" spans="1:14">
      <c r="D6" s="254"/>
      <c r="E6" s="254"/>
      <c r="F6" s="254"/>
      <c r="G6" s="254"/>
      <c r="H6" s="254"/>
      <c r="I6" s="254"/>
      <c r="J6" s="254"/>
      <c r="K6" s="254"/>
      <c r="L6" s="254"/>
    </row>
    <row r="7" spans="1:14">
      <c r="A7" s="249" t="s">
        <v>8031</v>
      </c>
      <c r="D7" s="252">
        <f t="shared" ref="D7:I7" si="6">D17+D18+SUM(D22:D24)+D27+D29+D30+D33+D35</f>
        <v>87809</v>
      </c>
      <c r="E7" s="252">
        <f t="shared" si="6"/>
        <v>91531</v>
      </c>
      <c r="F7" s="252">
        <f t="shared" si="6"/>
        <v>92126</v>
      </c>
      <c r="G7" s="252">
        <f t="shared" si="6"/>
        <v>91194</v>
      </c>
      <c r="H7" s="252">
        <f t="shared" si="6"/>
        <v>84108</v>
      </c>
      <c r="I7" s="252">
        <f t="shared" si="6"/>
        <v>82616</v>
      </c>
      <c r="J7" s="252">
        <f t="shared" ref="J7:K7" si="7">J17+J18+SUM(J22:J24)+J27+J29+J30+J33+J35</f>
        <v>82810</v>
      </c>
      <c r="K7" s="252">
        <f t="shared" si="7"/>
        <v>84377</v>
      </c>
      <c r="L7" s="252">
        <f t="shared" ref="L7" si="8">L17+L18+SUM(L22:L24)+L27+L29+L30+L33+L35</f>
        <v>82302</v>
      </c>
      <c r="N7" s="249" t="s">
        <v>8032</v>
      </c>
    </row>
    <row r="8" spans="1:14">
      <c r="D8" s="254"/>
      <c r="E8" s="254"/>
      <c r="F8" s="254"/>
      <c r="G8" s="254"/>
      <c r="H8" s="254"/>
      <c r="I8" s="254"/>
      <c r="J8" s="254"/>
      <c r="K8" s="254"/>
      <c r="L8" s="254"/>
    </row>
    <row r="9" spans="1:14">
      <c r="A9" s="249" t="s">
        <v>8033</v>
      </c>
      <c r="D9" s="252">
        <f t="shared" ref="D9:I9" si="9">SUM(D19:D21)+D25+D26+D28+D31+D32+D34+D36</f>
        <v>83572</v>
      </c>
      <c r="E9" s="252">
        <f t="shared" si="9"/>
        <v>86400</v>
      </c>
      <c r="F9" s="252">
        <f t="shared" si="9"/>
        <v>88062</v>
      </c>
      <c r="G9" s="252">
        <f t="shared" si="9"/>
        <v>88744</v>
      </c>
      <c r="H9" s="252">
        <f t="shared" si="9"/>
        <v>82393</v>
      </c>
      <c r="I9" s="252">
        <f t="shared" si="9"/>
        <v>83345</v>
      </c>
      <c r="J9" s="252">
        <f t="shared" ref="J9:K9" si="10">SUM(J19:J21)+J25+J26+J28+J31+J32+J34+J36</f>
        <v>86902</v>
      </c>
      <c r="K9" s="252">
        <f t="shared" si="10"/>
        <v>91076</v>
      </c>
      <c r="L9" s="252">
        <f t="shared" ref="L9" si="11">SUM(L19:L21)+L25+L26+L28+L31+L32+L34+L36</f>
        <v>90695</v>
      </c>
      <c r="N9" s="249" t="s">
        <v>8032</v>
      </c>
    </row>
    <row r="10" spans="1:14">
      <c r="D10" s="254"/>
      <c r="E10" s="254"/>
      <c r="F10" s="254"/>
      <c r="G10" s="254"/>
      <c r="H10" s="254"/>
      <c r="I10" s="254"/>
      <c r="J10" s="254"/>
      <c r="K10" s="254"/>
      <c r="L10" s="254"/>
    </row>
    <row r="11" spans="1:14">
      <c r="A11" s="249" t="s">
        <v>8697</v>
      </c>
      <c r="D11" s="252">
        <f t="shared" ref="D11:I11" si="12">D7+D9</f>
        <v>171381</v>
      </c>
      <c r="E11" s="252">
        <f t="shared" si="12"/>
        <v>177931</v>
      </c>
      <c r="F11" s="252">
        <f t="shared" si="12"/>
        <v>180188</v>
      </c>
      <c r="G11" s="252">
        <f t="shared" si="12"/>
        <v>179938</v>
      </c>
      <c r="H11" s="252">
        <f t="shared" si="12"/>
        <v>166501</v>
      </c>
      <c r="I11" s="252">
        <f t="shared" si="12"/>
        <v>165961</v>
      </c>
      <c r="J11" s="252">
        <f t="shared" ref="J11:K11" si="13">J7+J9</f>
        <v>169712</v>
      </c>
      <c r="K11" s="252">
        <f t="shared" si="13"/>
        <v>175453</v>
      </c>
      <c r="L11" s="252">
        <f t="shared" ref="L11" si="14">L7+L9</f>
        <v>172997</v>
      </c>
    </row>
    <row r="12" spans="1:14">
      <c r="D12" s="254"/>
      <c r="E12" s="254"/>
      <c r="F12" s="254"/>
      <c r="G12" s="254"/>
      <c r="H12" s="254"/>
      <c r="I12" s="254"/>
      <c r="J12" s="254"/>
      <c r="K12" s="254"/>
      <c r="L12" s="254"/>
    </row>
    <row r="13" spans="1:14">
      <c r="A13" s="249" t="s">
        <v>8698</v>
      </c>
      <c r="D13" s="252">
        <f t="shared" ref="D13:I13" si="15">MAX(D7,D9)-MIN(D7,D9)</f>
        <v>4237</v>
      </c>
      <c r="E13" s="252">
        <f t="shared" si="15"/>
        <v>5131</v>
      </c>
      <c r="F13" s="252">
        <f t="shared" si="15"/>
        <v>4064</v>
      </c>
      <c r="G13" s="252">
        <f t="shared" si="15"/>
        <v>2450</v>
      </c>
      <c r="H13" s="252">
        <f t="shared" si="15"/>
        <v>1715</v>
      </c>
      <c r="I13" s="252">
        <f t="shared" si="15"/>
        <v>729</v>
      </c>
      <c r="J13" s="252">
        <f t="shared" ref="J13:K13" si="16">MAX(J7,J9)-MIN(J7,J9)</f>
        <v>4092</v>
      </c>
      <c r="K13" s="252">
        <f t="shared" si="16"/>
        <v>6699</v>
      </c>
      <c r="L13" s="252">
        <f t="shared" ref="L13" si="17">MAX(L7,L9)-MIN(L7,L9)</f>
        <v>8393</v>
      </c>
    </row>
    <row r="14" spans="1:14">
      <c r="D14" s="254"/>
      <c r="E14" s="254"/>
      <c r="F14" s="254"/>
      <c r="G14" s="254"/>
      <c r="H14" s="254"/>
      <c r="I14" s="254"/>
      <c r="J14" s="254"/>
      <c r="K14" s="254"/>
      <c r="L14" s="254"/>
    </row>
    <row r="15" spans="1:14">
      <c r="A15" s="255" t="s">
        <v>8701</v>
      </c>
      <c r="D15" s="252">
        <f t="shared" ref="D15:I15" si="18">STDEVP(D7,D9)</f>
        <v>2118.5</v>
      </c>
      <c r="E15" s="252">
        <f t="shared" si="18"/>
        <v>2565.5</v>
      </c>
      <c r="F15" s="252">
        <f t="shared" si="18"/>
        <v>2032</v>
      </c>
      <c r="G15" s="252">
        <f t="shared" si="18"/>
        <v>1225</v>
      </c>
      <c r="H15" s="252">
        <f t="shared" si="18"/>
        <v>857.5</v>
      </c>
      <c r="I15" s="252">
        <f t="shared" si="18"/>
        <v>364.5</v>
      </c>
      <c r="J15" s="252">
        <f t="shared" ref="J15:K15" si="19">STDEVP(J7,J9)</f>
        <v>2046</v>
      </c>
      <c r="K15" s="252">
        <f t="shared" si="19"/>
        <v>3349.5</v>
      </c>
      <c r="L15" s="252">
        <f t="shared" ref="L15" si="20">STDEVP(L7,L9)</f>
        <v>4196.5</v>
      </c>
    </row>
    <row r="16" spans="1:14">
      <c r="D16" s="254"/>
      <c r="E16" s="254"/>
      <c r="F16" s="254"/>
      <c r="G16" s="254"/>
      <c r="H16" s="254"/>
      <c r="I16" s="254"/>
      <c r="J16" s="254"/>
      <c r="K16" s="254"/>
      <c r="L16" s="254"/>
    </row>
    <row r="17" spans="1:18">
      <c r="A17" s="249" t="s">
        <v>6957</v>
      </c>
      <c r="B17" s="249" t="s">
        <v>8034</v>
      </c>
      <c r="C17" s="4" t="s">
        <v>8861</v>
      </c>
      <c r="D17" s="256">
        <v>8507</v>
      </c>
      <c r="E17" s="256">
        <v>8776</v>
      </c>
      <c r="F17" s="256">
        <v>8877</v>
      </c>
      <c r="G17" s="256">
        <v>8659</v>
      </c>
      <c r="H17" s="30">
        <v>8213</v>
      </c>
      <c r="I17" s="30">
        <v>7396</v>
      </c>
      <c r="J17" s="30">
        <v>7335</v>
      </c>
      <c r="K17" s="30">
        <v>7568</v>
      </c>
      <c r="L17" s="30">
        <v>7681</v>
      </c>
      <c r="N17" s="249" t="s">
        <v>8031</v>
      </c>
      <c r="P17" s="4"/>
      <c r="R17" s="4"/>
    </row>
    <row r="18" spans="1:18">
      <c r="A18" s="249" t="s">
        <v>6959</v>
      </c>
      <c r="B18" s="249" t="s">
        <v>8035</v>
      </c>
      <c r="C18" s="4" t="s">
        <v>8862</v>
      </c>
      <c r="D18" s="252">
        <v>8828</v>
      </c>
      <c r="E18" s="252">
        <v>9307</v>
      </c>
      <c r="F18" s="252">
        <v>9456</v>
      </c>
      <c r="G18" s="252">
        <v>9357</v>
      </c>
      <c r="H18" s="30">
        <v>8650</v>
      </c>
      <c r="I18" s="30">
        <v>8446</v>
      </c>
      <c r="J18" s="30">
        <v>8696</v>
      </c>
      <c r="K18" s="30">
        <v>8793</v>
      </c>
      <c r="L18" s="30">
        <v>8565</v>
      </c>
      <c r="N18" s="249" t="s">
        <v>8031</v>
      </c>
      <c r="P18" s="4"/>
      <c r="R18" s="4"/>
    </row>
    <row r="19" spans="1:18">
      <c r="A19" s="249" t="s">
        <v>6961</v>
      </c>
      <c r="B19" s="249" t="s">
        <v>8036</v>
      </c>
      <c r="C19" s="4" t="s">
        <v>8863</v>
      </c>
      <c r="D19" s="257">
        <v>8088</v>
      </c>
      <c r="E19" s="257">
        <v>8094</v>
      </c>
      <c r="F19" s="257">
        <v>8262</v>
      </c>
      <c r="G19" s="257">
        <v>8489</v>
      </c>
      <c r="H19" s="30">
        <v>8143</v>
      </c>
      <c r="I19" s="30">
        <v>8216</v>
      </c>
      <c r="J19" s="30">
        <v>8333</v>
      </c>
      <c r="K19" s="30">
        <v>8767</v>
      </c>
      <c r="L19" s="30">
        <v>8855</v>
      </c>
      <c r="N19" s="249" t="s">
        <v>8033</v>
      </c>
      <c r="P19" s="4"/>
      <c r="R19" s="4"/>
    </row>
    <row r="20" spans="1:18">
      <c r="A20" s="249" t="s">
        <v>6963</v>
      </c>
      <c r="B20" s="249" t="s">
        <v>8037</v>
      </c>
      <c r="C20" s="4" t="s">
        <v>8864</v>
      </c>
      <c r="D20" s="252">
        <v>7818</v>
      </c>
      <c r="E20" s="252">
        <v>8243</v>
      </c>
      <c r="F20" s="252">
        <v>8471</v>
      </c>
      <c r="G20" s="252">
        <v>8451</v>
      </c>
      <c r="H20" s="30">
        <v>8138</v>
      </c>
      <c r="I20" s="30">
        <v>8258</v>
      </c>
      <c r="J20" s="30">
        <v>8543</v>
      </c>
      <c r="K20" s="30">
        <v>9007</v>
      </c>
      <c r="L20" s="30">
        <v>9313</v>
      </c>
      <c r="N20" s="249" t="s">
        <v>8033</v>
      </c>
      <c r="P20" s="4"/>
      <c r="R20" s="4"/>
    </row>
    <row r="21" spans="1:18">
      <c r="A21" s="249" t="s">
        <v>6965</v>
      </c>
      <c r="B21" s="249" t="s">
        <v>8038</v>
      </c>
      <c r="C21" s="4" t="s">
        <v>8865</v>
      </c>
      <c r="D21" s="258">
        <v>7211</v>
      </c>
      <c r="E21" s="258">
        <v>7305</v>
      </c>
      <c r="F21" s="258">
        <v>7463</v>
      </c>
      <c r="G21" s="258">
        <v>7664</v>
      </c>
      <c r="H21" s="30">
        <v>6991</v>
      </c>
      <c r="I21" s="30">
        <v>7002</v>
      </c>
      <c r="J21" s="30">
        <v>6971</v>
      </c>
      <c r="K21" s="30">
        <v>7166</v>
      </c>
      <c r="L21" s="30">
        <v>7087</v>
      </c>
      <c r="N21" s="249" t="s">
        <v>8033</v>
      </c>
      <c r="P21" s="4"/>
      <c r="R21" s="4"/>
    </row>
    <row r="22" spans="1:18">
      <c r="A22" s="249" t="s">
        <v>6997</v>
      </c>
      <c r="B22" s="249" t="s">
        <v>8039</v>
      </c>
      <c r="C22" s="4" t="s">
        <v>8866</v>
      </c>
      <c r="D22" s="256">
        <v>9136</v>
      </c>
      <c r="E22" s="256">
        <v>9906</v>
      </c>
      <c r="F22" s="256">
        <v>9849</v>
      </c>
      <c r="G22" s="256">
        <v>9898</v>
      </c>
      <c r="H22" s="30">
        <v>8975</v>
      </c>
      <c r="I22" s="30">
        <v>8795</v>
      </c>
      <c r="J22" s="30">
        <v>8867</v>
      </c>
      <c r="K22" s="30">
        <v>8903</v>
      </c>
      <c r="L22" s="30">
        <v>8578</v>
      </c>
      <c r="N22" s="249" t="s">
        <v>8031</v>
      </c>
      <c r="P22" s="4"/>
      <c r="R22" s="4"/>
    </row>
    <row r="23" spans="1:18">
      <c r="A23" s="249" t="s">
        <v>6999</v>
      </c>
      <c r="B23" s="249" t="s">
        <v>8001</v>
      </c>
      <c r="C23" s="4" t="s">
        <v>8867</v>
      </c>
      <c r="D23" s="256">
        <v>9351</v>
      </c>
      <c r="E23" s="256">
        <v>9640</v>
      </c>
      <c r="F23" s="256">
        <v>9733</v>
      </c>
      <c r="G23" s="256">
        <v>9656</v>
      </c>
      <c r="H23" s="30">
        <v>8828</v>
      </c>
      <c r="I23" s="30">
        <v>8778</v>
      </c>
      <c r="J23" s="30">
        <v>8682</v>
      </c>
      <c r="K23" s="30">
        <v>8760</v>
      </c>
      <c r="L23" s="30">
        <v>8422</v>
      </c>
      <c r="N23" s="249" t="s">
        <v>8031</v>
      </c>
      <c r="P23" s="4"/>
      <c r="R23" s="4"/>
    </row>
    <row r="24" spans="1:18">
      <c r="A24" s="249" t="s">
        <v>7001</v>
      </c>
      <c r="B24" s="249" t="s">
        <v>8002</v>
      </c>
      <c r="C24" s="4" t="s">
        <v>8868</v>
      </c>
      <c r="D24" s="256">
        <v>8719</v>
      </c>
      <c r="E24" s="256">
        <v>9025</v>
      </c>
      <c r="F24" s="256">
        <v>9059</v>
      </c>
      <c r="G24" s="256">
        <v>9050</v>
      </c>
      <c r="H24" s="30">
        <v>8309</v>
      </c>
      <c r="I24" s="30">
        <v>8378</v>
      </c>
      <c r="J24" s="30">
        <v>8347</v>
      </c>
      <c r="K24" s="30">
        <v>8687</v>
      </c>
      <c r="L24" s="30">
        <v>8586</v>
      </c>
      <c r="N24" s="249" t="s">
        <v>8031</v>
      </c>
      <c r="P24" s="4"/>
      <c r="R24" s="4"/>
    </row>
    <row r="25" spans="1:18">
      <c r="A25" s="249" t="s">
        <v>7003</v>
      </c>
      <c r="B25" s="249" t="s">
        <v>8003</v>
      </c>
      <c r="C25" s="4" t="s">
        <v>8869</v>
      </c>
      <c r="D25" s="256">
        <v>8740</v>
      </c>
      <c r="E25" s="256">
        <v>8883</v>
      </c>
      <c r="F25" s="256">
        <v>9090</v>
      </c>
      <c r="G25" s="256">
        <v>9003</v>
      </c>
      <c r="H25" s="30">
        <v>8274</v>
      </c>
      <c r="I25" s="30">
        <v>8185</v>
      </c>
      <c r="J25" s="30">
        <v>8392</v>
      </c>
      <c r="K25" s="30">
        <v>8620</v>
      </c>
      <c r="L25" s="30">
        <v>8406</v>
      </c>
      <c r="N25" s="249" t="s">
        <v>8033</v>
      </c>
      <c r="P25" s="4"/>
      <c r="R25" s="4"/>
    </row>
    <row r="26" spans="1:18">
      <c r="A26" s="249" t="s">
        <v>7005</v>
      </c>
      <c r="B26" s="249" t="s">
        <v>8004</v>
      </c>
      <c r="C26" s="4" t="s">
        <v>8870</v>
      </c>
      <c r="D26" s="256">
        <v>9249</v>
      </c>
      <c r="E26" s="256">
        <v>9497</v>
      </c>
      <c r="F26" s="256">
        <v>9652</v>
      </c>
      <c r="G26" s="256">
        <v>9518</v>
      </c>
      <c r="H26" s="30">
        <v>8434</v>
      </c>
      <c r="I26" s="30">
        <v>8457</v>
      </c>
      <c r="J26" s="30">
        <v>8862</v>
      </c>
      <c r="K26" s="30">
        <v>9293</v>
      </c>
      <c r="L26" s="30">
        <v>9081</v>
      </c>
      <c r="N26" s="249" t="s">
        <v>8033</v>
      </c>
      <c r="P26" s="4"/>
      <c r="R26" s="4"/>
    </row>
    <row r="27" spans="1:18">
      <c r="A27" s="249" t="s">
        <v>7007</v>
      </c>
      <c r="B27" s="249" t="s">
        <v>8005</v>
      </c>
      <c r="C27" s="4" t="s">
        <v>8871</v>
      </c>
      <c r="D27" s="256">
        <v>9670</v>
      </c>
      <c r="E27" s="256">
        <v>10328</v>
      </c>
      <c r="F27" s="256">
        <v>10353</v>
      </c>
      <c r="G27" s="256">
        <v>10054</v>
      </c>
      <c r="H27" s="30">
        <v>9110</v>
      </c>
      <c r="I27" s="30">
        <v>8930</v>
      </c>
      <c r="J27" s="30">
        <v>8875</v>
      </c>
      <c r="K27" s="30">
        <v>8809</v>
      </c>
      <c r="L27" s="30">
        <v>8446</v>
      </c>
      <c r="N27" s="249" t="s">
        <v>8031</v>
      </c>
      <c r="P27" s="4"/>
      <c r="R27" s="4"/>
    </row>
    <row r="28" spans="1:18">
      <c r="A28" s="249" t="s">
        <v>7009</v>
      </c>
      <c r="B28" s="249" t="s">
        <v>8006</v>
      </c>
      <c r="C28" s="4" t="s">
        <v>8872</v>
      </c>
      <c r="D28" s="256">
        <v>9293</v>
      </c>
      <c r="E28" s="256">
        <v>9724</v>
      </c>
      <c r="F28" s="256">
        <v>9784</v>
      </c>
      <c r="G28" s="256">
        <v>9761</v>
      </c>
      <c r="H28" s="31">
        <v>8946</v>
      </c>
      <c r="I28" s="31">
        <v>8813</v>
      </c>
      <c r="J28" s="31">
        <v>8752</v>
      </c>
      <c r="K28" s="31">
        <v>8772</v>
      </c>
      <c r="L28" s="31">
        <v>8433</v>
      </c>
      <c r="N28" s="249" t="s">
        <v>8033</v>
      </c>
      <c r="P28" s="4"/>
      <c r="R28" s="4"/>
    </row>
    <row r="29" spans="1:18">
      <c r="A29" s="249" t="s">
        <v>7011</v>
      </c>
      <c r="B29" s="249" t="s">
        <v>8007</v>
      </c>
      <c r="C29" s="4" t="s">
        <v>8873</v>
      </c>
      <c r="D29" s="256">
        <v>9045</v>
      </c>
      <c r="E29" s="256">
        <v>9469</v>
      </c>
      <c r="F29" s="256">
        <v>9688</v>
      </c>
      <c r="G29" s="256">
        <v>9562</v>
      </c>
      <c r="H29" s="30">
        <v>8735</v>
      </c>
      <c r="I29" s="30">
        <v>8754</v>
      </c>
      <c r="J29" s="30">
        <v>8873</v>
      </c>
      <c r="K29" s="30">
        <v>9082</v>
      </c>
      <c r="L29" s="30">
        <v>8855</v>
      </c>
      <c r="N29" s="249" t="s">
        <v>8031</v>
      </c>
      <c r="P29" s="4"/>
      <c r="R29" s="4"/>
    </row>
    <row r="30" spans="1:18">
      <c r="A30" s="249" t="s">
        <v>7013</v>
      </c>
      <c r="B30" s="249" t="s">
        <v>91</v>
      </c>
      <c r="C30" s="4" t="s">
        <v>8874</v>
      </c>
      <c r="D30" s="256">
        <v>9473</v>
      </c>
      <c r="E30" s="256">
        <v>9602</v>
      </c>
      <c r="F30" s="256">
        <v>9646</v>
      </c>
      <c r="G30" s="256">
        <v>9496</v>
      </c>
      <c r="H30" s="30">
        <v>8926</v>
      </c>
      <c r="I30" s="30">
        <v>8749</v>
      </c>
      <c r="J30" s="30">
        <v>8636</v>
      </c>
      <c r="K30" s="30">
        <v>8639</v>
      </c>
      <c r="L30" s="30">
        <v>8337</v>
      </c>
      <c r="N30" s="249" t="s">
        <v>8031</v>
      </c>
      <c r="P30" s="4"/>
      <c r="R30" s="4"/>
    </row>
    <row r="31" spans="1:18">
      <c r="A31" s="249" t="s">
        <v>7015</v>
      </c>
      <c r="B31" s="249" t="s">
        <v>8008</v>
      </c>
      <c r="C31" s="4" t="s">
        <v>8875</v>
      </c>
      <c r="D31" s="256">
        <v>8164</v>
      </c>
      <c r="E31" s="256">
        <v>8725</v>
      </c>
      <c r="F31" s="256">
        <v>8695</v>
      </c>
      <c r="G31" s="256">
        <v>8686</v>
      </c>
      <c r="H31" s="31">
        <v>8139</v>
      </c>
      <c r="I31" s="31">
        <v>8160</v>
      </c>
      <c r="J31" s="31">
        <v>8215</v>
      </c>
      <c r="K31" s="31">
        <v>8431</v>
      </c>
      <c r="L31" s="31">
        <v>8196</v>
      </c>
      <c r="N31" s="249" t="s">
        <v>8033</v>
      </c>
      <c r="P31" s="4"/>
      <c r="R31" s="4"/>
    </row>
    <row r="32" spans="1:18">
      <c r="A32" s="249" t="s">
        <v>7017</v>
      </c>
      <c r="B32" s="249" t="s">
        <v>8009</v>
      </c>
      <c r="C32" s="4" t="s">
        <v>8876</v>
      </c>
      <c r="D32" s="256">
        <v>8153</v>
      </c>
      <c r="E32" s="256">
        <v>8292</v>
      </c>
      <c r="F32" s="256">
        <v>8652</v>
      </c>
      <c r="G32" s="256">
        <v>8870</v>
      </c>
      <c r="H32" s="31">
        <v>8285</v>
      </c>
      <c r="I32" s="31">
        <v>8323</v>
      </c>
      <c r="J32" s="31">
        <v>8290</v>
      </c>
      <c r="K32" s="31">
        <v>8614</v>
      </c>
      <c r="L32" s="31">
        <v>8530</v>
      </c>
      <c r="N32" s="249" t="s">
        <v>8033</v>
      </c>
      <c r="P32" s="4"/>
      <c r="R32" s="4"/>
    </row>
    <row r="33" spans="1:18">
      <c r="A33" s="249" t="s">
        <v>7019</v>
      </c>
      <c r="B33" s="249" t="s">
        <v>8010</v>
      </c>
      <c r="C33" s="4" t="s">
        <v>8877</v>
      </c>
      <c r="D33" s="252">
        <v>5943</v>
      </c>
      <c r="E33" s="252">
        <v>6082</v>
      </c>
      <c r="F33" s="252">
        <v>6036</v>
      </c>
      <c r="G33" s="252">
        <v>6057</v>
      </c>
      <c r="H33" s="30">
        <v>5677</v>
      </c>
      <c r="I33" s="30">
        <v>5897</v>
      </c>
      <c r="J33" s="30">
        <v>6081</v>
      </c>
      <c r="K33" s="30">
        <v>6604</v>
      </c>
      <c r="L33" s="30">
        <v>6599</v>
      </c>
      <c r="N33" s="249" t="s">
        <v>8031</v>
      </c>
      <c r="P33" s="4"/>
      <c r="R33" s="4"/>
    </row>
    <row r="34" spans="1:18">
      <c r="A34" s="249" t="s">
        <v>7021</v>
      </c>
      <c r="B34" s="249" t="s">
        <v>8011</v>
      </c>
      <c r="C34" s="4" t="s">
        <v>8878</v>
      </c>
      <c r="D34" s="256">
        <v>8834</v>
      </c>
      <c r="E34" s="256">
        <v>9206</v>
      </c>
      <c r="F34" s="256">
        <v>9434</v>
      </c>
      <c r="G34" s="256">
        <v>9709</v>
      </c>
      <c r="H34" s="31">
        <v>9185</v>
      </c>
      <c r="I34" s="31">
        <v>10090</v>
      </c>
      <c r="J34" s="31">
        <v>12471</v>
      </c>
      <c r="K34" s="31">
        <v>14110</v>
      </c>
      <c r="L34" s="31">
        <v>14694</v>
      </c>
      <c r="N34" s="249" t="s">
        <v>8033</v>
      </c>
      <c r="P34" s="4"/>
      <c r="R34" s="4"/>
    </row>
    <row r="35" spans="1:18">
      <c r="A35" s="249" t="s">
        <v>7023</v>
      </c>
      <c r="B35" s="249" t="s">
        <v>8012</v>
      </c>
      <c r="C35" s="4" t="s">
        <v>8879</v>
      </c>
      <c r="D35" s="256">
        <v>9137</v>
      </c>
      <c r="E35" s="256">
        <v>9396</v>
      </c>
      <c r="F35" s="256">
        <v>9429</v>
      </c>
      <c r="G35" s="256">
        <v>9405</v>
      </c>
      <c r="H35" s="30">
        <v>8685</v>
      </c>
      <c r="I35" s="30">
        <v>8493</v>
      </c>
      <c r="J35" s="30">
        <v>8418</v>
      </c>
      <c r="K35" s="30">
        <v>8532</v>
      </c>
      <c r="L35" s="30">
        <v>8233</v>
      </c>
      <c r="N35" s="249" t="s">
        <v>8031</v>
      </c>
      <c r="P35" s="4"/>
      <c r="R35" s="4"/>
    </row>
    <row r="36" spans="1:18">
      <c r="A36" s="249" t="s">
        <v>7025</v>
      </c>
      <c r="B36" s="249" t="s">
        <v>8013</v>
      </c>
      <c r="C36" s="4" t="s">
        <v>8880</v>
      </c>
      <c r="D36" s="256">
        <v>8022</v>
      </c>
      <c r="E36" s="256">
        <v>8431</v>
      </c>
      <c r="F36" s="256">
        <v>8559</v>
      </c>
      <c r="G36" s="256">
        <v>8593</v>
      </c>
      <c r="H36" s="31">
        <v>7858</v>
      </c>
      <c r="I36" s="31">
        <v>7841</v>
      </c>
      <c r="J36" s="31">
        <v>8073</v>
      </c>
      <c r="K36" s="31">
        <v>8296</v>
      </c>
      <c r="L36" s="31">
        <v>8100</v>
      </c>
      <c r="N36" s="249" t="s">
        <v>8033</v>
      </c>
      <c r="P36" s="4"/>
      <c r="R36" s="4"/>
    </row>
    <row r="38" spans="1:18">
      <c r="A38" s="250" t="s">
        <v>8014</v>
      </c>
    </row>
  </sheetData>
  <sortState ref="O17:Q36">
    <sortCondition ref="O1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5 H3:H4 H5:H15 I3:I15 J3:J15 K3:K15 L3:L15" unlocked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26"/>
  <sheetViews>
    <sheetView showGridLines="0" topLeftCell="A277" zoomScaleNormal="100" workbookViewId="0">
      <selection activeCell="L303" sqref="L303"/>
    </sheetView>
  </sheetViews>
  <sheetFormatPr defaultColWidth="12.5703125" defaultRowHeight="15"/>
  <cols>
    <col min="1" max="1" width="4.85546875" style="678" customWidth="1"/>
    <col min="2" max="2" width="45.85546875" style="678" customWidth="1"/>
    <col min="3" max="3" width="11.5703125" style="678" customWidth="1"/>
    <col min="4" max="12" width="10" style="678" customWidth="1"/>
    <col min="13" max="13" width="2.28515625" style="678" customWidth="1"/>
    <col min="14" max="14" width="35.7109375" style="678" customWidth="1"/>
    <col min="15" max="16384" width="12.5703125" style="678"/>
  </cols>
  <sheetData>
    <row r="1" spans="1:14">
      <c r="A1" s="677" t="s">
        <v>8847</v>
      </c>
      <c r="D1" s="679">
        <v>2010</v>
      </c>
      <c r="E1" s="679">
        <v>2011</v>
      </c>
      <c r="F1" s="679">
        <v>2012</v>
      </c>
      <c r="G1" s="679">
        <v>2013</v>
      </c>
      <c r="H1" s="679">
        <v>2014</v>
      </c>
      <c r="I1" s="679">
        <v>2015</v>
      </c>
      <c r="J1" s="679">
        <v>2016</v>
      </c>
      <c r="K1" s="679">
        <v>2017</v>
      </c>
      <c r="L1" s="679">
        <v>2018</v>
      </c>
    </row>
    <row r="3" spans="1:14">
      <c r="A3" s="677" t="s">
        <v>5095</v>
      </c>
      <c r="D3" s="680">
        <f t="shared" ref="D3:I3" si="0">SUM(D5:D11)</f>
        <v>645246</v>
      </c>
      <c r="E3" s="680">
        <f t="shared" si="0"/>
        <v>651119</v>
      </c>
      <c r="F3" s="680">
        <f t="shared" si="0"/>
        <v>653850</v>
      </c>
      <c r="G3" s="680">
        <f t="shared" si="0"/>
        <v>658351</v>
      </c>
      <c r="H3" s="680">
        <f t="shared" si="0"/>
        <v>652680</v>
      </c>
      <c r="I3" s="680">
        <f t="shared" si="0"/>
        <v>641640</v>
      </c>
      <c r="J3" s="680">
        <f t="shared" ref="J3:K3" si="1">SUM(J5:J11)</f>
        <v>645761</v>
      </c>
      <c r="K3" s="680">
        <f t="shared" si="1"/>
        <v>660307</v>
      </c>
      <c r="L3" s="680">
        <f t="shared" ref="L3" si="2">SUM(L5:L11)</f>
        <v>662690</v>
      </c>
    </row>
    <row r="4" spans="1:14">
      <c r="D4" s="681"/>
      <c r="E4" s="681"/>
      <c r="F4" s="681"/>
      <c r="G4" s="681"/>
      <c r="H4" s="681"/>
      <c r="I4" s="681"/>
      <c r="J4" s="681"/>
      <c r="K4" s="681"/>
      <c r="L4" s="681"/>
    </row>
    <row r="5" spans="1:14">
      <c r="A5" s="677" t="s">
        <v>4217</v>
      </c>
      <c r="C5" s="677"/>
      <c r="D5" s="680">
        <f t="shared" ref="D5:I5" si="3">D52</f>
        <v>93852</v>
      </c>
      <c r="E5" s="680">
        <f t="shared" si="3"/>
        <v>94715</v>
      </c>
      <c r="F5" s="680">
        <f t="shared" si="3"/>
        <v>95612</v>
      </c>
      <c r="G5" s="680">
        <f t="shared" si="3"/>
        <v>97612</v>
      </c>
      <c r="H5" s="680">
        <f t="shared" si="3"/>
        <v>94135</v>
      </c>
      <c r="I5" s="680">
        <f t="shared" si="3"/>
        <v>95607</v>
      </c>
      <c r="J5" s="680">
        <f t="shared" ref="J5:K5" si="4">J52</f>
        <v>97669</v>
      </c>
      <c r="K5" s="680">
        <f t="shared" si="4"/>
        <v>100068</v>
      </c>
      <c r="L5" s="680">
        <f t="shared" ref="L5" si="5">L52</f>
        <v>99776</v>
      </c>
      <c r="N5" s="682"/>
    </row>
    <row r="6" spans="1:14">
      <c r="A6" s="677" t="s">
        <v>4218</v>
      </c>
      <c r="C6" s="677"/>
      <c r="D6" s="680">
        <f t="shared" ref="D6:I6" si="6">D97</f>
        <v>93920</v>
      </c>
      <c r="E6" s="680">
        <f t="shared" si="6"/>
        <v>95393</v>
      </c>
      <c r="F6" s="680">
        <f t="shared" si="6"/>
        <v>96268</v>
      </c>
      <c r="G6" s="680">
        <f t="shared" si="6"/>
        <v>97292</v>
      </c>
      <c r="H6" s="680">
        <f t="shared" si="6"/>
        <v>96559</v>
      </c>
      <c r="I6" s="680">
        <f t="shared" si="6"/>
        <v>93466</v>
      </c>
      <c r="J6" s="680">
        <f t="shared" ref="J6:K6" si="7">J97</f>
        <v>94862</v>
      </c>
      <c r="K6" s="680">
        <f t="shared" si="7"/>
        <v>98674</v>
      </c>
      <c r="L6" s="680">
        <f t="shared" ref="L6" si="8">L97</f>
        <v>98807</v>
      </c>
      <c r="N6" s="682"/>
    </row>
    <row r="7" spans="1:14">
      <c r="A7" s="677" t="s">
        <v>4219</v>
      </c>
      <c r="C7" s="677"/>
      <c r="D7" s="680">
        <f t="shared" ref="D7:I7" si="9">D134</f>
        <v>70196</v>
      </c>
      <c r="E7" s="680">
        <f t="shared" si="9"/>
        <v>70526</v>
      </c>
      <c r="F7" s="680">
        <f t="shared" si="9"/>
        <v>69872</v>
      </c>
      <c r="G7" s="680">
        <f t="shared" si="9"/>
        <v>69238</v>
      </c>
      <c r="H7" s="680">
        <f t="shared" si="9"/>
        <v>69616</v>
      </c>
      <c r="I7" s="680">
        <f t="shared" si="9"/>
        <v>68756</v>
      </c>
      <c r="J7" s="680">
        <f t="shared" ref="J7:K7" si="10">J134</f>
        <v>69691</v>
      </c>
      <c r="K7" s="680">
        <f t="shared" si="10"/>
        <v>70816</v>
      </c>
      <c r="L7" s="680">
        <f t="shared" ref="L7" si="11">L134</f>
        <v>69332</v>
      </c>
      <c r="N7" s="682"/>
    </row>
    <row r="8" spans="1:14">
      <c r="A8" s="677" t="s">
        <v>2534</v>
      </c>
      <c r="C8" s="677"/>
      <c r="D8" s="680">
        <f t="shared" ref="D8:I8" si="12">D160</f>
        <v>112712</v>
      </c>
      <c r="E8" s="680">
        <f t="shared" si="12"/>
        <v>113156</v>
      </c>
      <c r="F8" s="680">
        <f t="shared" si="12"/>
        <v>113756</v>
      </c>
      <c r="G8" s="680">
        <f t="shared" si="12"/>
        <v>114603</v>
      </c>
      <c r="H8" s="680">
        <f t="shared" si="12"/>
        <v>112488</v>
      </c>
      <c r="I8" s="680">
        <f t="shared" si="12"/>
        <v>110585</v>
      </c>
      <c r="J8" s="680">
        <f t="shared" ref="J8:K8" si="13">J160</f>
        <v>110945</v>
      </c>
      <c r="K8" s="680">
        <f t="shared" si="13"/>
        <v>111441</v>
      </c>
      <c r="L8" s="680">
        <f t="shared" ref="L8" si="14">L160</f>
        <v>112209</v>
      </c>
      <c r="N8" s="682"/>
    </row>
    <row r="9" spans="1:14">
      <c r="A9" s="677" t="s">
        <v>2535</v>
      </c>
      <c r="C9" s="677"/>
      <c r="D9" s="680">
        <f t="shared" ref="D9:I9" si="15">D213</f>
        <v>81366</v>
      </c>
      <c r="E9" s="680">
        <f t="shared" si="15"/>
        <v>81667</v>
      </c>
      <c r="F9" s="680">
        <f t="shared" si="15"/>
        <v>81767</v>
      </c>
      <c r="G9" s="680">
        <f t="shared" si="15"/>
        <v>82455</v>
      </c>
      <c r="H9" s="680">
        <f t="shared" si="15"/>
        <v>82104</v>
      </c>
      <c r="I9" s="680">
        <f t="shared" si="15"/>
        <v>81470</v>
      </c>
      <c r="J9" s="680">
        <f t="shared" ref="J9:K9" si="16">J213</f>
        <v>80922</v>
      </c>
      <c r="K9" s="680">
        <f t="shared" si="16"/>
        <v>81527</v>
      </c>
      <c r="L9" s="680">
        <f t="shared" ref="L9" si="17">L213</f>
        <v>82455</v>
      </c>
      <c r="N9" s="682"/>
    </row>
    <row r="10" spans="1:14">
      <c r="A10" s="677" t="s">
        <v>2536</v>
      </c>
      <c r="C10" s="677"/>
      <c r="D10" s="680">
        <f t="shared" ref="D10:I10" si="18">D258</f>
        <v>97431</v>
      </c>
      <c r="E10" s="680">
        <f t="shared" si="18"/>
        <v>98569</v>
      </c>
      <c r="F10" s="680">
        <f t="shared" si="18"/>
        <v>98771</v>
      </c>
      <c r="G10" s="680">
        <f t="shared" si="18"/>
        <v>97924</v>
      </c>
      <c r="H10" s="680">
        <f t="shared" si="18"/>
        <v>98595</v>
      </c>
      <c r="I10" s="680">
        <f t="shared" si="18"/>
        <v>93985</v>
      </c>
      <c r="J10" s="680">
        <f t="shared" ref="J10:K10" si="19">J258</f>
        <v>93077</v>
      </c>
      <c r="K10" s="680">
        <f t="shared" si="19"/>
        <v>93894</v>
      </c>
      <c r="L10" s="680">
        <f t="shared" ref="L10" si="20">L258</f>
        <v>96154</v>
      </c>
      <c r="N10" s="682"/>
    </row>
    <row r="11" spans="1:14">
      <c r="A11" s="677" t="s">
        <v>2537</v>
      </c>
      <c r="C11" s="677"/>
      <c r="D11" s="680">
        <f t="shared" ref="D11:I11" si="21">D281</f>
        <v>95769</v>
      </c>
      <c r="E11" s="680">
        <f t="shared" si="21"/>
        <v>97093</v>
      </c>
      <c r="F11" s="680">
        <f t="shared" si="21"/>
        <v>97804</v>
      </c>
      <c r="G11" s="680">
        <f t="shared" si="21"/>
        <v>99227</v>
      </c>
      <c r="H11" s="680">
        <f t="shared" si="21"/>
        <v>99183</v>
      </c>
      <c r="I11" s="680">
        <f t="shared" si="21"/>
        <v>97771</v>
      </c>
      <c r="J11" s="680">
        <f t="shared" ref="J11:K11" si="22">J281</f>
        <v>98595</v>
      </c>
      <c r="K11" s="680">
        <f t="shared" si="22"/>
        <v>103887</v>
      </c>
      <c r="L11" s="680">
        <f t="shared" ref="L11" si="23">L281</f>
        <v>103957</v>
      </c>
      <c r="N11" s="682"/>
    </row>
    <row r="13" spans="1:14">
      <c r="A13" s="677" t="s">
        <v>2538</v>
      </c>
      <c r="D13" s="680">
        <f t="shared" ref="D13:I13" si="24">D3/9</f>
        <v>71694</v>
      </c>
      <c r="E13" s="680">
        <f t="shared" si="24"/>
        <v>72346.555555555562</v>
      </c>
      <c r="F13" s="680">
        <f t="shared" si="24"/>
        <v>72650</v>
      </c>
      <c r="G13" s="680">
        <f t="shared" si="24"/>
        <v>73150.111111111109</v>
      </c>
      <c r="H13" s="680">
        <f t="shared" si="24"/>
        <v>72520</v>
      </c>
      <c r="I13" s="680">
        <f t="shared" si="24"/>
        <v>71293.333333333328</v>
      </c>
      <c r="J13" s="680">
        <f t="shared" ref="J13:K13" si="25">J3/9</f>
        <v>71751.222222222219</v>
      </c>
      <c r="K13" s="680">
        <f t="shared" si="25"/>
        <v>73367.444444444438</v>
      </c>
      <c r="L13" s="680">
        <f t="shared" ref="L13" si="26">L3/9</f>
        <v>73632.222222222219</v>
      </c>
    </row>
    <row r="14" spans="1:14">
      <c r="D14" s="681"/>
      <c r="E14" s="681"/>
      <c r="F14" s="681"/>
      <c r="G14" s="681"/>
      <c r="H14" s="681"/>
      <c r="I14" s="681"/>
      <c r="J14" s="681"/>
      <c r="K14" s="681"/>
      <c r="L14" s="681"/>
    </row>
    <row r="15" spans="1:14">
      <c r="A15" s="678" t="s">
        <v>2539</v>
      </c>
      <c r="D15" s="681">
        <f t="shared" ref="D15:I15" si="27">D126</f>
        <v>58593</v>
      </c>
      <c r="E15" s="681">
        <f t="shared" si="27"/>
        <v>59676</v>
      </c>
      <c r="F15" s="681">
        <f t="shared" si="27"/>
        <v>60221</v>
      </c>
      <c r="G15" s="681">
        <f t="shared" si="27"/>
        <v>60864</v>
      </c>
      <c r="H15" s="681">
        <f t="shared" si="27"/>
        <v>60275</v>
      </c>
      <c r="I15" s="681">
        <f t="shared" si="27"/>
        <v>58413</v>
      </c>
      <c r="J15" s="681">
        <f t="shared" ref="J15:K15" si="28">J126</f>
        <v>59615</v>
      </c>
      <c r="K15" s="681">
        <f t="shared" si="28"/>
        <v>62215</v>
      </c>
      <c r="L15" s="681">
        <f t="shared" ref="L15" si="29">L126</f>
        <v>62305</v>
      </c>
      <c r="N15" s="677" t="s">
        <v>2540</v>
      </c>
    </row>
    <row r="16" spans="1:14" ht="15.75" thickBot="1">
      <c r="D16" s="683">
        <f t="shared" ref="D16:I16" si="30">D249</f>
        <v>13389</v>
      </c>
      <c r="E16" s="683">
        <f t="shared" si="30"/>
        <v>13390</v>
      </c>
      <c r="F16" s="683">
        <f t="shared" si="30"/>
        <v>13358</v>
      </c>
      <c r="G16" s="683">
        <f t="shared" si="30"/>
        <v>13450</v>
      </c>
      <c r="H16" s="683">
        <f t="shared" si="30"/>
        <v>13397</v>
      </c>
      <c r="I16" s="683">
        <f t="shared" si="30"/>
        <v>13275</v>
      </c>
      <c r="J16" s="683">
        <f t="shared" ref="J16:K16" si="31">J249</f>
        <v>13282</v>
      </c>
      <c r="K16" s="683">
        <f t="shared" si="31"/>
        <v>13304</v>
      </c>
      <c r="L16" s="683">
        <f t="shared" ref="L16" si="32">L249</f>
        <v>13479</v>
      </c>
      <c r="N16" s="677" t="s">
        <v>6011</v>
      </c>
    </row>
    <row r="17" spans="1:14" ht="15.75" thickBot="1">
      <c r="D17" s="684">
        <f t="shared" ref="D17:I17" si="33">D15+D16</f>
        <v>71982</v>
      </c>
      <c r="E17" s="684">
        <f t="shared" si="33"/>
        <v>73066</v>
      </c>
      <c r="F17" s="684">
        <f t="shared" si="33"/>
        <v>73579</v>
      </c>
      <c r="G17" s="684">
        <f t="shared" si="33"/>
        <v>74314</v>
      </c>
      <c r="H17" s="684">
        <f t="shared" si="33"/>
        <v>73672</v>
      </c>
      <c r="I17" s="684">
        <f t="shared" si="33"/>
        <v>71688</v>
      </c>
      <c r="J17" s="684">
        <f t="shared" ref="J17:K17" si="34">J15+J16</f>
        <v>72897</v>
      </c>
      <c r="K17" s="684">
        <f t="shared" si="34"/>
        <v>75519</v>
      </c>
      <c r="L17" s="684">
        <f t="shared" ref="L17" si="35">L15+L16</f>
        <v>75784</v>
      </c>
    </row>
    <row r="18" spans="1:14">
      <c r="D18" s="681"/>
      <c r="E18" s="681"/>
      <c r="F18" s="681"/>
      <c r="G18" s="681"/>
      <c r="H18" s="681"/>
      <c r="I18" s="681"/>
      <c r="J18" s="681"/>
      <c r="K18" s="681"/>
      <c r="L18" s="681"/>
    </row>
    <row r="19" spans="1:14">
      <c r="A19" s="677" t="s">
        <v>6012</v>
      </c>
      <c r="D19" s="680">
        <f t="shared" ref="D19:I19" si="36">D153</f>
        <v>70196</v>
      </c>
      <c r="E19" s="680">
        <f t="shared" si="36"/>
        <v>70526</v>
      </c>
      <c r="F19" s="680">
        <f t="shared" si="36"/>
        <v>69872</v>
      </c>
      <c r="G19" s="680">
        <f t="shared" si="36"/>
        <v>69238</v>
      </c>
      <c r="H19" s="680">
        <f t="shared" si="36"/>
        <v>69616</v>
      </c>
      <c r="I19" s="680">
        <f t="shared" si="36"/>
        <v>68756</v>
      </c>
      <c r="J19" s="680">
        <f t="shared" ref="J19:K19" si="37">J153</f>
        <v>69691</v>
      </c>
      <c r="K19" s="680">
        <f t="shared" si="37"/>
        <v>70816</v>
      </c>
      <c r="L19" s="680">
        <f t="shared" ref="L19" si="38">L153</f>
        <v>69332</v>
      </c>
      <c r="N19" s="677" t="s">
        <v>8514</v>
      </c>
    </row>
    <row r="20" spans="1:14">
      <c r="D20" s="681"/>
      <c r="E20" s="681"/>
      <c r="F20" s="681"/>
      <c r="G20" s="681"/>
      <c r="H20" s="681"/>
      <c r="I20" s="681"/>
      <c r="J20" s="681"/>
      <c r="K20" s="681"/>
      <c r="L20" s="681"/>
    </row>
    <row r="21" spans="1:14">
      <c r="A21" s="677" t="s">
        <v>6013</v>
      </c>
      <c r="D21" s="680">
        <f t="shared" ref="D21:I21" si="39">D89</f>
        <v>58981</v>
      </c>
      <c r="E21" s="680">
        <f t="shared" si="39"/>
        <v>59568</v>
      </c>
      <c r="F21" s="680">
        <f t="shared" si="39"/>
        <v>60018</v>
      </c>
      <c r="G21" s="680">
        <f t="shared" si="39"/>
        <v>61356</v>
      </c>
      <c r="H21" s="680">
        <f t="shared" si="39"/>
        <v>59301</v>
      </c>
      <c r="I21" s="680">
        <f t="shared" si="39"/>
        <v>60116</v>
      </c>
      <c r="J21" s="680">
        <f t="shared" ref="J21:K21" si="40">J89</f>
        <v>61710</v>
      </c>
      <c r="K21" s="680">
        <f t="shared" si="40"/>
        <v>63395</v>
      </c>
      <c r="L21" s="680">
        <f t="shared" ref="L21" si="41">L89</f>
        <v>63291</v>
      </c>
      <c r="N21" s="677" t="s">
        <v>6014</v>
      </c>
    </row>
    <row r="22" spans="1:14" ht="15.75" thickBot="1">
      <c r="D22" s="685">
        <f t="shared" ref="D22:I22" si="42">D321</f>
        <v>15484</v>
      </c>
      <c r="E22" s="685">
        <f t="shared" si="42"/>
        <v>15512</v>
      </c>
      <c r="F22" s="685">
        <f t="shared" si="42"/>
        <v>15685</v>
      </c>
      <c r="G22" s="685">
        <f t="shared" si="42"/>
        <v>15963</v>
      </c>
      <c r="H22" s="685">
        <f t="shared" si="42"/>
        <v>15995</v>
      </c>
      <c r="I22" s="685">
        <f t="shared" si="42"/>
        <v>15825</v>
      </c>
      <c r="J22" s="685">
        <f t="shared" ref="J22:K22" si="43">J321</f>
        <v>15919</v>
      </c>
      <c r="K22" s="685">
        <f t="shared" si="43"/>
        <v>16712</v>
      </c>
      <c r="L22" s="685">
        <f t="shared" ref="L22" si="44">L321</f>
        <v>16769</v>
      </c>
      <c r="N22" s="677" t="s">
        <v>6015</v>
      </c>
    </row>
    <row r="23" spans="1:14" ht="15.75" thickBot="1">
      <c r="D23" s="685">
        <f t="shared" ref="D23:I23" si="45">D21+D22</f>
        <v>74465</v>
      </c>
      <c r="E23" s="685">
        <f t="shared" si="45"/>
        <v>75080</v>
      </c>
      <c r="F23" s="685">
        <f t="shared" si="45"/>
        <v>75703</v>
      </c>
      <c r="G23" s="685">
        <f t="shared" si="45"/>
        <v>77319</v>
      </c>
      <c r="H23" s="685">
        <f t="shared" si="45"/>
        <v>75296</v>
      </c>
      <c r="I23" s="685">
        <f t="shared" si="45"/>
        <v>75941</v>
      </c>
      <c r="J23" s="685">
        <f t="shared" ref="J23:K23" si="46">J21+J22</f>
        <v>77629</v>
      </c>
      <c r="K23" s="685">
        <f t="shared" si="46"/>
        <v>80107</v>
      </c>
      <c r="L23" s="685">
        <f t="shared" ref="L23" si="47">L21+L22</f>
        <v>80060</v>
      </c>
    </row>
    <row r="24" spans="1:14">
      <c r="D24" s="681"/>
      <c r="E24" s="681"/>
      <c r="F24" s="681"/>
      <c r="G24" s="681"/>
      <c r="H24" s="681"/>
      <c r="I24" s="681"/>
      <c r="J24" s="681"/>
      <c r="K24" s="681"/>
      <c r="L24" s="681"/>
    </row>
    <row r="25" spans="1:14">
      <c r="A25" s="677" t="s">
        <v>6016</v>
      </c>
      <c r="D25" s="680">
        <f t="shared" ref="D25:I25" si="48">D250</f>
        <v>67977</v>
      </c>
      <c r="E25" s="680">
        <f t="shared" si="48"/>
        <v>68277</v>
      </c>
      <c r="F25" s="680">
        <f t="shared" si="48"/>
        <v>68409</v>
      </c>
      <c r="G25" s="680">
        <f t="shared" si="48"/>
        <v>69005</v>
      </c>
      <c r="H25" s="680">
        <f t="shared" si="48"/>
        <v>68707</v>
      </c>
      <c r="I25" s="680">
        <f t="shared" si="48"/>
        <v>68195</v>
      </c>
      <c r="J25" s="680">
        <f t="shared" ref="J25:K25" si="49">J250</f>
        <v>67640</v>
      </c>
      <c r="K25" s="680">
        <f t="shared" si="49"/>
        <v>68223</v>
      </c>
      <c r="L25" s="680">
        <f t="shared" ref="L25" si="50">L250</f>
        <v>68976</v>
      </c>
      <c r="N25" s="677" t="s">
        <v>6011</v>
      </c>
    </row>
    <row r="26" spans="1:14">
      <c r="D26" s="681"/>
      <c r="E26" s="681"/>
      <c r="F26" s="681"/>
      <c r="G26" s="681"/>
      <c r="H26" s="681"/>
      <c r="I26" s="681"/>
      <c r="J26" s="681"/>
      <c r="K26" s="681"/>
      <c r="L26" s="681"/>
    </row>
    <row r="27" spans="1:14">
      <c r="A27" s="677" t="s">
        <v>6017</v>
      </c>
      <c r="D27" s="680">
        <f t="shared" ref="D27:I27" si="51">D204</f>
        <v>73397</v>
      </c>
      <c r="E27" s="680">
        <f t="shared" si="51"/>
        <v>73269</v>
      </c>
      <c r="F27" s="680">
        <f t="shared" si="51"/>
        <v>73415</v>
      </c>
      <c r="G27" s="680">
        <f t="shared" si="51"/>
        <v>73663</v>
      </c>
      <c r="H27" s="680">
        <f t="shared" si="51"/>
        <v>72137</v>
      </c>
      <c r="I27" s="680">
        <f t="shared" si="51"/>
        <v>70892</v>
      </c>
      <c r="J27" s="680">
        <f t="shared" ref="J27:K27" si="52">J204</f>
        <v>70679</v>
      </c>
      <c r="K27" s="680">
        <f t="shared" si="52"/>
        <v>70789</v>
      </c>
      <c r="L27" s="680">
        <f t="shared" ref="L27" si="53">L204</f>
        <v>71241</v>
      </c>
      <c r="N27" s="677" t="s">
        <v>6018</v>
      </c>
    </row>
    <row r="28" spans="1:14">
      <c r="D28" s="681"/>
      <c r="E28" s="681"/>
      <c r="F28" s="681"/>
      <c r="G28" s="681"/>
      <c r="H28" s="681"/>
      <c r="I28" s="681"/>
      <c r="J28" s="681"/>
      <c r="K28" s="681"/>
      <c r="L28" s="681"/>
    </row>
    <row r="29" spans="1:14">
      <c r="A29" s="677" t="s">
        <v>6019</v>
      </c>
      <c r="D29" s="680">
        <f t="shared" ref="D29:I29" si="54">D127</f>
        <v>35327</v>
      </c>
      <c r="E29" s="680">
        <f t="shared" si="54"/>
        <v>35717</v>
      </c>
      <c r="F29" s="680">
        <f t="shared" si="54"/>
        <v>36047</v>
      </c>
      <c r="G29" s="680">
        <f t="shared" si="54"/>
        <v>36428</v>
      </c>
      <c r="H29" s="680">
        <f t="shared" si="54"/>
        <v>36284</v>
      </c>
      <c r="I29" s="680">
        <f t="shared" si="54"/>
        <v>35053</v>
      </c>
      <c r="J29" s="680">
        <f t="shared" ref="J29:K29" si="55">J127</f>
        <v>35247</v>
      </c>
      <c r="K29" s="680">
        <f t="shared" si="55"/>
        <v>36459</v>
      </c>
      <c r="L29" s="680">
        <f t="shared" ref="L29" si="56">L127</f>
        <v>36502</v>
      </c>
      <c r="N29" s="677" t="s">
        <v>2540</v>
      </c>
    </row>
    <row r="30" spans="1:14" ht="15.75" thickBot="1">
      <c r="D30" s="685">
        <f t="shared" ref="D30:I30" si="57">D273</f>
        <v>29169</v>
      </c>
      <c r="E30" s="685">
        <f t="shared" si="57"/>
        <v>29265</v>
      </c>
      <c r="F30" s="685">
        <f t="shared" si="57"/>
        <v>29289</v>
      </c>
      <c r="G30" s="685">
        <f t="shared" si="57"/>
        <v>29459</v>
      </c>
      <c r="H30" s="685">
        <f t="shared" si="57"/>
        <v>29550</v>
      </c>
      <c r="I30" s="685">
        <f t="shared" si="57"/>
        <v>28497</v>
      </c>
      <c r="J30" s="685">
        <f t="shared" ref="J30:K30" si="58">J273</f>
        <v>28240</v>
      </c>
      <c r="K30" s="685">
        <f t="shared" si="58"/>
        <v>28834</v>
      </c>
      <c r="L30" s="685">
        <f t="shared" ref="L30" si="59">L273</f>
        <v>29091</v>
      </c>
      <c r="N30" s="677" t="s">
        <v>6020</v>
      </c>
    </row>
    <row r="31" spans="1:14" ht="15.75" thickBot="1">
      <c r="D31" s="685">
        <f t="shared" ref="D31:I31" si="60">D29+D30</f>
        <v>64496</v>
      </c>
      <c r="E31" s="685">
        <f t="shared" si="60"/>
        <v>64982</v>
      </c>
      <c r="F31" s="685">
        <f t="shared" si="60"/>
        <v>65336</v>
      </c>
      <c r="G31" s="685">
        <f t="shared" si="60"/>
        <v>65887</v>
      </c>
      <c r="H31" s="685">
        <f t="shared" si="60"/>
        <v>65834</v>
      </c>
      <c r="I31" s="685">
        <f t="shared" si="60"/>
        <v>63550</v>
      </c>
      <c r="J31" s="685">
        <f t="shared" ref="J31:K31" si="61">J29+J30</f>
        <v>63487</v>
      </c>
      <c r="K31" s="685">
        <f t="shared" si="61"/>
        <v>65293</v>
      </c>
      <c r="L31" s="685">
        <f t="shared" ref="L31" si="62">L29+L30</f>
        <v>65593</v>
      </c>
    </row>
    <row r="32" spans="1:14">
      <c r="D32" s="681"/>
      <c r="E32" s="681"/>
      <c r="F32" s="681"/>
      <c r="G32" s="681"/>
      <c r="H32" s="681"/>
      <c r="I32" s="681"/>
      <c r="J32" s="681"/>
      <c r="K32" s="681"/>
      <c r="L32" s="681"/>
    </row>
    <row r="33" spans="1:14">
      <c r="A33" s="677" t="s">
        <v>6021</v>
      </c>
      <c r="D33" s="680">
        <f t="shared" ref="D33:I33" si="63">D274</f>
        <v>68262</v>
      </c>
      <c r="E33" s="680">
        <f t="shared" si="63"/>
        <v>69304</v>
      </c>
      <c r="F33" s="680">
        <f t="shared" si="63"/>
        <v>69482</v>
      </c>
      <c r="G33" s="680">
        <f t="shared" si="63"/>
        <v>68465</v>
      </c>
      <c r="H33" s="680">
        <f t="shared" si="63"/>
        <v>69045</v>
      </c>
      <c r="I33" s="680">
        <f t="shared" si="63"/>
        <v>65488</v>
      </c>
      <c r="J33" s="680">
        <f t="shared" ref="J33:K33" si="64">J274</f>
        <v>64837</v>
      </c>
      <c r="K33" s="680">
        <f t="shared" si="64"/>
        <v>65060</v>
      </c>
      <c r="L33" s="680">
        <f t="shared" ref="L33" si="65">L274</f>
        <v>67063</v>
      </c>
      <c r="N33" s="677" t="s">
        <v>6020</v>
      </c>
    </row>
    <row r="34" spans="1:14" ht="15.75" thickBot="1">
      <c r="D34" s="685">
        <f t="shared" ref="D34:I34" si="66">D322</f>
        <v>4276</v>
      </c>
      <c r="E34" s="685">
        <f t="shared" si="66"/>
        <v>4265</v>
      </c>
      <c r="F34" s="685">
        <f t="shared" si="66"/>
        <v>4253</v>
      </c>
      <c r="G34" s="685">
        <f t="shared" si="66"/>
        <v>4279</v>
      </c>
      <c r="H34" s="685">
        <f t="shared" si="66"/>
        <v>4175</v>
      </c>
      <c r="I34" s="685">
        <f t="shared" si="66"/>
        <v>4118</v>
      </c>
      <c r="J34" s="685">
        <f t="shared" ref="J34:K34" si="67">J322</f>
        <v>4126</v>
      </c>
      <c r="K34" s="685">
        <f t="shared" si="67"/>
        <v>4301</v>
      </c>
      <c r="L34" s="685">
        <f t="shared" ref="L34" si="68">L322</f>
        <v>4258</v>
      </c>
      <c r="N34" s="677" t="s">
        <v>6015</v>
      </c>
    </row>
    <row r="35" spans="1:14" ht="15.75" thickBot="1">
      <c r="D35" s="685">
        <f t="shared" ref="D35:I35" si="69">D33+D34</f>
        <v>72538</v>
      </c>
      <c r="E35" s="685">
        <f t="shared" si="69"/>
        <v>73569</v>
      </c>
      <c r="F35" s="685">
        <f t="shared" si="69"/>
        <v>73735</v>
      </c>
      <c r="G35" s="685">
        <f t="shared" si="69"/>
        <v>72744</v>
      </c>
      <c r="H35" s="685">
        <f t="shared" si="69"/>
        <v>73220</v>
      </c>
      <c r="I35" s="685">
        <f t="shared" si="69"/>
        <v>69606</v>
      </c>
      <c r="J35" s="685">
        <f t="shared" ref="J35:K35" si="70">J33+J34</f>
        <v>68963</v>
      </c>
      <c r="K35" s="685">
        <f t="shared" si="70"/>
        <v>69361</v>
      </c>
      <c r="L35" s="685">
        <f t="shared" ref="L35" si="71">L33+L34</f>
        <v>71321</v>
      </c>
    </row>
    <row r="36" spans="1:14">
      <c r="D36" s="681"/>
      <c r="E36" s="681"/>
      <c r="F36" s="681"/>
      <c r="G36" s="681"/>
      <c r="H36" s="681"/>
      <c r="I36" s="681"/>
      <c r="J36" s="681"/>
      <c r="K36" s="681"/>
      <c r="L36" s="681"/>
    </row>
    <row r="37" spans="1:14">
      <c r="A37" s="677" t="s">
        <v>7848</v>
      </c>
      <c r="D37" s="680">
        <f t="shared" ref="D37:I37" si="72">D323</f>
        <v>76009</v>
      </c>
      <c r="E37" s="680">
        <f t="shared" si="72"/>
        <v>77316</v>
      </c>
      <c r="F37" s="680">
        <f t="shared" si="72"/>
        <v>77866</v>
      </c>
      <c r="G37" s="680">
        <f t="shared" si="72"/>
        <v>78985</v>
      </c>
      <c r="H37" s="680">
        <f t="shared" si="72"/>
        <v>79013</v>
      </c>
      <c r="I37" s="680">
        <f t="shared" si="72"/>
        <v>77828</v>
      </c>
      <c r="J37" s="680">
        <f t="shared" ref="J37:K37" si="73">J323</f>
        <v>78550</v>
      </c>
      <c r="K37" s="680">
        <f t="shared" si="73"/>
        <v>82874</v>
      </c>
      <c r="L37" s="680">
        <f t="shared" ref="L37" si="74">L323</f>
        <v>82930</v>
      </c>
      <c r="N37" s="677" t="s">
        <v>6015</v>
      </c>
    </row>
    <row r="38" spans="1:14">
      <c r="D38" s="681"/>
      <c r="E38" s="681"/>
      <c r="F38" s="681"/>
      <c r="G38" s="681"/>
      <c r="H38" s="681"/>
      <c r="I38" s="681"/>
      <c r="J38" s="681"/>
      <c r="K38" s="681"/>
      <c r="L38" s="681"/>
    </row>
    <row r="39" spans="1:14">
      <c r="A39" s="677" t="s">
        <v>7849</v>
      </c>
      <c r="D39" s="680">
        <f t="shared" ref="D39:I39" si="75">D90</f>
        <v>34871</v>
      </c>
      <c r="E39" s="680">
        <f t="shared" si="75"/>
        <v>35147</v>
      </c>
      <c r="F39" s="680">
        <f t="shared" si="75"/>
        <v>35594</v>
      </c>
      <c r="G39" s="680">
        <f t="shared" si="75"/>
        <v>36256</v>
      </c>
      <c r="H39" s="680">
        <f t="shared" si="75"/>
        <v>34834</v>
      </c>
      <c r="I39" s="680">
        <f t="shared" si="75"/>
        <v>35491</v>
      </c>
      <c r="J39" s="680">
        <f t="shared" ref="J39:K39" si="76">J90</f>
        <v>35959</v>
      </c>
      <c r="K39" s="680">
        <f t="shared" si="76"/>
        <v>36673</v>
      </c>
      <c r="L39" s="680">
        <f t="shared" ref="L39" si="77">L90</f>
        <v>36485</v>
      </c>
      <c r="N39" s="677" t="s">
        <v>6014</v>
      </c>
    </row>
    <row r="40" spans="1:14" ht="15.75" thickBot="1">
      <c r="D40" s="685">
        <f t="shared" ref="D40:I40" si="78">D205</f>
        <v>39315</v>
      </c>
      <c r="E40" s="685">
        <f t="shared" si="78"/>
        <v>39887</v>
      </c>
      <c r="F40" s="685">
        <f t="shared" si="78"/>
        <v>40341</v>
      </c>
      <c r="G40" s="685">
        <f t="shared" si="78"/>
        <v>40940</v>
      </c>
      <c r="H40" s="685">
        <f t="shared" si="78"/>
        <v>40351</v>
      </c>
      <c r="I40" s="685">
        <f t="shared" si="78"/>
        <v>39693</v>
      </c>
      <c r="J40" s="685">
        <f t="shared" ref="J40:K40" si="79">J205</f>
        <v>40266</v>
      </c>
      <c r="K40" s="685">
        <f t="shared" si="79"/>
        <v>40652</v>
      </c>
      <c r="L40" s="685">
        <f t="shared" ref="L40" si="80">L205</f>
        <v>40968</v>
      </c>
      <c r="N40" s="677" t="s">
        <v>6018</v>
      </c>
    </row>
    <row r="41" spans="1:14" ht="15.75" thickBot="1">
      <c r="D41" s="685">
        <f t="shared" ref="D41:I41" si="81">D39+D40</f>
        <v>74186</v>
      </c>
      <c r="E41" s="685">
        <f t="shared" si="81"/>
        <v>75034</v>
      </c>
      <c r="F41" s="685">
        <f t="shared" si="81"/>
        <v>75935</v>
      </c>
      <c r="G41" s="685">
        <f t="shared" si="81"/>
        <v>77196</v>
      </c>
      <c r="H41" s="685">
        <f t="shared" si="81"/>
        <v>75185</v>
      </c>
      <c r="I41" s="685">
        <f t="shared" si="81"/>
        <v>75184</v>
      </c>
      <c r="J41" s="685">
        <f t="shared" ref="J41:K41" si="82">J39+J40</f>
        <v>76225</v>
      </c>
      <c r="K41" s="685">
        <f t="shared" si="82"/>
        <v>77325</v>
      </c>
      <c r="L41" s="685">
        <f t="shared" ref="L41" si="83">L39+L40</f>
        <v>77453</v>
      </c>
    </row>
    <row r="42" spans="1:14">
      <c r="D42" s="681"/>
      <c r="E42" s="681"/>
      <c r="F42" s="681"/>
      <c r="G42" s="681"/>
      <c r="H42" s="681"/>
      <c r="I42" s="681"/>
      <c r="J42" s="681"/>
      <c r="K42" s="681"/>
      <c r="L42" s="681"/>
    </row>
    <row r="43" spans="1:14">
      <c r="A43" s="677" t="s">
        <v>8697</v>
      </c>
      <c r="D43" s="680">
        <f t="shared" ref="D43:I43" si="84">D17+D19+D23+D25+D27+D31+D35+D37+D41</f>
        <v>645246</v>
      </c>
      <c r="E43" s="680">
        <f t="shared" si="84"/>
        <v>651119</v>
      </c>
      <c r="F43" s="680">
        <f t="shared" si="84"/>
        <v>653850</v>
      </c>
      <c r="G43" s="680">
        <f t="shared" si="84"/>
        <v>658351</v>
      </c>
      <c r="H43" s="680">
        <f t="shared" si="84"/>
        <v>652680</v>
      </c>
      <c r="I43" s="680">
        <f t="shared" si="84"/>
        <v>641640</v>
      </c>
      <c r="J43" s="680">
        <f t="shared" ref="J43:K43" si="85">J17+J19+J23+J25+J27+J31+J35+J37+J41</f>
        <v>645761</v>
      </c>
      <c r="K43" s="680">
        <f t="shared" si="85"/>
        <v>660307</v>
      </c>
      <c r="L43" s="680">
        <f t="shared" ref="L43" si="86">L17+L19+L23+L25+L27+L31+L35+L37+L41</f>
        <v>662690</v>
      </c>
    </row>
    <row r="44" spans="1:14">
      <c r="D44" s="681"/>
      <c r="E44" s="681"/>
      <c r="F44" s="681"/>
      <c r="G44" s="681"/>
      <c r="H44" s="681"/>
      <c r="I44" s="681"/>
      <c r="J44" s="681"/>
      <c r="K44" s="681"/>
      <c r="L44" s="681"/>
    </row>
    <row r="45" spans="1:14">
      <c r="A45" s="677" t="s">
        <v>8698</v>
      </c>
      <c r="D45" s="680">
        <f t="shared" ref="D45:I45" si="87">MAX(D17,D19,D23,D25,D27,D31,D35,D37,D41)-MIN(D17,D19,D23,D25,D27,D31,D35,D37,D41)</f>
        <v>11513</v>
      </c>
      <c r="E45" s="680">
        <f t="shared" si="87"/>
        <v>12334</v>
      </c>
      <c r="F45" s="680">
        <f t="shared" si="87"/>
        <v>12530</v>
      </c>
      <c r="G45" s="680">
        <f t="shared" si="87"/>
        <v>13098</v>
      </c>
      <c r="H45" s="680">
        <f t="shared" si="87"/>
        <v>13179</v>
      </c>
      <c r="I45" s="680">
        <f t="shared" si="87"/>
        <v>14278</v>
      </c>
      <c r="J45" s="680">
        <f t="shared" ref="J45:K45" si="88">MAX(J17,J19,J23,J25,J27,J31,J35,J37,J41)-MIN(J17,J19,J23,J25,J27,J31,J35,J37,J41)</f>
        <v>15063</v>
      </c>
      <c r="K45" s="680">
        <f t="shared" si="88"/>
        <v>17581</v>
      </c>
      <c r="L45" s="680">
        <f t="shared" ref="L45" si="89">MAX(L17,L19,L23,L25,L27,L31,L35,L37,L41)-MIN(L17,L19,L23,L25,L27,L31,L35,L37,L41)</f>
        <v>17337</v>
      </c>
    </row>
    <row r="46" spans="1:14">
      <c r="D46" s="681"/>
      <c r="E46" s="681"/>
      <c r="F46" s="681"/>
      <c r="G46" s="681"/>
      <c r="H46" s="681"/>
      <c r="I46" s="681"/>
      <c r="J46" s="681"/>
      <c r="K46" s="681"/>
      <c r="L46" s="681"/>
    </row>
    <row r="47" spans="1:14">
      <c r="A47" s="677" t="s">
        <v>8701</v>
      </c>
      <c r="D47" s="680">
        <f t="shared" ref="D47:I47" si="90">STDEVP(D17,D19,D23,D25,D27,D31,D35,D37,D41)</f>
        <v>3400.563940159207</v>
      </c>
      <c r="E47" s="680">
        <f t="shared" si="90"/>
        <v>3595.7492222255714</v>
      </c>
      <c r="F47" s="680">
        <f t="shared" si="90"/>
        <v>3788.024140483913</v>
      </c>
      <c r="G47" s="680">
        <f t="shared" si="90"/>
        <v>4147.5125194223865</v>
      </c>
      <c r="H47" s="680">
        <f t="shared" si="90"/>
        <v>3750.6447445739245</v>
      </c>
      <c r="I47" s="680">
        <f t="shared" si="90"/>
        <v>4197.8939958031333</v>
      </c>
      <c r="J47" s="680">
        <f t="shared" ref="J47:K47" si="91">STDEVP(J17,J19,J23,J25,J27,J31,J35,J37,J41)</f>
        <v>4719.5459004201712</v>
      </c>
      <c r="K47" s="680">
        <f t="shared" si="91"/>
        <v>5547.3662241365819</v>
      </c>
      <c r="L47" s="680">
        <f t="shared" ref="L47" si="92">STDEVP(L17,L19,L23,L25,L27,L31,L35,L37,L41)</f>
        <v>5404.2636619982804</v>
      </c>
    </row>
    <row r="48" spans="1:14">
      <c r="A48" s="677"/>
      <c r="D48" s="686"/>
      <c r="E48" s="686"/>
      <c r="F48" s="686"/>
      <c r="G48" s="686"/>
      <c r="H48" s="686"/>
      <c r="I48" s="686"/>
      <c r="J48" s="686"/>
      <c r="K48" s="686"/>
      <c r="L48" s="686"/>
    </row>
    <row r="49" spans="1:17">
      <c r="A49" s="677"/>
      <c r="D49" s="686"/>
      <c r="E49" s="686"/>
      <c r="F49" s="686"/>
      <c r="G49" s="686"/>
      <c r="H49" s="686"/>
      <c r="I49" s="686"/>
      <c r="J49" s="686"/>
      <c r="K49" s="686"/>
      <c r="L49" s="686"/>
    </row>
    <row r="50" spans="1:17">
      <c r="E50" s="42" t="s">
        <v>2303</v>
      </c>
      <c r="F50" s="42"/>
      <c r="G50" s="42"/>
      <c r="H50" s="42"/>
      <c r="I50" s="42"/>
      <c r="J50" s="42"/>
      <c r="K50" s="42"/>
      <c r="L50" s="42"/>
      <c r="M50" s="109"/>
      <c r="N50" s="109" t="s">
        <v>13319</v>
      </c>
    </row>
    <row r="51" spans="1:17">
      <c r="D51" s="679">
        <v>2010</v>
      </c>
      <c r="E51" s="679">
        <v>2011</v>
      </c>
      <c r="F51" s="679">
        <v>2012</v>
      </c>
      <c r="G51" s="679">
        <v>2013</v>
      </c>
      <c r="H51" s="679">
        <v>2014</v>
      </c>
      <c r="I51" s="679">
        <v>2015</v>
      </c>
      <c r="J51" s="679">
        <v>2016</v>
      </c>
      <c r="K51" s="679">
        <v>2017</v>
      </c>
      <c r="L51" s="679">
        <v>2018</v>
      </c>
      <c r="N51" s="112" t="s">
        <v>2304</v>
      </c>
    </row>
    <row r="52" spans="1:17">
      <c r="A52" s="677" t="s">
        <v>7857</v>
      </c>
      <c r="C52" s="677"/>
      <c r="D52" s="680">
        <f t="shared" ref="D52:I52" si="93">D53+D54+D56+D57+SUM(D59:D70)+SUM(D72:D80)+SUM(D82:D87)</f>
        <v>93852</v>
      </c>
      <c r="E52" s="680">
        <f t="shared" si="93"/>
        <v>94715</v>
      </c>
      <c r="F52" s="680">
        <f t="shared" si="93"/>
        <v>95612</v>
      </c>
      <c r="G52" s="680">
        <f t="shared" si="93"/>
        <v>97612</v>
      </c>
      <c r="H52" s="680">
        <f t="shared" si="93"/>
        <v>94135</v>
      </c>
      <c r="I52" s="680">
        <f t="shared" si="93"/>
        <v>95607</v>
      </c>
      <c r="J52" s="680">
        <f t="shared" ref="J52:K52" si="94">J53+J54+J56+J57+SUM(J59:J70)+SUM(J72:J80)+SUM(J82:J87)</f>
        <v>97669</v>
      </c>
      <c r="K52" s="680">
        <f t="shared" si="94"/>
        <v>100068</v>
      </c>
      <c r="L52" s="680">
        <f t="shared" ref="L52" si="95">L53+L54+L56+L57+SUM(L59:L70)+SUM(L72:L80)+SUM(L82:L87)</f>
        <v>99776</v>
      </c>
    </row>
    <row r="53" spans="1:17">
      <c r="A53" s="677" t="s">
        <v>6957</v>
      </c>
      <c r="B53" s="677" t="s">
        <v>13843</v>
      </c>
      <c r="C53" s="4" t="s">
        <v>14076</v>
      </c>
      <c r="D53" s="680">
        <v>0</v>
      </c>
      <c r="E53" s="680">
        <v>0</v>
      </c>
      <c r="F53" s="680">
        <v>0</v>
      </c>
      <c r="G53" s="680">
        <v>0</v>
      </c>
      <c r="H53" s="30">
        <v>0</v>
      </c>
      <c r="I53" s="30">
        <v>2419</v>
      </c>
      <c r="J53" s="30">
        <v>2476</v>
      </c>
      <c r="K53" s="30">
        <v>2541</v>
      </c>
      <c r="L53" s="30">
        <v>2547</v>
      </c>
      <c r="N53" s="677" t="s">
        <v>6013</v>
      </c>
      <c r="O53" s="930"/>
      <c r="P53" s="950"/>
      <c r="Q53" s="945"/>
    </row>
    <row r="54" spans="1:17" ht="15.75" thickBot="1">
      <c r="A54" s="677"/>
      <c r="B54" s="677"/>
      <c r="C54" s="4" t="s">
        <v>14076</v>
      </c>
      <c r="D54" s="685">
        <v>0</v>
      </c>
      <c r="E54" s="685">
        <v>0</v>
      </c>
      <c r="F54" s="685">
        <v>0</v>
      </c>
      <c r="G54" s="685">
        <v>0</v>
      </c>
      <c r="H54" s="899">
        <v>0</v>
      </c>
      <c r="I54" s="31">
        <v>2099</v>
      </c>
      <c r="J54" s="31">
        <v>2291</v>
      </c>
      <c r="K54" s="31">
        <v>2358</v>
      </c>
      <c r="L54" s="31">
        <v>2328</v>
      </c>
      <c r="N54" s="677" t="s">
        <v>7849</v>
      </c>
      <c r="O54" s="930"/>
      <c r="P54" s="950"/>
      <c r="Q54" s="945"/>
    </row>
    <row r="55" spans="1:17" ht="15.75" thickBot="1">
      <c r="A55" s="677"/>
      <c r="B55" s="677"/>
      <c r="C55" s="4" t="s">
        <v>14076</v>
      </c>
      <c r="D55" s="690">
        <f>D53+D54</f>
        <v>0</v>
      </c>
      <c r="E55" s="690">
        <f t="shared" ref="E55:L55" si="96">E53+E54</f>
        <v>0</v>
      </c>
      <c r="F55" s="690">
        <f t="shared" si="96"/>
        <v>0</v>
      </c>
      <c r="G55" s="690">
        <f t="shared" si="96"/>
        <v>0</v>
      </c>
      <c r="H55" s="690">
        <f t="shared" si="96"/>
        <v>0</v>
      </c>
      <c r="I55" s="690">
        <f t="shared" si="96"/>
        <v>4518</v>
      </c>
      <c r="J55" s="690">
        <f t="shared" si="96"/>
        <v>4767</v>
      </c>
      <c r="K55" s="690">
        <f t="shared" si="96"/>
        <v>4899</v>
      </c>
      <c r="L55" s="690">
        <f t="shared" si="96"/>
        <v>4875</v>
      </c>
      <c r="N55" s="677"/>
      <c r="O55" s="930"/>
      <c r="P55" s="950"/>
      <c r="Q55" s="945"/>
    </row>
    <row r="56" spans="1:17">
      <c r="A56" s="677" t="s">
        <v>6959</v>
      </c>
      <c r="B56" s="677" t="s">
        <v>13844</v>
      </c>
      <c r="C56" s="4" t="s">
        <v>14077</v>
      </c>
      <c r="D56" s="680">
        <v>0</v>
      </c>
      <c r="E56" s="680">
        <v>0</v>
      </c>
      <c r="F56" s="680">
        <v>0</v>
      </c>
      <c r="G56" s="680">
        <v>0</v>
      </c>
      <c r="H56" s="30">
        <v>0</v>
      </c>
      <c r="I56" s="30">
        <v>1581</v>
      </c>
      <c r="J56" s="30">
        <v>1602</v>
      </c>
      <c r="K56" s="30">
        <v>1631</v>
      </c>
      <c r="L56" s="30">
        <v>1594</v>
      </c>
      <c r="N56" s="677" t="s">
        <v>6013</v>
      </c>
      <c r="O56" s="930"/>
      <c r="P56" s="950"/>
      <c r="Q56" s="945"/>
    </row>
    <row r="57" spans="1:17" ht="15.75" thickBot="1">
      <c r="A57" s="677"/>
      <c r="B57" s="677"/>
      <c r="C57" s="4" t="s">
        <v>14077</v>
      </c>
      <c r="D57" s="685">
        <v>0</v>
      </c>
      <c r="E57" s="685">
        <v>0</v>
      </c>
      <c r="F57" s="685">
        <v>0</v>
      </c>
      <c r="G57" s="685">
        <v>0</v>
      </c>
      <c r="H57" s="899">
        <v>0</v>
      </c>
      <c r="I57" s="31">
        <v>555</v>
      </c>
      <c r="J57" s="31">
        <v>561</v>
      </c>
      <c r="K57" s="31">
        <v>574</v>
      </c>
      <c r="L57" s="31">
        <v>554</v>
      </c>
      <c r="N57" s="677" t="s">
        <v>7849</v>
      </c>
      <c r="O57" s="930"/>
      <c r="P57" s="950"/>
      <c r="Q57" s="945"/>
    </row>
    <row r="58" spans="1:17" ht="15.75" thickBot="1">
      <c r="A58" s="677"/>
      <c r="B58" s="677"/>
      <c r="C58" s="4" t="s">
        <v>14077</v>
      </c>
      <c r="D58" s="690">
        <f>D56+D57</f>
        <v>0</v>
      </c>
      <c r="E58" s="690">
        <f t="shared" ref="E58" si="97">E56+E57</f>
        <v>0</v>
      </c>
      <c r="F58" s="690">
        <f t="shared" ref="F58" si="98">F56+F57</f>
        <v>0</v>
      </c>
      <c r="G58" s="690">
        <f t="shared" ref="G58" si="99">G56+G57</f>
        <v>0</v>
      </c>
      <c r="H58" s="690">
        <f t="shared" ref="H58" si="100">H56+H57</f>
        <v>0</v>
      </c>
      <c r="I58" s="690">
        <f t="shared" ref="I58:L58" si="101">I56+I57</f>
        <v>2136</v>
      </c>
      <c r="J58" s="690">
        <f t="shared" si="101"/>
        <v>2163</v>
      </c>
      <c r="K58" s="690">
        <f t="shared" si="101"/>
        <v>2205</v>
      </c>
      <c r="L58" s="690">
        <f t="shared" si="101"/>
        <v>2148</v>
      </c>
      <c r="N58" s="677"/>
      <c r="O58" s="930"/>
      <c r="P58" s="950"/>
      <c r="Q58" s="945"/>
    </row>
    <row r="59" spans="1:17">
      <c r="A59" s="677" t="s">
        <v>6961</v>
      </c>
      <c r="B59" s="677" t="s">
        <v>13845</v>
      </c>
      <c r="C59" s="4" t="s">
        <v>14079</v>
      </c>
      <c r="D59" s="680">
        <v>58981</v>
      </c>
      <c r="E59" s="680">
        <v>59568</v>
      </c>
      <c r="F59" s="680">
        <v>60018</v>
      </c>
      <c r="G59" s="680">
        <v>61356</v>
      </c>
      <c r="H59" s="31">
        <v>59301</v>
      </c>
      <c r="I59" s="30">
        <v>3761</v>
      </c>
      <c r="J59" s="30">
        <v>3800</v>
      </c>
      <c r="K59" s="30">
        <v>3932</v>
      </c>
      <c r="L59" s="30">
        <v>3883</v>
      </c>
      <c r="N59" s="677" t="s">
        <v>6013</v>
      </c>
      <c r="O59" s="946"/>
      <c r="P59" s="950"/>
      <c r="Q59" s="945"/>
    </row>
    <row r="60" spans="1:17">
      <c r="A60" s="677" t="s">
        <v>6963</v>
      </c>
      <c r="B60" s="677" t="s">
        <v>13846</v>
      </c>
      <c r="C60" s="4" t="s">
        <v>14080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1">
        <v>4798</v>
      </c>
      <c r="J60" s="30">
        <v>5052</v>
      </c>
      <c r="K60" s="30">
        <v>5269</v>
      </c>
      <c r="L60" s="30">
        <v>5321</v>
      </c>
      <c r="N60" s="677" t="s">
        <v>6013</v>
      </c>
      <c r="O60" s="930"/>
      <c r="P60" s="950"/>
      <c r="Q60" s="945"/>
    </row>
    <row r="61" spans="1:17">
      <c r="A61" s="677" t="s">
        <v>6965</v>
      </c>
      <c r="B61" s="677" t="s">
        <v>15866</v>
      </c>
      <c r="C61" s="4" t="s">
        <v>14078</v>
      </c>
      <c r="D61" s="680">
        <v>34871</v>
      </c>
      <c r="E61" s="680">
        <v>35147</v>
      </c>
      <c r="F61" s="680">
        <v>35594</v>
      </c>
      <c r="G61" s="680">
        <v>36256</v>
      </c>
      <c r="H61" s="30">
        <v>34834</v>
      </c>
      <c r="I61" s="30">
        <v>2329</v>
      </c>
      <c r="J61" s="31">
        <v>2336</v>
      </c>
      <c r="K61" s="31">
        <v>2440</v>
      </c>
      <c r="L61" s="31">
        <v>2415</v>
      </c>
      <c r="N61" s="677" t="s">
        <v>7849</v>
      </c>
      <c r="O61" s="930"/>
      <c r="P61" s="950"/>
      <c r="Q61" s="945"/>
    </row>
    <row r="62" spans="1:17">
      <c r="A62" s="677" t="s">
        <v>6997</v>
      </c>
      <c r="B62" s="677" t="s">
        <v>13847</v>
      </c>
      <c r="C62" s="4" t="s">
        <v>14081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5260</v>
      </c>
      <c r="J62" s="30">
        <v>5403</v>
      </c>
      <c r="K62" s="30">
        <v>5535</v>
      </c>
      <c r="L62" s="30">
        <v>5562</v>
      </c>
      <c r="N62" s="677" t="s">
        <v>6013</v>
      </c>
      <c r="O62" s="930"/>
      <c r="P62" s="950"/>
      <c r="Q62" s="945"/>
    </row>
    <row r="63" spans="1:17">
      <c r="A63" s="677" t="s">
        <v>6999</v>
      </c>
      <c r="B63" s="677" t="s">
        <v>13848</v>
      </c>
      <c r="C63" s="4" t="s">
        <v>14082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4296</v>
      </c>
      <c r="J63" s="30">
        <v>4360</v>
      </c>
      <c r="K63" s="30">
        <v>4386</v>
      </c>
      <c r="L63" s="30">
        <v>4385</v>
      </c>
      <c r="N63" s="677" t="s">
        <v>6013</v>
      </c>
      <c r="O63" s="930"/>
      <c r="P63" s="950"/>
      <c r="Q63" s="945"/>
    </row>
    <row r="64" spans="1:17">
      <c r="A64" s="677" t="s">
        <v>7001</v>
      </c>
      <c r="B64" s="677" t="s">
        <v>13849</v>
      </c>
      <c r="C64" s="4" t="s">
        <v>14083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4259</v>
      </c>
      <c r="J64" s="30">
        <v>4321</v>
      </c>
      <c r="K64" s="30">
        <v>4448</v>
      </c>
      <c r="L64" s="30">
        <v>4412</v>
      </c>
      <c r="N64" s="677" t="s">
        <v>6013</v>
      </c>
      <c r="O64" s="930"/>
      <c r="P64" s="950"/>
      <c r="Q64" s="945"/>
    </row>
    <row r="65" spans="1:17">
      <c r="A65" s="677" t="s">
        <v>7003</v>
      </c>
      <c r="B65" s="677" t="s">
        <v>3970</v>
      </c>
      <c r="C65" s="4" t="s">
        <v>14084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2137</v>
      </c>
      <c r="J65" s="31">
        <v>2162</v>
      </c>
      <c r="K65" s="31">
        <v>2238</v>
      </c>
      <c r="L65" s="31">
        <v>2208</v>
      </c>
      <c r="N65" s="677" t="s">
        <v>7849</v>
      </c>
      <c r="O65" s="946"/>
      <c r="P65" s="950"/>
      <c r="Q65" s="945"/>
    </row>
    <row r="66" spans="1:17">
      <c r="A66" s="677" t="s">
        <v>7005</v>
      </c>
      <c r="B66" s="677" t="s">
        <v>13850</v>
      </c>
      <c r="C66" s="4" t="s">
        <v>14085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1">
        <v>2619</v>
      </c>
      <c r="J66" s="31">
        <v>2470</v>
      </c>
      <c r="K66" s="31">
        <v>2502</v>
      </c>
      <c r="L66" s="31">
        <v>2524</v>
      </c>
      <c r="N66" s="677" t="s">
        <v>7849</v>
      </c>
      <c r="O66" s="930"/>
      <c r="P66" s="950"/>
      <c r="Q66" s="945"/>
    </row>
    <row r="67" spans="1:17">
      <c r="A67" s="677" t="s">
        <v>7007</v>
      </c>
      <c r="B67" s="677" t="s">
        <v>13851</v>
      </c>
      <c r="C67" s="4" t="s">
        <v>14086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1">
        <v>2360</v>
      </c>
      <c r="J67" s="31">
        <v>2478</v>
      </c>
      <c r="K67" s="31">
        <v>2548</v>
      </c>
      <c r="L67" s="31">
        <v>2525</v>
      </c>
      <c r="N67" s="677" t="s">
        <v>7849</v>
      </c>
      <c r="O67" s="930"/>
      <c r="P67" s="950"/>
      <c r="Q67" s="945"/>
    </row>
    <row r="68" spans="1:17">
      <c r="A68" s="677" t="s">
        <v>7009</v>
      </c>
      <c r="B68" s="677" t="s">
        <v>4258</v>
      </c>
      <c r="C68" s="4" t="s">
        <v>14087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0">
        <v>1997</v>
      </c>
      <c r="J68" s="30">
        <v>2205</v>
      </c>
      <c r="K68" s="30">
        <v>2241</v>
      </c>
      <c r="L68" s="30">
        <v>2247</v>
      </c>
      <c r="N68" s="677" t="s">
        <v>6013</v>
      </c>
      <c r="O68" s="946"/>
      <c r="P68" s="950"/>
      <c r="Q68" s="945"/>
    </row>
    <row r="69" spans="1:17">
      <c r="A69" s="677" t="s">
        <v>7011</v>
      </c>
      <c r="B69" s="677" t="s">
        <v>4259</v>
      </c>
      <c r="C69" s="4" t="s">
        <v>14088</v>
      </c>
      <c r="D69" s="680">
        <v>0</v>
      </c>
      <c r="E69" s="680">
        <v>0</v>
      </c>
      <c r="F69" s="680">
        <v>0</v>
      </c>
      <c r="G69" s="680">
        <v>0</v>
      </c>
      <c r="H69" s="30">
        <v>0</v>
      </c>
      <c r="I69" s="30">
        <v>1940</v>
      </c>
      <c r="J69" s="30">
        <v>2026</v>
      </c>
      <c r="K69" s="30">
        <v>2074</v>
      </c>
      <c r="L69" s="30">
        <v>2038</v>
      </c>
      <c r="N69" s="677" t="s">
        <v>6013</v>
      </c>
      <c r="O69" s="930"/>
      <c r="P69" s="950"/>
      <c r="Q69" s="945"/>
    </row>
    <row r="70" spans="1:17" ht="15.75" thickBot="1">
      <c r="A70" s="677"/>
      <c r="B70" s="677"/>
      <c r="C70" s="4" t="s">
        <v>14088</v>
      </c>
      <c r="D70" s="685">
        <v>0</v>
      </c>
      <c r="E70" s="685">
        <v>0</v>
      </c>
      <c r="F70" s="685">
        <v>0</v>
      </c>
      <c r="G70" s="685">
        <v>0</v>
      </c>
      <c r="H70" s="899">
        <v>0</v>
      </c>
      <c r="I70" s="31">
        <v>26</v>
      </c>
      <c r="J70" s="31">
        <v>28</v>
      </c>
      <c r="K70" s="31">
        <v>34</v>
      </c>
      <c r="L70" s="31">
        <v>32</v>
      </c>
      <c r="N70" s="677" t="s">
        <v>7849</v>
      </c>
      <c r="O70" s="930"/>
      <c r="P70" s="950"/>
      <c r="Q70" s="945"/>
    </row>
    <row r="71" spans="1:17" ht="15.75" thickBot="1">
      <c r="A71" s="677"/>
      <c r="B71" s="677"/>
      <c r="C71" s="4" t="s">
        <v>14088</v>
      </c>
      <c r="D71" s="690">
        <f>D69+D70</f>
        <v>0</v>
      </c>
      <c r="E71" s="690">
        <f t="shared" ref="E71" si="102">E69+E70</f>
        <v>0</v>
      </c>
      <c r="F71" s="690">
        <f t="shared" ref="F71" si="103">F69+F70</f>
        <v>0</v>
      </c>
      <c r="G71" s="690">
        <f t="shared" ref="G71" si="104">G69+G70</f>
        <v>0</v>
      </c>
      <c r="H71" s="690">
        <f t="shared" ref="H71" si="105">H69+H70</f>
        <v>0</v>
      </c>
      <c r="I71" s="690">
        <f t="shared" ref="I71:L71" si="106">I69+I70</f>
        <v>1966</v>
      </c>
      <c r="J71" s="690">
        <f t="shared" si="106"/>
        <v>2054</v>
      </c>
      <c r="K71" s="690">
        <f t="shared" si="106"/>
        <v>2108</v>
      </c>
      <c r="L71" s="690">
        <f t="shared" si="106"/>
        <v>2070</v>
      </c>
      <c r="N71" s="677"/>
      <c r="O71" s="930"/>
      <c r="P71" s="950"/>
      <c r="Q71" s="945"/>
    </row>
    <row r="72" spans="1:17">
      <c r="A72" s="677" t="s">
        <v>7013</v>
      </c>
      <c r="B72" s="677" t="s">
        <v>7652</v>
      </c>
      <c r="C72" s="4" t="s">
        <v>14089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4151</v>
      </c>
      <c r="J72" s="30">
        <v>4065</v>
      </c>
      <c r="K72" s="30">
        <v>4226</v>
      </c>
      <c r="L72" s="30">
        <v>4255</v>
      </c>
      <c r="N72" s="677" t="s">
        <v>6013</v>
      </c>
      <c r="O72" s="930"/>
      <c r="P72" s="950"/>
      <c r="Q72" s="945"/>
    </row>
    <row r="73" spans="1:17">
      <c r="A73" s="677" t="s">
        <v>7015</v>
      </c>
      <c r="B73" s="677" t="s">
        <v>13852</v>
      </c>
      <c r="C73" s="4" t="s">
        <v>14090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0">
        <v>4282</v>
      </c>
      <c r="J73" s="30">
        <v>4384</v>
      </c>
      <c r="K73" s="30">
        <v>4502</v>
      </c>
      <c r="L73" s="30">
        <v>4440</v>
      </c>
      <c r="N73" s="677" t="s">
        <v>6013</v>
      </c>
      <c r="O73" s="946"/>
      <c r="P73" s="950"/>
      <c r="Q73" s="945"/>
    </row>
    <row r="74" spans="1:17">
      <c r="A74" s="677" t="s">
        <v>7017</v>
      </c>
      <c r="B74" s="677" t="s">
        <v>4260</v>
      </c>
      <c r="C74" s="4" t="s">
        <v>14091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2032</v>
      </c>
      <c r="J74" s="31">
        <v>2081</v>
      </c>
      <c r="K74" s="31">
        <v>2116</v>
      </c>
      <c r="L74" s="31">
        <v>2131</v>
      </c>
      <c r="N74" s="677" t="s">
        <v>7849</v>
      </c>
      <c r="O74" s="946"/>
      <c r="P74" s="950"/>
      <c r="Q74" s="945"/>
    </row>
    <row r="75" spans="1:17">
      <c r="A75" s="677" t="s">
        <v>7019</v>
      </c>
      <c r="B75" s="677" t="s">
        <v>4261</v>
      </c>
      <c r="C75" s="4" t="s">
        <v>14092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2024</v>
      </c>
      <c r="J75" s="30">
        <v>2116</v>
      </c>
      <c r="K75" s="30">
        <v>2160</v>
      </c>
      <c r="L75" s="30">
        <v>2165</v>
      </c>
      <c r="N75" s="677" t="s">
        <v>6013</v>
      </c>
      <c r="O75" s="930"/>
      <c r="P75" s="950"/>
      <c r="Q75" s="945"/>
    </row>
    <row r="76" spans="1:17">
      <c r="A76" s="677" t="s">
        <v>7021</v>
      </c>
      <c r="B76" s="677" t="s">
        <v>13853</v>
      </c>
      <c r="C76" s="4" t="s">
        <v>14093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3598</v>
      </c>
      <c r="J76" s="30">
        <v>3769</v>
      </c>
      <c r="K76" s="30">
        <v>3803</v>
      </c>
      <c r="L76" s="30">
        <v>3809</v>
      </c>
      <c r="N76" s="677" t="s">
        <v>6013</v>
      </c>
      <c r="O76" s="930"/>
      <c r="P76" s="950"/>
      <c r="Q76" s="945"/>
    </row>
    <row r="77" spans="1:17">
      <c r="A77" s="677" t="s">
        <v>7023</v>
      </c>
      <c r="B77" s="677" t="s">
        <v>13854</v>
      </c>
      <c r="C77" s="4" t="s">
        <v>14094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4125</v>
      </c>
      <c r="J77" s="30">
        <v>4265</v>
      </c>
      <c r="K77" s="30">
        <v>4378</v>
      </c>
      <c r="L77" s="30">
        <v>4341</v>
      </c>
      <c r="N77" s="677" t="s">
        <v>6013</v>
      </c>
      <c r="O77" s="930"/>
      <c r="P77" s="950"/>
      <c r="Q77" s="945"/>
    </row>
    <row r="78" spans="1:17">
      <c r="A78" s="677" t="s">
        <v>7025</v>
      </c>
      <c r="B78" s="677" t="s">
        <v>6022</v>
      </c>
      <c r="C78" s="4" t="s">
        <v>14095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1">
        <v>5650</v>
      </c>
      <c r="J78" s="31">
        <v>5833</v>
      </c>
      <c r="K78" s="31">
        <v>6105</v>
      </c>
      <c r="L78" s="31">
        <v>6187</v>
      </c>
      <c r="N78" s="677" t="s">
        <v>7849</v>
      </c>
      <c r="O78" s="930"/>
      <c r="P78" s="950"/>
      <c r="Q78" s="945"/>
    </row>
    <row r="79" spans="1:17">
      <c r="A79" s="677" t="s">
        <v>7570</v>
      </c>
      <c r="B79" s="677" t="s">
        <v>13855</v>
      </c>
      <c r="C79" s="4" t="s">
        <v>14096</v>
      </c>
      <c r="D79" s="680">
        <v>0</v>
      </c>
      <c r="E79" s="680">
        <v>0</v>
      </c>
      <c r="F79" s="680">
        <v>0</v>
      </c>
      <c r="G79" s="680">
        <v>0</v>
      </c>
      <c r="H79" s="30">
        <v>0</v>
      </c>
      <c r="I79" s="30">
        <v>1375</v>
      </c>
      <c r="J79" s="30">
        <v>1411</v>
      </c>
      <c r="K79" s="30">
        <v>1431</v>
      </c>
      <c r="L79" s="30">
        <v>1421</v>
      </c>
      <c r="N79" s="677" t="s">
        <v>6013</v>
      </c>
      <c r="O79" s="946"/>
      <c r="P79" s="950"/>
      <c r="Q79" s="945"/>
    </row>
    <row r="80" spans="1:17" ht="15.75" thickBot="1">
      <c r="A80" s="677"/>
      <c r="B80" s="677"/>
      <c r="C80" s="4" t="s">
        <v>14096</v>
      </c>
      <c r="D80" s="685">
        <v>0</v>
      </c>
      <c r="E80" s="685">
        <v>0</v>
      </c>
      <c r="F80" s="685">
        <v>0</v>
      </c>
      <c r="G80" s="685">
        <v>0</v>
      </c>
      <c r="H80" s="899">
        <v>0</v>
      </c>
      <c r="I80" s="31">
        <v>1055</v>
      </c>
      <c r="J80" s="31">
        <v>1099</v>
      </c>
      <c r="K80" s="31">
        <v>1130</v>
      </c>
      <c r="L80" s="31">
        <v>1132</v>
      </c>
      <c r="N80" s="677" t="s">
        <v>7849</v>
      </c>
      <c r="O80" s="946"/>
      <c r="P80" s="950"/>
      <c r="Q80" s="945"/>
    </row>
    <row r="81" spans="1:17" ht="15.75" thickBot="1">
      <c r="A81" s="677"/>
      <c r="B81" s="677"/>
      <c r="C81" s="4" t="s">
        <v>14096</v>
      </c>
      <c r="D81" s="690">
        <f>D79+D80</f>
        <v>0</v>
      </c>
      <c r="E81" s="690">
        <f t="shared" ref="E81" si="107">E79+E80</f>
        <v>0</v>
      </c>
      <c r="F81" s="690">
        <f t="shared" ref="F81" si="108">F79+F80</f>
        <v>0</v>
      </c>
      <c r="G81" s="690">
        <f t="shared" ref="G81" si="109">G79+G80</f>
        <v>0</v>
      </c>
      <c r="H81" s="690">
        <f t="shared" ref="H81" si="110">H79+H80</f>
        <v>0</v>
      </c>
      <c r="I81" s="690">
        <f t="shared" ref="I81:L81" si="111">I79+I80</f>
        <v>2430</v>
      </c>
      <c r="J81" s="690">
        <f t="shared" si="111"/>
        <v>2510</v>
      </c>
      <c r="K81" s="690">
        <f t="shared" si="111"/>
        <v>2561</v>
      </c>
      <c r="L81" s="690">
        <f t="shared" si="111"/>
        <v>2553</v>
      </c>
      <c r="N81" s="677"/>
      <c r="O81" s="946"/>
      <c r="P81" s="950"/>
      <c r="Q81" s="945"/>
    </row>
    <row r="82" spans="1:17">
      <c r="A82" s="677" t="s">
        <v>7572</v>
      </c>
      <c r="B82" s="677" t="s">
        <v>13856</v>
      </c>
      <c r="C82" s="4" t="s">
        <v>14097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3288</v>
      </c>
      <c r="J82" s="31">
        <v>3290</v>
      </c>
      <c r="K82" s="31">
        <v>3278</v>
      </c>
      <c r="L82" s="31">
        <v>3207</v>
      </c>
      <c r="N82" s="677" t="s">
        <v>7849</v>
      </c>
      <c r="O82" s="946"/>
      <c r="P82" s="950"/>
      <c r="Q82" s="945"/>
    </row>
    <row r="83" spans="1:17">
      <c r="A83" s="677" t="s">
        <v>7573</v>
      </c>
      <c r="B83" s="677" t="s">
        <v>13857</v>
      </c>
      <c r="C83" s="4" t="s">
        <v>14098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3758</v>
      </c>
      <c r="J83" s="31">
        <v>3696</v>
      </c>
      <c r="K83" s="31">
        <v>3716</v>
      </c>
      <c r="L83" s="31">
        <v>3624</v>
      </c>
      <c r="N83" s="677" t="s">
        <v>7849</v>
      </c>
      <c r="O83" s="946"/>
      <c r="P83" s="950"/>
      <c r="Q83" s="945"/>
    </row>
    <row r="84" spans="1:17">
      <c r="A84" s="677" t="s">
        <v>5798</v>
      </c>
      <c r="B84" s="677" t="s">
        <v>13858</v>
      </c>
      <c r="C84" s="4" t="s">
        <v>14099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3542</v>
      </c>
      <c r="J84" s="31">
        <v>3590</v>
      </c>
      <c r="K84" s="31">
        <v>3581</v>
      </c>
      <c r="L84" s="31">
        <v>3565</v>
      </c>
      <c r="N84" s="677" t="s">
        <v>7849</v>
      </c>
      <c r="O84" s="71"/>
      <c r="Q84" s="4"/>
    </row>
    <row r="85" spans="1:17">
      <c r="A85" s="677" t="s">
        <v>5799</v>
      </c>
      <c r="B85" s="677" t="s">
        <v>13859</v>
      </c>
      <c r="C85" s="4" t="s">
        <v>14100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4041</v>
      </c>
      <c r="J85" s="31">
        <v>4044</v>
      </c>
      <c r="K85" s="31">
        <v>4053</v>
      </c>
      <c r="L85" s="31">
        <v>4053</v>
      </c>
      <c r="N85" s="677" t="s">
        <v>7849</v>
      </c>
      <c r="O85" s="71"/>
      <c r="Q85" s="4"/>
    </row>
    <row r="86" spans="1:17">
      <c r="A86" s="677" t="s">
        <v>5801</v>
      </c>
      <c r="B86" s="677" t="s">
        <v>2602</v>
      </c>
      <c r="C86" s="4" t="s">
        <v>14101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4821</v>
      </c>
      <c r="J86" s="31">
        <v>4928</v>
      </c>
      <c r="K86" s="31">
        <v>5075</v>
      </c>
      <c r="L86" s="31">
        <v>5061</v>
      </c>
      <c r="N86" s="677" t="s">
        <v>6013</v>
      </c>
      <c r="O86" s="71"/>
      <c r="Q86" s="4"/>
    </row>
    <row r="87" spans="1:17">
      <c r="A87" s="677" t="s">
        <v>5927</v>
      </c>
      <c r="B87" s="677" t="s">
        <v>2603</v>
      </c>
      <c r="C87" s="4" t="s">
        <v>14102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5429</v>
      </c>
      <c r="J87" s="31">
        <v>5527</v>
      </c>
      <c r="K87" s="31">
        <v>5763</v>
      </c>
      <c r="L87" s="31">
        <v>5810</v>
      </c>
      <c r="N87" s="677" t="s">
        <v>6013</v>
      </c>
      <c r="O87" s="71"/>
      <c r="Q87" s="4"/>
    </row>
    <row r="88" spans="1:17">
      <c r="D88" s="681"/>
      <c r="E88" s="681"/>
      <c r="F88" s="681"/>
      <c r="G88" s="681"/>
      <c r="H88" s="681"/>
      <c r="I88" s="681"/>
      <c r="J88" s="681"/>
      <c r="K88" s="681"/>
      <c r="L88" s="681"/>
    </row>
    <row r="89" spans="1:17">
      <c r="A89" s="677" t="s">
        <v>2605</v>
      </c>
      <c r="D89" s="680">
        <f t="shared" ref="D89:H89" si="112">D53+D56+D59+D60+SUM(D62:D64)+D68+D69+D72+D73+SUM(D75:D77)+D79+D86+D87</f>
        <v>58981</v>
      </c>
      <c r="E89" s="680">
        <f t="shared" si="112"/>
        <v>59568</v>
      </c>
      <c r="F89" s="680">
        <f t="shared" si="112"/>
        <v>60018</v>
      </c>
      <c r="G89" s="680">
        <f t="shared" si="112"/>
        <v>61356</v>
      </c>
      <c r="H89" s="680">
        <f t="shared" si="112"/>
        <v>59301</v>
      </c>
      <c r="I89" s="680">
        <f>I53+I56+I59+I60+SUM(I62:I64)+I68+I69+I72+I73+SUM(I75:I77)+I79+I86+I87</f>
        <v>60116</v>
      </c>
      <c r="J89" s="680">
        <f>J53+J56+J59+J60+SUM(J62:J64)+J68+J69+J72+J73+SUM(J75:J77)+J79+J86+J87</f>
        <v>61710</v>
      </c>
      <c r="K89" s="680">
        <f>K53+K56+K59+K60+SUM(K62:K64)+K68+K69+K72+K73+SUM(K75:K77)+K79+K86+K87</f>
        <v>63395</v>
      </c>
      <c r="L89" s="680">
        <f>L53+L56+L59+L60+SUM(L62:L64)+L68+L69+L72+L73+SUM(L75:L77)+L79+L86+L87</f>
        <v>63291</v>
      </c>
    </row>
    <row r="90" spans="1:17">
      <c r="A90" s="677" t="s">
        <v>2606</v>
      </c>
      <c r="D90" s="680">
        <f>D54+D57+D61+SUM(D65:D67)+D70+D74+D78+D80+SUM(D82:D85)</f>
        <v>34871</v>
      </c>
      <c r="E90" s="680">
        <f t="shared" ref="E90:H90" si="113">E54+E57+E61+SUM(E65:E67)+E70+E74+E78+E80+SUM(E82:E85)</f>
        <v>35147</v>
      </c>
      <c r="F90" s="680">
        <f t="shared" si="113"/>
        <v>35594</v>
      </c>
      <c r="G90" s="680">
        <f t="shared" si="113"/>
        <v>36256</v>
      </c>
      <c r="H90" s="680">
        <f t="shared" si="113"/>
        <v>34834</v>
      </c>
      <c r="I90" s="680">
        <f>I54+I57+I61+SUM(I65:I67)+I70+I74+I78+I80+SUM(I82:I85)</f>
        <v>35491</v>
      </c>
      <c r="J90" s="680">
        <f>J54+J57+J61+SUM(J65:J67)+J70+J74+J78+J80+SUM(J82:J85)</f>
        <v>35959</v>
      </c>
      <c r="K90" s="680">
        <f>K54+K57+K61+SUM(K65:K67)+K70+K74+K78+K80+SUM(K82:K85)</f>
        <v>36673</v>
      </c>
      <c r="L90" s="680">
        <f>L54+L57+L61+SUM(L65:L67)+L70+L74+L78+L80+SUM(L82:L85)</f>
        <v>36485</v>
      </c>
    </row>
    <row r="91" spans="1:17">
      <c r="A91" s="677"/>
      <c r="D91" s="680"/>
      <c r="E91" s="680"/>
      <c r="F91" s="680"/>
      <c r="G91" s="680"/>
      <c r="H91" s="680"/>
      <c r="I91" s="680"/>
      <c r="J91" s="680"/>
      <c r="K91" s="680"/>
      <c r="L91" s="680"/>
    </row>
    <row r="92" spans="1:17">
      <c r="A92" s="677" t="s">
        <v>13860</v>
      </c>
      <c r="D92" s="680"/>
      <c r="E92" s="680"/>
      <c r="F92" s="680"/>
      <c r="G92" s="680"/>
      <c r="H92" s="680"/>
      <c r="I92" s="680"/>
      <c r="J92" s="680"/>
      <c r="K92" s="680"/>
      <c r="L92" s="680"/>
    </row>
    <row r="93" spans="1:17" ht="16.5" customHeight="1">
      <c r="A93" s="677"/>
      <c r="B93" s="677"/>
      <c r="D93" s="687"/>
      <c r="E93" s="687"/>
      <c r="F93" s="687"/>
      <c r="G93" s="687"/>
      <c r="H93" s="687"/>
      <c r="I93" s="687"/>
      <c r="J93" s="687"/>
      <c r="K93" s="687"/>
      <c r="L93" s="687"/>
    </row>
    <row r="94" spans="1:17">
      <c r="A94" s="677"/>
      <c r="B94" s="677"/>
      <c r="D94" s="687"/>
      <c r="E94" s="687"/>
      <c r="F94" s="687"/>
      <c r="G94" s="687"/>
      <c r="H94" s="687"/>
      <c r="I94" s="687"/>
      <c r="J94" s="687"/>
      <c r="K94" s="687"/>
      <c r="L94" s="687"/>
    </row>
    <row r="95" spans="1:17">
      <c r="E95" s="42" t="s">
        <v>2303</v>
      </c>
      <c r="F95" s="42"/>
      <c r="G95" s="42"/>
      <c r="H95" s="42"/>
      <c r="I95" s="42"/>
      <c r="J95" s="42"/>
      <c r="K95" s="42"/>
      <c r="L95" s="42"/>
      <c r="M95" s="109"/>
      <c r="N95" s="109" t="s">
        <v>13319</v>
      </c>
    </row>
    <row r="96" spans="1:17">
      <c r="D96" s="679">
        <v>2010</v>
      </c>
      <c r="E96" s="679">
        <v>2011</v>
      </c>
      <c r="F96" s="679">
        <v>2012</v>
      </c>
      <c r="G96" s="679">
        <v>2013</v>
      </c>
      <c r="H96" s="679">
        <v>2014</v>
      </c>
      <c r="I96" s="679">
        <v>2015</v>
      </c>
      <c r="J96" s="679">
        <v>2016</v>
      </c>
      <c r="K96" s="679">
        <v>2017</v>
      </c>
      <c r="L96" s="679">
        <v>2018</v>
      </c>
      <c r="N96" s="112" t="s">
        <v>2304</v>
      </c>
    </row>
    <row r="97" spans="1:17">
      <c r="A97" s="677" t="s">
        <v>2592</v>
      </c>
      <c r="D97" s="680">
        <f t="shared" ref="D97:I97" si="114">SUM(D98:D124)</f>
        <v>93920</v>
      </c>
      <c r="E97" s="680">
        <f t="shared" si="114"/>
        <v>95393</v>
      </c>
      <c r="F97" s="680">
        <f t="shared" si="114"/>
        <v>96268</v>
      </c>
      <c r="G97" s="680">
        <f t="shared" si="114"/>
        <v>97292</v>
      </c>
      <c r="H97" s="680">
        <f t="shared" si="114"/>
        <v>96559</v>
      </c>
      <c r="I97" s="680">
        <f t="shared" si="114"/>
        <v>93466</v>
      </c>
      <c r="J97" s="680">
        <f t="shared" ref="J97:K97" si="115">SUM(J98:J124)</f>
        <v>94862</v>
      </c>
      <c r="K97" s="680">
        <f t="shared" si="115"/>
        <v>98674</v>
      </c>
      <c r="L97" s="680">
        <f t="shared" ref="L97" si="116">SUM(L98:L124)</f>
        <v>98807</v>
      </c>
    </row>
    <row r="98" spans="1:17">
      <c r="A98" s="677" t="s">
        <v>6957</v>
      </c>
      <c r="B98" s="677" t="s">
        <v>2593</v>
      </c>
      <c r="C98" s="4" t="s">
        <v>11674</v>
      </c>
      <c r="D98" s="680">
        <v>2161</v>
      </c>
      <c r="E98" s="680">
        <v>2220</v>
      </c>
      <c r="F98" s="680">
        <v>2224</v>
      </c>
      <c r="G98" s="680">
        <v>2227</v>
      </c>
      <c r="H98" s="48">
        <v>2177</v>
      </c>
      <c r="I98" s="48">
        <v>2150</v>
      </c>
      <c r="J98" s="48">
        <v>2116</v>
      </c>
      <c r="K98" s="48">
        <v>2194</v>
      </c>
      <c r="L98" s="48">
        <v>2187</v>
      </c>
      <c r="N98" s="677" t="s">
        <v>2539</v>
      </c>
      <c r="O98" s="4"/>
      <c r="Q98" s="4"/>
    </row>
    <row r="99" spans="1:17">
      <c r="A99" s="677" t="s">
        <v>6959</v>
      </c>
      <c r="B99" s="677" t="s">
        <v>2594</v>
      </c>
      <c r="C99" s="4" t="s">
        <v>11675</v>
      </c>
      <c r="D99" s="680">
        <v>5777</v>
      </c>
      <c r="E99" s="680">
        <v>5844</v>
      </c>
      <c r="F99" s="680">
        <v>5837</v>
      </c>
      <c r="G99" s="680">
        <v>5926</v>
      </c>
      <c r="H99" s="48">
        <v>5979</v>
      </c>
      <c r="I99" s="48">
        <v>5807</v>
      </c>
      <c r="J99" s="48">
        <v>5972</v>
      </c>
      <c r="K99" s="48">
        <v>6327</v>
      </c>
      <c r="L99" s="48">
        <v>6445</v>
      </c>
      <c r="N99" s="677" t="s">
        <v>2539</v>
      </c>
      <c r="O99" s="4"/>
      <c r="Q99" s="4"/>
    </row>
    <row r="100" spans="1:17">
      <c r="A100" s="677" t="s">
        <v>6961</v>
      </c>
      <c r="B100" s="677" t="s">
        <v>6039</v>
      </c>
      <c r="C100" s="4" t="s">
        <v>11676</v>
      </c>
      <c r="D100" s="680">
        <v>4338</v>
      </c>
      <c r="E100" s="680">
        <v>4446</v>
      </c>
      <c r="F100" s="680">
        <v>4509</v>
      </c>
      <c r="G100" s="680">
        <v>4591</v>
      </c>
      <c r="H100" s="48">
        <v>4532</v>
      </c>
      <c r="I100" s="48">
        <v>4410</v>
      </c>
      <c r="J100" s="48">
        <v>4443</v>
      </c>
      <c r="K100" s="48">
        <v>4592</v>
      </c>
      <c r="L100" s="48">
        <v>4590</v>
      </c>
      <c r="N100" s="677" t="s">
        <v>2539</v>
      </c>
      <c r="O100" s="4"/>
      <c r="Q100" s="4"/>
    </row>
    <row r="101" spans="1:17">
      <c r="A101" s="677" t="s">
        <v>6963</v>
      </c>
      <c r="B101" s="677" t="s">
        <v>6040</v>
      </c>
      <c r="C101" s="4" t="s">
        <v>11677</v>
      </c>
      <c r="D101" s="680">
        <v>4472</v>
      </c>
      <c r="E101" s="680">
        <v>4522</v>
      </c>
      <c r="F101" s="680">
        <v>4581</v>
      </c>
      <c r="G101" s="680">
        <v>4577</v>
      </c>
      <c r="H101" s="48">
        <v>4501</v>
      </c>
      <c r="I101" s="48">
        <v>4333</v>
      </c>
      <c r="J101" s="48">
        <v>4441</v>
      </c>
      <c r="K101" s="48">
        <v>4717</v>
      </c>
      <c r="L101" s="48">
        <v>4760</v>
      </c>
      <c r="N101" s="677" t="s">
        <v>2539</v>
      </c>
      <c r="O101" s="4"/>
      <c r="Q101" s="4"/>
    </row>
    <row r="102" spans="1:17">
      <c r="A102" s="677" t="s">
        <v>6965</v>
      </c>
      <c r="B102" s="677" t="s">
        <v>6041</v>
      </c>
      <c r="C102" s="4" t="s">
        <v>11678</v>
      </c>
      <c r="D102" s="680">
        <v>1994</v>
      </c>
      <c r="E102" s="680">
        <v>2039</v>
      </c>
      <c r="F102" s="680">
        <v>2063</v>
      </c>
      <c r="G102" s="680">
        <v>2050</v>
      </c>
      <c r="H102" s="48">
        <v>2046</v>
      </c>
      <c r="I102" s="48">
        <v>1997</v>
      </c>
      <c r="J102" s="48">
        <v>2057</v>
      </c>
      <c r="K102" s="48">
        <v>2142</v>
      </c>
      <c r="L102" s="48">
        <v>2140</v>
      </c>
      <c r="N102" s="677" t="s">
        <v>2539</v>
      </c>
      <c r="O102" s="4"/>
      <c r="Q102" s="4"/>
    </row>
    <row r="103" spans="1:17">
      <c r="A103" s="677" t="s">
        <v>6997</v>
      </c>
      <c r="B103" s="677" t="s">
        <v>6042</v>
      </c>
      <c r="C103" s="4" t="s">
        <v>11679</v>
      </c>
      <c r="D103" s="680">
        <v>1902</v>
      </c>
      <c r="E103" s="680">
        <v>1958</v>
      </c>
      <c r="F103" s="680">
        <v>1959</v>
      </c>
      <c r="G103" s="680">
        <v>2002</v>
      </c>
      <c r="H103" s="48">
        <v>1989</v>
      </c>
      <c r="I103" s="48">
        <v>1959</v>
      </c>
      <c r="J103" s="48">
        <v>2043</v>
      </c>
      <c r="K103" s="48">
        <v>2075</v>
      </c>
      <c r="L103" s="48">
        <v>2089</v>
      </c>
      <c r="N103" s="677" t="s">
        <v>2539</v>
      </c>
      <c r="O103" s="4"/>
      <c r="Q103" s="4"/>
    </row>
    <row r="104" spans="1:17">
      <c r="A104" s="677" t="s">
        <v>6999</v>
      </c>
      <c r="B104" s="677" t="s">
        <v>7859</v>
      </c>
      <c r="C104" s="4" t="s">
        <v>11680</v>
      </c>
      <c r="D104" s="680">
        <v>2036</v>
      </c>
      <c r="E104" s="680">
        <v>2069</v>
      </c>
      <c r="F104" s="680">
        <v>2077</v>
      </c>
      <c r="G104" s="680">
        <v>2083</v>
      </c>
      <c r="H104" s="48">
        <v>1986</v>
      </c>
      <c r="I104" s="48">
        <v>1927</v>
      </c>
      <c r="J104" s="48">
        <v>2019</v>
      </c>
      <c r="K104" s="48">
        <v>2094</v>
      </c>
      <c r="L104" s="48">
        <v>2087</v>
      </c>
      <c r="N104" s="677" t="s">
        <v>2539</v>
      </c>
      <c r="O104" s="4"/>
      <c r="Q104" s="4"/>
    </row>
    <row r="105" spans="1:17">
      <c r="A105" s="677" t="s">
        <v>7001</v>
      </c>
      <c r="B105" s="677" t="s">
        <v>7860</v>
      </c>
      <c r="C105" s="4" t="s">
        <v>11681</v>
      </c>
      <c r="D105" s="680">
        <v>2032</v>
      </c>
      <c r="E105" s="680">
        <v>2127</v>
      </c>
      <c r="F105" s="680">
        <v>2131</v>
      </c>
      <c r="G105" s="680">
        <v>2161</v>
      </c>
      <c r="H105" s="48">
        <v>2129</v>
      </c>
      <c r="I105" s="48">
        <v>1962</v>
      </c>
      <c r="J105" s="48">
        <v>2083</v>
      </c>
      <c r="K105" s="48">
        <v>2165</v>
      </c>
      <c r="L105" s="48">
        <v>2157</v>
      </c>
      <c r="N105" s="677" t="s">
        <v>2539</v>
      </c>
      <c r="O105" s="4"/>
      <c r="Q105" s="4"/>
    </row>
    <row r="106" spans="1:17">
      <c r="A106" s="677" t="s">
        <v>7003</v>
      </c>
      <c r="B106" s="677" t="s">
        <v>7861</v>
      </c>
      <c r="C106" s="4" t="s">
        <v>11682</v>
      </c>
      <c r="D106" s="680">
        <v>1946</v>
      </c>
      <c r="E106" s="680">
        <v>1973</v>
      </c>
      <c r="F106" s="680">
        <v>1989</v>
      </c>
      <c r="G106" s="680">
        <v>1995</v>
      </c>
      <c r="H106" s="48">
        <v>1952</v>
      </c>
      <c r="I106" s="48">
        <v>1888</v>
      </c>
      <c r="J106" s="48">
        <v>1963</v>
      </c>
      <c r="K106" s="48">
        <v>1970</v>
      </c>
      <c r="L106" s="48">
        <v>1985</v>
      </c>
      <c r="N106" s="677" t="s">
        <v>2539</v>
      </c>
      <c r="O106" s="4"/>
      <c r="Q106" s="4"/>
    </row>
    <row r="107" spans="1:17">
      <c r="A107" s="677" t="s">
        <v>7005</v>
      </c>
      <c r="B107" s="677" t="s">
        <v>7862</v>
      </c>
      <c r="C107" s="4" t="s">
        <v>11683</v>
      </c>
      <c r="D107" s="680">
        <v>2318</v>
      </c>
      <c r="E107" s="680">
        <v>2410</v>
      </c>
      <c r="F107" s="680">
        <v>2433</v>
      </c>
      <c r="G107" s="680">
        <v>2455</v>
      </c>
      <c r="H107" s="48">
        <v>2486</v>
      </c>
      <c r="I107" s="48">
        <v>2411</v>
      </c>
      <c r="J107" s="48">
        <v>2448</v>
      </c>
      <c r="K107" s="48">
        <v>2489</v>
      </c>
      <c r="L107" s="48">
        <v>2491</v>
      </c>
      <c r="N107" s="677" t="s">
        <v>2539</v>
      </c>
      <c r="O107" s="4"/>
      <c r="Q107" s="4"/>
    </row>
    <row r="108" spans="1:17">
      <c r="A108" s="677" t="s">
        <v>7007</v>
      </c>
      <c r="B108" s="677" t="s">
        <v>7863</v>
      </c>
      <c r="C108" s="4" t="s">
        <v>11684</v>
      </c>
      <c r="D108" s="680">
        <v>1895</v>
      </c>
      <c r="E108" s="680">
        <v>1924</v>
      </c>
      <c r="F108" s="680">
        <v>1945</v>
      </c>
      <c r="G108" s="680">
        <v>2034</v>
      </c>
      <c r="H108" s="48">
        <v>1982</v>
      </c>
      <c r="I108" s="48">
        <v>1901</v>
      </c>
      <c r="J108" s="48">
        <v>1993</v>
      </c>
      <c r="K108" s="48">
        <v>2116</v>
      </c>
      <c r="L108" s="48">
        <v>2093</v>
      </c>
      <c r="N108" s="677" t="s">
        <v>2539</v>
      </c>
      <c r="O108" s="4"/>
      <c r="Q108" s="4"/>
    </row>
    <row r="109" spans="1:17">
      <c r="A109" s="677" t="s">
        <v>7009</v>
      </c>
      <c r="B109" s="677" t="s">
        <v>7864</v>
      </c>
      <c r="C109" s="4" t="s">
        <v>11685</v>
      </c>
      <c r="D109" s="680">
        <v>4679</v>
      </c>
      <c r="E109" s="680">
        <v>4730</v>
      </c>
      <c r="F109" s="680">
        <v>4771</v>
      </c>
      <c r="G109" s="680">
        <v>4795</v>
      </c>
      <c r="H109" s="48">
        <v>4722</v>
      </c>
      <c r="I109" s="48">
        <v>4493</v>
      </c>
      <c r="J109" s="48">
        <v>4539</v>
      </c>
      <c r="K109" s="48">
        <v>4630</v>
      </c>
      <c r="L109" s="48">
        <v>4587</v>
      </c>
      <c r="N109" s="677" t="s">
        <v>6019</v>
      </c>
      <c r="O109" s="4"/>
      <c r="Q109" s="4"/>
    </row>
    <row r="110" spans="1:17">
      <c r="A110" s="677" t="s">
        <v>7011</v>
      </c>
      <c r="B110" s="677" t="s">
        <v>7865</v>
      </c>
      <c r="C110" s="4" t="s">
        <v>11686</v>
      </c>
      <c r="D110" s="680">
        <v>3950</v>
      </c>
      <c r="E110" s="680">
        <v>3961</v>
      </c>
      <c r="F110" s="680">
        <v>4017</v>
      </c>
      <c r="G110" s="680">
        <v>4024</v>
      </c>
      <c r="H110" s="48">
        <v>3955</v>
      </c>
      <c r="I110" s="48">
        <v>3853</v>
      </c>
      <c r="J110" s="48">
        <v>3894</v>
      </c>
      <c r="K110" s="48">
        <v>3986</v>
      </c>
      <c r="L110" s="48">
        <v>3972</v>
      </c>
      <c r="N110" s="677" t="s">
        <v>6019</v>
      </c>
      <c r="O110" s="4"/>
      <c r="Q110" s="4"/>
    </row>
    <row r="111" spans="1:17">
      <c r="A111" s="677" t="s">
        <v>7013</v>
      </c>
      <c r="B111" s="677" t="s">
        <v>8689</v>
      </c>
      <c r="C111" s="4" t="s">
        <v>11687</v>
      </c>
      <c r="D111" s="680">
        <v>2130</v>
      </c>
      <c r="E111" s="680">
        <v>2127</v>
      </c>
      <c r="F111" s="680">
        <v>2116</v>
      </c>
      <c r="G111" s="680">
        <v>2167</v>
      </c>
      <c r="H111" s="48">
        <v>2143</v>
      </c>
      <c r="I111" s="48">
        <v>2076</v>
      </c>
      <c r="J111" s="48">
        <v>2121</v>
      </c>
      <c r="K111" s="48">
        <v>2268</v>
      </c>
      <c r="L111" s="48">
        <v>2246</v>
      </c>
      <c r="N111" s="677" t="s">
        <v>2539</v>
      </c>
      <c r="O111" s="4"/>
      <c r="Q111" s="4"/>
    </row>
    <row r="112" spans="1:17">
      <c r="A112" s="677" t="s">
        <v>7015</v>
      </c>
      <c r="B112" s="677" t="s">
        <v>8690</v>
      </c>
      <c r="C112" s="4" t="s">
        <v>11688</v>
      </c>
      <c r="D112" s="680">
        <v>3457</v>
      </c>
      <c r="E112" s="680">
        <v>3486</v>
      </c>
      <c r="F112" s="680">
        <v>3591</v>
      </c>
      <c r="G112" s="680">
        <v>3688</v>
      </c>
      <c r="H112" s="48">
        <v>3739</v>
      </c>
      <c r="I112" s="48">
        <v>3625</v>
      </c>
      <c r="J112" s="48">
        <v>3667</v>
      </c>
      <c r="K112" s="48">
        <v>3955</v>
      </c>
      <c r="L112" s="48">
        <v>3981</v>
      </c>
      <c r="N112" s="677" t="s">
        <v>2539</v>
      </c>
      <c r="O112" s="4"/>
      <c r="Q112" s="4"/>
    </row>
    <row r="113" spans="1:17">
      <c r="A113" s="677" t="s">
        <v>7017</v>
      </c>
      <c r="B113" s="677" t="s">
        <v>8691</v>
      </c>
      <c r="C113" s="4" t="s">
        <v>11689</v>
      </c>
      <c r="D113" s="680">
        <v>2351</v>
      </c>
      <c r="E113" s="680">
        <v>2357</v>
      </c>
      <c r="F113" s="680">
        <v>2381</v>
      </c>
      <c r="G113" s="680">
        <v>2445</v>
      </c>
      <c r="H113" s="48">
        <v>2369</v>
      </c>
      <c r="I113" s="48">
        <v>2311</v>
      </c>
      <c r="J113" s="48">
        <v>2363</v>
      </c>
      <c r="K113" s="48">
        <v>2472</v>
      </c>
      <c r="L113" s="48">
        <v>2467</v>
      </c>
      <c r="N113" s="677" t="s">
        <v>2539</v>
      </c>
      <c r="O113" s="4"/>
      <c r="Q113" s="4"/>
    </row>
    <row r="114" spans="1:17">
      <c r="A114" s="677" t="s">
        <v>7019</v>
      </c>
      <c r="B114" s="677" t="s">
        <v>8692</v>
      </c>
      <c r="C114" s="4" t="s">
        <v>11690</v>
      </c>
      <c r="D114" s="680">
        <v>6313</v>
      </c>
      <c r="E114" s="680">
        <v>6318</v>
      </c>
      <c r="F114" s="680">
        <v>6360</v>
      </c>
      <c r="G114" s="680">
        <v>6486</v>
      </c>
      <c r="H114" s="48">
        <v>6504</v>
      </c>
      <c r="I114" s="48">
        <v>6236</v>
      </c>
      <c r="J114" s="48">
        <v>6338</v>
      </c>
      <c r="K114" s="48">
        <v>6511</v>
      </c>
      <c r="L114" s="48">
        <v>6452</v>
      </c>
      <c r="N114" s="677" t="s">
        <v>6019</v>
      </c>
      <c r="O114" s="4"/>
      <c r="Q114" s="4"/>
    </row>
    <row r="115" spans="1:17">
      <c r="A115" s="677" t="s">
        <v>7021</v>
      </c>
      <c r="B115" s="677" t="s">
        <v>6157</v>
      </c>
      <c r="C115" s="4" t="s">
        <v>11691</v>
      </c>
      <c r="D115" s="680">
        <v>2262</v>
      </c>
      <c r="E115" s="680">
        <v>2292</v>
      </c>
      <c r="F115" s="680">
        <v>2356</v>
      </c>
      <c r="G115" s="680">
        <v>2442</v>
      </c>
      <c r="H115" s="48">
        <v>2432</v>
      </c>
      <c r="I115" s="48">
        <v>2355</v>
      </c>
      <c r="J115" s="48">
        <v>2360</v>
      </c>
      <c r="K115" s="48">
        <v>2448</v>
      </c>
      <c r="L115" s="48">
        <v>2449</v>
      </c>
      <c r="N115" s="677" t="s">
        <v>2539</v>
      </c>
      <c r="O115" s="4"/>
      <c r="Q115" s="4"/>
    </row>
    <row r="116" spans="1:17">
      <c r="A116" s="677" t="s">
        <v>7023</v>
      </c>
      <c r="B116" s="677" t="s">
        <v>8693</v>
      </c>
      <c r="C116" s="4" t="s">
        <v>11692</v>
      </c>
      <c r="D116" s="680">
        <v>1946</v>
      </c>
      <c r="E116" s="680">
        <v>1983</v>
      </c>
      <c r="F116" s="680">
        <v>2026</v>
      </c>
      <c r="G116" s="680">
        <v>2032</v>
      </c>
      <c r="H116" s="48">
        <v>1999</v>
      </c>
      <c r="I116" s="48">
        <v>1941</v>
      </c>
      <c r="J116" s="48">
        <v>1972</v>
      </c>
      <c r="K116" s="48">
        <v>2069</v>
      </c>
      <c r="L116" s="48">
        <v>2092</v>
      </c>
      <c r="N116" s="677" t="s">
        <v>2539</v>
      </c>
      <c r="O116" s="4"/>
      <c r="Q116" s="4"/>
    </row>
    <row r="117" spans="1:17">
      <c r="A117" s="677" t="s">
        <v>7025</v>
      </c>
      <c r="B117" s="677" t="s">
        <v>8694</v>
      </c>
      <c r="C117" s="4" t="s">
        <v>11693</v>
      </c>
      <c r="D117" s="680">
        <v>4245</v>
      </c>
      <c r="E117" s="680">
        <v>4220</v>
      </c>
      <c r="F117" s="680">
        <v>4226</v>
      </c>
      <c r="G117" s="680">
        <v>4307</v>
      </c>
      <c r="H117" s="48">
        <v>4330</v>
      </c>
      <c r="I117" s="48">
        <v>4210</v>
      </c>
      <c r="J117" s="48">
        <v>4260</v>
      </c>
      <c r="K117" s="48">
        <v>4439</v>
      </c>
      <c r="L117" s="48">
        <v>4407</v>
      </c>
      <c r="N117" s="677" t="s">
        <v>2539</v>
      </c>
      <c r="O117" s="4"/>
      <c r="Q117" s="4"/>
    </row>
    <row r="118" spans="1:17">
      <c r="A118" s="677" t="s">
        <v>7570</v>
      </c>
      <c r="B118" s="677" t="s">
        <v>6064</v>
      </c>
      <c r="C118" s="4" t="s">
        <v>11694</v>
      </c>
      <c r="D118" s="680">
        <v>4109</v>
      </c>
      <c r="E118" s="680">
        <v>4171</v>
      </c>
      <c r="F118" s="680">
        <v>4195</v>
      </c>
      <c r="G118" s="680">
        <v>4298</v>
      </c>
      <c r="H118" s="48">
        <v>4309</v>
      </c>
      <c r="I118" s="48">
        <v>4240</v>
      </c>
      <c r="J118" s="48">
        <v>4150</v>
      </c>
      <c r="K118" s="48">
        <v>4242</v>
      </c>
      <c r="L118" s="48">
        <v>4248</v>
      </c>
      <c r="N118" s="677" t="s">
        <v>6019</v>
      </c>
      <c r="O118" s="4"/>
      <c r="Q118" s="4"/>
    </row>
    <row r="119" spans="1:17">
      <c r="A119" s="677" t="s">
        <v>7572</v>
      </c>
      <c r="B119" s="677" t="s">
        <v>6065</v>
      </c>
      <c r="C119" s="4" t="s">
        <v>11695</v>
      </c>
      <c r="D119" s="680">
        <v>5580</v>
      </c>
      <c r="E119" s="680">
        <v>5619</v>
      </c>
      <c r="F119" s="680">
        <v>5693</v>
      </c>
      <c r="G119" s="680">
        <v>5737</v>
      </c>
      <c r="H119" s="48">
        <v>5750</v>
      </c>
      <c r="I119" s="48">
        <v>5619</v>
      </c>
      <c r="J119" s="48">
        <v>5617</v>
      </c>
      <c r="K119" s="48">
        <v>5937</v>
      </c>
      <c r="L119" s="48">
        <v>6125</v>
      </c>
      <c r="N119" s="677" t="s">
        <v>6019</v>
      </c>
      <c r="O119" s="4"/>
      <c r="Q119" s="4"/>
    </row>
    <row r="120" spans="1:17">
      <c r="A120" s="677" t="s">
        <v>7573</v>
      </c>
      <c r="B120" s="677" t="s">
        <v>6066</v>
      </c>
      <c r="C120" s="4" t="s">
        <v>11696</v>
      </c>
      <c r="D120" s="680">
        <v>3743</v>
      </c>
      <c r="E120" s="680">
        <v>3970</v>
      </c>
      <c r="F120" s="680">
        <v>3985</v>
      </c>
      <c r="G120" s="680">
        <v>3928</v>
      </c>
      <c r="H120" s="48">
        <v>3875</v>
      </c>
      <c r="I120" s="48">
        <v>3729</v>
      </c>
      <c r="J120" s="48">
        <v>3779</v>
      </c>
      <c r="K120" s="48">
        <v>3900</v>
      </c>
      <c r="L120" s="48">
        <v>3875</v>
      </c>
      <c r="N120" s="677" t="s">
        <v>2539</v>
      </c>
      <c r="O120" s="4"/>
      <c r="Q120" s="4"/>
    </row>
    <row r="121" spans="1:17">
      <c r="A121" s="677" t="s">
        <v>5798</v>
      </c>
      <c r="B121" s="677" t="s">
        <v>6067</v>
      </c>
      <c r="C121" s="4" t="s">
        <v>11697</v>
      </c>
      <c r="D121" s="680">
        <v>3635</v>
      </c>
      <c r="E121" s="680">
        <v>3695</v>
      </c>
      <c r="F121" s="680">
        <v>3732</v>
      </c>
      <c r="G121" s="680">
        <v>3763</v>
      </c>
      <c r="H121" s="48">
        <v>3707</v>
      </c>
      <c r="I121" s="48">
        <v>3632</v>
      </c>
      <c r="J121" s="48">
        <v>3636</v>
      </c>
      <c r="K121" s="48">
        <v>3702</v>
      </c>
      <c r="L121" s="48">
        <v>3643</v>
      </c>
      <c r="N121" s="677" t="s">
        <v>2539</v>
      </c>
      <c r="O121" s="4"/>
      <c r="Q121" s="4"/>
    </row>
    <row r="122" spans="1:17">
      <c r="A122" s="677" t="s">
        <v>5799</v>
      </c>
      <c r="B122" s="677" t="s">
        <v>6068</v>
      </c>
      <c r="C122" s="4" t="s">
        <v>11698</v>
      </c>
      <c r="D122" s="680">
        <v>5697</v>
      </c>
      <c r="E122" s="680">
        <v>5840</v>
      </c>
      <c r="F122" s="680">
        <v>5875</v>
      </c>
      <c r="G122" s="680">
        <v>5773</v>
      </c>
      <c r="H122" s="48">
        <v>5757</v>
      </c>
      <c r="I122" s="48">
        <v>5578</v>
      </c>
      <c r="J122" s="48">
        <v>5635</v>
      </c>
      <c r="K122" s="48">
        <v>5833</v>
      </c>
      <c r="L122" s="48">
        <v>5846</v>
      </c>
      <c r="N122" s="677" t="s">
        <v>6019</v>
      </c>
      <c r="O122" s="4"/>
      <c r="Q122" s="4"/>
    </row>
    <row r="123" spans="1:17">
      <c r="A123" s="677" t="s">
        <v>5801</v>
      </c>
      <c r="B123" s="677" t="s">
        <v>6069</v>
      </c>
      <c r="C123" s="4" t="s">
        <v>11699</v>
      </c>
      <c r="D123" s="680">
        <v>4999</v>
      </c>
      <c r="E123" s="680">
        <v>5078</v>
      </c>
      <c r="F123" s="680">
        <v>5136</v>
      </c>
      <c r="G123" s="680">
        <v>5315</v>
      </c>
      <c r="H123" s="48">
        <v>5287</v>
      </c>
      <c r="I123" s="48">
        <v>5034</v>
      </c>
      <c r="J123" s="48">
        <v>5074</v>
      </c>
      <c r="K123" s="48">
        <v>5320</v>
      </c>
      <c r="L123" s="48">
        <v>5272</v>
      </c>
      <c r="N123" s="677" t="s">
        <v>6019</v>
      </c>
      <c r="O123" s="4"/>
      <c r="Q123" s="4"/>
    </row>
    <row r="124" spans="1:17">
      <c r="A124" s="677" t="s">
        <v>5927</v>
      </c>
      <c r="B124" s="677" t="s">
        <v>6070</v>
      </c>
      <c r="C124" s="4" t="s">
        <v>11700</v>
      </c>
      <c r="D124" s="680">
        <v>3953</v>
      </c>
      <c r="E124" s="680">
        <v>4014</v>
      </c>
      <c r="F124" s="680">
        <v>4060</v>
      </c>
      <c r="G124" s="680">
        <v>3991</v>
      </c>
      <c r="H124" s="48">
        <v>3922</v>
      </c>
      <c r="I124" s="48">
        <v>3789</v>
      </c>
      <c r="J124" s="48">
        <v>3879</v>
      </c>
      <c r="K124" s="48">
        <v>4081</v>
      </c>
      <c r="L124" s="48">
        <v>4121</v>
      </c>
      <c r="N124" s="677" t="s">
        <v>2539</v>
      </c>
      <c r="O124" s="4"/>
      <c r="Q124" s="4"/>
    </row>
    <row r="125" spans="1:17">
      <c r="D125" s="681"/>
      <c r="E125" s="681"/>
      <c r="F125" s="681"/>
      <c r="G125" s="681"/>
      <c r="H125" s="681"/>
      <c r="I125" s="681"/>
      <c r="J125" s="681"/>
      <c r="K125" s="681"/>
      <c r="L125" s="681"/>
    </row>
    <row r="126" spans="1:17">
      <c r="A126" s="677" t="s">
        <v>6071</v>
      </c>
      <c r="D126" s="680">
        <f t="shared" ref="D126:I126" si="117">SUM(D98:D108)+SUM(D111:D113)+SUM(D115:D117)+D120+D121+D124</f>
        <v>58593</v>
      </c>
      <c r="E126" s="680">
        <f t="shared" si="117"/>
        <v>59676</v>
      </c>
      <c r="F126" s="680">
        <f t="shared" si="117"/>
        <v>60221</v>
      </c>
      <c r="G126" s="680">
        <f t="shared" si="117"/>
        <v>60864</v>
      </c>
      <c r="H126" s="680">
        <f t="shared" si="117"/>
        <v>60275</v>
      </c>
      <c r="I126" s="680">
        <f t="shared" si="117"/>
        <v>58413</v>
      </c>
      <c r="J126" s="680">
        <f t="shared" ref="J126:K126" si="118">SUM(J98:J108)+SUM(J111:J113)+SUM(J115:J117)+J120+J121+J124</f>
        <v>59615</v>
      </c>
      <c r="K126" s="680">
        <f t="shared" si="118"/>
        <v>62215</v>
      </c>
      <c r="L126" s="680">
        <f t="shared" ref="L126" si="119">SUM(L98:L108)+SUM(L111:L113)+SUM(L115:L117)+L120+L121+L124</f>
        <v>62305</v>
      </c>
    </row>
    <row r="127" spans="1:17">
      <c r="A127" s="677" t="s">
        <v>6072</v>
      </c>
      <c r="D127" s="680">
        <f t="shared" ref="D127:I127" si="120">D109+D110+D114+D118+D119+D122+D123</f>
        <v>35327</v>
      </c>
      <c r="E127" s="680">
        <f t="shared" si="120"/>
        <v>35717</v>
      </c>
      <c r="F127" s="680">
        <f t="shared" si="120"/>
        <v>36047</v>
      </c>
      <c r="G127" s="680">
        <f t="shared" si="120"/>
        <v>36428</v>
      </c>
      <c r="H127" s="680">
        <f t="shared" si="120"/>
        <v>36284</v>
      </c>
      <c r="I127" s="680">
        <f t="shared" si="120"/>
        <v>35053</v>
      </c>
      <c r="J127" s="680">
        <f t="shared" ref="J127:K127" si="121">J109+J110+J114+J118+J119+J122+J123</f>
        <v>35247</v>
      </c>
      <c r="K127" s="680">
        <f t="shared" si="121"/>
        <v>36459</v>
      </c>
      <c r="L127" s="680">
        <f t="shared" ref="L127" si="122">L109+L110+L114+L118+L119+L122+L123</f>
        <v>36502</v>
      </c>
    </row>
    <row r="128" spans="1:17">
      <c r="A128" s="677"/>
      <c r="D128" s="680"/>
      <c r="E128" s="680"/>
      <c r="F128" s="680"/>
      <c r="G128" s="680"/>
      <c r="H128" s="680"/>
      <c r="I128" s="680"/>
      <c r="J128" s="680"/>
      <c r="K128" s="680"/>
      <c r="L128" s="680"/>
    </row>
    <row r="129" spans="1:17">
      <c r="A129" s="677" t="s">
        <v>6073</v>
      </c>
      <c r="D129" s="680"/>
      <c r="E129" s="680"/>
      <c r="F129" s="680"/>
      <c r="G129" s="680"/>
      <c r="H129" s="680"/>
      <c r="I129" s="680"/>
      <c r="J129" s="680"/>
      <c r="K129" s="680"/>
      <c r="L129" s="680"/>
    </row>
    <row r="130" spans="1:17">
      <c r="A130" s="677"/>
      <c r="B130" s="677"/>
      <c r="D130" s="687"/>
      <c r="E130" s="687"/>
      <c r="F130" s="687"/>
      <c r="G130" s="687"/>
      <c r="H130" s="687"/>
      <c r="I130" s="687"/>
      <c r="J130" s="687"/>
      <c r="K130" s="687"/>
      <c r="L130" s="687"/>
    </row>
    <row r="131" spans="1:17">
      <c r="A131" s="677"/>
      <c r="B131" s="677"/>
      <c r="D131" s="687"/>
      <c r="E131" s="687"/>
      <c r="F131" s="687"/>
      <c r="G131" s="687"/>
      <c r="H131" s="687"/>
      <c r="I131" s="687"/>
      <c r="J131" s="687"/>
      <c r="K131" s="687"/>
      <c r="L131" s="687"/>
    </row>
    <row r="132" spans="1:17">
      <c r="E132" s="42" t="s">
        <v>2303</v>
      </c>
      <c r="F132" s="42"/>
      <c r="G132" s="42"/>
      <c r="H132" s="42"/>
      <c r="I132" s="42"/>
      <c r="J132" s="42"/>
      <c r="K132" s="42"/>
      <c r="L132" s="42"/>
      <c r="M132" s="109"/>
      <c r="N132" s="109" t="s">
        <v>13319</v>
      </c>
    </row>
    <row r="133" spans="1:17">
      <c r="D133" s="679">
        <v>2010</v>
      </c>
      <c r="E133" s="679">
        <v>2011</v>
      </c>
      <c r="F133" s="679">
        <v>2012</v>
      </c>
      <c r="G133" s="679">
        <v>2013</v>
      </c>
      <c r="H133" s="679">
        <v>2014</v>
      </c>
      <c r="I133" s="679">
        <v>2015</v>
      </c>
      <c r="J133" s="679">
        <v>2016</v>
      </c>
      <c r="K133" s="679">
        <v>2017</v>
      </c>
      <c r="L133" s="679">
        <v>2018</v>
      </c>
      <c r="N133" s="112" t="s">
        <v>2304</v>
      </c>
    </row>
    <row r="134" spans="1:17">
      <c r="A134" s="677" t="s">
        <v>6074</v>
      </c>
      <c r="D134" s="680">
        <f t="shared" ref="D134:I134" si="123">SUM(D135:D151)</f>
        <v>70196</v>
      </c>
      <c r="E134" s="680">
        <f t="shared" si="123"/>
        <v>70526</v>
      </c>
      <c r="F134" s="680">
        <f t="shared" si="123"/>
        <v>69872</v>
      </c>
      <c r="G134" s="680">
        <f t="shared" si="123"/>
        <v>69238</v>
      </c>
      <c r="H134" s="680">
        <f t="shared" si="123"/>
        <v>69616</v>
      </c>
      <c r="I134" s="680">
        <f t="shared" si="123"/>
        <v>68756</v>
      </c>
      <c r="J134" s="680">
        <f t="shared" ref="J134:K134" si="124">SUM(J135:J151)</f>
        <v>69691</v>
      </c>
      <c r="K134" s="680">
        <f t="shared" si="124"/>
        <v>70816</v>
      </c>
      <c r="L134" s="680">
        <f t="shared" ref="L134" si="125">SUM(L135:L151)</f>
        <v>69332</v>
      </c>
    </row>
    <row r="135" spans="1:17">
      <c r="A135" s="677" t="s">
        <v>6957</v>
      </c>
      <c r="B135" s="677" t="s">
        <v>6075</v>
      </c>
      <c r="C135" s="4" t="s">
        <v>11701</v>
      </c>
      <c r="D135" s="680">
        <v>5044</v>
      </c>
      <c r="E135" s="680">
        <v>5062</v>
      </c>
      <c r="F135" s="680">
        <v>5079</v>
      </c>
      <c r="G135" s="48">
        <v>5054</v>
      </c>
      <c r="H135" s="48">
        <v>5083</v>
      </c>
      <c r="I135" s="48">
        <v>5066</v>
      </c>
      <c r="J135" s="48">
        <v>5191</v>
      </c>
      <c r="K135" s="48">
        <v>5214</v>
      </c>
      <c r="L135" s="48">
        <v>5130</v>
      </c>
      <c r="N135" s="677" t="s">
        <v>6012</v>
      </c>
      <c r="O135" s="4"/>
      <c r="Q135" s="4"/>
    </row>
    <row r="136" spans="1:17">
      <c r="A136" s="677" t="s">
        <v>6959</v>
      </c>
      <c r="B136" s="677" t="s">
        <v>7868</v>
      </c>
      <c r="C136" s="4" t="s">
        <v>11702</v>
      </c>
      <c r="D136" s="680">
        <v>5105</v>
      </c>
      <c r="E136" s="680">
        <v>5148</v>
      </c>
      <c r="F136" s="680">
        <v>5101</v>
      </c>
      <c r="G136" s="48">
        <v>5120</v>
      </c>
      <c r="H136" s="48">
        <v>5175</v>
      </c>
      <c r="I136" s="48">
        <v>5115</v>
      </c>
      <c r="J136" s="48">
        <v>5242</v>
      </c>
      <c r="K136" s="48">
        <v>5441</v>
      </c>
      <c r="L136" s="48">
        <v>5490</v>
      </c>
      <c r="N136" s="677" t="s">
        <v>6012</v>
      </c>
      <c r="O136" s="4"/>
      <c r="Q136" s="4"/>
    </row>
    <row r="137" spans="1:17">
      <c r="A137" s="677" t="s">
        <v>6961</v>
      </c>
      <c r="B137" s="677" t="s">
        <v>7869</v>
      </c>
      <c r="C137" s="4" t="s">
        <v>11703</v>
      </c>
      <c r="D137" s="680">
        <v>3674</v>
      </c>
      <c r="E137" s="680">
        <v>3659</v>
      </c>
      <c r="F137" s="680">
        <v>3615</v>
      </c>
      <c r="G137" s="48">
        <v>3607</v>
      </c>
      <c r="H137" s="48">
        <v>3620</v>
      </c>
      <c r="I137" s="48">
        <v>3581</v>
      </c>
      <c r="J137" s="48">
        <v>3654</v>
      </c>
      <c r="K137" s="48">
        <v>5037</v>
      </c>
      <c r="L137" s="48">
        <v>3629</v>
      </c>
      <c r="N137" s="677" t="s">
        <v>6012</v>
      </c>
      <c r="Q137" s="4"/>
    </row>
    <row r="138" spans="1:17">
      <c r="A138" s="677" t="s">
        <v>6963</v>
      </c>
      <c r="B138" s="677" t="s">
        <v>7870</v>
      </c>
      <c r="C138" s="4" t="s">
        <v>11704</v>
      </c>
      <c r="D138" s="680">
        <v>3455</v>
      </c>
      <c r="E138" s="680">
        <v>3555</v>
      </c>
      <c r="F138" s="680">
        <v>3604</v>
      </c>
      <c r="G138" s="48">
        <v>3623</v>
      </c>
      <c r="H138" s="48">
        <v>3626</v>
      </c>
      <c r="I138" s="48">
        <v>3628</v>
      </c>
      <c r="J138" s="48">
        <v>3710</v>
      </c>
      <c r="K138" s="48">
        <v>5400</v>
      </c>
      <c r="L138" s="48">
        <v>3697</v>
      </c>
      <c r="N138" s="677" t="s">
        <v>6012</v>
      </c>
      <c r="Q138" s="4"/>
    </row>
    <row r="139" spans="1:17">
      <c r="A139" s="677" t="s">
        <v>6965</v>
      </c>
      <c r="B139" s="677" t="s">
        <v>7871</v>
      </c>
      <c r="C139" s="4" t="s">
        <v>11705</v>
      </c>
      <c r="D139" s="680">
        <v>5321</v>
      </c>
      <c r="E139" s="680">
        <v>5370</v>
      </c>
      <c r="F139" s="680">
        <v>5510</v>
      </c>
      <c r="G139" s="48">
        <v>5313</v>
      </c>
      <c r="H139" s="48">
        <v>5204</v>
      </c>
      <c r="I139" s="48">
        <v>5026</v>
      </c>
      <c r="J139" s="48">
        <v>4967</v>
      </c>
      <c r="K139" s="48">
        <v>3682</v>
      </c>
      <c r="L139" s="48">
        <v>4791</v>
      </c>
      <c r="N139" s="677" t="s">
        <v>6012</v>
      </c>
      <c r="O139" s="4"/>
      <c r="Q139" s="4"/>
    </row>
    <row r="140" spans="1:17">
      <c r="A140" s="677" t="s">
        <v>6997</v>
      </c>
      <c r="B140" s="677" t="s">
        <v>6028</v>
      </c>
      <c r="C140" s="4" t="s">
        <v>11706</v>
      </c>
      <c r="D140" s="680">
        <v>5424</v>
      </c>
      <c r="E140" s="680">
        <v>5472</v>
      </c>
      <c r="F140" s="680">
        <v>5311</v>
      </c>
      <c r="G140" s="48">
        <v>5225</v>
      </c>
      <c r="H140" s="48">
        <v>5361</v>
      </c>
      <c r="I140" s="48">
        <v>5311</v>
      </c>
      <c r="J140" s="48">
        <v>5414</v>
      </c>
      <c r="K140" s="48">
        <v>3756</v>
      </c>
      <c r="L140" s="48">
        <v>5325</v>
      </c>
      <c r="N140" s="677" t="s">
        <v>6012</v>
      </c>
      <c r="O140" s="4"/>
      <c r="Q140" s="4"/>
    </row>
    <row r="141" spans="1:17">
      <c r="A141" s="677" t="s">
        <v>6999</v>
      </c>
      <c r="B141" s="677" t="s">
        <v>6029</v>
      </c>
      <c r="C141" s="4" t="s">
        <v>11707</v>
      </c>
      <c r="D141" s="680">
        <v>3830</v>
      </c>
      <c r="E141" s="680">
        <v>3895</v>
      </c>
      <c r="F141" s="680">
        <v>3896</v>
      </c>
      <c r="G141" s="48">
        <v>3884</v>
      </c>
      <c r="H141" s="48">
        <v>3904</v>
      </c>
      <c r="I141" s="48">
        <v>3884</v>
      </c>
      <c r="J141" s="48">
        <v>3950</v>
      </c>
      <c r="K141" s="48">
        <v>4035</v>
      </c>
      <c r="L141" s="48">
        <v>3974</v>
      </c>
      <c r="N141" s="677" t="s">
        <v>6012</v>
      </c>
      <c r="O141" s="4"/>
      <c r="Q141" s="4"/>
    </row>
    <row r="142" spans="1:17">
      <c r="A142" s="677" t="s">
        <v>7001</v>
      </c>
      <c r="B142" s="677" t="s">
        <v>6030</v>
      </c>
      <c r="C142" s="4" t="s">
        <v>11708</v>
      </c>
      <c r="D142" s="680">
        <v>1868</v>
      </c>
      <c r="E142" s="680">
        <v>1868</v>
      </c>
      <c r="F142" s="680">
        <v>1917</v>
      </c>
      <c r="G142" s="48">
        <v>1913</v>
      </c>
      <c r="H142" s="48">
        <v>2004</v>
      </c>
      <c r="I142" s="48">
        <v>1998</v>
      </c>
      <c r="J142" s="48">
        <v>2042</v>
      </c>
      <c r="K142" s="48">
        <v>2095</v>
      </c>
      <c r="L142" s="48">
        <v>2102</v>
      </c>
      <c r="N142" s="677" t="s">
        <v>6012</v>
      </c>
      <c r="O142" s="4"/>
      <c r="Q142" s="4"/>
    </row>
    <row r="143" spans="1:17">
      <c r="A143" s="677" t="s">
        <v>7003</v>
      </c>
      <c r="B143" s="677" t="s">
        <v>6031</v>
      </c>
      <c r="C143" s="4" t="s">
        <v>11709</v>
      </c>
      <c r="D143" s="680">
        <v>3971</v>
      </c>
      <c r="E143" s="680">
        <v>4071</v>
      </c>
      <c r="F143" s="680">
        <v>3992</v>
      </c>
      <c r="G143" s="48">
        <v>3944</v>
      </c>
      <c r="H143" s="48">
        <v>3877</v>
      </c>
      <c r="I143" s="48">
        <v>3864</v>
      </c>
      <c r="J143" s="48">
        <v>3887</v>
      </c>
      <c r="K143" s="48">
        <v>3985</v>
      </c>
      <c r="L143" s="48">
        <v>3922</v>
      </c>
      <c r="N143" s="677" t="s">
        <v>6012</v>
      </c>
      <c r="O143" s="4"/>
      <c r="Q143" s="4"/>
    </row>
    <row r="144" spans="1:17">
      <c r="A144" s="677" t="s">
        <v>7005</v>
      </c>
      <c r="B144" s="677" t="s">
        <v>6032</v>
      </c>
      <c r="C144" s="4" t="s">
        <v>11710</v>
      </c>
      <c r="D144" s="680">
        <v>4275</v>
      </c>
      <c r="E144" s="680">
        <v>4331</v>
      </c>
      <c r="F144" s="680">
        <v>4312</v>
      </c>
      <c r="G144" s="48">
        <v>4222</v>
      </c>
      <c r="H144" s="48">
        <v>4225</v>
      </c>
      <c r="I144" s="48">
        <v>4178</v>
      </c>
      <c r="J144" s="48">
        <v>4262</v>
      </c>
      <c r="K144" s="48">
        <v>4369</v>
      </c>
      <c r="L144" s="48">
        <v>4332</v>
      </c>
      <c r="N144" s="677" t="s">
        <v>6012</v>
      </c>
      <c r="O144" s="4"/>
      <c r="Q144" s="4"/>
    </row>
    <row r="145" spans="1:17">
      <c r="A145" s="677" t="s">
        <v>7007</v>
      </c>
      <c r="B145" s="677" t="s">
        <v>6033</v>
      </c>
      <c r="C145" s="4" t="s">
        <v>11711</v>
      </c>
      <c r="D145" s="680">
        <v>5173</v>
      </c>
      <c r="E145" s="680">
        <v>5228</v>
      </c>
      <c r="F145" s="680">
        <v>5096</v>
      </c>
      <c r="G145" s="48">
        <v>5057</v>
      </c>
      <c r="H145" s="48">
        <v>5101</v>
      </c>
      <c r="I145" s="48">
        <v>5032</v>
      </c>
      <c r="J145" s="48">
        <v>5130</v>
      </c>
      <c r="K145" s="48">
        <v>5157</v>
      </c>
      <c r="L145" s="48">
        <v>4999</v>
      </c>
      <c r="N145" s="677" t="s">
        <v>6012</v>
      </c>
      <c r="O145" s="4"/>
      <c r="Q145" s="4"/>
    </row>
    <row r="146" spans="1:17">
      <c r="A146" s="677" t="s">
        <v>7009</v>
      </c>
      <c r="B146" s="677" t="s">
        <v>6034</v>
      </c>
      <c r="C146" s="4" t="s">
        <v>11712</v>
      </c>
      <c r="D146" s="680">
        <v>5245</v>
      </c>
      <c r="E146" s="680">
        <v>4971</v>
      </c>
      <c r="F146" s="680">
        <v>4900</v>
      </c>
      <c r="G146" s="48">
        <v>4859</v>
      </c>
      <c r="H146" s="48">
        <v>4857</v>
      </c>
      <c r="I146" s="48">
        <v>4766</v>
      </c>
      <c r="J146" s="48">
        <v>4616</v>
      </c>
      <c r="K146" s="48">
        <v>4636</v>
      </c>
      <c r="L146" s="48">
        <v>4415</v>
      </c>
      <c r="N146" s="677" t="s">
        <v>6012</v>
      </c>
      <c r="O146" s="4"/>
      <c r="Q146" s="4"/>
    </row>
    <row r="147" spans="1:17">
      <c r="A147" s="677" t="s">
        <v>7011</v>
      </c>
      <c r="B147" s="677" t="s">
        <v>6035</v>
      </c>
      <c r="C147" s="4" t="s">
        <v>11713</v>
      </c>
      <c r="D147" s="680">
        <v>3432</v>
      </c>
      <c r="E147" s="680">
        <v>3505</v>
      </c>
      <c r="F147" s="680">
        <v>3451</v>
      </c>
      <c r="G147" s="48">
        <v>3429</v>
      </c>
      <c r="H147" s="48">
        <v>3512</v>
      </c>
      <c r="I147" s="48">
        <v>3487</v>
      </c>
      <c r="J147" s="48">
        <v>3541</v>
      </c>
      <c r="K147" s="48">
        <v>3593</v>
      </c>
      <c r="L147" s="48">
        <v>3502</v>
      </c>
      <c r="N147" s="677" t="s">
        <v>6012</v>
      </c>
      <c r="O147" s="4"/>
      <c r="Q147" s="4"/>
    </row>
    <row r="148" spans="1:17">
      <c r="A148" s="677" t="s">
        <v>7013</v>
      </c>
      <c r="B148" s="677" t="s">
        <v>6139</v>
      </c>
      <c r="C148" s="4" t="s">
        <v>11714</v>
      </c>
      <c r="D148" s="680">
        <v>3419</v>
      </c>
      <c r="E148" s="680">
        <v>3425</v>
      </c>
      <c r="F148" s="680">
        <v>3265</v>
      </c>
      <c r="G148" s="48">
        <v>3233</v>
      </c>
      <c r="H148" s="48">
        <v>3253</v>
      </c>
      <c r="I148" s="48">
        <v>3214</v>
      </c>
      <c r="J148" s="48">
        <v>3316</v>
      </c>
      <c r="K148" s="48">
        <v>3464</v>
      </c>
      <c r="L148" s="48">
        <v>3365</v>
      </c>
      <c r="N148" s="677" t="s">
        <v>6012</v>
      </c>
      <c r="O148" s="4"/>
      <c r="Q148" s="4"/>
    </row>
    <row r="149" spans="1:17">
      <c r="A149" s="677" t="s">
        <v>7015</v>
      </c>
      <c r="B149" s="677" t="s">
        <v>6036</v>
      </c>
      <c r="C149" s="4" t="s">
        <v>11715</v>
      </c>
      <c r="D149" s="680">
        <v>3563</v>
      </c>
      <c r="E149" s="680">
        <v>3489</v>
      </c>
      <c r="F149" s="680">
        <v>3421</v>
      </c>
      <c r="G149" s="48">
        <v>3440</v>
      </c>
      <c r="H149" s="48">
        <v>3359</v>
      </c>
      <c r="I149" s="48">
        <v>3291</v>
      </c>
      <c r="J149" s="48">
        <v>3256</v>
      </c>
      <c r="K149" s="48">
        <v>3337</v>
      </c>
      <c r="L149" s="48">
        <v>3197</v>
      </c>
      <c r="N149" s="677" t="s">
        <v>6012</v>
      </c>
      <c r="O149" s="4"/>
      <c r="Q149" s="4"/>
    </row>
    <row r="150" spans="1:17">
      <c r="A150" s="677" t="s">
        <v>7017</v>
      </c>
      <c r="B150" s="677" t="s">
        <v>6037</v>
      </c>
      <c r="C150" s="4" t="s">
        <v>11716</v>
      </c>
      <c r="D150" s="680">
        <v>3941</v>
      </c>
      <c r="E150" s="680">
        <v>4002</v>
      </c>
      <c r="F150" s="680">
        <v>4006</v>
      </c>
      <c r="G150" s="48">
        <v>3924</v>
      </c>
      <c r="H150" s="48">
        <v>3942</v>
      </c>
      <c r="I150" s="48">
        <v>3882</v>
      </c>
      <c r="J150" s="48">
        <v>4032</v>
      </c>
      <c r="K150" s="48">
        <v>4126</v>
      </c>
      <c r="L150" s="48">
        <v>4083</v>
      </c>
      <c r="N150" s="677" t="s">
        <v>6012</v>
      </c>
      <c r="O150" s="4"/>
      <c r="Q150" s="4"/>
    </row>
    <row r="151" spans="1:17">
      <c r="A151" s="677" t="s">
        <v>7019</v>
      </c>
      <c r="B151" s="677" t="s">
        <v>6038</v>
      </c>
      <c r="C151" s="4" t="s">
        <v>11717</v>
      </c>
      <c r="D151" s="680">
        <v>3456</v>
      </c>
      <c r="E151" s="680">
        <v>3475</v>
      </c>
      <c r="F151" s="680">
        <v>3396</v>
      </c>
      <c r="G151" s="48">
        <v>3391</v>
      </c>
      <c r="H151" s="48">
        <v>3513</v>
      </c>
      <c r="I151" s="48">
        <v>3433</v>
      </c>
      <c r="J151" s="48">
        <v>3481</v>
      </c>
      <c r="K151" s="48">
        <v>3489</v>
      </c>
      <c r="L151" s="48">
        <v>3379</v>
      </c>
      <c r="N151" s="677" t="s">
        <v>6012</v>
      </c>
      <c r="O151" s="4"/>
      <c r="Q151" s="4"/>
    </row>
    <row r="152" spans="1:17">
      <c r="D152" s="681"/>
      <c r="E152" s="681"/>
      <c r="F152" s="681"/>
      <c r="G152" s="681"/>
      <c r="H152" s="681"/>
      <c r="I152" s="681"/>
      <c r="J152" s="681"/>
      <c r="K152" s="681"/>
      <c r="L152" s="681"/>
    </row>
    <row r="153" spans="1:17">
      <c r="A153" s="677" t="s">
        <v>6012</v>
      </c>
      <c r="D153" s="680">
        <f t="shared" ref="D153:I153" si="126">SUM(D135:D151)</f>
        <v>70196</v>
      </c>
      <c r="E153" s="680">
        <f t="shared" si="126"/>
        <v>70526</v>
      </c>
      <c r="F153" s="680">
        <f t="shared" si="126"/>
        <v>69872</v>
      </c>
      <c r="G153" s="680">
        <f t="shared" si="126"/>
        <v>69238</v>
      </c>
      <c r="H153" s="680">
        <f t="shared" si="126"/>
        <v>69616</v>
      </c>
      <c r="I153" s="680">
        <f t="shared" si="126"/>
        <v>68756</v>
      </c>
      <c r="J153" s="680">
        <f t="shared" ref="J153:K153" si="127">SUM(J135:J151)</f>
        <v>69691</v>
      </c>
      <c r="K153" s="680">
        <f t="shared" si="127"/>
        <v>70816</v>
      </c>
      <c r="L153" s="680">
        <f t="shared" ref="L153" si="128">SUM(L135:L151)</f>
        <v>69332</v>
      </c>
    </row>
    <row r="154" spans="1:17">
      <c r="A154" s="677"/>
      <c r="D154" s="680"/>
      <c r="E154" s="680"/>
      <c r="F154" s="680"/>
      <c r="G154" s="680"/>
      <c r="H154" s="680"/>
      <c r="I154" s="680"/>
      <c r="J154" s="680"/>
      <c r="K154" s="680"/>
      <c r="L154" s="680"/>
    </row>
    <row r="155" spans="1:17">
      <c r="A155" s="677" t="s">
        <v>6063</v>
      </c>
      <c r="D155" s="680"/>
      <c r="E155" s="680"/>
      <c r="F155" s="680"/>
      <c r="G155" s="680"/>
      <c r="H155" s="680"/>
      <c r="I155" s="680"/>
      <c r="J155" s="680"/>
      <c r="K155" s="680"/>
      <c r="L155" s="680"/>
    </row>
    <row r="156" spans="1:17">
      <c r="A156" s="677"/>
      <c r="B156" s="677"/>
      <c r="D156" s="687"/>
      <c r="E156" s="687"/>
      <c r="F156" s="687"/>
      <c r="G156" s="687"/>
      <c r="H156" s="687"/>
      <c r="I156" s="687"/>
      <c r="J156" s="687"/>
      <c r="K156" s="687"/>
      <c r="L156" s="687"/>
    </row>
    <row r="157" spans="1:17">
      <c r="A157" s="677"/>
      <c r="B157" s="677"/>
      <c r="D157" s="687"/>
      <c r="E157" s="687"/>
      <c r="F157" s="687"/>
      <c r="G157" s="687"/>
      <c r="H157" s="687"/>
      <c r="I157" s="687"/>
      <c r="J157" s="687"/>
      <c r="K157" s="687"/>
      <c r="L157" s="687"/>
    </row>
    <row r="158" spans="1:17">
      <c r="E158" s="42" t="s">
        <v>2303</v>
      </c>
      <c r="F158" s="42"/>
      <c r="G158" s="42"/>
      <c r="H158" s="42"/>
      <c r="I158" s="42"/>
      <c r="J158" s="42"/>
      <c r="K158" s="42"/>
      <c r="L158" s="42"/>
      <c r="M158" s="109"/>
      <c r="N158" s="109" t="s">
        <v>13319</v>
      </c>
    </row>
    <row r="159" spans="1:17">
      <c r="D159" s="679">
        <v>2010</v>
      </c>
      <c r="E159" s="679">
        <v>2011</v>
      </c>
      <c r="F159" s="679">
        <v>2012</v>
      </c>
      <c r="G159" s="679">
        <v>2013</v>
      </c>
      <c r="H159" s="679">
        <v>2014</v>
      </c>
      <c r="I159" s="679">
        <v>2015</v>
      </c>
      <c r="J159" s="679">
        <v>2016</v>
      </c>
      <c r="K159" s="679">
        <v>2017</v>
      </c>
      <c r="L159" s="679">
        <v>2018</v>
      </c>
      <c r="N159" s="112" t="s">
        <v>2304</v>
      </c>
    </row>
    <row r="160" spans="1:17">
      <c r="A160" s="677" t="s">
        <v>6047</v>
      </c>
      <c r="D160" s="680">
        <f t="shared" ref="D160:I160" si="129">SUM(D161:D202)</f>
        <v>112712</v>
      </c>
      <c r="E160" s="680">
        <f t="shared" si="129"/>
        <v>113156</v>
      </c>
      <c r="F160" s="680">
        <f t="shared" si="129"/>
        <v>113756</v>
      </c>
      <c r="G160" s="680">
        <f t="shared" si="129"/>
        <v>114603</v>
      </c>
      <c r="H160" s="680">
        <f t="shared" si="129"/>
        <v>112488</v>
      </c>
      <c r="I160" s="680">
        <f t="shared" si="129"/>
        <v>110585</v>
      </c>
      <c r="J160" s="680">
        <f t="shared" ref="J160:K160" si="130">SUM(J161:J202)</f>
        <v>110945</v>
      </c>
      <c r="K160" s="680">
        <f t="shared" si="130"/>
        <v>111441</v>
      </c>
      <c r="L160" s="680">
        <f t="shared" ref="L160" si="131">SUM(L161:L202)</f>
        <v>112209</v>
      </c>
    </row>
    <row r="161" spans="1:17">
      <c r="A161" s="677" t="s">
        <v>6957</v>
      </c>
      <c r="B161" s="677" t="s">
        <v>6048</v>
      </c>
      <c r="C161" s="4" t="s">
        <v>11718</v>
      </c>
      <c r="D161" s="680">
        <v>3362</v>
      </c>
      <c r="E161" s="680">
        <v>3489</v>
      </c>
      <c r="F161" s="680">
        <v>3609</v>
      </c>
      <c r="G161" s="31">
        <v>3673</v>
      </c>
      <c r="H161" s="31">
        <v>3569</v>
      </c>
      <c r="I161" s="31">
        <v>3428</v>
      </c>
      <c r="J161" s="31">
        <v>3570</v>
      </c>
      <c r="K161" s="31">
        <v>3532</v>
      </c>
      <c r="L161" s="31">
        <v>3460</v>
      </c>
      <c r="N161" s="677" t="s">
        <v>7849</v>
      </c>
      <c r="O161" s="4"/>
      <c r="Q161" s="4"/>
    </row>
    <row r="162" spans="1:17">
      <c r="A162" s="677" t="s">
        <v>6959</v>
      </c>
      <c r="B162" s="677" t="s">
        <v>6049</v>
      </c>
      <c r="C162" s="4" t="s">
        <v>11719</v>
      </c>
      <c r="D162" s="680">
        <v>1575</v>
      </c>
      <c r="E162" s="680">
        <v>1526</v>
      </c>
      <c r="F162" s="680">
        <v>1470</v>
      </c>
      <c r="G162" s="30">
        <v>1424</v>
      </c>
      <c r="H162" s="30">
        <v>1340</v>
      </c>
      <c r="I162" s="30">
        <v>1309</v>
      </c>
      <c r="J162" s="30">
        <v>1279</v>
      </c>
      <c r="K162" s="30">
        <v>1263</v>
      </c>
      <c r="L162" s="30">
        <v>1275</v>
      </c>
      <c r="N162" s="677" t="s">
        <v>6017</v>
      </c>
      <c r="O162" s="4"/>
      <c r="Q162" s="4"/>
    </row>
    <row r="163" spans="1:17">
      <c r="A163" s="677" t="s">
        <v>6961</v>
      </c>
      <c r="B163" s="677" t="s">
        <v>6050</v>
      </c>
      <c r="C163" s="4" t="s">
        <v>11720</v>
      </c>
      <c r="D163" s="680">
        <v>1625</v>
      </c>
      <c r="E163" s="680">
        <v>1600</v>
      </c>
      <c r="F163" s="680">
        <v>1542</v>
      </c>
      <c r="G163" s="30">
        <v>1511</v>
      </c>
      <c r="H163" s="30">
        <v>1432</v>
      </c>
      <c r="I163" s="30">
        <v>1427</v>
      </c>
      <c r="J163" s="30">
        <v>1435</v>
      </c>
      <c r="K163" s="30">
        <v>1393</v>
      </c>
      <c r="L163" s="30">
        <v>1419</v>
      </c>
      <c r="N163" s="677" t="s">
        <v>6017</v>
      </c>
      <c r="O163" s="4"/>
      <c r="Q163" s="4"/>
    </row>
    <row r="164" spans="1:17">
      <c r="A164" s="677" t="s">
        <v>6963</v>
      </c>
      <c r="B164" s="677" t="s">
        <v>6051</v>
      </c>
      <c r="C164" s="4" t="s">
        <v>11721</v>
      </c>
      <c r="D164" s="680">
        <v>1787</v>
      </c>
      <c r="E164" s="680">
        <v>1792</v>
      </c>
      <c r="F164" s="680">
        <v>1824</v>
      </c>
      <c r="G164" s="30">
        <v>1802</v>
      </c>
      <c r="H164" s="30">
        <v>1806</v>
      </c>
      <c r="I164" s="30">
        <v>1783</v>
      </c>
      <c r="J164" s="30">
        <v>1791</v>
      </c>
      <c r="K164" s="30">
        <v>1793</v>
      </c>
      <c r="L164" s="30">
        <v>1790</v>
      </c>
      <c r="N164" s="677" t="s">
        <v>6017</v>
      </c>
      <c r="O164" s="4"/>
      <c r="Q164" s="4"/>
    </row>
    <row r="165" spans="1:17">
      <c r="A165" s="677" t="s">
        <v>6965</v>
      </c>
      <c r="B165" s="677" t="s">
        <v>6052</v>
      </c>
      <c r="C165" s="4" t="s">
        <v>11722</v>
      </c>
      <c r="D165" s="680">
        <v>5387</v>
      </c>
      <c r="E165" s="680">
        <v>5476</v>
      </c>
      <c r="F165" s="680">
        <v>5495</v>
      </c>
      <c r="G165" s="31">
        <v>5577</v>
      </c>
      <c r="H165" s="31">
        <v>5501</v>
      </c>
      <c r="I165" s="31">
        <v>5433</v>
      </c>
      <c r="J165" s="31">
        <v>5513</v>
      </c>
      <c r="K165" s="31">
        <v>5565</v>
      </c>
      <c r="L165" s="31">
        <v>5657</v>
      </c>
      <c r="N165" s="677" t="s">
        <v>7849</v>
      </c>
      <c r="O165" s="4"/>
      <c r="Q165" s="4"/>
    </row>
    <row r="166" spans="1:17">
      <c r="A166" s="677" t="s">
        <v>6997</v>
      </c>
      <c r="B166" s="677" t="s">
        <v>6053</v>
      </c>
      <c r="C166" s="4" t="s">
        <v>11723</v>
      </c>
      <c r="D166" s="680">
        <v>3918</v>
      </c>
      <c r="E166" s="680">
        <v>3920</v>
      </c>
      <c r="F166" s="680">
        <v>3918</v>
      </c>
      <c r="G166" s="30">
        <v>3967</v>
      </c>
      <c r="H166" s="30">
        <v>3962</v>
      </c>
      <c r="I166" s="30">
        <v>3917</v>
      </c>
      <c r="J166" s="30">
        <v>3979</v>
      </c>
      <c r="K166" s="30">
        <v>3981</v>
      </c>
      <c r="L166" s="30">
        <v>3983</v>
      </c>
      <c r="N166" s="677" t="s">
        <v>6017</v>
      </c>
      <c r="O166" s="4"/>
      <c r="Q166" s="4"/>
    </row>
    <row r="167" spans="1:17">
      <c r="A167" s="677" t="s">
        <v>6999</v>
      </c>
      <c r="B167" s="677" t="s">
        <v>6054</v>
      </c>
      <c r="C167" s="4" t="s">
        <v>11724</v>
      </c>
      <c r="D167" s="680">
        <v>1675</v>
      </c>
      <c r="E167" s="680">
        <v>1672</v>
      </c>
      <c r="F167" s="680">
        <v>1646</v>
      </c>
      <c r="G167" s="30">
        <v>1586</v>
      </c>
      <c r="H167" s="30">
        <v>1558</v>
      </c>
      <c r="I167" s="30">
        <v>1530</v>
      </c>
      <c r="J167" s="30">
        <v>1515</v>
      </c>
      <c r="K167" s="30">
        <v>1491</v>
      </c>
      <c r="L167" s="30">
        <v>1471</v>
      </c>
      <c r="N167" s="677" t="s">
        <v>6017</v>
      </c>
      <c r="O167" s="4"/>
      <c r="Q167" s="4"/>
    </row>
    <row r="168" spans="1:17">
      <c r="A168" s="677" t="s">
        <v>7001</v>
      </c>
      <c r="B168" s="677" t="s">
        <v>6055</v>
      </c>
      <c r="C168" s="4" t="s">
        <v>11725</v>
      </c>
      <c r="D168" s="680">
        <v>1835</v>
      </c>
      <c r="E168" s="680">
        <v>1874</v>
      </c>
      <c r="F168" s="680">
        <v>1959</v>
      </c>
      <c r="G168" s="31">
        <v>2009</v>
      </c>
      <c r="H168" s="31">
        <v>2019</v>
      </c>
      <c r="I168" s="31">
        <v>1984</v>
      </c>
      <c r="J168" s="31">
        <v>2040</v>
      </c>
      <c r="K168" s="31">
        <v>2090</v>
      </c>
      <c r="L168" s="31">
        <v>2118</v>
      </c>
      <c r="N168" s="677" t="s">
        <v>7849</v>
      </c>
      <c r="O168" s="4"/>
      <c r="Q168" s="4"/>
    </row>
    <row r="169" spans="1:17">
      <c r="A169" s="677" t="s">
        <v>7003</v>
      </c>
      <c r="B169" s="677" t="s">
        <v>6056</v>
      </c>
      <c r="C169" s="4" t="s">
        <v>11726</v>
      </c>
      <c r="D169" s="680">
        <v>2134</v>
      </c>
      <c r="E169" s="680">
        <v>2202</v>
      </c>
      <c r="F169" s="680">
        <v>2253</v>
      </c>
      <c r="G169" s="31">
        <v>2258</v>
      </c>
      <c r="H169" s="31">
        <v>2231</v>
      </c>
      <c r="I169" s="31">
        <v>2178</v>
      </c>
      <c r="J169" s="31">
        <v>2208</v>
      </c>
      <c r="K169" s="31">
        <v>2209</v>
      </c>
      <c r="L169" s="31">
        <v>2213</v>
      </c>
      <c r="N169" s="677" t="s">
        <v>7849</v>
      </c>
      <c r="O169" s="4"/>
      <c r="Q169" s="4"/>
    </row>
    <row r="170" spans="1:17">
      <c r="A170" s="677" t="s">
        <v>7005</v>
      </c>
      <c r="B170" s="677" t="s">
        <v>6057</v>
      </c>
      <c r="C170" s="4" t="s">
        <v>11727</v>
      </c>
      <c r="D170" s="680">
        <v>3729</v>
      </c>
      <c r="E170" s="680">
        <v>3754</v>
      </c>
      <c r="F170" s="680">
        <v>3786</v>
      </c>
      <c r="G170" s="31">
        <v>3806</v>
      </c>
      <c r="H170" s="31">
        <v>3794</v>
      </c>
      <c r="I170" s="31">
        <v>3739</v>
      </c>
      <c r="J170" s="31">
        <v>3744</v>
      </c>
      <c r="K170" s="31">
        <v>3772</v>
      </c>
      <c r="L170" s="31">
        <v>3854</v>
      </c>
      <c r="N170" s="677" t="s">
        <v>7849</v>
      </c>
      <c r="O170" s="4"/>
      <c r="Q170" s="4"/>
    </row>
    <row r="171" spans="1:17">
      <c r="A171" s="677" t="s">
        <v>7007</v>
      </c>
      <c r="B171" s="677" t="s">
        <v>6085</v>
      </c>
      <c r="C171" s="4" t="s">
        <v>11728</v>
      </c>
      <c r="D171" s="680">
        <v>3826</v>
      </c>
      <c r="E171" s="680">
        <v>3890</v>
      </c>
      <c r="F171" s="680">
        <v>3941</v>
      </c>
      <c r="G171" s="30">
        <v>4004</v>
      </c>
      <c r="H171" s="30">
        <v>3851</v>
      </c>
      <c r="I171" s="30">
        <v>3757</v>
      </c>
      <c r="J171" s="30">
        <v>3643</v>
      </c>
      <c r="K171" s="30">
        <v>3654</v>
      </c>
      <c r="L171" s="30">
        <v>3722</v>
      </c>
      <c r="N171" s="677" t="s">
        <v>6017</v>
      </c>
      <c r="O171" s="4"/>
      <c r="Q171" s="4"/>
    </row>
    <row r="172" spans="1:17">
      <c r="A172" s="677" t="s">
        <v>7009</v>
      </c>
      <c r="B172" s="677" t="s">
        <v>6086</v>
      </c>
      <c r="C172" s="4" t="s">
        <v>11729</v>
      </c>
      <c r="D172" s="680">
        <v>1848</v>
      </c>
      <c r="E172" s="680">
        <v>1826</v>
      </c>
      <c r="F172" s="680">
        <v>1849</v>
      </c>
      <c r="G172" s="30">
        <v>1877</v>
      </c>
      <c r="H172" s="30">
        <v>1873</v>
      </c>
      <c r="I172" s="30">
        <v>1850</v>
      </c>
      <c r="J172" s="30">
        <v>1869</v>
      </c>
      <c r="K172" s="30">
        <v>1855</v>
      </c>
      <c r="L172" s="30">
        <v>1881</v>
      </c>
      <c r="N172" s="677" t="s">
        <v>6017</v>
      </c>
      <c r="O172" s="4"/>
      <c r="Q172" s="4"/>
    </row>
    <row r="173" spans="1:17">
      <c r="A173" s="677" t="s">
        <v>7011</v>
      </c>
      <c r="B173" s="677" t="s">
        <v>6087</v>
      </c>
      <c r="C173" s="4" t="s">
        <v>11730</v>
      </c>
      <c r="D173" s="680">
        <v>3528</v>
      </c>
      <c r="E173" s="680">
        <v>3539</v>
      </c>
      <c r="F173" s="680">
        <v>3572</v>
      </c>
      <c r="G173" s="30">
        <v>3567</v>
      </c>
      <c r="H173" s="30">
        <v>3383</v>
      </c>
      <c r="I173" s="30">
        <v>3268</v>
      </c>
      <c r="J173" s="30">
        <v>3168</v>
      </c>
      <c r="K173" s="30">
        <v>3201</v>
      </c>
      <c r="L173" s="30">
        <v>3172</v>
      </c>
      <c r="N173" s="677" t="s">
        <v>6017</v>
      </c>
      <c r="O173" s="4"/>
      <c r="Q173" s="4"/>
    </row>
    <row r="174" spans="1:17">
      <c r="A174" s="677" t="s">
        <v>7013</v>
      </c>
      <c r="B174" s="677" t="s">
        <v>6088</v>
      </c>
      <c r="C174" s="4" t="s">
        <v>14105</v>
      </c>
      <c r="D174" s="680">
        <v>5912</v>
      </c>
      <c r="E174" s="680">
        <v>5940</v>
      </c>
      <c r="F174" s="680">
        <v>5911</v>
      </c>
      <c r="G174" s="30">
        <v>5950</v>
      </c>
      <c r="H174" s="30">
        <v>5807</v>
      </c>
      <c r="I174" s="30">
        <v>5629</v>
      </c>
      <c r="J174" s="30">
        <v>5591</v>
      </c>
      <c r="K174" s="30">
        <v>5644</v>
      </c>
      <c r="L174" s="30">
        <v>5643</v>
      </c>
      <c r="N174" s="677" t="s">
        <v>6017</v>
      </c>
      <c r="O174" s="4"/>
      <c r="Q174" s="4"/>
    </row>
    <row r="175" spans="1:17">
      <c r="A175" s="677" t="s">
        <v>7015</v>
      </c>
      <c r="B175" s="677" t="s">
        <v>6089</v>
      </c>
      <c r="C175" s="4" t="s">
        <v>11731</v>
      </c>
      <c r="D175" s="680">
        <v>1925</v>
      </c>
      <c r="E175" s="680">
        <v>1935</v>
      </c>
      <c r="F175" s="680">
        <v>1969</v>
      </c>
      <c r="G175" s="30">
        <v>1989</v>
      </c>
      <c r="H175" s="30">
        <v>1951</v>
      </c>
      <c r="I175" s="30">
        <v>1918</v>
      </c>
      <c r="J175" s="30">
        <v>1900</v>
      </c>
      <c r="K175" s="30">
        <v>1913</v>
      </c>
      <c r="L175" s="30">
        <v>1925</v>
      </c>
      <c r="N175" s="677" t="s">
        <v>6017</v>
      </c>
      <c r="O175" s="4"/>
      <c r="Q175" s="4"/>
    </row>
    <row r="176" spans="1:17">
      <c r="A176" s="677" t="s">
        <v>7017</v>
      </c>
      <c r="B176" s="677" t="s">
        <v>6090</v>
      </c>
      <c r="C176" s="4" t="s">
        <v>11732</v>
      </c>
      <c r="D176" s="680">
        <v>4036</v>
      </c>
      <c r="E176" s="680">
        <v>4059</v>
      </c>
      <c r="F176" s="680">
        <v>4100</v>
      </c>
      <c r="G176" s="30">
        <v>4115</v>
      </c>
      <c r="H176" s="30">
        <v>4008</v>
      </c>
      <c r="I176" s="30">
        <v>3961</v>
      </c>
      <c r="J176" s="30">
        <v>3944</v>
      </c>
      <c r="K176" s="30">
        <v>4008</v>
      </c>
      <c r="L176" s="30">
        <v>3997</v>
      </c>
      <c r="N176" s="677" t="s">
        <v>6017</v>
      </c>
      <c r="O176" s="4"/>
      <c r="Q176" s="4"/>
    </row>
    <row r="177" spans="1:17">
      <c r="A177" s="677" t="s">
        <v>7019</v>
      </c>
      <c r="B177" s="677" t="s">
        <v>6091</v>
      </c>
      <c r="C177" s="4" t="s">
        <v>11733</v>
      </c>
      <c r="D177" s="680">
        <v>1942</v>
      </c>
      <c r="E177" s="680">
        <v>1938</v>
      </c>
      <c r="F177" s="680">
        <v>1991</v>
      </c>
      <c r="G177" s="31">
        <v>2014</v>
      </c>
      <c r="H177" s="31">
        <v>1940</v>
      </c>
      <c r="I177" s="31">
        <v>1918</v>
      </c>
      <c r="J177" s="31">
        <v>1901</v>
      </c>
      <c r="K177" s="31">
        <v>1903</v>
      </c>
      <c r="L177" s="31">
        <v>1918</v>
      </c>
      <c r="N177" s="677" t="s">
        <v>7849</v>
      </c>
      <c r="O177" s="4"/>
      <c r="Q177" s="4"/>
    </row>
    <row r="178" spans="1:17">
      <c r="A178" s="677" t="s">
        <v>7021</v>
      </c>
      <c r="B178" s="677" t="s">
        <v>6092</v>
      </c>
      <c r="C178" s="4" t="s">
        <v>11734</v>
      </c>
      <c r="D178" s="680">
        <v>4807</v>
      </c>
      <c r="E178" s="680">
        <v>4687</v>
      </c>
      <c r="F178" s="680">
        <v>4701</v>
      </c>
      <c r="G178" s="30">
        <v>4632</v>
      </c>
      <c r="H178" s="30">
        <v>4502</v>
      </c>
      <c r="I178" s="30">
        <v>4430</v>
      </c>
      <c r="J178" s="30">
        <v>4474</v>
      </c>
      <c r="K178" s="30">
        <v>4412</v>
      </c>
      <c r="L178" s="30">
        <v>4460</v>
      </c>
      <c r="N178" s="677" t="s">
        <v>6017</v>
      </c>
      <c r="O178" s="4"/>
      <c r="Q178" s="4"/>
    </row>
    <row r="179" spans="1:17">
      <c r="A179" s="677" t="s">
        <v>7023</v>
      </c>
      <c r="B179" s="677" t="s">
        <v>6093</v>
      </c>
      <c r="C179" s="4" t="s">
        <v>11735</v>
      </c>
      <c r="D179" s="680">
        <v>2017</v>
      </c>
      <c r="E179" s="680">
        <v>2025</v>
      </c>
      <c r="F179" s="680">
        <v>2009</v>
      </c>
      <c r="G179" s="31">
        <v>2041</v>
      </c>
      <c r="H179" s="31">
        <v>2006</v>
      </c>
      <c r="I179" s="31">
        <v>1989</v>
      </c>
      <c r="J179" s="31">
        <v>1993</v>
      </c>
      <c r="K179" s="31">
        <v>2014</v>
      </c>
      <c r="L179" s="31">
        <v>2004</v>
      </c>
      <c r="N179" s="677" t="s">
        <v>7849</v>
      </c>
      <c r="O179" s="4"/>
      <c r="Q179" s="4"/>
    </row>
    <row r="180" spans="1:17">
      <c r="A180" s="677" t="s">
        <v>7025</v>
      </c>
      <c r="B180" s="677" t="s">
        <v>6094</v>
      </c>
      <c r="C180" s="4" t="s">
        <v>11736</v>
      </c>
      <c r="D180" s="680">
        <v>1619</v>
      </c>
      <c r="E180" s="680">
        <v>1686</v>
      </c>
      <c r="F180" s="680">
        <v>1736</v>
      </c>
      <c r="G180" s="31">
        <v>1763</v>
      </c>
      <c r="H180" s="31">
        <v>1797</v>
      </c>
      <c r="I180" s="31">
        <v>1758</v>
      </c>
      <c r="J180" s="31">
        <v>1843</v>
      </c>
      <c r="K180" s="31">
        <v>1877</v>
      </c>
      <c r="L180" s="31">
        <v>1879</v>
      </c>
      <c r="N180" s="677" t="s">
        <v>7849</v>
      </c>
      <c r="O180" s="4"/>
      <c r="Q180" s="4"/>
    </row>
    <row r="181" spans="1:17">
      <c r="A181" s="677" t="s">
        <v>7570</v>
      </c>
      <c r="B181" s="677" t="s">
        <v>6095</v>
      </c>
      <c r="C181" s="4" t="s">
        <v>11737</v>
      </c>
      <c r="D181" s="680">
        <v>3685</v>
      </c>
      <c r="E181" s="680">
        <v>3595</v>
      </c>
      <c r="F181" s="680">
        <v>3592</v>
      </c>
      <c r="G181" s="30">
        <v>3618</v>
      </c>
      <c r="H181" s="30">
        <v>3413</v>
      </c>
      <c r="I181" s="30">
        <v>3283</v>
      </c>
      <c r="J181" s="30">
        <v>3214</v>
      </c>
      <c r="K181" s="30">
        <v>3164</v>
      </c>
      <c r="L181" s="30">
        <v>3190</v>
      </c>
      <c r="N181" s="677" t="s">
        <v>6017</v>
      </c>
      <c r="O181" s="4"/>
      <c r="Q181" s="4"/>
    </row>
    <row r="182" spans="1:17">
      <c r="A182" s="677" t="s">
        <v>7572</v>
      </c>
      <c r="B182" s="677" t="s">
        <v>6096</v>
      </c>
      <c r="C182" s="4" t="s">
        <v>14106</v>
      </c>
      <c r="D182" s="680">
        <v>1948</v>
      </c>
      <c r="E182" s="680">
        <v>1947</v>
      </c>
      <c r="F182" s="680">
        <v>1943</v>
      </c>
      <c r="G182" s="30">
        <v>1979</v>
      </c>
      <c r="H182" s="30">
        <v>1954</v>
      </c>
      <c r="I182" s="30">
        <v>1908</v>
      </c>
      <c r="J182" s="30">
        <v>1911</v>
      </c>
      <c r="K182" s="30">
        <v>1889</v>
      </c>
      <c r="L182" s="30">
        <v>1904</v>
      </c>
      <c r="N182" s="677" t="s">
        <v>6017</v>
      </c>
      <c r="O182" s="4"/>
      <c r="Q182" s="4"/>
    </row>
    <row r="183" spans="1:17">
      <c r="A183" s="677" t="s">
        <v>7573</v>
      </c>
      <c r="B183" s="677" t="s">
        <v>2617</v>
      </c>
      <c r="C183" s="4" t="s">
        <v>11738</v>
      </c>
      <c r="D183" s="680">
        <v>1529</v>
      </c>
      <c r="E183" s="680">
        <v>1507</v>
      </c>
      <c r="F183" s="680">
        <v>1516</v>
      </c>
      <c r="G183" s="30">
        <v>1561</v>
      </c>
      <c r="H183" s="30">
        <v>1572</v>
      </c>
      <c r="I183" s="30">
        <v>1548</v>
      </c>
      <c r="J183" s="30">
        <v>1545</v>
      </c>
      <c r="K183" s="30">
        <v>1552</v>
      </c>
      <c r="L183" s="30">
        <v>1559</v>
      </c>
      <c r="N183" s="677" t="s">
        <v>6017</v>
      </c>
      <c r="O183" s="4"/>
      <c r="Q183" s="4"/>
    </row>
    <row r="184" spans="1:17">
      <c r="A184" s="677" t="s">
        <v>5798</v>
      </c>
      <c r="B184" s="677" t="s">
        <v>4097</v>
      </c>
      <c r="C184" s="4" t="s">
        <v>11739</v>
      </c>
      <c r="D184" s="680">
        <v>1984</v>
      </c>
      <c r="E184" s="680">
        <v>1951</v>
      </c>
      <c r="F184" s="680">
        <v>1945</v>
      </c>
      <c r="G184" s="31">
        <v>1987</v>
      </c>
      <c r="H184" s="31">
        <v>1986</v>
      </c>
      <c r="I184" s="31">
        <v>2022</v>
      </c>
      <c r="J184" s="31">
        <v>2035</v>
      </c>
      <c r="K184" s="31">
        <v>2013</v>
      </c>
      <c r="L184" s="31">
        <v>2026</v>
      </c>
      <c r="N184" s="677" t="s">
        <v>6017</v>
      </c>
      <c r="O184" s="4"/>
      <c r="Q184" s="4"/>
    </row>
    <row r="185" spans="1:17">
      <c r="A185" s="677" t="s">
        <v>5799</v>
      </c>
      <c r="B185" s="677" t="s">
        <v>2618</v>
      </c>
      <c r="C185" s="4" t="s">
        <v>11740</v>
      </c>
      <c r="D185" s="680">
        <v>1958</v>
      </c>
      <c r="E185" s="680">
        <v>1938</v>
      </c>
      <c r="F185" s="680">
        <v>1904</v>
      </c>
      <c r="G185" s="31">
        <v>1912</v>
      </c>
      <c r="H185" s="31">
        <v>1829</v>
      </c>
      <c r="I185" s="31">
        <v>1812</v>
      </c>
      <c r="J185" s="31">
        <v>1808</v>
      </c>
      <c r="K185" s="31">
        <v>1810</v>
      </c>
      <c r="L185" s="31">
        <v>1841</v>
      </c>
      <c r="N185" s="677" t="s">
        <v>6017</v>
      </c>
      <c r="O185" s="4"/>
      <c r="Q185" s="4"/>
    </row>
    <row r="186" spans="1:17">
      <c r="A186" s="677" t="s">
        <v>5801</v>
      </c>
      <c r="B186" s="677" t="s">
        <v>2619</v>
      </c>
      <c r="C186" s="4" t="s">
        <v>11741</v>
      </c>
      <c r="D186" s="680">
        <v>1977</v>
      </c>
      <c r="E186" s="680">
        <v>1978</v>
      </c>
      <c r="F186" s="680">
        <v>1980</v>
      </c>
      <c r="G186" s="31">
        <v>2031</v>
      </c>
      <c r="H186" s="31">
        <v>1973</v>
      </c>
      <c r="I186" s="31">
        <v>1952</v>
      </c>
      <c r="J186" s="31">
        <v>1929</v>
      </c>
      <c r="K186" s="31">
        <v>1953</v>
      </c>
      <c r="L186" s="31">
        <v>1957</v>
      </c>
      <c r="N186" s="677" t="s">
        <v>7849</v>
      </c>
      <c r="O186" s="4"/>
      <c r="Q186" s="4"/>
    </row>
    <row r="187" spans="1:17">
      <c r="A187" s="677" t="s">
        <v>5927</v>
      </c>
      <c r="B187" s="677" t="s">
        <v>2620</v>
      </c>
      <c r="C187" s="4" t="s">
        <v>11742</v>
      </c>
      <c r="D187" s="680">
        <v>2942</v>
      </c>
      <c r="E187" s="680">
        <v>2870</v>
      </c>
      <c r="F187" s="680">
        <v>2916</v>
      </c>
      <c r="G187" s="31">
        <v>2960</v>
      </c>
      <c r="H187" s="31">
        <v>2801</v>
      </c>
      <c r="I187" s="31">
        <v>2629</v>
      </c>
      <c r="J187" s="31">
        <v>2658</v>
      </c>
      <c r="K187" s="31">
        <v>2738</v>
      </c>
      <c r="L187" s="31">
        <v>2744</v>
      </c>
      <c r="N187" s="677" t="s">
        <v>6017</v>
      </c>
      <c r="O187" s="4"/>
      <c r="Q187" s="4"/>
    </row>
    <row r="188" spans="1:17">
      <c r="A188" s="677" t="s">
        <v>5929</v>
      </c>
      <c r="B188" s="677" t="s">
        <v>6058</v>
      </c>
      <c r="C188" s="4" t="s">
        <v>11743</v>
      </c>
      <c r="D188" s="680">
        <v>3448</v>
      </c>
      <c r="E188" s="680">
        <v>3481</v>
      </c>
      <c r="F188" s="680">
        <v>3502</v>
      </c>
      <c r="G188" s="31">
        <v>3477</v>
      </c>
      <c r="H188" s="31">
        <v>3421</v>
      </c>
      <c r="I188" s="31">
        <v>3393</v>
      </c>
      <c r="J188" s="31">
        <v>3432</v>
      </c>
      <c r="K188" s="31">
        <v>3448</v>
      </c>
      <c r="L188" s="31">
        <v>3484</v>
      </c>
      <c r="N188" s="677" t="s">
        <v>6017</v>
      </c>
      <c r="O188" s="4"/>
      <c r="Q188" s="4"/>
    </row>
    <row r="189" spans="1:17">
      <c r="A189" s="677" t="s">
        <v>5931</v>
      </c>
      <c r="B189" s="677" t="s">
        <v>6059</v>
      </c>
      <c r="C189" s="4" t="s">
        <v>11744</v>
      </c>
      <c r="D189" s="680">
        <v>3170</v>
      </c>
      <c r="E189" s="680">
        <v>3181</v>
      </c>
      <c r="F189" s="680">
        <v>3219</v>
      </c>
      <c r="G189" s="31">
        <v>3231</v>
      </c>
      <c r="H189" s="31">
        <v>3149</v>
      </c>
      <c r="I189" s="31">
        <v>3092</v>
      </c>
      <c r="J189" s="31">
        <v>3058</v>
      </c>
      <c r="K189" s="31">
        <v>3121</v>
      </c>
      <c r="L189" s="31">
        <v>3237</v>
      </c>
      <c r="N189" s="677" t="s">
        <v>6017</v>
      </c>
      <c r="O189" s="4"/>
      <c r="Q189" s="4"/>
    </row>
    <row r="190" spans="1:17">
      <c r="A190" s="677" t="s">
        <v>5933</v>
      </c>
      <c r="B190" s="677" t="s">
        <v>6060</v>
      </c>
      <c r="C190" s="4" t="s">
        <v>11745</v>
      </c>
      <c r="D190" s="680">
        <v>1946</v>
      </c>
      <c r="E190" s="680">
        <v>1932</v>
      </c>
      <c r="F190" s="680">
        <v>1925</v>
      </c>
      <c r="G190" s="31">
        <v>1923</v>
      </c>
      <c r="H190" s="31">
        <v>1890</v>
      </c>
      <c r="I190" s="31">
        <v>1903</v>
      </c>
      <c r="J190" s="31">
        <v>1903</v>
      </c>
      <c r="K190" s="31">
        <v>2003</v>
      </c>
      <c r="L190" s="31">
        <v>2023</v>
      </c>
      <c r="N190" s="677" t="s">
        <v>7849</v>
      </c>
      <c r="O190" s="4"/>
      <c r="Q190" s="4"/>
    </row>
    <row r="191" spans="1:17">
      <c r="A191" s="677" t="s">
        <v>7897</v>
      </c>
      <c r="B191" s="677" t="s">
        <v>6061</v>
      </c>
      <c r="C191" s="4" t="s">
        <v>14107</v>
      </c>
      <c r="D191" s="680">
        <v>3563</v>
      </c>
      <c r="E191" s="680">
        <v>3579</v>
      </c>
      <c r="F191" s="680">
        <v>3568</v>
      </c>
      <c r="G191" s="31">
        <v>3613</v>
      </c>
      <c r="H191" s="31">
        <v>3632</v>
      </c>
      <c r="I191" s="31">
        <v>3648</v>
      </c>
      <c r="J191" s="31">
        <v>3634</v>
      </c>
      <c r="K191" s="31">
        <v>3583</v>
      </c>
      <c r="L191" s="31">
        <v>3615</v>
      </c>
      <c r="N191" s="677" t="s">
        <v>6017</v>
      </c>
      <c r="O191" s="4"/>
      <c r="Q191" s="4"/>
    </row>
    <row r="192" spans="1:17">
      <c r="A192" s="677" t="s">
        <v>7898</v>
      </c>
      <c r="B192" s="677" t="s">
        <v>6062</v>
      </c>
      <c r="C192" s="4" t="s">
        <v>14108</v>
      </c>
      <c r="D192" s="680">
        <v>3709</v>
      </c>
      <c r="E192" s="680">
        <v>3767</v>
      </c>
      <c r="F192" s="680">
        <v>3766</v>
      </c>
      <c r="G192" s="31">
        <v>3771</v>
      </c>
      <c r="H192" s="31">
        <v>3789</v>
      </c>
      <c r="I192" s="31">
        <v>3710</v>
      </c>
      <c r="J192" s="31">
        <v>3696</v>
      </c>
      <c r="K192" s="31">
        <v>3764</v>
      </c>
      <c r="L192" s="31">
        <v>3771</v>
      </c>
      <c r="N192" s="677" t="s">
        <v>6017</v>
      </c>
      <c r="O192" s="4"/>
      <c r="Q192" s="4"/>
    </row>
    <row r="193" spans="1:17">
      <c r="A193" s="677" t="s">
        <v>7899</v>
      </c>
      <c r="B193" s="677" t="s">
        <v>2628</v>
      </c>
      <c r="C193" s="4" t="s">
        <v>11746</v>
      </c>
      <c r="D193" s="680">
        <v>1504</v>
      </c>
      <c r="E193" s="680">
        <v>1539</v>
      </c>
      <c r="F193" s="680">
        <v>1503</v>
      </c>
      <c r="G193" s="31">
        <v>1514</v>
      </c>
      <c r="H193" s="31">
        <v>1581</v>
      </c>
      <c r="I193" s="31">
        <v>1570</v>
      </c>
      <c r="J193" s="31">
        <v>1562</v>
      </c>
      <c r="K193" s="31">
        <v>1550</v>
      </c>
      <c r="L193" s="31">
        <v>1552</v>
      </c>
      <c r="N193" s="677" t="s">
        <v>6017</v>
      </c>
      <c r="O193" s="4"/>
      <c r="Q193" s="4"/>
    </row>
    <row r="194" spans="1:17">
      <c r="A194" s="677" t="s">
        <v>7901</v>
      </c>
      <c r="B194" s="677" t="s">
        <v>2629</v>
      </c>
      <c r="C194" s="4" t="s">
        <v>11747</v>
      </c>
      <c r="D194" s="680">
        <v>3852</v>
      </c>
      <c r="E194" s="680">
        <v>3915</v>
      </c>
      <c r="F194" s="680">
        <v>3956</v>
      </c>
      <c r="G194" s="31">
        <v>3984</v>
      </c>
      <c r="H194" s="31">
        <v>3908</v>
      </c>
      <c r="I194" s="31">
        <v>3852</v>
      </c>
      <c r="J194" s="31">
        <v>3916</v>
      </c>
      <c r="K194" s="31">
        <v>3902</v>
      </c>
      <c r="L194" s="31">
        <v>3957</v>
      </c>
      <c r="N194" s="677" t="s">
        <v>7849</v>
      </c>
      <c r="O194" s="4"/>
      <c r="Q194" s="4"/>
    </row>
    <row r="195" spans="1:17">
      <c r="A195" s="677" t="s">
        <v>3125</v>
      </c>
      <c r="B195" s="677" t="s">
        <v>2669</v>
      </c>
      <c r="C195" s="4" t="s">
        <v>11748</v>
      </c>
      <c r="D195" s="680">
        <v>1880</v>
      </c>
      <c r="E195" s="680">
        <v>1876</v>
      </c>
      <c r="F195" s="680">
        <v>1903</v>
      </c>
      <c r="G195" s="31">
        <v>1926</v>
      </c>
      <c r="H195" s="31">
        <v>1892</v>
      </c>
      <c r="I195" s="31">
        <v>1877</v>
      </c>
      <c r="J195" s="31">
        <v>1890</v>
      </c>
      <c r="K195" s="31">
        <v>1867</v>
      </c>
      <c r="L195" s="31">
        <v>1868</v>
      </c>
      <c r="N195" s="677" t="s">
        <v>6017</v>
      </c>
      <c r="O195" s="4"/>
      <c r="Q195" s="4"/>
    </row>
    <row r="196" spans="1:17">
      <c r="A196" s="677" t="s">
        <v>3127</v>
      </c>
      <c r="B196" s="677" t="s">
        <v>2670</v>
      </c>
      <c r="C196" s="4" t="s">
        <v>14109</v>
      </c>
      <c r="D196" s="680">
        <v>1721</v>
      </c>
      <c r="E196" s="680">
        <v>1748</v>
      </c>
      <c r="F196" s="680">
        <v>1773</v>
      </c>
      <c r="G196" s="31">
        <v>1794</v>
      </c>
      <c r="H196" s="31">
        <v>1772</v>
      </c>
      <c r="I196" s="31">
        <v>1775</v>
      </c>
      <c r="J196" s="31">
        <v>1797</v>
      </c>
      <c r="K196" s="31">
        <v>1821</v>
      </c>
      <c r="L196" s="31">
        <v>1819</v>
      </c>
      <c r="N196" s="677" t="s">
        <v>6017</v>
      </c>
      <c r="O196" s="4"/>
      <c r="Q196" s="4"/>
    </row>
    <row r="197" spans="1:17">
      <c r="A197" s="677" t="s">
        <v>2671</v>
      </c>
      <c r="B197" s="677" t="s">
        <v>7876</v>
      </c>
      <c r="C197" s="4" t="s">
        <v>11749</v>
      </c>
      <c r="D197" s="680">
        <v>2098</v>
      </c>
      <c r="E197" s="680">
        <v>2124</v>
      </c>
      <c r="F197" s="680">
        <v>2123</v>
      </c>
      <c r="G197" s="31">
        <v>2164</v>
      </c>
      <c r="H197" s="31">
        <v>2118</v>
      </c>
      <c r="I197" s="31">
        <v>2104</v>
      </c>
      <c r="J197" s="31">
        <v>2126</v>
      </c>
      <c r="K197" s="31">
        <v>2156</v>
      </c>
      <c r="L197" s="31">
        <v>2191</v>
      </c>
      <c r="N197" s="677" t="s">
        <v>7849</v>
      </c>
      <c r="O197" s="4"/>
      <c r="Q197" s="4"/>
    </row>
    <row r="198" spans="1:17">
      <c r="A198" s="677" t="s">
        <v>2672</v>
      </c>
      <c r="B198" s="677" t="s">
        <v>2673</v>
      </c>
      <c r="C198" s="4" t="s">
        <v>11750</v>
      </c>
      <c r="D198" s="680">
        <v>1839</v>
      </c>
      <c r="E198" s="680">
        <v>1868</v>
      </c>
      <c r="F198" s="680">
        <v>1926</v>
      </c>
      <c r="G198" s="31">
        <v>1990</v>
      </c>
      <c r="H198" s="31">
        <v>1961</v>
      </c>
      <c r="I198" s="31">
        <v>1893</v>
      </c>
      <c r="J198" s="31">
        <v>1957</v>
      </c>
      <c r="K198" s="31">
        <v>1983</v>
      </c>
      <c r="L198" s="31">
        <v>1981</v>
      </c>
      <c r="N198" s="677" t="s">
        <v>7849</v>
      </c>
      <c r="O198" s="4"/>
      <c r="Q198" s="4"/>
    </row>
    <row r="199" spans="1:17">
      <c r="A199" s="677" t="s">
        <v>2674</v>
      </c>
      <c r="B199" s="677" t="s">
        <v>2675</v>
      </c>
      <c r="C199" s="4" t="s">
        <v>11751</v>
      </c>
      <c r="D199" s="680">
        <v>3894</v>
      </c>
      <c r="E199" s="680">
        <v>3904</v>
      </c>
      <c r="F199" s="680">
        <v>3922</v>
      </c>
      <c r="G199" s="31">
        <v>3896</v>
      </c>
      <c r="H199" s="31">
        <v>3873</v>
      </c>
      <c r="I199" s="31">
        <v>3846</v>
      </c>
      <c r="J199" s="31">
        <v>3851</v>
      </c>
      <c r="K199" s="31">
        <v>3861</v>
      </c>
      <c r="L199" s="31">
        <v>3893</v>
      </c>
      <c r="N199" s="677" t="s">
        <v>6017</v>
      </c>
      <c r="O199" s="4"/>
      <c r="Q199" s="4"/>
    </row>
    <row r="200" spans="1:17">
      <c r="A200" s="677" t="s">
        <v>980</v>
      </c>
      <c r="B200" s="677" t="s">
        <v>981</v>
      </c>
      <c r="C200" s="4" t="s">
        <v>11752</v>
      </c>
      <c r="D200" s="680">
        <v>1683</v>
      </c>
      <c r="E200" s="680">
        <v>1685</v>
      </c>
      <c r="F200" s="680">
        <v>1705</v>
      </c>
      <c r="G200" s="31">
        <v>1712</v>
      </c>
      <c r="H200" s="31">
        <v>1682</v>
      </c>
      <c r="I200" s="31">
        <v>1653</v>
      </c>
      <c r="J200" s="31">
        <v>1664</v>
      </c>
      <c r="K200" s="31">
        <v>1663</v>
      </c>
      <c r="L200" s="31">
        <v>1687</v>
      </c>
      <c r="N200" s="677" t="s">
        <v>7849</v>
      </c>
      <c r="O200" s="4"/>
      <c r="Q200" s="4"/>
    </row>
    <row r="201" spans="1:17">
      <c r="A201" s="688">
        <v>41</v>
      </c>
      <c r="B201" s="677" t="s">
        <v>982</v>
      </c>
      <c r="C201" s="4" t="s">
        <v>11753</v>
      </c>
      <c r="D201" s="680">
        <v>2019</v>
      </c>
      <c r="E201" s="680">
        <v>2039</v>
      </c>
      <c r="F201" s="680">
        <v>2014</v>
      </c>
      <c r="G201" s="31">
        <v>2051</v>
      </c>
      <c r="H201" s="31">
        <v>2007</v>
      </c>
      <c r="I201" s="31">
        <v>1980</v>
      </c>
      <c r="J201" s="31">
        <v>2029</v>
      </c>
      <c r="K201" s="31">
        <v>2072</v>
      </c>
      <c r="L201" s="31">
        <v>2100</v>
      </c>
      <c r="N201" s="677" t="s">
        <v>7849</v>
      </c>
      <c r="O201" s="4"/>
      <c r="Q201" s="4"/>
    </row>
    <row r="202" spans="1:17">
      <c r="A202" s="688">
        <v>42</v>
      </c>
      <c r="B202" s="677" t="s">
        <v>2604</v>
      </c>
      <c r="C202" s="4" t="s">
        <v>11754</v>
      </c>
      <c r="D202" s="680">
        <v>1876</v>
      </c>
      <c r="E202" s="680">
        <v>1902</v>
      </c>
      <c r="F202" s="680">
        <v>1874</v>
      </c>
      <c r="G202" s="31">
        <v>1944</v>
      </c>
      <c r="H202" s="31">
        <v>1955</v>
      </c>
      <c r="I202" s="31">
        <v>1929</v>
      </c>
      <c r="J202" s="31">
        <v>1930</v>
      </c>
      <c r="K202" s="31">
        <v>1958</v>
      </c>
      <c r="L202" s="31">
        <v>1969</v>
      </c>
      <c r="N202" s="677" t="s">
        <v>7849</v>
      </c>
      <c r="O202" s="4"/>
      <c r="Q202" s="4"/>
    </row>
    <row r="203" spans="1:17">
      <c r="D203" s="681"/>
      <c r="E203" s="681"/>
      <c r="F203" s="681"/>
      <c r="G203" s="681"/>
      <c r="H203" s="681"/>
      <c r="I203" s="681"/>
      <c r="J203" s="681"/>
      <c r="K203" s="681"/>
      <c r="L203" s="681"/>
    </row>
    <row r="204" spans="1:17">
      <c r="A204" s="677" t="s">
        <v>6017</v>
      </c>
      <c r="D204" s="680">
        <f t="shared" ref="D204:I204" si="132">SUM(D162:D164)+D166+D167+SUM(D171:D176)+D178+SUM(D181:D185)+SUM(D187:D189)+SUM(D191:D193)+D195+D196+D199</f>
        <v>73397</v>
      </c>
      <c r="E204" s="680">
        <f t="shared" si="132"/>
        <v>73269</v>
      </c>
      <c r="F204" s="680">
        <f t="shared" si="132"/>
        <v>73415</v>
      </c>
      <c r="G204" s="680">
        <f t="shared" si="132"/>
        <v>73663</v>
      </c>
      <c r="H204" s="680">
        <f t="shared" si="132"/>
        <v>72137</v>
      </c>
      <c r="I204" s="680">
        <f t="shared" si="132"/>
        <v>70892</v>
      </c>
      <c r="J204" s="680">
        <f t="shared" ref="J204:K204" si="133">SUM(J162:J164)+J166+J167+SUM(J171:J176)+J178+SUM(J181:J185)+SUM(J187:J189)+SUM(J191:J193)+J195+J196+J199</f>
        <v>70679</v>
      </c>
      <c r="K204" s="680">
        <f t="shared" si="133"/>
        <v>70789</v>
      </c>
      <c r="L204" s="680">
        <f t="shared" ref="L204" si="134">SUM(L162:L164)+L166+L167+SUM(L171:L176)+L178+SUM(L181:L185)+SUM(L187:L189)+SUM(L191:L193)+L195+L196+L199</f>
        <v>71241</v>
      </c>
    </row>
    <row r="205" spans="1:17">
      <c r="A205" s="677" t="s">
        <v>2606</v>
      </c>
      <c r="D205" s="680">
        <f t="shared" ref="D205:I205" si="135">D161+D165+SUM(D168:D170)+D177+D179+D180+D186+D190+D194+D197+D198+SUM(D200:D202)</f>
        <v>39315</v>
      </c>
      <c r="E205" s="680">
        <f t="shared" si="135"/>
        <v>39887</v>
      </c>
      <c r="F205" s="680">
        <f t="shared" si="135"/>
        <v>40341</v>
      </c>
      <c r="G205" s="680">
        <f t="shared" si="135"/>
        <v>40940</v>
      </c>
      <c r="H205" s="680">
        <f t="shared" si="135"/>
        <v>40351</v>
      </c>
      <c r="I205" s="680">
        <f t="shared" si="135"/>
        <v>39693</v>
      </c>
      <c r="J205" s="680">
        <f t="shared" ref="J205:K205" si="136">J161+J165+SUM(J168:J170)+J177+J179+J180+J186+J190+J194+J197+J198+SUM(J200:J202)</f>
        <v>40266</v>
      </c>
      <c r="K205" s="680">
        <f t="shared" si="136"/>
        <v>40652</v>
      </c>
      <c r="L205" s="680">
        <f t="shared" ref="L205" si="137">L161+L165+SUM(L168:L170)+L177+L179+L180+L186+L190+L194+L197+L198+SUM(L200:L202)</f>
        <v>40968</v>
      </c>
    </row>
    <row r="206" spans="1:17">
      <c r="A206" s="677"/>
      <c r="D206" s="680"/>
      <c r="E206" s="680"/>
      <c r="F206" s="680"/>
      <c r="G206" s="680"/>
      <c r="H206" s="680"/>
      <c r="I206" s="680"/>
      <c r="J206" s="680"/>
      <c r="K206" s="680"/>
      <c r="L206" s="680"/>
    </row>
    <row r="207" spans="1:17">
      <c r="A207" s="677" t="s">
        <v>14103</v>
      </c>
      <c r="D207" s="680"/>
      <c r="E207" s="680"/>
      <c r="F207" s="680"/>
      <c r="G207" s="680"/>
      <c r="H207" s="680"/>
      <c r="I207" s="680"/>
      <c r="J207" s="680"/>
      <c r="K207" s="680"/>
      <c r="L207" s="680"/>
    </row>
    <row r="208" spans="1:17">
      <c r="A208" s="677" t="s">
        <v>14104</v>
      </c>
      <c r="D208" s="680"/>
      <c r="E208" s="680"/>
      <c r="F208" s="680"/>
      <c r="G208" s="680"/>
      <c r="H208" s="680"/>
      <c r="I208" s="680"/>
      <c r="J208" s="680"/>
      <c r="K208" s="680"/>
      <c r="L208" s="680"/>
    </row>
    <row r="209" spans="1:17">
      <c r="A209" s="677"/>
      <c r="B209" s="677"/>
      <c r="D209" s="687"/>
      <c r="E209" s="687"/>
      <c r="F209" s="687"/>
      <c r="G209" s="687"/>
      <c r="H209" s="687"/>
      <c r="I209" s="687"/>
      <c r="J209" s="687"/>
      <c r="K209" s="687"/>
      <c r="L209" s="687"/>
    </row>
    <row r="210" spans="1:17">
      <c r="A210" s="677"/>
      <c r="B210" s="677"/>
      <c r="D210" s="687"/>
      <c r="E210" s="687"/>
      <c r="F210" s="687"/>
      <c r="G210" s="687"/>
      <c r="H210" s="687"/>
      <c r="I210" s="687"/>
      <c r="J210" s="687"/>
      <c r="K210" s="687"/>
      <c r="L210" s="687"/>
    </row>
    <row r="211" spans="1:17">
      <c r="E211" s="42" t="s">
        <v>2303</v>
      </c>
      <c r="F211" s="42"/>
      <c r="G211" s="42"/>
      <c r="H211" s="42"/>
      <c r="I211" s="42"/>
      <c r="J211" s="42"/>
      <c r="K211" s="42"/>
      <c r="L211" s="42"/>
      <c r="M211" s="109"/>
      <c r="N211" s="109" t="s">
        <v>13319</v>
      </c>
    </row>
    <row r="212" spans="1:17">
      <c r="D212" s="679">
        <v>2010</v>
      </c>
      <c r="E212" s="679">
        <v>2011</v>
      </c>
      <c r="F212" s="679">
        <v>2012</v>
      </c>
      <c r="G212" s="679">
        <v>2013</v>
      </c>
      <c r="H212" s="679">
        <v>2014</v>
      </c>
      <c r="I212" s="679">
        <v>2015</v>
      </c>
      <c r="J212" s="679">
        <v>2016</v>
      </c>
      <c r="K212" s="679">
        <v>2017</v>
      </c>
      <c r="L212" s="679">
        <v>2018</v>
      </c>
      <c r="N212" s="112" t="s">
        <v>2304</v>
      </c>
    </row>
    <row r="213" spans="1:17" ht="17.25" customHeight="1">
      <c r="A213" s="677" t="s">
        <v>2695</v>
      </c>
      <c r="D213" s="680">
        <f t="shared" ref="D213:I213" si="138">SUM(D214:D247)</f>
        <v>81366</v>
      </c>
      <c r="E213" s="680">
        <f t="shared" si="138"/>
        <v>81667</v>
      </c>
      <c r="F213" s="680">
        <f t="shared" si="138"/>
        <v>81767</v>
      </c>
      <c r="G213" s="680">
        <f t="shared" si="138"/>
        <v>82455</v>
      </c>
      <c r="H213" s="680">
        <f t="shared" si="138"/>
        <v>82104</v>
      </c>
      <c r="I213" s="680">
        <f t="shared" si="138"/>
        <v>81470</v>
      </c>
      <c r="J213" s="680">
        <f t="shared" ref="J213:K213" si="139">SUM(J214:J247)</f>
        <v>80922</v>
      </c>
      <c r="K213" s="680">
        <f t="shared" si="139"/>
        <v>81527</v>
      </c>
      <c r="L213" s="680">
        <f t="shared" ref="L213" si="140">SUM(L214:L247)</f>
        <v>82455</v>
      </c>
    </row>
    <row r="214" spans="1:17">
      <c r="A214" s="677" t="s">
        <v>6957</v>
      </c>
      <c r="B214" s="677" t="s">
        <v>2696</v>
      </c>
      <c r="C214" s="4" t="s">
        <v>11755</v>
      </c>
      <c r="D214" s="680">
        <v>1793</v>
      </c>
      <c r="E214" s="680">
        <v>1775</v>
      </c>
      <c r="F214" s="680">
        <v>1740</v>
      </c>
      <c r="G214" s="30">
        <v>1766</v>
      </c>
      <c r="H214" s="30">
        <v>1802</v>
      </c>
      <c r="I214" s="30">
        <v>1764</v>
      </c>
      <c r="J214" s="30">
        <v>1774</v>
      </c>
      <c r="K214" s="30">
        <v>1761</v>
      </c>
      <c r="L214" s="30">
        <v>1787</v>
      </c>
      <c r="N214" s="677" t="s">
        <v>2539</v>
      </c>
      <c r="O214" s="4"/>
      <c r="Q214" s="4"/>
    </row>
    <row r="215" spans="1:17">
      <c r="A215" s="677" t="s">
        <v>6959</v>
      </c>
      <c r="B215" s="677" t="s">
        <v>2697</v>
      </c>
      <c r="C215" s="4" t="s">
        <v>11756</v>
      </c>
      <c r="D215" s="680">
        <v>1844</v>
      </c>
      <c r="E215" s="680">
        <v>1863</v>
      </c>
      <c r="F215" s="680">
        <v>1901</v>
      </c>
      <c r="G215" s="30">
        <v>1959</v>
      </c>
      <c r="H215" s="30">
        <v>1972</v>
      </c>
      <c r="I215" s="30">
        <v>1958</v>
      </c>
      <c r="J215" s="30">
        <v>1955</v>
      </c>
      <c r="K215" s="30">
        <v>1971</v>
      </c>
      <c r="L215" s="30">
        <v>2026</v>
      </c>
      <c r="N215" s="677" t="s">
        <v>6016</v>
      </c>
      <c r="O215" s="4"/>
      <c r="Q215" s="4"/>
    </row>
    <row r="216" spans="1:17">
      <c r="A216" s="677" t="s">
        <v>6961</v>
      </c>
      <c r="B216" s="677" t="s">
        <v>2698</v>
      </c>
      <c r="C216" s="4" t="s">
        <v>13075</v>
      </c>
      <c r="D216" s="680">
        <v>1892</v>
      </c>
      <c r="E216" s="680">
        <v>1886</v>
      </c>
      <c r="F216" s="680">
        <v>1871</v>
      </c>
      <c r="G216" s="30">
        <v>1898</v>
      </c>
      <c r="H216" s="30">
        <v>1927</v>
      </c>
      <c r="I216" s="30">
        <v>1902</v>
      </c>
      <c r="J216" s="30">
        <v>1920</v>
      </c>
      <c r="K216" s="30">
        <v>1920</v>
      </c>
      <c r="L216" s="30">
        <v>1936</v>
      </c>
      <c r="N216" s="677" t="s">
        <v>6016</v>
      </c>
      <c r="O216" s="4"/>
      <c r="Q216" s="4"/>
    </row>
    <row r="217" spans="1:17">
      <c r="A217" s="677" t="s">
        <v>6963</v>
      </c>
      <c r="B217" s="677" t="s">
        <v>2699</v>
      </c>
      <c r="C217" s="4" t="s">
        <v>11757</v>
      </c>
      <c r="D217" s="680">
        <v>1872</v>
      </c>
      <c r="E217" s="680">
        <v>1888</v>
      </c>
      <c r="F217" s="680">
        <v>1873</v>
      </c>
      <c r="G217" s="30">
        <v>1904</v>
      </c>
      <c r="H217" s="30">
        <v>1926</v>
      </c>
      <c r="I217" s="30">
        <v>1912</v>
      </c>
      <c r="J217" s="30">
        <v>1872</v>
      </c>
      <c r="K217" s="30">
        <v>1882</v>
      </c>
      <c r="L217" s="30">
        <v>1898</v>
      </c>
      <c r="N217" s="677" t="s">
        <v>6016</v>
      </c>
      <c r="O217" s="4"/>
      <c r="Q217" s="4"/>
    </row>
    <row r="218" spans="1:17">
      <c r="A218" s="677" t="s">
        <v>6965</v>
      </c>
      <c r="B218" s="677" t="s">
        <v>4406</v>
      </c>
      <c r="C218" s="4" t="s">
        <v>11758</v>
      </c>
      <c r="D218" s="680">
        <v>2923</v>
      </c>
      <c r="E218" s="680">
        <v>2879</v>
      </c>
      <c r="F218" s="680">
        <v>2845</v>
      </c>
      <c r="G218" s="30">
        <v>2884</v>
      </c>
      <c r="H218" s="30">
        <v>2790</v>
      </c>
      <c r="I218" s="30">
        <v>2779</v>
      </c>
      <c r="J218" s="30">
        <v>2825</v>
      </c>
      <c r="K218" s="30">
        <v>2852</v>
      </c>
      <c r="L218" s="30">
        <v>2875</v>
      </c>
      <c r="N218" s="677" t="s">
        <v>6016</v>
      </c>
      <c r="O218" s="4"/>
      <c r="Q218" s="4"/>
    </row>
    <row r="219" spans="1:17">
      <c r="A219" s="677" t="s">
        <v>6997</v>
      </c>
      <c r="B219" s="677" t="s">
        <v>4407</v>
      </c>
      <c r="C219" s="4" t="s">
        <v>11759</v>
      </c>
      <c r="D219" s="680">
        <v>1959</v>
      </c>
      <c r="E219" s="680">
        <v>1970</v>
      </c>
      <c r="F219" s="680">
        <v>1962</v>
      </c>
      <c r="G219" s="30">
        <v>1991</v>
      </c>
      <c r="H219" s="30">
        <v>1971</v>
      </c>
      <c r="I219" s="30">
        <v>1924</v>
      </c>
      <c r="J219" s="30">
        <v>1898</v>
      </c>
      <c r="K219" s="30">
        <v>1915</v>
      </c>
      <c r="L219" s="30">
        <v>1937</v>
      </c>
      <c r="N219" s="677" t="s">
        <v>6016</v>
      </c>
      <c r="O219" s="4"/>
      <c r="Q219" s="4"/>
    </row>
    <row r="220" spans="1:17">
      <c r="A220" s="677" t="s">
        <v>6999</v>
      </c>
      <c r="B220" s="677" t="s">
        <v>4409</v>
      </c>
      <c r="C220" s="4" t="s">
        <v>11760</v>
      </c>
      <c r="D220" s="680">
        <v>1972</v>
      </c>
      <c r="E220" s="680">
        <v>1985</v>
      </c>
      <c r="F220" s="680">
        <v>1970</v>
      </c>
      <c r="G220" s="30">
        <v>1980</v>
      </c>
      <c r="H220" s="30">
        <v>1990</v>
      </c>
      <c r="I220" s="30">
        <v>1989</v>
      </c>
      <c r="J220" s="30">
        <v>1958</v>
      </c>
      <c r="K220" s="30">
        <v>1965</v>
      </c>
      <c r="L220" s="30">
        <v>1997</v>
      </c>
      <c r="N220" s="677" t="s">
        <v>6016</v>
      </c>
      <c r="O220" s="4"/>
      <c r="Q220" s="4"/>
    </row>
    <row r="221" spans="1:17">
      <c r="A221" s="677" t="s">
        <v>7001</v>
      </c>
      <c r="B221" s="677" t="s">
        <v>4408</v>
      </c>
      <c r="C221" s="4" t="s">
        <v>11761</v>
      </c>
      <c r="D221" s="680">
        <v>1775</v>
      </c>
      <c r="E221" s="680">
        <v>1760</v>
      </c>
      <c r="F221" s="680">
        <v>1760</v>
      </c>
      <c r="G221" s="30">
        <v>1769</v>
      </c>
      <c r="H221" s="30">
        <v>1737</v>
      </c>
      <c r="I221" s="30">
        <v>1740</v>
      </c>
      <c r="J221" s="30">
        <v>1719</v>
      </c>
      <c r="K221" s="30">
        <v>1715</v>
      </c>
      <c r="L221" s="30">
        <v>1675</v>
      </c>
      <c r="N221" s="677" t="s">
        <v>6016</v>
      </c>
      <c r="O221" s="4"/>
      <c r="Q221" s="4"/>
    </row>
    <row r="222" spans="1:17">
      <c r="A222" s="677" t="s">
        <v>7003</v>
      </c>
      <c r="B222" s="677" t="s">
        <v>4410</v>
      </c>
      <c r="C222" s="4" t="s">
        <v>11762</v>
      </c>
      <c r="D222" s="680">
        <v>2055</v>
      </c>
      <c r="E222" s="680">
        <v>2038</v>
      </c>
      <c r="F222" s="680">
        <v>2048</v>
      </c>
      <c r="G222" s="30">
        <v>2066</v>
      </c>
      <c r="H222" s="30">
        <v>2062</v>
      </c>
      <c r="I222" s="30">
        <v>2032</v>
      </c>
      <c r="J222" s="30">
        <v>2013</v>
      </c>
      <c r="K222" s="30">
        <v>2034</v>
      </c>
      <c r="L222" s="30">
        <v>2022</v>
      </c>
      <c r="N222" s="677" t="s">
        <v>6016</v>
      </c>
      <c r="O222" s="4"/>
      <c r="Q222" s="4"/>
    </row>
    <row r="223" spans="1:17">
      <c r="A223" s="677" t="s">
        <v>7005</v>
      </c>
      <c r="B223" s="677" t="s">
        <v>4411</v>
      </c>
      <c r="C223" s="4" t="s">
        <v>11763</v>
      </c>
      <c r="D223" s="680">
        <v>1618</v>
      </c>
      <c r="E223" s="680">
        <v>1626</v>
      </c>
      <c r="F223" s="680">
        <v>1588</v>
      </c>
      <c r="G223" s="30">
        <v>1571</v>
      </c>
      <c r="H223" s="30">
        <v>1546</v>
      </c>
      <c r="I223" s="30">
        <v>1536</v>
      </c>
      <c r="J223" s="30">
        <v>1549</v>
      </c>
      <c r="K223" s="30">
        <v>1522</v>
      </c>
      <c r="L223" s="30">
        <v>1546</v>
      </c>
      <c r="N223" s="677" t="s">
        <v>6016</v>
      </c>
      <c r="O223" s="4"/>
      <c r="Q223" s="4"/>
    </row>
    <row r="224" spans="1:17">
      <c r="A224" s="677" t="s">
        <v>7007</v>
      </c>
      <c r="B224" s="677" t="s">
        <v>4412</v>
      </c>
      <c r="C224" s="4" t="s">
        <v>11764</v>
      </c>
      <c r="D224" s="680">
        <v>2932</v>
      </c>
      <c r="E224" s="680">
        <v>2924</v>
      </c>
      <c r="F224" s="680">
        <v>3009</v>
      </c>
      <c r="G224" s="31">
        <v>3051</v>
      </c>
      <c r="H224" s="806">
        <v>2998</v>
      </c>
      <c r="I224" s="31">
        <v>2976</v>
      </c>
      <c r="J224" s="31">
        <v>2868</v>
      </c>
      <c r="K224" s="31">
        <v>2873</v>
      </c>
      <c r="L224" s="31">
        <v>2859</v>
      </c>
      <c r="N224" s="677" t="s">
        <v>6016</v>
      </c>
      <c r="O224" s="4"/>
      <c r="Q224" s="4"/>
    </row>
    <row r="225" spans="1:17">
      <c r="A225" s="677" t="s">
        <v>7009</v>
      </c>
      <c r="B225" s="677" t="s">
        <v>4413</v>
      </c>
      <c r="C225" s="4" t="s">
        <v>11765</v>
      </c>
      <c r="D225" s="680">
        <v>1699</v>
      </c>
      <c r="E225" s="680">
        <v>1686</v>
      </c>
      <c r="F225" s="680">
        <v>1697</v>
      </c>
      <c r="G225" s="31">
        <v>1704</v>
      </c>
      <c r="H225" s="806">
        <v>1756</v>
      </c>
      <c r="I225" s="31">
        <v>1762</v>
      </c>
      <c r="J225" s="31">
        <v>1834</v>
      </c>
      <c r="K225" s="31">
        <v>1851</v>
      </c>
      <c r="L225" s="31">
        <v>1888</v>
      </c>
      <c r="N225" s="677" t="s">
        <v>6016</v>
      </c>
      <c r="O225" s="4"/>
      <c r="Q225" s="4"/>
    </row>
    <row r="226" spans="1:17">
      <c r="A226" s="677" t="s">
        <v>7011</v>
      </c>
      <c r="B226" s="677" t="s">
        <v>4414</v>
      </c>
      <c r="C226" s="4" t="s">
        <v>11766</v>
      </c>
      <c r="D226" s="680">
        <v>2781</v>
      </c>
      <c r="E226" s="680">
        <v>2767</v>
      </c>
      <c r="F226" s="680">
        <v>2753</v>
      </c>
      <c r="G226" s="30">
        <v>2796</v>
      </c>
      <c r="H226" s="30">
        <v>2822</v>
      </c>
      <c r="I226" s="30">
        <v>2807</v>
      </c>
      <c r="J226" s="30">
        <v>2791</v>
      </c>
      <c r="K226" s="30">
        <v>2772</v>
      </c>
      <c r="L226" s="30">
        <v>2843</v>
      </c>
      <c r="N226" s="677" t="s">
        <v>2539</v>
      </c>
      <c r="O226" s="4"/>
      <c r="Q226" s="4"/>
    </row>
    <row r="227" spans="1:17">
      <c r="A227" s="677" t="s">
        <v>7013</v>
      </c>
      <c r="B227" s="677" t="s">
        <v>4415</v>
      </c>
      <c r="C227" s="4" t="s">
        <v>11767</v>
      </c>
      <c r="D227" s="680">
        <v>3244</v>
      </c>
      <c r="E227" s="680">
        <v>3245</v>
      </c>
      <c r="F227" s="680">
        <v>3230</v>
      </c>
      <c r="G227" s="30">
        <v>3272</v>
      </c>
      <c r="H227" s="30">
        <v>3204</v>
      </c>
      <c r="I227" s="30">
        <v>3160</v>
      </c>
      <c r="J227" s="30">
        <v>3186</v>
      </c>
      <c r="K227" s="30">
        <v>3170</v>
      </c>
      <c r="L227" s="30">
        <v>3163</v>
      </c>
      <c r="N227" s="677" t="s">
        <v>2539</v>
      </c>
      <c r="O227" s="4"/>
      <c r="Q227" s="4"/>
    </row>
    <row r="228" spans="1:17">
      <c r="A228" s="677" t="s">
        <v>7015</v>
      </c>
      <c r="B228" s="677" t="s">
        <v>4416</v>
      </c>
      <c r="C228" s="4" t="s">
        <v>11768</v>
      </c>
      <c r="D228" s="680">
        <v>3369</v>
      </c>
      <c r="E228" s="680">
        <v>3430</v>
      </c>
      <c r="F228" s="680">
        <v>3367</v>
      </c>
      <c r="G228" s="31">
        <v>3394</v>
      </c>
      <c r="H228" s="806">
        <v>3379</v>
      </c>
      <c r="I228" s="31">
        <v>3359</v>
      </c>
      <c r="J228" s="31">
        <v>3328</v>
      </c>
      <c r="K228" s="31">
        <v>3354</v>
      </c>
      <c r="L228" s="31">
        <v>3385</v>
      </c>
      <c r="N228" s="677" t="s">
        <v>6016</v>
      </c>
      <c r="O228" s="4"/>
      <c r="Q228" s="4"/>
    </row>
    <row r="229" spans="1:17">
      <c r="A229" s="677" t="s">
        <v>7017</v>
      </c>
      <c r="B229" s="677" t="s">
        <v>1806</v>
      </c>
      <c r="C229" s="4" t="s">
        <v>11769</v>
      </c>
      <c r="D229" s="680">
        <v>3422</v>
      </c>
      <c r="E229" s="680">
        <v>3362</v>
      </c>
      <c r="F229" s="680">
        <v>3400</v>
      </c>
      <c r="G229" s="31">
        <v>3450</v>
      </c>
      <c r="H229" s="806">
        <v>3389</v>
      </c>
      <c r="I229" s="31">
        <v>3347</v>
      </c>
      <c r="J229" s="31">
        <v>3305</v>
      </c>
      <c r="K229" s="31">
        <v>3292</v>
      </c>
      <c r="L229" s="31">
        <v>3306</v>
      </c>
      <c r="N229" s="677" t="s">
        <v>6016</v>
      </c>
      <c r="O229" s="4"/>
      <c r="Q229" s="4"/>
    </row>
    <row r="230" spans="1:17">
      <c r="A230" s="677" t="s">
        <v>7019</v>
      </c>
      <c r="B230" s="677" t="s">
        <v>1807</v>
      </c>
      <c r="C230" s="4" t="s">
        <v>11770</v>
      </c>
      <c r="D230" s="680">
        <v>3238</v>
      </c>
      <c r="E230" s="680">
        <v>3213</v>
      </c>
      <c r="F230" s="680">
        <v>3200</v>
      </c>
      <c r="G230" s="31">
        <v>3223</v>
      </c>
      <c r="H230" s="806">
        <v>3255</v>
      </c>
      <c r="I230" s="31">
        <v>3204</v>
      </c>
      <c r="J230" s="31">
        <v>3135</v>
      </c>
      <c r="K230" s="31">
        <v>3148</v>
      </c>
      <c r="L230" s="31">
        <v>3162</v>
      </c>
      <c r="N230" s="677" t="s">
        <v>6016</v>
      </c>
      <c r="O230" s="4"/>
      <c r="Q230" s="4"/>
    </row>
    <row r="231" spans="1:17">
      <c r="A231" s="677" t="s">
        <v>7021</v>
      </c>
      <c r="B231" s="677" t="s">
        <v>1808</v>
      </c>
      <c r="C231" s="4" t="s">
        <v>11771</v>
      </c>
      <c r="D231" s="680">
        <v>3297</v>
      </c>
      <c r="E231" s="680">
        <v>3326</v>
      </c>
      <c r="F231" s="680">
        <v>3322</v>
      </c>
      <c r="G231" s="31">
        <v>3384</v>
      </c>
      <c r="H231" s="806">
        <v>3397</v>
      </c>
      <c r="I231" s="31">
        <v>3355</v>
      </c>
      <c r="J231" s="31">
        <v>3308</v>
      </c>
      <c r="K231" s="31">
        <v>3354</v>
      </c>
      <c r="L231" s="31">
        <v>3467</v>
      </c>
      <c r="N231" s="677" t="s">
        <v>6016</v>
      </c>
      <c r="O231" s="4"/>
      <c r="Q231" s="4"/>
    </row>
    <row r="232" spans="1:17">
      <c r="A232" s="677" t="s">
        <v>7023</v>
      </c>
      <c r="B232" s="677" t="s">
        <v>1809</v>
      </c>
      <c r="C232" s="4" t="s">
        <v>11772</v>
      </c>
      <c r="D232" s="680">
        <v>1923</v>
      </c>
      <c r="E232" s="680">
        <v>1899</v>
      </c>
      <c r="F232" s="680">
        <v>1918</v>
      </c>
      <c r="G232" s="31">
        <v>1934</v>
      </c>
      <c r="H232" s="806">
        <v>1958</v>
      </c>
      <c r="I232" s="31">
        <v>1969</v>
      </c>
      <c r="J232" s="31">
        <v>1988</v>
      </c>
      <c r="K232" s="31">
        <v>2060</v>
      </c>
      <c r="L232" s="31">
        <v>2086</v>
      </c>
      <c r="N232" s="677" t="s">
        <v>6016</v>
      </c>
      <c r="O232" s="4"/>
      <c r="Q232" s="4"/>
    </row>
    <row r="233" spans="1:17">
      <c r="A233" s="677" t="s">
        <v>7025</v>
      </c>
      <c r="B233" s="677" t="s">
        <v>4097</v>
      </c>
      <c r="C233" s="4" t="s">
        <v>11773</v>
      </c>
      <c r="D233" s="680">
        <v>3296</v>
      </c>
      <c r="E233" s="680">
        <v>3246</v>
      </c>
      <c r="F233" s="680">
        <v>3213</v>
      </c>
      <c r="G233" s="31">
        <v>3253</v>
      </c>
      <c r="H233" s="806">
        <v>3176</v>
      </c>
      <c r="I233" s="31">
        <v>3170</v>
      </c>
      <c r="J233" s="31">
        <v>3164</v>
      </c>
      <c r="K233" s="31">
        <v>3193</v>
      </c>
      <c r="L233" s="31">
        <v>3253</v>
      </c>
      <c r="N233" s="677" t="s">
        <v>6016</v>
      </c>
      <c r="O233" s="4"/>
      <c r="Q233" s="4"/>
    </row>
    <row r="234" spans="1:17">
      <c r="A234" s="677" t="s">
        <v>7570</v>
      </c>
      <c r="B234" s="677" t="s">
        <v>1810</v>
      </c>
      <c r="C234" s="4" t="s">
        <v>11774</v>
      </c>
      <c r="D234" s="680">
        <v>1844</v>
      </c>
      <c r="E234" s="680">
        <v>1821</v>
      </c>
      <c r="F234" s="680">
        <v>1876</v>
      </c>
      <c r="G234" s="31">
        <v>1922</v>
      </c>
      <c r="H234" s="806">
        <v>1908</v>
      </c>
      <c r="I234" s="31">
        <v>1911</v>
      </c>
      <c r="J234" s="31">
        <v>1896</v>
      </c>
      <c r="K234" s="31">
        <v>1911</v>
      </c>
      <c r="L234" s="31">
        <v>1911</v>
      </c>
      <c r="N234" s="677" t="s">
        <v>6016</v>
      </c>
      <c r="O234" s="4"/>
      <c r="Q234" s="4"/>
    </row>
    <row r="235" spans="1:17">
      <c r="A235" s="677" t="s">
        <v>7572</v>
      </c>
      <c r="B235" s="677" t="s">
        <v>4418</v>
      </c>
      <c r="C235" s="4" t="s">
        <v>11775</v>
      </c>
      <c r="D235" s="680">
        <v>1627</v>
      </c>
      <c r="E235" s="680">
        <v>1861</v>
      </c>
      <c r="F235" s="680">
        <v>1961</v>
      </c>
      <c r="G235" s="31">
        <v>1992</v>
      </c>
      <c r="H235" s="806">
        <v>2014</v>
      </c>
      <c r="I235" s="31">
        <v>1994</v>
      </c>
      <c r="J235" s="31">
        <v>1956</v>
      </c>
      <c r="K235" s="31">
        <v>1943</v>
      </c>
      <c r="L235" s="31">
        <v>1953</v>
      </c>
      <c r="N235" s="677" t="s">
        <v>6016</v>
      </c>
      <c r="O235" s="4"/>
      <c r="Q235" s="4"/>
    </row>
    <row r="236" spans="1:17">
      <c r="A236" s="677" t="s">
        <v>7573</v>
      </c>
      <c r="B236" s="677" t="s">
        <v>4419</v>
      </c>
      <c r="C236" s="4" t="s">
        <v>11776</v>
      </c>
      <c r="D236" s="680">
        <v>1819</v>
      </c>
      <c r="E236" s="680">
        <v>1808</v>
      </c>
      <c r="F236" s="680">
        <v>1794</v>
      </c>
      <c r="G236" s="31">
        <v>1792</v>
      </c>
      <c r="H236" s="806">
        <v>1786</v>
      </c>
      <c r="I236" s="31">
        <v>1770</v>
      </c>
      <c r="J236" s="31">
        <v>1781</v>
      </c>
      <c r="K236" s="31">
        <v>1806</v>
      </c>
      <c r="L236" s="31">
        <v>1864</v>
      </c>
      <c r="N236" s="677" t="s">
        <v>6016</v>
      </c>
      <c r="O236" s="4"/>
      <c r="Q236" s="4"/>
    </row>
    <row r="237" spans="1:17">
      <c r="A237" s="677" t="s">
        <v>5798</v>
      </c>
      <c r="B237" s="677" t="s">
        <v>4420</v>
      </c>
      <c r="C237" s="4" t="s">
        <v>11777</v>
      </c>
      <c r="D237" s="680">
        <v>2867</v>
      </c>
      <c r="E237" s="680">
        <v>2884</v>
      </c>
      <c r="F237" s="680">
        <v>2815</v>
      </c>
      <c r="G237" s="31">
        <v>2818</v>
      </c>
      <c r="H237" s="806">
        <v>2805</v>
      </c>
      <c r="I237" s="31">
        <v>2762</v>
      </c>
      <c r="J237" s="31">
        <v>2761</v>
      </c>
      <c r="K237" s="31">
        <v>2771</v>
      </c>
      <c r="L237" s="31">
        <v>2804</v>
      </c>
      <c r="N237" s="677" t="s">
        <v>6016</v>
      </c>
      <c r="O237" s="4"/>
      <c r="Q237" s="4"/>
    </row>
    <row r="238" spans="1:17">
      <c r="A238" s="677" t="s">
        <v>5799</v>
      </c>
      <c r="B238" s="677" t="s">
        <v>4421</v>
      </c>
      <c r="C238" s="4" t="s">
        <v>11778</v>
      </c>
      <c r="D238" s="680">
        <v>3127</v>
      </c>
      <c r="E238" s="680">
        <v>3165</v>
      </c>
      <c r="F238" s="680">
        <v>3178</v>
      </c>
      <c r="G238" s="31">
        <v>3187</v>
      </c>
      <c r="H238" s="806">
        <v>3153</v>
      </c>
      <c r="I238" s="31">
        <v>3143</v>
      </c>
      <c r="J238" s="31">
        <v>3116</v>
      </c>
      <c r="K238" s="31">
        <v>3171</v>
      </c>
      <c r="L238" s="31">
        <v>3145</v>
      </c>
      <c r="N238" s="677" t="s">
        <v>6016</v>
      </c>
      <c r="O238" s="4"/>
      <c r="Q238" s="4"/>
    </row>
    <row r="239" spans="1:17">
      <c r="A239" s="677" t="s">
        <v>5801</v>
      </c>
      <c r="B239" s="677" t="s">
        <v>4422</v>
      </c>
      <c r="C239" s="4" t="s">
        <v>11779</v>
      </c>
      <c r="D239" s="680">
        <v>3422</v>
      </c>
      <c r="E239" s="680">
        <v>3416</v>
      </c>
      <c r="F239" s="680">
        <v>3441</v>
      </c>
      <c r="G239" s="31">
        <v>3450</v>
      </c>
      <c r="H239" s="806">
        <v>3432</v>
      </c>
      <c r="I239" s="31">
        <v>3411</v>
      </c>
      <c r="J239" s="31">
        <v>3355</v>
      </c>
      <c r="K239" s="31">
        <v>3441</v>
      </c>
      <c r="L239" s="31">
        <v>3584</v>
      </c>
      <c r="N239" s="677" t="s">
        <v>6016</v>
      </c>
      <c r="O239" s="4"/>
      <c r="Q239" s="4"/>
    </row>
    <row r="240" spans="1:17">
      <c r="A240" s="677" t="s">
        <v>5927</v>
      </c>
      <c r="B240" s="677" t="s">
        <v>4423</v>
      </c>
      <c r="C240" s="4" t="s">
        <v>11780</v>
      </c>
      <c r="D240" s="680">
        <v>3221</v>
      </c>
      <c r="E240" s="680">
        <v>3295</v>
      </c>
      <c r="F240" s="680">
        <v>3343</v>
      </c>
      <c r="G240" s="31">
        <v>3293</v>
      </c>
      <c r="H240" s="806">
        <v>3297</v>
      </c>
      <c r="I240" s="31">
        <v>3287</v>
      </c>
      <c r="J240" s="31">
        <v>3177</v>
      </c>
      <c r="K240" s="31">
        <v>3234</v>
      </c>
      <c r="L240" s="31">
        <v>3266</v>
      </c>
      <c r="N240" s="677" t="s">
        <v>6016</v>
      </c>
      <c r="O240" s="4"/>
      <c r="Q240" s="4"/>
    </row>
    <row r="241" spans="1:17">
      <c r="A241" s="677" t="s">
        <v>5929</v>
      </c>
      <c r="B241" s="677" t="s">
        <v>4424</v>
      </c>
      <c r="C241" s="4" t="s">
        <v>11781</v>
      </c>
      <c r="D241" s="680">
        <v>1900</v>
      </c>
      <c r="E241" s="680">
        <v>1936</v>
      </c>
      <c r="F241" s="680">
        <v>1985</v>
      </c>
      <c r="G241" s="30">
        <v>1949</v>
      </c>
      <c r="H241" s="30">
        <v>1936</v>
      </c>
      <c r="I241" s="30">
        <v>1937</v>
      </c>
      <c r="J241" s="30">
        <v>1957</v>
      </c>
      <c r="K241" s="30">
        <v>1997</v>
      </c>
      <c r="L241" s="30">
        <v>2063</v>
      </c>
      <c r="N241" s="677" t="s">
        <v>2539</v>
      </c>
      <c r="O241" s="4"/>
      <c r="Q241" s="4"/>
    </row>
    <row r="242" spans="1:17">
      <c r="A242" s="677" t="s">
        <v>5931</v>
      </c>
      <c r="B242" s="677" t="s">
        <v>4425</v>
      </c>
      <c r="C242" s="4" t="s">
        <v>13076</v>
      </c>
      <c r="D242" s="680">
        <v>1765</v>
      </c>
      <c r="E242" s="680">
        <v>1783</v>
      </c>
      <c r="F242" s="680">
        <v>1792</v>
      </c>
      <c r="G242" s="31">
        <v>1806</v>
      </c>
      <c r="H242" s="806">
        <v>1783</v>
      </c>
      <c r="I242" s="31">
        <v>1770</v>
      </c>
      <c r="J242" s="31">
        <v>1754</v>
      </c>
      <c r="K242" s="31">
        <v>1761</v>
      </c>
      <c r="L242" s="31">
        <v>1765</v>
      </c>
      <c r="N242" s="677" t="s">
        <v>6016</v>
      </c>
      <c r="O242" s="4"/>
      <c r="Q242" s="4"/>
    </row>
    <row r="243" spans="1:17">
      <c r="A243" s="677" t="s">
        <v>5933</v>
      </c>
      <c r="B243" s="677" t="s">
        <v>4426</v>
      </c>
      <c r="C243" s="4" t="s">
        <v>11782</v>
      </c>
      <c r="D243" s="680">
        <v>1806</v>
      </c>
      <c r="E243" s="680">
        <v>1819</v>
      </c>
      <c r="F243" s="680">
        <v>1818</v>
      </c>
      <c r="G243" s="30">
        <v>1820</v>
      </c>
      <c r="H243" s="30">
        <v>1820</v>
      </c>
      <c r="I243" s="30">
        <v>1774</v>
      </c>
      <c r="J243" s="30">
        <v>1750</v>
      </c>
      <c r="K243" s="30">
        <v>1767</v>
      </c>
      <c r="L243" s="30">
        <v>1771</v>
      </c>
      <c r="N243" s="677" t="s">
        <v>2539</v>
      </c>
      <c r="O243" s="4"/>
      <c r="Q243" s="4"/>
    </row>
    <row r="244" spans="1:17">
      <c r="A244" s="677" t="s">
        <v>7897</v>
      </c>
      <c r="B244" s="677" t="s">
        <v>4427</v>
      </c>
      <c r="C244" s="4" t="s">
        <v>11783</v>
      </c>
      <c r="D244" s="680">
        <v>3559</v>
      </c>
      <c r="E244" s="680">
        <v>3593</v>
      </c>
      <c r="F244" s="680">
        <v>3559</v>
      </c>
      <c r="G244" s="31">
        <v>3599</v>
      </c>
      <c r="H244" s="806">
        <v>3576</v>
      </c>
      <c r="I244" s="31">
        <v>3543</v>
      </c>
      <c r="J244" s="31">
        <v>3535</v>
      </c>
      <c r="K244" s="31">
        <v>3573</v>
      </c>
      <c r="L244" s="31">
        <v>3604</v>
      </c>
      <c r="N244" s="677" t="s">
        <v>6016</v>
      </c>
      <c r="O244" s="4"/>
      <c r="Q244" s="4"/>
    </row>
    <row r="245" spans="1:17">
      <c r="A245" s="677" t="s">
        <v>7898</v>
      </c>
      <c r="B245" s="677" t="s">
        <v>4428</v>
      </c>
      <c r="C245" s="4" t="s">
        <v>11784</v>
      </c>
      <c r="D245" s="680">
        <v>1788</v>
      </c>
      <c r="E245" s="680">
        <v>1788</v>
      </c>
      <c r="F245" s="680">
        <v>1803</v>
      </c>
      <c r="G245" s="31">
        <v>1817</v>
      </c>
      <c r="H245" s="806">
        <v>1788</v>
      </c>
      <c r="I245" s="31">
        <v>1756</v>
      </c>
      <c r="J245" s="31">
        <v>1764</v>
      </c>
      <c r="K245" s="31">
        <v>1788</v>
      </c>
      <c r="L245" s="31">
        <v>1786</v>
      </c>
      <c r="N245" s="677" t="s">
        <v>6016</v>
      </c>
      <c r="O245" s="4"/>
      <c r="Q245" s="4"/>
    </row>
    <row r="246" spans="1:17">
      <c r="A246" s="677" t="s">
        <v>7899</v>
      </c>
      <c r="B246" s="677" t="s">
        <v>4429</v>
      </c>
      <c r="C246" s="4" t="s">
        <v>11785</v>
      </c>
      <c r="D246" s="680">
        <v>1865</v>
      </c>
      <c r="E246" s="680">
        <v>1848</v>
      </c>
      <c r="F246" s="680">
        <v>1832</v>
      </c>
      <c r="G246" s="30">
        <v>1847</v>
      </c>
      <c r="H246" s="30">
        <v>1813</v>
      </c>
      <c r="I246" s="30">
        <v>1833</v>
      </c>
      <c r="J246" s="30">
        <v>1824</v>
      </c>
      <c r="K246" s="30">
        <v>1837</v>
      </c>
      <c r="L246" s="30">
        <v>1852</v>
      </c>
      <c r="N246" s="677" t="s">
        <v>2539</v>
      </c>
      <c r="O246" s="4"/>
      <c r="Q246" s="4"/>
    </row>
    <row r="247" spans="1:17">
      <c r="A247" s="677" t="s">
        <v>7901</v>
      </c>
      <c r="B247" s="677" t="s">
        <v>4430</v>
      </c>
      <c r="C247" s="4" t="s">
        <v>11786</v>
      </c>
      <c r="D247" s="680">
        <v>1852</v>
      </c>
      <c r="E247" s="680">
        <v>1882</v>
      </c>
      <c r="F247" s="680">
        <v>1903</v>
      </c>
      <c r="G247" s="31">
        <v>1914</v>
      </c>
      <c r="H247" s="806">
        <v>1936</v>
      </c>
      <c r="I247" s="31">
        <v>1934</v>
      </c>
      <c r="J247" s="31">
        <v>1906</v>
      </c>
      <c r="K247" s="31">
        <v>1923</v>
      </c>
      <c r="L247" s="31">
        <v>1976</v>
      </c>
      <c r="N247" s="677" t="s">
        <v>6016</v>
      </c>
      <c r="O247" s="4"/>
      <c r="Q247" s="4"/>
    </row>
    <row r="248" spans="1:17">
      <c r="D248" s="681"/>
      <c r="E248" s="681"/>
      <c r="F248" s="681"/>
      <c r="G248" s="681"/>
      <c r="H248" s="681"/>
      <c r="I248" s="681"/>
      <c r="J248" s="681"/>
      <c r="K248" s="681"/>
      <c r="L248" s="681"/>
    </row>
    <row r="249" spans="1:17">
      <c r="A249" s="678" t="s">
        <v>6071</v>
      </c>
      <c r="D249" s="681">
        <f t="shared" ref="D249:I249" si="141">D214+D226+D227+D241+D243+D246</f>
        <v>13389</v>
      </c>
      <c r="E249" s="681">
        <f t="shared" si="141"/>
        <v>13390</v>
      </c>
      <c r="F249" s="681">
        <f t="shared" si="141"/>
        <v>13358</v>
      </c>
      <c r="G249" s="681">
        <f t="shared" si="141"/>
        <v>13450</v>
      </c>
      <c r="H249" s="681">
        <f t="shared" si="141"/>
        <v>13397</v>
      </c>
      <c r="I249" s="681">
        <f t="shared" si="141"/>
        <v>13275</v>
      </c>
      <c r="J249" s="681">
        <f t="shared" ref="J249:K249" si="142">J214+J226+J227+J241+J243+J246</f>
        <v>13282</v>
      </c>
      <c r="K249" s="681">
        <f t="shared" si="142"/>
        <v>13304</v>
      </c>
      <c r="L249" s="681">
        <f t="shared" ref="L249" si="143">L214+L226+L227+L241+L243+L246</f>
        <v>13479</v>
      </c>
    </row>
    <row r="250" spans="1:17">
      <c r="A250" s="677" t="s">
        <v>6016</v>
      </c>
      <c r="D250" s="680">
        <f t="shared" ref="D250:I250" si="144">SUM(D215:D225)+SUM(D228:D240)+D242+D244+D245+D247</f>
        <v>67977</v>
      </c>
      <c r="E250" s="680">
        <f t="shared" si="144"/>
        <v>68277</v>
      </c>
      <c r="F250" s="680">
        <f t="shared" si="144"/>
        <v>68409</v>
      </c>
      <c r="G250" s="680">
        <f t="shared" si="144"/>
        <v>69005</v>
      </c>
      <c r="H250" s="680">
        <f t="shared" si="144"/>
        <v>68707</v>
      </c>
      <c r="I250" s="680">
        <f t="shared" si="144"/>
        <v>68195</v>
      </c>
      <c r="J250" s="680">
        <f t="shared" ref="J250:K250" si="145">SUM(J215:J225)+SUM(J228:J240)+J242+J244+J245+J247</f>
        <v>67640</v>
      </c>
      <c r="K250" s="680">
        <f t="shared" si="145"/>
        <v>68223</v>
      </c>
      <c r="L250" s="680">
        <f t="shared" ref="L250" si="146">SUM(L215:L225)+SUM(L228:L240)+L242+L244+L245+L247</f>
        <v>68976</v>
      </c>
    </row>
    <row r="251" spans="1:17">
      <c r="A251" s="677"/>
      <c r="D251" s="680"/>
      <c r="E251" s="680"/>
      <c r="F251" s="680"/>
      <c r="G251" s="680"/>
      <c r="H251" s="680"/>
      <c r="I251" s="680"/>
      <c r="J251" s="680"/>
      <c r="K251" s="680"/>
      <c r="L251" s="680"/>
    </row>
    <row r="252" spans="1:17">
      <c r="A252" s="677" t="s">
        <v>13073</v>
      </c>
      <c r="D252" s="680"/>
      <c r="E252" s="680"/>
      <c r="F252" s="680"/>
      <c r="G252" s="680"/>
      <c r="H252" s="680"/>
      <c r="I252" s="680"/>
      <c r="J252" s="680"/>
      <c r="K252" s="680"/>
      <c r="L252" s="680"/>
    </row>
    <row r="253" spans="1:17">
      <c r="A253" s="677" t="s">
        <v>13074</v>
      </c>
      <c r="B253" s="677"/>
      <c r="D253" s="687"/>
      <c r="E253" s="687"/>
      <c r="F253" s="687"/>
      <c r="G253" s="687"/>
      <c r="H253" s="687"/>
      <c r="I253" s="687"/>
      <c r="J253" s="687"/>
      <c r="K253" s="687"/>
      <c r="L253" s="687"/>
    </row>
    <row r="254" spans="1:17">
      <c r="A254" s="677"/>
      <c r="B254" s="677"/>
      <c r="D254" s="687"/>
      <c r="E254" s="687"/>
      <c r="F254" s="687"/>
      <c r="G254" s="687"/>
      <c r="H254" s="687"/>
      <c r="I254" s="687"/>
      <c r="J254" s="687"/>
      <c r="K254" s="687"/>
      <c r="L254" s="687"/>
    </row>
    <row r="255" spans="1:17">
      <c r="A255" s="677"/>
      <c r="B255" s="677"/>
      <c r="D255" s="687"/>
      <c r="E255" s="687"/>
      <c r="F255" s="687"/>
      <c r="G255" s="687"/>
      <c r="H255" s="687"/>
      <c r="I255" s="687"/>
      <c r="J255" s="687"/>
      <c r="K255" s="687"/>
      <c r="L255" s="687"/>
    </row>
    <row r="256" spans="1:17">
      <c r="E256" s="42" t="s">
        <v>2303</v>
      </c>
      <c r="F256" s="42"/>
      <c r="G256" s="42"/>
      <c r="H256" s="42"/>
      <c r="I256" s="42"/>
      <c r="J256" s="42"/>
      <c r="K256" s="42"/>
      <c r="L256" s="42"/>
      <c r="M256" s="109"/>
      <c r="N256" s="109" t="s">
        <v>13319</v>
      </c>
    </row>
    <row r="257" spans="1:17">
      <c r="D257" s="679">
        <v>2010</v>
      </c>
      <c r="E257" s="679">
        <v>2011</v>
      </c>
      <c r="F257" s="679">
        <v>2012</v>
      </c>
      <c r="G257" s="679">
        <v>2013</v>
      </c>
      <c r="H257" s="679">
        <v>2014</v>
      </c>
      <c r="I257" s="679">
        <v>2015</v>
      </c>
      <c r="J257" s="679">
        <v>2016</v>
      </c>
      <c r="K257" s="679">
        <v>2017</v>
      </c>
      <c r="L257" s="679">
        <v>2018</v>
      </c>
      <c r="N257" s="112" t="s">
        <v>2304</v>
      </c>
    </row>
    <row r="258" spans="1:17">
      <c r="A258" s="677" t="s">
        <v>4431</v>
      </c>
      <c r="D258" s="680">
        <f t="shared" ref="D258:I258" si="147">SUM(D259:D271)</f>
        <v>97431</v>
      </c>
      <c r="E258" s="680">
        <f t="shared" si="147"/>
        <v>98569</v>
      </c>
      <c r="F258" s="680">
        <f t="shared" si="147"/>
        <v>98771</v>
      </c>
      <c r="G258" s="680">
        <f t="shared" si="147"/>
        <v>97924</v>
      </c>
      <c r="H258" s="680">
        <f t="shared" si="147"/>
        <v>98595</v>
      </c>
      <c r="I258" s="680">
        <f t="shared" si="147"/>
        <v>93985</v>
      </c>
      <c r="J258" s="680">
        <f t="shared" ref="J258:K258" si="148">SUM(J259:J271)</f>
        <v>93077</v>
      </c>
      <c r="K258" s="680">
        <f t="shared" si="148"/>
        <v>93894</v>
      </c>
      <c r="L258" s="680">
        <f t="shared" ref="L258" si="149">SUM(L259:L271)</f>
        <v>96154</v>
      </c>
    </row>
    <row r="259" spans="1:17">
      <c r="A259" s="677" t="s">
        <v>6957</v>
      </c>
      <c r="B259" s="677" t="s">
        <v>4432</v>
      </c>
      <c r="C259" s="4" t="s">
        <v>11787</v>
      </c>
      <c r="D259" s="680">
        <v>8210</v>
      </c>
      <c r="E259" s="680">
        <v>8189</v>
      </c>
      <c r="F259" s="680">
        <v>8166</v>
      </c>
      <c r="G259" s="680">
        <v>8013</v>
      </c>
      <c r="H259" s="48">
        <v>8249</v>
      </c>
      <c r="I259" s="48">
        <v>7974</v>
      </c>
      <c r="J259" s="48">
        <v>7872</v>
      </c>
      <c r="K259" s="48">
        <v>7713</v>
      </c>
      <c r="L259" s="48">
        <v>8122</v>
      </c>
      <c r="N259" s="677" t="s">
        <v>6021</v>
      </c>
      <c r="O259" s="4"/>
      <c r="Q259" s="4"/>
    </row>
    <row r="260" spans="1:17">
      <c r="A260" s="677" t="s">
        <v>6959</v>
      </c>
      <c r="B260" s="677" t="s">
        <v>4433</v>
      </c>
      <c r="C260" s="4" t="s">
        <v>11788</v>
      </c>
      <c r="D260" s="680">
        <v>7465</v>
      </c>
      <c r="E260" s="680">
        <v>7544</v>
      </c>
      <c r="F260" s="680">
        <v>7427</v>
      </c>
      <c r="G260" s="680">
        <v>7438</v>
      </c>
      <c r="H260" s="48">
        <v>7577</v>
      </c>
      <c r="I260" s="48">
        <v>7321</v>
      </c>
      <c r="J260" s="48">
        <v>7267</v>
      </c>
      <c r="K260" s="48">
        <v>7391</v>
      </c>
      <c r="L260" s="48">
        <v>7457</v>
      </c>
      <c r="N260" s="677" t="s">
        <v>6019</v>
      </c>
      <c r="O260" s="4"/>
      <c r="Q260" s="4"/>
    </row>
    <row r="261" spans="1:17">
      <c r="A261" s="677" t="s">
        <v>6961</v>
      </c>
      <c r="B261" s="677" t="s">
        <v>4434</v>
      </c>
      <c r="C261" s="4" t="s">
        <v>11789</v>
      </c>
      <c r="D261" s="680">
        <v>7133</v>
      </c>
      <c r="E261" s="680">
        <v>7211</v>
      </c>
      <c r="F261" s="680">
        <v>7162</v>
      </c>
      <c r="G261" s="680">
        <v>7222</v>
      </c>
      <c r="H261" s="48">
        <v>7190</v>
      </c>
      <c r="I261" s="48">
        <v>6972</v>
      </c>
      <c r="J261" s="48">
        <v>6943</v>
      </c>
      <c r="K261" s="48">
        <v>7061</v>
      </c>
      <c r="L261" s="48">
        <v>7091</v>
      </c>
      <c r="N261" s="677" t="s">
        <v>6019</v>
      </c>
      <c r="O261" s="4"/>
      <c r="Q261" s="4"/>
    </row>
    <row r="262" spans="1:17">
      <c r="A262" s="677" t="s">
        <v>6963</v>
      </c>
      <c r="B262" s="677" t="s">
        <v>4435</v>
      </c>
      <c r="C262" s="4" t="s">
        <v>11790</v>
      </c>
      <c r="D262" s="680">
        <v>7232</v>
      </c>
      <c r="E262" s="680">
        <v>7223</v>
      </c>
      <c r="F262" s="680">
        <v>7223</v>
      </c>
      <c r="G262" s="680">
        <v>7126</v>
      </c>
      <c r="H262" s="48">
        <v>7237</v>
      </c>
      <c r="I262" s="48">
        <v>7152</v>
      </c>
      <c r="J262" s="48">
        <v>7167</v>
      </c>
      <c r="K262" s="48">
        <v>7204</v>
      </c>
      <c r="L262" s="48">
        <v>7189</v>
      </c>
      <c r="N262" s="677" t="s">
        <v>6021</v>
      </c>
      <c r="O262" s="4"/>
      <c r="Q262" s="4"/>
    </row>
    <row r="263" spans="1:17">
      <c r="A263" s="677" t="s">
        <v>6965</v>
      </c>
      <c r="B263" s="677" t="s">
        <v>4436</v>
      </c>
      <c r="C263" s="4" t="s">
        <v>11791</v>
      </c>
      <c r="D263" s="680">
        <v>6990</v>
      </c>
      <c r="E263" s="680">
        <v>7028</v>
      </c>
      <c r="F263" s="680">
        <v>7068</v>
      </c>
      <c r="G263" s="680">
        <v>7137</v>
      </c>
      <c r="H263" s="48">
        <v>7026</v>
      </c>
      <c r="I263" s="48">
        <v>6767</v>
      </c>
      <c r="J263" s="48">
        <v>6709</v>
      </c>
      <c r="K263" s="48">
        <v>6868</v>
      </c>
      <c r="L263" s="48">
        <v>6986</v>
      </c>
      <c r="N263" s="677" t="s">
        <v>6021</v>
      </c>
      <c r="O263" s="4"/>
      <c r="Q263" s="4"/>
    </row>
    <row r="264" spans="1:17">
      <c r="A264" s="677" t="s">
        <v>6997</v>
      </c>
      <c r="B264" s="677" t="s">
        <v>4437</v>
      </c>
      <c r="C264" s="4" t="s">
        <v>11792</v>
      </c>
      <c r="D264" s="680">
        <v>7570</v>
      </c>
      <c r="E264" s="680">
        <v>7666</v>
      </c>
      <c r="F264" s="680">
        <v>7671</v>
      </c>
      <c r="G264" s="680">
        <v>7598</v>
      </c>
      <c r="H264" s="48">
        <v>7813</v>
      </c>
      <c r="I264" s="48">
        <v>7413</v>
      </c>
      <c r="J264" s="48">
        <v>7466</v>
      </c>
      <c r="K264" s="48">
        <v>7612</v>
      </c>
      <c r="L264" s="48">
        <v>7861</v>
      </c>
      <c r="N264" s="677" t="s">
        <v>6021</v>
      </c>
      <c r="O264" s="4"/>
      <c r="Q264" s="4"/>
    </row>
    <row r="265" spans="1:17">
      <c r="A265" s="677" t="s">
        <v>6999</v>
      </c>
      <c r="B265" s="677" t="s">
        <v>4438</v>
      </c>
      <c r="C265" s="4" t="s">
        <v>11793</v>
      </c>
      <c r="D265" s="680">
        <v>7215</v>
      </c>
      <c r="E265" s="680">
        <v>7246</v>
      </c>
      <c r="F265" s="680">
        <v>7329</v>
      </c>
      <c r="G265" s="680">
        <v>7381</v>
      </c>
      <c r="H265" s="48">
        <v>7410</v>
      </c>
      <c r="I265" s="48">
        <v>7101</v>
      </c>
      <c r="J265" s="48">
        <v>6939</v>
      </c>
      <c r="K265" s="48">
        <v>7054</v>
      </c>
      <c r="L265" s="48">
        <v>7214</v>
      </c>
      <c r="N265" s="677" t="s">
        <v>6019</v>
      </c>
      <c r="O265" s="4"/>
      <c r="Q265" s="4"/>
    </row>
    <row r="266" spans="1:17">
      <c r="A266" s="677" t="s">
        <v>7001</v>
      </c>
      <c r="B266" s="677" t="s">
        <v>6034</v>
      </c>
      <c r="C266" s="4" t="s">
        <v>11794</v>
      </c>
      <c r="D266" s="680">
        <v>7339</v>
      </c>
      <c r="E266" s="680">
        <v>7350</v>
      </c>
      <c r="F266" s="680">
        <v>7244</v>
      </c>
      <c r="G266" s="680">
        <v>6903</v>
      </c>
      <c r="H266" s="48">
        <v>6908</v>
      </c>
      <c r="I266" s="48">
        <v>6655</v>
      </c>
      <c r="J266" s="48">
        <v>6650</v>
      </c>
      <c r="K266" s="48">
        <v>6576</v>
      </c>
      <c r="L266" s="48">
        <v>7010</v>
      </c>
      <c r="N266" s="677" t="s">
        <v>6021</v>
      </c>
      <c r="O266" s="4"/>
      <c r="Q266" s="4"/>
    </row>
    <row r="267" spans="1:17">
      <c r="A267" s="677" t="s">
        <v>7003</v>
      </c>
      <c r="B267" s="677" t="s">
        <v>4439</v>
      </c>
      <c r="C267" s="4" t="s">
        <v>11795</v>
      </c>
      <c r="D267" s="680">
        <v>7356</v>
      </c>
      <c r="E267" s="680">
        <v>7264</v>
      </c>
      <c r="F267" s="680">
        <v>7371</v>
      </c>
      <c r="G267" s="680">
        <v>7418</v>
      </c>
      <c r="H267" s="48">
        <v>7373</v>
      </c>
      <c r="I267" s="48">
        <v>7103</v>
      </c>
      <c r="J267" s="48">
        <v>7091</v>
      </c>
      <c r="K267" s="48">
        <v>7328</v>
      </c>
      <c r="L267" s="48">
        <v>7329</v>
      </c>
      <c r="N267" s="677" t="s">
        <v>6019</v>
      </c>
      <c r="O267" s="4"/>
      <c r="Q267" s="4"/>
    </row>
    <row r="268" spans="1:17">
      <c r="A268" s="677" t="s">
        <v>7005</v>
      </c>
      <c r="B268" s="677" t="s">
        <v>4440</v>
      </c>
      <c r="C268" s="4" t="s">
        <v>11796</v>
      </c>
      <c r="D268" s="680">
        <v>7968</v>
      </c>
      <c r="E268" s="680">
        <v>8148</v>
      </c>
      <c r="F268" s="680">
        <v>8222</v>
      </c>
      <c r="G268" s="680">
        <v>8298</v>
      </c>
      <c r="H268" s="48">
        <v>8437</v>
      </c>
      <c r="I268" s="48">
        <v>8089</v>
      </c>
      <c r="J268" s="48">
        <v>8199</v>
      </c>
      <c r="K268" s="48">
        <v>8363</v>
      </c>
      <c r="L268" s="48">
        <v>8621</v>
      </c>
      <c r="N268" s="677" t="s">
        <v>6021</v>
      </c>
      <c r="O268" s="4"/>
      <c r="Q268" s="4"/>
    </row>
    <row r="269" spans="1:17">
      <c r="A269" s="677" t="s">
        <v>7007</v>
      </c>
      <c r="B269" s="677" t="s">
        <v>4441</v>
      </c>
      <c r="C269" s="4" t="s">
        <v>11797</v>
      </c>
      <c r="D269" s="680">
        <v>7801</v>
      </c>
      <c r="E269" s="680">
        <v>8253</v>
      </c>
      <c r="F269" s="680">
        <v>8271</v>
      </c>
      <c r="G269" s="680">
        <v>8047</v>
      </c>
      <c r="H269" s="48">
        <v>8190</v>
      </c>
      <c r="I269" s="48">
        <v>7954</v>
      </c>
      <c r="J269" s="48">
        <v>7968</v>
      </c>
      <c r="K269" s="48">
        <v>8080</v>
      </c>
      <c r="L269" s="48">
        <v>8281</v>
      </c>
      <c r="N269" s="677" t="s">
        <v>6021</v>
      </c>
      <c r="O269" s="4"/>
      <c r="Q269" s="4"/>
    </row>
    <row r="270" spans="1:17">
      <c r="A270" s="677" t="s">
        <v>7009</v>
      </c>
      <c r="B270" s="677" t="s">
        <v>2725</v>
      </c>
      <c r="C270" s="4" t="s">
        <v>11798</v>
      </c>
      <c r="D270" s="680">
        <v>7381</v>
      </c>
      <c r="E270" s="680">
        <v>7506</v>
      </c>
      <c r="F270" s="680">
        <v>7564</v>
      </c>
      <c r="G270" s="680">
        <v>7384</v>
      </c>
      <c r="H270" s="48">
        <v>7264</v>
      </c>
      <c r="I270" s="48">
        <v>5848</v>
      </c>
      <c r="J270" s="48">
        <v>5101</v>
      </c>
      <c r="K270" s="48">
        <v>5049</v>
      </c>
      <c r="L270" s="48">
        <v>5053</v>
      </c>
      <c r="N270" s="677" t="s">
        <v>6021</v>
      </c>
      <c r="O270" s="4"/>
      <c r="Q270" s="4"/>
    </row>
    <row r="271" spans="1:17">
      <c r="A271" s="677" t="s">
        <v>7011</v>
      </c>
      <c r="B271" s="677" t="s">
        <v>4429</v>
      </c>
      <c r="C271" s="4" t="s">
        <v>11799</v>
      </c>
      <c r="D271" s="680">
        <v>7771</v>
      </c>
      <c r="E271" s="680">
        <v>7941</v>
      </c>
      <c r="F271" s="680">
        <v>8053</v>
      </c>
      <c r="G271" s="680">
        <v>7959</v>
      </c>
      <c r="H271" s="48">
        <v>7921</v>
      </c>
      <c r="I271" s="48">
        <v>7636</v>
      </c>
      <c r="J271" s="48">
        <v>7705</v>
      </c>
      <c r="K271" s="48">
        <v>7595</v>
      </c>
      <c r="L271" s="48">
        <v>7940</v>
      </c>
      <c r="N271" s="677" t="s">
        <v>6021</v>
      </c>
      <c r="O271" s="4"/>
      <c r="Q271" s="4"/>
    </row>
    <row r="272" spans="1:17">
      <c r="D272" s="681"/>
      <c r="E272" s="681"/>
      <c r="F272" s="681"/>
      <c r="G272" s="681"/>
      <c r="H272" s="681"/>
      <c r="I272" s="681"/>
      <c r="J272" s="681"/>
      <c r="K272" s="681"/>
      <c r="L272" s="681"/>
    </row>
    <row r="273" spans="1:17">
      <c r="A273" s="677" t="s">
        <v>6072</v>
      </c>
      <c r="D273" s="680">
        <f t="shared" ref="D273:I273" si="150">D260+D261+D265+D267</f>
        <v>29169</v>
      </c>
      <c r="E273" s="680">
        <f t="shared" si="150"/>
        <v>29265</v>
      </c>
      <c r="F273" s="680">
        <f t="shared" si="150"/>
        <v>29289</v>
      </c>
      <c r="G273" s="680">
        <f t="shared" si="150"/>
        <v>29459</v>
      </c>
      <c r="H273" s="680">
        <f t="shared" si="150"/>
        <v>29550</v>
      </c>
      <c r="I273" s="680">
        <f t="shared" si="150"/>
        <v>28497</v>
      </c>
      <c r="J273" s="680">
        <f t="shared" ref="J273:K273" si="151">J260+J261+J265+J267</f>
        <v>28240</v>
      </c>
      <c r="K273" s="680">
        <f t="shared" si="151"/>
        <v>28834</v>
      </c>
      <c r="L273" s="680">
        <f t="shared" ref="L273" si="152">L260+L261+L265+L267</f>
        <v>29091</v>
      </c>
    </row>
    <row r="274" spans="1:17">
      <c r="A274" s="677" t="s">
        <v>2726</v>
      </c>
      <c r="D274" s="680">
        <f t="shared" ref="D274:I274" si="153">D259+SUM(D262:D264)+D266+SUM(D268:D271)</f>
        <v>68262</v>
      </c>
      <c r="E274" s="680">
        <f t="shared" si="153"/>
        <v>69304</v>
      </c>
      <c r="F274" s="680">
        <f t="shared" si="153"/>
        <v>69482</v>
      </c>
      <c r="G274" s="680">
        <f t="shared" si="153"/>
        <v>68465</v>
      </c>
      <c r="H274" s="680">
        <f t="shared" si="153"/>
        <v>69045</v>
      </c>
      <c r="I274" s="680">
        <f t="shared" si="153"/>
        <v>65488</v>
      </c>
      <c r="J274" s="680">
        <f t="shared" ref="J274:K274" si="154">J259+SUM(J262:J264)+J266+SUM(J268:J271)</f>
        <v>64837</v>
      </c>
      <c r="K274" s="680">
        <f t="shared" si="154"/>
        <v>65060</v>
      </c>
      <c r="L274" s="680">
        <f t="shared" ref="L274" si="155">L259+SUM(L262:L264)+L266+SUM(L268:L271)</f>
        <v>67063</v>
      </c>
    </row>
    <row r="275" spans="1:17">
      <c r="A275" s="677"/>
      <c r="D275" s="680"/>
      <c r="E275" s="680"/>
      <c r="F275" s="680"/>
      <c r="G275" s="680"/>
      <c r="H275" s="680"/>
      <c r="I275" s="680"/>
      <c r="J275" s="680"/>
      <c r="K275" s="680"/>
      <c r="L275" s="680"/>
    </row>
    <row r="276" spans="1:17">
      <c r="A276" s="677" t="s">
        <v>2727</v>
      </c>
      <c r="D276" s="680"/>
      <c r="E276" s="680"/>
      <c r="F276" s="680"/>
      <c r="G276" s="680"/>
      <c r="H276" s="680"/>
      <c r="I276" s="680"/>
      <c r="J276" s="680"/>
      <c r="K276" s="680"/>
      <c r="L276" s="680"/>
    </row>
    <row r="277" spans="1:17">
      <c r="A277" s="677"/>
      <c r="B277" s="677"/>
      <c r="D277" s="687"/>
      <c r="E277" s="687"/>
      <c r="F277" s="687"/>
      <c r="G277" s="687"/>
      <c r="H277" s="687"/>
      <c r="I277" s="687"/>
      <c r="J277" s="687"/>
      <c r="K277" s="687"/>
      <c r="L277" s="687"/>
    </row>
    <row r="278" spans="1:17">
      <c r="A278" s="677"/>
      <c r="B278" s="677"/>
      <c r="D278" s="687"/>
      <c r="E278" s="687"/>
      <c r="F278" s="687"/>
      <c r="G278" s="687"/>
      <c r="H278" s="687"/>
      <c r="I278" s="687"/>
      <c r="J278" s="687"/>
      <c r="K278" s="687"/>
      <c r="L278" s="687"/>
    </row>
    <row r="279" spans="1:17">
      <c r="E279" s="42" t="s">
        <v>2303</v>
      </c>
      <c r="F279" s="42"/>
      <c r="G279" s="42"/>
      <c r="H279" s="42"/>
      <c r="I279" s="42"/>
      <c r="J279" s="42"/>
      <c r="K279" s="42"/>
      <c r="L279" s="42"/>
      <c r="M279" s="109"/>
      <c r="N279" s="109" t="s">
        <v>13319</v>
      </c>
    </row>
    <row r="280" spans="1:17">
      <c r="D280" s="679">
        <v>2010</v>
      </c>
      <c r="E280" s="679">
        <v>2011</v>
      </c>
      <c r="F280" s="679">
        <v>2012</v>
      </c>
      <c r="G280" s="679">
        <v>2013</v>
      </c>
      <c r="H280" s="679">
        <v>2014</v>
      </c>
      <c r="I280" s="679">
        <v>2015</v>
      </c>
      <c r="J280" s="679">
        <v>2016</v>
      </c>
      <c r="K280" s="679">
        <v>2017</v>
      </c>
      <c r="L280" s="679">
        <v>2018</v>
      </c>
      <c r="N280" s="112" t="s">
        <v>2304</v>
      </c>
    </row>
    <row r="281" spans="1:17">
      <c r="A281" s="677" t="s">
        <v>2728</v>
      </c>
      <c r="D281" s="680">
        <f t="shared" ref="D281:I281" si="156">SUM(D282:D303)+SUM(D305:D319)</f>
        <v>95769</v>
      </c>
      <c r="E281" s="680">
        <f t="shared" si="156"/>
        <v>97093</v>
      </c>
      <c r="F281" s="680">
        <f t="shared" si="156"/>
        <v>97804</v>
      </c>
      <c r="G281" s="680">
        <f t="shared" si="156"/>
        <v>99227</v>
      </c>
      <c r="H281" s="680">
        <f t="shared" si="156"/>
        <v>99183</v>
      </c>
      <c r="I281" s="680">
        <f t="shared" si="156"/>
        <v>97771</v>
      </c>
      <c r="J281" s="680">
        <f t="shared" ref="J281:K281" si="157">SUM(J282:J303)+SUM(J305:J319)</f>
        <v>98595</v>
      </c>
      <c r="K281" s="680">
        <f t="shared" si="157"/>
        <v>103887</v>
      </c>
      <c r="L281" s="680">
        <f t="shared" ref="L281" si="158">SUM(L282:L303)+SUM(L305:L319)</f>
        <v>103957</v>
      </c>
    </row>
    <row r="282" spans="1:17">
      <c r="A282" s="677" t="s">
        <v>6957</v>
      </c>
      <c r="B282" s="677" t="s">
        <v>8199</v>
      </c>
      <c r="C282" s="4" t="s">
        <v>11800</v>
      </c>
      <c r="D282" s="680">
        <v>2326</v>
      </c>
      <c r="E282" s="680">
        <v>2296</v>
      </c>
      <c r="F282" s="680">
        <v>2266</v>
      </c>
      <c r="G282" s="30">
        <v>2273</v>
      </c>
      <c r="H282" s="30">
        <v>2244</v>
      </c>
      <c r="I282" s="30">
        <v>2216</v>
      </c>
      <c r="J282" s="30">
        <v>2214</v>
      </c>
      <c r="K282" s="30">
        <v>2351</v>
      </c>
      <c r="L282" s="30">
        <v>2295</v>
      </c>
      <c r="N282" s="677" t="s">
        <v>6013</v>
      </c>
      <c r="O282" s="4"/>
      <c r="Q282" s="4"/>
    </row>
    <row r="283" spans="1:17">
      <c r="A283" s="677" t="s">
        <v>6959</v>
      </c>
      <c r="B283" s="677" t="s">
        <v>2729</v>
      </c>
      <c r="C283" s="4" t="s">
        <v>11823</v>
      </c>
      <c r="D283" s="680">
        <v>1772</v>
      </c>
      <c r="E283" s="680">
        <v>1786</v>
      </c>
      <c r="F283" s="680">
        <v>1801</v>
      </c>
      <c r="G283" s="30">
        <v>1808</v>
      </c>
      <c r="H283" s="30">
        <v>1818</v>
      </c>
      <c r="I283" s="30">
        <v>1807</v>
      </c>
      <c r="J283" s="30">
        <v>1818</v>
      </c>
      <c r="K283" s="30">
        <v>1897</v>
      </c>
      <c r="L283" s="30">
        <v>1856</v>
      </c>
      <c r="N283" s="677" t="s">
        <v>7848</v>
      </c>
      <c r="O283" s="4"/>
      <c r="Q283" s="4"/>
    </row>
    <row r="284" spans="1:17">
      <c r="A284" s="677" t="s">
        <v>6961</v>
      </c>
      <c r="B284" s="677" t="s">
        <v>2730</v>
      </c>
      <c r="C284" s="4" t="s">
        <v>11824</v>
      </c>
      <c r="D284" s="680">
        <v>2238</v>
      </c>
      <c r="E284" s="680">
        <v>2257</v>
      </c>
      <c r="F284" s="680">
        <v>2269</v>
      </c>
      <c r="G284" s="30">
        <v>2265</v>
      </c>
      <c r="H284" s="30">
        <v>2286</v>
      </c>
      <c r="I284" s="30">
        <v>2227</v>
      </c>
      <c r="J284" s="30">
        <v>2228</v>
      </c>
      <c r="K284" s="30">
        <v>2359</v>
      </c>
      <c r="L284" s="30">
        <v>2300</v>
      </c>
      <c r="N284" s="677" t="s">
        <v>7848</v>
      </c>
      <c r="O284" s="4"/>
      <c r="Q284" s="4"/>
    </row>
    <row r="285" spans="1:17">
      <c r="A285" s="677" t="s">
        <v>6963</v>
      </c>
      <c r="B285" s="677" t="s">
        <v>2731</v>
      </c>
      <c r="C285" s="4" t="s">
        <v>11801</v>
      </c>
      <c r="D285" s="680">
        <v>2095</v>
      </c>
      <c r="E285" s="680">
        <v>2148</v>
      </c>
      <c r="F285" s="680">
        <v>2151</v>
      </c>
      <c r="G285" s="30">
        <v>2156</v>
      </c>
      <c r="H285" s="30">
        <v>2101</v>
      </c>
      <c r="I285" s="30">
        <v>2078</v>
      </c>
      <c r="J285" s="30">
        <v>2085</v>
      </c>
      <c r="K285" s="30">
        <v>2147</v>
      </c>
      <c r="L285" s="30">
        <v>2140</v>
      </c>
      <c r="N285" s="677" t="s">
        <v>7848</v>
      </c>
      <c r="O285" s="4"/>
      <c r="Q285" s="4"/>
    </row>
    <row r="286" spans="1:17">
      <c r="A286" s="677" t="s">
        <v>6965</v>
      </c>
      <c r="B286" s="677" t="s">
        <v>2732</v>
      </c>
      <c r="C286" s="4" t="s">
        <v>11802</v>
      </c>
      <c r="D286" s="680">
        <v>2118</v>
      </c>
      <c r="E286" s="680">
        <v>2148</v>
      </c>
      <c r="F286" s="680">
        <v>2171</v>
      </c>
      <c r="G286" s="30">
        <v>2173</v>
      </c>
      <c r="H286" s="30">
        <v>2124</v>
      </c>
      <c r="I286" s="30">
        <v>2118</v>
      </c>
      <c r="J286" s="30">
        <v>2166</v>
      </c>
      <c r="K286" s="30">
        <v>2271</v>
      </c>
      <c r="L286" s="30">
        <v>2252</v>
      </c>
      <c r="N286" s="677" t="s">
        <v>7848</v>
      </c>
      <c r="O286" s="4"/>
      <c r="Q286" s="4"/>
    </row>
    <row r="287" spans="1:17">
      <c r="A287" s="677" t="s">
        <v>6997</v>
      </c>
      <c r="B287" s="677" t="s">
        <v>2733</v>
      </c>
      <c r="C287" s="4" t="s">
        <v>11825</v>
      </c>
      <c r="D287" s="680">
        <v>2130</v>
      </c>
      <c r="E287" s="680">
        <v>2166</v>
      </c>
      <c r="F287" s="680">
        <v>2186</v>
      </c>
      <c r="G287" s="30">
        <v>2177</v>
      </c>
      <c r="H287" s="30">
        <v>2168</v>
      </c>
      <c r="I287" s="30">
        <v>2128</v>
      </c>
      <c r="J287" s="30">
        <v>2108</v>
      </c>
      <c r="K287" s="30">
        <v>2210</v>
      </c>
      <c r="L287" s="30">
        <v>2170</v>
      </c>
      <c r="N287" s="677" t="s">
        <v>7848</v>
      </c>
      <c r="O287" s="4"/>
      <c r="Q287" s="4"/>
    </row>
    <row r="288" spans="1:17">
      <c r="A288" s="677" t="s">
        <v>6999</v>
      </c>
      <c r="B288" s="677" t="s">
        <v>2734</v>
      </c>
      <c r="C288" s="4" t="s">
        <v>11826</v>
      </c>
      <c r="D288" s="689">
        <v>3652</v>
      </c>
      <c r="E288" s="689">
        <v>3825</v>
      </c>
      <c r="F288" s="689">
        <v>3911</v>
      </c>
      <c r="G288" s="30">
        <v>4032</v>
      </c>
      <c r="H288" s="30">
        <v>4171</v>
      </c>
      <c r="I288" s="30">
        <v>4251</v>
      </c>
      <c r="J288" s="30">
        <v>4448</v>
      </c>
      <c r="K288" s="30">
        <v>4857</v>
      </c>
      <c r="L288" s="30">
        <v>4968</v>
      </c>
      <c r="N288" s="677" t="s">
        <v>7848</v>
      </c>
      <c r="O288" s="4"/>
      <c r="Q288" s="4"/>
    </row>
    <row r="289" spans="1:17">
      <c r="A289" s="677" t="s">
        <v>7001</v>
      </c>
      <c r="B289" s="677" t="s">
        <v>2735</v>
      </c>
      <c r="C289" s="4" t="s">
        <v>11827</v>
      </c>
      <c r="D289" s="680">
        <v>1910</v>
      </c>
      <c r="E289" s="680">
        <v>1970</v>
      </c>
      <c r="F289" s="680">
        <v>1992</v>
      </c>
      <c r="G289" s="30">
        <v>2067</v>
      </c>
      <c r="H289" s="30">
        <v>2055</v>
      </c>
      <c r="I289" s="30">
        <v>2016</v>
      </c>
      <c r="J289" s="30">
        <v>2026</v>
      </c>
      <c r="K289" s="30">
        <v>2153</v>
      </c>
      <c r="L289" s="30">
        <v>2211</v>
      </c>
      <c r="N289" s="677" t="s">
        <v>6013</v>
      </c>
      <c r="O289" s="4"/>
      <c r="Q289" s="4"/>
    </row>
    <row r="290" spans="1:17">
      <c r="A290" s="677" t="s">
        <v>7003</v>
      </c>
      <c r="B290" s="677" t="s">
        <v>1047</v>
      </c>
      <c r="C290" s="4" t="s">
        <v>11803</v>
      </c>
      <c r="D290" s="680">
        <v>2212</v>
      </c>
      <c r="E290" s="680">
        <v>2246</v>
      </c>
      <c r="F290" s="680">
        <v>2210</v>
      </c>
      <c r="G290" s="30">
        <v>2228</v>
      </c>
      <c r="H290" s="30">
        <v>2213</v>
      </c>
      <c r="I290" s="30">
        <v>2158</v>
      </c>
      <c r="J290" s="30">
        <v>2169</v>
      </c>
      <c r="K290" s="30">
        <v>2257</v>
      </c>
      <c r="L290" s="30">
        <v>2215</v>
      </c>
      <c r="N290" s="677" t="s">
        <v>7848</v>
      </c>
      <c r="O290" s="4"/>
      <c r="Q290" s="4"/>
    </row>
    <row r="291" spans="1:17">
      <c r="A291" s="677" t="s">
        <v>7005</v>
      </c>
      <c r="B291" s="677" t="s">
        <v>1048</v>
      </c>
      <c r="C291" s="4" t="s">
        <v>11828</v>
      </c>
      <c r="D291" s="680">
        <v>5645</v>
      </c>
      <c r="E291" s="680">
        <v>5788</v>
      </c>
      <c r="F291" s="680">
        <v>5852</v>
      </c>
      <c r="G291" s="31">
        <v>5969</v>
      </c>
      <c r="H291" s="31">
        <v>5923</v>
      </c>
      <c r="I291" s="31">
        <v>5773</v>
      </c>
      <c r="J291" s="31">
        <v>5757</v>
      </c>
      <c r="K291" s="31">
        <v>6069</v>
      </c>
      <c r="L291" s="31">
        <v>6103</v>
      </c>
      <c r="N291" s="677" t="s">
        <v>7848</v>
      </c>
      <c r="O291" s="4"/>
      <c r="Q291" s="4"/>
    </row>
    <row r="292" spans="1:17">
      <c r="A292" s="677" t="s">
        <v>7007</v>
      </c>
      <c r="B292" s="677" t="s">
        <v>1049</v>
      </c>
      <c r="C292" s="4" t="s">
        <v>11804</v>
      </c>
      <c r="D292" s="680">
        <v>1931</v>
      </c>
      <c r="E292" s="680">
        <v>1922</v>
      </c>
      <c r="F292" s="680">
        <v>1937</v>
      </c>
      <c r="G292" s="31">
        <v>1941</v>
      </c>
      <c r="H292" s="31">
        <v>1921</v>
      </c>
      <c r="I292" s="31">
        <v>1902</v>
      </c>
      <c r="J292" s="31">
        <v>1945</v>
      </c>
      <c r="K292" s="31">
        <v>2113</v>
      </c>
      <c r="L292" s="31">
        <v>2090</v>
      </c>
      <c r="N292" s="677" t="s">
        <v>7848</v>
      </c>
      <c r="O292" s="4"/>
      <c r="Q292" s="4"/>
    </row>
    <row r="293" spans="1:17">
      <c r="A293" s="677" t="s">
        <v>7009</v>
      </c>
      <c r="B293" s="677" t="s">
        <v>4401</v>
      </c>
      <c r="C293" s="4" t="s">
        <v>11829</v>
      </c>
      <c r="D293" s="680">
        <v>2063</v>
      </c>
      <c r="E293" s="680">
        <v>2022</v>
      </c>
      <c r="F293" s="680">
        <v>2043</v>
      </c>
      <c r="G293" s="31">
        <v>2044</v>
      </c>
      <c r="H293" s="31">
        <v>2048</v>
      </c>
      <c r="I293" s="31">
        <v>1987</v>
      </c>
      <c r="J293" s="31">
        <v>1986</v>
      </c>
      <c r="K293" s="31">
        <v>2080</v>
      </c>
      <c r="L293" s="31">
        <v>2051</v>
      </c>
      <c r="N293" s="677" t="s">
        <v>7848</v>
      </c>
      <c r="O293" s="4"/>
      <c r="Q293" s="4"/>
    </row>
    <row r="294" spans="1:17">
      <c r="A294" s="677" t="s">
        <v>7011</v>
      </c>
      <c r="B294" s="677" t="s">
        <v>7937</v>
      </c>
      <c r="C294" s="4" t="s">
        <v>11805</v>
      </c>
      <c r="D294" s="680">
        <v>2106</v>
      </c>
      <c r="E294" s="680">
        <v>2091</v>
      </c>
      <c r="F294" s="680">
        <v>2112</v>
      </c>
      <c r="G294" s="31">
        <v>2118</v>
      </c>
      <c r="H294" s="31">
        <v>2078</v>
      </c>
      <c r="I294" s="31">
        <v>2042</v>
      </c>
      <c r="J294" s="31">
        <v>2039</v>
      </c>
      <c r="K294" s="31">
        <v>2115</v>
      </c>
      <c r="L294" s="31">
        <v>2091</v>
      </c>
      <c r="N294" s="677" t="s">
        <v>7848</v>
      </c>
      <c r="O294" s="4"/>
      <c r="Q294" s="4"/>
    </row>
    <row r="295" spans="1:17">
      <c r="A295" s="677" t="s">
        <v>7013</v>
      </c>
      <c r="B295" s="677" t="s">
        <v>4402</v>
      </c>
      <c r="C295" s="4" t="s">
        <v>11806</v>
      </c>
      <c r="D295" s="680">
        <v>2165</v>
      </c>
      <c r="E295" s="680">
        <v>2208</v>
      </c>
      <c r="F295" s="680">
        <v>2211</v>
      </c>
      <c r="G295" s="31">
        <v>2220</v>
      </c>
      <c r="H295" s="31">
        <v>2199</v>
      </c>
      <c r="I295" s="31">
        <v>2159</v>
      </c>
      <c r="J295" s="31">
        <v>2175</v>
      </c>
      <c r="K295" s="31">
        <v>2243</v>
      </c>
      <c r="L295" s="31">
        <v>2239</v>
      </c>
      <c r="N295" s="677" t="s">
        <v>7848</v>
      </c>
      <c r="O295" s="4"/>
      <c r="Q295" s="4"/>
    </row>
    <row r="296" spans="1:17">
      <c r="A296" s="677" t="s">
        <v>7015</v>
      </c>
      <c r="B296" s="677" t="s">
        <v>2683</v>
      </c>
      <c r="C296" s="4" t="s">
        <v>11830</v>
      </c>
      <c r="D296" s="680">
        <v>2303</v>
      </c>
      <c r="E296" s="680">
        <v>2319</v>
      </c>
      <c r="F296" s="680">
        <v>2303</v>
      </c>
      <c r="G296" s="31">
        <v>2291</v>
      </c>
      <c r="H296" s="31">
        <v>2279</v>
      </c>
      <c r="I296" s="31">
        <v>2243</v>
      </c>
      <c r="J296" s="31">
        <v>2261</v>
      </c>
      <c r="K296" s="31">
        <v>2370</v>
      </c>
      <c r="L296" s="31">
        <v>2396</v>
      </c>
      <c r="N296" s="677" t="s">
        <v>7848</v>
      </c>
      <c r="O296" s="4"/>
      <c r="Q296" s="4"/>
    </row>
    <row r="297" spans="1:17">
      <c r="A297" s="677" t="s">
        <v>7017</v>
      </c>
      <c r="B297" s="677" t="s">
        <v>2684</v>
      </c>
      <c r="C297" s="4" t="s">
        <v>11831</v>
      </c>
      <c r="D297" s="680">
        <v>3688</v>
      </c>
      <c r="E297" s="680">
        <v>3772</v>
      </c>
      <c r="F297" s="680">
        <v>3746</v>
      </c>
      <c r="G297" s="31">
        <v>3746</v>
      </c>
      <c r="H297" s="31">
        <v>3872</v>
      </c>
      <c r="I297" s="31">
        <v>3748</v>
      </c>
      <c r="J297" s="31">
        <v>3712</v>
      </c>
      <c r="K297" s="31">
        <v>3980</v>
      </c>
      <c r="L297" s="31">
        <v>3950</v>
      </c>
      <c r="N297" s="677" t="s">
        <v>7848</v>
      </c>
      <c r="O297" s="4"/>
      <c r="Q297" s="4"/>
    </row>
    <row r="298" spans="1:17">
      <c r="A298" s="677" t="s">
        <v>7019</v>
      </c>
      <c r="B298" s="677" t="s">
        <v>2685</v>
      </c>
      <c r="C298" s="4" t="s">
        <v>11807</v>
      </c>
      <c r="D298" s="680">
        <v>2049</v>
      </c>
      <c r="E298" s="680">
        <v>2075</v>
      </c>
      <c r="F298" s="680">
        <v>2092</v>
      </c>
      <c r="G298" s="31">
        <v>2122</v>
      </c>
      <c r="H298" s="31">
        <v>2129</v>
      </c>
      <c r="I298" s="31">
        <v>2103</v>
      </c>
      <c r="J298" s="31">
        <v>2065</v>
      </c>
      <c r="K298" s="31">
        <v>2131</v>
      </c>
      <c r="L298" s="31">
        <v>2097</v>
      </c>
      <c r="N298" s="677" t="s">
        <v>7848</v>
      </c>
      <c r="O298" s="4"/>
      <c r="Q298" s="4"/>
    </row>
    <row r="299" spans="1:17">
      <c r="A299" s="677" t="s">
        <v>7021</v>
      </c>
      <c r="B299" s="677" t="s">
        <v>2686</v>
      </c>
      <c r="C299" s="4" t="s">
        <v>11832</v>
      </c>
      <c r="D299" s="689">
        <v>4459</v>
      </c>
      <c r="E299" s="689">
        <v>4523</v>
      </c>
      <c r="F299" s="689">
        <v>4497</v>
      </c>
      <c r="G299" s="31">
        <v>4497</v>
      </c>
      <c r="H299" s="31">
        <v>4537</v>
      </c>
      <c r="I299" s="31">
        <v>4434</v>
      </c>
      <c r="J299" s="31">
        <v>4470</v>
      </c>
      <c r="K299" s="31">
        <v>4670</v>
      </c>
      <c r="L299" s="31">
        <v>4761</v>
      </c>
      <c r="N299" s="677" t="s">
        <v>7848</v>
      </c>
      <c r="O299" s="4"/>
      <c r="Q299" s="4"/>
    </row>
    <row r="300" spans="1:17">
      <c r="A300" s="677" t="s">
        <v>7023</v>
      </c>
      <c r="B300" s="677" t="s">
        <v>2687</v>
      </c>
      <c r="C300" s="4" t="s">
        <v>11808</v>
      </c>
      <c r="D300" s="680">
        <v>2320</v>
      </c>
      <c r="E300" s="680">
        <v>2356</v>
      </c>
      <c r="F300" s="680">
        <v>2368</v>
      </c>
      <c r="G300" s="30">
        <v>2392</v>
      </c>
      <c r="H300" s="30">
        <v>2361</v>
      </c>
      <c r="I300" s="30">
        <v>2313</v>
      </c>
      <c r="J300" s="30">
        <v>2297</v>
      </c>
      <c r="K300" s="30">
        <v>2396</v>
      </c>
      <c r="L300" s="30">
        <v>2426</v>
      </c>
      <c r="N300" s="677" t="s">
        <v>6013</v>
      </c>
      <c r="O300" s="4"/>
      <c r="Q300" s="4"/>
    </row>
    <row r="301" spans="1:17">
      <c r="A301" s="677" t="s">
        <v>7025</v>
      </c>
      <c r="B301" s="677" t="s">
        <v>6916</v>
      </c>
      <c r="C301" s="4" t="s">
        <v>11833</v>
      </c>
      <c r="D301" s="680">
        <v>2105</v>
      </c>
      <c r="E301" s="680">
        <v>2060</v>
      </c>
      <c r="F301" s="680">
        <v>2092</v>
      </c>
      <c r="G301" s="31">
        <v>2102</v>
      </c>
      <c r="H301" s="31">
        <v>2155</v>
      </c>
      <c r="I301" s="31">
        <v>2134</v>
      </c>
      <c r="J301" s="31">
        <v>2182</v>
      </c>
      <c r="K301" s="31">
        <v>2302</v>
      </c>
      <c r="L301" s="31">
        <v>2265</v>
      </c>
      <c r="N301" s="677" t="s">
        <v>7848</v>
      </c>
      <c r="O301" s="4"/>
      <c r="Q301" s="4"/>
    </row>
    <row r="302" spans="1:17">
      <c r="A302" s="677" t="s">
        <v>7570</v>
      </c>
      <c r="B302" s="677" t="s">
        <v>2688</v>
      </c>
      <c r="C302" s="4" t="s">
        <v>11834</v>
      </c>
      <c r="D302" s="680">
        <v>1</v>
      </c>
      <c r="E302" s="680">
        <v>1</v>
      </c>
      <c r="F302" s="680">
        <v>1</v>
      </c>
      <c r="G302" s="680">
        <v>2</v>
      </c>
      <c r="H302" s="680">
        <v>2</v>
      </c>
      <c r="I302" s="680">
        <v>2</v>
      </c>
      <c r="J302" s="31">
        <v>2</v>
      </c>
      <c r="K302" s="31">
        <v>2</v>
      </c>
      <c r="L302" s="31">
        <v>0</v>
      </c>
      <c r="N302" s="678" t="s">
        <v>6013</v>
      </c>
      <c r="O302" s="4"/>
      <c r="Q302" s="4"/>
    </row>
    <row r="303" spans="1:17" ht="15.75" thickBot="1">
      <c r="A303" s="677"/>
      <c r="B303" s="677"/>
      <c r="C303" s="4" t="s">
        <v>11834</v>
      </c>
      <c r="D303" s="689">
        <v>4006</v>
      </c>
      <c r="E303" s="689">
        <v>4087</v>
      </c>
      <c r="F303" s="689">
        <v>4147</v>
      </c>
      <c r="G303" s="689">
        <v>4209</v>
      </c>
      <c r="H303" s="31">
        <v>4130</v>
      </c>
      <c r="I303" s="31">
        <v>4050</v>
      </c>
      <c r="J303" s="31">
        <v>4086</v>
      </c>
      <c r="K303" s="31">
        <v>4248</v>
      </c>
      <c r="L303" s="31">
        <v>4211</v>
      </c>
      <c r="N303" s="677" t="s">
        <v>7848</v>
      </c>
      <c r="O303" s="4"/>
      <c r="Q303" s="4"/>
    </row>
    <row r="304" spans="1:17" ht="15.75" thickBot="1">
      <c r="A304" s="677"/>
      <c r="B304" s="677"/>
      <c r="C304" s="4" t="s">
        <v>11834</v>
      </c>
      <c r="D304" s="690">
        <f t="shared" ref="D304:L304" si="159">D302+D303</f>
        <v>4007</v>
      </c>
      <c r="E304" s="690">
        <f t="shared" si="159"/>
        <v>4088</v>
      </c>
      <c r="F304" s="690">
        <f t="shared" si="159"/>
        <v>4148</v>
      </c>
      <c r="G304" s="690">
        <f t="shared" si="159"/>
        <v>4211</v>
      </c>
      <c r="H304" s="690">
        <f t="shared" si="159"/>
        <v>4132</v>
      </c>
      <c r="I304" s="690">
        <f t="shared" si="159"/>
        <v>4052</v>
      </c>
      <c r="J304" s="690">
        <f t="shared" si="159"/>
        <v>4088</v>
      </c>
      <c r="K304" s="690">
        <f t="shared" si="159"/>
        <v>4250</v>
      </c>
      <c r="L304" s="690">
        <f t="shared" si="159"/>
        <v>4211</v>
      </c>
      <c r="N304" s="677"/>
      <c r="O304" s="4"/>
      <c r="Q304" s="4"/>
    </row>
    <row r="305" spans="1:17">
      <c r="A305" s="677" t="s">
        <v>7572</v>
      </c>
      <c r="B305" s="677" t="s">
        <v>2689</v>
      </c>
      <c r="C305" s="4" t="s">
        <v>11809</v>
      </c>
      <c r="D305" s="680">
        <v>4276</v>
      </c>
      <c r="E305" s="680">
        <v>4265</v>
      </c>
      <c r="F305" s="680">
        <v>4253</v>
      </c>
      <c r="G305" s="680">
        <v>4279</v>
      </c>
      <c r="H305" s="30">
        <v>4175</v>
      </c>
      <c r="I305" s="30">
        <v>4118</v>
      </c>
      <c r="J305" s="30">
        <v>4126</v>
      </c>
      <c r="K305" s="30">
        <v>4301</v>
      </c>
      <c r="L305" s="30">
        <v>4258</v>
      </c>
      <c r="N305" s="677" t="s">
        <v>6021</v>
      </c>
    </row>
    <row r="306" spans="1:17">
      <c r="A306" s="677" t="s">
        <v>7573</v>
      </c>
      <c r="B306" s="677" t="s">
        <v>4417</v>
      </c>
      <c r="C306" s="4" t="s">
        <v>11810</v>
      </c>
      <c r="D306" s="680">
        <v>2052</v>
      </c>
      <c r="E306" s="680">
        <v>2071</v>
      </c>
      <c r="F306" s="680">
        <v>2078</v>
      </c>
      <c r="G306" s="31">
        <v>2118</v>
      </c>
      <c r="H306" s="31">
        <v>2124</v>
      </c>
      <c r="I306" s="31">
        <v>2096</v>
      </c>
      <c r="J306" s="31">
        <v>2081</v>
      </c>
      <c r="K306" s="31">
        <v>2174</v>
      </c>
      <c r="L306" s="31">
        <v>2136</v>
      </c>
      <c r="N306" s="677" t="s">
        <v>7848</v>
      </c>
    </row>
    <row r="307" spans="1:17">
      <c r="A307" s="677" t="s">
        <v>5798</v>
      </c>
      <c r="B307" s="677" t="s">
        <v>4012</v>
      </c>
      <c r="C307" s="4" t="s">
        <v>11811</v>
      </c>
      <c r="D307" s="680">
        <v>2312</v>
      </c>
      <c r="E307" s="680">
        <v>2342</v>
      </c>
      <c r="F307" s="680">
        <v>2308</v>
      </c>
      <c r="G307" s="30">
        <v>2279</v>
      </c>
      <c r="H307" s="30">
        <v>2227</v>
      </c>
      <c r="I307" s="30">
        <v>2166</v>
      </c>
      <c r="J307" s="30">
        <v>2149</v>
      </c>
      <c r="K307" s="30">
        <v>2214</v>
      </c>
      <c r="L307" s="30">
        <v>2195</v>
      </c>
      <c r="N307" s="677" t="s">
        <v>6013</v>
      </c>
      <c r="O307" s="4"/>
      <c r="Q307" s="4"/>
    </row>
    <row r="308" spans="1:17">
      <c r="A308" s="677" t="s">
        <v>5799</v>
      </c>
      <c r="B308" s="677" t="s">
        <v>4385</v>
      </c>
      <c r="C308" s="4" t="s">
        <v>11812</v>
      </c>
      <c r="D308" s="680">
        <v>4666</v>
      </c>
      <c r="E308" s="680">
        <v>5090</v>
      </c>
      <c r="F308" s="680">
        <v>5338</v>
      </c>
      <c r="G308" s="31">
        <v>5777</v>
      </c>
      <c r="H308" s="31">
        <v>5848</v>
      </c>
      <c r="I308" s="31">
        <v>5807</v>
      </c>
      <c r="J308" s="31">
        <v>6098</v>
      </c>
      <c r="K308" s="31">
        <v>6793</v>
      </c>
      <c r="L308" s="31">
        <v>6903</v>
      </c>
      <c r="N308" s="677" t="s">
        <v>7848</v>
      </c>
      <c r="O308" s="4"/>
      <c r="Q308" s="4"/>
    </row>
    <row r="309" spans="1:17">
      <c r="A309" s="677" t="s">
        <v>5801</v>
      </c>
      <c r="B309" s="677" t="s">
        <v>4386</v>
      </c>
      <c r="C309" s="4" t="s">
        <v>11813</v>
      </c>
      <c r="D309" s="680">
        <v>3819</v>
      </c>
      <c r="E309" s="680">
        <v>3881</v>
      </c>
      <c r="F309" s="680">
        <v>3918</v>
      </c>
      <c r="G309" s="31">
        <v>4023</v>
      </c>
      <c r="H309" s="31">
        <v>4002</v>
      </c>
      <c r="I309" s="31">
        <v>3960</v>
      </c>
      <c r="J309" s="31">
        <v>4044</v>
      </c>
      <c r="K309" s="31">
        <v>4331</v>
      </c>
      <c r="L309" s="31">
        <v>4550</v>
      </c>
      <c r="N309" s="677" t="s">
        <v>7848</v>
      </c>
      <c r="O309" s="4"/>
      <c r="Q309" s="4"/>
    </row>
    <row r="310" spans="1:17">
      <c r="A310" s="677" t="s">
        <v>5927</v>
      </c>
      <c r="B310" s="677" t="s">
        <v>4387</v>
      </c>
      <c r="C310" s="4" t="s">
        <v>11814</v>
      </c>
      <c r="D310" s="680">
        <v>2336</v>
      </c>
      <c r="E310" s="680">
        <v>2341</v>
      </c>
      <c r="F310" s="680">
        <v>2339</v>
      </c>
      <c r="G310" s="31">
        <v>2359</v>
      </c>
      <c r="H310" s="31">
        <v>2302</v>
      </c>
      <c r="I310" s="31">
        <v>2293</v>
      </c>
      <c r="J310" s="31">
        <v>2308</v>
      </c>
      <c r="K310" s="31">
        <v>2381</v>
      </c>
      <c r="L310" s="31">
        <v>2390</v>
      </c>
      <c r="N310" s="677" t="s">
        <v>7848</v>
      </c>
      <c r="O310" s="4"/>
      <c r="Q310" s="4"/>
    </row>
    <row r="311" spans="1:17">
      <c r="A311" s="677" t="s">
        <v>5929</v>
      </c>
      <c r="B311" s="677" t="s">
        <v>4388</v>
      </c>
      <c r="C311" s="4" t="s">
        <v>11835</v>
      </c>
      <c r="D311" s="680">
        <v>1851</v>
      </c>
      <c r="E311" s="680">
        <v>1851</v>
      </c>
      <c r="F311" s="680">
        <v>1830</v>
      </c>
      <c r="G311" s="31">
        <v>1846</v>
      </c>
      <c r="H311" s="31">
        <v>1820</v>
      </c>
      <c r="I311" s="31">
        <v>1780</v>
      </c>
      <c r="J311" s="31">
        <v>1837</v>
      </c>
      <c r="K311" s="31">
        <v>1929</v>
      </c>
      <c r="L311" s="31">
        <v>1899</v>
      </c>
      <c r="N311" s="677" t="s">
        <v>7848</v>
      </c>
      <c r="O311" s="4"/>
      <c r="Q311" s="4"/>
    </row>
    <row r="312" spans="1:17">
      <c r="A312" s="677" t="s">
        <v>5931</v>
      </c>
      <c r="B312" s="677" t="s">
        <v>2690</v>
      </c>
      <c r="C312" s="4" t="s">
        <v>11815</v>
      </c>
      <c r="D312" s="680">
        <v>1955</v>
      </c>
      <c r="E312" s="680">
        <v>1980</v>
      </c>
      <c r="F312" s="680">
        <v>2065</v>
      </c>
      <c r="G312" s="30">
        <v>2138</v>
      </c>
      <c r="H312" s="30">
        <v>2406</v>
      </c>
      <c r="I312" s="30">
        <v>2474</v>
      </c>
      <c r="J312" s="30">
        <v>2686</v>
      </c>
      <c r="K312" s="30">
        <v>2873</v>
      </c>
      <c r="L312" s="30">
        <v>3009</v>
      </c>
      <c r="N312" s="677" t="s">
        <v>6013</v>
      </c>
      <c r="O312" s="4"/>
      <c r="Q312" s="4"/>
    </row>
    <row r="313" spans="1:17">
      <c r="A313" s="677" t="s">
        <v>5933</v>
      </c>
      <c r="B313" s="677" t="s">
        <v>2691</v>
      </c>
      <c r="C313" s="4" t="s">
        <v>11816</v>
      </c>
      <c r="D313" s="680">
        <v>1908</v>
      </c>
      <c r="E313" s="680">
        <v>1897</v>
      </c>
      <c r="F313" s="680">
        <v>1911</v>
      </c>
      <c r="G313" s="31">
        <v>1930</v>
      </c>
      <c r="H313" s="31">
        <v>1951</v>
      </c>
      <c r="I313" s="31">
        <v>1907</v>
      </c>
      <c r="J313" s="31">
        <v>1893</v>
      </c>
      <c r="K313" s="31">
        <v>1982</v>
      </c>
      <c r="L313" s="31">
        <v>1953</v>
      </c>
      <c r="N313" s="677" t="s">
        <v>7848</v>
      </c>
      <c r="O313" s="4"/>
      <c r="Q313" s="4"/>
    </row>
    <row r="314" spans="1:17">
      <c r="A314" s="677" t="s">
        <v>7897</v>
      </c>
      <c r="B314" s="677" t="s">
        <v>2692</v>
      </c>
      <c r="C314" s="4" t="s">
        <v>11817</v>
      </c>
      <c r="D314" s="680">
        <v>2299</v>
      </c>
      <c r="E314" s="680">
        <v>2306</v>
      </c>
      <c r="F314" s="680">
        <v>2276</v>
      </c>
      <c r="G314" s="31">
        <v>2317</v>
      </c>
      <c r="H314" s="31">
        <v>2277</v>
      </c>
      <c r="I314" s="31">
        <v>2221</v>
      </c>
      <c r="J314" s="31">
        <v>2226</v>
      </c>
      <c r="K314" s="31">
        <v>2329</v>
      </c>
      <c r="L314" s="31">
        <v>2378</v>
      </c>
      <c r="N314" s="677" t="s">
        <v>7848</v>
      </c>
      <c r="O314" s="4"/>
      <c r="Q314" s="4"/>
    </row>
    <row r="315" spans="1:17">
      <c r="A315" s="677" t="s">
        <v>7898</v>
      </c>
      <c r="B315" s="677" t="s">
        <v>4398</v>
      </c>
      <c r="C315" s="4" t="s">
        <v>11818</v>
      </c>
      <c r="D315" s="680">
        <v>4172</v>
      </c>
      <c r="E315" s="680">
        <v>4221</v>
      </c>
      <c r="F315" s="680">
        <v>4236</v>
      </c>
      <c r="G315" s="31">
        <v>4277</v>
      </c>
      <c r="H315" s="31">
        <v>4303</v>
      </c>
      <c r="I315" s="31">
        <v>4240</v>
      </c>
      <c r="J315" s="31">
        <v>4240</v>
      </c>
      <c r="K315" s="31">
        <v>4388</v>
      </c>
      <c r="L315" s="31">
        <v>4354</v>
      </c>
      <c r="N315" s="677" t="s">
        <v>7848</v>
      </c>
      <c r="O315" s="4"/>
      <c r="Q315" s="4"/>
    </row>
    <row r="316" spans="1:17">
      <c r="A316" s="677" t="s">
        <v>7899</v>
      </c>
      <c r="B316" s="677" t="s">
        <v>4399</v>
      </c>
      <c r="C316" s="4" t="s">
        <v>11819</v>
      </c>
      <c r="D316" s="680">
        <v>1935</v>
      </c>
      <c r="E316" s="680">
        <v>1970</v>
      </c>
      <c r="F316" s="680">
        <v>1960</v>
      </c>
      <c r="G316" s="31">
        <v>1976</v>
      </c>
      <c r="H316" s="31">
        <v>1961</v>
      </c>
      <c r="I316" s="31">
        <v>1946</v>
      </c>
      <c r="J316" s="31">
        <v>1907</v>
      </c>
      <c r="K316" s="31">
        <v>1957</v>
      </c>
      <c r="L316" s="31">
        <v>1935</v>
      </c>
      <c r="N316" s="677" t="s">
        <v>7848</v>
      </c>
      <c r="O316" s="4"/>
      <c r="Q316" s="4"/>
    </row>
    <row r="317" spans="1:17">
      <c r="A317" s="677" t="s">
        <v>7901</v>
      </c>
      <c r="B317" s="677" t="s">
        <v>4400</v>
      </c>
      <c r="C317" s="4" t="s">
        <v>11820</v>
      </c>
      <c r="D317" s="680">
        <v>2234</v>
      </c>
      <c r="E317" s="680">
        <v>2245</v>
      </c>
      <c r="F317" s="680">
        <v>2249</v>
      </c>
      <c r="G317" s="31">
        <v>2264</v>
      </c>
      <c r="H317" s="31">
        <v>2273</v>
      </c>
      <c r="I317" s="31">
        <v>2236</v>
      </c>
      <c r="J317" s="31">
        <v>2216</v>
      </c>
      <c r="K317" s="31">
        <v>2291</v>
      </c>
      <c r="L317" s="31">
        <v>2277</v>
      </c>
      <c r="N317" s="677" t="s">
        <v>7848</v>
      </c>
      <c r="O317" s="4"/>
      <c r="Q317" s="4"/>
    </row>
    <row r="318" spans="1:17">
      <c r="A318" s="677" t="s">
        <v>3125</v>
      </c>
      <c r="B318" s="677" t="s">
        <v>4381</v>
      </c>
      <c r="C318" s="4" t="s">
        <v>11821</v>
      </c>
      <c r="D318" s="680">
        <v>2479</v>
      </c>
      <c r="E318" s="680">
        <v>2472</v>
      </c>
      <c r="F318" s="680">
        <v>2501</v>
      </c>
      <c r="G318" s="30">
        <v>2580</v>
      </c>
      <c r="H318" s="30">
        <v>2521</v>
      </c>
      <c r="I318" s="30">
        <v>2507</v>
      </c>
      <c r="J318" s="30">
        <v>2483</v>
      </c>
      <c r="K318" s="30">
        <v>2589</v>
      </c>
      <c r="L318" s="30">
        <v>2517</v>
      </c>
      <c r="N318" s="677" t="s">
        <v>6013</v>
      </c>
      <c r="O318" s="4"/>
      <c r="Q318" s="4"/>
    </row>
    <row r="319" spans="1:17">
      <c r="A319" s="677" t="s">
        <v>3127</v>
      </c>
      <c r="B319" s="677" t="s">
        <v>4382</v>
      </c>
      <c r="C319" s="4" t="s">
        <v>11822</v>
      </c>
      <c r="D319" s="680">
        <v>2181</v>
      </c>
      <c r="E319" s="680">
        <v>2095</v>
      </c>
      <c r="F319" s="680">
        <v>2184</v>
      </c>
      <c r="G319" s="30">
        <v>2232</v>
      </c>
      <c r="H319" s="30">
        <v>2179</v>
      </c>
      <c r="I319" s="30">
        <v>2131</v>
      </c>
      <c r="J319" s="30">
        <v>2062</v>
      </c>
      <c r="K319" s="30">
        <v>2134</v>
      </c>
      <c r="L319" s="30">
        <v>2116</v>
      </c>
      <c r="N319" s="677" t="s">
        <v>6013</v>
      </c>
      <c r="O319" s="4"/>
      <c r="Q319" s="4"/>
    </row>
    <row r="320" spans="1:17">
      <c r="D320" s="681"/>
      <c r="E320" s="681"/>
      <c r="F320" s="681"/>
      <c r="G320" s="681"/>
      <c r="H320" s="681"/>
      <c r="I320" s="681"/>
      <c r="J320" s="681"/>
      <c r="K320" s="681"/>
      <c r="L320" s="681"/>
      <c r="O320" s="4"/>
      <c r="Q320" s="4"/>
    </row>
    <row r="321" spans="1:17">
      <c r="A321" s="678" t="s">
        <v>2605</v>
      </c>
      <c r="D321" s="681">
        <f t="shared" ref="D321:I321" si="160">D282+D289+D300+D302+D307+D312+D318+D319</f>
        <v>15484</v>
      </c>
      <c r="E321" s="681">
        <f t="shared" si="160"/>
        <v>15512</v>
      </c>
      <c r="F321" s="681">
        <f t="shared" si="160"/>
        <v>15685</v>
      </c>
      <c r="G321" s="681">
        <f t="shared" si="160"/>
        <v>15963</v>
      </c>
      <c r="H321" s="681">
        <f t="shared" si="160"/>
        <v>15995</v>
      </c>
      <c r="I321" s="681">
        <f t="shared" si="160"/>
        <v>15825</v>
      </c>
      <c r="J321" s="681">
        <f t="shared" ref="J321:K321" si="161">J282+J289+J300+J302+J307+J312+J318+J319</f>
        <v>15919</v>
      </c>
      <c r="K321" s="681">
        <f t="shared" si="161"/>
        <v>16712</v>
      </c>
      <c r="L321" s="681">
        <f t="shared" ref="L321" si="162">L282+L289+L300+L302+L307+L312+L318+L319</f>
        <v>16769</v>
      </c>
      <c r="O321" s="4"/>
      <c r="Q321" s="4"/>
    </row>
    <row r="322" spans="1:17">
      <c r="A322" s="677" t="s">
        <v>2726</v>
      </c>
      <c r="D322" s="680">
        <f t="shared" ref="D322:I322" si="163">D305</f>
        <v>4276</v>
      </c>
      <c r="E322" s="680">
        <f t="shared" si="163"/>
        <v>4265</v>
      </c>
      <c r="F322" s="680">
        <f t="shared" si="163"/>
        <v>4253</v>
      </c>
      <c r="G322" s="680">
        <f t="shared" si="163"/>
        <v>4279</v>
      </c>
      <c r="H322" s="680">
        <f t="shared" si="163"/>
        <v>4175</v>
      </c>
      <c r="I322" s="680">
        <f t="shared" si="163"/>
        <v>4118</v>
      </c>
      <c r="J322" s="680">
        <f t="shared" ref="J322:K322" si="164">J305</f>
        <v>4126</v>
      </c>
      <c r="K322" s="680">
        <f t="shared" si="164"/>
        <v>4301</v>
      </c>
      <c r="L322" s="680">
        <f t="shared" ref="L322" si="165">L305</f>
        <v>4258</v>
      </c>
    </row>
    <row r="323" spans="1:17">
      <c r="A323" s="677" t="s">
        <v>7848</v>
      </c>
      <c r="D323" s="680">
        <f t="shared" ref="D323:I323" si="166">SUM(D283:D288)+SUM(D290:D299)+D301+D303+D306+SUM(D308:D311)+SUM(D313:D317)</f>
        <v>76009</v>
      </c>
      <c r="E323" s="680">
        <f t="shared" si="166"/>
        <v>77316</v>
      </c>
      <c r="F323" s="680">
        <f t="shared" si="166"/>
        <v>77866</v>
      </c>
      <c r="G323" s="680">
        <f t="shared" si="166"/>
        <v>78985</v>
      </c>
      <c r="H323" s="680">
        <f t="shared" si="166"/>
        <v>79013</v>
      </c>
      <c r="I323" s="680">
        <f t="shared" si="166"/>
        <v>77828</v>
      </c>
      <c r="J323" s="680">
        <f t="shared" ref="J323:K323" si="167">SUM(J283:J288)+SUM(J290:J299)+J301+J303+J306+SUM(J308:J311)+SUM(J313:J317)</f>
        <v>78550</v>
      </c>
      <c r="K323" s="680">
        <f t="shared" si="167"/>
        <v>82874</v>
      </c>
      <c r="L323" s="680">
        <f t="shared" ref="L323" si="168">SUM(L283:L288)+SUM(L290:L299)+L301+L303+L306+SUM(L308:L311)+SUM(L313:L317)</f>
        <v>82930</v>
      </c>
    </row>
    <row r="325" spans="1:17">
      <c r="A325" s="678" t="s">
        <v>4383</v>
      </c>
    </row>
    <row r="326" spans="1:17">
      <c r="A326" s="678" t="s">
        <v>4384</v>
      </c>
    </row>
  </sheetData>
  <sortState ref="O259:Q271">
    <sortCondition ref="O25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9" orientation="portrait" horizontalDpi="300" verticalDpi="300" r:id="rId1"/>
  <headerFooter alignWithMargins="0">
    <oddFooter>&amp;C&amp;"Times New Roman,Regular"&amp;8&amp;P of &amp;N</oddFooter>
  </headerFooter>
  <ignoredErrors>
    <ignoredError sqref="D126:D127 D97:K97 D160:K160 D204:D205 D250:K250 D213:K213 D153:K153 D134:K134 D273:D274 D258:K258 D304:K304 D322:D323 D281:K281 D3:D12 E204:E205 E322:E323 E126:E127 E273:E274 E3:E12 F126:F127 F204:F205 F273:F274 F322:F323 F3:F12 G126:G127 G322:G323 G273:G274 G204:G205 G3:G12 D13:D47 E13:E47 F13:F47 G13:G47 H204:H205 H273:H274 H322:H323 H3:H12 H126:H127 H13:H47 I126:I127 I204:I205 I322:I323 I273:I274 D81:K81 D71:K71 D55:H58 I55:K55 I58:K58 D89:I89 D52:K52 D90:I90 I3:I47 J89:J90 J126:J127 J204:J205 J273:J274 J322:J323 J3:J47 K273:K274 K204:K205 K321:K323 K89:K90 K126:K127 K3:K47 L3:L301 L304:L32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167"/>
  <sheetViews>
    <sheetView showGridLines="0" zoomScaleNormal="100" workbookViewId="0"/>
  </sheetViews>
  <sheetFormatPr defaultColWidth="12.5703125" defaultRowHeight="15"/>
  <cols>
    <col min="1" max="1" width="4.85546875" style="43" customWidth="1"/>
    <col min="2" max="2" width="40.7109375" style="43" customWidth="1"/>
    <col min="3" max="3" width="12.5703125" style="43" customWidth="1"/>
    <col min="4" max="12" width="10" style="43" customWidth="1"/>
    <col min="13" max="13" width="2.28515625" style="43" customWidth="1"/>
    <col min="14" max="14" width="30" style="43" customWidth="1"/>
    <col min="15" max="16384" width="12.5703125" style="43"/>
  </cols>
  <sheetData>
    <row r="1" spans="1:14">
      <c r="A1" s="153" t="s">
        <v>8847</v>
      </c>
      <c r="D1" s="42">
        <v>2010</v>
      </c>
      <c r="E1" s="42">
        <v>2011</v>
      </c>
      <c r="F1" s="42">
        <v>2012</v>
      </c>
      <c r="G1" s="42">
        <v>2013</v>
      </c>
      <c r="H1" s="42">
        <v>2014</v>
      </c>
      <c r="I1" s="42">
        <v>2015</v>
      </c>
      <c r="J1" s="42">
        <v>2016</v>
      </c>
      <c r="K1" s="42">
        <v>2017</v>
      </c>
      <c r="L1" s="42">
        <v>2018</v>
      </c>
    </row>
    <row r="3" spans="1:14">
      <c r="A3" s="44" t="s">
        <v>3578</v>
      </c>
      <c r="C3" s="44"/>
      <c r="D3" s="506">
        <f t="shared" ref="D3:I3" si="0">D43</f>
        <v>110958</v>
      </c>
      <c r="E3" s="506">
        <f t="shared" si="0"/>
        <v>112268</v>
      </c>
      <c r="F3" s="506">
        <f t="shared" si="0"/>
        <v>114213</v>
      </c>
      <c r="G3" s="506">
        <f t="shared" si="0"/>
        <v>115242</v>
      </c>
      <c r="H3" s="506">
        <f t="shared" si="0"/>
        <v>117223</v>
      </c>
      <c r="I3" s="506">
        <f t="shared" si="0"/>
        <v>114202</v>
      </c>
      <c r="J3" s="506">
        <f t="shared" ref="J3:K3" si="1">J43</f>
        <v>118210</v>
      </c>
      <c r="K3" s="506">
        <f t="shared" si="1"/>
        <v>119397</v>
      </c>
      <c r="L3" s="506">
        <f t="shared" ref="L3" si="2">L43</f>
        <v>120132</v>
      </c>
    </row>
    <row r="4" spans="1:14">
      <c r="A4" s="44" t="s">
        <v>3579</v>
      </c>
      <c r="C4" s="44"/>
      <c r="D4" s="506">
        <f t="shared" ref="D4:I4" si="3">D92</f>
        <v>191765</v>
      </c>
      <c r="E4" s="506">
        <f t="shared" si="3"/>
        <v>192536</v>
      </c>
      <c r="F4" s="506">
        <f t="shared" si="3"/>
        <v>196284</v>
      </c>
      <c r="G4" s="506">
        <f t="shared" si="3"/>
        <v>199191</v>
      </c>
      <c r="H4" s="506">
        <f t="shared" si="3"/>
        <v>202078</v>
      </c>
      <c r="I4" s="506">
        <f t="shared" si="3"/>
        <v>199782</v>
      </c>
      <c r="J4" s="506">
        <f t="shared" ref="J4:K4" si="4">J92</f>
        <v>197493</v>
      </c>
      <c r="K4" s="506">
        <f t="shared" si="4"/>
        <v>202047</v>
      </c>
      <c r="L4" s="506">
        <f t="shared" ref="L4" si="5">L92</f>
        <v>205651</v>
      </c>
    </row>
    <row r="5" spans="1:14" ht="15.75" thickBot="1">
      <c r="A5" s="44" t="s">
        <v>3580</v>
      </c>
      <c r="C5" s="44"/>
      <c r="D5" s="507">
        <f t="shared" ref="D5:I5" si="6">D141</f>
        <v>126090</v>
      </c>
      <c r="E5" s="507">
        <f t="shared" si="6"/>
        <v>127286</v>
      </c>
      <c r="F5" s="507">
        <f t="shared" si="6"/>
        <v>131069</v>
      </c>
      <c r="G5" s="507">
        <f t="shared" si="6"/>
        <v>134116</v>
      </c>
      <c r="H5" s="507">
        <f t="shared" si="6"/>
        <v>131480</v>
      </c>
      <c r="I5" s="507">
        <f t="shared" si="6"/>
        <v>125886</v>
      </c>
      <c r="J5" s="507">
        <f t="shared" ref="J5:K5" si="7">J141</f>
        <v>123871</v>
      </c>
      <c r="K5" s="507">
        <f t="shared" si="7"/>
        <v>127033</v>
      </c>
      <c r="L5" s="507">
        <f t="shared" ref="L5" si="8">L141</f>
        <v>127400</v>
      </c>
    </row>
    <row r="6" spans="1:14" ht="15.75" thickBot="1">
      <c r="D6" s="507">
        <f t="shared" ref="D6:I6" si="9">SUM(D3:D5)</f>
        <v>428813</v>
      </c>
      <c r="E6" s="507">
        <f t="shared" si="9"/>
        <v>432090</v>
      </c>
      <c r="F6" s="507">
        <f t="shared" si="9"/>
        <v>441566</v>
      </c>
      <c r="G6" s="507">
        <f t="shared" si="9"/>
        <v>448549</v>
      </c>
      <c r="H6" s="507">
        <f t="shared" si="9"/>
        <v>450781</v>
      </c>
      <c r="I6" s="507">
        <f t="shared" si="9"/>
        <v>439870</v>
      </c>
      <c r="J6" s="507">
        <f t="shared" ref="J6:K6" si="10">SUM(J3:J5)</f>
        <v>439574</v>
      </c>
      <c r="K6" s="507">
        <f t="shared" si="10"/>
        <v>448477</v>
      </c>
      <c r="L6" s="507">
        <f t="shared" ref="L6" si="11">SUM(L3:L5)</f>
        <v>453183</v>
      </c>
    </row>
    <row r="7" spans="1:14">
      <c r="D7" s="508"/>
      <c r="E7" s="508"/>
      <c r="F7" s="508"/>
      <c r="G7" s="508"/>
      <c r="H7" s="508"/>
      <c r="I7" s="508"/>
      <c r="J7" s="508"/>
      <c r="K7" s="508"/>
      <c r="L7" s="508"/>
    </row>
    <row r="8" spans="1:14">
      <c r="A8" s="44" t="s">
        <v>3581</v>
      </c>
      <c r="D8" s="506">
        <f t="shared" ref="D8:I10" si="12">D3/2</f>
        <v>55479</v>
      </c>
      <c r="E8" s="506">
        <f t="shared" si="12"/>
        <v>56134</v>
      </c>
      <c r="F8" s="506">
        <f t="shared" si="12"/>
        <v>57106.5</v>
      </c>
      <c r="G8" s="506">
        <f t="shared" si="12"/>
        <v>57621</v>
      </c>
      <c r="H8" s="506">
        <f t="shared" si="12"/>
        <v>58611.5</v>
      </c>
      <c r="I8" s="506">
        <f t="shared" si="12"/>
        <v>57101</v>
      </c>
      <c r="J8" s="506">
        <f t="shared" ref="J8:K8" si="13">J3/2</f>
        <v>59105</v>
      </c>
      <c r="K8" s="506">
        <f t="shared" si="13"/>
        <v>59698.5</v>
      </c>
      <c r="L8" s="506">
        <f t="shared" ref="L8" si="14">L3/2</f>
        <v>60066</v>
      </c>
    </row>
    <row r="9" spans="1:14">
      <c r="A9" s="44" t="s">
        <v>139</v>
      </c>
      <c r="D9" s="506">
        <f t="shared" si="12"/>
        <v>95882.5</v>
      </c>
      <c r="E9" s="506">
        <f t="shared" si="12"/>
        <v>96268</v>
      </c>
      <c r="F9" s="506">
        <f t="shared" si="12"/>
        <v>98142</v>
      </c>
      <c r="G9" s="506">
        <f t="shared" si="12"/>
        <v>99595.5</v>
      </c>
      <c r="H9" s="506">
        <f t="shared" si="12"/>
        <v>101039</v>
      </c>
      <c r="I9" s="506">
        <f t="shared" si="12"/>
        <v>99891</v>
      </c>
      <c r="J9" s="506">
        <f t="shared" ref="J9:K9" si="15">J4/2</f>
        <v>98746.5</v>
      </c>
      <c r="K9" s="506">
        <f t="shared" si="15"/>
        <v>101023.5</v>
      </c>
      <c r="L9" s="506">
        <f t="shared" ref="L9" si="16">L4/2</f>
        <v>102825.5</v>
      </c>
    </row>
    <row r="10" spans="1:14">
      <c r="A10" s="44" t="s">
        <v>3583</v>
      </c>
      <c r="D10" s="506">
        <f t="shared" si="12"/>
        <v>63045</v>
      </c>
      <c r="E10" s="506">
        <f t="shared" si="12"/>
        <v>63643</v>
      </c>
      <c r="F10" s="506">
        <f t="shared" si="12"/>
        <v>65534.5</v>
      </c>
      <c r="G10" s="506">
        <f t="shared" si="12"/>
        <v>67058</v>
      </c>
      <c r="H10" s="506">
        <f t="shared" si="12"/>
        <v>65740</v>
      </c>
      <c r="I10" s="506">
        <f t="shared" si="12"/>
        <v>62943</v>
      </c>
      <c r="J10" s="506">
        <f t="shared" ref="J10:K10" si="17">J5/2</f>
        <v>61935.5</v>
      </c>
      <c r="K10" s="506">
        <f t="shared" si="17"/>
        <v>63516.5</v>
      </c>
      <c r="L10" s="506">
        <f t="shared" ref="L10" si="18">L5/2</f>
        <v>63700</v>
      </c>
    </row>
    <row r="11" spans="1:14">
      <c r="A11" s="44" t="s">
        <v>7552</v>
      </c>
      <c r="D11" s="506">
        <f t="shared" ref="D11:I11" si="19">D6/6</f>
        <v>71468.833333333328</v>
      </c>
      <c r="E11" s="506">
        <f t="shared" si="19"/>
        <v>72015</v>
      </c>
      <c r="F11" s="506">
        <f t="shared" si="19"/>
        <v>73594.333333333328</v>
      </c>
      <c r="G11" s="506">
        <f t="shared" si="19"/>
        <v>74758.166666666672</v>
      </c>
      <c r="H11" s="506">
        <f t="shared" si="19"/>
        <v>75130.166666666672</v>
      </c>
      <c r="I11" s="506">
        <f t="shared" si="19"/>
        <v>73311.666666666672</v>
      </c>
      <c r="J11" s="506">
        <f t="shared" ref="J11:K11" si="20">J6/6</f>
        <v>73262.333333333328</v>
      </c>
      <c r="K11" s="506">
        <f t="shared" si="20"/>
        <v>74746.166666666672</v>
      </c>
      <c r="L11" s="506">
        <f t="shared" ref="L11" si="21">L6/6</f>
        <v>75530.5</v>
      </c>
    </row>
    <row r="12" spans="1:14">
      <c r="D12" s="508"/>
      <c r="E12" s="508"/>
      <c r="F12" s="508"/>
      <c r="G12" s="508"/>
      <c r="H12" s="508"/>
      <c r="I12" s="508"/>
      <c r="J12" s="508"/>
      <c r="K12" s="508"/>
      <c r="L12" s="508"/>
    </row>
    <row r="13" spans="1:14">
      <c r="A13" s="44" t="s">
        <v>7553</v>
      </c>
      <c r="D13" s="506">
        <f t="shared" ref="D13:E13" si="22">D83</f>
        <v>68692</v>
      </c>
      <c r="E13" s="506">
        <f t="shared" si="22"/>
        <v>69019</v>
      </c>
      <c r="F13" s="506">
        <f t="shared" ref="F13:K13" si="23">F83</f>
        <v>69938</v>
      </c>
      <c r="G13" s="506">
        <f t="shared" si="23"/>
        <v>69782</v>
      </c>
      <c r="H13" s="506">
        <f t="shared" si="23"/>
        <v>70766</v>
      </c>
      <c r="I13" s="506">
        <f t="shared" si="23"/>
        <v>67998</v>
      </c>
      <c r="J13" s="506">
        <f t="shared" si="23"/>
        <v>70259</v>
      </c>
      <c r="K13" s="506">
        <f t="shared" si="23"/>
        <v>70465</v>
      </c>
      <c r="L13" s="506">
        <f t="shared" ref="L13" si="24">L83</f>
        <v>70364</v>
      </c>
      <c r="N13" s="44" t="s">
        <v>7554</v>
      </c>
    </row>
    <row r="14" spans="1:14">
      <c r="D14" s="508"/>
      <c r="E14" s="508"/>
      <c r="F14" s="508"/>
      <c r="G14" s="508"/>
      <c r="H14" s="508"/>
      <c r="I14" s="508"/>
      <c r="J14" s="508"/>
      <c r="K14" s="508"/>
      <c r="L14" s="508"/>
    </row>
    <row r="15" spans="1:14">
      <c r="A15" s="44" t="s">
        <v>7555</v>
      </c>
      <c r="D15" s="506">
        <f t="shared" ref="D15:I15" si="25">D162</f>
        <v>65721</v>
      </c>
      <c r="E15" s="506">
        <f t="shared" si="25"/>
        <v>66273</v>
      </c>
      <c r="F15" s="506">
        <f t="shared" si="25"/>
        <v>67949</v>
      </c>
      <c r="G15" s="506">
        <f t="shared" si="25"/>
        <v>68673</v>
      </c>
      <c r="H15" s="506">
        <f t="shared" si="25"/>
        <v>68072</v>
      </c>
      <c r="I15" s="506">
        <f t="shared" si="25"/>
        <v>65918</v>
      </c>
      <c r="J15" s="506">
        <f t="shared" ref="J15:K15" si="26">J162</f>
        <v>64552</v>
      </c>
      <c r="K15" s="506">
        <f t="shared" si="26"/>
        <v>66145</v>
      </c>
      <c r="L15" s="506">
        <f t="shared" ref="L15" si="27">L162</f>
        <v>66272</v>
      </c>
      <c r="N15" s="44" t="s">
        <v>7556</v>
      </c>
    </row>
    <row r="16" spans="1:14">
      <c r="D16" s="508"/>
      <c r="E16" s="508"/>
      <c r="F16" s="508"/>
      <c r="G16" s="508"/>
      <c r="H16" s="508"/>
      <c r="I16" s="508"/>
      <c r="J16" s="508"/>
      <c r="K16" s="508"/>
      <c r="L16" s="508"/>
    </row>
    <row r="17" spans="1:14">
      <c r="A17" s="44" t="s">
        <v>7557</v>
      </c>
      <c r="D17" s="506">
        <f t="shared" ref="D17:I17" si="28">D163</f>
        <v>60369</v>
      </c>
      <c r="E17" s="506">
        <f t="shared" si="28"/>
        <v>61013</v>
      </c>
      <c r="F17" s="506">
        <f t="shared" si="28"/>
        <v>63120</v>
      </c>
      <c r="G17" s="506">
        <f t="shared" si="28"/>
        <v>65443</v>
      </c>
      <c r="H17" s="506">
        <f t="shared" si="28"/>
        <v>63408</v>
      </c>
      <c r="I17" s="506">
        <f t="shared" si="28"/>
        <v>59968</v>
      </c>
      <c r="J17" s="506">
        <f t="shared" ref="J17:K17" si="29">J163</f>
        <v>59319</v>
      </c>
      <c r="K17" s="506">
        <f t="shared" si="29"/>
        <v>60888</v>
      </c>
      <c r="L17" s="506">
        <f t="shared" ref="L17" si="30">L163</f>
        <v>61128</v>
      </c>
      <c r="N17" s="44" t="s">
        <v>7556</v>
      </c>
    </row>
    <row r="18" spans="1:14" ht="15.75" thickBot="1">
      <c r="D18" s="507">
        <f>D131</f>
        <v>4815</v>
      </c>
      <c r="E18" s="507">
        <f t="shared" ref="E18:F18" si="31">E131</f>
        <v>4876</v>
      </c>
      <c r="F18" s="507">
        <f t="shared" si="31"/>
        <v>4918</v>
      </c>
      <c r="G18" s="507">
        <f t="shared" ref="G18:H18" si="32">G131</f>
        <v>4966</v>
      </c>
      <c r="H18" s="507">
        <f t="shared" si="32"/>
        <v>4926</v>
      </c>
      <c r="I18" s="507">
        <f t="shared" ref="I18:J18" si="33">I131</f>
        <v>4904</v>
      </c>
      <c r="J18" s="507">
        <f t="shared" si="33"/>
        <v>4817</v>
      </c>
      <c r="K18" s="507">
        <f t="shared" ref="K18:L18" si="34">K131</f>
        <v>4889</v>
      </c>
      <c r="L18" s="507">
        <f t="shared" si="34"/>
        <v>4927</v>
      </c>
      <c r="N18" s="44" t="s">
        <v>2297</v>
      </c>
    </row>
    <row r="19" spans="1:14" ht="15.75" thickBot="1">
      <c r="D19" s="507">
        <f t="shared" ref="D19:I19" si="35">D17+D18</f>
        <v>65184</v>
      </c>
      <c r="E19" s="507">
        <f t="shared" si="35"/>
        <v>65889</v>
      </c>
      <c r="F19" s="507">
        <f t="shared" si="35"/>
        <v>68038</v>
      </c>
      <c r="G19" s="507">
        <f t="shared" si="35"/>
        <v>70409</v>
      </c>
      <c r="H19" s="507">
        <f t="shared" si="35"/>
        <v>68334</v>
      </c>
      <c r="I19" s="507">
        <f t="shared" si="35"/>
        <v>64872</v>
      </c>
      <c r="J19" s="507">
        <f t="shared" ref="J19:K19" si="36">J17+J18</f>
        <v>64136</v>
      </c>
      <c r="K19" s="507">
        <f t="shared" si="36"/>
        <v>65777</v>
      </c>
      <c r="L19" s="507">
        <f t="shared" ref="L19" si="37">L17+L18</f>
        <v>66055</v>
      </c>
    </row>
    <row r="20" spans="1:14">
      <c r="D20" s="508"/>
      <c r="E20" s="508"/>
      <c r="F20" s="508"/>
      <c r="G20" s="508"/>
      <c r="H20" s="508"/>
      <c r="I20" s="508"/>
      <c r="J20" s="508"/>
      <c r="K20" s="508"/>
      <c r="L20" s="508"/>
    </row>
    <row r="21" spans="1:14">
      <c r="A21" s="44" t="s">
        <v>2298</v>
      </c>
      <c r="D21" s="506">
        <f t="shared" ref="D21:I21" si="38">D84</f>
        <v>10468</v>
      </c>
      <c r="E21" s="506">
        <f t="shared" si="38"/>
        <v>10824</v>
      </c>
      <c r="F21" s="506">
        <f t="shared" si="38"/>
        <v>11163</v>
      </c>
      <c r="G21" s="506">
        <f t="shared" si="38"/>
        <v>11495</v>
      </c>
      <c r="H21" s="506">
        <f t="shared" si="38"/>
        <v>11882</v>
      </c>
      <c r="I21" s="506">
        <f t="shared" si="38"/>
        <v>11954</v>
      </c>
      <c r="J21" s="506">
        <f t="shared" ref="J21:K21" si="39">J84</f>
        <v>12658</v>
      </c>
      <c r="K21" s="506">
        <f t="shared" si="39"/>
        <v>13132</v>
      </c>
      <c r="L21" s="506">
        <f t="shared" ref="L21" si="40">L84</f>
        <v>13565</v>
      </c>
      <c r="N21" s="44" t="s">
        <v>7554</v>
      </c>
    </row>
    <row r="22" spans="1:14" ht="15.75" thickBot="1">
      <c r="D22" s="507">
        <f>D132</f>
        <v>65446</v>
      </c>
      <c r="E22" s="507">
        <f t="shared" ref="E22:F22" si="41">E132</f>
        <v>65557</v>
      </c>
      <c r="F22" s="507">
        <f t="shared" si="41"/>
        <v>66647</v>
      </c>
      <c r="G22" s="507">
        <f t="shared" ref="G22:H22" si="42">G132</f>
        <v>67577</v>
      </c>
      <c r="H22" s="507">
        <f t="shared" si="42"/>
        <v>68607</v>
      </c>
      <c r="I22" s="507">
        <f t="shared" ref="I22:J22" si="43">I132</f>
        <v>68064</v>
      </c>
      <c r="J22" s="507">
        <f t="shared" si="43"/>
        <v>67411</v>
      </c>
      <c r="K22" s="507">
        <f t="shared" ref="K22:L22" si="44">K132</f>
        <v>69230</v>
      </c>
      <c r="L22" s="507">
        <f t="shared" si="44"/>
        <v>70647</v>
      </c>
      <c r="N22" s="44" t="s">
        <v>2297</v>
      </c>
    </row>
    <row r="23" spans="1:14" ht="15.75" thickBot="1">
      <c r="D23" s="507">
        <f t="shared" ref="D23:I23" si="45">SUM(D21:D22)</f>
        <v>75914</v>
      </c>
      <c r="E23" s="507">
        <f t="shared" si="45"/>
        <v>76381</v>
      </c>
      <c r="F23" s="507">
        <f t="shared" si="45"/>
        <v>77810</v>
      </c>
      <c r="G23" s="507">
        <f t="shared" si="45"/>
        <v>79072</v>
      </c>
      <c r="H23" s="507">
        <f t="shared" si="45"/>
        <v>80489</v>
      </c>
      <c r="I23" s="507">
        <f t="shared" si="45"/>
        <v>80018</v>
      </c>
      <c r="J23" s="507">
        <f t="shared" ref="J23:K23" si="46">SUM(J21:J22)</f>
        <v>80069</v>
      </c>
      <c r="K23" s="507">
        <f t="shared" si="46"/>
        <v>82362</v>
      </c>
      <c r="L23" s="507">
        <f t="shared" ref="L23" si="47">SUM(L21:L22)</f>
        <v>84212</v>
      </c>
    </row>
    <row r="24" spans="1:14">
      <c r="D24" s="508"/>
      <c r="E24" s="508"/>
      <c r="F24" s="508"/>
      <c r="G24" s="508"/>
      <c r="H24" s="508"/>
      <c r="I24" s="508"/>
      <c r="J24" s="508"/>
      <c r="K24" s="508"/>
      <c r="L24" s="508"/>
    </row>
    <row r="25" spans="1:14">
      <c r="A25" s="44" t="s">
        <v>2299</v>
      </c>
      <c r="D25" s="506">
        <f t="shared" ref="D25:I25" si="48">D85</f>
        <v>31798</v>
      </c>
      <c r="E25" s="506">
        <f t="shared" si="48"/>
        <v>32425</v>
      </c>
      <c r="F25" s="506">
        <f t="shared" si="48"/>
        <v>33112</v>
      </c>
      <c r="G25" s="506">
        <f t="shared" si="48"/>
        <v>33965</v>
      </c>
      <c r="H25" s="506">
        <f t="shared" si="48"/>
        <v>34575</v>
      </c>
      <c r="I25" s="506">
        <f t="shared" si="48"/>
        <v>34250</v>
      </c>
      <c r="J25" s="506">
        <f t="shared" ref="J25:K25" si="49">J85</f>
        <v>35293</v>
      </c>
      <c r="K25" s="506">
        <f t="shared" si="49"/>
        <v>35800</v>
      </c>
      <c r="L25" s="506">
        <f t="shared" ref="L25" si="50">L85</f>
        <v>36203</v>
      </c>
      <c r="N25" s="44" t="s">
        <v>7554</v>
      </c>
    </row>
    <row r="26" spans="1:14" ht="15.75" thickBot="1">
      <c r="D26" s="507">
        <f>D133</f>
        <v>45393</v>
      </c>
      <c r="E26" s="507">
        <f t="shared" ref="E26:F26" si="51">E133</f>
        <v>45925</v>
      </c>
      <c r="F26" s="507">
        <f t="shared" si="51"/>
        <v>47099</v>
      </c>
      <c r="G26" s="507">
        <f t="shared" ref="G26:H26" si="52">G133</f>
        <v>47958</v>
      </c>
      <c r="H26" s="507">
        <f t="shared" si="52"/>
        <v>49028</v>
      </c>
      <c r="I26" s="507">
        <f t="shared" ref="I26:J26" si="53">I133</f>
        <v>48472</v>
      </c>
      <c r="J26" s="507">
        <f t="shared" si="53"/>
        <v>48306</v>
      </c>
      <c r="K26" s="507">
        <f t="shared" ref="K26:L26" si="54">K133</f>
        <v>49743</v>
      </c>
      <c r="L26" s="507">
        <f t="shared" si="54"/>
        <v>50940</v>
      </c>
      <c r="N26" s="44" t="s">
        <v>2297</v>
      </c>
    </row>
    <row r="27" spans="1:14" ht="15.75" thickBot="1">
      <c r="D27" s="507">
        <f t="shared" ref="D27:I27" si="55">D25+D26</f>
        <v>77191</v>
      </c>
      <c r="E27" s="507">
        <f t="shared" si="55"/>
        <v>78350</v>
      </c>
      <c r="F27" s="507">
        <f t="shared" si="55"/>
        <v>80211</v>
      </c>
      <c r="G27" s="507">
        <f t="shared" si="55"/>
        <v>81923</v>
      </c>
      <c r="H27" s="507">
        <f t="shared" si="55"/>
        <v>83603</v>
      </c>
      <c r="I27" s="507">
        <f t="shared" si="55"/>
        <v>82722</v>
      </c>
      <c r="J27" s="507">
        <f t="shared" ref="J27:K27" si="56">J25+J26</f>
        <v>83599</v>
      </c>
      <c r="K27" s="507">
        <f t="shared" si="56"/>
        <v>85543</v>
      </c>
      <c r="L27" s="507">
        <f t="shared" ref="L27" si="57">L25+L26</f>
        <v>87143</v>
      </c>
    </row>
    <row r="28" spans="1:14">
      <c r="D28" s="508"/>
      <c r="E28" s="508"/>
      <c r="F28" s="508"/>
      <c r="G28" s="508"/>
      <c r="H28" s="508"/>
      <c r="I28" s="508"/>
      <c r="J28" s="508"/>
      <c r="K28" s="508"/>
      <c r="L28" s="508"/>
    </row>
    <row r="29" spans="1:14">
      <c r="A29" s="44" t="s">
        <v>2300</v>
      </c>
      <c r="D29" s="506">
        <f>D134</f>
        <v>76111</v>
      </c>
      <c r="E29" s="506">
        <f t="shared" ref="E29:F29" si="58">E134</f>
        <v>76178</v>
      </c>
      <c r="F29" s="506">
        <f t="shared" si="58"/>
        <v>77620</v>
      </c>
      <c r="G29" s="506">
        <f t="shared" ref="G29:H29" si="59">G134</f>
        <v>78690</v>
      </c>
      <c r="H29" s="506">
        <f t="shared" si="59"/>
        <v>79517</v>
      </c>
      <c r="I29" s="506">
        <f t="shared" ref="I29:J29" si="60">I134</f>
        <v>78342</v>
      </c>
      <c r="J29" s="506">
        <f t="shared" si="60"/>
        <v>76959</v>
      </c>
      <c r="K29" s="506">
        <f t="shared" ref="K29:L29" si="61">K134</f>
        <v>78185</v>
      </c>
      <c r="L29" s="506">
        <f t="shared" si="61"/>
        <v>79137</v>
      </c>
      <c r="N29" s="44" t="s">
        <v>2297</v>
      </c>
    </row>
    <row r="30" spans="1:14">
      <c r="D30" s="508"/>
      <c r="E30" s="508"/>
      <c r="F30" s="508"/>
      <c r="G30" s="508"/>
      <c r="H30" s="508"/>
      <c r="I30" s="508"/>
      <c r="J30" s="508"/>
      <c r="K30" s="508"/>
      <c r="L30" s="508"/>
    </row>
    <row r="31" spans="1:14">
      <c r="A31" s="44" t="s">
        <v>8697</v>
      </c>
      <c r="D31" s="506">
        <f t="shared" ref="D31:I31" si="62">D13+D15+D19+D23+D27+D29</f>
        <v>428813</v>
      </c>
      <c r="E31" s="506">
        <f t="shared" si="62"/>
        <v>432090</v>
      </c>
      <c r="F31" s="506">
        <f t="shared" si="62"/>
        <v>441566</v>
      </c>
      <c r="G31" s="506">
        <f t="shared" si="62"/>
        <v>448549</v>
      </c>
      <c r="H31" s="506">
        <f t="shared" si="62"/>
        <v>450781</v>
      </c>
      <c r="I31" s="506">
        <f t="shared" si="62"/>
        <v>439870</v>
      </c>
      <c r="J31" s="506">
        <f t="shared" ref="J31:K31" si="63">J13+J15+J19+J23+J27+J29</f>
        <v>439574</v>
      </c>
      <c r="K31" s="506">
        <f t="shared" si="63"/>
        <v>448477</v>
      </c>
      <c r="L31" s="506">
        <f t="shared" ref="L31" si="64">L13+L15+L19+L23+L27+L29</f>
        <v>453183</v>
      </c>
    </row>
    <row r="32" spans="1:14">
      <c r="D32" s="508"/>
      <c r="E32" s="508"/>
      <c r="F32" s="508"/>
      <c r="G32" s="508"/>
      <c r="H32" s="508"/>
      <c r="I32" s="508"/>
      <c r="J32" s="508"/>
      <c r="K32" s="508"/>
      <c r="L32" s="508"/>
    </row>
    <row r="33" spans="1:17">
      <c r="A33" s="44" t="s">
        <v>8698</v>
      </c>
      <c r="D33" s="506">
        <f t="shared" ref="D33:I33" si="65">MAX(D13,D15,D19,D23,D27,D29)-MIN(D13,D15,D19,D23,D27,D29)</f>
        <v>12007</v>
      </c>
      <c r="E33" s="506">
        <f t="shared" si="65"/>
        <v>12461</v>
      </c>
      <c r="F33" s="506">
        <f t="shared" si="65"/>
        <v>12262</v>
      </c>
      <c r="G33" s="506">
        <f t="shared" si="65"/>
        <v>13250</v>
      </c>
      <c r="H33" s="506">
        <f t="shared" si="65"/>
        <v>15531</v>
      </c>
      <c r="I33" s="506">
        <f t="shared" si="65"/>
        <v>17850</v>
      </c>
      <c r="J33" s="506">
        <f t="shared" ref="J33:K33" si="66">MAX(J13,J15,J19,J23,J27,J29)-MIN(J13,J15,J19,J23,J27,J29)</f>
        <v>19463</v>
      </c>
      <c r="K33" s="506">
        <f t="shared" si="66"/>
        <v>19766</v>
      </c>
      <c r="L33" s="506">
        <f t="shared" ref="L33" si="67">MAX(L13,L15,L19,L23,L27,L29)-MIN(L13,L15,L19,L23,L27,L29)</f>
        <v>21088</v>
      </c>
    </row>
    <row r="34" spans="1:17">
      <c r="D34" s="508"/>
      <c r="E34" s="508"/>
      <c r="F34" s="508"/>
      <c r="G34" s="508"/>
      <c r="H34" s="508"/>
      <c r="I34" s="508"/>
      <c r="J34" s="508"/>
      <c r="K34" s="508"/>
      <c r="L34" s="508"/>
    </row>
    <row r="35" spans="1:17">
      <c r="A35" s="44" t="s">
        <v>8701</v>
      </c>
      <c r="D35" s="506">
        <f t="shared" ref="D35:I35" si="68">STDEVP(D13,D15,D19,D23,D27,D29)</f>
        <v>5071.1591514060065</v>
      </c>
      <c r="E35" s="506">
        <f t="shared" si="68"/>
        <v>5099.0065372253321</v>
      </c>
      <c r="F35" s="506">
        <f t="shared" si="68"/>
        <v>5064.0813140742075</v>
      </c>
      <c r="G35" s="506">
        <f t="shared" si="68"/>
        <v>5261.6544741702255</v>
      </c>
      <c r="H35" s="506">
        <f t="shared" si="68"/>
        <v>6255.6888087741554</v>
      </c>
      <c r="I35" s="506">
        <f t="shared" si="68"/>
        <v>7222.2211188033352</v>
      </c>
      <c r="J35" s="506">
        <f t="shared" ref="J35:K35" si="69">STDEVP(J13,J15,J19,J23,J27,J29)</f>
        <v>7472.4227589777656</v>
      </c>
      <c r="K35" s="506">
        <f t="shared" si="69"/>
        <v>7736.8437668226325</v>
      </c>
      <c r="L35" s="506">
        <f t="shared" ref="L35" si="70">STDEVP(L13,L15,L19,L23,L27,L29)</f>
        <v>8420.4422439283626</v>
      </c>
    </row>
    <row r="37" spans="1:17">
      <c r="A37" s="44" t="s">
        <v>2301</v>
      </c>
    </row>
    <row r="38" spans="1:17">
      <c r="A38" s="44" t="s">
        <v>2302</v>
      </c>
    </row>
    <row r="41" spans="1:17">
      <c r="E41" s="42" t="s">
        <v>2303</v>
      </c>
      <c r="F41" s="42"/>
      <c r="G41" s="42"/>
      <c r="H41" s="42"/>
      <c r="I41" s="42"/>
      <c r="J41" s="42"/>
      <c r="K41" s="42"/>
      <c r="L41" s="42"/>
      <c r="N41" s="25" t="s">
        <v>13319</v>
      </c>
    </row>
    <row r="42" spans="1:17">
      <c r="D42" s="42">
        <v>2010</v>
      </c>
      <c r="E42" s="42">
        <v>2011</v>
      </c>
      <c r="F42" s="42">
        <v>2012</v>
      </c>
      <c r="G42" s="42">
        <v>2013</v>
      </c>
      <c r="H42" s="42">
        <v>2014</v>
      </c>
      <c r="I42" s="42">
        <v>2015</v>
      </c>
      <c r="J42" s="42">
        <v>2016</v>
      </c>
      <c r="K42" s="42">
        <v>2017</v>
      </c>
      <c r="L42" s="42">
        <v>2018</v>
      </c>
      <c r="N42" s="44" t="s">
        <v>2304</v>
      </c>
    </row>
    <row r="43" spans="1:17">
      <c r="A43" s="44" t="s">
        <v>2305</v>
      </c>
      <c r="C43" s="44"/>
      <c r="D43" s="506">
        <f t="shared" ref="D43:E43" si="71">SUM(D44:D49)+SUM(D51:D54)+D56+D57+D59+D60+SUM(D62:D68)+SUM(D70:D81)</f>
        <v>110958</v>
      </c>
      <c r="E43" s="506">
        <f t="shared" si="71"/>
        <v>112268</v>
      </c>
      <c r="F43" s="506">
        <f t="shared" ref="F43:K43" si="72">SUM(F44:F49)+SUM(F51:F54)+F56+F57+F59+F60+SUM(F62:F68)+SUM(F70:F81)</f>
        <v>114213</v>
      </c>
      <c r="G43" s="506">
        <f t="shared" si="72"/>
        <v>115242</v>
      </c>
      <c r="H43" s="506">
        <f t="shared" si="72"/>
        <v>117223</v>
      </c>
      <c r="I43" s="506">
        <f t="shared" si="72"/>
        <v>114202</v>
      </c>
      <c r="J43" s="506">
        <f t="shared" si="72"/>
        <v>118210</v>
      </c>
      <c r="K43" s="506">
        <f t="shared" si="72"/>
        <v>119397</v>
      </c>
      <c r="L43" s="506">
        <f>SUM(L44:L49)+SUM(L51:L54)+L56+L57+L59+L60+SUM(L62:L68)+SUM(L70:L81)</f>
        <v>120132</v>
      </c>
    </row>
    <row r="44" spans="1:17">
      <c r="A44" s="44" t="s">
        <v>6957</v>
      </c>
      <c r="B44" s="44" t="s">
        <v>2306</v>
      </c>
      <c r="C44" s="509" t="s">
        <v>12616</v>
      </c>
      <c r="D44" s="506">
        <v>68692</v>
      </c>
      <c r="E44" s="506">
        <v>69019</v>
      </c>
      <c r="F44" s="506">
        <v>6305</v>
      </c>
      <c r="G44" s="506">
        <v>6314</v>
      </c>
      <c r="H44" s="48">
        <v>6340</v>
      </c>
      <c r="I44" s="48">
        <v>6212</v>
      </c>
      <c r="J44" s="30">
        <v>6348</v>
      </c>
      <c r="K44" s="30">
        <v>6291</v>
      </c>
      <c r="L44" s="30">
        <v>6238</v>
      </c>
      <c r="N44" s="44" t="s">
        <v>7553</v>
      </c>
      <c r="O44" s="4"/>
      <c r="Q44" s="4"/>
    </row>
    <row r="45" spans="1:17">
      <c r="A45" s="44" t="s">
        <v>6959</v>
      </c>
      <c r="B45" s="44" t="s">
        <v>12532</v>
      </c>
      <c r="C45" s="509" t="s">
        <v>12617</v>
      </c>
      <c r="D45" s="506">
        <v>31798</v>
      </c>
      <c r="E45" s="506">
        <v>32425</v>
      </c>
      <c r="F45" s="506">
        <v>5691</v>
      </c>
      <c r="G45" s="506">
        <v>5746</v>
      </c>
      <c r="H45" s="48">
        <v>5759</v>
      </c>
      <c r="I45" s="48">
        <v>5719</v>
      </c>
      <c r="J45" s="923">
        <v>5805</v>
      </c>
      <c r="K45" s="31">
        <v>5762</v>
      </c>
      <c r="L45" s="31">
        <v>5700</v>
      </c>
      <c r="N45" s="44" t="s">
        <v>2299</v>
      </c>
      <c r="O45" s="4"/>
      <c r="Q45" s="4"/>
    </row>
    <row r="46" spans="1:17">
      <c r="A46" s="44" t="s">
        <v>6961</v>
      </c>
      <c r="B46" s="44" t="s">
        <v>7588</v>
      </c>
      <c r="C46" s="509" t="s">
        <v>12618</v>
      </c>
      <c r="D46" s="506">
        <v>0</v>
      </c>
      <c r="E46" s="506">
        <v>0</v>
      </c>
      <c r="F46" s="506">
        <v>5013</v>
      </c>
      <c r="G46" s="506">
        <v>4851</v>
      </c>
      <c r="H46" s="48">
        <v>5046</v>
      </c>
      <c r="I46" s="48">
        <v>4723</v>
      </c>
      <c r="J46" s="30">
        <v>5000</v>
      </c>
      <c r="K46" s="30">
        <v>5152</v>
      </c>
      <c r="L46" s="30">
        <v>5182</v>
      </c>
      <c r="N46" s="44" t="s">
        <v>7553</v>
      </c>
      <c r="O46" s="4"/>
      <c r="Q46" s="4"/>
    </row>
    <row r="47" spans="1:17">
      <c r="A47" s="44" t="s">
        <v>6963</v>
      </c>
      <c r="B47" s="44" t="s">
        <v>7589</v>
      </c>
      <c r="C47" s="509" t="s">
        <v>12619</v>
      </c>
      <c r="D47" s="506">
        <v>0</v>
      </c>
      <c r="E47" s="506">
        <v>0</v>
      </c>
      <c r="F47" s="506">
        <v>5607</v>
      </c>
      <c r="G47" s="506">
        <v>5565</v>
      </c>
      <c r="H47" s="48">
        <v>5658</v>
      </c>
      <c r="I47" s="48">
        <v>5553</v>
      </c>
      <c r="J47" s="30">
        <v>5652</v>
      </c>
      <c r="K47" s="30">
        <v>5701</v>
      </c>
      <c r="L47" s="30">
        <v>5756</v>
      </c>
      <c r="N47" s="44" t="s">
        <v>7553</v>
      </c>
      <c r="O47" s="4"/>
      <c r="Q47" s="4"/>
    </row>
    <row r="48" spans="1:17">
      <c r="A48" s="44" t="s">
        <v>6965</v>
      </c>
      <c r="B48" s="44" t="s">
        <v>7590</v>
      </c>
      <c r="C48" s="509" t="s">
        <v>12620</v>
      </c>
      <c r="D48" s="506">
        <v>0</v>
      </c>
      <c r="E48" s="506">
        <v>0</v>
      </c>
      <c r="F48" s="506">
        <v>12</v>
      </c>
      <c r="G48" s="506">
        <v>16</v>
      </c>
      <c r="H48" s="48">
        <v>15</v>
      </c>
      <c r="I48" s="48">
        <v>15</v>
      </c>
      <c r="J48" s="30">
        <v>15</v>
      </c>
      <c r="K48" s="30">
        <v>14</v>
      </c>
      <c r="L48" s="30">
        <v>14</v>
      </c>
      <c r="N48" s="44" t="s">
        <v>7553</v>
      </c>
      <c r="O48" s="4"/>
      <c r="Q48" s="4"/>
    </row>
    <row r="49" spans="1:17" ht="15.75" thickBot="1">
      <c r="A49" s="44"/>
      <c r="B49" s="44"/>
      <c r="C49" s="509" t="s">
        <v>12620</v>
      </c>
      <c r="D49" s="507">
        <v>0</v>
      </c>
      <c r="E49" s="507">
        <v>0</v>
      </c>
      <c r="F49" s="507">
        <v>3253</v>
      </c>
      <c r="G49" s="510">
        <v>3279</v>
      </c>
      <c r="H49" s="48">
        <v>3339</v>
      </c>
      <c r="I49" s="48">
        <v>3267</v>
      </c>
      <c r="J49" s="923">
        <v>3349</v>
      </c>
      <c r="K49" s="31">
        <v>3344</v>
      </c>
      <c r="L49" s="31">
        <v>3339</v>
      </c>
      <c r="N49" s="44" t="s">
        <v>2299</v>
      </c>
      <c r="O49" s="4"/>
      <c r="Q49" s="4"/>
    </row>
    <row r="50" spans="1:17" ht="15.75" thickBot="1">
      <c r="A50" s="44"/>
      <c r="B50" s="44"/>
      <c r="C50" s="509" t="s">
        <v>12620</v>
      </c>
      <c r="D50" s="511">
        <f>D48+D49</f>
        <v>0</v>
      </c>
      <c r="E50" s="511">
        <f t="shared" ref="E50:K50" si="73">E48+E49</f>
        <v>0</v>
      </c>
      <c r="F50" s="511">
        <f t="shared" si="73"/>
        <v>3265</v>
      </c>
      <c r="G50" s="511">
        <f t="shared" si="73"/>
        <v>3295</v>
      </c>
      <c r="H50" s="511">
        <f t="shared" si="73"/>
        <v>3354</v>
      </c>
      <c r="I50" s="511">
        <f t="shared" si="73"/>
        <v>3282</v>
      </c>
      <c r="J50" s="511">
        <f t="shared" si="73"/>
        <v>3364</v>
      </c>
      <c r="K50" s="511">
        <f t="shared" si="73"/>
        <v>3358</v>
      </c>
      <c r="L50" s="511">
        <f>L48+L49</f>
        <v>3353</v>
      </c>
      <c r="N50" s="44"/>
      <c r="O50" s="4"/>
      <c r="Q50" s="4"/>
    </row>
    <row r="51" spans="1:17">
      <c r="A51" s="44" t="s">
        <v>6997</v>
      </c>
      <c r="B51" s="44" t="s">
        <v>7591</v>
      </c>
      <c r="C51" s="509" t="s">
        <v>12621</v>
      </c>
      <c r="D51" s="506">
        <v>0</v>
      </c>
      <c r="E51" s="506">
        <v>0</v>
      </c>
      <c r="F51" s="506">
        <v>5273</v>
      </c>
      <c r="G51" s="506">
        <v>5176</v>
      </c>
      <c r="H51" s="48">
        <v>5215</v>
      </c>
      <c r="I51" s="48">
        <v>4594</v>
      </c>
      <c r="J51" s="30">
        <v>4908</v>
      </c>
      <c r="K51" s="30">
        <v>4857</v>
      </c>
      <c r="L51" s="30">
        <v>4778</v>
      </c>
      <c r="N51" s="44" t="s">
        <v>7553</v>
      </c>
      <c r="O51" s="4"/>
      <c r="Q51" s="4"/>
    </row>
    <row r="52" spans="1:17">
      <c r="A52" s="44" t="s">
        <v>6999</v>
      </c>
      <c r="B52" s="44" t="s">
        <v>7558</v>
      </c>
      <c r="C52" s="509" t="s">
        <v>12622</v>
      </c>
      <c r="D52" s="506">
        <v>0</v>
      </c>
      <c r="E52" s="506">
        <v>0</v>
      </c>
      <c r="F52" s="506">
        <v>2305</v>
      </c>
      <c r="G52" s="506">
        <v>2398</v>
      </c>
      <c r="H52" s="48">
        <v>2568</v>
      </c>
      <c r="I52" s="48">
        <v>2502</v>
      </c>
      <c r="J52" s="923">
        <v>2639</v>
      </c>
      <c r="K52" s="31">
        <v>2887</v>
      </c>
      <c r="L52" s="31">
        <v>3087</v>
      </c>
      <c r="N52" s="44" t="s">
        <v>2299</v>
      </c>
      <c r="O52" s="4"/>
      <c r="Q52" s="4"/>
    </row>
    <row r="53" spans="1:17">
      <c r="A53" s="44" t="s">
        <v>7001</v>
      </c>
      <c r="B53" s="44" t="s">
        <v>13842</v>
      </c>
      <c r="C53" s="509" t="s">
        <v>12623</v>
      </c>
      <c r="D53" s="506">
        <v>0</v>
      </c>
      <c r="E53" s="506">
        <v>0</v>
      </c>
      <c r="F53" s="506">
        <v>67</v>
      </c>
      <c r="G53" s="506">
        <v>65</v>
      </c>
      <c r="H53" s="48">
        <v>66</v>
      </c>
      <c r="I53" s="48">
        <v>65</v>
      </c>
      <c r="J53" s="30">
        <v>61</v>
      </c>
      <c r="K53" s="30">
        <v>62</v>
      </c>
      <c r="L53" s="30">
        <v>59</v>
      </c>
      <c r="N53" s="44" t="s">
        <v>7553</v>
      </c>
      <c r="O53" s="4"/>
      <c r="Q53" s="4"/>
    </row>
    <row r="54" spans="1:17" ht="15.75" thickBot="1">
      <c r="A54" s="44"/>
      <c r="B54" s="44"/>
      <c r="C54" s="509" t="s">
        <v>12623</v>
      </c>
      <c r="D54" s="506">
        <v>0</v>
      </c>
      <c r="E54" s="506">
        <v>0</v>
      </c>
      <c r="F54" s="506">
        <v>2900</v>
      </c>
      <c r="G54" s="506">
        <v>2963</v>
      </c>
      <c r="H54" s="48">
        <v>3007</v>
      </c>
      <c r="I54" s="48">
        <v>2978</v>
      </c>
      <c r="J54" s="923">
        <v>3070</v>
      </c>
      <c r="K54" s="31">
        <v>3137</v>
      </c>
      <c r="L54" s="31">
        <v>3344</v>
      </c>
      <c r="N54" s="44" t="s">
        <v>2298</v>
      </c>
      <c r="O54" s="4"/>
      <c r="Q54" s="4"/>
    </row>
    <row r="55" spans="1:17" ht="15.75" thickBot="1">
      <c r="A55" s="44"/>
      <c r="B55" s="44"/>
      <c r="C55" s="509" t="s">
        <v>12623</v>
      </c>
      <c r="D55" s="511">
        <f>D53+D54</f>
        <v>0</v>
      </c>
      <c r="E55" s="511">
        <f t="shared" ref="E55:L55" si="74">E53+E54</f>
        <v>0</v>
      </c>
      <c r="F55" s="511">
        <f t="shared" si="74"/>
        <v>2967</v>
      </c>
      <c r="G55" s="511">
        <f t="shared" si="74"/>
        <v>3028</v>
      </c>
      <c r="H55" s="511">
        <f t="shared" si="74"/>
        <v>3073</v>
      </c>
      <c r="I55" s="511">
        <f t="shared" si="74"/>
        <v>3043</v>
      </c>
      <c r="J55" s="511">
        <f t="shared" si="74"/>
        <v>3131</v>
      </c>
      <c r="K55" s="511">
        <f t="shared" si="74"/>
        <v>3199</v>
      </c>
      <c r="L55" s="511">
        <f t="shared" si="74"/>
        <v>3403</v>
      </c>
      <c r="O55" s="4"/>
      <c r="Q55" s="4"/>
    </row>
    <row r="56" spans="1:17">
      <c r="A56" s="44" t="s">
        <v>7003</v>
      </c>
      <c r="B56" s="44" t="s">
        <v>7559</v>
      </c>
      <c r="C56" s="509" t="s">
        <v>12624</v>
      </c>
      <c r="D56" s="506">
        <v>0</v>
      </c>
      <c r="E56" s="506">
        <v>0</v>
      </c>
      <c r="F56" s="506">
        <v>5488</v>
      </c>
      <c r="G56" s="506">
        <v>5468</v>
      </c>
      <c r="H56" s="48">
        <v>5522</v>
      </c>
      <c r="I56" s="48">
        <v>5179</v>
      </c>
      <c r="J56" s="30">
        <v>5344</v>
      </c>
      <c r="K56" s="30">
        <v>5455</v>
      </c>
      <c r="L56" s="30">
        <v>5363</v>
      </c>
      <c r="N56" s="44" t="s">
        <v>7553</v>
      </c>
      <c r="O56" s="4"/>
      <c r="Q56" s="4"/>
    </row>
    <row r="57" spans="1:17" ht="15.75" thickBot="1">
      <c r="A57" s="44"/>
      <c r="B57" s="44"/>
      <c r="C57" s="509" t="s">
        <v>12624</v>
      </c>
      <c r="D57" s="506">
        <v>0</v>
      </c>
      <c r="E57" s="506">
        <v>0</v>
      </c>
      <c r="F57" s="506">
        <v>425</v>
      </c>
      <c r="G57" s="506">
        <v>535</v>
      </c>
      <c r="H57" s="48">
        <v>625</v>
      </c>
      <c r="I57" s="48">
        <v>657</v>
      </c>
      <c r="J57" s="923">
        <v>783</v>
      </c>
      <c r="K57" s="923">
        <v>872</v>
      </c>
      <c r="L57" s="923">
        <v>906</v>
      </c>
      <c r="N57" s="44" t="s">
        <v>2299</v>
      </c>
      <c r="O57" s="4"/>
      <c r="Q57" s="4"/>
    </row>
    <row r="58" spans="1:17" ht="15.75" thickBot="1">
      <c r="A58" s="44"/>
      <c r="B58" s="44"/>
      <c r="C58" s="509" t="s">
        <v>12624</v>
      </c>
      <c r="D58" s="511">
        <f>D56+D57</f>
        <v>0</v>
      </c>
      <c r="E58" s="511">
        <f t="shared" ref="E58:L58" si="75">E56+E57</f>
        <v>0</v>
      </c>
      <c r="F58" s="511">
        <f t="shared" si="75"/>
        <v>5913</v>
      </c>
      <c r="G58" s="511">
        <f t="shared" si="75"/>
        <v>6003</v>
      </c>
      <c r="H58" s="511">
        <f t="shared" si="75"/>
        <v>6147</v>
      </c>
      <c r="I58" s="511">
        <f t="shared" si="75"/>
        <v>5836</v>
      </c>
      <c r="J58" s="511">
        <f t="shared" si="75"/>
        <v>6127</v>
      </c>
      <c r="K58" s="511">
        <f t="shared" si="75"/>
        <v>6327</v>
      </c>
      <c r="L58" s="511">
        <f t="shared" si="75"/>
        <v>6269</v>
      </c>
      <c r="N58" s="44"/>
      <c r="O58" s="4"/>
      <c r="Q58" s="4"/>
    </row>
    <row r="59" spans="1:17">
      <c r="A59" s="44" t="s">
        <v>7005</v>
      </c>
      <c r="B59" s="44" t="s">
        <v>7560</v>
      </c>
      <c r="C59" s="509" t="s">
        <v>12625</v>
      </c>
      <c r="D59" s="506">
        <v>0</v>
      </c>
      <c r="E59" s="506">
        <v>0</v>
      </c>
      <c r="F59" s="506">
        <v>490</v>
      </c>
      <c r="G59" s="506">
        <v>503</v>
      </c>
      <c r="H59" s="48">
        <v>490</v>
      </c>
      <c r="I59" s="48">
        <v>484</v>
      </c>
      <c r="J59" s="30">
        <v>511</v>
      </c>
      <c r="K59" s="30">
        <v>511</v>
      </c>
      <c r="L59" s="30">
        <v>508</v>
      </c>
      <c r="N59" s="44" t="s">
        <v>7553</v>
      </c>
      <c r="O59" s="4"/>
      <c r="Q59" s="4"/>
    </row>
    <row r="60" spans="1:17" ht="15.75" thickBot="1">
      <c r="A60" s="44"/>
      <c r="B60" s="44"/>
      <c r="C60" s="509" t="s">
        <v>12625</v>
      </c>
      <c r="D60" s="506">
        <v>0</v>
      </c>
      <c r="E60" s="506">
        <v>0</v>
      </c>
      <c r="F60" s="506">
        <v>5369</v>
      </c>
      <c r="G60" s="506">
        <v>5630</v>
      </c>
      <c r="H60" s="48">
        <v>5704</v>
      </c>
      <c r="I60" s="48">
        <v>5593</v>
      </c>
      <c r="J60" s="923">
        <v>5662</v>
      </c>
      <c r="K60" s="923">
        <v>5618</v>
      </c>
      <c r="L60" s="923">
        <v>5633</v>
      </c>
      <c r="N60" s="44" t="s">
        <v>2299</v>
      </c>
      <c r="O60" s="4"/>
      <c r="Q60" s="4"/>
    </row>
    <row r="61" spans="1:17" ht="15.75" thickBot="1">
      <c r="A61" s="44"/>
      <c r="B61" s="44"/>
      <c r="C61" s="509" t="s">
        <v>12625</v>
      </c>
      <c r="D61" s="511">
        <f>D59+D60</f>
        <v>0</v>
      </c>
      <c r="E61" s="511">
        <f t="shared" ref="E61:L61" si="76">E59+E60</f>
        <v>0</v>
      </c>
      <c r="F61" s="511">
        <f t="shared" si="76"/>
        <v>5859</v>
      </c>
      <c r="G61" s="511">
        <f t="shared" si="76"/>
        <v>6133</v>
      </c>
      <c r="H61" s="511">
        <f t="shared" si="76"/>
        <v>6194</v>
      </c>
      <c r="I61" s="511">
        <f t="shared" si="76"/>
        <v>6077</v>
      </c>
      <c r="J61" s="511">
        <f t="shared" si="76"/>
        <v>6173</v>
      </c>
      <c r="K61" s="511">
        <f t="shared" si="76"/>
        <v>6129</v>
      </c>
      <c r="L61" s="511">
        <f t="shared" si="76"/>
        <v>6141</v>
      </c>
      <c r="N61" s="44"/>
      <c r="O61" s="4"/>
      <c r="Q61" s="4"/>
    </row>
    <row r="62" spans="1:17">
      <c r="A62" s="44" t="s">
        <v>7007</v>
      </c>
      <c r="B62" s="44" t="s">
        <v>7561</v>
      </c>
      <c r="C62" s="509" t="s">
        <v>12626</v>
      </c>
      <c r="D62" s="506">
        <v>0</v>
      </c>
      <c r="E62" s="506">
        <v>0</v>
      </c>
      <c r="F62" s="506">
        <v>5505</v>
      </c>
      <c r="G62" s="506">
        <v>5366</v>
      </c>
      <c r="H62" s="48">
        <v>5510</v>
      </c>
      <c r="I62" s="48">
        <v>5073</v>
      </c>
      <c r="J62" s="30">
        <v>5233</v>
      </c>
      <c r="K62" s="30">
        <v>5260</v>
      </c>
      <c r="L62" s="30">
        <v>5273</v>
      </c>
      <c r="N62" s="44" t="s">
        <v>7553</v>
      </c>
      <c r="O62" s="4"/>
      <c r="Q62" s="4"/>
    </row>
    <row r="63" spans="1:17">
      <c r="A63" s="44" t="s">
        <v>7009</v>
      </c>
      <c r="B63" s="44" t="s">
        <v>7562</v>
      </c>
      <c r="C63" s="509" t="s">
        <v>12627</v>
      </c>
      <c r="D63" s="506">
        <v>0</v>
      </c>
      <c r="E63" s="506">
        <v>0</v>
      </c>
      <c r="F63" s="506">
        <v>3178</v>
      </c>
      <c r="G63" s="506">
        <v>3215</v>
      </c>
      <c r="H63" s="48">
        <v>3218</v>
      </c>
      <c r="I63" s="48">
        <v>3170</v>
      </c>
      <c r="J63" s="923">
        <v>3214</v>
      </c>
      <c r="K63" s="31">
        <v>3225</v>
      </c>
      <c r="L63" s="31">
        <v>3201</v>
      </c>
      <c r="N63" s="44" t="s">
        <v>2299</v>
      </c>
      <c r="O63" s="4"/>
      <c r="Q63" s="4"/>
    </row>
    <row r="64" spans="1:17">
      <c r="A64" s="44" t="s">
        <v>7011</v>
      </c>
      <c r="B64" s="44" t="s">
        <v>12533</v>
      </c>
      <c r="C64" s="509" t="s">
        <v>12628</v>
      </c>
      <c r="D64" s="506">
        <v>0</v>
      </c>
      <c r="E64" s="506">
        <v>0</v>
      </c>
      <c r="F64" s="506">
        <v>5140</v>
      </c>
      <c r="G64" s="506">
        <v>5181</v>
      </c>
      <c r="H64" s="48">
        <v>5136</v>
      </c>
      <c r="I64" s="48">
        <v>4983</v>
      </c>
      <c r="J64" s="30">
        <v>5095</v>
      </c>
      <c r="K64" s="30">
        <v>5054</v>
      </c>
      <c r="L64" s="30">
        <v>5022</v>
      </c>
      <c r="N64" s="44" t="s">
        <v>7553</v>
      </c>
      <c r="O64" s="4"/>
      <c r="Q64" s="4"/>
    </row>
    <row r="65" spans="1:17">
      <c r="A65" s="44" t="s">
        <v>7013</v>
      </c>
      <c r="B65" s="44" t="s">
        <v>7563</v>
      </c>
      <c r="C65" s="509" t="s">
        <v>12629</v>
      </c>
      <c r="D65" s="506">
        <v>0</v>
      </c>
      <c r="E65" s="506">
        <v>0</v>
      </c>
      <c r="F65" s="506">
        <v>2892</v>
      </c>
      <c r="G65" s="506">
        <v>2901</v>
      </c>
      <c r="H65" s="48">
        <v>2871</v>
      </c>
      <c r="I65" s="48">
        <v>2815</v>
      </c>
      <c r="J65" s="30">
        <v>2832</v>
      </c>
      <c r="K65" s="30">
        <v>2857</v>
      </c>
      <c r="L65" s="30">
        <v>2821</v>
      </c>
      <c r="N65" s="44" t="s">
        <v>7553</v>
      </c>
      <c r="O65" s="4"/>
      <c r="Q65" s="4"/>
    </row>
    <row r="66" spans="1:17">
      <c r="A66" s="44" t="s">
        <v>7015</v>
      </c>
      <c r="B66" s="44" t="s">
        <v>12536</v>
      </c>
      <c r="C66" s="509" t="s">
        <v>12630</v>
      </c>
      <c r="D66" s="506">
        <v>0</v>
      </c>
      <c r="E66" s="506">
        <v>0</v>
      </c>
      <c r="F66" s="506">
        <v>0</v>
      </c>
      <c r="G66" s="506">
        <v>59</v>
      </c>
      <c r="H66" s="48">
        <v>183</v>
      </c>
      <c r="I66" s="48">
        <v>225</v>
      </c>
      <c r="J66" s="30">
        <v>317</v>
      </c>
      <c r="K66" s="30">
        <v>589</v>
      </c>
      <c r="L66" s="30">
        <v>752</v>
      </c>
      <c r="N66" s="44" t="s">
        <v>7553</v>
      </c>
      <c r="O66" s="4"/>
      <c r="Q66" s="4"/>
    </row>
    <row r="67" spans="1:17">
      <c r="A67" s="44"/>
      <c r="B67" s="44"/>
      <c r="C67" s="509" t="s">
        <v>12630</v>
      </c>
      <c r="D67" s="506">
        <v>0</v>
      </c>
      <c r="E67" s="506">
        <v>0</v>
      </c>
      <c r="F67" s="506">
        <v>2234</v>
      </c>
      <c r="G67" s="506">
        <v>2261</v>
      </c>
      <c r="H67" s="48">
        <v>2272</v>
      </c>
      <c r="I67" s="48">
        <v>2270</v>
      </c>
      <c r="J67" s="923">
        <v>2293</v>
      </c>
      <c r="K67" s="31">
        <v>2291</v>
      </c>
      <c r="L67" s="31">
        <v>2251</v>
      </c>
      <c r="N67" s="44" t="s">
        <v>2298</v>
      </c>
      <c r="O67" s="4"/>
      <c r="Q67" s="4"/>
    </row>
    <row r="68" spans="1:17" ht="15.75" thickBot="1">
      <c r="A68" s="44"/>
      <c r="B68" s="44"/>
      <c r="C68" s="509" t="s">
        <v>12630</v>
      </c>
      <c r="D68" s="506">
        <v>0</v>
      </c>
      <c r="E68" s="506">
        <v>0</v>
      </c>
      <c r="F68" s="506">
        <v>981</v>
      </c>
      <c r="G68" s="506">
        <v>1160</v>
      </c>
      <c r="H68" s="48">
        <v>1374</v>
      </c>
      <c r="I68" s="48">
        <v>1442</v>
      </c>
      <c r="J68" s="923">
        <v>1772</v>
      </c>
      <c r="K68" s="31">
        <v>1992</v>
      </c>
      <c r="L68" s="31">
        <v>2310</v>
      </c>
      <c r="N68" s="44" t="s">
        <v>2299</v>
      </c>
      <c r="O68" s="4"/>
      <c r="Q68" s="4"/>
    </row>
    <row r="69" spans="1:17" ht="15.75" thickBot="1">
      <c r="A69" s="44"/>
      <c r="B69" s="44"/>
      <c r="C69" s="509" t="s">
        <v>12630</v>
      </c>
      <c r="D69" s="511">
        <f t="shared" ref="D69:F69" si="77">SUM(D66:D68)</f>
        <v>0</v>
      </c>
      <c r="E69" s="511">
        <f t="shared" si="77"/>
        <v>0</v>
      </c>
      <c r="F69" s="511">
        <f t="shared" si="77"/>
        <v>3215</v>
      </c>
      <c r="G69" s="511">
        <f t="shared" ref="G69:L69" si="78">SUM(G66:G68)</f>
        <v>3480</v>
      </c>
      <c r="H69" s="511">
        <f t="shared" si="78"/>
        <v>3829</v>
      </c>
      <c r="I69" s="511">
        <f t="shared" si="78"/>
        <v>3937</v>
      </c>
      <c r="J69" s="511">
        <f t="shared" si="78"/>
        <v>4382</v>
      </c>
      <c r="K69" s="511">
        <f t="shared" si="78"/>
        <v>4872</v>
      </c>
      <c r="L69" s="511">
        <f t="shared" si="78"/>
        <v>5313</v>
      </c>
      <c r="N69" s="44"/>
      <c r="O69" s="4"/>
      <c r="Q69" s="4"/>
    </row>
    <row r="70" spans="1:17">
      <c r="A70" s="44" t="s">
        <v>7017</v>
      </c>
      <c r="B70" s="44" t="s">
        <v>7564</v>
      </c>
      <c r="C70" s="509" t="s">
        <v>12631</v>
      </c>
      <c r="D70" s="506">
        <v>0</v>
      </c>
      <c r="E70" s="506">
        <v>0</v>
      </c>
      <c r="F70" s="506">
        <v>3152</v>
      </c>
      <c r="G70" s="506">
        <v>3167</v>
      </c>
      <c r="H70" s="48">
        <v>3143</v>
      </c>
      <c r="I70" s="48">
        <v>3090</v>
      </c>
      <c r="J70" s="30">
        <v>3096</v>
      </c>
      <c r="K70" s="30">
        <v>3085</v>
      </c>
      <c r="L70" s="30">
        <v>3087</v>
      </c>
      <c r="N70" s="44" t="s">
        <v>7553</v>
      </c>
      <c r="O70" s="4"/>
      <c r="Q70" s="4"/>
    </row>
    <row r="71" spans="1:17">
      <c r="A71" s="44" t="s">
        <v>7019</v>
      </c>
      <c r="B71" s="44" t="s">
        <v>12535</v>
      </c>
      <c r="C71" s="509" t="s">
        <v>12632</v>
      </c>
      <c r="D71" s="506">
        <v>0</v>
      </c>
      <c r="E71" s="506">
        <v>0</v>
      </c>
      <c r="F71" s="506">
        <v>2877</v>
      </c>
      <c r="G71" s="506">
        <v>3025</v>
      </c>
      <c r="H71" s="48">
        <v>3317</v>
      </c>
      <c r="I71" s="48">
        <v>3311</v>
      </c>
      <c r="J71" s="30">
        <v>3610</v>
      </c>
      <c r="K71" s="30">
        <v>3554</v>
      </c>
      <c r="L71" s="30">
        <v>3567</v>
      </c>
      <c r="N71" s="44" t="s">
        <v>7553</v>
      </c>
      <c r="O71" s="4"/>
      <c r="Q71" s="4"/>
    </row>
    <row r="72" spans="1:17">
      <c r="A72" s="44" t="s">
        <v>7021</v>
      </c>
      <c r="B72" s="44" t="s">
        <v>7565</v>
      </c>
      <c r="C72" s="509" t="s">
        <v>12633</v>
      </c>
      <c r="D72" s="506">
        <v>0</v>
      </c>
      <c r="E72" s="506">
        <v>0</v>
      </c>
      <c r="F72" s="506">
        <v>5790</v>
      </c>
      <c r="G72" s="506">
        <v>5901</v>
      </c>
      <c r="H72" s="48">
        <v>5929</v>
      </c>
      <c r="I72" s="48">
        <v>5745</v>
      </c>
      <c r="J72" s="30">
        <v>5850</v>
      </c>
      <c r="K72" s="30">
        <v>5806</v>
      </c>
      <c r="L72" s="30">
        <v>5765</v>
      </c>
      <c r="N72" s="44" t="s">
        <v>7553</v>
      </c>
      <c r="O72" s="4"/>
      <c r="Q72" s="4"/>
    </row>
    <row r="73" spans="1:17">
      <c r="A73" s="44" t="s">
        <v>7023</v>
      </c>
      <c r="B73" s="44" t="s">
        <v>7566</v>
      </c>
      <c r="C73" s="509" t="s">
        <v>12634</v>
      </c>
      <c r="D73" s="506">
        <v>0</v>
      </c>
      <c r="E73" s="506">
        <v>0</v>
      </c>
      <c r="F73" s="506">
        <v>5314</v>
      </c>
      <c r="G73" s="506">
        <v>5319</v>
      </c>
      <c r="H73" s="48">
        <v>5413</v>
      </c>
      <c r="I73" s="48">
        <v>5270</v>
      </c>
      <c r="J73" s="923">
        <v>5443</v>
      </c>
      <c r="K73" s="31">
        <v>5452</v>
      </c>
      <c r="L73" s="31">
        <v>5395</v>
      </c>
      <c r="N73" s="44" t="s">
        <v>7553</v>
      </c>
      <c r="O73" s="4"/>
      <c r="Q73" s="4"/>
    </row>
    <row r="74" spans="1:17">
      <c r="A74" s="44" t="s">
        <v>7025</v>
      </c>
      <c r="B74" s="44" t="s">
        <v>7567</v>
      </c>
      <c r="C74" s="509" t="s">
        <v>12635</v>
      </c>
      <c r="D74" s="506">
        <v>0</v>
      </c>
      <c r="E74" s="506">
        <v>0</v>
      </c>
      <c r="F74" s="506">
        <v>2957</v>
      </c>
      <c r="G74" s="506">
        <v>2996</v>
      </c>
      <c r="H74" s="48">
        <v>2945</v>
      </c>
      <c r="I74" s="48">
        <v>2966</v>
      </c>
      <c r="J74" s="923">
        <v>2987</v>
      </c>
      <c r="K74" s="31">
        <v>2964</v>
      </c>
      <c r="L74" s="31">
        <v>2959</v>
      </c>
      <c r="N74" s="44" t="s">
        <v>2299</v>
      </c>
      <c r="O74" s="4"/>
      <c r="Q74" s="4"/>
    </row>
    <row r="75" spans="1:17">
      <c r="A75" s="44" t="s">
        <v>7570</v>
      </c>
      <c r="B75" s="44" t="s">
        <v>7568</v>
      </c>
      <c r="C75" s="509" t="s">
        <v>12636</v>
      </c>
      <c r="D75" s="506">
        <v>0</v>
      </c>
      <c r="E75" s="506">
        <v>0</v>
      </c>
      <c r="F75" s="506">
        <v>5897</v>
      </c>
      <c r="G75" s="506">
        <v>5859</v>
      </c>
      <c r="H75" s="48">
        <v>5859</v>
      </c>
      <c r="I75" s="48">
        <v>5843</v>
      </c>
      <c r="J75" s="923">
        <v>5868</v>
      </c>
      <c r="K75" s="31">
        <v>5835</v>
      </c>
      <c r="L75" s="31">
        <v>5707</v>
      </c>
      <c r="N75" s="44" t="s">
        <v>7553</v>
      </c>
      <c r="O75" s="4"/>
      <c r="Q75" s="4"/>
    </row>
    <row r="76" spans="1:17">
      <c r="A76" s="44" t="s">
        <v>7572</v>
      </c>
      <c r="B76" s="44" t="s">
        <v>5322</v>
      </c>
      <c r="C76" s="509" t="s">
        <v>12637</v>
      </c>
      <c r="D76" s="506">
        <v>0</v>
      </c>
      <c r="E76" s="506">
        <v>0</v>
      </c>
      <c r="F76" s="506">
        <v>5116</v>
      </c>
      <c r="G76" s="506">
        <v>5046</v>
      </c>
      <c r="H76" s="48">
        <v>5053</v>
      </c>
      <c r="I76" s="48">
        <v>4818</v>
      </c>
      <c r="J76" s="923">
        <v>5076</v>
      </c>
      <c r="K76" s="31">
        <v>4930</v>
      </c>
      <c r="L76" s="31">
        <v>5077</v>
      </c>
      <c r="N76" s="44" t="s">
        <v>7553</v>
      </c>
      <c r="O76" s="4"/>
      <c r="Q76" s="4"/>
    </row>
    <row r="77" spans="1:17">
      <c r="A77" s="44" t="s">
        <v>7573</v>
      </c>
      <c r="B77" s="44" t="s">
        <v>7571</v>
      </c>
      <c r="C77" s="509" t="s">
        <v>12638</v>
      </c>
      <c r="D77" s="506">
        <v>0</v>
      </c>
      <c r="E77" s="506">
        <v>0</v>
      </c>
      <c r="F77" s="506">
        <v>2812</v>
      </c>
      <c r="G77" s="506">
        <v>2814</v>
      </c>
      <c r="H77" s="48">
        <v>2794</v>
      </c>
      <c r="I77" s="48">
        <v>2752</v>
      </c>
      <c r="J77" s="923">
        <v>2789</v>
      </c>
      <c r="K77" s="31">
        <v>2833</v>
      </c>
      <c r="L77" s="31">
        <v>2805</v>
      </c>
      <c r="N77" s="44" t="s">
        <v>2299</v>
      </c>
      <c r="O77" s="4"/>
      <c r="Q77" s="4"/>
    </row>
    <row r="78" spans="1:17">
      <c r="A78" s="44" t="s">
        <v>5798</v>
      </c>
      <c r="B78" s="44" t="s">
        <v>7574</v>
      </c>
      <c r="C78" s="509" t="s">
        <v>12639</v>
      </c>
      <c r="D78" s="506">
        <v>0</v>
      </c>
      <c r="E78" s="506">
        <v>0</v>
      </c>
      <c r="F78" s="506">
        <v>3218</v>
      </c>
      <c r="G78" s="506">
        <v>3195</v>
      </c>
      <c r="H78" s="48">
        <v>3217</v>
      </c>
      <c r="I78" s="48">
        <v>3198</v>
      </c>
      <c r="J78" s="923">
        <v>3245</v>
      </c>
      <c r="K78" s="31">
        <v>3232</v>
      </c>
      <c r="L78" s="31">
        <v>3217</v>
      </c>
      <c r="N78" s="44" t="s">
        <v>2299</v>
      </c>
      <c r="O78" s="4"/>
      <c r="Q78" s="4"/>
    </row>
    <row r="79" spans="1:17">
      <c r="A79" s="44" t="s">
        <v>5799</v>
      </c>
      <c r="B79" s="44" t="s">
        <v>5800</v>
      </c>
      <c r="C79" s="509" t="s">
        <v>12640</v>
      </c>
      <c r="D79" s="506">
        <v>10468</v>
      </c>
      <c r="E79" s="506">
        <v>10824</v>
      </c>
      <c r="F79" s="506">
        <v>2762</v>
      </c>
      <c r="G79" s="506">
        <v>2972</v>
      </c>
      <c r="H79" s="48">
        <v>3192</v>
      </c>
      <c r="I79" s="48">
        <v>3208</v>
      </c>
      <c r="J79" s="923">
        <v>3476</v>
      </c>
      <c r="K79" s="31">
        <v>3621</v>
      </c>
      <c r="L79" s="31">
        <v>3709</v>
      </c>
      <c r="N79" s="44" t="s">
        <v>2298</v>
      </c>
      <c r="O79" s="4"/>
      <c r="Q79" s="4"/>
    </row>
    <row r="80" spans="1:17">
      <c r="A80" s="44" t="s">
        <v>5801</v>
      </c>
      <c r="B80" s="44" t="s">
        <v>5802</v>
      </c>
      <c r="C80" s="509" t="s">
        <v>12641</v>
      </c>
      <c r="D80" s="506">
        <v>0</v>
      </c>
      <c r="E80" s="506">
        <v>0</v>
      </c>
      <c r="F80" s="506">
        <v>3267</v>
      </c>
      <c r="G80" s="506">
        <v>3299</v>
      </c>
      <c r="H80" s="48">
        <v>3411</v>
      </c>
      <c r="I80" s="48">
        <v>3498</v>
      </c>
      <c r="J80" s="923">
        <v>3819</v>
      </c>
      <c r="K80" s="31">
        <v>4083</v>
      </c>
      <c r="L80" s="31">
        <v>4261</v>
      </c>
      <c r="N80" s="44" t="s">
        <v>2298</v>
      </c>
      <c r="O80" s="4"/>
      <c r="Q80" s="4"/>
    </row>
    <row r="81" spans="1:17">
      <c r="A81" s="44">
        <v>27</v>
      </c>
      <c r="B81" s="44" t="s">
        <v>12534</v>
      </c>
      <c r="C81" s="509" t="s">
        <v>12642</v>
      </c>
      <c r="D81" s="506">
        <v>0</v>
      </c>
      <c r="E81" s="506">
        <v>0</v>
      </c>
      <c r="F81" s="506">
        <v>2923</v>
      </c>
      <c r="G81" s="506">
        <v>2997</v>
      </c>
      <c r="H81" s="48">
        <v>3032</v>
      </c>
      <c r="I81" s="48">
        <v>2984</v>
      </c>
      <c r="J81" s="923">
        <v>3048</v>
      </c>
      <c r="K81" s="31">
        <v>3071</v>
      </c>
      <c r="L81" s="31">
        <v>3046</v>
      </c>
      <c r="N81" s="44" t="s">
        <v>2299</v>
      </c>
      <c r="O81" s="4"/>
      <c r="Q81" s="4"/>
    </row>
    <row r="82" spans="1:17">
      <c r="D82" s="508"/>
      <c r="E82" s="508"/>
      <c r="F82" s="508"/>
      <c r="G82" s="508"/>
      <c r="H82" s="508"/>
      <c r="I82" s="508"/>
      <c r="J82" s="508"/>
      <c r="K82" s="508"/>
      <c r="L82" s="508"/>
    </row>
    <row r="83" spans="1:17">
      <c r="A83" s="44" t="s">
        <v>7553</v>
      </c>
      <c r="D83" s="506">
        <f t="shared" ref="D83:E83" si="79">D44+SUM(D46:D48)+D51+D53+D56+D59+D62+SUM(D64:D66)+SUM(D70:D73)+D75+D76</f>
        <v>68692</v>
      </c>
      <c r="E83" s="506">
        <f t="shared" si="79"/>
        <v>69019</v>
      </c>
      <c r="F83" s="506">
        <f t="shared" ref="F83:K83" si="80">F44+SUM(F46:F48)+F51+F53+F56+F59+F62+SUM(F64:F66)+SUM(F70:F73)+F75+F76</f>
        <v>69938</v>
      </c>
      <c r="G83" s="506">
        <f t="shared" si="80"/>
        <v>69782</v>
      </c>
      <c r="H83" s="506">
        <f t="shared" si="80"/>
        <v>70766</v>
      </c>
      <c r="I83" s="506">
        <f t="shared" si="80"/>
        <v>67998</v>
      </c>
      <c r="J83" s="506">
        <f t="shared" si="80"/>
        <v>70259</v>
      </c>
      <c r="K83" s="506">
        <f t="shared" si="80"/>
        <v>70465</v>
      </c>
      <c r="L83" s="506">
        <f>L44+SUM(L46:L48)+L51+L53+L56+L59+L62+SUM(L64:L66)+SUM(L70:L73)+L75+L76</f>
        <v>70364</v>
      </c>
    </row>
    <row r="84" spans="1:17">
      <c r="A84" s="44" t="s">
        <v>5803</v>
      </c>
      <c r="D84" s="506">
        <f t="shared" ref="D84:E84" si="81">D54+D67+D79+D80</f>
        <v>10468</v>
      </c>
      <c r="E84" s="506">
        <f t="shared" si="81"/>
        <v>10824</v>
      </c>
      <c r="F84" s="506">
        <f t="shared" ref="F84:K84" si="82">F54+F67+F79+F80</f>
        <v>11163</v>
      </c>
      <c r="G84" s="506">
        <f t="shared" si="82"/>
        <v>11495</v>
      </c>
      <c r="H84" s="506">
        <f t="shared" si="82"/>
        <v>11882</v>
      </c>
      <c r="I84" s="506">
        <f t="shared" si="82"/>
        <v>11954</v>
      </c>
      <c r="J84" s="506">
        <f t="shared" si="82"/>
        <v>12658</v>
      </c>
      <c r="K84" s="506">
        <f t="shared" si="82"/>
        <v>13132</v>
      </c>
      <c r="L84" s="506">
        <f t="shared" ref="L84" si="83">L54+L67+L79+L80</f>
        <v>13565</v>
      </c>
    </row>
    <row r="85" spans="1:17">
      <c r="A85" s="44" t="s">
        <v>5804</v>
      </c>
      <c r="D85" s="506">
        <f t="shared" ref="D85:E85" si="84">D45+D49+D52+D57+D60+D63+D68+D74+D77+D78+D81</f>
        <v>31798</v>
      </c>
      <c r="E85" s="506">
        <f t="shared" si="84"/>
        <v>32425</v>
      </c>
      <c r="F85" s="506">
        <f t="shared" ref="F85:K85" si="85">F45+F49+F52+F57+F60+F63+F68+F74+F77+F78+F81</f>
        <v>33112</v>
      </c>
      <c r="G85" s="506">
        <f t="shared" si="85"/>
        <v>33965</v>
      </c>
      <c r="H85" s="506">
        <f t="shared" si="85"/>
        <v>34575</v>
      </c>
      <c r="I85" s="506">
        <f t="shared" si="85"/>
        <v>34250</v>
      </c>
      <c r="J85" s="506">
        <f t="shared" si="85"/>
        <v>35293</v>
      </c>
      <c r="K85" s="506">
        <f t="shared" si="85"/>
        <v>35800</v>
      </c>
      <c r="L85" s="506">
        <f>L45+L49+L52+L57+L60+L63+L68+L74+L77+L78+L81</f>
        <v>36203</v>
      </c>
    </row>
    <row r="86" spans="1:17">
      <c r="A86" s="44"/>
      <c r="D86" s="506"/>
      <c r="E86" s="506"/>
      <c r="F86" s="506"/>
      <c r="G86" s="506"/>
      <c r="H86" s="506"/>
      <c r="I86" s="506"/>
      <c r="J86" s="506"/>
      <c r="K86" s="506"/>
      <c r="L86" s="506"/>
    </row>
    <row r="87" spans="1:17">
      <c r="A87" s="44" t="s">
        <v>12537</v>
      </c>
      <c r="D87" s="506"/>
      <c r="E87" s="506"/>
      <c r="F87" s="506"/>
      <c r="G87" s="506"/>
      <c r="H87" s="506"/>
      <c r="I87" s="506"/>
      <c r="J87" s="506"/>
      <c r="K87" s="506"/>
      <c r="L87" s="506"/>
    </row>
    <row r="90" spans="1:17">
      <c r="E90" s="42" t="s">
        <v>2303</v>
      </c>
      <c r="F90" s="42"/>
      <c r="G90" s="42"/>
      <c r="H90" s="42"/>
      <c r="I90" s="42"/>
      <c r="J90" s="42"/>
      <c r="K90" s="42"/>
      <c r="L90" s="42"/>
      <c r="N90" s="25" t="s">
        <v>13319</v>
      </c>
    </row>
    <row r="91" spans="1:17">
      <c r="D91" s="42">
        <v>2010</v>
      </c>
      <c r="E91" s="42">
        <v>2011</v>
      </c>
      <c r="F91" s="42">
        <v>2012</v>
      </c>
      <c r="G91" s="42">
        <v>2013</v>
      </c>
      <c r="H91" s="42">
        <v>2014</v>
      </c>
      <c r="I91" s="42">
        <v>2015</v>
      </c>
      <c r="J91" s="42">
        <v>2016</v>
      </c>
      <c r="K91" s="42">
        <v>2017</v>
      </c>
      <c r="L91" s="42">
        <v>2018</v>
      </c>
      <c r="N91" s="44" t="s">
        <v>2304</v>
      </c>
    </row>
    <row r="92" spans="1:17">
      <c r="A92" s="44" t="s">
        <v>5805</v>
      </c>
      <c r="D92" s="506">
        <f>SUM(D93:D95)+SUM(D97:D102)+SUM(D104:D119)+SUM(D121:D129)</f>
        <v>191765</v>
      </c>
      <c r="E92" s="506">
        <f t="shared" ref="E92:F92" si="86">SUM(E93:E95)+SUM(E97:E102)+SUM(E104:E119)+SUM(E121:E129)</f>
        <v>192536</v>
      </c>
      <c r="F92" s="506">
        <f t="shared" si="86"/>
        <v>196284</v>
      </c>
      <c r="G92" s="506">
        <f t="shared" ref="G92:H92" si="87">SUM(G93:G95)+SUM(G97:G102)+SUM(G104:G119)+SUM(G121:G129)</f>
        <v>199191</v>
      </c>
      <c r="H92" s="506">
        <f t="shared" si="87"/>
        <v>202078</v>
      </c>
      <c r="I92" s="506">
        <f t="shared" ref="I92:J92" si="88">SUM(I93:I95)+SUM(I97:I102)+SUM(I104:I119)+SUM(I121:I129)</f>
        <v>199782</v>
      </c>
      <c r="J92" s="506">
        <f t="shared" si="88"/>
        <v>197493</v>
      </c>
      <c r="K92" s="506">
        <f t="shared" ref="K92:L92" si="89">SUM(K93:K95)+SUM(K97:K102)+SUM(K104:K119)+SUM(K121:K129)</f>
        <v>202047</v>
      </c>
      <c r="L92" s="506">
        <f t="shared" si="89"/>
        <v>205651</v>
      </c>
    </row>
    <row r="93" spans="1:17">
      <c r="A93" s="44" t="s">
        <v>6957</v>
      </c>
      <c r="B93" s="44" t="s">
        <v>5806</v>
      </c>
      <c r="C93" s="509" t="s">
        <v>12643</v>
      </c>
      <c r="D93" s="506">
        <v>65446</v>
      </c>
      <c r="E93" s="506">
        <v>9179</v>
      </c>
      <c r="F93" s="506">
        <v>9404</v>
      </c>
      <c r="G93" s="506">
        <v>9704</v>
      </c>
      <c r="H93" s="30">
        <v>9810</v>
      </c>
      <c r="I93" s="30">
        <v>9742</v>
      </c>
      <c r="J93" s="30">
        <v>9699</v>
      </c>
      <c r="K93" s="30">
        <v>9947</v>
      </c>
      <c r="L93" s="30">
        <v>10078</v>
      </c>
      <c r="N93" s="44" t="s">
        <v>2298</v>
      </c>
      <c r="O93" s="4"/>
      <c r="Q93" s="4"/>
    </row>
    <row r="94" spans="1:17">
      <c r="A94" s="44" t="s">
        <v>6959</v>
      </c>
      <c r="B94" s="44" t="s">
        <v>13317</v>
      </c>
      <c r="C94" s="509" t="s">
        <v>12644</v>
      </c>
      <c r="D94" s="506">
        <v>0</v>
      </c>
      <c r="E94" s="506">
        <v>5147</v>
      </c>
      <c r="F94" s="506">
        <v>5162</v>
      </c>
      <c r="G94" s="506">
        <v>5236</v>
      </c>
      <c r="H94" s="30">
        <v>5316</v>
      </c>
      <c r="I94" s="30">
        <v>5254</v>
      </c>
      <c r="J94" s="30">
        <v>5223</v>
      </c>
      <c r="K94" s="30">
        <v>5590</v>
      </c>
      <c r="L94" s="30">
        <v>5690</v>
      </c>
      <c r="N94" s="44" t="s">
        <v>2298</v>
      </c>
      <c r="O94" s="4"/>
      <c r="Q94" s="4"/>
    </row>
    <row r="95" spans="1:17" ht="15.75" thickBot="1">
      <c r="A95" s="44"/>
      <c r="B95" s="44"/>
      <c r="C95" s="509" t="s">
        <v>12644</v>
      </c>
      <c r="D95" s="506">
        <v>0</v>
      </c>
      <c r="E95" s="506">
        <v>6028</v>
      </c>
      <c r="F95" s="506">
        <v>6104</v>
      </c>
      <c r="G95" s="506">
        <v>6116</v>
      </c>
      <c r="H95" s="30">
        <v>6150</v>
      </c>
      <c r="I95" s="30">
        <v>5978</v>
      </c>
      <c r="J95" s="30">
        <v>5898</v>
      </c>
      <c r="K95" s="30">
        <v>6042</v>
      </c>
      <c r="L95" s="30">
        <v>6152</v>
      </c>
      <c r="N95" s="44" t="s">
        <v>2299</v>
      </c>
      <c r="O95" s="4"/>
      <c r="Q95" s="4"/>
    </row>
    <row r="96" spans="1:17" ht="15.75" thickBot="1">
      <c r="A96" s="44"/>
      <c r="B96" s="44"/>
      <c r="C96" s="509" t="s">
        <v>12644</v>
      </c>
      <c r="D96" s="511">
        <f t="shared" ref="D96:L96" si="90">D94+D95</f>
        <v>0</v>
      </c>
      <c r="E96" s="511">
        <f t="shared" si="90"/>
        <v>11175</v>
      </c>
      <c r="F96" s="511">
        <f t="shared" si="90"/>
        <v>11266</v>
      </c>
      <c r="G96" s="511">
        <f t="shared" si="90"/>
        <v>11352</v>
      </c>
      <c r="H96" s="511">
        <f t="shared" si="90"/>
        <v>11466</v>
      </c>
      <c r="I96" s="511">
        <f t="shared" si="90"/>
        <v>11232</v>
      </c>
      <c r="J96" s="511">
        <f t="shared" si="90"/>
        <v>11121</v>
      </c>
      <c r="K96" s="511">
        <f t="shared" si="90"/>
        <v>11632</v>
      </c>
      <c r="L96" s="511">
        <f t="shared" si="90"/>
        <v>11842</v>
      </c>
      <c r="N96" s="44"/>
      <c r="O96" s="4"/>
      <c r="Q96" s="4"/>
    </row>
    <row r="97" spans="1:17">
      <c r="A97" s="44" t="s">
        <v>6961</v>
      </c>
      <c r="B97" s="44" t="s">
        <v>12509</v>
      </c>
      <c r="C97" s="509" t="s">
        <v>12645</v>
      </c>
      <c r="D97" s="506">
        <v>0</v>
      </c>
      <c r="E97" s="506">
        <v>3709</v>
      </c>
      <c r="F97" s="506">
        <v>3727</v>
      </c>
      <c r="G97" s="506">
        <v>3770</v>
      </c>
      <c r="H97" s="30">
        <v>3815</v>
      </c>
      <c r="I97" s="30">
        <v>3752</v>
      </c>
      <c r="J97" s="30">
        <v>3681</v>
      </c>
      <c r="K97" s="30">
        <v>3717</v>
      </c>
      <c r="L97" s="30">
        <v>3765</v>
      </c>
      <c r="N97" s="44" t="s">
        <v>2298</v>
      </c>
      <c r="O97" s="4"/>
      <c r="Q97" s="4"/>
    </row>
    <row r="98" spans="1:17">
      <c r="A98" s="44" t="s">
        <v>6963</v>
      </c>
      <c r="B98" s="44" t="s">
        <v>12510</v>
      </c>
      <c r="C98" s="509" t="s">
        <v>12646</v>
      </c>
      <c r="D98" s="506">
        <v>0</v>
      </c>
      <c r="E98" s="506">
        <v>3957</v>
      </c>
      <c r="F98" s="506">
        <v>3995</v>
      </c>
      <c r="G98" s="506">
        <v>4038</v>
      </c>
      <c r="H98" s="30">
        <v>4069</v>
      </c>
      <c r="I98" s="30">
        <v>3990</v>
      </c>
      <c r="J98" s="30">
        <v>3974</v>
      </c>
      <c r="K98" s="30">
        <v>3959</v>
      </c>
      <c r="L98" s="30">
        <v>3996</v>
      </c>
      <c r="N98" s="44" t="s">
        <v>2298</v>
      </c>
      <c r="O98" s="4"/>
      <c r="Q98" s="4"/>
    </row>
    <row r="99" spans="1:17">
      <c r="A99" s="44" t="s">
        <v>6965</v>
      </c>
      <c r="B99" s="44" t="s">
        <v>12511</v>
      </c>
      <c r="C99" s="509" t="s">
        <v>12647</v>
      </c>
      <c r="D99" s="506">
        <v>45393</v>
      </c>
      <c r="E99" s="506">
        <v>5196</v>
      </c>
      <c r="F99" s="506">
        <v>5416</v>
      </c>
      <c r="G99" s="506">
        <v>5602</v>
      </c>
      <c r="H99" s="30">
        <v>5740</v>
      </c>
      <c r="I99" s="30">
        <v>5666</v>
      </c>
      <c r="J99" s="30">
        <v>5709</v>
      </c>
      <c r="K99" s="30">
        <v>6170</v>
      </c>
      <c r="L99" s="30">
        <v>6678</v>
      </c>
      <c r="N99" s="44" t="s">
        <v>2299</v>
      </c>
      <c r="O99" s="4"/>
      <c r="Q99" s="4"/>
    </row>
    <row r="100" spans="1:17">
      <c r="A100" s="44" t="s">
        <v>6997</v>
      </c>
      <c r="B100" s="44" t="s">
        <v>12512</v>
      </c>
      <c r="C100" s="509" t="s">
        <v>12648</v>
      </c>
      <c r="D100" s="506">
        <v>0</v>
      </c>
      <c r="E100" s="506">
        <v>7006</v>
      </c>
      <c r="F100" s="506">
        <v>7214</v>
      </c>
      <c r="G100" s="506">
        <v>7479</v>
      </c>
      <c r="H100" s="31">
        <v>7840</v>
      </c>
      <c r="I100" s="31">
        <v>7769</v>
      </c>
      <c r="J100" s="31">
        <v>7883</v>
      </c>
      <c r="K100" s="31">
        <v>8185</v>
      </c>
      <c r="L100" s="31">
        <v>8346</v>
      </c>
      <c r="N100" s="44" t="s">
        <v>2299</v>
      </c>
      <c r="O100" s="4"/>
      <c r="Q100" s="4"/>
    </row>
    <row r="101" spans="1:17">
      <c r="A101" s="44" t="s">
        <v>6999</v>
      </c>
      <c r="B101" s="44" t="s">
        <v>12538</v>
      </c>
      <c r="C101" s="509" t="s">
        <v>12649</v>
      </c>
      <c r="D101" s="506">
        <v>4815</v>
      </c>
      <c r="E101" s="506">
        <v>4876</v>
      </c>
      <c r="F101" s="506">
        <v>4918</v>
      </c>
      <c r="G101" s="506">
        <v>4966</v>
      </c>
      <c r="H101" s="30">
        <v>4926</v>
      </c>
      <c r="I101" s="30">
        <v>4904</v>
      </c>
      <c r="J101" s="30">
        <v>4817</v>
      </c>
      <c r="K101" s="30">
        <v>4889</v>
      </c>
      <c r="L101" s="30">
        <v>4927</v>
      </c>
      <c r="N101" s="44" t="s">
        <v>7557</v>
      </c>
      <c r="O101" s="4"/>
      <c r="Q101" s="4"/>
    </row>
    <row r="102" spans="1:17" ht="15.75" thickBot="1">
      <c r="A102" s="44"/>
      <c r="B102" s="44"/>
      <c r="C102" s="509" t="s">
        <v>12649</v>
      </c>
      <c r="D102" s="506">
        <v>0</v>
      </c>
      <c r="E102" s="506">
        <v>2524</v>
      </c>
      <c r="F102" s="506">
        <v>2529</v>
      </c>
      <c r="G102" s="506">
        <v>2520</v>
      </c>
      <c r="H102" s="31">
        <v>2522</v>
      </c>
      <c r="I102" s="31">
        <v>2514</v>
      </c>
      <c r="J102" s="31">
        <v>2450</v>
      </c>
      <c r="K102" s="31">
        <v>2499</v>
      </c>
      <c r="L102" s="31">
        <v>2517</v>
      </c>
      <c r="N102" s="44" t="s">
        <v>2300</v>
      </c>
      <c r="O102" s="4"/>
      <c r="Q102" s="4"/>
    </row>
    <row r="103" spans="1:17" ht="15.75" thickBot="1">
      <c r="A103" s="44"/>
      <c r="B103" s="44"/>
      <c r="C103" s="509" t="s">
        <v>12649</v>
      </c>
      <c r="D103" s="511">
        <f t="shared" ref="D103:L103" si="91">D101+D102</f>
        <v>4815</v>
      </c>
      <c r="E103" s="511">
        <f t="shared" si="91"/>
        <v>7400</v>
      </c>
      <c r="F103" s="511">
        <f t="shared" si="91"/>
        <v>7447</v>
      </c>
      <c r="G103" s="511">
        <f t="shared" si="91"/>
        <v>7486</v>
      </c>
      <c r="H103" s="511">
        <f t="shared" si="91"/>
        <v>7448</v>
      </c>
      <c r="I103" s="511">
        <f t="shared" si="91"/>
        <v>7418</v>
      </c>
      <c r="J103" s="511">
        <f t="shared" si="91"/>
        <v>7267</v>
      </c>
      <c r="K103" s="511">
        <f t="shared" si="91"/>
        <v>7388</v>
      </c>
      <c r="L103" s="511">
        <f t="shared" si="91"/>
        <v>7444</v>
      </c>
      <c r="N103" s="44"/>
      <c r="O103" s="4"/>
      <c r="Q103" s="4"/>
    </row>
    <row r="104" spans="1:17">
      <c r="A104" s="44" t="s">
        <v>7001</v>
      </c>
      <c r="B104" s="44" t="s">
        <v>12513</v>
      </c>
      <c r="C104" s="509" t="s">
        <v>12650</v>
      </c>
      <c r="D104" s="510">
        <v>0</v>
      </c>
      <c r="E104" s="506">
        <v>8529</v>
      </c>
      <c r="F104" s="506">
        <v>8759</v>
      </c>
      <c r="G104" s="506">
        <v>8843</v>
      </c>
      <c r="H104" s="30">
        <v>9095</v>
      </c>
      <c r="I104" s="30">
        <v>9064</v>
      </c>
      <c r="J104" s="30">
        <v>8947</v>
      </c>
      <c r="K104" s="30">
        <v>9511</v>
      </c>
      <c r="L104" s="30">
        <v>10035</v>
      </c>
      <c r="N104" s="44" t="s">
        <v>2298</v>
      </c>
    </row>
    <row r="105" spans="1:17">
      <c r="A105" s="44" t="s">
        <v>7003</v>
      </c>
      <c r="B105" s="44" t="s">
        <v>12514</v>
      </c>
      <c r="C105" s="509" t="s">
        <v>12651</v>
      </c>
      <c r="D105" s="510">
        <v>76111</v>
      </c>
      <c r="E105" s="506">
        <v>3355</v>
      </c>
      <c r="F105" s="506">
        <v>3464</v>
      </c>
      <c r="G105" s="506">
        <v>3477</v>
      </c>
      <c r="H105" s="31">
        <v>3533</v>
      </c>
      <c r="I105" s="31">
        <v>3469</v>
      </c>
      <c r="J105" s="31">
        <v>3332</v>
      </c>
      <c r="K105" s="31">
        <v>3415</v>
      </c>
      <c r="L105" s="31">
        <v>3478</v>
      </c>
      <c r="N105" s="44" t="s">
        <v>2300</v>
      </c>
    </row>
    <row r="106" spans="1:17">
      <c r="A106" s="44" t="s">
        <v>7005</v>
      </c>
      <c r="B106" s="44" t="s">
        <v>12515</v>
      </c>
      <c r="C106" s="509" t="s">
        <v>12652</v>
      </c>
      <c r="D106" s="506">
        <v>0</v>
      </c>
      <c r="E106" s="506">
        <v>5859</v>
      </c>
      <c r="F106" s="506">
        <v>5942</v>
      </c>
      <c r="G106" s="506">
        <v>5996</v>
      </c>
      <c r="H106" s="31">
        <v>6008</v>
      </c>
      <c r="I106" s="31">
        <v>5806</v>
      </c>
      <c r="J106" s="31">
        <v>5731</v>
      </c>
      <c r="K106" s="31">
        <v>5871</v>
      </c>
      <c r="L106" s="31">
        <v>5891</v>
      </c>
      <c r="N106" s="44" t="s">
        <v>2300</v>
      </c>
      <c r="O106" s="4"/>
      <c r="Q106" s="4"/>
    </row>
    <row r="107" spans="1:17">
      <c r="A107" s="44" t="s">
        <v>7007</v>
      </c>
      <c r="B107" s="44" t="s">
        <v>12516</v>
      </c>
      <c r="C107" s="509" t="s">
        <v>12653</v>
      </c>
      <c r="D107" s="506">
        <v>0</v>
      </c>
      <c r="E107" s="506">
        <v>3677</v>
      </c>
      <c r="F107" s="506">
        <v>3774</v>
      </c>
      <c r="G107" s="506">
        <v>3773</v>
      </c>
      <c r="H107" s="31">
        <v>3785</v>
      </c>
      <c r="I107" s="31">
        <v>3704</v>
      </c>
      <c r="J107" s="31">
        <v>3575</v>
      </c>
      <c r="K107" s="31">
        <v>3585</v>
      </c>
      <c r="L107" s="31">
        <v>3664</v>
      </c>
      <c r="N107" s="44" t="s">
        <v>2300</v>
      </c>
      <c r="O107" s="4"/>
      <c r="Q107" s="4"/>
    </row>
    <row r="108" spans="1:17">
      <c r="A108" s="44" t="s">
        <v>7009</v>
      </c>
      <c r="B108" s="44" t="s">
        <v>12517</v>
      </c>
      <c r="C108" s="509" t="s">
        <v>12654</v>
      </c>
      <c r="D108" s="510">
        <v>0</v>
      </c>
      <c r="E108" s="506">
        <v>6270</v>
      </c>
      <c r="F108" s="506">
        <v>6397</v>
      </c>
      <c r="G108" s="506">
        <v>6648</v>
      </c>
      <c r="H108" s="31">
        <v>6781</v>
      </c>
      <c r="I108" s="31">
        <v>6704</v>
      </c>
      <c r="J108" s="31">
        <v>6528</v>
      </c>
      <c r="K108" s="31">
        <v>6736</v>
      </c>
      <c r="L108" s="31">
        <v>6971</v>
      </c>
      <c r="N108" s="44" t="s">
        <v>2300</v>
      </c>
      <c r="O108" s="4"/>
      <c r="Q108" s="4"/>
    </row>
    <row r="109" spans="1:17">
      <c r="A109" s="44" t="s">
        <v>7011</v>
      </c>
      <c r="B109" s="44" t="s">
        <v>12518</v>
      </c>
      <c r="C109" s="509" t="s">
        <v>12655</v>
      </c>
      <c r="D109" s="506">
        <v>0</v>
      </c>
      <c r="E109" s="506">
        <v>7616</v>
      </c>
      <c r="F109" s="506">
        <v>7710</v>
      </c>
      <c r="G109" s="506">
        <v>7734</v>
      </c>
      <c r="H109" s="31">
        <v>7597</v>
      </c>
      <c r="I109" s="31">
        <v>7509</v>
      </c>
      <c r="J109" s="31">
        <v>7402</v>
      </c>
      <c r="K109" s="31">
        <v>7451</v>
      </c>
      <c r="L109" s="31">
        <v>7399</v>
      </c>
      <c r="N109" s="44" t="s">
        <v>2300</v>
      </c>
      <c r="O109" s="4"/>
      <c r="Q109" s="4"/>
    </row>
    <row r="110" spans="1:17">
      <c r="A110" s="44" t="s">
        <v>7013</v>
      </c>
      <c r="B110" s="44" t="s">
        <v>12519</v>
      </c>
      <c r="C110" s="509" t="s">
        <v>12656</v>
      </c>
      <c r="D110" s="506">
        <v>0</v>
      </c>
      <c r="E110" s="506">
        <v>3359</v>
      </c>
      <c r="F110" s="506">
        <v>3401</v>
      </c>
      <c r="G110" s="506">
        <v>3381</v>
      </c>
      <c r="H110" s="31">
        <v>3386</v>
      </c>
      <c r="I110" s="31">
        <v>3346</v>
      </c>
      <c r="J110" s="31">
        <v>3292</v>
      </c>
      <c r="K110" s="31">
        <v>3349</v>
      </c>
      <c r="L110" s="31">
        <v>3361</v>
      </c>
      <c r="N110" s="44" t="s">
        <v>2300</v>
      </c>
      <c r="O110" s="4"/>
      <c r="Q110" s="4"/>
    </row>
    <row r="111" spans="1:17">
      <c r="A111" s="44" t="s">
        <v>7015</v>
      </c>
      <c r="B111" s="44" t="s">
        <v>12520</v>
      </c>
      <c r="C111" s="509" t="s">
        <v>12657</v>
      </c>
      <c r="D111" s="510">
        <v>0</v>
      </c>
      <c r="E111" s="506">
        <v>10334</v>
      </c>
      <c r="F111" s="506">
        <v>10471</v>
      </c>
      <c r="G111" s="506">
        <v>10465</v>
      </c>
      <c r="H111" s="30">
        <v>10445</v>
      </c>
      <c r="I111" s="30">
        <v>10260</v>
      </c>
      <c r="J111" s="30">
        <v>10075</v>
      </c>
      <c r="K111" s="30">
        <v>10146</v>
      </c>
      <c r="L111" s="30">
        <v>10338</v>
      </c>
      <c r="N111" s="44" t="s">
        <v>2298</v>
      </c>
    </row>
    <row r="112" spans="1:17">
      <c r="A112" s="44" t="s">
        <v>7017</v>
      </c>
      <c r="B112" s="44" t="s">
        <v>12521</v>
      </c>
      <c r="C112" s="509" t="s">
        <v>12658</v>
      </c>
      <c r="D112" s="510">
        <v>0</v>
      </c>
      <c r="E112" s="506">
        <v>3249</v>
      </c>
      <c r="F112" s="506">
        <v>3266</v>
      </c>
      <c r="G112" s="506">
        <v>3358</v>
      </c>
      <c r="H112" s="31">
        <v>3385</v>
      </c>
      <c r="I112" s="31">
        <v>3400</v>
      </c>
      <c r="J112" s="31">
        <v>3426</v>
      </c>
      <c r="K112" s="31">
        <v>3491</v>
      </c>
      <c r="L112" s="31">
        <v>3495</v>
      </c>
      <c r="N112" s="44" t="s">
        <v>2300</v>
      </c>
    </row>
    <row r="113" spans="1:17">
      <c r="A113" s="44" t="s">
        <v>7019</v>
      </c>
      <c r="B113" s="44" t="s">
        <v>12522</v>
      </c>
      <c r="C113" s="509" t="s">
        <v>12659</v>
      </c>
      <c r="D113" s="510">
        <v>0</v>
      </c>
      <c r="E113" s="506">
        <v>2151</v>
      </c>
      <c r="F113" s="506">
        <v>2160</v>
      </c>
      <c r="G113" s="506">
        <v>2218</v>
      </c>
      <c r="H113" s="30">
        <v>2237</v>
      </c>
      <c r="I113" s="30">
        <v>2221</v>
      </c>
      <c r="J113" s="30">
        <v>2198</v>
      </c>
      <c r="K113" s="30">
        <v>2217</v>
      </c>
      <c r="L113" s="30">
        <v>2310</v>
      </c>
      <c r="N113" s="44" t="s">
        <v>2298</v>
      </c>
      <c r="O113" s="4"/>
      <c r="Q113" s="4"/>
    </row>
    <row r="114" spans="1:17">
      <c r="A114" s="44" t="s">
        <v>7021</v>
      </c>
      <c r="B114" s="44" t="s">
        <v>12523</v>
      </c>
      <c r="C114" s="509" t="s">
        <v>12660</v>
      </c>
      <c r="D114" s="510">
        <v>0</v>
      </c>
      <c r="E114" s="506">
        <v>5574</v>
      </c>
      <c r="F114" s="506">
        <v>5718</v>
      </c>
      <c r="G114" s="506">
        <v>5826</v>
      </c>
      <c r="H114" s="31">
        <v>5928</v>
      </c>
      <c r="I114" s="31">
        <v>5816</v>
      </c>
      <c r="J114" s="31">
        <v>5717</v>
      </c>
      <c r="K114" s="31">
        <v>5762</v>
      </c>
      <c r="L114" s="31">
        <v>5878</v>
      </c>
      <c r="N114" s="44" t="s">
        <v>2300</v>
      </c>
      <c r="O114" s="4"/>
      <c r="Q114" s="4"/>
    </row>
    <row r="115" spans="1:17">
      <c r="A115" s="44" t="s">
        <v>7023</v>
      </c>
      <c r="B115" s="44" t="s">
        <v>12524</v>
      </c>
      <c r="C115" s="509" t="s">
        <v>12661</v>
      </c>
      <c r="D115" s="510">
        <v>0</v>
      </c>
      <c r="E115" s="506">
        <v>10769</v>
      </c>
      <c r="F115" s="506">
        <v>10984</v>
      </c>
      <c r="G115" s="506">
        <v>11149</v>
      </c>
      <c r="H115" s="31">
        <v>11329</v>
      </c>
      <c r="I115" s="31">
        <v>11113</v>
      </c>
      <c r="J115" s="31">
        <v>10881</v>
      </c>
      <c r="K115" s="31">
        <v>11008</v>
      </c>
      <c r="L115" s="31">
        <v>11078</v>
      </c>
      <c r="N115" s="44" t="s">
        <v>2300</v>
      </c>
      <c r="O115" s="4"/>
      <c r="Q115" s="4"/>
    </row>
    <row r="116" spans="1:17">
      <c r="A116" s="44" t="s">
        <v>7025</v>
      </c>
      <c r="B116" s="44" t="s">
        <v>12525</v>
      </c>
      <c r="C116" s="509" t="s">
        <v>12662</v>
      </c>
      <c r="D116" s="510">
        <v>0</v>
      </c>
      <c r="E116" s="506">
        <v>8364</v>
      </c>
      <c r="F116" s="506">
        <v>8666</v>
      </c>
      <c r="G116" s="506">
        <v>8946</v>
      </c>
      <c r="H116" s="31">
        <v>9296</v>
      </c>
      <c r="I116" s="31">
        <v>9246</v>
      </c>
      <c r="J116" s="31">
        <v>9303</v>
      </c>
      <c r="K116" s="31">
        <v>9651</v>
      </c>
      <c r="L116" s="31">
        <v>9994</v>
      </c>
      <c r="N116" s="44" t="s">
        <v>2300</v>
      </c>
      <c r="O116" s="4"/>
      <c r="Q116" s="4"/>
    </row>
    <row r="117" spans="1:17">
      <c r="A117" s="44" t="s">
        <v>7570</v>
      </c>
      <c r="B117" s="44" t="s">
        <v>12526</v>
      </c>
      <c r="C117" s="509" t="s">
        <v>12663</v>
      </c>
      <c r="D117" s="510">
        <v>0</v>
      </c>
      <c r="E117" s="506">
        <v>9223</v>
      </c>
      <c r="F117" s="506">
        <v>9338</v>
      </c>
      <c r="G117" s="506">
        <v>9395</v>
      </c>
      <c r="H117" s="31">
        <v>9373</v>
      </c>
      <c r="I117" s="31">
        <v>9268</v>
      </c>
      <c r="J117" s="31">
        <v>9108</v>
      </c>
      <c r="K117" s="31">
        <v>9176</v>
      </c>
      <c r="L117" s="31">
        <v>9132</v>
      </c>
      <c r="N117" s="44" t="s">
        <v>2300</v>
      </c>
      <c r="O117" s="4"/>
      <c r="Q117" s="4"/>
    </row>
    <row r="118" spans="1:17">
      <c r="A118" s="44" t="s">
        <v>7572</v>
      </c>
      <c r="B118" s="44" t="s">
        <v>12527</v>
      </c>
      <c r="C118" s="509" t="s">
        <v>12664</v>
      </c>
      <c r="D118" s="510">
        <v>0</v>
      </c>
      <c r="E118" s="506">
        <v>1214</v>
      </c>
      <c r="F118" s="506">
        <v>1199</v>
      </c>
      <c r="G118" s="506">
        <v>1207</v>
      </c>
      <c r="H118" s="30">
        <v>1251</v>
      </c>
      <c r="I118" s="30">
        <v>1262</v>
      </c>
      <c r="J118" s="30">
        <v>1165</v>
      </c>
      <c r="K118" s="30">
        <v>1175</v>
      </c>
      <c r="L118" s="30">
        <v>1205</v>
      </c>
      <c r="N118" s="44" t="s">
        <v>2298</v>
      </c>
      <c r="O118" s="4"/>
      <c r="Q118" s="4"/>
    </row>
    <row r="119" spans="1:17" ht="15.75" thickBot="1">
      <c r="A119" s="44"/>
      <c r="B119" s="44"/>
      <c r="C119" s="509" t="s">
        <v>12664</v>
      </c>
      <c r="D119" s="510">
        <v>0</v>
      </c>
      <c r="E119" s="510">
        <v>2340</v>
      </c>
      <c r="F119" s="510">
        <v>2330</v>
      </c>
      <c r="G119" s="510">
        <v>2320</v>
      </c>
      <c r="H119" s="31">
        <v>2349</v>
      </c>
      <c r="I119" s="31">
        <v>2338</v>
      </c>
      <c r="J119" s="31">
        <v>2288</v>
      </c>
      <c r="K119" s="31">
        <v>2340</v>
      </c>
      <c r="L119" s="31">
        <v>2390</v>
      </c>
      <c r="N119" s="44" t="s">
        <v>2299</v>
      </c>
    </row>
    <row r="120" spans="1:17" ht="15.75" thickBot="1">
      <c r="A120" s="44"/>
      <c r="B120" s="44"/>
      <c r="C120" s="509" t="s">
        <v>12664</v>
      </c>
      <c r="D120" s="511">
        <f t="shared" ref="D120:L120" si="92">D118+D119</f>
        <v>0</v>
      </c>
      <c r="E120" s="511">
        <f t="shared" si="92"/>
        <v>3554</v>
      </c>
      <c r="F120" s="511">
        <f t="shared" si="92"/>
        <v>3529</v>
      </c>
      <c r="G120" s="511">
        <f t="shared" si="92"/>
        <v>3527</v>
      </c>
      <c r="H120" s="511">
        <f t="shared" si="92"/>
        <v>3600</v>
      </c>
      <c r="I120" s="511">
        <f t="shared" si="92"/>
        <v>3600</v>
      </c>
      <c r="J120" s="511">
        <f t="shared" si="92"/>
        <v>3453</v>
      </c>
      <c r="K120" s="511">
        <f t="shared" si="92"/>
        <v>3515</v>
      </c>
      <c r="L120" s="511">
        <f t="shared" si="92"/>
        <v>3595</v>
      </c>
      <c r="N120" s="44"/>
    </row>
    <row r="121" spans="1:17">
      <c r="A121" s="44" t="s">
        <v>7573</v>
      </c>
      <c r="B121" s="44" t="s">
        <v>4694</v>
      </c>
      <c r="C121" s="509" t="s">
        <v>12665</v>
      </c>
      <c r="D121" s="510">
        <v>0</v>
      </c>
      <c r="E121" s="506">
        <v>3354</v>
      </c>
      <c r="F121" s="506">
        <v>3417</v>
      </c>
      <c r="G121" s="506">
        <v>3458</v>
      </c>
      <c r="H121" s="31">
        <v>3481</v>
      </c>
      <c r="I121" s="31">
        <v>3430</v>
      </c>
      <c r="J121" s="31">
        <v>3220</v>
      </c>
      <c r="K121" s="31">
        <v>3164</v>
      </c>
      <c r="L121" s="31">
        <v>3242</v>
      </c>
      <c r="N121" s="44" t="s">
        <v>2300</v>
      </c>
      <c r="O121" s="4"/>
      <c r="Q121" s="4"/>
    </row>
    <row r="122" spans="1:17">
      <c r="A122" s="44" t="s">
        <v>5798</v>
      </c>
      <c r="B122" s="44" t="s">
        <v>4030</v>
      </c>
      <c r="C122" s="509" t="s">
        <v>12666</v>
      </c>
      <c r="D122" s="510">
        <v>0</v>
      </c>
      <c r="E122" s="510">
        <v>6161</v>
      </c>
      <c r="F122" s="510">
        <v>6203</v>
      </c>
      <c r="G122" s="510">
        <v>6235</v>
      </c>
      <c r="H122" s="31">
        <v>6260</v>
      </c>
      <c r="I122" s="31">
        <v>6187</v>
      </c>
      <c r="J122" s="31">
        <v>6150</v>
      </c>
      <c r="K122" s="31">
        <v>6257</v>
      </c>
      <c r="L122" s="31">
        <v>6324</v>
      </c>
      <c r="N122" s="44" t="s">
        <v>2299</v>
      </c>
      <c r="O122" s="4"/>
      <c r="Q122" s="4"/>
    </row>
    <row r="123" spans="1:17">
      <c r="A123" s="44" t="s">
        <v>5799</v>
      </c>
      <c r="B123" s="44" t="s">
        <v>4031</v>
      </c>
      <c r="C123" s="509" t="s">
        <v>12667</v>
      </c>
      <c r="D123" s="510">
        <v>0</v>
      </c>
      <c r="E123" s="506">
        <v>9547</v>
      </c>
      <c r="F123" s="506">
        <v>9714</v>
      </c>
      <c r="G123" s="506">
        <v>9779</v>
      </c>
      <c r="H123" s="31">
        <v>9850</v>
      </c>
      <c r="I123" s="31">
        <v>9769</v>
      </c>
      <c r="J123" s="31">
        <v>9582</v>
      </c>
      <c r="K123" s="31">
        <v>9784</v>
      </c>
      <c r="L123" s="31">
        <v>9849</v>
      </c>
      <c r="N123" s="44" t="s">
        <v>2299</v>
      </c>
      <c r="O123" s="4"/>
      <c r="Q123" s="4"/>
    </row>
    <row r="124" spans="1:17">
      <c r="A124" s="44" t="s">
        <v>5801</v>
      </c>
      <c r="B124" s="44" t="s">
        <v>4032</v>
      </c>
      <c r="C124" s="509" t="s">
        <v>12668</v>
      </c>
      <c r="D124" s="510">
        <v>0</v>
      </c>
      <c r="E124" s="508">
        <v>6776</v>
      </c>
      <c r="F124" s="508">
        <v>6964</v>
      </c>
      <c r="G124" s="508">
        <v>7096</v>
      </c>
      <c r="H124" s="30">
        <v>7239</v>
      </c>
      <c r="I124" s="30">
        <v>7198</v>
      </c>
      <c r="J124" s="30">
        <v>7211</v>
      </c>
      <c r="K124" s="30">
        <v>7416</v>
      </c>
      <c r="L124" s="30">
        <v>7614</v>
      </c>
      <c r="N124" s="44" t="s">
        <v>2298</v>
      </c>
      <c r="O124" s="4"/>
      <c r="Q124" s="4"/>
    </row>
    <row r="125" spans="1:17">
      <c r="A125" s="44">
        <v>27</v>
      </c>
      <c r="B125" s="44" t="s">
        <v>4029</v>
      </c>
      <c r="C125" s="509" t="s">
        <v>12669</v>
      </c>
      <c r="D125" s="510">
        <v>0</v>
      </c>
      <c r="E125" s="508">
        <v>3328</v>
      </c>
      <c r="F125" s="508">
        <v>3416</v>
      </c>
      <c r="G125" s="508">
        <v>3481</v>
      </c>
      <c r="H125" s="30">
        <v>3802</v>
      </c>
      <c r="I125" s="30">
        <v>3946</v>
      </c>
      <c r="J125" s="30">
        <v>4074</v>
      </c>
      <c r="K125" s="30">
        <v>4301</v>
      </c>
      <c r="L125" s="30">
        <v>4302</v>
      </c>
      <c r="N125" s="44" t="s">
        <v>2298</v>
      </c>
    </row>
    <row r="126" spans="1:17">
      <c r="A126" s="44">
        <v>28</v>
      </c>
      <c r="B126" s="44" t="s">
        <v>12528</v>
      </c>
      <c r="C126" s="509" t="s">
        <v>12670</v>
      </c>
      <c r="D126" s="510">
        <v>0</v>
      </c>
      <c r="E126" s="508">
        <v>9647</v>
      </c>
      <c r="F126" s="508">
        <v>10118</v>
      </c>
      <c r="G126" s="508">
        <v>10427</v>
      </c>
      <c r="H126" s="31">
        <v>10839</v>
      </c>
      <c r="I126" s="31">
        <v>10765</v>
      </c>
      <c r="J126" s="31">
        <v>10796</v>
      </c>
      <c r="K126" s="31">
        <v>10965</v>
      </c>
      <c r="L126" s="31">
        <v>11201</v>
      </c>
      <c r="N126" s="44" t="s">
        <v>2299</v>
      </c>
    </row>
    <row r="127" spans="1:17">
      <c r="A127" s="512">
        <v>29</v>
      </c>
      <c r="B127" s="44" t="s">
        <v>12529</v>
      </c>
      <c r="C127" s="509" t="s">
        <v>12671</v>
      </c>
      <c r="D127" s="506">
        <v>0</v>
      </c>
      <c r="E127" s="506">
        <v>2985</v>
      </c>
      <c r="F127" s="506">
        <v>3014</v>
      </c>
      <c r="G127" s="506">
        <v>3029</v>
      </c>
      <c r="H127" s="31">
        <v>3113</v>
      </c>
      <c r="I127" s="31">
        <v>3017</v>
      </c>
      <c r="J127" s="31">
        <v>2994</v>
      </c>
      <c r="K127" s="31">
        <v>3027</v>
      </c>
      <c r="L127" s="31">
        <v>3037</v>
      </c>
      <c r="N127" s="44" t="s">
        <v>2300</v>
      </c>
      <c r="O127" s="4"/>
      <c r="Q127" s="4"/>
    </row>
    <row r="128" spans="1:17">
      <c r="A128" s="512">
        <v>30</v>
      </c>
      <c r="B128" s="44" t="s">
        <v>7620</v>
      </c>
      <c r="C128" s="509" t="s">
        <v>12672</v>
      </c>
      <c r="D128" s="506">
        <v>0</v>
      </c>
      <c r="E128" s="506">
        <v>7546</v>
      </c>
      <c r="F128" s="506">
        <v>7632</v>
      </c>
      <c r="G128" s="506">
        <v>7689</v>
      </c>
      <c r="H128" s="30">
        <v>7693</v>
      </c>
      <c r="I128" s="30">
        <v>7587</v>
      </c>
      <c r="J128" s="30">
        <v>7440</v>
      </c>
      <c r="K128" s="30">
        <v>7505</v>
      </c>
      <c r="L128" s="30">
        <v>7550</v>
      </c>
      <c r="N128" s="44" t="s">
        <v>2298</v>
      </c>
      <c r="O128" s="4"/>
      <c r="Q128" s="4"/>
    </row>
    <row r="129" spans="1:17">
      <c r="A129" s="512">
        <v>31</v>
      </c>
      <c r="B129" s="44" t="s">
        <v>12530</v>
      </c>
      <c r="C129" s="509" t="s">
        <v>12673</v>
      </c>
      <c r="D129" s="508">
        <v>0</v>
      </c>
      <c r="E129" s="506">
        <v>3687</v>
      </c>
      <c r="F129" s="506">
        <v>3758</v>
      </c>
      <c r="G129" s="506">
        <v>3830</v>
      </c>
      <c r="H129" s="30">
        <v>3835</v>
      </c>
      <c r="I129" s="30">
        <v>3788</v>
      </c>
      <c r="J129" s="30">
        <v>3724</v>
      </c>
      <c r="K129" s="30">
        <v>3746</v>
      </c>
      <c r="L129" s="30">
        <v>3764</v>
      </c>
      <c r="N129" s="44" t="s">
        <v>2298</v>
      </c>
    </row>
    <row r="130" spans="1:17">
      <c r="D130" s="508"/>
      <c r="E130" s="508"/>
      <c r="F130" s="508"/>
      <c r="G130" s="508"/>
      <c r="H130" s="508"/>
      <c r="I130" s="508"/>
      <c r="J130" s="508"/>
      <c r="K130" s="508"/>
      <c r="L130" s="508"/>
    </row>
    <row r="131" spans="1:17">
      <c r="A131" s="44" t="s">
        <v>5780</v>
      </c>
      <c r="D131" s="506">
        <f t="shared" ref="D131:I131" si="93">D101</f>
        <v>4815</v>
      </c>
      <c r="E131" s="506">
        <f t="shared" si="93"/>
        <v>4876</v>
      </c>
      <c r="F131" s="506">
        <f t="shared" si="93"/>
        <v>4918</v>
      </c>
      <c r="G131" s="506">
        <f t="shared" si="93"/>
        <v>4966</v>
      </c>
      <c r="H131" s="506">
        <f t="shared" si="93"/>
        <v>4926</v>
      </c>
      <c r="I131" s="506">
        <f t="shared" si="93"/>
        <v>4904</v>
      </c>
      <c r="J131" s="506">
        <f t="shared" ref="J131:K131" si="94">J101</f>
        <v>4817</v>
      </c>
      <c r="K131" s="506">
        <f t="shared" si="94"/>
        <v>4889</v>
      </c>
      <c r="L131" s="506">
        <f t="shared" ref="L131" si="95">L101</f>
        <v>4927</v>
      </c>
    </row>
    <row r="132" spans="1:17">
      <c r="A132" s="44" t="s">
        <v>5803</v>
      </c>
      <c r="D132" s="506">
        <f t="shared" ref="D132:I132" si="96">D93+D94+D97+D98+D104+D111+D113+D118+D124+D125+D128+D129</f>
        <v>65446</v>
      </c>
      <c r="E132" s="506">
        <f t="shared" si="96"/>
        <v>65557</v>
      </c>
      <c r="F132" s="506">
        <f t="shared" si="96"/>
        <v>66647</v>
      </c>
      <c r="G132" s="506">
        <f t="shared" si="96"/>
        <v>67577</v>
      </c>
      <c r="H132" s="506">
        <f t="shared" si="96"/>
        <v>68607</v>
      </c>
      <c r="I132" s="506">
        <f t="shared" si="96"/>
        <v>68064</v>
      </c>
      <c r="J132" s="506">
        <f t="shared" ref="J132:K132" si="97">J93+J94+J97+J98+J104+J111+J113+J118+J124+J125+J128+J129</f>
        <v>67411</v>
      </c>
      <c r="K132" s="506">
        <f t="shared" si="97"/>
        <v>69230</v>
      </c>
      <c r="L132" s="506">
        <f t="shared" ref="L132" si="98">L93+L94+L97+L98+L104+L111+L113+L118+L124+L125+L128+L129</f>
        <v>70647</v>
      </c>
    </row>
    <row r="133" spans="1:17">
      <c r="A133" s="44" t="s">
        <v>5804</v>
      </c>
      <c r="D133" s="506">
        <f t="shared" ref="D133:I133" si="99">D95+D99+D100+D119+D122+D123+D126</f>
        <v>45393</v>
      </c>
      <c r="E133" s="506">
        <f t="shared" si="99"/>
        <v>45925</v>
      </c>
      <c r="F133" s="506">
        <f t="shared" si="99"/>
        <v>47099</v>
      </c>
      <c r="G133" s="506">
        <f t="shared" si="99"/>
        <v>47958</v>
      </c>
      <c r="H133" s="506">
        <f t="shared" si="99"/>
        <v>49028</v>
      </c>
      <c r="I133" s="506">
        <f t="shared" si="99"/>
        <v>48472</v>
      </c>
      <c r="J133" s="506">
        <f t="shared" ref="J133:K133" si="100">J95+J99+J100+J119+J122+J123+J126</f>
        <v>48306</v>
      </c>
      <c r="K133" s="506">
        <f t="shared" si="100"/>
        <v>49743</v>
      </c>
      <c r="L133" s="506">
        <f t="shared" ref="L133" si="101">L95+L99+L100+L119+L122+L123+L126</f>
        <v>50940</v>
      </c>
    </row>
    <row r="134" spans="1:17">
      <c r="A134" s="44" t="s">
        <v>2300</v>
      </c>
      <c r="D134" s="506">
        <f t="shared" ref="D134:I134" si="102">D102+SUM(D105:D110)+D112+SUM(D114:D117)+D121+D127</f>
        <v>76111</v>
      </c>
      <c r="E134" s="506">
        <f t="shared" si="102"/>
        <v>76178</v>
      </c>
      <c r="F134" s="506">
        <f t="shared" si="102"/>
        <v>77620</v>
      </c>
      <c r="G134" s="506">
        <f t="shared" si="102"/>
        <v>78690</v>
      </c>
      <c r="H134" s="506">
        <f t="shared" si="102"/>
        <v>79517</v>
      </c>
      <c r="I134" s="506">
        <f t="shared" si="102"/>
        <v>78342</v>
      </c>
      <c r="J134" s="506">
        <f t="shared" ref="J134:K134" si="103">J102+SUM(J105:J110)+J112+SUM(J114:J117)+J121+J127</f>
        <v>76959</v>
      </c>
      <c r="K134" s="506">
        <f t="shared" si="103"/>
        <v>78185</v>
      </c>
      <c r="L134" s="506">
        <f t="shared" ref="L134" si="104">L102+SUM(L105:L110)+L112+SUM(L114:L117)+L121+L127</f>
        <v>79137</v>
      </c>
    </row>
    <row r="135" spans="1:17">
      <c r="D135" s="508"/>
      <c r="E135" s="508"/>
      <c r="F135" s="508"/>
      <c r="G135" s="508"/>
      <c r="H135" s="508"/>
      <c r="I135" s="508"/>
      <c r="J135" s="508"/>
      <c r="K135" s="508"/>
      <c r="L135" s="508"/>
    </row>
    <row r="136" spans="1:17">
      <c r="A136" s="43" t="s">
        <v>12531</v>
      </c>
      <c r="D136" s="508"/>
      <c r="E136" s="508"/>
      <c r="F136" s="508"/>
      <c r="G136" s="508"/>
      <c r="H136" s="508"/>
      <c r="I136" s="508"/>
      <c r="J136" s="508"/>
      <c r="K136" s="508"/>
      <c r="L136" s="508"/>
    </row>
    <row r="137" spans="1:17">
      <c r="D137" s="508"/>
      <c r="E137" s="508"/>
      <c r="F137" s="508"/>
      <c r="G137" s="508"/>
      <c r="H137" s="508"/>
      <c r="I137" s="508"/>
      <c r="J137" s="508"/>
      <c r="K137" s="508"/>
      <c r="L137" s="508"/>
    </row>
    <row r="138" spans="1:17">
      <c r="D138" s="508"/>
      <c r="E138" s="508"/>
      <c r="F138" s="508"/>
      <c r="G138" s="508"/>
      <c r="H138" s="508"/>
      <c r="I138" s="508"/>
      <c r="J138" s="508"/>
      <c r="K138" s="508"/>
      <c r="L138" s="508"/>
    </row>
    <row r="139" spans="1:17">
      <c r="E139" s="42" t="s">
        <v>2303</v>
      </c>
      <c r="F139" s="42"/>
      <c r="G139" s="42"/>
      <c r="H139" s="42"/>
      <c r="I139" s="42"/>
      <c r="J139" s="42"/>
      <c r="K139" s="42"/>
      <c r="L139" s="42"/>
      <c r="N139" s="25" t="s">
        <v>13319</v>
      </c>
    </row>
    <row r="140" spans="1:17">
      <c r="D140" s="42">
        <v>2010</v>
      </c>
      <c r="E140" s="42">
        <v>2011</v>
      </c>
      <c r="F140" s="42">
        <v>2012</v>
      </c>
      <c r="G140" s="42">
        <v>2013</v>
      </c>
      <c r="H140" s="42">
        <v>2014</v>
      </c>
      <c r="I140" s="42">
        <v>2015</v>
      </c>
      <c r="J140" s="42">
        <v>2016</v>
      </c>
      <c r="K140" s="42">
        <v>2017</v>
      </c>
      <c r="L140" s="42">
        <v>2018</v>
      </c>
      <c r="N140" s="44" t="s">
        <v>2304</v>
      </c>
    </row>
    <row r="141" spans="1:17">
      <c r="A141" s="44" t="s">
        <v>3580</v>
      </c>
      <c r="D141" s="506">
        <f t="shared" ref="D141:I141" si="105">SUM(D142:D160)</f>
        <v>126090</v>
      </c>
      <c r="E141" s="506">
        <f t="shared" si="105"/>
        <v>127286</v>
      </c>
      <c r="F141" s="506">
        <f t="shared" si="105"/>
        <v>131069</v>
      </c>
      <c r="G141" s="506">
        <f t="shared" si="105"/>
        <v>134116</v>
      </c>
      <c r="H141" s="506">
        <f t="shared" si="105"/>
        <v>131480</v>
      </c>
      <c r="I141" s="506">
        <f t="shared" si="105"/>
        <v>125886</v>
      </c>
      <c r="J141" s="506">
        <f t="shared" ref="J141:K141" si="106">SUM(J142:J160)</f>
        <v>123871</v>
      </c>
      <c r="K141" s="506">
        <f t="shared" si="106"/>
        <v>127033</v>
      </c>
      <c r="L141" s="506">
        <f t="shared" ref="L141" si="107">SUM(L142:L160)</f>
        <v>127400</v>
      </c>
    </row>
    <row r="142" spans="1:17">
      <c r="A142" s="44" t="s">
        <v>6957</v>
      </c>
      <c r="B142" s="44" t="s">
        <v>5781</v>
      </c>
      <c r="C142" s="4" t="s">
        <v>9729</v>
      </c>
      <c r="D142" s="506">
        <v>5312</v>
      </c>
      <c r="E142" s="506">
        <v>5434</v>
      </c>
      <c r="F142" s="506">
        <v>5603</v>
      </c>
      <c r="G142" s="513">
        <v>5665</v>
      </c>
      <c r="H142" s="48">
        <v>5559</v>
      </c>
      <c r="I142" s="48">
        <v>5427</v>
      </c>
      <c r="J142" s="48">
        <v>5295</v>
      </c>
      <c r="K142" s="48">
        <v>5429</v>
      </c>
      <c r="L142" s="48">
        <v>5475</v>
      </c>
      <c r="N142" s="44" t="s">
        <v>7555</v>
      </c>
      <c r="O142" s="4"/>
      <c r="Q142" s="4"/>
    </row>
    <row r="143" spans="1:17">
      <c r="A143" s="44" t="s">
        <v>6959</v>
      </c>
      <c r="B143" s="44" t="s">
        <v>5782</v>
      </c>
      <c r="C143" s="4" t="s">
        <v>9730</v>
      </c>
      <c r="D143" s="506">
        <v>8022</v>
      </c>
      <c r="E143" s="506">
        <v>8439</v>
      </c>
      <c r="F143" s="506">
        <v>9094</v>
      </c>
      <c r="G143" s="513">
        <v>9291</v>
      </c>
      <c r="H143" s="48">
        <v>9251</v>
      </c>
      <c r="I143" s="48">
        <v>8717</v>
      </c>
      <c r="J143" s="48">
        <v>8351</v>
      </c>
      <c r="K143" s="48">
        <v>8548</v>
      </c>
      <c r="L143" s="48">
        <v>8678</v>
      </c>
      <c r="N143" s="44" t="s">
        <v>7557</v>
      </c>
      <c r="O143" s="4"/>
      <c r="Q143" s="4"/>
    </row>
    <row r="144" spans="1:17">
      <c r="A144" s="44" t="s">
        <v>6961</v>
      </c>
      <c r="B144" s="44" t="s">
        <v>5783</v>
      </c>
      <c r="C144" s="4" t="s">
        <v>9731</v>
      </c>
      <c r="D144" s="506">
        <v>5620</v>
      </c>
      <c r="E144" s="506">
        <v>5611</v>
      </c>
      <c r="F144" s="506">
        <v>5689</v>
      </c>
      <c r="G144" s="513">
        <v>5755</v>
      </c>
      <c r="H144" s="48">
        <v>5652</v>
      </c>
      <c r="I144" s="48">
        <v>5426</v>
      </c>
      <c r="J144" s="48">
        <v>5366</v>
      </c>
      <c r="K144" s="48">
        <v>5438</v>
      </c>
      <c r="L144" s="48">
        <v>5374</v>
      </c>
      <c r="N144" s="44" t="s">
        <v>7555</v>
      </c>
      <c r="O144" s="4"/>
      <c r="Q144" s="4"/>
    </row>
    <row r="145" spans="1:17">
      <c r="A145" s="44" t="s">
        <v>6963</v>
      </c>
      <c r="B145" s="44" t="s">
        <v>5784</v>
      </c>
      <c r="C145" s="4" t="s">
        <v>9732</v>
      </c>
      <c r="D145" s="506">
        <v>8220</v>
      </c>
      <c r="E145" s="506">
        <v>8328</v>
      </c>
      <c r="F145" s="506">
        <v>8626</v>
      </c>
      <c r="G145" s="513">
        <v>8845</v>
      </c>
      <c r="H145" s="48">
        <v>8722</v>
      </c>
      <c r="I145" s="48">
        <v>8453</v>
      </c>
      <c r="J145" s="48">
        <v>8227</v>
      </c>
      <c r="K145" s="48">
        <v>8478</v>
      </c>
      <c r="L145" s="48">
        <v>8527</v>
      </c>
      <c r="N145" s="44" t="s">
        <v>7555</v>
      </c>
      <c r="O145" s="4"/>
      <c r="Q145" s="4"/>
    </row>
    <row r="146" spans="1:17">
      <c r="A146" s="44" t="s">
        <v>6965</v>
      </c>
      <c r="B146" s="44" t="s">
        <v>8761</v>
      </c>
      <c r="C146" s="4" t="s">
        <v>9733</v>
      </c>
      <c r="D146" s="506">
        <v>4847</v>
      </c>
      <c r="E146" s="506">
        <v>4865</v>
      </c>
      <c r="F146" s="506">
        <v>4927</v>
      </c>
      <c r="G146" s="513">
        <v>5032</v>
      </c>
      <c r="H146" s="48">
        <v>4938</v>
      </c>
      <c r="I146" s="48">
        <v>4751</v>
      </c>
      <c r="J146" s="48">
        <v>4696</v>
      </c>
      <c r="K146" s="48">
        <v>4755</v>
      </c>
      <c r="L146" s="48">
        <v>4737</v>
      </c>
      <c r="N146" s="44" t="s">
        <v>7557</v>
      </c>
      <c r="O146" s="4"/>
      <c r="Q146" s="4"/>
    </row>
    <row r="147" spans="1:17" ht="15.75" customHeight="1">
      <c r="A147" s="44" t="s">
        <v>6997</v>
      </c>
      <c r="B147" s="44" t="s">
        <v>5785</v>
      </c>
      <c r="C147" s="4" t="s">
        <v>9734</v>
      </c>
      <c r="D147" s="506">
        <v>8743</v>
      </c>
      <c r="E147" s="506">
        <v>8848</v>
      </c>
      <c r="F147" s="506">
        <v>9173</v>
      </c>
      <c r="G147" s="513">
        <v>9403</v>
      </c>
      <c r="H147" s="48">
        <v>9022</v>
      </c>
      <c r="I147" s="48">
        <v>8349</v>
      </c>
      <c r="J147" s="48">
        <v>8243</v>
      </c>
      <c r="K147" s="48">
        <v>8473</v>
      </c>
      <c r="L147" s="48">
        <v>8564</v>
      </c>
      <c r="N147" s="44" t="s">
        <v>7557</v>
      </c>
      <c r="O147" s="4"/>
      <c r="Q147" s="4"/>
    </row>
    <row r="148" spans="1:17">
      <c r="A148" s="44" t="s">
        <v>6999</v>
      </c>
      <c r="B148" s="44" t="s">
        <v>2336</v>
      </c>
      <c r="C148" s="4" t="s">
        <v>9735</v>
      </c>
      <c r="D148" s="506">
        <v>6981</v>
      </c>
      <c r="E148" s="506">
        <v>7000</v>
      </c>
      <c r="F148" s="506">
        <v>7217</v>
      </c>
      <c r="G148" s="513">
        <v>7466</v>
      </c>
      <c r="H148" s="48">
        <v>7151</v>
      </c>
      <c r="I148" s="48">
        <v>6712</v>
      </c>
      <c r="J148" s="48">
        <v>6839</v>
      </c>
      <c r="K148" s="48">
        <v>7052</v>
      </c>
      <c r="L148" s="48">
        <v>7054</v>
      </c>
      <c r="N148" s="44" t="s">
        <v>7557</v>
      </c>
      <c r="O148" s="4"/>
      <c r="Q148" s="4"/>
    </row>
    <row r="149" spans="1:17">
      <c r="A149" s="44" t="s">
        <v>7001</v>
      </c>
      <c r="B149" s="44" t="s">
        <v>2386</v>
      </c>
      <c r="C149" s="4" t="s">
        <v>9736</v>
      </c>
      <c r="D149" s="506">
        <v>4719</v>
      </c>
      <c r="E149" s="506">
        <v>4705</v>
      </c>
      <c r="F149" s="506">
        <v>4983</v>
      </c>
      <c r="G149" s="513">
        <v>5143</v>
      </c>
      <c r="H149" s="48">
        <v>4761</v>
      </c>
      <c r="I149" s="48">
        <v>4299</v>
      </c>
      <c r="J149" s="48">
        <v>4206</v>
      </c>
      <c r="K149" s="48">
        <v>4502</v>
      </c>
      <c r="L149" s="48">
        <v>4500</v>
      </c>
      <c r="N149" s="44" t="s">
        <v>7557</v>
      </c>
      <c r="O149" s="4"/>
      <c r="Q149" s="4"/>
    </row>
    <row r="150" spans="1:17">
      <c r="A150" s="44" t="s">
        <v>7003</v>
      </c>
      <c r="B150" s="44" t="s">
        <v>4010</v>
      </c>
      <c r="C150" s="4" t="s">
        <v>9737</v>
      </c>
      <c r="D150" s="506">
        <v>5748</v>
      </c>
      <c r="E150" s="506">
        <v>5756</v>
      </c>
      <c r="F150" s="506">
        <v>5840</v>
      </c>
      <c r="G150" s="513">
        <v>5841</v>
      </c>
      <c r="H150" s="48">
        <v>5905</v>
      </c>
      <c r="I150" s="48">
        <v>5768</v>
      </c>
      <c r="J150" s="48">
        <v>5614</v>
      </c>
      <c r="K150" s="48">
        <v>5705</v>
      </c>
      <c r="L150" s="48">
        <v>5677</v>
      </c>
      <c r="N150" s="44" t="s">
        <v>7555</v>
      </c>
      <c r="O150" s="4"/>
      <c r="Q150" s="4"/>
    </row>
    <row r="151" spans="1:17">
      <c r="A151" s="44" t="s">
        <v>7005</v>
      </c>
      <c r="B151" s="44" t="s">
        <v>4064</v>
      </c>
      <c r="C151" s="4" t="s">
        <v>9738</v>
      </c>
      <c r="D151" s="506">
        <v>7623</v>
      </c>
      <c r="E151" s="506">
        <v>7708</v>
      </c>
      <c r="F151" s="506">
        <v>7974</v>
      </c>
      <c r="G151" s="513">
        <v>8097</v>
      </c>
      <c r="H151" s="48">
        <v>7962</v>
      </c>
      <c r="I151" s="48">
        <v>7617</v>
      </c>
      <c r="J151" s="48">
        <v>7492</v>
      </c>
      <c r="K151" s="48">
        <v>7815</v>
      </c>
      <c r="L151" s="48">
        <v>7920</v>
      </c>
      <c r="N151" s="44" t="s">
        <v>7555</v>
      </c>
      <c r="O151" s="4"/>
      <c r="Q151" s="4"/>
    </row>
    <row r="152" spans="1:17">
      <c r="A152" s="44" t="s">
        <v>7007</v>
      </c>
      <c r="B152" s="44" t="s">
        <v>4065</v>
      </c>
      <c r="C152" s="4" t="s">
        <v>9739</v>
      </c>
      <c r="D152" s="506">
        <v>8344</v>
      </c>
      <c r="E152" s="506">
        <v>8421</v>
      </c>
      <c r="F152" s="506">
        <v>8678</v>
      </c>
      <c r="G152" s="513">
        <v>8716</v>
      </c>
      <c r="H152" s="48">
        <v>8655</v>
      </c>
      <c r="I152" s="48">
        <v>8360</v>
      </c>
      <c r="J152" s="48">
        <v>8207</v>
      </c>
      <c r="K152" s="48">
        <v>8372</v>
      </c>
      <c r="L152" s="48">
        <v>8394</v>
      </c>
      <c r="N152" s="44" t="s">
        <v>7555</v>
      </c>
      <c r="O152" s="4"/>
      <c r="Q152" s="4"/>
    </row>
    <row r="153" spans="1:17">
      <c r="A153" s="44" t="s">
        <v>7009</v>
      </c>
      <c r="B153" s="44" t="s">
        <v>4066</v>
      </c>
      <c r="C153" s="4" t="s">
        <v>9740</v>
      </c>
      <c r="D153" s="506">
        <v>5592</v>
      </c>
      <c r="E153" s="506">
        <v>5594</v>
      </c>
      <c r="F153" s="506">
        <v>5622</v>
      </c>
      <c r="G153" s="513">
        <v>5693</v>
      </c>
      <c r="H153" s="48">
        <v>5707</v>
      </c>
      <c r="I153" s="48">
        <v>5648</v>
      </c>
      <c r="J153" s="48">
        <v>5530</v>
      </c>
      <c r="K153" s="48">
        <v>5668</v>
      </c>
      <c r="L153" s="48">
        <v>5599</v>
      </c>
      <c r="N153" s="44" t="s">
        <v>7555</v>
      </c>
      <c r="O153" s="4"/>
      <c r="Q153" s="4"/>
    </row>
    <row r="154" spans="1:17">
      <c r="A154" s="44" t="s">
        <v>7011</v>
      </c>
      <c r="B154" s="44" t="s">
        <v>4067</v>
      </c>
      <c r="C154" s="4" t="s">
        <v>9741</v>
      </c>
      <c r="D154" s="506">
        <v>5261</v>
      </c>
      <c r="E154" s="506">
        <v>5309</v>
      </c>
      <c r="F154" s="506">
        <v>5356</v>
      </c>
      <c r="G154" s="513">
        <v>5289</v>
      </c>
      <c r="H154" s="48">
        <v>5084</v>
      </c>
      <c r="I154" s="48">
        <v>4904</v>
      </c>
      <c r="J154" s="48">
        <v>4966</v>
      </c>
      <c r="K154" s="48">
        <v>5082</v>
      </c>
      <c r="L154" s="48">
        <v>5110</v>
      </c>
      <c r="N154" s="44" t="s">
        <v>7555</v>
      </c>
      <c r="O154" s="4"/>
      <c r="Q154" s="4"/>
    </row>
    <row r="155" spans="1:17">
      <c r="A155" s="514">
        <v>14</v>
      </c>
      <c r="B155" s="44" t="s">
        <v>4068</v>
      </c>
      <c r="C155" s="4" t="s">
        <v>9742</v>
      </c>
      <c r="D155" s="506">
        <v>7567</v>
      </c>
      <c r="E155" s="506">
        <v>7606</v>
      </c>
      <c r="F155" s="506">
        <v>7844</v>
      </c>
      <c r="G155" s="513">
        <v>8024</v>
      </c>
      <c r="H155" s="48">
        <v>7834</v>
      </c>
      <c r="I155" s="48">
        <v>7573</v>
      </c>
      <c r="J155" s="48">
        <v>7566</v>
      </c>
      <c r="K155" s="48">
        <v>7728</v>
      </c>
      <c r="L155" s="48">
        <v>7727</v>
      </c>
      <c r="N155" s="44" t="s">
        <v>7557</v>
      </c>
      <c r="O155" s="4"/>
      <c r="Q155" s="4"/>
    </row>
    <row r="156" spans="1:17">
      <c r="A156" s="514">
        <v>15</v>
      </c>
      <c r="B156" s="44" t="s">
        <v>4069</v>
      </c>
      <c r="C156" s="4" t="s">
        <v>9743</v>
      </c>
      <c r="D156" s="506">
        <v>8670</v>
      </c>
      <c r="E156" s="506">
        <v>8659</v>
      </c>
      <c r="F156" s="506">
        <v>8970</v>
      </c>
      <c r="G156" s="513">
        <v>9095</v>
      </c>
      <c r="H156" s="48">
        <v>9175</v>
      </c>
      <c r="I156" s="48">
        <v>8827</v>
      </c>
      <c r="J156" s="48">
        <v>8501</v>
      </c>
      <c r="K156" s="48">
        <v>8719</v>
      </c>
      <c r="L156" s="48">
        <v>8810</v>
      </c>
      <c r="N156" s="44" t="s">
        <v>7555</v>
      </c>
      <c r="O156" s="4"/>
      <c r="Q156" s="4"/>
    </row>
    <row r="157" spans="1:17">
      <c r="A157" s="514">
        <v>16</v>
      </c>
      <c r="B157" s="44" t="s">
        <v>4070</v>
      </c>
      <c r="C157" s="4" t="s">
        <v>9744</v>
      </c>
      <c r="D157" s="506">
        <v>5901</v>
      </c>
      <c r="E157" s="506">
        <v>5964</v>
      </c>
      <c r="F157" s="506">
        <v>6132</v>
      </c>
      <c r="G157" s="513">
        <v>7153</v>
      </c>
      <c r="H157" s="48">
        <v>6650</v>
      </c>
      <c r="I157" s="48">
        <v>6011</v>
      </c>
      <c r="J157" s="48">
        <v>6139</v>
      </c>
      <c r="K157" s="48">
        <v>6461</v>
      </c>
      <c r="L157" s="48">
        <v>6624</v>
      </c>
      <c r="N157" s="44" t="s">
        <v>7557</v>
      </c>
      <c r="O157" s="4"/>
      <c r="Q157" s="4"/>
    </row>
    <row r="158" spans="1:17">
      <c r="A158" s="514">
        <v>17</v>
      </c>
      <c r="B158" s="44" t="s">
        <v>4071</v>
      </c>
      <c r="C158" s="4" t="s">
        <v>9745</v>
      </c>
      <c r="D158" s="506">
        <v>5358</v>
      </c>
      <c r="E158" s="506">
        <v>5393</v>
      </c>
      <c r="F158" s="506">
        <v>5462</v>
      </c>
      <c r="G158" s="513">
        <v>5503</v>
      </c>
      <c r="H158" s="48">
        <v>5454</v>
      </c>
      <c r="I158" s="48">
        <v>5377</v>
      </c>
      <c r="J158" s="48">
        <v>5294</v>
      </c>
      <c r="K158" s="48">
        <v>5337</v>
      </c>
      <c r="L158" s="48">
        <v>5280</v>
      </c>
      <c r="N158" s="44" t="s">
        <v>7557</v>
      </c>
      <c r="O158" s="4"/>
      <c r="Q158" s="4"/>
    </row>
    <row r="159" spans="1:17">
      <c r="A159" s="514">
        <v>18</v>
      </c>
      <c r="B159" s="44" t="s">
        <v>4072</v>
      </c>
      <c r="C159" s="4" t="s">
        <v>9746</v>
      </c>
      <c r="D159" s="506">
        <v>5331</v>
      </c>
      <c r="E159" s="506">
        <v>5453</v>
      </c>
      <c r="F159" s="506">
        <v>5591</v>
      </c>
      <c r="G159" s="513">
        <v>5677</v>
      </c>
      <c r="H159" s="48">
        <v>5651</v>
      </c>
      <c r="I159" s="48">
        <v>5488</v>
      </c>
      <c r="J159" s="48">
        <v>5354</v>
      </c>
      <c r="K159" s="48">
        <v>5439</v>
      </c>
      <c r="L159" s="48">
        <v>5386</v>
      </c>
      <c r="N159" s="44" t="s">
        <v>7555</v>
      </c>
      <c r="O159" s="4"/>
      <c r="Q159" s="4"/>
    </row>
    <row r="160" spans="1:17">
      <c r="A160" s="514">
        <v>19</v>
      </c>
      <c r="B160" s="44" t="s">
        <v>4073</v>
      </c>
      <c r="C160" s="4" t="s">
        <v>9747</v>
      </c>
      <c r="D160" s="506">
        <v>8231</v>
      </c>
      <c r="E160" s="506">
        <v>8193</v>
      </c>
      <c r="F160" s="506">
        <v>8288</v>
      </c>
      <c r="G160" s="513">
        <v>8428</v>
      </c>
      <c r="H160" s="48">
        <v>8347</v>
      </c>
      <c r="I160" s="48">
        <v>8179</v>
      </c>
      <c r="J160" s="48">
        <v>7985</v>
      </c>
      <c r="K160" s="48">
        <v>8032</v>
      </c>
      <c r="L160" s="48">
        <v>7964</v>
      </c>
      <c r="N160" s="44" t="s">
        <v>7557</v>
      </c>
      <c r="O160" s="4"/>
      <c r="Q160" s="4"/>
    </row>
    <row r="161" spans="1:12">
      <c r="D161" s="508"/>
      <c r="E161" s="508"/>
      <c r="F161" s="508"/>
      <c r="G161" s="508"/>
      <c r="H161" s="508"/>
      <c r="I161" s="48"/>
      <c r="J161" s="48"/>
      <c r="K161" s="48"/>
      <c r="L161" s="48"/>
    </row>
    <row r="162" spans="1:12">
      <c r="A162" s="44" t="s">
        <v>7555</v>
      </c>
      <c r="D162" s="506">
        <f t="shared" ref="D162:I162" si="108">D142+D144+D145+SUM(D150:D154)+D156+D159</f>
        <v>65721</v>
      </c>
      <c r="E162" s="506">
        <f t="shared" si="108"/>
        <v>66273</v>
      </c>
      <c r="F162" s="506">
        <f t="shared" si="108"/>
        <v>67949</v>
      </c>
      <c r="G162" s="506">
        <f t="shared" si="108"/>
        <v>68673</v>
      </c>
      <c r="H162" s="506">
        <f t="shared" si="108"/>
        <v>68072</v>
      </c>
      <c r="I162" s="506">
        <f t="shared" si="108"/>
        <v>65918</v>
      </c>
      <c r="J162" s="506">
        <f t="shared" ref="J162:K162" si="109">J142+J144+J145+SUM(J150:J154)+J156+J159</f>
        <v>64552</v>
      </c>
      <c r="K162" s="506">
        <f t="shared" si="109"/>
        <v>66145</v>
      </c>
      <c r="L162" s="506">
        <f t="shared" ref="L162" si="110">L142+L144+L145+SUM(L150:L154)+L156+L159</f>
        <v>66272</v>
      </c>
    </row>
    <row r="163" spans="1:12">
      <c r="A163" s="44" t="s">
        <v>5780</v>
      </c>
      <c r="D163" s="506">
        <f t="shared" ref="D163:I163" si="111">D143+SUM(D146:D149)+D155+D157+D158+D160</f>
        <v>60369</v>
      </c>
      <c r="E163" s="506">
        <f t="shared" si="111"/>
        <v>61013</v>
      </c>
      <c r="F163" s="506">
        <f t="shared" si="111"/>
        <v>63120</v>
      </c>
      <c r="G163" s="506">
        <f t="shared" si="111"/>
        <v>65443</v>
      </c>
      <c r="H163" s="506">
        <f t="shared" si="111"/>
        <v>63408</v>
      </c>
      <c r="I163" s="506">
        <f t="shared" si="111"/>
        <v>59968</v>
      </c>
      <c r="J163" s="506">
        <f t="shared" ref="J163:K163" si="112">J143+SUM(J146:J149)+J155+J157+J158+J160</f>
        <v>59319</v>
      </c>
      <c r="K163" s="506">
        <f t="shared" si="112"/>
        <v>60888</v>
      </c>
      <c r="L163" s="506">
        <f t="shared" ref="L163" si="113">L143+SUM(L146:L149)+L155+L157+L158+L160</f>
        <v>61128</v>
      </c>
    </row>
    <row r="165" spans="1:12">
      <c r="A165" s="44" t="s">
        <v>2374</v>
      </c>
    </row>
    <row r="167" spans="1:12">
      <c r="A167" s="44"/>
      <c r="D167" s="515"/>
      <c r="E167" s="515"/>
      <c r="F167" s="515"/>
      <c r="G167" s="515"/>
      <c r="H167" s="515"/>
      <c r="I167" s="515"/>
      <c r="J167" s="515"/>
      <c r="K167" s="515"/>
      <c r="L167" s="515"/>
    </row>
  </sheetData>
  <sortState ref="O142:Q160">
    <sortCondition ref="O142:O160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&amp;C&amp;"Times New Roman,Regular"&amp;8&amp;P of &amp;N</oddFooter>
  </headerFooter>
  <ignoredErrors>
    <ignoredError sqref="D141:K141 D3:D7 D8:D12 D120:K120 D13:F35 D92:K92 D96:F103 D43:F55 D68:F68 D162:F163 E3:F7 D85:F85 G96 G103 D131:G134 D58:F65 D66:E66 D83:F84 G43:G61 G83:G85 G162:G163 G3:G7 E8:F12 G8:G35 H131:H134 H162:H163 H43 H83:H85 H50:H68 H96:H103 H3:H7 H8:H35 I96:I103 I131:I134 I162:I163 I83:I85 I58:I68 I43:I55 I3:I35 J96:J103 J131:J134 J50:K50 J55:K55 J58:K58 J61:K61 J83:J85 J43:K43 J162:J163 J3:J35 K162:K163 K83:K85 K96 K103 K131:K134 K3:K35 L3:L163" unlockedFormula="1"/>
    <ignoredError sqref="D69:K69" formulaRange="1" unlocked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78"/>
  <sheetViews>
    <sheetView showGridLines="0" zoomScaleNormal="100" workbookViewId="0"/>
  </sheetViews>
  <sheetFormatPr defaultColWidth="12.5703125" defaultRowHeight="15"/>
  <cols>
    <col min="1" max="1" width="4.85546875" style="691" customWidth="1"/>
    <col min="2" max="2" width="40.85546875" style="691" customWidth="1"/>
    <col min="3" max="3" width="11.5703125" style="691" customWidth="1"/>
    <col min="4" max="12" width="10" style="691" customWidth="1"/>
    <col min="13" max="13" width="2.28515625" style="691" customWidth="1"/>
    <col min="14" max="14" width="27.42578125" style="691" customWidth="1"/>
    <col min="15" max="16384" width="12.5703125" style="691"/>
  </cols>
  <sheetData>
    <row r="1" spans="1:14">
      <c r="A1" s="202" t="s">
        <v>8847</v>
      </c>
      <c r="D1" s="692">
        <v>2010</v>
      </c>
      <c r="E1" s="692">
        <v>2011</v>
      </c>
      <c r="F1" s="692">
        <v>2012</v>
      </c>
      <c r="G1" s="692">
        <v>2013</v>
      </c>
      <c r="H1" s="692">
        <v>2014</v>
      </c>
      <c r="I1" s="692">
        <v>2015</v>
      </c>
      <c r="J1" s="692">
        <v>2016</v>
      </c>
      <c r="K1" s="692">
        <v>2017</v>
      </c>
      <c r="L1" s="692">
        <v>2018</v>
      </c>
    </row>
    <row r="3" spans="1:14">
      <c r="A3" s="202" t="s">
        <v>6849</v>
      </c>
      <c r="D3" s="693">
        <f t="shared" ref="D3:I3" si="0">SUM(D5:D11)</f>
        <v>502147</v>
      </c>
      <c r="E3" s="693">
        <f t="shared" si="0"/>
        <v>506628</v>
      </c>
      <c r="F3" s="693">
        <f t="shared" si="0"/>
        <v>509202</v>
      </c>
      <c r="G3" s="693">
        <f t="shared" si="0"/>
        <v>512665</v>
      </c>
      <c r="H3" s="693">
        <f t="shared" si="0"/>
        <v>495114</v>
      </c>
      <c r="I3" s="693">
        <f t="shared" si="0"/>
        <v>495992</v>
      </c>
      <c r="J3" s="693">
        <f t="shared" ref="J3:K3" si="1">SUM(J5:J11)</f>
        <v>493571</v>
      </c>
      <c r="K3" s="693">
        <f t="shared" si="1"/>
        <v>510314</v>
      </c>
      <c r="L3" s="693">
        <f t="shared" ref="L3" si="2">SUM(L5:L11)</f>
        <v>512350</v>
      </c>
    </row>
    <row r="4" spans="1:14">
      <c r="D4" s="694"/>
      <c r="E4" s="694"/>
      <c r="F4" s="694"/>
      <c r="G4" s="694"/>
      <c r="H4" s="694"/>
      <c r="I4" s="694"/>
      <c r="J4" s="694"/>
      <c r="K4" s="694"/>
      <c r="L4" s="694"/>
    </row>
    <row r="5" spans="1:14">
      <c r="A5" s="202" t="s">
        <v>7972</v>
      </c>
      <c r="C5" s="202"/>
      <c r="D5" s="693">
        <f t="shared" ref="D5:I5" si="3">D47</f>
        <v>41659</v>
      </c>
      <c r="E5" s="693">
        <f t="shared" si="3"/>
        <v>42372</v>
      </c>
      <c r="F5" s="693">
        <f t="shared" si="3"/>
        <v>42779</v>
      </c>
      <c r="G5" s="693">
        <f t="shared" si="3"/>
        <v>43438</v>
      </c>
      <c r="H5" s="693">
        <f t="shared" si="3"/>
        <v>42829</v>
      </c>
      <c r="I5" s="693">
        <f t="shared" si="3"/>
        <v>42278</v>
      </c>
      <c r="J5" s="693">
        <f t="shared" ref="J5:K5" si="4">J47</f>
        <v>43281</v>
      </c>
      <c r="K5" s="693">
        <f t="shared" si="4"/>
        <v>43333</v>
      </c>
      <c r="L5" s="693">
        <f t="shared" ref="L5" si="5">L47</f>
        <v>43899</v>
      </c>
      <c r="N5" s="695"/>
    </row>
    <row r="6" spans="1:14">
      <c r="A6" s="202" t="s">
        <v>7973</v>
      </c>
      <c r="C6" s="202"/>
      <c r="D6" s="693">
        <f t="shared" ref="D6:I6" si="6">D68</f>
        <v>58855</v>
      </c>
      <c r="E6" s="693">
        <f t="shared" si="6"/>
        <v>59174</v>
      </c>
      <c r="F6" s="693">
        <f t="shared" si="6"/>
        <v>59865</v>
      </c>
      <c r="G6" s="693">
        <f t="shared" si="6"/>
        <v>60328</v>
      </c>
      <c r="H6" s="693">
        <f t="shared" si="6"/>
        <v>59363</v>
      </c>
      <c r="I6" s="693">
        <f t="shared" si="6"/>
        <v>59101</v>
      </c>
      <c r="J6" s="693">
        <f t="shared" ref="J6:K6" si="7">J68</f>
        <v>58392</v>
      </c>
      <c r="K6" s="693">
        <f t="shared" si="7"/>
        <v>60501</v>
      </c>
      <c r="L6" s="693">
        <f t="shared" ref="L6" si="8">L68</f>
        <v>61169</v>
      </c>
      <c r="N6" s="695"/>
    </row>
    <row r="7" spans="1:14">
      <c r="A7" s="202" t="s">
        <v>7974</v>
      </c>
      <c r="C7" s="202"/>
      <c r="D7" s="693">
        <f t="shared" ref="D7:I7" si="9">D93</f>
        <v>65126</v>
      </c>
      <c r="E7" s="693">
        <f t="shared" si="9"/>
        <v>65681</v>
      </c>
      <c r="F7" s="693">
        <f t="shared" si="9"/>
        <v>65584</v>
      </c>
      <c r="G7" s="693">
        <f t="shared" si="9"/>
        <v>65940</v>
      </c>
      <c r="H7" s="693">
        <f t="shared" si="9"/>
        <v>64986</v>
      </c>
      <c r="I7" s="693">
        <f t="shared" si="9"/>
        <v>66036</v>
      </c>
      <c r="J7" s="693">
        <f t="shared" ref="J7:K7" si="10">J93</f>
        <v>64731</v>
      </c>
      <c r="K7" s="693">
        <f t="shared" si="10"/>
        <v>66896</v>
      </c>
      <c r="L7" s="693">
        <f t="shared" ref="L7" si="11">L93</f>
        <v>67376</v>
      </c>
      <c r="N7" s="695"/>
    </row>
    <row r="8" spans="1:14">
      <c r="A8" s="202" t="s">
        <v>7975</v>
      </c>
      <c r="C8" s="202"/>
      <c r="D8" s="693">
        <f t="shared" ref="D8:I8" si="12">D136</f>
        <v>68786</v>
      </c>
      <c r="E8" s="693">
        <f t="shared" si="12"/>
        <v>69610</v>
      </c>
      <c r="F8" s="693">
        <f t="shared" si="12"/>
        <v>69842</v>
      </c>
      <c r="G8" s="693">
        <f t="shared" si="12"/>
        <v>70826</v>
      </c>
      <c r="H8" s="693">
        <f t="shared" si="12"/>
        <v>70431</v>
      </c>
      <c r="I8" s="693">
        <f t="shared" si="12"/>
        <v>69424</v>
      </c>
      <c r="J8" s="693">
        <f t="shared" ref="J8:K8" si="13">J136</f>
        <v>68279</v>
      </c>
      <c r="K8" s="693">
        <f t="shared" si="13"/>
        <v>69982</v>
      </c>
      <c r="L8" s="693">
        <f t="shared" ref="L8" si="14">L136</f>
        <v>70589</v>
      </c>
      <c r="N8" s="695"/>
    </row>
    <row r="9" spans="1:14">
      <c r="A9" s="202" t="s">
        <v>7976</v>
      </c>
      <c r="C9" s="202"/>
      <c r="D9" s="693">
        <f t="shared" ref="D9:I9" si="15">D163</f>
        <v>147560</v>
      </c>
      <c r="E9" s="693">
        <f t="shared" si="15"/>
        <v>149064</v>
      </c>
      <c r="F9" s="693">
        <f t="shared" si="15"/>
        <v>148811</v>
      </c>
      <c r="G9" s="693">
        <f t="shared" si="15"/>
        <v>149562</v>
      </c>
      <c r="H9" s="693">
        <f t="shared" si="15"/>
        <v>138479</v>
      </c>
      <c r="I9" s="693">
        <f t="shared" si="15"/>
        <v>140451</v>
      </c>
      <c r="J9" s="693">
        <f t="shared" ref="J9:K9" si="16">J163</f>
        <v>137787</v>
      </c>
      <c r="K9" s="693">
        <f t="shared" si="16"/>
        <v>142274</v>
      </c>
      <c r="L9" s="693">
        <f t="shared" ref="L9" si="17">L163</f>
        <v>144275</v>
      </c>
      <c r="N9" s="695"/>
    </row>
    <row r="10" spans="1:14">
      <c r="A10" s="202" t="s">
        <v>7977</v>
      </c>
      <c r="C10" s="202"/>
      <c r="D10" s="693">
        <f t="shared" ref="D10:I10" si="18">D217</f>
        <v>66250</v>
      </c>
      <c r="E10" s="693">
        <f t="shared" si="18"/>
        <v>66929</v>
      </c>
      <c r="F10" s="693">
        <f t="shared" si="18"/>
        <v>67985</v>
      </c>
      <c r="G10" s="693">
        <f t="shared" si="18"/>
        <v>68855</v>
      </c>
      <c r="H10" s="693">
        <f t="shared" si="18"/>
        <v>68861</v>
      </c>
      <c r="I10" s="693">
        <f t="shared" si="18"/>
        <v>65830</v>
      </c>
      <c r="J10" s="693">
        <f t="shared" ref="J10:K10" si="19">J217</f>
        <v>68535</v>
      </c>
      <c r="K10" s="693">
        <f t="shared" si="19"/>
        <v>71946</v>
      </c>
      <c r="L10" s="693">
        <f t="shared" ref="L10" si="20">L217</f>
        <v>70055</v>
      </c>
      <c r="N10" s="695"/>
    </row>
    <row r="11" spans="1:14">
      <c r="A11" s="202" t="s">
        <v>7978</v>
      </c>
      <c r="C11" s="202"/>
      <c r="D11" s="693">
        <f t="shared" ref="D11:I11" si="21">D255</f>
        <v>53911</v>
      </c>
      <c r="E11" s="693">
        <f t="shared" si="21"/>
        <v>53798</v>
      </c>
      <c r="F11" s="693">
        <f t="shared" si="21"/>
        <v>54336</v>
      </c>
      <c r="G11" s="693">
        <f t="shared" si="21"/>
        <v>53716</v>
      </c>
      <c r="H11" s="693">
        <f t="shared" si="21"/>
        <v>50165</v>
      </c>
      <c r="I11" s="693">
        <f t="shared" si="21"/>
        <v>52872</v>
      </c>
      <c r="J11" s="693">
        <f t="shared" ref="J11:K11" si="22">J255</f>
        <v>52566</v>
      </c>
      <c r="K11" s="693">
        <f t="shared" si="22"/>
        <v>55382</v>
      </c>
      <c r="L11" s="693">
        <f t="shared" ref="L11" si="23">L255</f>
        <v>54987</v>
      </c>
      <c r="N11" s="695"/>
    </row>
    <row r="12" spans="1:14">
      <c r="B12" s="202"/>
      <c r="C12" s="202"/>
      <c r="D12" s="693"/>
      <c r="E12" s="693"/>
      <c r="F12" s="693"/>
      <c r="G12" s="693"/>
      <c r="H12" s="693"/>
      <c r="I12" s="693"/>
      <c r="J12" s="693"/>
      <c r="K12" s="693"/>
      <c r="L12" s="693"/>
      <c r="N12" s="695"/>
    </row>
    <row r="13" spans="1:14">
      <c r="A13" s="202" t="s">
        <v>7979</v>
      </c>
      <c r="D13" s="693">
        <f t="shared" ref="D13:I13" si="24">D3/7</f>
        <v>71735.28571428571</v>
      </c>
      <c r="E13" s="693">
        <f t="shared" si="24"/>
        <v>72375.428571428565</v>
      </c>
      <c r="F13" s="693">
        <f t="shared" si="24"/>
        <v>72743.142857142855</v>
      </c>
      <c r="G13" s="693">
        <f t="shared" si="24"/>
        <v>73237.857142857145</v>
      </c>
      <c r="H13" s="693">
        <f t="shared" si="24"/>
        <v>70730.571428571435</v>
      </c>
      <c r="I13" s="693">
        <f t="shared" si="24"/>
        <v>70856</v>
      </c>
      <c r="J13" s="693">
        <f t="shared" ref="J13:K13" si="25">J3/7</f>
        <v>70510.142857142855</v>
      </c>
      <c r="K13" s="693">
        <f t="shared" si="25"/>
        <v>72902</v>
      </c>
      <c r="L13" s="693">
        <f t="shared" ref="L13" si="26">L3/7</f>
        <v>73192.857142857145</v>
      </c>
    </row>
    <row r="14" spans="1:14">
      <c r="D14" s="694"/>
      <c r="E14" s="694"/>
      <c r="F14" s="694"/>
      <c r="G14" s="694"/>
      <c r="H14" s="694"/>
      <c r="I14" s="694"/>
      <c r="J14" s="694"/>
      <c r="K14" s="694"/>
      <c r="L14" s="694"/>
    </row>
    <row r="15" spans="1:14">
      <c r="A15" s="202" t="s">
        <v>7980</v>
      </c>
      <c r="D15" s="693">
        <f t="shared" ref="D15:I15" si="27">D61</f>
        <v>41659</v>
      </c>
      <c r="E15" s="693">
        <f t="shared" si="27"/>
        <v>42372</v>
      </c>
      <c r="F15" s="693">
        <f t="shared" si="27"/>
        <v>42779</v>
      </c>
      <c r="G15" s="693">
        <f t="shared" si="27"/>
        <v>43438</v>
      </c>
      <c r="H15" s="693">
        <f t="shared" si="27"/>
        <v>42829</v>
      </c>
      <c r="I15" s="693">
        <f t="shared" si="27"/>
        <v>42278</v>
      </c>
      <c r="J15" s="693">
        <f t="shared" ref="J15:K15" si="28">J61</f>
        <v>43281</v>
      </c>
      <c r="K15" s="693">
        <f t="shared" si="28"/>
        <v>43333</v>
      </c>
      <c r="L15" s="693">
        <f t="shared" ref="L15" si="29">L61</f>
        <v>43899</v>
      </c>
      <c r="N15" s="202" t="s">
        <v>5096</v>
      </c>
    </row>
    <row r="16" spans="1:14" ht="15.75" thickBot="1">
      <c r="D16" s="696">
        <f t="shared" ref="D16:I16" si="30">D127</f>
        <v>36616</v>
      </c>
      <c r="E16" s="696">
        <f t="shared" si="30"/>
        <v>37096</v>
      </c>
      <c r="F16" s="696">
        <f t="shared" si="30"/>
        <v>37009</v>
      </c>
      <c r="G16" s="696">
        <f t="shared" si="30"/>
        <v>37233</v>
      </c>
      <c r="H16" s="696">
        <f t="shared" si="30"/>
        <v>36744</v>
      </c>
      <c r="I16" s="696">
        <f t="shared" si="30"/>
        <v>37275</v>
      </c>
      <c r="J16" s="696">
        <f t="shared" ref="J16:K16" si="31">J127</f>
        <v>36768</v>
      </c>
      <c r="K16" s="696">
        <f t="shared" si="31"/>
        <v>37807</v>
      </c>
      <c r="L16" s="696">
        <f t="shared" ref="L16" si="32">L127</f>
        <v>38042</v>
      </c>
      <c r="N16" s="202" t="s">
        <v>7981</v>
      </c>
    </row>
    <row r="17" spans="1:14" ht="15.75" thickBot="1">
      <c r="D17" s="696">
        <f t="shared" ref="D17:I17" si="33">D15+D16</f>
        <v>78275</v>
      </c>
      <c r="E17" s="696">
        <f t="shared" si="33"/>
        <v>79468</v>
      </c>
      <c r="F17" s="696">
        <f t="shared" si="33"/>
        <v>79788</v>
      </c>
      <c r="G17" s="696">
        <f t="shared" si="33"/>
        <v>80671</v>
      </c>
      <c r="H17" s="696">
        <f t="shared" si="33"/>
        <v>79573</v>
      </c>
      <c r="I17" s="696">
        <f t="shared" si="33"/>
        <v>79553</v>
      </c>
      <c r="J17" s="696">
        <f t="shared" ref="J17:K17" si="34">J15+J16</f>
        <v>80049</v>
      </c>
      <c r="K17" s="696">
        <f t="shared" si="34"/>
        <v>81140</v>
      </c>
      <c r="L17" s="696">
        <f t="shared" ref="L17" si="35">L15+L16</f>
        <v>81941</v>
      </c>
    </row>
    <row r="18" spans="1:14">
      <c r="D18" s="694"/>
      <c r="E18" s="694"/>
      <c r="F18" s="694"/>
      <c r="G18" s="694"/>
      <c r="H18" s="694"/>
      <c r="I18" s="694"/>
      <c r="J18" s="694"/>
      <c r="K18" s="694"/>
      <c r="L18" s="694"/>
    </row>
    <row r="19" spans="1:14">
      <c r="A19" s="202" t="s">
        <v>7982</v>
      </c>
      <c r="D19" s="693">
        <f t="shared" ref="D19:I19" si="36">D86</f>
        <v>58855</v>
      </c>
      <c r="E19" s="693">
        <f t="shared" si="36"/>
        <v>59174</v>
      </c>
      <c r="F19" s="693">
        <f t="shared" si="36"/>
        <v>59865</v>
      </c>
      <c r="G19" s="693">
        <f t="shared" si="36"/>
        <v>60328</v>
      </c>
      <c r="H19" s="693">
        <f t="shared" si="36"/>
        <v>59363</v>
      </c>
      <c r="I19" s="693">
        <f t="shared" si="36"/>
        <v>59101</v>
      </c>
      <c r="J19" s="693">
        <f t="shared" ref="J19:K19" si="37">J86</f>
        <v>58392</v>
      </c>
      <c r="K19" s="693">
        <f t="shared" si="37"/>
        <v>60501</v>
      </c>
      <c r="L19" s="693">
        <f t="shared" ref="L19" si="38">L86</f>
        <v>61169</v>
      </c>
      <c r="N19" s="202" t="s">
        <v>5097</v>
      </c>
    </row>
    <row r="20" spans="1:14">
      <c r="D20" s="697">
        <f t="shared" ref="D20:I20" si="39">D246</f>
        <v>7157</v>
      </c>
      <c r="E20" s="697">
        <f t="shared" si="39"/>
        <v>7194</v>
      </c>
      <c r="F20" s="697">
        <f t="shared" si="39"/>
        <v>7322</v>
      </c>
      <c r="G20" s="697">
        <f t="shared" si="39"/>
        <v>7414</v>
      </c>
      <c r="H20" s="697">
        <f t="shared" si="39"/>
        <v>7391</v>
      </c>
      <c r="I20" s="697">
        <f t="shared" si="39"/>
        <v>7320</v>
      </c>
      <c r="J20" s="697">
        <f t="shared" ref="J20:K20" si="40">J246</f>
        <v>7474</v>
      </c>
      <c r="K20" s="697">
        <f t="shared" si="40"/>
        <v>7740</v>
      </c>
      <c r="L20" s="697">
        <f t="shared" ref="L20" si="41">L246</f>
        <v>7497</v>
      </c>
      <c r="N20" s="202" t="s">
        <v>6207</v>
      </c>
    </row>
    <row r="21" spans="1:14" ht="15.75" thickBot="1">
      <c r="D21" s="696">
        <f t="shared" ref="D21:I21" si="42">D275</f>
        <v>5624</v>
      </c>
      <c r="E21" s="696">
        <f t="shared" si="42"/>
        <v>5535</v>
      </c>
      <c r="F21" s="696">
        <f t="shared" si="42"/>
        <v>5622</v>
      </c>
      <c r="G21" s="696">
        <f t="shared" si="42"/>
        <v>5601</v>
      </c>
      <c r="H21" s="696">
        <f t="shared" si="42"/>
        <v>5374</v>
      </c>
      <c r="I21" s="696">
        <f t="shared" si="42"/>
        <v>5508</v>
      </c>
      <c r="J21" s="696">
        <f t="shared" ref="J21:K21" si="43">J275</f>
        <v>5613</v>
      </c>
      <c r="K21" s="696">
        <f t="shared" si="43"/>
        <v>6048</v>
      </c>
      <c r="L21" s="696">
        <f t="shared" ref="L21" si="44">L275</f>
        <v>6008</v>
      </c>
      <c r="N21" s="202" t="s">
        <v>6208</v>
      </c>
    </row>
    <row r="22" spans="1:14" ht="15.75" thickBot="1">
      <c r="D22" s="696">
        <f t="shared" ref="D22:I22" si="45">SUM(D19:D21)</f>
        <v>71636</v>
      </c>
      <c r="E22" s="696">
        <f t="shared" si="45"/>
        <v>71903</v>
      </c>
      <c r="F22" s="696">
        <f t="shared" si="45"/>
        <v>72809</v>
      </c>
      <c r="G22" s="696">
        <f t="shared" si="45"/>
        <v>73343</v>
      </c>
      <c r="H22" s="696">
        <f t="shared" si="45"/>
        <v>72128</v>
      </c>
      <c r="I22" s="696">
        <f t="shared" si="45"/>
        <v>71929</v>
      </c>
      <c r="J22" s="696">
        <f t="shared" ref="J22:K22" si="46">SUM(J19:J21)</f>
        <v>71479</v>
      </c>
      <c r="K22" s="696">
        <f t="shared" si="46"/>
        <v>74289</v>
      </c>
      <c r="L22" s="696">
        <f t="shared" ref="L22" si="47">SUM(L19:L21)</f>
        <v>74674</v>
      </c>
    </row>
    <row r="23" spans="1:14">
      <c r="D23" s="694"/>
      <c r="E23" s="694"/>
      <c r="F23" s="694"/>
      <c r="G23" s="694"/>
      <c r="H23" s="694"/>
      <c r="I23" s="694"/>
      <c r="J23" s="694"/>
      <c r="K23" s="694"/>
      <c r="L23" s="694"/>
    </row>
    <row r="24" spans="1:14">
      <c r="A24" s="202" t="s">
        <v>6209</v>
      </c>
      <c r="D24" s="697">
        <f t="shared" ref="D24:I24" si="48">D155</f>
        <v>68786</v>
      </c>
      <c r="E24" s="697">
        <f t="shared" si="48"/>
        <v>69610</v>
      </c>
      <c r="F24" s="697">
        <f t="shared" si="48"/>
        <v>69842</v>
      </c>
      <c r="G24" s="697">
        <f t="shared" si="48"/>
        <v>70826</v>
      </c>
      <c r="H24" s="697">
        <f t="shared" si="48"/>
        <v>70431</v>
      </c>
      <c r="I24" s="697">
        <f t="shared" si="48"/>
        <v>69424</v>
      </c>
      <c r="J24" s="697">
        <f t="shared" ref="J24:K24" si="49">J155</f>
        <v>68279</v>
      </c>
      <c r="K24" s="697">
        <f t="shared" si="49"/>
        <v>69982</v>
      </c>
      <c r="L24" s="697">
        <f t="shared" ref="L24" si="50">L155</f>
        <v>70589</v>
      </c>
      <c r="N24" s="202" t="s">
        <v>6845</v>
      </c>
    </row>
    <row r="26" spans="1:14">
      <c r="A26" s="202" t="s">
        <v>6210</v>
      </c>
      <c r="D26" s="693">
        <f t="shared" ref="D26:I26" si="51">D208</f>
        <v>61749</v>
      </c>
      <c r="E26" s="693">
        <f t="shared" si="51"/>
        <v>62095</v>
      </c>
      <c r="F26" s="693">
        <f t="shared" si="51"/>
        <v>61808</v>
      </c>
      <c r="G26" s="693">
        <f t="shared" si="51"/>
        <v>62032</v>
      </c>
      <c r="H26" s="693">
        <f t="shared" si="51"/>
        <v>58295</v>
      </c>
      <c r="I26" s="693">
        <f t="shared" si="51"/>
        <v>57749</v>
      </c>
      <c r="J26" s="693">
        <f t="shared" ref="J26:K26" si="52">J208</f>
        <v>56005</v>
      </c>
      <c r="K26" s="693">
        <f t="shared" si="52"/>
        <v>57463</v>
      </c>
      <c r="L26" s="693">
        <f t="shared" ref="L26" si="53">L208</f>
        <v>58324</v>
      </c>
      <c r="N26" s="202" t="s">
        <v>6211</v>
      </c>
    </row>
    <row r="27" spans="1:14">
      <c r="D27" s="694"/>
      <c r="E27" s="694"/>
      <c r="F27" s="694"/>
      <c r="G27" s="694"/>
      <c r="H27" s="694"/>
      <c r="I27" s="694"/>
      <c r="J27" s="694"/>
      <c r="K27" s="694"/>
      <c r="L27" s="694"/>
    </row>
    <row r="28" spans="1:14">
      <c r="A28" s="202" t="s">
        <v>6212</v>
      </c>
      <c r="D28" s="693">
        <f t="shared" ref="D28:I28" si="54">D209</f>
        <v>62852</v>
      </c>
      <c r="E28" s="693">
        <f t="shared" si="54"/>
        <v>63748</v>
      </c>
      <c r="F28" s="693">
        <f t="shared" si="54"/>
        <v>63638</v>
      </c>
      <c r="G28" s="693">
        <f t="shared" si="54"/>
        <v>63935</v>
      </c>
      <c r="H28" s="693">
        <f t="shared" si="54"/>
        <v>57476</v>
      </c>
      <c r="I28" s="693">
        <f t="shared" si="54"/>
        <v>59411</v>
      </c>
      <c r="J28" s="693">
        <f t="shared" ref="J28:K28" si="55">J209</f>
        <v>58416</v>
      </c>
      <c r="K28" s="693">
        <f t="shared" si="55"/>
        <v>60204</v>
      </c>
      <c r="L28" s="693">
        <f t="shared" ref="L28" si="56">L209</f>
        <v>60993</v>
      </c>
      <c r="N28" s="202" t="s">
        <v>6211</v>
      </c>
    </row>
    <row r="29" spans="1:14">
      <c r="D29" s="694"/>
      <c r="E29" s="694"/>
      <c r="F29" s="694"/>
      <c r="G29" s="694"/>
      <c r="H29" s="694"/>
      <c r="I29" s="694"/>
      <c r="J29" s="694"/>
      <c r="K29" s="694"/>
      <c r="L29" s="694"/>
    </row>
    <row r="30" spans="1:14">
      <c r="A30" s="202" t="s">
        <v>6213</v>
      </c>
      <c r="D30" s="694">
        <f t="shared" ref="D30:I30" si="57">D210</f>
        <v>22959</v>
      </c>
      <c r="E30" s="694">
        <f t="shared" si="57"/>
        <v>23221</v>
      </c>
      <c r="F30" s="694">
        <f t="shared" si="57"/>
        <v>23365</v>
      </c>
      <c r="G30" s="694">
        <f t="shared" si="57"/>
        <v>23595</v>
      </c>
      <c r="H30" s="694">
        <f t="shared" si="57"/>
        <v>22708</v>
      </c>
      <c r="I30" s="694">
        <f t="shared" si="57"/>
        <v>23291</v>
      </c>
      <c r="J30" s="694">
        <f t="shared" ref="J30:K30" si="58">J210</f>
        <v>23366</v>
      </c>
      <c r="K30" s="694">
        <f t="shared" si="58"/>
        <v>24607</v>
      </c>
      <c r="L30" s="694">
        <f t="shared" ref="L30" si="59">L210</f>
        <v>24958</v>
      </c>
      <c r="N30" s="202" t="s">
        <v>6211</v>
      </c>
    </row>
    <row r="31" spans="1:14" ht="15.75" thickBot="1">
      <c r="D31" s="696">
        <f t="shared" ref="D31:I31" si="60">D247</f>
        <v>59093</v>
      </c>
      <c r="E31" s="696">
        <f t="shared" si="60"/>
        <v>59735</v>
      </c>
      <c r="F31" s="696">
        <f t="shared" si="60"/>
        <v>60663</v>
      </c>
      <c r="G31" s="696">
        <f t="shared" si="60"/>
        <v>61441</v>
      </c>
      <c r="H31" s="696">
        <f t="shared" si="60"/>
        <v>61470</v>
      </c>
      <c r="I31" s="696">
        <f t="shared" si="60"/>
        <v>58510</v>
      </c>
      <c r="J31" s="696">
        <f t="shared" ref="J31:K31" si="61">J247</f>
        <v>61061</v>
      </c>
      <c r="K31" s="696">
        <f t="shared" si="61"/>
        <v>64206</v>
      </c>
      <c r="L31" s="696">
        <f t="shared" ref="L31" si="62">L247</f>
        <v>62558</v>
      </c>
      <c r="N31" s="202" t="s">
        <v>6207</v>
      </c>
    </row>
    <row r="32" spans="1:14" ht="15.75" thickBot="1">
      <c r="D32" s="696">
        <f t="shared" ref="D32:I32" si="63">D30+D31</f>
        <v>82052</v>
      </c>
      <c r="E32" s="696">
        <f t="shared" si="63"/>
        <v>82956</v>
      </c>
      <c r="F32" s="696">
        <f t="shared" si="63"/>
        <v>84028</v>
      </c>
      <c r="G32" s="696">
        <f t="shared" si="63"/>
        <v>85036</v>
      </c>
      <c r="H32" s="696">
        <f t="shared" si="63"/>
        <v>84178</v>
      </c>
      <c r="I32" s="696">
        <f t="shared" si="63"/>
        <v>81801</v>
      </c>
      <c r="J32" s="696">
        <f t="shared" ref="J32:K32" si="64">J30+J31</f>
        <v>84427</v>
      </c>
      <c r="K32" s="696">
        <f t="shared" si="64"/>
        <v>88813</v>
      </c>
      <c r="L32" s="696">
        <f t="shared" ref="L32" si="65">L30+L31</f>
        <v>87516</v>
      </c>
    </row>
    <row r="33" spans="1:17">
      <c r="D33" s="694"/>
      <c r="E33" s="694"/>
      <c r="F33" s="694"/>
      <c r="G33" s="694"/>
      <c r="H33" s="694"/>
      <c r="I33" s="694"/>
      <c r="J33" s="694"/>
      <c r="K33" s="694"/>
      <c r="L33" s="694"/>
    </row>
    <row r="34" spans="1:17">
      <c r="A34" s="202" t="s">
        <v>6214</v>
      </c>
      <c r="D34" s="693">
        <f t="shared" ref="D34:I34" si="66">D128</f>
        <v>28510</v>
      </c>
      <c r="E34" s="693">
        <f t="shared" si="66"/>
        <v>28585</v>
      </c>
      <c r="F34" s="693">
        <f t="shared" si="66"/>
        <v>28575</v>
      </c>
      <c r="G34" s="693">
        <f t="shared" si="66"/>
        <v>28707</v>
      </c>
      <c r="H34" s="693">
        <f t="shared" si="66"/>
        <v>28242</v>
      </c>
      <c r="I34" s="693">
        <f t="shared" si="66"/>
        <v>28761</v>
      </c>
      <c r="J34" s="693">
        <f t="shared" ref="J34:K34" si="67">J128</f>
        <v>27963</v>
      </c>
      <c r="K34" s="693">
        <f t="shared" si="67"/>
        <v>29089</v>
      </c>
      <c r="L34" s="693">
        <f t="shared" ref="L34" si="68">L128</f>
        <v>29334</v>
      </c>
      <c r="N34" s="202" t="s">
        <v>7981</v>
      </c>
    </row>
    <row r="35" spans="1:17" ht="15.75" thickBot="1">
      <c r="D35" s="696">
        <f t="shared" ref="D35:I35" si="69">D276</f>
        <v>48287</v>
      </c>
      <c r="E35" s="696">
        <f t="shared" si="69"/>
        <v>48263</v>
      </c>
      <c r="F35" s="696">
        <f t="shared" si="69"/>
        <v>48714</v>
      </c>
      <c r="G35" s="696">
        <f t="shared" si="69"/>
        <v>48115</v>
      </c>
      <c r="H35" s="696">
        <f t="shared" si="69"/>
        <v>44791</v>
      </c>
      <c r="I35" s="696">
        <f t="shared" si="69"/>
        <v>47364</v>
      </c>
      <c r="J35" s="696">
        <f t="shared" ref="J35:K35" si="70">J276</f>
        <v>46953</v>
      </c>
      <c r="K35" s="696">
        <f t="shared" si="70"/>
        <v>49334</v>
      </c>
      <c r="L35" s="696">
        <f t="shared" ref="L35" si="71">L276</f>
        <v>48979</v>
      </c>
      <c r="N35" s="202" t="s">
        <v>6208</v>
      </c>
    </row>
    <row r="36" spans="1:17" ht="15.75" thickBot="1">
      <c r="D36" s="696">
        <f t="shared" ref="D36:I36" si="72">D34+D35</f>
        <v>76797</v>
      </c>
      <c r="E36" s="696">
        <f t="shared" si="72"/>
        <v>76848</v>
      </c>
      <c r="F36" s="696">
        <f t="shared" si="72"/>
        <v>77289</v>
      </c>
      <c r="G36" s="696">
        <f t="shared" si="72"/>
        <v>76822</v>
      </c>
      <c r="H36" s="696">
        <f t="shared" si="72"/>
        <v>73033</v>
      </c>
      <c r="I36" s="696">
        <f t="shared" si="72"/>
        <v>76125</v>
      </c>
      <c r="J36" s="696">
        <f t="shared" ref="J36:K36" si="73">J34+J35</f>
        <v>74916</v>
      </c>
      <c r="K36" s="696">
        <f t="shared" si="73"/>
        <v>78423</v>
      </c>
      <c r="L36" s="696">
        <f t="shared" ref="L36" si="74">L34+L35</f>
        <v>78313</v>
      </c>
    </row>
    <row r="37" spans="1:17">
      <c r="D37" s="694"/>
      <c r="E37" s="694"/>
      <c r="F37" s="694"/>
      <c r="G37" s="694"/>
      <c r="H37" s="694"/>
      <c r="I37" s="694"/>
      <c r="J37" s="694"/>
      <c r="K37" s="694"/>
      <c r="L37" s="694"/>
    </row>
    <row r="38" spans="1:17">
      <c r="A38" s="202" t="s">
        <v>8697</v>
      </c>
      <c r="D38" s="693">
        <f t="shared" ref="D38:I38" si="75">D17+D22+D24+D26+D28+D32+D36</f>
        <v>502147</v>
      </c>
      <c r="E38" s="693">
        <f t="shared" si="75"/>
        <v>506628</v>
      </c>
      <c r="F38" s="693">
        <f t="shared" si="75"/>
        <v>509202</v>
      </c>
      <c r="G38" s="693">
        <f t="shared" si="75"/>
        <v>512665</v>
      </c>
      <c r="H38" s="693">
        <f t="shared" si="75"/>
        <v>495114</v>
      </c>
      <c r="I38" s="693">
        <f t="shared" si="75"/>
        <v>495992</v>
      </c>
      <c r="J38" s="693">
        <f t="shared" ref="J38:K38" si="76">J17+J22+J24+J26+J28+J32+J36</f>
        <v>493571</v>
      </c>
      <c r="K38" s="693">
        <f t="shared" si="76"/>
        <v>510314</v>
      </c>
      <c r="L38" s="693">
        <f t="shared" ref="L38" si="77">L17+L22+L24+L26+L28+L32+L36</f>
        <v>512350</v>
      </c>
    </row>
    <row r="39" spans="1:17">
      <c r="D39" s="694"/>
      <c r="E39" s="694"/>
      <c r="F39" s="694"/>
      <c r="G39" s="694"/>
      <c r="H39" s="694"/>
      <c r="I39" s="694"/>
      <c r="J39" s="694"/>
      <c r="K39" s="694"/>
      <c r="L39" s="694"/>
    </row>
    <row r="40" spans="1:17">
      <c r="A40" s="202" t="s">
        <v>8698</v>
      </c>
      <c r="D40" s="693">
        <f t="shared" ref="D40:I40" si="78">MAX(D17,D22,D24,D26,D28,D32,D36)-MIN(D17,D22,D24,D26,D28,D32,D36)</f>
        <v>20303</v>
      </c>
      <c r="E40" s="693">
        <f t="shared" si="78"/>
        <v>20861</v>
      </c>
      <c r="F40" s="693">
        <f t="shared" si="78"/>
        <v>22220</v>
      </c>
      <c r="G40" s="693">
        <f t="shared" si="78"/>
        <v>23004</v>
      </c>
      <c r="H40" s="693">
        <f t="shared" si="78"/>
        <v>26702</v>
      </c>
      <c r="I40" s="693">
        <f t="shared" si="78"/>
        <v>24052</v>
      </c>
      <c r="J40" s="693">
        <f t="shared" ref="J40:K40" si="79">MAX(J17,J22,J24,J26,J28,J32,J36)-MIN(J17,J22,J24,J26,J28,J32,J36)</f>
        <v>28422</v>
      </c>
      <c r="K40" s="693">
        <f t="shared" si="79"/>
        <v>31350</v>
      </c>
      <c r="L40" s="693">
        <f t="shared" ref="L40" si="80">MAX(L17,L22,L24,L26,L28,L32,L36)-MIN(L17,L22,L24,L26,L28,L32,L36)</f>
        <v>29192</v>
      </c>
    </row>
    <row r="41" spans="1:17">
      <c r="D41" s="694"/>
      <c r="E41" s="694"/>
      <c r="F41" s="694"/>
      <c r="G41" s="694"/>
      <c r="H41" s="694"/>
      <c r="I41" s="694"/>
      <c r="J41" s="694"/>
      <c r="K41" s="694"/>
      <c r="L41" s="694"/>
    </row>
    <row r="42" spans="1:17">
      <c r="A42" s="202" t="s">
        <v>8701</v>
      </c>
      <c r="D42" s="693">
        <f t="shared" ref="D42:I42" si="81">STDEVP(D17,D22,D24,D26,D28,D32,D36)</f>
        <v>7192.9550794864699</v>
      </c>
      <c r="E42" s="693">
        <f t="shared" si="81"/>
        <v>7272.7227728418356</v>
      </c>
      <c r="F42" s="693">
        <f t="shared" si="81"/>
        <v>7639.6033260629338</v>
      </c>
      <c r="G42" s="693">
        <f t="shared" si="81"/>
        <v>7794.1036583262539</v>
      </c>
      <c r="H42" s="693">
        <f t="shared" si="81"/>
        <v>9232.6494085956074</v>
      </c>
      <c r="I42" s="693">
        <f t="shared" si="81"/>
        <v>8694.6339937753728</v>
      </c>
      <c r="J42" s="693">
        <f t="shared" ref="J42:K42" si="82">STDEVP(J17,J22,J24,J26,J28,J32,J36)</f>
        <v>9758.9843503830052</v>
      </c>
      <c r="K42" s="693">
        <f t="shared" si="82"/>
        <v>10430.436917297102</v>
      </c>
      <c r="L42" s="693">
        <f t="shared" ref="L42" si="83">STDEVP(L17,L22,L24,L26,L28,L32,L36)</f>
        <v>9905.204770776847</v>
      </c>
    </row>
    <row r="43" spans="1:17">
      <c r="A43" s="202"/>
      <c r="D43" s="693"/>
      <c r="E43" s="693"/>
      <c r="F43" s="693"/>
      <c r="G43" s="693"/>
      <c r="H43" s="693"/>
      <c r="I43" s="693"/>
      <c r="J43" s="693"/>
      <c r="K43" s="693"/>
      <c r="L43" s="693"/>
    </row>
    <row r="44" spans="1:17">
      <c r="A44" s="202"/>
      <c r="D44" s="698"/>
      <c r="E44" s="698"/>
      <c r="F44" s="698"/>
      <c r="G44" s="698"/>
      <c r="H44" s="698"/>
      <c r="I44" s="698"/>
      <c r="J44" s="698"/>
      <c r="K44" s="698"/>
      <c r="L44" s="698"/>
    </row>
    <row r="45" spans="1:17">
      <c r="E45" s="42" t="s">
        <v>2303</v>
      </c>
      <c r="F45" s="42"/>
      <c r="G45" s="42"/>
      <c r="H45" s="42"/>
      <c r="I45" s="42"/>
      <c r="J45" s="42"/>
      <c r="K45" s="42"/>
      <c r="L45" s="42"/>
      <c r="N45" s="109" t="s">
        <v>13319</v>
      </c>
    </row>
    <row r="46" spans="1:17">
      <c r="D46" s="692">
        <v>2010</v>
      </c>
      <c r="E46" s="692">
        <v>2011</v>
      </c>
      <c r="F46" s="692">
        <v>2012</v>
      </c>
      <c r="G46" s="692">
        <v>2013</v>
      </c>
      <c r="H46" s="692">
        <v>2014</v>
      </c>
      <c r="I46" s="692">
        <v>2015</v>
      </c>
      <c r="J46" s="692">
        <v>2016</v>
      </c>
      <c r="K46" s="692">
        <v>2017</v>
      </c>
      <c r="L46" s="692">
        <v>2018</v>
      </c>
      <c r="M46" s="111"/>
      <c r="N46" s="112" t="s">
        <v>2304</v>
      </c>
    </row>
    <row r="47" spans="1:17">
      <c r="A47" s="202" t="s">
        <v>6215</v>
      </c>
      <c r="C47" s="202"/>
      <c r="D47" s="693">
        <f t="shared" ref="D47:I47" si="84">SUM(D48:D59)</f>
        <v>41659</v>
      </c>
      <c r="E47" s="693">
        <f t="shared" si="84"/>
        <v>42372</v>
      </c>
      <c r="F47" s="693">
        <f t="shared" si="84"/>
        <v>42779</v>
      </c>
      <c r="G47" s="693">
        <f t="shared" si="84"/>
        <v>43438</v>
      </c>
      <c r="H47" s="693">
        <f t="shared" si="84"/>
        <v>42829</v>
      </c>
      <c r="I47" s="693">
        <f t="shared" si="84"/>
        <v>42278</v>
      </c>
      <c r="J47" s="693">
        <f>SUM(J48:J59)</f>
        <v>43281</v>
      </c>
      <c r="K47" s="693">
        <f>SUM(K48:K59)</f>
        <v>43333</v>
      </c>
      <c r="L47" s="693">
        <f>SUM(L48:L59)</f>
        <v>43899</v>
      </c>
    </row>
    <row r="48" spans="1:17">
      <c r="A48" s="699">
        <v>1</v>
      </c>
      <c r="B48" s="202" t="s">
        <v>6216</v>
      </c>
      <c r="C48" s="4" t="s">
        <v>15197</v>
      </c>
      <c r="D48" s="693">
        <v>41659</v>
      </c>
      <c r="E48" s="693">
        <v>42372</v>
      </c>
      <c r="F48" s="693">
        <v>42779</v>
      </c>
      <c r="G48" s="30">
        <v>43438</v>
      </c>
      <c r="H48" s="30">
        <v>42829</v>
      </c>
      <c r="I48" s="30">
        <v>42278</v>
      </c>
      <c r="J48" s="30">
        <v>5043</v>
      </c>
      <c r="K48" s="30">
        <v>4963</v>
      </c>
      <c r="L48" s="30">
        <v>4950</v>
      </c>
      <c r="N48" s="202" t="s">
        <v>7980</v>
      </c>
      <c r="O48" s="4"/>
      <c r="Q48" s="4"/>
    </row>
    <row r="49" spans="1:17">
      <c r="A49" s="699">
        <v>2</v>
      </c>
      <c r="B49" s="202" t="s">
        <v>7725</v>
      </c>
      <c r="C49" s="4" t="s">
        <v>15205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3092</v>
      </c>
      <c r="K49" s="30">
        <v>3011</v>
      </c>
      <c r="L49" s="30">
        <v>2979</v>
      </c>
      <c r="N49" s="202" t="s">
        <v>7980</v>
      </c>
      <c r="O49" s="4"/>
      <c r="Q49" s="4"/>
    </row>
    <row r="50" spans="1:17">
      <c r="A50" s="699">
        <v>3</v>
      </c>
      <c r="B50" s="202" t="s">
        <v>6217</v>
      </c>
      <c r="C50" s="4" t="s">
        <v>15206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3079</v>
      </c>
      <c r="K50" s="30">
        <v>3054</v>
      </c>
      <c r="L50" s="30">
        <v>3087</v>
      </c>
      <c r="N50" s="202" t="s">
        <v>7980</v>
      </c>
      <c r="O50" s="4"/>
      <c r="Q50" s="4"/>
    </row>
    <row r="51" spans="1:17">
      <c r="A51" s="699">
        <v>4</v>
      </c>
      <c r="B51" s="202" t="s">
        <v>15198</v>
      </c>
      <c r="C51" s="4" t="s">
        <v>15207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4230</v>
      </c>
      <c r="K51" s="30">
        <v>4244</v>
      </c>
      <c r="L51" s="30">
        <v>4246</v>
      </c>
      <c r="N51" s="202" t="s">
        <v>7980</v>
      </c>
      <c r="O51" s="4"/>
      <c r="Q51" s="4"/>
    </row>
    <row r="52" spans="1:17">
      <c r="A52" s="699">
        <v>5</v>
      </c>
      <c r="B52" s="691" t="s">
        <v>15199</v>
      </c>
      <c r="C52" s="4" t="s">
        <v>15208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4645</v>
      </c>
      <c r="K52" s="30">
        <v>4562</v>
      </c>
      <c r="L52" s="30">
        <v>4578</v>
      </c>
      <c r="N52" s="202" t="s">
        <v>7980</v>
      </c>
      <c r="O52" s="4"/>
      <c r="Q52" s="4"/>
    </row>
    <row r="53" spans="1:17">
      <c r="A53" s="699">
        <v>6</v>
      </c>
      <c r="B53" s="202" t="s">
        <v>6218</v>
      </c>
      <c r="C53" s="4" t="s">
        <v>15209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4969</v>
      </c>
      <c r="K53" s="30">
        <v>4907</v>
      </c>
      <c r="L53" s="30">
        <v>4878</v>
      </c>
      <c r="N53" s="202" t="s">
        <v>7980</v>
      </c>
      <c r="O53" s="4"/>
      <c r="Q53" s="4"/>
    </row>
    <row r="54" spans="1:17">
      <c r="A54" s="699">
        <v>7</v>
      </c>
      <c r="B54" s="202" t="s">
        <v>15200</v>
      </c>
      <c r="C54" s="4" t="s">
        <v>15210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2600</v>
      </c>
      <c r="K54" s="30">
        <v>2620</v>
      </c>
      <c r="L54" s="30">
        <v>3022</v>
      </c>
      <c r="N54" s="202" t="s">
        <v>7980</v>
      </c>
      <c r="O54" s="4"/>
      <c r="Q54" s="4"/>
    </row>
    <row r="55" spans="1:17">
      <c r="A55" s="699">
        <v>8</v>
      </c>
      <c r="B55" s="202" t="s">
        <v>15201</v>
      </c>
      <c r="C55" s="4" t="s">
        <v>15211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4872</v>
      </c>
      <c r="K55" s="30">
        <v>4818</v>
      </c>
      <c r="L55" s="30">
        <v>4466</v>
      </c>
      <c r="N55" s="202" t="s">
        <v>7980</v>
      </c>
      <c r="O55" s="4"/>
      <c r="Q55" s="4"/>
    </row>
    <row r="56" spans="1:17">
      <c r="A56" s="699">
        <v>9</v>
      </c>
      <c r="B56" s="202" t="s">
        <v>6219</v>
      </c>
      <c r="C56" s="4" t="s">
        <v>15212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3596</v>
      </c>
      <c r="K56" s="30">
        <v>3510</v>
      </c>
      <c r="L56" s="30">
        <v>3560</v>
      </c>
      <c r="N56" s="202" t="s">
        <v>7980</v>
      </c>
      <c r="O56" s="4"/>
      <c r="Q56" s="4"/>
    </row>
    <row r="57" spans="1:17">
      <c r="A57" s="699">
        <v>10</v>
      </c>
      <c r="B57" s="202" t="s">
        <v>6220</v>
      </c>
      <c r="C57" s="4" t="s">
        <v>15213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1439</v>
      </c>
      <c r="K57" s="30">
        <v>1453</v>
      </c>
      <c r="L57" s="30">
        <v>1465</v>
      </c>
      <c r="N57" s="202" t="s">
        <v>7980</v>
      </c>
      <c r="O57" s="4"/>
      <c r="Q57" s="4"/>
    </row>
    <row r="58" spans="1:17">
      <c r="A58" s="699">
        <v>11</v>
      </c>
      <c r="B58" s="202" t="s">
        <v>15202</v>
      </c>
      <c r="C58" s="4" t="s">
        <v>15214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2550</v>
      </c>
      <c r="K58" s="30">
        <v>2734</v>
      </c>
      <c r="L58" s="30">
        <v>2785</v>
      </c>
      <c r="N58" s="202" t="s">
        <v>7980</v>
      </c>
      <c r="O58" s="4"/>
      <c r="Q58" s="4"/>
    </row>
    <row r="59" spans="1:17">
      <c r="A59" s="699">
        <v>12</v>
      </c>
      <c r="B59" s="202" t="s">
        <v>15203</v>
      </c>
      <c r="C59" s="4" t="s">
        <v>15215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3166</v>
      </c>
      <c r="K59" s="30">
        <v>3457</v>
      </c>
      <c r="L59" s="30">
        <v>3883</v>
      </c>
      <c r="N59" s="202" t="s">
        <v>7980</v>
      </c>
      <c r="O59" s="4"/>
      <c r="Q59" s="4"/>
    </row>
    <row r="61" spans="1:17">
      <c r="A61" s="202" t="s">
        <v>4397</v>
      </c>
      <c r="D61" s="693">
        <f t="shared" ref="D61:J61" si="85">SUM(D48:D59)</f>
        <v>41659</v>
      </c>
      <c r="E61" s="693">
        <f t="shared" si="85"/>
        <v>42372</v>
      </c>
      <c r="F61" s="693">
        <f t="shared" si="85"/>
        <v>42779</v>
      </c>
      <c r="G61" s="693">
        <f t="shared" si="85"/>
        <v>43438</v>
      </c>
      <c r="H61" s="693">
        <f t="shared" si="85"/>
        <v>42829</v>
      </c>
      <c r="I61" s="693">
        <f t="shared" si="85"/>
        <v>42278</v>
      </c>
      <c r="J61" s="693">
        <f t="shared" si="85"/>
        <v>43281</v>
      </c>
      <c r="K61" s="693">
        <f t="shared" ref="K61:L61" si="86">SUM(K48:K59)</f>
        <v>43333</v>
      </c>
      <c r="L61" s="693">
        <f t="shared" si="86"/>
        <v>43899</v>
      </c>
    </row>
    <row r="62" spans="1:17">
      <c r="A62" s="202"/>
      <c r="B62" s="202"/>
      <c r="D62" s="700"/>
      <c r="E62" s="700"/>
      <c r="F62" s="700"/>
      <c r="G62" s="700"/>
      <c r="H62" s="700"/>
      <c r="I62" s="700"/>
      <c r="J62" s="700"/>
      <c r="K62" s="700"/>
      <c r="L62" s="700"/>
    </row>
    <row r="63" spans="1:17">
      <c r="A63" s="202" t="s">
        <v>15204</v>
      </c>
      <c r="B63" s="202"/>
      <c r="D63" s="700"/>
      <c r="E63" s="700"/>
      <c r="F63" s="700"/>
      <c r="G63" s="700"/>
      <c r="H63" s="700"/>
      <c r="I63" s="700"/>
      <c r="J63" s="700"/>
      <c r="K63" s="700"/>
      <c r="L63" s="700"/>
    </row>
    <row r="64" spans="1:17">
      <c r="A64" s="202"/>
      <c r="B64" s="202"/>
      <c r="D64" s="700"/>
      <c r="E64" s="700"/>
      <c r="F64" s="700"/>
      <c r="G64" s="700"/>
      <c r="H64" s="700"/>
      <c r="I64" s="700"/>
      <c r="J64" s="700"/>
      <c r="K64" s="700"/>
      <c r="L64" s="700"/>
    </row>
    <row r="65" spans="1:17">
      <c r="A65" s="202"/>
      <c r="B65" s="202"/>
      <c r="D65" s="700"/>
      <c r="E65" s="700"/>
      <c r="F65" s="700"/>
      <c r="G65" s="700"/>
      <c r="H65" s="700"/>
      <c r="I65" s="700"/>
      <c r="J65" s="700"/>
      <c r="K65" s="700"/>
      <c r="L65" s="700"/>
    </row>
    <row r="66" spans="1:17">
      <c r="E66" s="42" t="s">
        <v>2303</v>
      </c>
      <c r="F66" s="42"/>
      <c r="G66" s="42"/>
      <c r="H66" s="42"/>
      <c r="I66" s="42"/>
      <c r="J66" s="42"/>
      <c r="K66" s="42"/>
      <c r="L66" s="42"/>
      <c r="N66" s="109" t="s">
        <v>13319</v>
      </c>
    </row>
    <row r="67" spans="1:17">
      <c r="D67" s="692">
        <v>2010</v>
      </c>
      <c r="E67" s="692">
        <v>2011</v>
      </c>
      <c r="F67" s="692">
        <v>2012</v>
      </c>
      <c r="G67" s="692">
        <v>2013</v>
      </c>
      <c r="H67" s="692">
        <v>2014</v>
      </c>
      <c r="I67" s="692">
        <v>2015</v>
      </c>
      <c r="J67" s="692">
        <v>2016</v>
      </c>
      <c r="K67" s="692">
        <v>2017</v>
      </c>
      <c r="L67" s="692">
        <v>2018</v>
      </c>
      <c r="M67" s="111"/>
      <c r="N67" s="112" t="s">
        <v>2304</v>
      </c>
    </row>
    <row r="68" spans="1:17">
      <c r="A68" s="202" t="s">
        <v>6180</v>
      </c>
      <c r="D68" s="693">
        <f t="shared" ref="D68:I68" si="87">SUM(D69:D84)</f>
        <v>58855</v>
      </c>
      <c r="E68" s="693">
        <f t="shared" si="87"/>
        <v>59174</v>
      </c>
      <c r="F68" s="693">
        <f t="shared" si="87"/>
        <v>59865</v>
      </c>
      <c r="G68" s="693">
        <f t="shared" si="87"/>
        <v>60328</v>
      </c>
      <c r="H68" s="693">
        <f t="shared" si="87"/>
        <v>59363</v>
      </c>
      <c r="I68" s="693">
        <f t="shared" si="87"/>
        <v>59101</v>
      </c>
      <c r="J68" s="693">
        <f t="shared" ref="J68:K68" si="88">SUM(J69:J84)</f>
        <v>58392</v>
      </c>
      <c r="K68" s="693">
        <f t="shared" si="88"/>
        <v>60501</v>
      </c>
      <c r="L68" s="693">
        <f t="shared" ref="L68" si="89">SUM(L69:L84)</f>
        <v>61169</v>
      </c>
    </row>
    <row r="69" spans="1:17">
      <c r="A69" s="699">
        <v>1</v>
      </c>
      <c r="B69" s="202" t="s">
        <v>6181</v>
      </c>
      <c r="C69" s="4" t="s">
        <v>13147</v>
      </c>
      <c r="D69" s="693">
        <v>58855</v>
      </c>
      <c r="E69" s="693">
        <v>59174</v>
      </c>
      <c r="F69" s="693">
        <v>59865</v>
      </c>
      <c r="G69" s="30">
        <v>4864</v>
      </c>
      <c r="H69" s="30">
        <v>4900</v>
      </c>
      <c r="I69" s="30">
        <v>4829</v>
      </c>
      <c r="J69" s="30">
        <v>4731</v>
      </c>
      <c r="K69" s="30">
        <v>4841</v>
      </c>
      <c r="L69" s="30">
        <v>4821</v>
      </c>
      <c r="N69" s="202" t="s">
        <v>7982</v>
      </c>
      <c r="O69" s="930"/>
      <c r="P69" s="951"/>
      <c r="Q69" s="945"/>
    </row>
    <row r="70" spans="1:17">
      <c r="A70" s="699">
        <v>2</v>
      </c>
      <c r="B70" s="202" t="s">
        <v>6182</v>
      </c>
      <c r="C70" s="4" t="s">
        <v>13148</v>
      </c>
      <c r="D70" s="693">
        <v>0</v>
      </c>
      <c r="E70" s="693">
        <v>0</v>
      </c>
      <c r="F70" s="693">
        <v>0</v>
      </c>
      <c r="G70" s="30">
        <v>4935</v>
      </c>
      <c r="H70" s="30">
        <v>4785</v>
      </c>
      <c r="I70" s="30">
        <v>4736</v>
      </c>
      <c r="J70" s="30">
        <v>4624</v>
      </c>
      <c r="K70" s="30">
        <v>4635</v>
      </c>
      <c r="L70" s="30">
        <v>4625</v>
      </c>
      <c r="N70" s="202" t="s">
        <v>7982</v>
      </c>
      <c r="O70" s="930"/>
      <c r="P70" s="951"/>
      <c r="Q70" s="945"/>
    </row>
    <row r="71" spans="1:17">
      <c r="A71" s="699">
        <v>3</v>
      </c>
      <c r="B71" s="202" t="s">
        <v>6183</v>
      </c>
      <c r="C71" s="4" t="s">
        <v>13149</v>
      </c>
      <c r="D71" s="693">
        <v>0</v>
      </c>
      <c r="E71" s="693">
        <v>0</v>
      </c>
      <c r="F71" s="693">
        <v>0</v>
      </c>
      <c r="G71" s="30">
        <v>3594</v>
      </c>
      <c r="H71" s="30">
        <v>3562</v>
      </c>
      <c r="I71" s="30">
        <v>3561</v>
      </c>
      <c r="J71" s="30">
        <v>3559</v>
      </c>
      <c r="K71" s="30">
        <v>3771</v>
      </c>
      <c r="L71" s="30">
        <v>3833</v>
      </c>
      <c r="N71" s="202" t="s">
        <v>7982</v>
      </c>
      <c r="O71" s="930"/>
      <c r="P71" s="951"/>
      <c r="Q71" s="945"/>
    </row>
    <row r="72" spans="1:17">
      <c r="A72" s="699">
        <v>4</v>
      </c>
      <c r="B72" s="202" t="s">
        <v>13146</v>
      </c>
      <c r="C72" s="4" t="s">
        <v>13150</v>
      </c>
      <c r="D72" s="693">
        <v>0</v>
      </c>
      <c r="E72" s="693">
        <v>0</v>
      </c>
      <c r="F72" s="693">
        <v>0</v>
      </c>
      <c r="G72" s="30">
        <v>1971</v>
      </c>
      <c r="H72" s="30">
        <v>1948</v>
      </c>
      <c r="I72" s="30">
        <v>1953</v>
      </c>
      <c r="J72" s="30">
        <v>1936</v>
      </c>
      <c r="K72" s="30">
        <v>1979</v>
      </c>
      <c r="L72" s="30">
        <v>1971</v>
      </c>
      <c r="N72" s="202" t="s">
        <v>7982</v>
      </c>
      <c r="O72" s="930"/>
      <c r="P72" s="951"/>
      <c r="Q72" s="945"/>
    </row>
    <row r="73" spans="1:17">
      <c r="A73" s="699">
        <v>5</v>
      </c>
      <c r="B73" s="202" t="s">
        <v>2797</v>
      </c>
      <c r="C73" s="4" t="s">
        <v>13151</v>
      </c>
      <c r="D73" s="693">
        <v>0</v>
      </c>
      <c r="E73" s="693">
        <v>0</v>
      </c>
      <c r="F73" s="693">
        <v>0</v>
      </c>
      <c r="G73" s="30">
        <v>5358</v>
      </c>
      <c r="H73" s="30">
        <v>5224</v>
      </c>
      <c r="I73" s="30">
        <v>5230</v>
      </c>
      <c r="J73" s="30">
        <v>5262</v>
      </c>
      <c r="K73" s="30">
        <v>5394</v>
      </c>
      <c r="L73" s="30">
        <v>5428</v>
      </c>
      <c r="N73" s="202" t="s">
        <v>7982</v>
      </c>
      <c r="O73" s="930"/>
      <c r="P73" s="951"/>
      <c r="Q73" s="945"/>
    </row>
    <row r="74" spans="1:17">
      <c r="A74" s="699">
        <v>6</v>
      </c>
      <c r="B74" s="202" t="s">
        <v>2798</v>
      </c>
      <c r="C74" s="4" t="s">
        <v>13152</v>
      </c>
      <c r="D74" s="693">
        <v>0</v>
      </c>
      <c r="E74" s="693">
        <v>0</v>
      </c>
      <c r="F74" s="693">
        <v>0</v>
      </c>
      <c r="G74" s="30">
        <v>4544</v>
      </c>
      <c r="H74" s="30">
        <v>4305</v>
      </c>
      <c r="I74" s="30">
        <v>4264</v>
      </c>
      <c r="J74" s="30">
        <v>4120</v>
      </c>
      <c r="K74" s="30">
        <v>4154</v>
      </c>
      <c r="L74" s="30">
        <v>4076</v>
      </c>
      <c r="N74" s="202" t="s">
        <v>7982</v>
      </c>
      <c r="O74" s="930"/>
      <c r="P74" s="951"/>
      <c r="Q74" s="945"/>
    </row>
    <row r="75" spans="1:17">
      <c r="A75" s="699">
        <v>7</v>
      </c>
      <c r="B75" s="202" t="s">
        <v>6129</v>
      </c>
      <c r="C75" s="4" t="s">
        <v>13153</v>
      </c>
      <c r="D75" s="693">
        <v>0</v>
      </c>
      <c r="E75" s="693">
        <v>0</v>
      </c>
      <c r="F75" s="693">
        <v>0</v>
      </c>
      <c r="G75" s="30">
        <v>4155</v>
      </c>
      <c r="H75" s="30">
        <v>4090</v>
      </c>
      <c r="I75" s="30">
        <v>4003</v>
      </c>
      <c r="J75" s="30">
        <v>3942</v>
      </c>
      <c r="K75" s="30">
        <v>4257</v>
      </c>
      <c r="L75" s="30">
        <v>4369</v>
      </c>
      <c r="N75" s="202" t="s">
        <v>7982</v>
      </c>
      <c r="O75" s="930"/>
      <c r="P75" s="951"/>
      <c r="Q75" s="945"/>
    </row>
    <row r="76" spans="1:17">
      <c r="A76" s="699">
        <v>8</v>
      </c>
      <c r="B76" s="202" t="s">
        <v>2799</v>
      </c>
      <c r="C76" s="4" t="s">
        <v>13154</v>
      </c>
      <c r="D76" s="693">
        <v>0</v>
      </c>
      <c r="E76" s="693">
        <v>0</v>
      </c>
      <c r="F76" s="693">
        <v>0</v>
      </c>
      <c r="G76" s="30">
        <v>5312</v>
      </c>
      <c r="H76" s="30">
        <v>5112</v>
      </c>
      <c r="I76" s="30">
        <v>5142</v>
      </c>
      <c r="J76" s="30">
        <v>5046</v>
      </c>
      <c r="K76" s="30">
        <v>5217</v>
      </c>
      <c r="L76" s="30">
        <v>5383</v>
      </c>
      <c r="N76" s="202" t="s">
        <v>7982</v>
      </c>
      <c r="O76" s="930"/>
      <c r="P76" s="951"/>
      <c r="Q76" s="945"/>
    </row>
    <row r="77" spans="1:17">
      <c r="A77" s="699">
        <v>9</v>
      </c>
      <c r="B77" s="202" t="s">
        <v>2800</v>
      </c>
      <c r="C77" s="4" t="s">
        <v>13155</v>
      </c>
      <c r="D77" s="693">
        <v>0</v>
      </c>
      <c r="E77" s="693">
        <v>0</v>
      </c>
      <c r="F77" s="693">
        <v>0</v>
      </c>
      <c r="G77" s="30">
        <v>3450</v>
      </c>
      <c r="H77" s="30">
        <v>3422</v>
      </c>
      <c r="I77" s="30">
        <v>3448</v>
      </c>
      <c r="J77" s="30">
        <v>3722</v>
      </c>
      <c r="K77" s="30">
        <v>3694</v>
      </c>
      <c r="L77" s="30">
        <v>3892</v>
      </c>
      <c r="N77" s="202" t="s">
        <v>7982</v>
      </c>
      <c r="O77" s="930"/>
      <c r="P77" s="951"/>
      <c r="Q77" s="945"/>
    </row>
    <row r="78" spans="1:17">
      <c r="A78" s="699">
        <v>10</v>
      </c>
      <c r="B78" s="202" t="s">
        <v>7875</v>
      </c>
      <c r="C78" s="4" t="s">
        <v>13156</v>
      </c>
      <c r="D78" s="693">
        <v>0</v>
      </c>
      <c r="E78" s="693">
        <v>0</v>
      </c>
      <c r="F78" s="693">
        <v>0</v>
      </c>
      <c r="G78" s="30">
        <v>1893</v>
      </c>
      <c r="H78" s="30">
        <v>1881</v>
      </c>
      <c r="I78" s="30">
        <v>1912</v>
      </c>
      <c r="J78" s="30">
        <v>1905</v>
      </c>
      <c r="K78" s="30">
        <v>1941</v>
      </c>
      <c r="L78" s="30">
        <v>1924</v>
      </c>
      <c r="N78" s="202" t="s">
        <v>7982</v>
      </c>
      <c r="O78" s="930"/>
      <c r="P78" s="951"/>
      <c r="Q78" s="945"/>
    </row>
    <row r="79" spans="1:17">
      <c r="A79" s="699">
        <v>11</v>
      </c>
      <c r="B79" s="202" t="s">
        <v>1126</v>
      </c>
      <c r="C79" s="4" t="s">
        <v>13157</v>
      </c>
      <c r="D79" s="693">
        <v>0</v>
      </c>
      <c r="E79" s="693">
        <v>0</v>
      </c>
      <c r="F79" s="693">
        <v>0</v>
      </c>
      <c r="G79" s="30">
        <v>3470</v>
      </c>
      <c r="H79" s="30">
        <v>3426</v>
      </c>
      <c r="I79" s="30">
        <v>3357</v>
      </c>
      <c r="J79" s="30">
        <v>3027</v>
      </c>
      <c r="K79" s="30">
        <v>3562</v>
      </c>
      <c r="L79" s="30">
        <v>3870</v>
      </c>
      <c r="N79" s="202" t="s">
        <v>7982</v>
      </c>
      <c r="O79" s="930"/>
      <c r="P79" s="951"/>
      <c r="Q79" s="945"/>
    </row>
    <row r="80" spans="1:17">
      <c r="A80" s="699">
        <v>12</v>
      </c>
      <c r="B80" s="202" t="s">
        <v>1127</v>
      </c>
      <c r="C80" s="4" t="s">
        <v>13158</v>
      </c>
      <c r="D80" s="693">
        <v>0</v>
      </c>
      <c r="E80" s="693">
        <v>0</v>
      </c>
      <c r="F80" s="693">
        <v>0</v>
      </c>
      <c r="G80" s="30">
        <v>1621</v>
      </c>
      <c r="H80" s="30">
        <v>1572</v>
      </c>
      <c r="I80" s="30">
        <v>1581</v>
      </c>
      <c r="J80" s="30">
        <v>1594</v>
      </c>
      <c r="K80" s="30">
        <v>1662</v>
      </c>
      <c r="L80" s="30">
        <v>1640</v>
      </c>
      <c r="N80" s="202" t="s">
        <v>7982</v>
      </c>
      <c r="O80" s="930"/>
      <c r="P80" s="951"/>
      <c r="Q80" s="945"/>
    </row>
    <row r="81" spans="1:17">
      <c r="A81" s="699">
        <v>13</v>
      </c>
      <c r="B81" s="202" t="s">
        <v>3123</v>
      </c>
      <c r="C81" s="4" t="s">
        <v>13159</v>
      </c>
      <c r="D81" s="693">
        <v>0</v>
      </c>
      <c r="E81" s="693">
        <v>0</v>
      </c>
      <c r="F81" s="693">
        <v>0</v>
      </c>
      <c r="G81" s="30">
        <v>5021</v>
      </c>
      <c r="H81" s="30">
        <v>5002</v>
      </c>
      <c r="I81" s="30">
        <v>4971</v>
      </c>
      <c r="J81" s="30">
        <v>4947</v>
      </c>
      <c r="K81" s="30">
        <v>5112</v>
      </c>
      <c r="L81" s="30">
        <v>5035</v>
      </c>
      <c r="N81" s="202" t="s">
        <v>7982</v>
      </c>
      <c r="O81" s="930"/>
      <c r="P81" s="951"/>
      <c r="Q81" s="945"/>
    </row>
    <row r="82" spans="1:17">
      <c r="A82" s="699">
        <v>14</v>
      </c>
      <c r="B82" s="202" t="s">
        <v>1128</v>
      </c>
      <c r="C82" s="4" t="s">
        <v>13160</v>
      </c>
      <c r="D82" s="693">
        <v>0</v>
      </c>
      <c r="E82" s="693">
        <v>0</v>
      </c>
      <c r="F82" s="693">
        <v>0</v>
      </c>
      <c r="G82" s="30">
        <v>3228</v>
      </c>
      <c r="H82" s="30">
        <v>3292</v>
      </c>
      <c r="I82" s="30">
        <v>3265</v>
      </c>
      <c r="J82" s="30">
        <v>3253</v>
      </c>
      <c r="K82" s="30">
        <v>3326</v>
      </c>
      <c r="L82" s="30">
        <v>3377</v>
      </c>
      <c r="N82" s="202" t="s">
        <v>7982</v>
      </c>
      <c r="O82" s="930"/>
      <c r="P82" s="951"/>
      <c r="Q82" s="945"/>
    </row>
    <row r="83" spans="1:17">
      <c r="A83" s="699">
        <v>15</v>
      </c>
      <c r="B83" s="202" t="s">
        <v>1129</v>
      </c>
      <c r="C83" s="4" t="s">
        <v>13161</v>
      </c>
      <c r="D83" s="693">
        <v>0</v>
      </c>
      <c r="E83" s="693">
        <v>0</v>
      </c>
      <c r="F83" s="693">
        <v>0</v>
      </c>
      <c r="G83" s="30">
        <v>5316</v>
      </c>
      <c r="H83" s="30">
        <v>5288</v>
      </c>
      <c r="I83" s="30">
        <v>5280</v>
      </c>
      <c r="J83" s="30">
        <v>5201</v>
      </c>
      <c r="K83" s="30">
        <v>5367</v>
      </c>
      <c r="L83" s="30">
        <v>5352</v>
      </c>
      <c r="N83" s="202" t="s">
        <v>7982</v>
      </c>
      <c r="O83" s="930"/>
      <c r="P83" s="951"/>
      <c r="Q83" s="945"/>
    </row>
    <row r="84" spans="1:17">
      <c r="A84" s="699">
        <v>16</v>
      </c>
      <c r="B84" s="202" t="s">
        <v>1130</v>
      </c>
      <c r="C84" s="4" t="s">
        <v>13162</v>
      </c>
      <c r="D84" s="693">
        <v>0</v>
      </c>
      <c r="E84" s="693">
        <v>0</v>
      </c>
      <c r="F84" s="693">
        <v>0</v>
      </c>
      <c r="G84" s="31">
        <v>1596</v>
      </c>
      <c r="H84" s="31">
        <v>1554</v>
      </c>
      <c r="I84" s="31">
        <v>1569</v>
      </c>
      <c r="J84" s="31">
        <v>1523</v>
      </c>
      <c r="K84" s="31">
        <v>1589</v>
      </c>
      <c r="L84" s="31">
        <v>1573</v>
      </c>
      <c r="N84" s="202" t="s">
        <v>7982</v>
      </c>
      <c r="O84" s="946"/>
      <c r="P84" s="951"/>
      <c r="Q84" s="945"/>
    </row>
    <row r="86" spans="1:17">
      <c r="A86" s="202" t="s">
        <v>1131</v>
      </c>
      <c r="D86" s="693">
        <f t="shared" ref="D86:I86" si="90">SUM(D69:D84)</f>
        <v>58855</v>
      </c>
      <c r="E86" s="693">
        <f t="shared" si="90"/>
        <v>59174</v>
      </c>
      <c r="F86" s="693">
        <f t="shared" si="90"/>
        <v>59865</v>
      </c>
      <c r="G86" s="693">
        <f t="shared" si="90"/>
        <v>60328</v>
      </c>
      <c r="H86" s="693">
        <f t="shared" si="90"/>
        <v>59363</v>
      </c>
      <c r="I86" s="693">
        <f t="shared" si="90"/>
        <v>59101</v>
      </c>
      <c r="J86" s="693">
        <f t="shared" ref="J86:K86" si="91">SUM(J69:J84)</f>
        <v>58392</v>
      </c>
      <c r="K86" s="693">
        <f t="shared" si="91"/>
        <v>60501</v>
      </c>
      <c r="L86" s="693">
        <f t="shared" ref="L86" si="92">SUM(L69:L84)</f>
        <v>61169</v>
      </c>
    </row>
    <row r="87" spans="1:17">
      <c r="A87" s="202"/>
      <c r="B87" s="202"/>
      <c r="C87" s="202"/>
      <c r="D87" s="700"/>
      <c r="E87" s="700"/>
      <c r="F87" s="700"/>
      <c r="G87" s="700"/>
      <c r="H87" s="700"/>
      <c r="I87" s="700"/>
      <c r="J87" s="700"/>
      <c r="K87" s="700"/>
      <c r="L87" s="700"/>
    </row>
    <row r="88" spans="1:17">
      <c r="A88" s="202" t="s">
        <v>13145</v>
      </c>
      <c r="B88" s="202"/>
      <c r="C88" s="202"/>
      <c r="D88" s="700"/>
      <c r="E88" s="700"/>
      <c r="F88" s="700"/>
      <c r="G88" s="700"/>
      <c r="H88" s="700"/>
      <c r="I88" s="700"/>
      <c r="J88" s="700"/>
      <c r="K88" s="700"/>
      <c r="L88" s="700"/>
    </row>
    <row r="89" spans="1:17">
      <c r="A89" s="202"/>
      <c r="B89" s="202"/>
      <c r="D89" s="700"/>
      <c r="E89" s="700"/>
      <c r="F89" s="700"/>
      <c r="G89" s="700"/>
      <c r="H89" s="700"/>
      <c r="I89" s="700"/>
      <c r="J89" s="700"/>
      <c r="K89" s="700"/>
      <c r="L89" s="700"/>
    </row>
    <row r="90" spans="1:17">
      <c r="A90" s="202"/>
      <c r="B90" s="202"/>
      <c r="D90" s="700"/>
      <c r="E90" s="700"/>
      <c r="F90" s="700"/>
      <c r="G90" s="700"/>
      <c r="H90" s="700"/>
      <c r="I90" s="700"/>
      <c r="J90" s="700"/>
      <c r="K90" s="700"/>
      <c r="L90" s="700"/>
    </row>
    <row r="91" spans="1:17">
      <c r="E91" s="42" t="s">
        <v>2303</v>
      </c>
      <c r="F91" s="42"/>
      <c r="G91" s="42"/>
      <c r="H91" s="42"/>
      <c r="I91" s="42"/>
      <c r="J91" s="42"/>
      <c r="K91" s="42"/>
      <c r="L91" s="42"/>
      <c r="N91" s="109" t="s">
        <v>13319</v>
      </c>
    </row>
    <row r="92" spans="1:17">
      <c r="D92" s="692">
        <v>2010</v>
      </c>
      <c r="E92" s="692">
        <v>2011</v>
      </c>
      <c r="F92" s="692">
        <v>2012</v>
      </c>
      <c r="G92" s="692">
        <v>2013</v>
      </c>
      <c r="H92" s="692">
        <v>2014</v>
      </c>
      <c r="I92" s="692">
        <v>2015</v>
      </c>
      <c r="J92" s="692">
        <v>2016</v>
      </c>
      <c r="K92" s="692">
        <v>2017</v>
      </c>
      <c r="L92" s="692">
        <v>2018</v>
      </c>
      <c r="M92" s="111"/>
      <c r="N92" s="112" t="s">
        <v>2304</v>
      </c>
    </row>
    <row r="93" spans="1:17">
      <c r="A93" s="202" t="s">
        <v>1132</v>
      </c>
      <c r="D93" s="693">
        <f>SUM(D94:D97)+D99+D100+D102+D103+D105+D106+SUM(D108:D121)+SUM(D123:D125)</f>
        <v>65126</v>
      </c>
      <c r="E93" s="693">
        <f t="shared" ref="E93:J93" si="93">SUM(E94:E97)+E99+E100+E102+E103+E105+E106+SUM(E108:E121)+SUM(E123:E125)</f>
        <v>65681</v>
      </c>
      <c r="F93" s="693">
        <f t="shared" si="93"/>
        <v>65584</v>
      </c>
      <c r="G93" s="693">
        <f t="shared" si="93"/>
        <v>65940</v>
      </c>
      <c r="H93" s="693">
        <f t="shared" si="93"/>
        <v>64986</v>
      </c>
      <c r="I93" s="693">
        <f t="shared" si="93"/>
        <v>66036</v>
      </c>
      <c r="J93" s="693">
        <f t="shared" si="93"/>
        <v>64731</v>
      </c>
      <c r="K93" s="693">
        <f t="shared" ref="K93:L93" si="94">SUM(K94:K97)+K99+K100+K102+K103+K105+K106+SUM(K108:K121)+SUM(K123:K125)</f>
        <v>66896</v>
      </c>
      <c r="L93" s="693">
        <f t="shared" si="94"/>
        <v>67376</v>
      </c>
    </row>
    <row r="94" spans="1:17">
      <c r="A94" s="699">
        <v>1</v>
      </c>
      <c r="B94" s="202" t="s">
        <v>1133</v>
      </c>
      <c r="C94" s="4" t="s">
        <v>11423</v>
      </c>
      <c r="D94" s="693">
        <v>1542</v>
      </c>
      <c r="E94" s="693">
        <v>1549</v>
      </c>
      <c r="F94" s="693">
        <v>1546</v>
      </c>
      <c r="G94" s="30">
        <v>1555</v>
      </c>
      <c r="H94" s="30">
        <v>1545</v>
      </c>
      <c r="I94" s="30">
        <v>1575</v>
      </c>
      <c r="J94" s="30">
        <v>1568</v>
      </c>
      <c r="K94" s="30">
        <v>1609</v>
      </c>
      <c r="L94" s="30">
        <v>1612</v>
      </c>
      <c r="N94" s="202" t="s">
        <v>7980</v>
      </c>
      <c r="O94" s="4"/>
      <c r="Q94" s="4"/>
    </row>
    <row r="95" spans="1:17">
      <c r="A95" s="699">
        <v>2</v>
      </c>
      <c r="B95" s="202" t="s">
        <v>1134</v>
      </c>
      <c r="C95" s="4" t="s">
        <v>11424</v>
      </c>
      <c r="D95" s="693">
        <v>1664</v>
      </c>
      <c r="E95" s="693">
        <v>1682</v>
      </c>
      <c r="F95" s="693">
        <v>1671</v>
      </c>
      <c r="G95" s="30">
        <v>1668</v>
      </c>
      <c r="H95" s="30">
        <v>1633</v>
      </c>
      <c r="I95" s="30">
        <v>1664</v>
      </c>
      <c r="J95" s="30">
        <v>1626</v>
      </c>
      <c r="K95" s="30">
        <v>1693</v>
      </c>
      <c r="L95" s="30">
        <v>1680</v>
      </c>
      <c r="N95" s="202" t="s">
        <v>7980</v>
      </c>
      <c r="O95" s="4"/>
      <c r="Q95" s="4"/>
    </row>
    <row r="96" spans="1:17">
      <c r="A96" s="699">
        <v>3</v>
      </c>
      <c r="B96" s="202" t="s">
        <v>1135</v>
      </c>
      <c r="C96" s="921" t="s">
        <v>15716</v>
      </c>
      <c r="D96" s="693">
        <v>0</v>
      </c>
      <c r="E96" s="693">
        <v>0</v>
      </c>
      <c r="F96" s="693">
        <v>0</v>
      </c>
      <c r="G96" s="693">
        <v>0</v>
      </c>
      <c r="H96" s="693">
        <v>0</v>
      </c>
      <c r="I96" s="693">
        <v>0</v>
      </c>
      <c r="J96" s="31">
        <v>0</v>
      </c>
      <c r="K96" s="31">
        <v>0</v>
      </c>
      <c r="L96" s="31">
        <v>0</v>
      </c>
      <c r="N96" s="691" t="s">
        <v>7980</v>
      </c>
      <c r="O96" s="4"/>
      <c r="Q96" s="4"/>
    </row>
    <row r="97" spans="1:17" ht="15.75" thickBot="1">
      <c r="A97" s="699"/>
      <c r="B97" s="202"/>
      <c r="C97" s="921" t="s">
        <v>15716</v>
      </c>
      <c r="D97" s="696">
        <v>2969</v>
      </c>
      <c r="E97" s="696">
        <v>2971</v>
      </c>
      <c r="F97" s="696">
        <v>2971</v>
      </c>
      <c r="G97" s="905">
        <v>2994</v>
      </c>
      <c r="H97" s="905">
        <v>2954</v>
      </c>
      <c r="I97" s="905">
        <v>3011</v>
      </c>
      <c r="J97" s="905">
        <v>2940</v>
      </c>
      <c r="K97" s="806">
        <v>3070</v>
      </c>
      <c r="L97" s="806">
        <v>3173</v>
      </c>
      <c r="N97" s="202" t="s">
        <v>6214</v>
      </c>
      <c r="O97" s="4"/>
      <c r="Q97" s="4"/>
    </row>
    <row r="98" spans="1:17" ht="15.75" thickBot="1">
      <c r="A98" s="699"/>
      <c r="B98" s="202"/>
      <c r="C98" s="921" t="s">
        <v>15716</v>
      </c>
      <c r="D98" s="701">
        <f>D96+D97</f>
        <v>2969</v>
      </c>
      <c r="E98" s="701">
        <f t="shared" ref="E98:L98" si="95">E96+E97</f>
        <v>2971</v>
      </c>
      <c r="F98" s="701">
        <f t="shared" si="95"/>
        <v>2971</v>
      </c>
      <c r="G98" s="701">
        <f t="shared" si="95"/>
        <v>2994</v>
      </c>
      <c r="H98" s="701">
        <f t="shared" si="95"/>
        <v>2954</v>
      </c>
      <c r="I98" s="701">
        <f t="shared" si="95"/>
        <v>3011</v>
      </c>
      <c r="J98" s="701">
        <f t="shared" si="95"/>
        <v>2940</v>
      </c>
      <c r="K98" s="701">
        <f t="shared" si="95"/>
        <v>3070</v>
      </c>
      <c r="L98" s="701">
        <f t="shared" si="95"/>
        <v>3173</v>
      </c>
      <c r="N98" s="202"/>
      <c r="O98" s="4"/>
      <c r="Q98" s="4"/>
    </row>
    <row r="99" spans="1:17">
      <c r="A99" s="699">
        <v>4</v>
      </c>
      <c r="B99" s="202" t="s">
        <v>1041</v>
      </c>
      <c r="C99" s="921" t="s">
        <v>15717</v>
      </c>
      <c r="D99" s="693">
        <v>0</v>
      </c>
      <c r="E99" s="693">
        <v>0</v>
      </c>
      <c r="F99" s="693">
        <v>0</v>
      </c>
      <c r="G99" s="693">
        <v>0</v>
      </c>
      <c r="H99" s="693">
        <v>0</v>
      </c>
      <c r="I99" s="693">
        <v>0</v>
      </c>
      <c r="J99" s="693">
        <v>0</v>
      </c>
      <c r="K99" s="693">
        <v>0</v>
      </c>
      <c r="L99" s="693">
        <v>0</v>
      </c>
      <c r="N99" s="691" t="s">
        <v>7980</v>
      </c>
      <c r="O99" s="4"/>
      <c r="Q99" s="4"/>
    </row>
    <row r="100" spans="1:17" ht="15.75" thickBot="1">
      <c r="A100" s="699"/>
      <c r="B100" s="202"/>
      <c r="C100" s="921" t="s">
        <v>15717</v>
      </c>
      <c r="D100" s="693">
        <v>3404</v>
      </c>
      <c r="E100" s="693">
        <v>3458</v>
      </c>
      <c r="F100" s="693">
        <v>3504</v>
      </c>
      <c r="G100" s="31">
        <v>3512</v>
      </c>
      <c r="H100" s="31">
        <v>3543</v>
      </c>
      <c r="I100" s="31">
        <v>3482</v>
      </c>
      <c r="J100" s="31">
        <v>3463</v>
      </c>
      <c r="K100" s="31">
        <v>3671</v>
      </c>
      <c r="L100" s="31">
        <v>3784</v>
      </c>
      <c r="N100" s="202" t="s">
        <v>6214</v>
      </c>
      <c r="O100" s="4"/>
      <c r="Q100" s="4"/>
    </row>
    <row r="101" spans="1:17" ht="15.75" thickBot="1">
      <c r="A101" s="699"/>
      <c r="B101" s="202"/>
      <c r="C101" s="921" t="s">
        <v>15717</v>
      </c>
      <c r="D101" s="701">
        <f>D99+D100</f>
        <v>3404</v>
      </c>
      <c r="E101" s="701">
        <f t="shared" ref="E101" si="96">E99+E100</f>
        <v>3458</v>
      </c>
      <c r="F101" s="701">
        <f t="shared" ref="F101" si="97">F99+F100</f>
        <v>3504</v>
      </c>
      <c r="G101" s="701">
        <f t="shared" ref="G101" si="98">G99+G100</f>
        <v>3512</v>
      </c>
      <c r="H101" s="701">
        <f t="shared" ref="H101" si="99">H99+H100</f>
        <v>3543</v>
      </c>
      <c r="I101" s="701">
        <f t="shared" ref="I101" si="100">I99+I100</f>
        <v>3482</v>
      </c>
      <c r="J101" s="701">
        <f t="shared" ref="J101:L101" si="101">J99+J100</f>
        <v>3463</v>
      </c>
      <c r="K101" s="701">
        <f t="shared" si="101"/>
        <v>3671</v>
      </c>
      <c r="L101" s="701">
        <f t="shared" si="101"/>
        <v>3784</v>
      </c>
      <c r="N101" s="202"/>
      <c r="O101" s="4"/>
      <c r="Q101" s="4"/>
    </row>
    <row r="102" spans="1:17">
      <c r="A102" s="699">
        <v>5</v>
      </c>
      <c r="B102" s="202" t="s">
        <v>1042</v>
      </c>
      <c r="C102" s="921" t="s">
        <v>15718</v>
      </c>
      <c r="D102" s="693">
        <v>3350</v>
      </c>
      <c r="E102" s="693">
        <v>3351</v>
      </c>
      <c r="F102" s="693">
        <v>3347</v>
      </c>
      <c r="G102" s="30">
        <v>3377</v>
      </c>
      <c r="H102" s="30">
        <v>3236</v>
      </c>
      <c r="I102" s="30">
        <v>3184</v>
      </c>
      <c r="J102" s="30">
        <v>3119</v>
      </c>
      <c r="K102" s="30">
        <v>3254</v>
      </c>
      <c r="L102" s="30">
        <v>3239</v>
      </c>
      <c r="N102" s="202" t="s">
        <v>7980</v>
      </c>
      <c r="O102" s="4"/>
      <c r="Q102" s="4"/>
    </row>
    <row r="103" spans="1:17" ht="15.75" thickBot="1">
      <c r="A103" s="699"/>
      <c r="B103" s="202"/>
      <c r="C103" s="921" t="s">
        <v>15718</v>
      </c>
      <c r="D103" s="696">
        <v>0</v>
      </c>
      <c r="E103" s="696">
        <v>0</v>
      </c>
      <c r="F103" s="696">
        <v>0</v>
      </c>
      <c r="G103" s="899">
        <v>0</v>
      </c>
      <c r="H103" s="899">
        <v>0</v>
      </c>
      <c r="I103" s="899">
        <v>0</v>
      </c>
      <c r="J103" s="899">
        <v>0</v>
      </c>
      <c r="K103" s="30">
        <v>0</v>
      </c>
      <c r="L103" s="30">
        <v>0</v>
      </c>
      <c r="N103" s="202" t="s">
        <v>6214</v>
      </c>
      <c r="O103" s="4"/>
      <c r="Q103" s="4"/>
    </row>
    <row r="104" spans="1:17" ht="15.75" thickBot="1">
      <c r="A104" s="699"/>
      <c r="B104" s="202"/>
      <c r="C104" s="921" t="s">
        <v>15718</v>
      </c>
      <c r="D104" s="701">
        <f>D102+D103</f>
        <v>3350</v>
      </c>
      <c r="E104" s="701">
        <f t="shared" ref="E104:L104" si="102">E102+E103</f>
        <v>3351</v>
      </c>
      <c r="F104" s="701">
        <f t="shared" si="102"/>
        <v>3347</v>
      </c>
      <c r="G104" s="701">
        <f t="shared" si="102"/>
        <v>3377</v>
      </c>
      <c r="H104" s="701">
        <f t="shared" si="102"/>
        <v>3236</v>
      </c>
      <c r="I104" s="701">
        <f t="shared" si="102"/>
        <v>3184</v>
      </c>
      <c r="J104" s="701">
        <f t="shared" si="102"/>
        <v>3119</v>
      </c>
      <c r="K104" s="701">
        <f t="shared" si="102"/>
        <v>3254</v>
      </c>
      <c r="L104" s="701">
        <f t="shared" si="102"/>
        <v>3239</v>
      </c>
      <c r="N104" s="202"/>
      <c r="O104" s="4"/>
      <c r="Q104" s="4"/>
    </row>
    <row r="105" spans="1:17">
      <c r="A105" s="699">
        <v>6</v>
      </c>
      <c r="B105" s="202" t="s">
        <v>1043</v>
      </c>
      <c r="C105" s="921" t="s">
        <v>15719</v>
      </c>
      <c r="D105" s="693">
        <v>2920</v>
      </c>
      <c r="E105" s="693">
        <v>2979</v>
      </c>
      <c r="F105" s="693">
        <v>2970</v>
      </c>
      <c r="G105" s="30">
        <v>3068</v>
      </c>
      <c r="H105" s="30">
        <v>3107</v>
      </c>
      <c r="I105" s="30">
        <v>3237</v>
      </c>
      <c r="J105" s="30">
        <v>3212</v>
      </c>
      <c r="K105" s="30">
        <v>3316</v>
      </c>
      <c r="L105" s="30">
        <v>3272</v>
      </c>
      <c r="N105" s="202" t="s">
        <v>7980</v>
      </c>
      <c r="O105" s="4"/>
      <c r="Q105" s="4"/>
    </row>
    <row r="106" spans="1:17" ht="15.75" thickBot="1">
      <c r="A106" s="699"/>
      <c r="B106" s="202"/>
      <c r="C106" s="921" t="s">
        <v>15719</v>
      </c>
      <c r="D106" s="696">
        <v>0</v>
      </c>
      <c r="E106" s="696">
        <v>0</v>
      </c>
      <c r="F106" s="696">
        <v>0</v>
      </c>
      <c r="G106" s="899">
        <v>0</v>
      </c>
      <c r="H106" s="899">
        <v>0</v>
      </c>
      <c r="I106" s="899">
        <v>0</v>
      </c>
      <c r="J106" s="899">
        <v>0</v>
      </c>
      <c r="K106" s="30">
        <v>0</v>
      </c>
      <c r="L106" s="30">
        <v>0</v>
      </c>
      <c r="N106" s="202" t="s">
        <v>6214</v>
      </c>
      <c r="O106" s="4"/>
      <c r="Q106" s="4"/>
    </row>
    <row r="107" spans="1:17" ht="15.75" thickBot="1">
      <c r="A107" s="699"/>
      <c r="B107" s="202"/>
      <c r="C107" s="921" t="s">
        <v>15719</v>
      </c>
      <c r="D107" s="701">
        <f>D105+D106</f>
        <v>2920</v>
      </c>
      <c r="E107" s="701">
        <f t="shared" ref="E107" si="103">E105+E106</f>
        <v>2979</v>
      </c>
      <c r="F107" s="701">
        <f t="shared" ref="F107" si="104">F105+F106</f>
        <v>2970</v>
      </c>
      <c r="G107" s="701">
        <f t="shared" ref="G107" si="105">G105+G106</f>
        <v>3068</v>
      </c>
      <c r="H107" s="701">
        <f t="shared" ref="H107" si="106">H105+H106</f>
        <v>3107</v>
      </c>
      <c r="I107" s="701">
        <f t="shared" ref="I107" si="107">I105+I106</f>
        <v>3237</v>
      </c>
      <c r="J107" s="701">
        <f t="shared" ref="J107:L107" si="108">J105+J106</f>
        <v>3212</v>
      </c>
      <c r="K107" s="701">
        <f t="shared" si="108"/>
        <v>3316</v>
      </c>
      <c r="L107" s="701">
        <f t="shared" si="108"/>
        <v>3272</v>
      </c>
      <c r="N107" s="202"/>
      <c r="O107" s="4"/>
      <c r="Q107" s="4"/>
    </row>
    <row r="108" spans="1:17">
      <c r="A108" s="699">
        <v>7</v>
      </c>
      <c r="B108" s="691" t="s">
        <v>1137</v>
      </c>
      <c r="C108" s="4" t="s">
        <v>11425</v>
      </c>
      <c r="D108" s="693">
        <v>1521</v>
      </c>
      <c r="E108" s="693">
        <v>1534</v>
      </c>
      <c r="F108" s="693">
        <v>1493</v>
      </c>
      <c r="G108" s="30">
        <v>1520</v>
      </c>
      <c r="H108" s="30">
        <v>1632</v>
      </c>
      <c r="I108" s="30">
        <v>1702</v>
      </c>
      <c r="J108" s="30">
        <v>1710</v>
      </c>
      <c r="K108" s="30">
        <v>1732</v>
      </c>
      <c r="L108" s="30">
        <v>1735</v>
      </c>
      <c r="N108" s="202" t="s">
        <v>7980</v>
      </c>
      <c r="O108" s="4"/>
      <c r="Q108" s="4"/>
    </row>
    <row r="109" spans="1:17">
      <c r="A109" s="699">
        <v>8</v>
      </c>
      <c r="B109" s="202" t="s">
        <v>1138</v>
      </c>
      <c r="C109" s="4" t="s">
        <v>11426</v>
      </c>
      <c r="D109" s="693">
        <v>1650</v>
      </c>
      <c r="E109" s="693">
        <v>1666</v>
      </c>
      <c r="F109" s="693">
        <v>1680</v>
      </c>
      <c r="G109" s="30">
        <v>1680</v>
      </c>
      <c r="H109" s="30">
        <v>1593</v>
      </c>
      <c r="I109" s="30">
        <v>1635</v>
      </c>
      <c r="J109" s="30">
        <v>1613</v>
      </c>
      <c r="K109" s="30">
        <v>1680</v>
      </c>
      <c r="L109" s="30">
        <v>1706</v>
      </c>
      <c r="N109" s="202" t="s">
        <v>7980</v>
      </c>
      <c r="O109" s="4"/>
      <c r="Q109" s="4"/>
    </row>
    <row r="110" spans="1:17">
      <c r="A110" s="699">
        <v>9</v>
      </c>
      <c r="B110" s="202" t="s">
        <v>1139</v>
      </c>
      <c r="C110" s="4" t="s">
        <v>11427</v>
      </c>
      <c r="D110" s="693">
        <v>1642</v>
      </c>
      <c r="E110" s="693">
        <v>1665</v>
      </c>
      <c r="F110" s="693">
        <v>1660</v>
      </c>
      <c r="G110" s="30">
        <v>1657</v>
      </c>
      <c r="H110" s="30">
        <v>1618</v>
      </c>
      <c r="I110" s="30">
        <v>1617</v>
      </c>
      <c r="J110" s="30">
        <v>1573</v>
      </c>
      <c r="K110" s="30">
        <v>1623</v>
      </c>
      <c r="L110" s="30">
        <v>1614</v>
      </c>
      <c r="N110" s="202" t="s">
        <v>7980</v>
      </c>
      <c r="O110" s="4"/>
      <c r="Q110" s="4"/>
    </row>
    <row r="111" spans="1:17">
      <c r="A111" s="699">
        <v>10</v>
      </c>
      <c r="B111" s="202" t="s">
        <v>1140</v>
      </c>
      <c r="C111" s="4" t="s">
        <v>11428</v>
      </c>
      <c r="D111" s="693">
        <v>4400</v>
      </c>
      <c r="E111" s="693">
        <v>4428</v>
      </c>
      <c r="F111" s="693">
        <v>4497</v>
      </c>
      <c r="G111" s="30">
        <v>4548</v>
      </c>
      <c r="H111" s="30">
        <v>4404</v>
      </c>
      <c r="I111" s="30">
        <v>4432</v>
      </c>
      <c r="J111" s="30">
        <v>4540</v>
      </c>
      <c r="K111" s="30">
        <v>4547</v>
      </c>
      <c r="L111" s="30">
        <v>4663</v>
      </c>
      <c r="N111" s="202" t="s">
        <v>7980</v>
      </c>
      <c r="O111" s="4"/>
      <c r="Q111" s="4"/>
    </row>
    <row r="112" spans="1:17">
      <c r="A112" s="699">
        <v>11</v>
      </c>
      <c r="B112" s="691" t="s">
        <v>1141</v>
      </c>
      <c r="C112" s="4" t="s">
        <v>11429</v>
      </c>
      <c r="D112" s="693">
        <v>1648</v>
      </c>
      <c r="E112" s="693">
        <v>1692</v>
      </c>
      <c r="F112" s="693">
        <v>1693</v>
      </c>
      <c r="G112" s="30">
        <v>1688</v>
      </c>
      <c r="H112" s="30">
        <v>1704</v>
      </c>
      <c r="I112" s="30">
        <v>1742</v>
      </c>
      <c r="J112" s="30">
        <v>1736</v>
      </c>
      <c r="K112" s="30">
        <v>1767</v>
      </c>
      <c r="L112" s="30">
        <v>1795</v>
      </c>
      <c r="N112" s="202" t="s">
        <v>7980</v>
      </c>
      <c r="O112" s="4"/>
      <c r="Q112" s="4"/>
    </row>
    <row r="113" spans="1:17">
      <c r="A113" s="699">
        <v>12</v>
      </c>
      <c r="B113" s="202" t="s">
        <v>1142</v>
      </c>
      <c r="C113" s="921" t="s">
        <v>15720</v>
      </c>
      <c r="D113" s="693">
        <v>3347</v>
      </c>
      <c r="E113" s="693">
        <v>3400</v>
      </c>
      <c r="F113" s="693">
        <v>3393</v>
      </c>
      <c r="G113" s="30">
        <v>3377</v>
      </c>
      <c r="H113" s="30">
        <v>3396</v>
      </c>
      <c r="I113" s="30">
        <v>3430</v>
      </c>
      <c r="J113" s="30">
        <v>3328</v>
      </c>
      <c r="K113" s="30">
        <v>3520</v>
      </c>
      <c r="L113" s="30">
        <v>3541</v>
      </c>
      <c r="N113" s="202" t="s">
        <v>7980</v>
      </c>
      <c r="O113" s="4"/>
      <c r="Q113" s="4"/>
    </row>
    <row r="114" spans="1:17">
      <c r="A114" s="699">
        <v>13</v>
      </c>
      <c r="B114" s="202" t="s">
        <v>1143</v>
      </c>
      <c r="C114" s="921" t="s">
        <v>15721</v>
      </c>
      <c r="D114" s="693">
        <v>3192</v>
      </c>
      <c r="E114" s="693">
        <v>3228</v>
      </c>
      <c r="F114" s="693">
        <v>3154</v>
      </c>
      <c r="G114" s="30">
        <v>3168</v>
      </c>
      <c r="H114" s="30">
        <v>3074</v>
      </c>
      <c r="I114" s="30">
        <v>3119</v>
      </c>
      <c r="J114" s="30">
        <v>3026</v>
      </c>
      <c r="K114" s="30">
        <v>3106</v>
      </c>
      <c r="L114" s="30">
        <v>3155</v>
      </c>
      <c r="N114" s="202" t="s">
        <v>7980</v>
      </c>
      <c r="O114" s="4"/>
      <c r="Q114" s="4"/>
    </row>
    <row r="115" spans="1:17">
      <c r="A115" s="699">
        <v>14</v>
      </c>
      <c r="B115" s="202" t="s">
        <v>1144</v>
      </c>
      <c r="C115" s="921" t="s">
        <v>15722</v>
      </c>
      <c r="D115" s="693">
        <v>3704</v>
      </c>
      <c r="E115" s="693">
        <v>3709</v>
      </c>
      <c r="F115" s="693">
        <v>3693</v>
      </c>
      <c r="G115" s="31">
        <v>3645</v>
      </c>
      <c r="H115" s="31">
        <v>3546</v>
      </c>
      <c r="I115" s="31">
        <v>3682</v>
      </c>
      <c r="J115" s="31">
        <v>3581</v>
      </c>
      <c r="K115" s="31">
        <v>3743</v>
      </c>
      <c r="L115" s="31">
        <v>3682</v>
      </c>
      <c r="N115" s="202" t="s">
        <v>6214</v>
      </c>
      <c r="O115" s="4"/>
      <c r="Q115" s="4"/>
    </row>
    <row r="116" spans="1:17">
      <c r="A116" s="699">
        <v>15</v>
      </c>
      <c r="B116" s="202" t="s">
        <v>1145</v>
      </c>
      <c r="C116" s="921" t="s">
        <v>15723</v>
      </c>
      <c r="D116" s="693">
        <v>5171</v>
      </c>
      <c r="E116" s="693">
        <v>5181</v>
      </c>
      <c r="F116" s="693">
        <v>5205</v>
      </c>
      <c r="G116" s="31">
        <v>5212</v>
      </c>
      <c r="H116" s="31">
        <v>5179</v>
      </c>
      <c r="I116" s="31">
        <v>5391</v>
      </c>
      <c r="J116" s="31">
        <v>5306</v>
      </c>
      <c r="K116" s="31">
        <v>5640</v>
      </c>
      <c r="L116" s="31">
        <v>5668</v>
      </c>
      <c r="N116" s="202" t="s">
        <v>6214</v>
      </c>
      <c r="O116" s="4"/>
      <c r="Q116" s="4"/>
    </row>
    <row r="117" spans="1:17">
      <c r="A117" s="699">
        <v>16</v>
      </c>
      <c r="B117" s="202" t="s">
        <v>1146</v>
      </c>
      <c r="C117" s="921" t="s">
        <v>15724</v>
      </c>
      <c r="D117" s="693">
        <v>5049</v>
      </c>
      <c r="E117" s="693">
        <v>5033</v>
      </c>
      <c r="F117" s="693">
        <v>5005</v>
      </c>
      <c r="G117" s="31">
        <v>5041</v>
      </c>
      <c r="H117" s="31">
        <v>4804</v>
      </c>
      <c r="I117" s="31">
        <v>4983</v>
      </c>
      <c r="J117" s="31">
        <v>4834</v>
      </c>
      <c r="K117" s="31">
        <v>4958</v>
      </c>
      <c r="L117" s="31">
        <v>4902</v>
      </c>
      <c r="N117" s="202" t="s">
        <v>6214</v>
      </c>
      <c r="O117" s="4"/>
      <c r="Q117" s="4"/>
    </row>
    <row r="118" spans="1:17">
      <c r="A118" s="699">
        <v>17</v>
      </c>
      <c r="B118" s="202" t="s">
        <v>1147</v>
      </c>
      <c r="C118" s="921" t="s">
        <v>15725</v>
      </c>
      <c r="D118" s="693">
        <v>3206</v>
      </c>
      <c r="E118" s="693">
        <v>3230</v>
      </c>
      <c r="F118" s="693">
        <v>3242</v>
      </c>
      <c r="G118" s="31">
        <v>3281</v>
      </c>
      <c r="H118" s="31">
        <v>3319</v>
      </c>
      <c r="I118" s="31">
        <v>3240</v>
      </c>
      <c r="J118" s="31">
        <v>3100</v>
      </c>
      <c r="K118" s="31">
        <v>3208</v>
      </c>
      <c r="L118" s="31">
        <v>3330</v>
      </c>
      <c r="N118" s="202" t="s">
        <v>6214</v>
      </c>
      <c r="O118" s="4"/>
      <c r="Q118" s="4"/>
    </row>
    <row r="119" spans="1:17">
      <c r="A119" s="699">
        <v>18</v>
      </c>
      <c r="B119" s="202" t="s">
        <v>1148</v>
      </c>
      <c r="C119" s="4" t="s">
        <v>11430</v>
      </c>
      <c r="D119" s="693">
        <v>5007</v>
      </c>
      <c r="E119" s="693">
        <v>5003</v>
      </c>
      <c r="F119" s="693">
        <v>4955</v>
      </c>
      <c r="G119" s="31">
        <v>5022</v>
      </c>
      <c r="H119" s="31">
        <v>4897</v>
      </c>
      <c r="I119" s="31">
        <v>4972</v>
      </c>
      <c r="J119" s="31">
        <v>4739</v>
      </c>
      <c r="K119" s="31">
        <v>4799</v>
      </c>
      <c r="L119" s="31">
        <v>4795</v>
      </c>
      <c r="N119" s="202" t="s">
        <v>6214</v>
      </c>
      <c r="O119" s="4"/>
      <c r="Q119" s="4"/>
    </row>
    <row r="120" spans="1:17">
      <c r="A120" s="699">
        <v>19</v>
      </c>
      <c r="B120" s="202" t="s">
        <v>1149</v>
      </c>
      <c r="C120" s="921" t="s">
        <v>15726</v>
      </c>
      <c r="D120" s="693">
        <v>1668</v>
      </c>
      <c r="E120" s="693">
        <v>1695</v>
      </c>
      <c r="F120" s="693">
        <v>1711</v>
      </c>
      <c r="G120" s="30">
        <v>1719</v>
      </c>
      <c r="H120" s="30">
        <v>1691</v>
      </c>
      <c r="I120" s="30">
        <v>1732</v>
      </c>
      <c r="J120" s="30">
        <v>1675</v>
      </c>
      <c r="K120" s="30">
        <v>1705</v>
      </c>
      <c r="L120" s="30">
        <v>1680</v>
      </c>
      <c r="N120" s="202" t="s">
        <v>7980</v>
      </c>
      <c r="O120" s="4"/>
      <c r="Q120" s="4"/>
    </row>
    <row r="121" spans="1:17" ht="15.75" thickBot="1">
      <c r="A121" s="699"/>
      <c r="B121" s="202"/>
      <c r="C121" s="921" t="s">
        <v>15726</v>
      </c>
      <c r="D121" s="696">
        <v>0</v>
      </c>
      <c r="E121" s="696">
        <v>0</v>
      </c>
      <c r="F121" s="696">
        <v>0</v>
      </c>
      <c r="G121" s="899">
        <v>0</v>
      </c>
      <c r="H121" s="899">
        <v>0</v>
      </c>
      <c r="I121" s="899">
        <v>0</v>
      </c>
      <c r="J121" s="899">
        <v>0</v>
      </c>
      <c r="K121" s="30">
        <v>0</v>
      </c>
      <c r="L121" s="30">
        <v>0</v>
      </c>
      <c r="N121" s="202" t="s">
        <v>6214</v>
      </c>
      <c r="O121" s="4"/>
      <c r="Q121" s="4"/>
    </row>
    <row r="122" spans="1:17" ht="15.75" thickBot="1">
      <c r="A122" s="699"/>
      <c r="B122" s="202"/>
      <c r="C122" s="921" t="s">
        <v>15726</v>
      </c>
      <c r="D122" s="701">
        <f>D120+D121</f>
        <v>1668</v>
      </c>
      <c r="E122" s="701">
        <f t="shared" ref="E122" si="109">E120+E121</f>
        <v>1695</v>
      </c>
      <c r="F122" s="701">
        <f t="shared" ref="F122" si="110">F120+F121</f>
        <v>1711</v>
      </c>
      <c r="G122" s="701">
        <f t="shared" ref="G122" si="111">G120+G121</f>
        <v>1719</v>
      </c>
      <c r="H122" s="701">
        <f t="shared" ref="H122" si="112">H120+H121</f>
        <v>1691</v>
      </c>
      <c r="I122" s="701">
        <f t="shared" ref="I122" si="113">I120+I121</f>
        <v>1732</v>
      </c>
      <c r="J122" s="701">
        <f t="shared" ref="J122:L122" si="114">J120+J121</f>
        <v>1675</v>
      </c>
      <c r="K122" s="701">
        <f t="shared" si="114"/>
        <v>1705</v>
      </c>
      <c r="L122" s="701">
        <f t="shared" si="114"/>
        <v>1680</v>
      </c>
      <c r="N122" s="202"/>
      <c r="O122" s="4"/>
      <c r="Q122" s="4"/>
    </row>
    <row r="123" spans="1:17">
      <c r="A123" s="699">
        <v>20</v>
      </c>
      <c r="B123" s="202" t="s">
        <v>1150</v>
      </c>
      <c r="C123" s="921" t="s">
        <v>15727</v>
      </c>
      <c r="D123" s="693">
        <v>3386</v>
      </c>
      <c r="E123" s="693">
        <v>3446</v>
      </c>
      <c r="F123" s="693">
        <v>3453</v>
      </c>
      <c r="G123" s="30">
        <v>3474</v>
      </c>
      <c r="H123" s="30">
        <v>3414</v>
      </c>
      <c r="I123" s="30">
        <v>3425</v>
      </c>
      <c r="J123" s="30">
        <v>3372</v>
      </c>
      <c r="K123" s="30">
        <v>3463</v>
      </c>
      <c r="L123" s="30">
        <v>3453</v>
      </c>
      <c r="N123" s="202" t="s">
        <v>7980</v>
      </c>
      <c r="O123" s="4"/>
      <c r="Q123" s="4"/>
    </row>
    <row r="124" spans="1:17">
      <c r="A124" s="699">
        <v>21</v>
      </c>
      <c r="B124" s="202" t="s">
        <v>1151</v>
      </c>
      <c r="C124" s="921" t="s">
        <v>15728</v>
      </c>
      <c r="D124" s="693">
        <v>3026</v>
      </c>
      <c r="E124" s="693">
        <v>3074</v>
      </c>
      <c r="F124" s="693">
        <v>3038</v>
      </c>
      <c r="G124" s="30">
        <v>3044</v>
      </c>
      <c r="H124" s="30">
        <v>3030</v>
      </c>
      <c r="I124" s="30">
        <v>3070</v>
      </c>
      <c r="J124" s="30">
        <v>2999</v>
      </c>
      <c r="K124" s="30">
        <v>3113</v>
      </c>
      <c r="L124" s="30">
        <v>3195</v>
      </c>
      <c r="N124" s="202" t="s">
        <v>7980</v>
      </c>
      <c r="O124" s="4"/>
      <c r="Q124" s="4"/>
    </row>
    <row r="125" spans="1:17">
      <c r="A125" s="699">
        <v>22</v>
      </c>
      <c r="B125" s="202" t="s">
        <v>1129</v>
      </c>
      <c r="C125" s="4" t="s">
        <v>11431</v>
      </c>
      <c r="D125" s="693">
        <v>1660</v>
      </c>
      <c r="E125" s="693">
        <v>1707</v>
      </c>
      <c r="F125" s="693">
        <v>1703</v>
      </c>
      <c r="G125" s="30">
        <v>1690</v>
      </c>
      <c r="H125" s="30">
        <v>1667</v>
      </c>
      <c r="I125" s="30">
        <v>1711</v>
      </c>
      <c r="J125" s="30">
        <v>1671</v>
      </c>
      <c r="K125" s="30">
        <v>1679</v>
      </c>
      <c r="L125" s="30">
        <v>1702</v>
      </c>
      <c r="N125" s="202" t="s">
        <v>7980</v>
      </c>
      <c r="O125" s="4"/>
      <c r="Q125" s="4"/>
    </row>
    <row r="127" spans="1:17">
      <c r="A127" s="202" t="s">
        <v>4397</v>
      </c>
      <c r="D127" s="693">
        <f>SUM(D94:D96)+D99+D102+D105+SUM(D108:D114)+D120+SUM(D123:D125)</f>
        <v>36616</v>
      </c>
      <c r="E127" s="693">
        <f t="shared" ref="E127:J127" si="115">SUM(E94:E96)+E99+E102+E105+SUM(E108:E114)+E120+SUM(E123:E125)</f>
        <v>37096</v>
      </c>
      <c r="F127" s="693">
        <f t="shared" si="115"/>
        <v>37009</v>
      </c>
      <c r="G127" s="693">
        <f t="shared" si="115"/>
        <v>37233</v>
      </c>
      <c r="H127" s="693">
        <f t="shared" si="115"/>
        <v>36744</v>
      </c>
      <c r="I127" s="693">
        <f t="shared" si="115"/>
        <v>37275</v>
      </c>
      <c r="J127" s="693">
        <f t="shared" si="115"/>
        <v>36768</v>
      </c>
      <c r="K127" s="693">
        <f t="shared" ref="K127:L127" si="116">SUM(K94:K96)+K99+K102+K105+SUM(K108:K114)+K120+SUM(K123:K125)</f>
        <v>37807</v>
      </c>
      <c r="L127" s="693">
        <f t="shared" si="116"/>
        <v>38042</v>
      </c>
    </row>
    <row r="128" spans="1:17">
      <c r="A128" s="202" t="s">
        <v>1152</v>
      </c>
      <c r="D128" s="693">
        <f>D97+D100+D103+D106+SUM(D115:D119)+D121</f>
        <v>28510</v>
      </c>
      <c r="E128" s="693">
        <f t="shared" ref="E128:J128" si="117">E97+E100+E103+E106+SUM(E115:E119)+E121</f>
        <v>28585</v>
      </c>
      <c r="F128" s="693">
        <f t="shared" si="117"/>
        <v>28575</v>
      </c>
      <c r="G128" s="693">
        <f t="shared" si="117"/>
        <v>28707</v>
      </c>
      <c r="H128" s="693">
        <f t="shared" si="117"/>
        <v>28242</v>
      </c>
      <c r="I128" s="693">
        <f t="shared" si="117"/>
        <v>28761</v>
      </c>
      <c r="J128" s="693">
        <f t="shared" si="117"/>
        <v>27963</v>
      </c>
      <c r="K128" s="693">
        <f t="shared" ref="K128:L128" si="118">K97+K100+K103+K106+SUM(K115:K119)+K121</f>
        <v>29089</v>
      </c>
      <c r="L128" s="693">
        <f t="shared" si="118"/>
        <v>29334</v>
      </c>
    </row>
    <row r="129" spans="1:17">
      <c r="A129" s="202"/>
      <c r="B129" s="202"/>
      <c r="D129" s="700"/>
      <c r="E129" s="700"/>
      <c r="F129" s="700"/>
      <c r="G129" s="700"/>
      <c r="H129" s="700"/>
      <c r="I129" s="700"/>
      <c r="J129" s="700"/>
      <c r="K129" s="700"/>
      <c r="L129" s="700"/>
    </row>
    <row r="130" spans="1:17">
      <c r="A130" s="202" t="s">
        <v>15714</v>
      </c>
      <c r="B130" s="202"/>
      <c r="D130" s="700"/>
      <c r="E130" s="700"/>
      <c r="F130" s="700"/>
      <c r="G130" s="700"/>
      <c r="H130" s="700"/>
      <c r="I130" s="700"/>
      <c r="J130" s="700"/>
      <c r="K130" s="700"/>
      <c r="L130" s="700"/>
    </row>
    <row r="131" spans="1:17">
      <c r="A131" s="202" t="s">
        <v>15715</v>
      </c>
      <c r="B131" s="202"/>
      <c r="D131" s="700"/>
      <c r="E131" s="700"/>
      <c r="F131" s="700"/>
      <c r="G131" s="700"/>
      <c r="H131" s="700"/>
      <c r="I131" s="700"/>
      <c r="J131" s="700"/>
      <c r="K131" s="700"/>
      <c r="L131" s="700"/>
    </row>
    <row r="132" spans="1:17">
      <c r="A132" s="202"/>
      <c r="B132" s="202"/>
      <c r="D132" s="700"/>
      <c r="E132" s="700"/>
      <c r="F132" s="700"/>
      <c r="G132" s="700"/>
      <c r="H132" s="700"/>
      <c r="I132" s="700"/>
      <c r="J132" s="700"/>
      <c r="K132" s="700"/>
      <c r="L132" s="700"/>
    </row>
    <row r="133" spans="1:17">
      <c r="A133" s="202"/>
      <c r="B133" s="202"/>
      <c r="D133" s="700"/>
      <c r="E133" s="700"/>
      <c r="F133" s="700"/>
      <c r="G133" s="700"/>
      <c r="H133" s="700"/>
      <c r="I133" s="700"/>
      <c r="J133" s="700"/>
      <c r="K133" s="700"/>
      <c r="L133" s="700"/>
    </row>
    <row r="134" spans="1:17">
      <c r="E134" s="42" t="s">
        <v>2303</v>
      </c>
      <c r="F134" s="42"/>
      <c r="G134" s="42"/>
      <c r="H134" s="42"/>
      <c r="I134" s="42"/>
      <c r="J134" s="42"/>
      <c r="K134" s="42"/>
      <c r="L134" s="42"/>
      <c r="N134" s="109" t="s">
        <v>13319</v>
      </c>
    </row>
    <row r="135" spans="1:17">
      <c r="D135" s="692">
        <v>2010</v>
      </c>
      <c r="E135" s="692">
        <v>2011</v>
      </c>
      <c r="F135" s="692">
        <v>2012</v>
      </c>
      <c r="G135" s="692">
        <v>2013</v>
      </c>
      <c r="H135" s="692">
        <v>2014</v>
      </c>
      <c r="I135" s="692">
        <v>2015</v>
      </c>
      <c r="J135" s="692">
        <v>2016</v>
      </c>
      <c r="K135" s="692">
        <v>2017</v>
      </c>
      <c r="L135" s="692">
        <v>2018</v>
      </c>
      <c r="M135" s="111"/>
      <c r="N135" s="112" t="s">
        <v>2304</v>
      </c>
    </row>
    <row r="136" spans="1:17">
      <c r="A136" s="202" t="s">
        <v>1153</v>
      </c>
      <c r="D136" s="693">
        <f t="shared" ref="D136:I136" si="119">SUM(D137:D153)</f>
        <v>68786</v>
      </c>
      <c r="E136" s="693">
        <f t="shared" si="119"/>
        <v>69610</v>
      </c>
      <c r="F136" s="693">
        <f t="shared" si="119"/>
        <v>69842</v>
      </c>
      <c r="G136" s="693">
        <f t="shared" si="119"/>
        <v>70826</v>
      </c>
      <c r="H136" s="693">
        <f t="shared" si="119"/>
        <v>70431</v>
      </c>
      <c r="I136" s="693">
        <f t="shared" si="119"/>
        <v>69424</v>
      </c>
      <c r="J136" s="693">
        <f t="shared" ref="J136:K136" si="120">SUM(J137:J153)</f>
        <v>68279</v>
      </c>
      <c r="K136" s="693">
        <f t="shared" si="120"/>
        <v>69982</v>
      </c>
      <c r="L136" s="693">
        <f t="shared" ref="L136" si="121">SUM(L137:L153)</f>
        <v>70589</v>
      </c>
    </row>
    <row r="137" spans="1:17">
      <c r="A137" s="699">
        <v>1</v>
      </c>
      <c r="B137" s="202" t="s">
        <v>4656</v>
      </c>
      <c r="C137" s="4" t="s">
        <v>11432</v>
      </c>
      <c r="D137" s="693">
        <v>5492</v>
      </c>
      <c r="E137" s="693">
        <v>5580</v>
      </c>
      <c r="F137" s="693">
        <v>5503</v>
      </c>
      <c r="G137" s="30">
        <v>5630</v>
      </c>
      <c r="H137" s="30">
        <v>5375</v>
      </c>
      <c r="I137" s="30">
        <v>5180</v>
      </c>
      <c r="J137" s="30">
        <v>5060</v>
      </c>
      <c r="K137" s="30">
        <v>5159</v>
      </c>
      <c r="L137" s="30">
        <v>5039</v>
      </c>
      <c r="N137" s="202" t="s">
        <v>6209</v>
      </c>
      <c r="O137" s="4"/>
      <c r="Q137" s="4"/>
    </row>
    <row r="138" spans="1:17">
      <c r="A138" s="699">
        <v>2</v>
      </c>
      <c r="B138" s="202" t="s">
        <v>4547</v>
      </c>
      <c r="C138" s="4" t="s">
        <v>11433</v>
      </c>
      <c r="D138" s="693">
        <v>3675</v>
      </c>
      <c r="E138" s="693">
        <v>3734</v>
      </c>
      <c r="F138" s="693">
        <v>3744</v>
      </c>
      <c r="G138" s="30">
        <v>3735</v>
      </c>
      <c r="H138" s="30">
        <v>3688</v>
      </c>
      <c r="I138" s="30">
        <v>3600</v>
      </c>
      <c r="J138" s="30">
        <v>3534</v>
      </c>
      <c r="K138" s="30">
        <v>3478</v>
      </c>
      <c r="L138" s="30">
        <v>3450</v>
      </c>
      <c r="N138" s="202" t="s">
        <v>6209</v>
      </c>
      <c r="O138" s="4"/>
      <c r="Q138" s="4"/>
    </row>
    <row r="139" spans="1:17">
      <c r="A139" s="699">
        <v>3</v>
      </c>
      <c r="B139" s="202" t="s">
        <v>5807</v>
      </c>
      <c r="C139" s="4" t="s">
        <v>11434</v>
      </c>
      <c r="D139" s="693">
        <v>4045</v>
      </c>
      <c r="E139" s="693">
        <v>4088</v>
      </c>
      <c r="F139" s="693">
        <v>4074</v>
      </c>
      <c r="G139" s="30">
        <v>4109</v>
      </c>
      <c r="H139" s="30">
        <v>4070</v>
      </c>
      <c r="I139" s="30">
        <v>4097</v>
      </c>
      <c r="J139" s="30">
        <v>4145</v>
      </c>
      <c r="K139" s="30">
        <v>4372</v>
      </c>
      <c r="L139" s="30">
        <v>4537</v>
      </c>
      <c r="N139" s="202" t="s">
        <v>6209</v>
      </c>
      <c r="O139" s="4"/>
      <c r="Q139" s="4"/>
    </row>
    <row r="140" spans="1:17">
      <c r="A140" s="699">
        <v>4</v>
      </c>
      <c r="B140" s="202" t="s">
        <v>4548</v>
      </c>
      <c r="C140" s="4" t="s">
        <v>13046</v>
      </c>
      <c r="D140" s="693">
        <v>3591</v>
      </c>
      <c r="E140" s="693">
        <v>3596</v>
      </c>
      <c r="F140" s="693">
        <v>3646</v>
      </c>
      <c r="G140" s="30">
        <v>3714</v>
      </c>
      <c r="H140" s="30">
        <v>3694</v>
      </c>
      <c r="I140" s="30">
        <v>3616</v>
      </c>
      <c r="J140" s="30">
        <v>3517</v>
      </c>
      <c r="K140" s="30">
        <v>3532</v>
      </c>
      <c r="L140" s="30">
        <v>3565</v>
      </c>
      <c r="N140" s="202" t="s">
        <v>6209</v>
      </c>
      <c r="O140" s="4"/>
      <c r="Q140" s="4"/>
    </row>
    <row r="141" spans="1:17">
      <c r="A141" s="699">
        <v>5</v>
      </c>
      <c r="B141" s="202" t="s">
        <v>4549</v>
      </c>
      <c r="C141" s="4" t="s">
        <v>11435</v>
      </c>
      <c r="D141" s="693">
        <v>5595</v>
      </c>
      <c r="E141" s="693">
        <v>5600</v>
      </c>
      <c r="F141" s="693">
        <v>5697</v>
      </c>
      <c r="G141" s="30">
        <v>5889</v>
      </c>
      <c r="H141" s="30">
        <v>6161</v>
      </c>
      <c r="I141" s="30">
        <v>6287</v>
      </c>
      <c r="J141" s="30">
        <v>6329</v>
      </c>
      <c r="K141" s="30">
        <v>6730</v>
      </c>
      <c r="L141" s="30">
        <v>6903</v>
      </c>
      <c r="N141" s="202" t="s">
        <v>6209</v>
      </c>
      <c r="O141" s="4"/>
      <c r="Q141" s="4"/>
    </row>
    <row r="142" spans="1:17">
      <c r="A142" s="699">
        <v>6</v>
      </c>
      <c r="B142" s="202" t="s">
        <v>6269</v>
      </c>
      <c r="C142" s="4" t="s">
        <v>11436</v>
      </c>
      <c r="D142" s="693">
        <v>3732</v>
      </c>
      <c r="E142" s="693">
        <v>3965</v>
      </c>
      <c r="F142" s="693">
        <v>4154</v>
      </c>
      <c r="G142" s="30">
        <v>4266</v>
      </c>
      <c r="H142" s="30">
        <v>4366</v>
      </c>
      <c r="I142" s="30">
        <v>4309</v>
      </c>
      <c r="J142" s="30">
        <v>4230</v>
      </c>
      <c r="K142" s="30">
        <v>4451</v>
      </c>
      <c r="L142" s="30">
        <v>4678</v>
      </c>
      <c r="N142" s="202" t="s">
        <v>6209</v>
      </c>
      <c r="O142" s="4"/>
      <c r="Q142" s="4"/>
    </row>
    <row r="143" spans="1:17">
      <c r="A143" s="699">
        <v>7</v>
      </c>
      <c r="B143" s="202" t="s">
        <v>6270</v>
      </c>
      <c r="C143" s="4" t="s">
        <v>11437</v>
      </c>
      <c r="D143" s="693">
        <v>3965</v>
      </c>
      <c r="E143" s="693">
        <v>4004</v>
      </c>
      <c r="F143" s="693">
        <v>3992</v>
      </c>
      <c r="G143" s="30">
        <v>4008</v>
      </c>
      <c r="H143" s="30">
        <v>4011</v>
      </c>
      <c r="I143" s="30">
        <v>3957</v>
      </c>
      <c r="J143" s="30">
        <v>3865</v>
      </c>
      <c r="K143" s="30">
        <v>3884</v>
      </c>
      <c r="L143" s="30">
        <v>3873</v>
      </c>
      <c r="N143" s="202" t="s">
        <v>6209</v>
      </c>
      <c r="O143" s="4"/>
      <c r="Q143" s="4"/>
    </row>
    <row r="144" spans="1:17">
      <c r="A144" s="699">
        <v>8</v>
      </c>
      <c r="B144" s="691" t="s">
        <v>6271</v>
      </c>
      <c r="C144" s="4" t="s">
        <v>11438</v>
      </c>
      <c r="D144" s="693">
        <v>5632</v>
      </c>
      <c r="E144" s="693">
        <v>5601</v>
      </c>
      <c r="F144" s="693">
        <v>5577</v>
      </c>
      <c r="G144" s="30">
        <v>5610</v>
      </c>
      <c r="H144" s="30">
        <v>5517</v>
      </c>
      <c r="I144" s="30">
        <v>5513</v>
      </c>
      <c r="J144" s="30">
        <v>5376</v>
      </c>
      <c r="K144" s="30">
        <v>5422</v>
      </c>
      <c r="L144" s="30">
        <v>5407</v>
      </c>
      <c r="N144" s="202" t="s">
        <v>6209</v>
      </c>
      <c r="O144" s="4"/>
      <c r="Q144" s="4"/>
    </row>
    <row r="145" spans="1:17">
      <c r="A145" s="699">
        <v>9</v>
      </c>
      <c r="B145" s="202" t="s">
        <v>1136</v>
      </c>
      <c r="C145" s="4" t="s">
        <v>11439</v>
      </c>
      <c r="D145" s="693">
        <v>1815</v>
      </c>
      <c r="E145" s="693">
        <v>1879</v>
      </c>
      <c r="F145" s="693">
        <v>1901</v>
      </c>
      <c r="G145" s="30">
        <v>1929</v>
      </c>
      <c r="H145" s="30">
        <v>1865</v>
      </c>
      <c r="I145" s="30">
        <v>1857</v>
      </c>
      <c r="J145" s="30">
        <v>1785</v>
      </c>
      <c r="K145" s="30">
        <v>1803</v>
      </c>
      <c r="L145" s="30">
        <v>1797</v>
      </c>
      <c r="N145" s="202" t="s">
        <v>6209</v>
      </c>
      <c r="O145" s="4"/>
      <c r="Q145" s="4"/>
    </row>
    <row r="146" spans="1:17">
      <c r="A146" s="699">
        <v>10</v>
      </c>
      <c r="B146" s="202" t="s">
        <v>6290</v>
      </c>
      <c r="C146" s="4" t="s">
        <v>11440</v>
      </c>
      <c r="D146" s="693">
        <v>3951</v>
      </c>
      <c r="E146" s="693">
        <v>4028</v>
      </c>
      <c r="F146" s="693">
        <v>3975</v>
      </c>
      <c r="G146" s="30">
        <v>3969</v>
      </c>
      <c r="H146" s="30">
        <v>3959</v>
      </c>
      <c r="I146" s="30">
        <v>3924</v>
      </c>
      <c r="J146" s="30">
        <v>3830</v>
      </c>
      <c r="K146" s="30">
        <v>3852</v>
      </c>
      <c r="L146" s="30">
        <v>3827</v>
      </c>
      <c r="N146" s="202" t="s">
        <v>6209</v>
      </c>
      <c r="O146" s="4"/>
      <c r="Q146" s="4"/>
    </row>
    <row r="147" spans="1:17">
      <c r="A147" s="699">
        <v>11</v>
      </c>
      <c r="B147" s="202" t="s">
        <v>6291</v>
      </c>
      <c r="C147" s="4" t="s">
        <v>13047</v>
      </c>
      <c r="D147" s="693">
        <v>2096</v>
      </c>
      <c r="E147" s="693">
        <v>2089</v>
      </c>
      <c r="F147" s="693">
        <v>2106</v>
      </c>
      <c r="G147" s="30">
        <v>2134</v>
      </c>
      <c r="H147" s="30">
        <v>2079</v>
      </c>
      <c r="I147" s="30">
        <v>2072</v>
      </c>
      <c r="J147" s="30">
        <v>1972</v>
      </c>
      <c r="K147" s="30">
        <v>2044</v>
      </c>
      <c r="L147" s="30">
        <v>2050</v>
      </c>
      <c r="N147" s="202" t="s">
        <v>6209</v>
      </c>
      <c r="O147" s="4"/>
      <c r="Q147" s="4"/>
    </row>
    <row r="148" spans="1:17">
      <c r="A148" s="699">
        <v>12</v>
      </c>
      <c r="B148" s="202" t="s">
        <v>6292</v>
      </c>
      <c r="C148" s="4" t="s">
        <v>11441</v>
      </c>
      <c r="D148" s="693">
        <v>5960</v>
      </c>
      <c r="E148" s="693">
        <v>5967</v>
      </c>
      <c r="F148" s="693">
        <v>5967</v>
      </c>
      <c r="G148" s="30">
        <v>6039</v>
      </c>
      <c r="H148" s="30">
        <v>6071</v>
      </c>
      <c r="I148" s="30">
        <v>6061</v>
      </c>
      <c r="J148" s="30">
        <v>5939</v>
      </c>
      <c r="K148" s="30">
        <v>6157</v>
      </c>
      <c r="L148" s="30">
        <v>6205</v>
      </c>
      <c r="N148" s="202" t="s">
        <v>6209</v>
      </c>
      <c r="O148" s="4"/>
      <c r="Q148" s="4"/>
    </row>
    <row r="149" spans="1:17">
      <c r="A149" s="699">
        <v>13</v>
      </c>
      <c r="B149" s="202" t="s">
        <v>6272</v>
      </c>
      <c r="C149" s="4" t="s">
        <v>11442</v>
      </c>
      <c r="D149" s="693">
        <v>5499</v>
      </c>
      <c r="E149" s="693">
        <v>5484</v>
      </c>
      <c r="F149" s="693">
        <v>5460</v>
      </c>
      <c r="G149" s="30">
        <v>5455</v>
      </c>
      <c r="H149" s="30">
        <v>5431</v>
      </c>
      <c r="I149" s="30">
        <v>5068</v>
      </c>
      <c r="J149" s="30">
        <v>5137</v>
      </c>
      <c r="K149" s="30">
        <v>5220</v>
      </c>
      <c r="L149" s="30">
        <v>5233</v>
      </c>
      <c r="N149" s="202" t="s">
        <v>6209</v>
      </c>
      <c r="O149" s="4"/>
      <c r="Q149" s="4"/>
    </row>
    <row r="150" spans="1:17">
      <c r="A150" s="699">
        <v>14</v>
      </c>
      <c r="B150" s="202" t="s">
        <v>8607</v>
      </c>
      <c r="C150" s="4" t="s">
        <v>11443</v>
      </c>
      <c r="D150" s="693">
        <v>3488</v>
      </c>
      <c r="E150" s="693">
        <v>3582</v>
      </c>
      <c r="F150" s="693">
        <v>3565</v>
      </c>
      <c r="G150" s="30">
        <v>3634</v>
      </c>
      <c r="H150" s="30">
        <v>3609</v>
      </c>
      <c r="I150" s="30">
        <v>3515</v>
      </c>
      <c r="J150" s="30">
        <v>3478</v>
      </c>
      <c r="K150" s="30">
        <v>3598</v>
      </c>
      <c r="L150" s="30">
        <v>3676</v>
      </c>
      <c r="N150" s="202" t="s">
        <v>6209</v>
      </c>
      <c r="O150" s="4"/>
      <c r="Q150" s="4"/>
    </row>
    <row r="151" spans="1:17">
      <c r="A151" s="699">
        <v>15</v>
      </c>
      <c r="B151" s="202" t="s">
        <v>7792</v>
      </c>
      <c r="C151" s="4" t="s">
        <v>11444</v>
      </c>
      <c r="D151" s="693">
        <v>4459</v>
      </c>
      <c r="E151" s="693">
        <v>4575</v>
      </c>
      <c r="F151" s="693">
        <v>4649</v>
      </c>
      <c r="G151" s="30">
        <v>4689</v>
      </c>
      <c r="H151" s="30">
        <v>4654</v>
      </c>
      <c r="I151" s="30">
        <v>4634</v>
      </c>
      <c r="J151" s="30">
        <v>4519</v>
      </c>
      <c r="K151" s="30">
        <v>4614</v>
      </c>
      <c r="L151" s="30">
        <v>4689</v>
      </c>
      <c r="N151" s="202" t="s">
        <v>6209</v>
      </c>
      <c r="O151" s="4"/>
      <c r="Q151" s="4"/>
    </row>
    <row r="152" spans="1:17">
      <c r="A152" s="699">
        <v>16</v>
      </c>
      <c r="B152" s="202" t="s">
        <v>6273</v>
      </c>
      <c r="C152" s="4" t="s">
        <v>11445</v>
      </c>
      <c r="D152" s="693">
        <v>2196</v>
      </c>
      <c r="E152" s="693">
        <v>2207</v>
      </c>
      <c r="F152" s="693">
        <v>2206</v>
      </c>
      <c r="G152" s="31">
        <v>2234</v>
      </c>
      <c r="H152" s="31">
        <v>2242</v>
      </c>
      <c r="I152" s="31">
        <v>2237</v>
      </c>
      <c r="J152" s="31">
        <v>2174</v>
      </c>
      <c r="K152" s="31">
        <v>2248</v>
      </c>
      <c r="L152" s="31">
        <v>2251</v>
      </c>
      <c r="N152" s="202" t="s">
        <v>6209</v>
      </c>
      <c r="O152" s="4"/>
      <c r="Q152" s="4"/>
    </row>
    <row r="153" spans="1:17">
      <c r="A153" s="699">
        <v>17</v>
      </c>
      <c r="B153" s="202" t="s">
        <v>6274</v>
      </c>
      <c r="C153" s="4" t="s">
        <v>11446</v>
      </c>
      <c r="D153" s="693">
        <v>3595</v>
      </c>
      <c r="E153" s="693">
        <v>3631</v>
      </c>
      <c r="F153" s="693">
        <v>3626</v>
      </c>
      <c r="G153" s="31">
        <v>3782</v>
      </c>
      <c r="H153" s="31">
        <v>3639</v>
      </c>
      <c r="I153" s="31">
        <v>3497</v>
      </c>
      <c r="J153" s="31">
        <v>3389</v>
      </c>
      <c r="K153" s="31">
        <v>3418</v>
      </c>
      <c r="L153" s="31">
        <v>3409</v>
      </c>
      <c r="N153" s="202" t="s">
        <v>6209</v>
      </c>
      <c r="O153" s="4"/>
      <c r="Q153" s="4"/>
    </row>
    <row r="154" spans="1:17">
      <c r="C154" s="202"/>
      <c r="D154" s="693"/>
      <c r="E154" s="693"/>
      <c r="F154" s="693"/>
      <c r="G154" s="693"/>
      <c r="H154" s="693"/>
      <c r="I154" s="693"/>
      <c r="J154" s="693"/>
      <c r="K154" s="693"/>
      <c r="L154" s="693"/>
      <c r="N154" s="202"/>
    </row>
    <row r="155" spans="1:17">
      <c r="A155" s="202" t="s">
        <v>6209</v>
      </c>
      <c r="C155" s="202"/>
      <c r="D155" s="693">
        <f t="shared" ref="D155:I155" si="122">SUM(D137:D153)</f>
        <v>68786</v>
      </c>
      <c r="E155" s="693">
        <f t="shared" si="122"/>
        <v>69610</v>
      </c>
      <c r="F155" s="693">
        <f t="shared" si="122"/>
        <v>69842</v>
      </c>
      <c r="G155" s="693">
        <f t="shared" si="122"/>
        <v>70826</v>
      </c>
      <c r="H155" s="693">
        <f t="shared" si="122"/>
        <v>70431</v>
      </c>
      <c r="I155" s="693">
        <f t="shared" si="122"/>
        <v>69424</v>
      </c>
      <c r="J155" s="693">
        <f t="shared" ref="J155:K155" si="123">SUM(J137:J153)</f>
        <v>68279</v>
      </c>
      <c r="K155" s="693">
        <f t="shared" si="123"/>
        <v>69982</v>
      </c>
      <c r="L155" s="693">
        <f t="shared" ref="L155" si="124">SUM(L137:L153)</f>
        <v>70589</v>
      </c>
      <c r="N155" s="202"/>
    </row>
    <row r="156" spans="1:17">
      <c r="A156" s="202"/>
      <c r="B156" s="202"/>
      <c r="C156" s="202"/>
      <c r="D156" s="693"/>
      <c r="E156" s="693"/>
      <c r="F156" s="693"/>
      <c r="G156" s="693"/>
      <c r="H156" s="693"/>
      <c r="I156" s="693"/>
      <c r="J156" s="693"/>
      <c r="K156" s="693"/>
      <c r="L156" s="693"/>
      <c r="N156" s="202"/>
    </row>
    <row r="157" spans="1:17">
      <c r="A157" s="202" t="s">
        <v>13048</v>
      </c>
      <c r="B157" s="202"/>
      <c r="C157" s="202"/>
      <c r="D157" s="693"/>
      <c r="E157" s="693"/>
      <c r="F157" s="693"/>
      <c r="G157" s="693"/>
      <c r="H157" s="693"/>
      <c r="I157" s="693"/>
      <c r="J157" s="693"/>
      <c r="K157" s="693"/>
      <c r="L157" s="693"/>
      <c r="N157" s="202"/>
    </row>
    <row r="158" spans="1:17">
      <c r="A158" s="202" t="s">
        <v>13049</v>
      </c>
      <c r="B158" s="202"/>
      <c r="C158" s="202"/>
      <c r="D158" s="693"/>
      <c r="E158" s="693"/>
      <c r="F158" s="693"/>
      <c r="G158" s="693"/>
      <c r="H158" s="693"/>
      <c r="I158" s="693"/>
      <c r="J158" s="693"/>
      <c r="K158" s="693"/>
      <c r="L158" s="693"/>
      <c r="N158" s="202"/>
    </row>
    <row r="159" spans="1:17">
      <c r="A159" s="202"/>
      <c r="B159" s="202"/>
      <c r="D159" s="700"/>
      <c r="E159" s="700"/>
      <c r="F159" s="700"/>
      <c r="G159" s="700"/>
      <c r="H159" s="700"/>
      <c r="I159" s="700"/>
      <c r="J159" s="700"/>
      <c r="K159" s="700"/>
      <c r="L159" s="700"/>
    </row>
    <row r="160" spans="1:17">
      <c r="A160" s="202"/>
      <c r="B160" s="202"/>
      <c r="D160" s="700"/>
      <c r="E160" s="700"/>
      <c r="F160" s="700"/>
      <c r="G160" s="700"/>
      <c r="H160" s="700"/>
      <c r="I160" s="700"/>
      <c r="J160" s="700"/>
      <c r="K160" s="700"/>
      <c r="L160" s="700"/>
    </row>
    <row r="161" spans="1:17">
      <c r="E161" s="42" t="s">
        <v>2303</v>
      </c>
      <c r="F161" s="42"/>
      <c r="G161" s="42"/>
      <c r="H161" s="42"/>
      <c r="I161" s="42"/>
      <c r="J161" s="42"/>
      <c r="K161" s="42"/>
      <c r="L161" s="42"/>
      <c r="N161" s="109" t="s">
        <v>13319</v>
      </c>
    </row>
    <row r="162" spans="1:17">
      <c r="D162" s="692">
        <v>2010</v>
      </c>
      <c r="E162" s="692">
        <v>2011</v>
      </c>
      <c r="F162" s="692">
        <v>2012</v>
      </c>
      <c r="G162" s="692">
        <v>2013</v>
      </c>
      <c r="H162" s="692">
        <v>2014</v>
      </c>
      <c r="I162" s="692">
        <v>2015</v>
      </c>
      <c r="J162" s="692">
        <v>2016</v>
      </c>
      <c r="K162" s="692">
        <v>2017</v>
      </c>
      <c r="L162" s="692">
        <v>2018</v>
      </c>
      <c r="M162" s="111"/>
      <c r="N162" s="112" t="s">
        <v>2304</v>
      </c>
    </row>
    <row r="163" spans="1:17">
      <c r="A163" s="202" t="s">
        <v>2801</v>
      </c>
      <c r="D163" s="693">
        <f>D164+D165+SUM(D164:D186)+SUM(D188:D190)+SUM(D192:D195)+SUM(D197:D201)+SUM(D203:D206)</f>
        <v>147560</v>
      </c>
      <c r="E163" s="693">
        <f t="shared" ref="E163" si="125">E164+E165+SUM(E164:E186)+SUM(E188:E190)+SUM(E192:E195)+SUM(E197:E201)+SUM(E203:E206)</f>
        <v>149064</v>
      </c>
      <c r="F163" s="693">
        <f t="shared" ref="F163:K163" si="126">F164+F165+SUM(F167:F186)+SUM(F188:F190)+SUM(F192:F195)+SUM(F197:F201)+SUM(F203:F206)</f>
        <v>148811</v>
      </c>
      <c r="G163" s="693">
        <f t="shared" si="126"/>
        <v>149562</v>
      </c>
      <c r="H163" s="693">
        <f t="shared" si="126"/>
        <v>138479</v>
      </c>
      <c r="I163" s="693">
        <f t="shared" si="126"/>
        <v>140451</v>
      </c>
      <c r="J163" s="693">
        <f t="shared" si="126"/>
        <v>137787</v>
      </c>
      <c r="K163" s="693">
        <f t="shared" si="126"/>
        <v>142274</v>
      </c>
      <c r="L163" s="693">
        <f t="shared" ref="L163" si="127">L164+L165+SUM(L167:L186)+SUM(L188:L190)+SUM(L192:L195)+SUM(L197:L201)+SUM(L203:L206)</f>
        <v>144275</v>
      </c>
    </row>
    <row r="164" spans="1:17">
      <c r="A164" s="699">
        <v>1</v>
      </c>
      <c r="B164" s="202" t="s">
        <v>2802</v>
      </c>
      <c r="C164" s="509" t="s">
        <v>12788</v>
      </c>
      <c r="D164" s="693">
        <v>0</v>
      </c>
      <c r="E164" s="693">
        <v>0</v>
      </c>
      <c r="F164" s="693">
        <v>5631</v>
      </c>
      <c r="G164" s="30">
        <v>5756</v>
      </c>
      <c r="H164" s="30">
        <v>5604</v>
      </c>
      <c r="I164" s="30">
        <v>5503</v>
      </c>
      <c r="J164" s="30">
        <v>5233</v>
      </c>
      <c r="K164" s="30">
        <v>5273</v>
      </c>
      <c r="L164" s="30">
        <v>5444</v>
      </c>
      <c r="N164" s="202" t="s">
        <v>6210</v>
      </c>
      <c r="O164" s="4"/>
      <c r="Q164" s="4"/>
    </row>
    <row r="165" spans="1:17" ht="15.75" thickBot="1">
      <c r="A165" s="699"/>
      <c r="B165" s="202"/>
      <c r="C165" s="509" t="s">
        <v>12788</v>
      </c>
      <c r="D165" s="696">
        <v>0</v>
      </c>
      <c r="E165" s="696">
        <v>0</v>
      </c>
      <c r="F165" s="696">
        <v>674</v>
      </c>
      <c r="G165" s="697">
        <v>694</v>
      </c>
      <c r="H165" s="31">
        <v>657</v>
      </c>
      <c r="I165" s="31">
        <v>642</v>
      </c>
      <c r="J165" s="31">
        <v>643</v>
      </c>
      <c r="K165" s="31">
        <v>658</v>
      </c>
      <c r="L165" s="31">
        <v>682</v>
      </c>
      <c r="N165" s="202" t="s">
        <v>6212</v>
      </c>
      <c r="O165" s="4"/>
      <c r="Q165" s="4"/>
    </row>
    <row r="166" spans="1:17" ht="15.75" thickBot="1">
      <c r="A166" s="699"/>
      <c r="B166" s="202"/>
      <c r="C166" s="509" t="s">
        <v>12788</v>
      </c>
      <c r="D166" s="701">
        <f>D164+D165</f>
        <v>0</v>
      </c>
      <c r="E166" s="701">
        <f t="shared" ref="E166:L166" si="128">E164+E165</f>
        <v>0</v>
      </c>
      <c r="F166" s="701">
        <f t="shared" si="128"/>
        <v>6305</v>
      </c>
      <c r="G166" s="701">
        <f t="shared" si="128"/>
        <v>6450</v>
      </c>
      <c r="H166" s="701">
        <f t="shared" si="128"/>
        <v>6261</v>
      </c>
      <c r="I166" s="701">
        <f t="shared" si="128"/>
        <v>6145</v>
      </c>
      <c r="J166" s="701">
        <f t="shared" si="128"/>
        <v>5876</v>
      </c>
      <c r="K166" s="701">
        <f t="shared" si="128"/>
        <v>5931</v>
      </c>
      <c r="L166" s="701">
        <f t="shared" si="128"/>
        <v>6126</v>
      </c>
      <c r="N166" s="202"/>
      <c r="O166" s="4"/>
      <c r="Q166" s="4"/>
    </row>
    <row r="167" spans="1:17">
      <c r="A167" s="699">
        <v>2</v>
      </c>
      <c r="B167" s="202" t="s">
        <v>2803</v>
      </c>
      <c r="C167" s="509" t="s">
        <v>12789</v>
      </c>
      <c r="D167" s="693">
        <v>62852</v>
      </c>
      <c r="E167" s="693">
        <v>63748</v>
      </c>
      <c r="F167" s="693">
        <v>6160</v>
      </c>
      <c r="G167" s="31">
        <v>6251</v>
      </c>
      <c r="H167" s="31">
        <v>6187</v>
      </c>
      <c r="I167" s="31">
        <v>6224</v>
      </c>
      <c r="J167" s="31">
        <v>6024</v>
      </c>
      <c r="K167" s="31">
        <v>6220</v>
      </c>
      <c r="L167" s="31">
        <v>6271</v>
      </c>
      <c r="N167" s="202" t="s">
        <v>6212</v>
      </c>
      <c r="O167" s="4"/>
      <c r="Q167" s="4"/>
    </row>
    <row r="168" spans="1:17">
      <c r="A168" s="699">
        <v>3</v>
      </c>
      <c r="B168" s="202" t="s">
        <v>12790</v>
      </c>
      <c r="C168" s="509" t="s">
        <v>12791</v>
      </c>
      <c r="D168" s="693">
        <v>61749</v>
      </c>
      <c r="E168" s="693">
        <v>62095</v>
      </c>
      <c r="F168" s="693">
        <v>3394</v>
      </c>
      <c r="G168" s="30">
        <v>3380</v>
      </c>
      <c r="H168" s="30">
        <v>3261</v>
      </c>
      <c r="I168" s="30">
        <v>3298</v>
      </c>
      <c r="J168" s="30">
        <v>3262</v>
      </c>
      <c r="K168" s="30">
        <v>3414</v>
      </c>
      <c r="L168" s="30">
        <v>3375</v>
      </c>
      <c r="N168" s="202" t="s">
        <v>6210</v>
      </c>
      <c r="O168" s="4"/>
      <c r="Q168" s="4"/>
    </row>
    <row r="169" spans="1:17">
      <c r="A169" s="699">
        <v>4</v>
      </c>
      <c r="B169" s="202" t="s">
        <v>8097</v>
      </c>
      <c r="C169" s="509" t="s">
        <v>12792</v>
      </c>
      <c r="D169" s="693">
        <v>0</v>
      </c>
      <c r="E169" s="693">
        <v>0</v>
      </c>
      <c r="F169" s="693">
        <v>3462</v>
      </c>
      <c r="G169" s="30">
        <v>3508</v>
      </c>
      <c r="H169" s="30">
        <v>3337</v>
      </c>
      <c r="I169" s="30">
        <v>3340</v>
      </c>
      <c r="J169" s="30">
        <v>3167</v>
      </c>
      <c r="K169" s="30">
        <v>3183</v>
      </c>
      <c r="L169" s="30">
        <v>3207</v>
      </c>
      <c r="N169" s="202" t="s">
        <v>6210</v>
      </c>
      <c r="O169" s="4"/>
      <c r="Q169" s="4"/>
    </row>
    <row r="170" spans="1:17">
      <c r="A170" s="699">
        <v>5</v>
      </c>
      <c r="B170" s="202" t="s">
        <v>7588</v>
      </c>
      <c r="C170" s="509" t="s">
        <v>12793</v>
      </c>
      <c r="D170" s="693">
        <v>0</v>
      </c>
      <c r="E170" s="693">
        <v>0</v>
      </c>
      <c r="F170" s="693">
        <v>8077</v>
      </c>
      <c r="G170" s="31">
        <v>8035</v>
      </c>
      <c r="H170" s="31">
        <v>6187</v>
      </c>
      <c r="I170" s="31">
        <v>6660</v>
      </c>
      <c r="J170" s="31">
        <v>6670</v>
      </c>
      <c r="K170" s="31">
        <v>7155</v>
      </c>
      <c r="L170" s="31">
        <v>7394</v>
      </c>
      <c r="N170" s="202" t="s">
        <v>6212</v>
      </c>
      <c r="O170" s="4"/>
      <c r="Q170" s="4"/>
    </row>
    <row r="171" spans="1:17">
      <c r="A171" s="699">
        <v>6</v>
      </c>
      <c r="B171" s="202" t="s">
        <v>12794</v>
      </c>
      <c r="C171" s="509" t="s">
        <v>12795</v>
      </c>
      <c r="D171" s="693">
        <v>0</v>
      </c>
      <c r="E171" s="693">
        <v>0</v>
      </c>
      <c r="F171" s="693">
        <v>9375</v>
      </c>
      <c r="G171" s="31">
        <v>9350</v>
      </c>
      <c r="H171" s="31">
        <v>8096</v>
      </c>
      <c r="I171" s="31">
        <v>8500</v>
      </c>
      <c r="J171" s="31">
        <v>8406</v>
      </c>
      <c r="K171" s="31">
        <v>8781</v>
      </c>
      <c r="L171" s="31">
        <v>8816</v>
      </c>
      <c r="N171" s="202" t="s">
        <v>6212</v>
      </c>
      <c r="O171" s="4"/>
      <c r="Q171" s="4"/>
    </row>
    <row r="172" spans="1:17">
      <c r="A172" s="699">
        <v>7</v>
      </c>
      <c r="B172" s="691" t="s">
        <v>2804</v>
      </c>
      <c r="C172" s="509" t="s">
        <v>12796</v>
      </c>
      <c r="D172" s="693">
        <v>22959</v>
      </c>
      <c r="E172" s="693">
        <v>23221</v>
      </c>
      <c r="F172" s="693">
        <v>7692</v>
      </c>
      <c r="G172" s="31">
        <v>7658</v>
      </c>
      <c r="H172" s="31">
        <v>7414</v>
      </c>
      <c r="I172" s="31">
        <v>7392</v>
      </c>
      <c r="J172" s="31">
        <v>7180</v>
      </c>
      <c r="K172" s="31">
        <v>7308</v>
      </c>
      <c r="L172" s="31">
        <v>7289</v>
      </c>
      <c r="N172" s="202" t="s">
        <v>6213</v>
      </c>
      <c r="O172" s="4"/>
      <c r="Q172" s="4"/>
    </row>
    <row r="173" spans="1:17">
      <c r="A173" s="699">
        <v>8</v>
      </c>
      <c r="B173" s="691" t="s">
        <v>2805</v>
      </c>
      <c r="C173" s="509" t="s">
        <v>12798</v>
      </c>
      <c r="D173" s="693">
        <v>0</v>
      </c>
      <c r="E173" s="693">
        <v>0</v>
      </c>
      <c r="F173" s="693">
        <v>3319</v>
      </c>
      <c r="G173" s="30">
        <v>3387</v>
      </c>
      <c r="H173" s="30">
        <v>2806</v>
      </c>
      <c r="I173" s="30">
        <v>3011</v>
      </c>
      <c r="J173" s="30">
        <v>3037</v>
      </c>
      <c r="K173" s="30">
        <v>3136</v>
      </c>
      <c r="L173" s="30">
        <v>3215</v>
      </c>
      <c r="N173" s="202" t="s">
        <v>6210</v>
      </c>
      <c r="O173" s="4"/>
      <c r="Q173" s="4"/>
    </row>
    <row r="174" spans="1:17">
      <c r="A174" s="699">
        <v>9</v>
      </c>
      <c r="B174" s="691" t="s">
        <v>2806</v>
      </c>
      <c r="C174" s="509" t="s">
        <v>12799</v>
      </c>
      <c r="D174" s="693">
        <v>0</v>
      </c>
      <c r="E174" s="693">
        <v>0</v>
      </c>
      <c r="F174" s="693">
        <v>3509</v>
      </c>
      <c r="G174" s="30">
        <v>3446</v>
      </c>
      <c r="H174" s="30">
        <v>3143</v>
      </c>
      <c r="I174" s="30">
        <v>3240</v>
      </c>
      <c r="J174" s="30">
        <v>3267</v>
      </c>
      <c r="K174" s="30">
        <v>3377</v>
      </c>
      <c r="L174" s="30">
        <v>3421</v>
      </c>
      <c r="N174" s="202" t="s">
        <v>6210</v>
      </c>
      <c r="O174" s="4"/>
      <c r="Q174" s="4"/>
    </row>
    <row r="175" spans="1:17">
      <c r="A175" s="699">
        <v>10</v>
      </c>
      <c r="B175" s="202" t="s">
        <v>12797</v>
      </c>
      <c r="C175" s="509" t="s">
        <v>12800</v>
      </c>
      <c r="D175" s="693">
        <v>0</v>
      </c>
      <c r="E175" s="693">
        <v>0</v>
      </c>
      <c r="F175" s="693">
        <v>3119</v>
      </c>
      <c r="G175" s="31">
        <v>3067</v>
      </c>
      <c r="H175" s="31">
        <v>2799</v>
      </c>
      <c r="I175" s="31">
        <v>2875</v>
      </c>
      <c r="J175" s="31">
        <v>2809</v>
      </c>
      <c r="K175" s="31">
        <v>2816</v>
      </c>
      <c r="L175" s="31">
        <v>2855</v>
      </c>
      <c r="N175" s="202" t="s">
        <v>6212</v>
      </c>
      <c r="O175" s="4"/>
      <c r="Q175" s="4"/>
    </row>
    <row r="176" spans="1:17">
      <c r="A176" s="699">
        <v>11</v>
      </c>
      <c r="B176" s="202" t="s">
        <v>2807</v>
      </c>
      <c r="C176" s="509" t="s">
        <v>12801</v>
      </c>
      <c r="D176" s="693">
        <v>0</v>
      </c>
      <c r="E176" s="693">
        <v>0</v>
      </c>
      <c r="F176" s="693">
        <v>3771</v>
      </c>
      <c r="G176" s="30">
        <v>3803</v>
      </c>
      <c r="H176" s="30">
        <v>3555</v>
      </c>
      <c r="I176" s="30">
        <v>3549</v>
      </c>
      <c r="J176" s="30">
        <v>3453</v>
      </c>
      <c r="K176" s="30">
        <v>3577</v>
      </c>
      <c r="L176" s="30">
        <v>3613</v>
      </c>
      <c r="N176" s="202" t="s">
        <v>6210</v>
      </c>
      <c r="O176" s="4"/>
      <c r="Q176" s="4"/>
    </row>
    <row r="177" spans="1:17">
      <c r="A177" s="699">
        <v>12</v>
      </c>
      <c r="B177" s="202" t="s">
        <v>2808</v>
      </c>
      <c r="C177" s="509" t="s">
        <v>12802</v>
      </c>
      <c r="D177" s="693">
        <v>0</v>
      </c>
      <c r="E177" s="693">
        <v>0</v>
      </c>
      <c r="F177" s="693">
        <v>3684</v>
      </c>
      <c r="G177" s="30">
        <v>3661</v>
      </c>
      <c r="H177" s="30">
        <v>3591</v>
      </c>
      <c r="I177" s="30">
        <v>3587</v>
      </c>
      <c r="J177" s="30">
        <v>3546</v>
      </c>
      <c r="K177" s="30">
        <v>3582</v>
      </c>
      <c r="L177" s="30">
        <v>3621</v>
      </c>
      <c r="N177" s="202" t="s">
        <v>6210</v>
      </c>
      <c r="O177" s="4"/>
      <c r="Q177" s="4"/>
    </row>
    <row r="178" spans="1:17">
      <c r="A178" s="699">
        <v>13</v>
      </c>
      <c r="B178" s="202" t="s">
        <v>2809</v>
      </c>
      <c r="C178" s="509" t="s">
        <v>12803</v>
      </c>
      <c r="D178" s="693">
        <v>0</v>
      </c>
      <c r="E178" s="693">
        <v>0</v>
      </c>
      <c r="F178" s="693">
        <v>7805</v>
      </c>
      <c r="G178" s="31">
        <v>7991</v>
      </c>
      <c r="H178" s="31">
        <v>7607</v>
      </c>
      <c r="I178" s="31">
        <v>7835</v>
      </c>
      <c r="J178" s="31">
        <v>7771</v>
      </c>
      <c r="K178" s="31">
        <v>8069</v>
      </c>
      <c r="L178" s="31">
        <v>8158</v>
      </c>
      <c r="N178" s="202" t="s">
        <v>6213</v>
      </c>
      <c r="O178" s="4"/>
      <c r="Q178" s="4"/>
    </row>
    <row r="179" spans="1:17">
      <c r="A179" s="699">
        <v>14</v>
      </c>
      <c r="B179" s="202" t="s">
        <v>2810</v>
      </c>
      <c r="C179" s="509" t="s">
        <v>12804</v>
      </c>
      <c r="D179" s="693">
        <v>0</v>
      </c>
      <c r="E179" s="693">
        <v>0</v>
      </c>
      <c r="F179" s="693">
        <v>7687</v>
      </c>
      <c r="G179" s="31">
        <v>7755</v>
      </c>
      <c r="H179" s="31">
        <v>7349</v>
      </c>
      <c r="I179" s="31">
        <v>7510</v>
      </c>
      <c r="J179" s="31">
        <v>7395</v>
      </c>
      <c r="K179" s="31">
        <v>7528</v>
      </c>
      <c r="L179" s="31">
        <v>7561</v>
      </c>
      <c r="N179" s="202" t="s">
        <v>6212</v>
      </c>
      <c r="O179" s="4"/>
      <c r="Q179" s="4"/>
    </row>
    <row r="180" spans="1:17">
      <c r="A180" s="699">
        <v>15</v>
      </c>
      <c r="B180" s="202" t="s">
        <v>12805</v>
      </c>
      <c r="C180" s="509" t="s">
        <v>12806</v>
      </c>
      <c r="D180" s="693">
        <v>0</v>
      </c>
      <c r="E180" s="693">
        <v>0</v>
      </c>
      <c r="F180" s="693">
        <v>3330</v>
      </c>
      <c r="G180" s="30">
        <v>3317</v>
      </c>
      <c r="H180" s="30">
        <v>3350</v>
      </c>
      <c r="I180" s="30">
        <v>2293</v>
      </c>
      <c r="J180" s="30">
        <v>2065</v>
      </c>
      <c r="K180" s="30">
        <v>2268</v>
      </c>
      <c r="L180" s="30">
        <v>2262</v>
      </c>
      <c r="N180" s="202" t="s">
        <v>6210</v>
      </c>
      <c r="O180" s="4"/>
      <c r="Q180" s="4"/>
    </row>
    <row r="181" spans="1:17">
      <c r="A181" s="699">
        <v>16</v>
      </c>
      <c r="B181" s="202" t="s">
        <v>2811</v>
      </c>
      <c r="C181" s="509" t="s">
        <v>12807</v>
      </c>
      <c r="D181" s="697">
        <v>0</v>
      </c>
      <c r="E181" s="697">
        <v>0</v>
      </c>
      <c r="F181" s="697">
        <v>6107</v>
      </c>
      <c r="G181" s="31">
        <v>6215</v>
      </c>
      <c r="H181" s="31">
        <v>6143</v>
      </c>
      <c r="I181" s="31">
        <v>6305</v>
      </c>
      <c r="J181" s="31">
        <v>6208</v>
      </c>
      <c r="K181" s="31">
        <v>6337</v>
      </c>
      <c r="L181" s="31">
        <v>6375</v>
      </c>
      <c r="N181" s="202" t="s">
        <v>6212</v>
      </c>
      <c r="O181" s="4"/>
      <c r="Q181" s="4"/>
    </row>
    <row r="182" spans="1:17">
      <c r="A182" s="699">
        <v>17</v>
      </c>
      <c r="B182" s="202" t="s">
        <v>2442</v>
      </c>
      <c r="C182" s="509" t="s">
        <v>12808</v>
      </c>
      <c r="D182" s="697">
        <v>0</v>
      </c>
      <c r="E182" s="697">
        <v>0</v>
      </c>
      <c r="F182" s="697">
        <v>3635</v>
      </c>
      <c r="G182" s="31">
        <v>3638</v>
      </c>
      <c r="H182" s="31">
        <v>3441</v>
      </c>
      <c r="I182" s="31">
        <v>3583</v>
      </c>
      <c r="J182" s="31">
        <v>3553</v>
      </c>
      <c r="K182" s="31">
        <v>3741</v>
      </c>
      <c r="L182" s="31">
        <v>3777</v>
      </c>
      <c r="N182" s="202" t="s">
        <v>6212</v>
      </c>
      <c r="O182" s="4"/>
      <c r="Q182" s="4"/>
    </row>
    <row r="183" spans="1:17">
      <c r="A183" s="699">
        <v>18</v>
      </c>
      <c r="B183" s="202" t="s">
        <v>6287</v>
      </c>
      <c r="C183" s="509" t="s">
        <v>12809</v>
      </c>
      <c r="D183" s="697">
        <v>0</v>
      </c>
      <c r="E183" s="697">
        <v>0</v>
      </c>
      <c r="F183" s="697">
        <v>3685</v>
      </c>
      <c r="G183" s="30">
        <v>3726</v>
      </c>
      <c r="H183" s="30">
        <v>3458</v>
      </c>
      <c r="I183" s="30">
        <v>3503</v>
      </c>
      <c r="J183" s="30">
        <v>3501</v>
      </c>
      <c r="K183" s="30">
        <v>3550</v>
      </c>
      <c r="L183" s="30">
        <v>3575</v>
      </c>
      <c r="N183" s="202" t="s">
        <v>6210</v>
      </c>
      <c r="O183" s="4"/>
      <c r="Q183" s="4"/>
    </row>
    <row r="184" spans="1:17">
      <c r="A184" s="699">
        <v>19</v>
      </c>
      <c r="B184" s="202" t="s">
        <v>12825</v>
      </c>
      <c r="C184" s="509" t="s">
        <v>12810</v>
      </c>
      <c r="D184" s="697">
        <v>0</v>
      </c>
      <c r="E184" s="697">
        <v>0</v>
      </c>
      <c r="F184" s="697">
        <v>3132</v>
      </c>
      <c r="G184" s="30">
        <v>3169</v>
      </c>
      <c r="H184" s="30">
        <v>2856</v>
      </c>
      <c r="I184" s="30">
        <v>2924</v>
      </c>
      <c r="J184" s="30">
        <v>2828</v>
      </c>
      <c r="K184" s="30">
        <v>2913</v>
      </c>
      <c r="L184" s="30">
        <v>2933</v>
      </c>
      <c r="N184" s="202" t="s">
        <v>6210</v>
      </c>
      <c r="O184" s="4"/>
      <c r="Q184" s="4"/>
    </row>
    <row r="185" spans="1:17">
      <c r="A185" s="699">
        <v>20</v>
      </c>
      <c r="B185" s="202" t="s">
        <v>12826</v>
      </c>
      <c r="C185" s="509" t="s">
        <v>12811</v>
      </c>
      <c r="D185" s="693">
        <v>0</v>
      </c>
      <c r="E185" s="693">
        <v>0</v>
      </c>
      <c r="F185" s="693">
        <v>546</v>
      </c>
      <c r="G185" s="693">
        <v>531</v>
      </c>
      <c r="H185" s="30">
        <v>424</v>
      </c>
      <c r="I185" s="30">
        <v>445</v>
      </c>
      <c r="J185" s="30">
        <v>452</v>
      </c>
      <c r="K185" s="30">
        <v>477</v>
      </c>
      <c r="L185" s="30">
        <v>469</v>
      </c>
      <c r="N185" s="202" t="s">
        <v>6210</v>
      </c>
      <c r="O185" s="4"/>
      <c r="Q185" s="4"/>
    </row>
    <row r="186" spans="1:17" ht="15.75" thickBot="1">
      <c r="A186" s="699"/>
      <c r="B186" s="202"/>
      <c r="C186" s="509" t="s">
        <v>12811</v>
      </c>
      <c r="D186" s="696">
        <v>0</v>
      </c>
      <c r="E186" s="696">
        <v>0</v>
      </c>
      <c r="F186" s="696">
        <v>3106</v>
      </c>
      <c r="G186" s="697">
        <v>3138</v>
      </c>
      <c r="H186" s="31">
        <v>2922</v>
      </c>
      <c r="I186" s="31">
        <v>2977</v>
      </c>
      <c r="J186" s="31">
        <v>2839</v>
      </c>
      <c r="K186" s="31">
        <v>2822</v>
      </c>
      <c r="L186" s="31">
        <v>2836</v>
      </c>
      <c r="N186" s="202" t="s">
        <v>6212</v>
      </c>
      <c r="O186" s="4"/>
      <c r="Q186" s="4"/>
    </row>
    <row r="187" spans="1:17" ht="15.75" thickBot="1">
      <c r="A187" s="699"/>
      <c r="B187" s="202"/>
      <c r="C187" s="509" t="s">
        <v>12811</v>
      </c>
      <c r="D187" s="701">
        <f>D185+D186</f>
        <v>0</v>
      </c>
      <c r="E187" s="701">
        <f t="shared" ref="E187" si="129">E185+E186</f>
        <v>0</v>
      </c>
      <c r="F187" s="701">
        <f t="shared" ref="F187:L187" si="130">F185+F186</f>
        <v>3652</v>
      </c>
      <c r="G187" s="701">
        <f t="shared" si="130"/>
        <v>3669</v>
      </c>
      <c r="H187" s="701">
        <f t="shared" si="130"/>
        <v>3346</v>
      </c>
      <c r="I187" s="701">
        <f t="shared" si="130"/>
        <v>3422</v>
      </c>
      <c r="J187" s="701">
        <f t="shared" si="130"/>
        <v>3291</v>
      </c>
      <c r="K187" s="701">
        <f t="shared" si="130"/>
        <v>3299</v>
      </c>
      <c r="L187" s="701">
        <f t="shared" si="130"/>
        <v>3305</v>
      </c>
      <c r="N187" s="202"/>
      <c r="O187" s="4"/>
      <c r="Q187" s="4"/>
    </row>
    <row r="188" spans="1:17">
      <c r="A188" s="699">
        <v>21</v>
      </c>
      <c r="B188" s="202" t="s">
        <v>8572</v>
      </c>
      <c r="C188" s="509" t="s">
        <v>12812</v>
      </c>
      <c r="D188" s="697">
        <v>0</v>
      </c>
      <c r="E188" s="697">
        <v>0</v>
      </c>
      <c r="F188" s="697">
        <v>3278</v>
      </c>
      <c r="G188" s="697">
        <v>3265</v>
      </c>
      <c r="H188" s="31">
        <v>3117</v>
      </c>
      <c r="I188" s="31">
        <v>3145</v>
      </c>
      <c r="J188" s="31">
        <v>3069</v>
      </c>
      <c r="K188" s="31">
        <v>3142</v>
      </c>
      <c r="L188" s="31">
        <v>3132</v>
      </c>
      <c r="N188" s="202" t="s">
        <v>6212</v>
      </c>
      <c r="O188" s="4"/>
      <c r="Q188" s="4"/>
    </row>
    <row r="189" spans="1:17">
      <c r="A189" s="699">
        <v>22</v>
      </c>
      <c r="B189" s="202" t="s">
        <v>12827</v>
      </c>
      <c r="C189" s="509" t="s">
        <v>12813</v>
      </c>
      <c r="D189" s="697">
        <v>0</v>
      </c>
      <c r="E189" s="697">
        <v>0</v>
      </c>
      <c r="F189" s="697">
        <v>2717</v>
      </c>
      <c r="G189" s="697">
        <v>2773</v>
      </c>
      <c r="H189" s="31">
        <v>2605</v>
      </c>
      <c r="I189" s="31">
        <v>2732</v>
      </c>
      <c r="J189" s="31">
        <v>2653</v>
      </c>
      <c r="K189" s="31">
        <v>2564</v>
      </c>
      <c r="L189" s="31">
        <v>2642</v>
      </c>
      <c r="N189" s="202" t="s">
        <v>6212</v>
      </c>
      <c r="O189" s="4"/>
      <c r="Q189" s="4"/>
    </row>
    <row r="190" spans="1:17" ht="15.75" thickBot="1">
      <c r="A190" s="699"/>
      <c r="B190" s="202"/>
      <c r="C190" s="509" t="s">
        <v>12813</v>
      </c>
      <c r="D190" s="696">
        <v>0</v>
      </c>
      <c r="E190" s="696">
        <v>0</v>
      </c>
      <c r="F190" s="696">
        <v>522</v>
      </c>
      <c r="G190" s="697">
        <v>522</v>
      </c>
      <c r="H190" s="31">
        <v>476</v>
      </c>
      <c r="I190" s="31">
        <v>504</v>
      </c>
      <c r="J190" s="31">
        <v>491</v>
      </c>
      <c r="K190" s="31">
        <v>512</v>
      </c>
      <c r="L190" s="31">
        <v>515</v>
      </c>
      <c r="N190" s="202" t="s">
        <v>6213</v>
      </c>
      <c r="O190" s="4"/>
      <c r="Q190" s="4"/>
    </row>
    <row r="191" spans="1:17" ht="15.75" thickBot="1">
      <c r="A191" s="699"/>
      <c r="B191" s="202"/>
      <c r="C191" s="509" t="s">
        <v>12813</v>
      </c>
      <c r="D191" s="701">
        <f>D189+D190</f>
        <v>0</v>
      </c>
      <c r="E191" s="701">
        <f t="shared" ref="E191" si="131">E189+E190</f>
        <v>0</v>
      </c>
      <c r="F191" s="701">
        <f t="shared" ref="F191:L191" si="132">F189+F190</f>
        <v>3239</v>
      </c>
      <c r="G191" s="701">
        <f t="shared" si="132"/>
        <v>3295</v>
      </c>
      <c r="H191" s="701">
        <f t="shared" si="132"/>
        <v>3081</v>
      </c>
      <c r="I191" s="701">
        <f t="shared" si="132"/>
        <v>3236</v>
      </c>
      <c r="J191" s="701">
        <f t="shared" si="132"/>
        <v>3144</v>
      </c>
      <c r="K191" s="701">
        <f t="shared" si="132"/>
        <v>3076</v>
      </c>
      <c r="L191" s="701">
        <f t="shared" si="132"/>
        <v>3157</v>
      </c>
      <c r="N191" s="202"/>
      <c r="O191" s="4"/>
      <c r="Q191" s="4"/>
    </row>
    <row r="192" spans="1:17">
      <c r="A192" s="699">
        <v>23</v>
      </c>
      <c r="B192" s="202" t="s">
        <v>4098</v>
      </c>
      <c r="C192" s="509" t="s">
        <v>12814</v>
      </c>
      <c r="D192" s="693">
        <v>0</v>
      </c>
      <c r="E192" s="693">
        <v>0</v>
      </c>
      <c r="F192" s="693">
        <v>3271</v>
      </c>
      <c r="G192" s="693">
        <v>3266</v>
      </c>
      <c r="H192" s="30">
        <v>2852</v>
      </c>
      <c r="I192" s="30">
        <v>2927</v>
      </c>
      <c r="J192" s="30">
        <v>2877</v>
      </c>
      <c r="K192" s="30">
        <v>2888</v>
      </c>
      <c r="L192" s="30">
        <v>2956</v>
      </c>
      <c r="N192" s="202" t="s">
        <v>6210</v>
      </c>
      <c r="O192" s="4"/>
      <c r="Q192" s="4"/>
    </row>
    <row r="193" spans="1:17">
      <c r="A193" s="699">
        <v>24</v>
      </c>
      <c r="B193" s="202" t="s">
        <v>4099</v>
      </c>
      <c r="C193" s="509" t="s">
        <v>12815</v>
      </c>
      <c r="D193" s="693">
        <v>0</v>
      </c>
      <c r="E193" s="693">
        <v>0</v>
      </c>
      <c r="F193" s="693">
        <v>3285</v>
      </c>
      <c r="G193" s="693">
        <v>3280</v>
      </c>
      <c r="H193" s="31">
        <v>2668</v>
      </c>
      <c r="I193" s="31">
        <v>2799</v>
      </c>
      <c r="J193" s="31">
        <v>2699</v>
      </c>
      <c r="K193" s="31">
        <v>2803</v>
      </c>
      <c r="L193" s="31">
        <v>2789</v>
      </c>
      <c r="N193" s="202" t="s">
        <v>6212</v>
      </c>
      <c r="O193" s="4"/>
      <c r="Q193" s="4"/>
    </row>
    <row r="194" spans="1:17">
      <c r="A194" s="699">
        <v>25</v>
      </c>
      <c r="B194" s="202" t="s">
        <v>12828</v>
      </c>
      <c r="C194" s="509" t="s">
        <v>12816</v>
      </c>
      <c r="D194" s="693">
        <v>0</v>
      </c>
      <c r="E194" s="693">
        <v>0</v>
      </c>
      <c r="F194" s="693">
        <v>694</v>
      </c>
      <c r="G194" s="693">
        <v>733</v>
      </c>
      <c r="H194" s="30">
        <v>725</v>
      </c>
      <c r="I194" s="30">
        <v>733</v>
      </c>
      <c r="J194" s="30">
        <v>667</v>
      </c>
      <c r="K194" s="30">
        <v>724</v>
      </c>
      <c r="L194" s="30">
        <v>747</v>
      </c>
      <c r="N194" s="202" t="s">
        <v>6210</v>
      </c>
      <c r="O194" s="4"/>
      <c r="Q194" s="4"/>
    </row>
    <row r="195" spans="1:17" ht="15.75" thickBot="1">
      <c r="A195" s="699"/>
      <c r="B195" s="202"/>
      <c r="C195" s="509" t="s">
        <v>12816</v>
      </c>
      <c r="D195" s="696">
        <v>0</v>
      </c>
      <c r="E195" s="696">
        <v>0</v>
      </c>
      <c r="F195" s="696">
        <v>2539</v>
      </c>
      <c r="G195" s="697">
        <v>2542</v>
      </c>
      <c r="H195" s="31">
        <v>1965</v>
      </c>
      <c r="I195" s="31">
        <v>2006</v>
      </c>
      <c r="J195" s="31">
        <v>1995</v>
      </c>
      <c r="K195" s="31">
        <v>2015</v>
      </c>
      <c r="L195" s="31">
        <v>2087</v>
      </c>
      <c r="N195" s="202" t="s">
        <v>6212</v>
      </c>
      <c r="O195" s="4"/>
      <c r="Q195" s="4"/>
    </row>
    <row r="196" spans="1:17" ht="15.75" thickBot="1">
      <c r="A196" s="699"/>
      <c r="B196" s="202"/>
      <c r="C196" s="509" t="s">
        <v>12816</v>
      </c>
      <c r="D196" s="701">
        <f>D194+D195</f>
        <v>0</v>
      </c>
      <c r="E196" s="701">
        <f t="shared" ref="E196" si="133">E194+E195</f>
        <v>0</v>
      </c>
      <c r="F196" s="701">
        <f t="shared" ref="F196:L196" si="134">F194+F195</f>
        <v>3233</v>
      </c>
      <c r="G196" s="701">
        <f t="shared" si="134"/>
        <v>3275</v>
      </c>
      <c r="H196" s="701">
        <f t="shared" si="134"/>
        <v>2690</v>
      </c>
      <c r="I196" s="701">
        <f t="shared" si="134"/>
        <v>2739</v>
      </c>
      <c r="J196" s="701">
        <f t="shared" si="134"/>
        <v>2662</v>
      </c>
      <c r="K196" s="701">
        <f t="shared" si="134"/>
        <v>2739</v>
      </c>
      <c r="L196" s="701">
        <f t="shared" si="134"/>
        <v>2834</v>
      </c>
      <c r="N196" s="202"/>
      <c r="O196" s="4"/>
      <c r="Q196" s="4"/>
    </row>
    <row r="197" spans="1:17">
      <c r="A197" s="699">
        <v>26</v>
      </c>
      <c r="B197" s="202" t="s">
        <v>6288</v>
      </c>
      <c r="C197" s="509" t="s">
        <v>12817</v>
      </c>
      <c r="D197" s="697">
        <v>0</v>
      </c>
      <c r="E197" s="697">
        <v>0</v>
      </c>
      <c r="F197" s="697">
        <v>3609</v>
      </c>
      <c r="G197" s="697">
        <v>3654</v>
      </c>
      <c r="H197" s="31">
        <v>3088</v>
      </c>
      <c r="I197" s="31">
        <v>3195</v>
      </c>
      <c r="J197" s="31">
        <v>3203</v>
      </c>
      <c r="K197" s="31">
        <v>3380</v>
      </c>
      <c r="L197" s="31">
        <v>3523</v>
      </c>
      <c r="N197" s="202" t="s">
        <v>6212</v>
      </c>
      <c r="O197" s="4"/>
      <c r="Q197" s="4"/>
    </row>
    <row r="198" spans="1:17">
      <c r="A198" s="699">
        <v>27</v>
      </c>
      <c r="B198" s="202" t="s">
        <v>12829</v>
      </c>
      <c r="C198" s="509" t="s">
        <v>12818</v>
      </c>
      <c r="D198" s="697">
        <v>0</v>
      </c>
      <c r="E198" s="697">
        <v>0</v>
      </c>
      <c r="F198" s="697">
        <v>3761</v>
      </c>
      <c r="G198" s="697">
        <v>3742</v>
      </c>
      <c r="H198" s="30">
        <v>3655</v>
      </c>
      <c r="I198" s="30">
        <v>3683</v>
      </c>
      <c r="J198" s="30">
        <v>3605</v>
      </c>
      <c r="K198" s="30">
        <v>3705</v>
      </c>
      <c r="L198" s="30">
        <v>3729</v>
      </c>
      <c r="N198" s="202" t="s">
        <v>6210</v>
      </c>
      <c r="O198" s="4"/>
      <c r="Q198" s="4"/>
    </row>
    <row r="199" spans="1:17">
      <c r="A199" s="677" t="s">
        <v>5929</v>
      </c>
      <c r="B199" s="202" t="s">
        <v>12830</v>
      </c>
      <c r="C199" s="509" t="s">
        <v>12819</v>
      </c>
      <c r="D199" s="693">
        <v>0</v>
      </c>
      <c r="E199" s="693">
        <v>0</v>
      </c>
      <c r="F199" s="693">
        <v>3156</v>
      </c>
      <c r="G199" s="693">
        <v>3153</v>
      </c>
      <c r="H199" s="30">
        <v>3073</v>
      </c>
      <c r="I199" s="30">
        <v>3062</v>
      </c>
      <c r="J199" s="30">
        <v>2900</v>
      </c>
      <c r="K199" s="30">
        <v>2929</v>
      </c>
      <c r="L199" s="30">
        <v>3037</v>
      </c>
      <c r="N199" s="202" t="s">
        <v>6210</v>
      </c>
      <c r="O199" s="4"/>
      <c r="Q199" s="4"/>
    </row>
    <row r="200" spans="1:17">
      <c r="A200" s="677" t="s">
        <v>5931</v>
      </c>
      <c r="B200" s="202" t="s">
        <v>12831</v>
      </c>
      <c r="C200" s="509" t="s">
        <v>12820</v>
      </c>
      <c r="D200" s="693">
        <v>0</v>
      </c>
      <c r="E200" s="693">
        <v>0</v>
      </c>
      <c r="F200" s="693">
        <v>6957</v>
      </c>
      <c r="G200" s="693">
        <v>6977</v>
      </c>
      <c r="H200" s="31">
        <v>6434</v>
      </c>
      <c r="I200" s="31">
        <v>6573</v>
      </c>
      <c r="J200" s="31">
        <v>6290</v>
      </c>
      <c r="K200" s="31">
        <v>6387</v>
      </c>
      <c r="L200" s="31">
        <v>6462</v>
      </c>
      <c r="N200" s="202" t="s">
        <v>6210</v>
      </c>
      <c r="O200" s="4"/>
      <c r="Q200" s="4"/>
    </row>
    <row r="201" spans="1:17" ht="15.75" thickBot="1">
      <c r="A201" s="677"/>
      <c r="B201" s="202"/>
      <c r="C201" s="509" t="s">
        <v>12820</v>
      </c>
      <c r="D201" s="696">
        <v>0</v>
      </c>
      <c r="E201" s="696">
        <v>0</v>
      </c>
      <c r="F201" s="696">
        <v>270</v>
      </c>
      <c r="G201" s="697">
        <v>278</v>
      </c>
      <c r="H201" s="31">
        <v>252</v>
      </c>
      <c r="I201" s="31">
        <v>258</v>
      </c>
      <c r="J201" s="31">
        <v>250</v>
      </c>
      <c r="K201" s="31">
        <v>242</v>
      </c>
      <c r="L201" s="31">
        <v>253</v>
      </c>
      <c r="N201" s="202" t="s">
        <v>6212</v>
      </c>
      <c r="O201" s="4"/>
      <c r="Q201" s="4"/>
    </row>
    <row r="202" spans="1:17" ht="15.75" thickBot="1">
      <c r="A202" s="677"/>
      <c r="B202" s="202"/>
      <c r="C202" s="509" t="s">
        <v>12820</v>
      </c>
      <c r="D202" s="701">
        <f>D200+D201</f>
        <v>0</v>
      </c>
      <c r="E202" s="701">
        <f t="shared" ref="E202" si="135">E200+E201</f>
        <v>0</v>
      </c>
      <c r="F202" s="701">
        <f t="shared" ref="F202:L202" si="136">F200+F201</f>
        <v>7227</v>
      </c>
      <c r="G202" s="701">
        <f t="shared" si="136"/>
        <v>7255</v>
      </c>
      <c r="H202" s="701">
        <f t="shared" si="136"/>
        <v>6686</v>
      </c>
      <c r="I202" s="701">
        <f t="shared" si="136"/>
        <v>6831</v>
      </c>
      <c r="J202" s="701">
        <f t="shared" si="136"/>
        <v>6540</v>
      </c>
      <c r="K202" s="701">
        <f t="shared" si="136"/>
        <v>6629</v>
      </c>
      <c r="L202" s="701">
        <f t="shared" si="136"/>
        <v>6715</v>
      </c>
      <c r="N202" s="202"/>
      <c r="O202" s="4"/>
      <c r="Q202" s="4"/>
    </row>
    <row r="203" spans="1:17">
      <c r="A203" s="677" t="s">
        <v>5933</v>
      </c>
      <c r="B203" s="691" t="s">
        <v>5546</v>
      </c>
      <c r="C203" s="509" t="s">
        <v>12821</v>
      </c>
      <c r="D203" s="693">
        <v>0</v>
      </c>
      <c r="E203" s="693">
        <v>0</v>
      </c>
      <c r="F203" s="693">
        <v>3205</v>
      </c>
      <c r="G203" s="693">
        <v>3160</v>
      </c>
      <c r="H203" s="31">
        <v>2836</v>
      </c>
      <c r="I203" s="31">
        <v>2662</v>
      </c>
      <c r="J203" s="31">
        <v>2484</v>
      </c>
      <c r="K203" s="31">
        <v>2670</v>
      </c>
      <c r="L203" s="31">
        <v>2791</v>
      </c>
      <c r="N203" s="202" t="s">
        <v>6210</v>
      </c>
      <c r="O203" s="4"/>
      <c r="Q203" s="4"/>
    </row>
    <row r="204" spans="1:17">
      <c r="A204" s="677" t="s">
        <v>7897</v>
      </c>
      <c r="B204" s="202" t="s">
        <v>5839</v>
      </c>
      <c r="C204" s="509" t="s">
        <v>12822</v>
      </c>
      <c r="D204" s="693">
        <v>0</v>
      </c>
      <c r="E204" s="693">
        <v>0</v>
      </c>
      <c r="F204" s="693">
        <v>3885</v>
      </c>
      <c r="G204" s="693">
        <v>3962</v>
      </c>
      <c r="H204" s="31">
        <v>3827</v>
      </c>
      <c r="I204" s="31">
        <v>4168</v>
      </c>
      <c r="J204" s="31">
        <v>4623</v>
      </c>
      <c r="K204" s="31">
        <v>5367</v>
      </c>
      <c r="L204" s="31">
        <v>5672</v>
      </c>
      <c r="N204" s="202" t="s">
        <v>6213</v>
      </c>
      <c r="O204" s="4"/>
      <c r="Q204" s="4"/>
    </row>
    <row r="205" spans="1:17">
      <c r="A205" s="677" t="s">
        <v>7898</v>
      </c>
      <c r="B205" s="202" t="s">
        <v>6289</v>
      </c>
      <c r="C205" s="509" t="s">
        <v>12823</v>
      </c>
      <c r="D205" s="693">
        <v>0</v>
      </c>
      <c r="E205" s="693">
        <v>0</v>
      </c>
      <c r="F205" s="693">
        <v>3461</v>
      </c>
      <c r="G205" s="693">
        <v>3462</v>
      </c>
      <c r="H205" s="31">
        <v>3384</v>
      </c>
      <c r="I205" s="31">
        <v>3392</v>
      </c>
      <c r="J205" s="31">
        <v>3301</v>
      </c>
      <c r="K205" s="31">
        <v>3351</v>
      </c>
      <c r="L205" s="31">
        <v>3324</v>
      </c>
      <c r="N205" s="202" t="s">
        <v>6213</v>
      </c>
      <c r="O205" s="4"/>
      <c r="Q205" s="4"/>
    </row>
    <row r="206" spans="1:17">
      <c r="A206" s="677" t="s">
        <v>7899</v>
      </c>
      <c r="B206" s="202" t="s">
        <v>12832</v>
      </c>
      <c r="C206" s="509" t="s">
        <v>12824</v>
      </c>
      <c r="D206" s="697">
        <v>0</v>
      </c>
      <c r="E206" s="697">
        <v>0</v>
      </c>
      <c r="F206" s="697">
        <v>3301</v>
      </c>
      <c r="G206" s="697">
        <v>3317</v>
      </c>
      <c r="H206" s="31">
        <v>3335</v>
      </c>
      <c r="I206" s="31">
        <v>3416</v>
      </c>
      <c r="J206" s="31">
        <v>3371</v>
      </c>
      <c r="K206" s="31">
        <v>3410</v>
      </c>
      <c r="L206" s="31">
        <v>3467</v>
      </c>
      <c r="N206" s="202" t="s">
        <v>6210</v>
      </c>
      <c r="O206" s="4"/>
      <c r="Q206" s="4"/>
    </row>
    <row r="207" spans="1:17">
      <c r="D207" s="694"/>
      <c r="E207" s="694"/>
      <c r="F207" s="694"/>
      <c r="G207" s="694"/>
      <c r="H207" s="694"/>
      <c r="I207" s="694"/>
      <c r="J207" s="694"/>
      <c r="K207" s="694"/>
      <c r="L207" s="694"/>
    </row>
    <row r="208" spans="1:17">
      <c r="A208" s="202" t="s">
        <v>6210</v>
      </c>
      <c r="D208" s="693">
        <f t="shared" ref="D208:E208" si="137">D164+D168+D169+D173+D174+D176+D177+D180+SUM(D183:D185)+D194+D192+SUM(D198:D200)+D203+D206</f>
        <v>61749</v>
      </c>
      <c r="E208" s="693">
        <f t="shared" si="137"/>
        <v>62095</v>
      </c>
      <c r="F208" s="693">
        <f t="shared" ref="F208:K208" si="138">F164+F168+F169+F173+F174+F176+F177+F180+SUM(F183:F185)+F194+F192+SUM(F198:F200)+F203+F206</f>
        <v>61808</v>
      </c>
      <c r="G208" s="693">
        <f t="shared" si="138"/>
        <v>62032</v>
      </c>
      <c r="H208" s="693">
        <f t="shared" si="138"/>
        <v>58295</v>
      </c>
      <c r="I208" s="693">
        <f t="shared" si="138"/>
        <v>57749</v>
      </c>
      <c r="J208" s="693">
        <f t="shared" si="138"/>
        <v>56005</v>
      </c>
      <c r="K208" s="693">
        <f t="shared" si="138"/>
        <v>57463</v>
      </c>
      <c r="L208" s="693">
        <f t="shared" ref="L208" si="139">L164+L168+L169+L173+L174+L176+L177+L180+SUM(L183:L185)+L194+L192+SUM(L198:L200)+L203+L206</f>
        <v>58324</v>
      </c>
    </row>
    <row r="209" spans="1:17">
      <c r="A209" s="202" t="s">
        <v>6212</v>
      </c>
      <c r="D209" s="693">
        <f t="shared" ref="D209:E209" si="140">D165+D167+D170+D171+D175+D179+D181+D182+D186+D188+D189+D193+D195+D197+D201</f>
        <v>62852</v>
      </c>
      <c r="E209" s="693">
        <f t="shared" si="140"/>
        <v>63748</v>
      </c>
      <c r="F209" s="693">
        <f t="shared" ref="F209:K209" si="141">F165+F167+F170+F171+F175+F179+F181+F182+F186+F188+F189+F193+F195+F197+F201</f>
        <v>63638</v>
      </c>
      <c r="G209" s="693">
        <f t="shared" si="141"/>
        <v>63935</v>
      </c>
      <c r="H209" s="693">
        <f t="shared" si="141"/>
        <v>57476</v>
      </c>
      <c r="I209" s="693">
        <f t="shared" si="141"/>
        <v>59411</v>
      </c>
      <c r="J209" s="693">
        <f t="shared" si="141"/>
        <v>58416</v>
      </c>
      <c r="K209" s="693">
        <f t="shared" si="141"/>
        <v>60204</v>
      </c>
      <c r="L209" s="693">
        <f t="shared" ref="L209" si="142">L165+L167+L170+L171+L175+L179+L181+L182+L186+L188+L189+L193+L195+L197+L201</f>
        <v>60993</v>
      </c>
    </row>
    <row r="210" spans="1:17">
      <c r="A210" s="202" t="s">
        <v>4513</v>
      </c>
      <c r="D210" s="693">
        <f t="shared" ref="D210:E210" si="143">D172+D178+D190+D204+D205</f>
        <v>22959</v>
      </c>
      <c r="E210" s="693">
        <f t="shared" si="143"/>
        <v>23221</v>
      </c>
      <c r="F210" s="693">
        <f t="shared" ref="F210:K210" si="144">F172+F178+F190+F204+F205</f>
        <v>23365</v>
      </c>
      <c r="G210" s="693">
        <f t="shared" si="144"/>
        <v>23595</v>
      </c>
      <c r="H210" s="693">
        <f t="shared" si="144"/>
        <v>22708</v>
      </c>
      <c r="I210" s="693">
        <f t="shared" si="144"/>
        <v>23291</v>
      </c>
      <c r="J210" s="693">
        <f t="shared" si="144"/>
        <v>23366</v>
      </c>
      <c r="K210" s="693">
        <f t="shared" si="144"/>
        <v>24607</v>
      </c>
      <c r="L210" s="693">
        <f t="shared" ref="L210" si="145">L172+L178+L190+L204+L205</f>
        <v>24958</v>
      </c>
    </row>
    <row r="211" spans="1:17">
      <c r="A211" s="202"/>
      <c r="B211" s="202"/>
    </row>
    <row r="212" spans="1:17">
      <c r="A212" s="202" t="s">
        <v>12833</v>
      </c>
      <c r="B212" s="202"/>
      <c r="D212" s="700"/>
      <c r="E212" s="700"/>
      <c r="F212" s="700"/>
      <c r="G212" s="700"/>
      <c r="H212" s="700"/>
      <c r="I212" s="700"/>
      <c r="J212" s="700"/>
      <c r="K212" s="700"/>
      <c r="L212" s="700"/>
    </row>
    <row r="213" spans="1:17">
      <c r="A213" s="202"/>
      <c r="B213" s="202"/>
      <c r="C213" s="202"/>
      <c r="D213" s="700"/>
      <c r="E213" s="700"/>
      <c r="F213" s="700"/>
      <c r="G213" s="700"/>
      <c r="H213" s="700"/>
      <c r="I213" s="700"/>
      <c r="J213" s="700"/>
      <c r="K213" s="700"/>
      <c r="L213" s="700"/>
    </row>
    <row r="214" spans="1:17">
      <c r="A214" s="202"/>
      <c r="B214" s="202"/>
      <c r="C214" s="202"/>
      <c r="D214" s="700"/>
      <c r="E214" s="700"/>
      <c r="F214" s="700"/>
      <c r="G214" s="700"/>
      <c r="H214" s="700"/>
      <c r="I214" s="700"/>
      <c r="J214" s="700"/>
      <c r="K214" s="700"/>
      <c r="L214" s="700"/>
    </row>
    <row r="215" spans="1:17">
      <c r="E215" s="42" t="s">
        <v>2303</v>
      </c>
      <c r="F215" s="42"/>
      <c r="G215" s="42"/>
      <c r="H215" s="42"/>
      <c r="I215" s="42"/>
      <c r="J215" s="42"/>
      <c r="K215" s="42"/>
      <c r="L215" s="42"/>
      <c r="N215" s="109" t="s">
        <v>13319</v>
      </c>
    </row>
    <row r="216" spans="1:17">
      <c r="D216" s="692">
        <v>2010</v>
      </c>
      <c r="E216" s="692">
        <v>2011</v>
      </c>
      <c r="F216" s="692">
        <v>2012</v>
      </c>
      <c r="G216" s="692">
        <v>2013</v>
      </c>
      <c r="H216" s="692">
        <v>2014</v>
      </c>
      <c r="I216" s="692">
        <v>2015</v>
      </c>
      <c r="J216" s="692">
        <v>2016</v>
      </c>
      <c r="K216" s="692">
        <v>2017</v>
      </c>
      <c r="L216" s="692">
        <v>2018</v>
      </c>
      <c r="M216" s="111"/>
      <c r="N216" s="112" t="s">
        <v>2304</v>
      </c>
    </row>
    <row r="217" spans="1:17">
      <c r="A217" s="202" t="s">
        <v>4514</v>
      </c>
      <c r="D217" s="693">
        <f t="shared" ref="D217:I217" si="146">SUM(D218:D244)</f>
        <v>66250</v>
      </c>
      <c r="E217" s="693">
        <f t="shared" si="146"/>
        <v>66929</v>
      </c>
      <c r="F217" s="693">
        <f t="shared" si="146"/>
        <v>67985</v>
      </c>
      <c r="G217" s="693">
        <f t="shared" si="146"/>
        <v>68855</v>
      </c>
      <c r="H217" s="693">
        <f t="shared" si="146"/>
        <v>68861</v>
      </c>
      <c r="I217" s="693">
        <f t="shared" si="146"/>
        <v>65830</v>
      </c>
      <c r="J217" s="693">
        <f t="shared" ref="J217:K217" si="147">SUM(J218:J244)</f>
        <v>68535</v>
      </c>
      <c r="K217" s="693">
        <f t="shared" si="147"/>
        <v>71946</v>
      </c>
      <c r="L217" s="693">
        <f t="shared" ref="L217" si="148">SUM(L218:L244)</f>
        <v>70055</v>
      </c>
    </row>
    <row r="218" spans="1:17">
      <c r="A218" s="699">
        <v>1</v>
      </c>
      <c r="B218" s="202" t="s">
        <v>4515</v>
      </c>
      <c r="C218" s="4" t="s">
        <v>11447</v>
      </c>
      <c r="D218" s="693">
        <v>1588</v>
      </c>
      <c r="E218" s="693">
        <v>1588</v>
      </c>
      <c r="F218" s="693">
        <v>1596</v>
      </c>
      <c r="G218" s="30">
        <v>1616</v>
      </c>
      <c r="H218" s="30">
        <v>1621</v>
      </c>
      <c r="I218" s="30">
        <v>1595</v>
      </c>
      <c r="J218" s="30">
        <v>1598</v>
      </c>
      <c r="K218" s="30">
        <v>1672</v>
      </c>
      <c r="L218" s="30">
        <v>1643</v>
      </c>
      <c r="N218" s="202" t="s">
        <v>6213</v>
      </c>
      <c r="O218" s="4"/>
      <c r="Q218" s="4"/>
    </row>
    <row r="219" spans="1:17">
      <c r="A219" s="699">
        <v>2</v>
      </c>
      <c r="B219" s="202" t="s">
        <v>4516</v>
      </c>
      <c r="C219" s="4" t="s">
        <v>11448</v>
      </c>
      <c r="D219" s="697">
        <v>2812</v>
      </c>
      <c r="E219" s="697">
        <v>2845</v>
      </c>
      <c r="F219" s="697">
        <v>2895</v>
      </c>
      <c r="G219" s="30">
        <v>2933</v>
      </c>
      <c r="H219" s="30">
        <v>2905</v>
      </c>
      <c r="I219" s="30">
        <v>2861</v>
      </c>
      <c r="J219" s="30">
        <v>2895</v>
      </c>
      <c r="K219" s="30">
        <v>3019</v>
      </c>
      <c r="L219" s="30">
        <v>2848</v>
      </c>
      <c r="N219" s="202" t="s">
        <v>6213</v>
      </c>
      <c r="O219" s="4"/>
      <c r="Q219" s="4"/>
    </row>
    <row r="220" spans="1:17">
      <c r="A220" s="699">
        <v>3</v>
      </c>
      <c r="B220" s="202" t="s">
        <v>4517</v>
      </c>
      <c r="C220" s="4" t="s">
        <v>11449</v>
      </c>
      <c r="D220" s="693">
        <v>3392</v>
      </c>
      <c r="E220" s="693">
        <v>3434</v>
      </c>
      <c r="F220" s="693">
        <v>3525</v>
      </c>
      <c r="G220" s="30">
        <v>3596</v>
      </c>
      <c r="H220" s="30">
        <v>3575</v>
      </c>
      <c r="I220" s="30">
        <v>3518</v>
      </c>
      <c r="J220" s="30">
        <v>3534</v>
      </c>
      <c r="K220" s="30">
        <v>3737</v>
      </c>
      <c r="L220" s="30">
        <v>3735</v>
      </c>
      <c r="N220" s="202" t="s">
        <v>6213</v>
      </c>
      <c r="O220" s="4"/>
      <c r="Q220" s="4"/>
    </row>
    <row r="221" spans="1:17">
      <c r="A221" s="699">
        <v>4</v>
      </c>
      <c r="B221" s="202" t="s">
        <v>4518</v>
      </c>
      <c r="C221" s="4" t="s">
        <v>11450</v>
      </c>
      <c r="D221" s="693">
        <v>3253</v>
      </c>
      <c r="E221" s="693">
        <v>3275</v>
      </c>
      <c r="F221" s="693">
        <v>3342</v>
      </c>
      <c r="G221" s="30">
        <v>3387</v>
      </c>
      <c r="H221" s="30">
        <v>3416</v>
      </c>
      <c r="I221" s="30">
        <v>3389</v>
      </c>
      <c r="J221" s="30">
        <v>3439</v>
      </c>
      <c r="K221" s="30">
        <v>3990</v>
      </c>
      <c r="L221" s="30">
        <v>4194</v>
      </c>
      <c r="N221" s="202" t="s">
        <v>6213</v>
      </c>
      <c r="O221" s="4"/>
      <c r="Q221" s="4"/>
    </row>
    <row r="222" spans="1:17">
      <c r="A222" s="699">
        <v>5</v>
      </c>
      <c r="B222" s="202" t="s">
        <v>4519</v>
      </c>
      <c r="C222" s="4" t="s">
        <v>11451</v>
      </c>
      <c r="D222" s="693">
        <v>3246</v>
      </c>
      <c r="E222" s="693">
        <v>3290</v>
      </c>
      <c r="F222" s="693">
        <v>3315</v>
      </c>
      <c r="G222" s="30">
        <v>3350</v>
      </c>
      <c r="H222" s="30">
        <v>3343</v>
      </c>
      <c r="I222" s="30">
        <v>3314</v>
      </c>
      <c r="J222" s="30">
        <v>3259</v>
      </c>
      <c r="K222" s="30">
        <v>3359</v>
      </c>
      <c r="L222" s="30">
        <v>3202</v>
      </c>
      <c r="N222" s="202" t="s">
        <v>6213</v>
      </c>
      <c r="O222" s="4"/>
      <c r="Q222" s="4"/>
    </row>
    <row r="223" spans="1:17">
      <c r="A223" s="699">
        <v>6</v>
      </c>
      <c r="B223" s="202" t="s">
        <v>4520</v>
      </c>
      <c r="C223" s="4" t="s">
        <v>11452</v>
      </c>
      <c r="D223" s="693">
        <v>3292</v>
      </c>
      <c r="E223" s="693">
        <v>3297</v>
      </c>
      <c r="F223" s="693">
        <v>3367</v>
      </c>
      <c r="G223" s="30">
        <v>3432</v>
      </c>
      <c r="H223" s="30">
        <v>3372</v>
      </c>
      <c r="I223" s="30">
        <v>3270</v>
      </c>
      <c r="J223" s="30">
        <v>3373</v>
      </c>
      <c r="K223" s="30">
        <v>3443</v>
      </c>
      <c r="L223" s="30">
        <v>3370</v>
      </c>
      <c r="N223" s="202" t="s">
        <v>6213</v>
      </c>
      <c r="O223" s="4"/>
      <c r="Q223" s="4"/>
    </row>
    <row r="224" spans="1:17">
      <c r="A224" s="699">
        <v>7</v>
      </c>
      <c r="B224" s="202" t="s">
        <v>4521</v>
      </c>
      <c r="C224" s="4" t="s">
        <v>11453</v>
      </c>
      <c r="D224" s="693">
        <v>3370</v>
      </c>
      <c r="E224" s="693">
        <v>3433</v>
      </c>
      <c r="F224" s="693">
        <v>3453</v>
      </c>
      <c r="G224" s="30">
        <v>3486</v>
      </c>
      <c r="H224" s="30">
        <v>3464</v>
      </c>
      <c r="I224" s="30">
        <v>3403</v>
      </c>
      <c r="J224" s="30">
        <v>3389</v>
      </c>
      <c r="K224" s="30">
        <v>3571</v>
      </c>
      <c r="L224" s="30">
        <v>3459</v>
      </c>
      <c r="N224" s="202" t="s">
        <v>6213</v>
      </c>
      <c r="O224" s="4"/>
      <c r="Q224" s="4"/>
    </row>
    <row r="225" spans="1:17">
      <c r="A225" s="699">
        <v>8</v>
      </c>
      <c r="B225" s="202" t="s">
        <v>4522</v>
      </c>
      <c r="C225" s="4" t="s">
        <v>11454</v>
      </c>
      <c r="D225" s="693">
        <v>1569</v>
      </c>
      <c r="E225" s="693">
        <v>1588</v>
      </c>
      <c r="F225" s="693">
        <v>1617</v>
      </c>
      <c r="G225" s="30">
        <v>1601</v>
      </c>
      <c r="H225" s="30">
        <v>1610</v>
      </c>
      <c r="I225" s="30">
        <v>1572</v>
      </c>
      <c r="J225" s="30">
        <v>1607</v>
      </c>
      <c r="K225" s="30">
        <v>1675</v>
      </c>
      <c r="L225" s="30">
        <v>1588</v>
      </c>
      <c r="N225" s="202" t="s">
        <v>6213</v>
      </c>
      <c r="O225" s="4"/>
      <c r="Q225" s="4"/>
    </row>
    <row r="226" spans="1:17">
      <c r="A226" s="699">
        <v>9</v>
      </c>
      <c r="B226" s="202" t="s">
        <v>4523</v>
      </c>
      <c r="C226" s="4" t="s">
        <v>11455</v>
      </c>
      <c r="D226" s="693">
        <v>2951</v>
      </c>
      <c r="E226" s="693">
        <v>2980</v>
      </c>
      <c r="F226" s="693">
        <v>3015</v>
      </c>
      <c r="G226" s="30">
        <v>3016</v>
      </c>
      <c r="H226" s="30">
        <v>3011</v>
      </c>
      <c r="I226" s="30">
        <v>2926</v>
      </c>
      <c r="J226" s="30">
        <v>2942</v>
      </c>
      <c r="K226" s="30">
        <v>3051</v>
      </c>
      <c r="L226" s="30">
        <v>2973</v>
      </c>
      <c r="N226" s="202" t="s">
        <v>6213</v>
      </c>
      <c r="O226" s="4"/>
      <c r="Q226" s="4"/>
    </row>
    <row r="227" spans="1:17">
      <c r="A227" s="699">
        <v>10</v>
      </c>
      <c r="B227" s="202" t="s">
        <v>4524</v>
      </c>
      <c r="C227" s="4" t="s">
        <v>11456</v>
      </c>
      <c r="D227" s="693">
        <v>3107</v>
      </c>
      <c r="E227" s="693">
        <v>3174</v>
      </c>
      <c r="F227" s="693">
        <v>3232</v>
      </c>
      <c r="G227" s="30">
        <v>3243</v>
      </c>
      <c r="H227" s="30">
        <v>3203</v>
      </c>
      <c r="I227" s="30">
        <v>3152</v>
      </c>
      <c r="J227" s="30">
        <v>3206</v>
      </c>
      <c r="K227" s="30">
        <v>3478</v>
      </c>
      <c r="L227" s="30">
        <v>3269</v>
      </c>
      <c r="N227" s="202" t="s">
        <v>6213</v>
      </c>
      <c r="O227" s="4"/>
      <c r="Q227" s="4"/>
    </row>
    <row r="228" spans="1:17">
      <c r="A228" s="699">
        <v>11</v>
      </c>
      <c r="B228" s="202" t="s">
        <v>4525</v>
      </c>
      <c r="C228" s="4" t="s">
        <v>11457</v>
      </c>
      <c r="D228" s="693">
        <v>2888</v>
      </c>
      <c r="E228" s="693">
        <v>2923</v>
      </c>
      <c r="F228" s="693">
        <v>3010</v>
      </c>
      <c r="G228" s="30">
        <v>3052</v>
      </c>
      <c r="H228" s="30">
        <v>3111</v>
      </c>
      <c r="I228" s="30">
        <v>3068</v>
      </c>
      <c r="J228" s="30">
        <v>3036</v>
      </c>
      <c r="K228" s="30">
        <v>3167</v>
      </c>
      <c r="L228" s="30">
        <v>2927</v>
      </c>
      <c r="N228" s="202" t="s">
        <v>6213</v>
      </c>
      <c r="O228" s="4"/>
      <c r="Q228" s="4"/>
    </row>
    <row r="229" spans="1:17">
      <c r="A229" s="699">
        <v>12</v>
      </c>
      <c r="B229" s="202" t="s">
        <v>4526</v>
      </c>
      <c r="C229" s="4" t="s">
        <v>11458</v>
      </c>
      <c r="D229" s="693">
        <v>1769</v>
      </c>
      <c r="E229" s="693">
        <v>1778</v>
      </c>
      <c r="F229" s="693">
        <v>1800</v>
      </c>
      <c r="G229" s="30">
        <v>1849</v>
      </c>
      <c r="H229" s="30">
        <v>1877</v>
      </c>
      <c r="I229" s="30">
        <v>1833</v>
      </c>
      <c r="J229" s="30">
        <v>1851</v>
      </c>
      <c r="K229" s="30">
        <v>2005</v>
      </c>
      <c r="L229" s="30">
        <v>2097</v>
      </c>
      <c r="N229" s="202" t="s">
        <v>6213</v>
      </c>
      <c r="O229" s="4"/>
      <c r="Q229" s="4"/>
    </row>
    <row r="230" spans="1:17">
      <c r="A230" s="699">
        <v>13</v>
      </c>
      <c r="B230" s="202" t="s">
        <v>4527</v>
      </c>
      <c r="C230" s="4" t="s">
        <v>11459</v>
      </c>
      <c r="D230" s="693">
        <v>3678</v>
      </c>
      <c r="E230" s="693">
        <v>3699</v>
      </c>
      <c r="F230" s="693">
        <v>3811</v>
      </c>
      <c r="G230" s="30">
        <v>3837</v>
      </c>
      <c r="H230" s="30">
        <v>3815</v>
      </c>
      <c r="I230" s="30">
        <v>3770</v>
      </c>
      <c r="J230" s="30">
        <v>3825</v>
      </c>
      <c r="K230" s="30">
        <v>3932</v>
      </c>
      <c r="L230" s="30">
        <v>3787</v>
      </c>
      <c r="N230" s="202" t="s">
        <v>7982</v>
      </c>
      <c r="O230" s="4"/>
      <c r="Q230" s="4"/>
    </row>
    <row r="231" spans="1:17">
      <c r="A231" s="699">
        <v>14</v>
      </c>
      <c r="B231" s="202" t="s">
        <v>4528</v>
      </c>
      <c r="C231" s="4" t="s">
        <v>11460</v>
      </c>
      <c r="D231" s="697">
        <v>3479</v>
      </c>
      <c r="E231" s="697">
        <v>3495</v>
      </c>
      <c r="F231" s="697">
        <v>3511</v>
      </c>
      <c r="G231" s="30">
        <v>3577</v>
      </c>
      <c r="H231" s="30">
        <v>3576</v>
      </c>
      <c r="I231" s="30">
        <v>3550</v>
      </c>
      <c r="J231" s="30">
        <v>3649</v>
      </c>
      <c r="K231" s="30">
        <v>3808</v>
      </c>
      <c r="L231" s="30">
        <v>3710</v>
      </c>
      <c r="N231" s="202" t="s">
        <v>7982</v>
      </c>
      <c r="O231" s="4"/>
      <c r="Q231" s="4"/>
    </row>
    <row r="232" spans="1:17">
      <c r="A232" s="699">
        <v>15</v>
      </c>
      <c r="B232" s="202" t="s">
        <v>4529</v>
      </c>
      <c r="C232" s="4" t="s">
        <v>11461</v>
      </c>
      <c r="D232" s="693">
        <v>1688</v>
      </c>
      <c r="E232" s="693">
        <v>1671</v>
      </c>
      <c r="F232" s="693">
        <v>1692</v>
      </c>
      <c r="G232" s="30">
        <v>1698</v>
      </c>
      <c r="H232" s="30">
        <v>1682</v>
      </c>
      <c r="I232" s="30">
        <v>1654</v>
      </c>
      <c r="J232" s="30">
        <v>1731</v>
      </c>
      <c r="K232" s="30">
        <v>1784</v>
      </c>
      <c r="L232" s="30">
        <v>1791</v>
      </c>
      <c r="N232" s="202" t="s">
        <v>6213</v>
      </c>
      <c r="O232" s="4"/>
      <c r="Q232" s="4"/>
    </row>
    <row r="233" spans="1:17">
      <c r="A233" s="699">
        <v>16</v>
      </c>
      <c r="B233" s="202" t="s">
        <v>4530</v>
      </c>
      <c r="C233" s="4" t="s">
        <v>11462</v>
      </c>
      <c r="D233" s="693">
        <v>1379</v>
      </c>
      <c r="E233" s="693">
        <v>1390</v>
      </c>
      <c r="F233" s="693">
        <v>1393</v>
      </c>
      <c r="G233" s="31">
        <v>1402</v>
      </c>
      <c r="H233" s="31">
        <v>1456</v>
      </c>
      <c r="I233" s="31">
        <v>1443</v>
      </c>
      <c r="J233" s="31">
        <v>1493</v>
      </c>
      <c r="K233" s="31">
        <v>1520</v>
      </c>
      <c r="L233" s="31">
        <v>1471</v>
      </c>
      <c r="N233" s="202" t="s">
        <v>6213</v>
      </c>
      <c r="O233" s="4"/>
      <c r="Q233" s="4"/>
    </row>
    <row r="234" spans="1:17">
      <c r="A234" s="699">
        <v>17</v>
      </c>
      <c r="B234" s="202" t="s">
        <v>4531</v>
      </c>
      <c r="C234" s="4" t="s">
        <v>11463</v>
      </c>
      <c r="D234" s="693">
        <v>1560</v>
      </c>
      <c r="E234" s="693">
        <v>1596</v>
      </c>
      <c r="F234" s="693">
        <v>1636</v>
      </c>
      <c r="G234" s="31">
        <v>1650</v>
      </c>
      <c r="H234" s="31">
        <v>1631</v>
      </c>
      <c r="I234" s="31">
        <v>1598</v>
      </c>
      <c r="J234" s="31">
        <v>1667</v>
      </c>
      <c r="K234" s="31">
        <v>1696</v>
      </c>
      <c r="L234" s="31">
        <v>1637</v>
      </c>
      <c r="N234" s="202" t="s">
        <v>6213</v>
      </c>
      <c r="O234" s="4"/>
      <c r="Q234" s="4"/>
    </row>
    <row r="235" spans="1:17">
      <c r="A235" s="699">
        <v>18</v>
      </c>
      <c r="B235" s="202" t="s">
        <v>4532</v>
      </c>
      <c r="C235" s="4" t="s">
        <v>11464</v>
      </c>
      <c r="D235" s="693">
        <v>3039</v>
      </c>
      <c r="E235" s="693">
        <v>3058</v>
      </c>
      <c r="F235" s="693">
        <v>3091</v>
      </c>
      <c r="G235" s="31">
        <v>3093</v>
      </c>
      <c r="H235" s="31">
        <v>3116</v>
      </c>
      <c r="I235" s="31">
        <v>3128</v>
      </c>
      <c r="J235" s="31">
        <v>3238</v>
      </c>
      <c r="K235" s="31">
        <v>3397</v>
      </c>
      <c r="L235" s="31">
        <v>3378</v>
      </c>
      <c r="N235" s="202" t="s">
        <v>6213</v>
      </c>
      <c r="O235" s="4"/>
      <c r="Q235" s="4"/>
    </row>
    <row r="236" spans="1:17">
      <c r="A236" s="699">
        <v>19</v>
      </c>
      <c r="B236" s="202" t="s">
        <v>4533</v>
      </c>
      <c r="C236" s="4" t="s">
        <v>11465</v>
      </c>
      <c r="D236" s="693">
        <v>1523</v>
      </c>
      <c r="E236" s="693">
        <v>1542</v>
      </c>
      <c r="F236" s="693">
        <v>1563</v>
      </c>
      <c r="G236" s="31">
        <v>1584</v>
      </c>
      <c r="H236" s="31">
        <v>1590</v>
      </c>
      <c r="I236" s="31">
        <v>1525</v>
      </c>
      <c r="J236" s="31">
        <v>1557</v>
      </c>
      <c r="K236" s="31">
        <v>1644</v>
      </c>
      <c r="L236" s="31">
        <v>1620</v>
      </c>
      <c r="N236" s="202" t="s">
        <v>6213</v>
      </c>
      <c r="O236" s="4"/>
      <c r="Q236" s="4"/>
    </row>
    <row r="237" spans="1:17">
      <c r="A237" s="699">
        <v>20</v>
      </c>
      <c r="B237" s="691" t="s">
        <v>4534</v>
      </c>
      <c r="C237" s="4" t="s">
        <v>11466</v>
      </c>
      <c r="D237" s="693">
        <v>1784</v>
      </c>
      <c r="E237" s="693">
        <v>1823</v>
      </c>
      <c r="F237" s="693">
        <v>1846</v>
      </c>
      <c r="G237" s="31">
        <v>1879</v>
      </c>
      <c r="H237" s="31">
        <v>1927</v>
      </c>
      <c r="I237" s="31">
        <v>1833</v>
      </c>
      <c r="J237" s="31">
        <v>1855</v>
      </c>
      <c r="K237" s="31">
        <v>1953</v>
      </c>
      <c r="L237" s="31">
        <v>1884</v>
      </c>
      <c r="N237" s="202" t="s">
        <v>6213</v>
      </c>
      <c r="O237" s="4"/>
      <c r="Q237" s="4"/>
    </row>
    <row r="238" spans="1:17">
      <c r="A238" s="699">
        <v>21</v>
      </c>
      <c r="B238" s="202" t="s">
        <v>4535</v>
      </c>
      <c r="C238" s="4" t="s">
        <v>11467</v>
      </c>
      <c r="D238" s="693">
        <v>1672</v>
      </c>
      <c r="E238" s="693">
        <v>1706</v>
      </c>
      <c r="F238" s="693">
        <v>1771</v>
      </c>
      <c r="G238" s="31">
        <v>1861</v>
      </c>
      <c r="H238" s="31">
        <v>1858</v>
      </c>
      <c r="I238" s="31">
        <v>1827</v>
      </c>
      <c r="J238" s="31">
        <v>1816</v>
      </c>
      <c r="K238" s="31">
        <v>1915</v>
      </c>
      <c r="L238" s="31">
        <v>1873</v>
      </c>
      <c r="N238" s="202" t="s">
        <v>6213</v>
      </c>
      <c r="O238" s="4"/>
      <c r="Q238" s="4"/>
    </row>
    <row r="239" spans="1:17">
      <c r="A239" s="699">
        <v>22</v>
      </c>
      <c r="B239" s="202" t="s">
        <v>4536</v>
      </c>
      <c r="C239" s="4" t="s">
        <v>11468</v>
      </c>
      <c r="D239" s="693">
        <v>1524</v>
      </c>
      <c r="E239" s="693">
        <v>1557</v>
      </c>
      <c r="F239" s="693">
        <v>1593</v>
      </c>
      <c r="G239" s="31">
        <v>1638</v>
      </c>
      <c r="H239" s="31">
        <v>1636</v>
      </c>
      <c r="I239" s="31">
        <v>1596</v>
      </c>
      <c r="J239" s="31">
        <v>1591</v>
      </c>
      <c r="K239" s="31">
        <v>1672</v>
      </c>
      <c r="L239" s="31">
        <v>1620</v>
      </c>
      <c r="N239" s="202" t="s">
        <v>6213</v>
      </c>
      <c r="O239" s="4"/>
      <c r="Q239" s="4"/>
    </row>
    <row r="240" spans="1:17">
      <c r="A240" s="699">
        <v>23</v>
      </c>
      <c r="B240" s="202" t="s">
        <v>4537</v>
      </c>
      <c r="C240" s="4" t="s">
        <v>11469</v>
      </c>
      <c r="D240" s="693">
        <v>1459</v>
      </c>
      <c r="E240" s="693">
        <v>1500</v>
      </c>
      <c r="F240" s="693">
        <v>1517</v>
      </c>
      <c r="G240" s="31">
        <v>1515</v>
      </c>
      <c r="H240" s="31">
        <v>1533</v>
      </c>
      <c r="I240" s="31">
        <v>1520</v>
      </c>
      <c r="J240" s="31">
        <v>1534</v>
      </c>
      <c r="K240" s="31">
        <v>1568</v>
      </c>
      <c r="L240" s="31">
        <v>1529</v>
      </c>
      <c r="N240" s="202" t="s">
        <v>6213</v>
      </c>
      <c r="O240" s="4"/>
      <c r="Q240" s="4"/>
    </row>
    <row r="241" spans="1:17">
      <c r="A241" s="699">
        <v>24</v>
      </c>
      <c r="B241" s="202" t="s">
        <v>4538</v>
      </c>
      <c r="C241" s="4" t="s">
        <v>11470</v>
      </c>
      <c r="D241" s="693">
        <v>4528</v>
      </c>
      <c r="E241" s="693">
        <v>4522</v>
      </c>
      <c r="F241" s="693">
        <v>4532</v>
      </c>
      <c r="G241" s="31">
        <v>4552</v>
      </c>
      <c r="H241" s="31">
        <v>4486</v>
      </c>
      <c r="I241" s="31">
        <v>2869</v>
      </c>
      <c r="J241" s="31">
        <v>4388</v>
      </c>
      <c r="K241" s="31">
        <v>4541</v>
      </c>
      <c r="L241" s="31">
        <v>4394</v>
      </c>
      <c r="N241" s="202" t="s">
        <v>6213</v>
      </c>
      <c r="O241" s="4"/>
      <c r="Q241" s="4"/>
    </row>
    <row r="242" spans="1:17">
      <c r="A242" s="699">
        <v>25</v>
      </c>
      <c r="B242" s="202" t="s">
        <v>4539</v>
      </c>
      <c r="C242" s="4" t="s">
        <v>11471</v>
      </c>
      <c r="D242" s="693">
        <v>2695</v>
      </c>
      <c r="E242" s="693">
        <v>2716</v>
      </c>
      <c r="F242" s="693">
        <v>2738</v>
      </c>
      <c r="G242" s="31">
        <v>2789</v>
      </c>
      <c r="H242" s="31">
        <v>2817</v>
      </c>
      <c r="I242" s="31">
        <v>2424</v>
      </c>
      <c r="J242" s="31">
        <v>2817</v>
      </c>
      <c r="K242" s="31">
        <v>2979</v>
      </c>
      <c r="L242" s="31">
        <v>2785</v>
      </c>
      <c r="N242" s="202" t="s">
        <v>6213</v>
      </c>
      <c r="O242" s="4"/>
      <c r="Q242" s="4"/>
    </row>
    <row r="243" spans="1:17">
      <c r="A243" s="699">
        <v>26</v>
      </c>
      <c r="B243" s="202" t="s">
        <v>4540</v>
      </c>
      <c r="C243" s="4" t="s">
        <v>11472</v>
      </c>
      <c r="D243" s="693">
        <v>1361</v>
      </c>
      <c r="E243" s="693">
        <v>1381</v>
      </c>
      <c r="F243" s="693">
        <v>1428</v>
      </c>
      <c r="G243" s="31">
        <v>1477</v>
      </c>
      <c r="H243" s="31">
        <v>1469</v>
      </c>
      <c r="I243" s="31">
        <v>1456</v>
      </c>
      <c r="J243" s="31">
        <v>1485</v>
      </c>
      <c r="K243" s="31">
        <v>1561</v>
      </c>
      <c r="L243" s="31">
        <v>1528</v>
      </c>
      <c r="N243" s="202" t="s">
        <v>6213</v>
      </c>
      <c r="O243" s="4"/>
      <c r="Q243" s="4"/>
    </row>
    <row r="244" spans="1:17">
      <c r="A244" s="699">
        <v>27</v>
      </c>
      <c r="B244" s="202" t="s">
        <v>4541</v>
      </c>
      <c r="C244" s="4" t="s">
        <v>11473</v>
      </c>
      <c r="D244" s="693">
        <v>1644</v>
      </c>
      <c r="E244" s="693">
        <v>1668</v>
      </c>
      <c r="F244" s="693">
        <v>1696</v>
      </c>
      <c r="G244" s="31">
        <v>1742</v>
      </c>
      <c r="H244" s="31">
        <v>1761</v>
      </c>
      <c r="I244" s="31">
        <v>1736</v>
      </c>
      <c r="J244" s="31">
        <v>1760</v>
      </c>
      <c r="K244" s="31">
        <v>1809</v>
      </c>
      <c r="L244" s="31">
        <v>1743</v>
      </c>
      <c r="N244" s="202" t="s">
        <v>6213</v>
      </c>
      <c r="O244" s="4"/>
      <c r="Q244" s="4"/>
    </row>
    <row r="245" spans="1:17">
      <c r="D245" s="694"/>
      <c r="E245" s="694"/>
      <c r="F245" s="694"/>
      <c r="G245" s="694"/>
      <c r="H245" s="694"/>
      <c r="I245" s="694"/>
      <c r="J245" s="694"/>
      <c r="K245" s="694"/>
      <c r="L245" s="694"/>
    </row>
    <row r="246" spans="1:17">
      <c r="A246" s="202" t="s">
        <v>1131</v>
      </c>
      <c r="D246" s="693">
        <f t="shared" ref="D246:I246" si="149">D230+D231</f>
        <v>7157</v>
      </c>
      <c r="E246" s="693">
        <f t="shared" si="149"/>
        <v>7194</v>
      </c>
      <c r="F246" s="693">
        <f t="shared" si="149"/>
        <v>7322</v>
      </c>
      <c r="G246" s="693">
        <f t="shared" si="149"/>
        <v>7414</v>
      </c>
      <c r="H246" s="693">
        <f t="shared" si="149"/>
        <v>7391</v>
      </c>
      <c r="I246" s="693">
        <f t="shared" si="149"/>
        <v>7320</v>
      </c>
      <c r="J246" s="693">
        <f t="shared" ref="J246:K246" si="150">J230+J231</f>
        <v>7474</v>
      </c>
      <c r="K246" s="693">
        <f t="shared" si="150"/>
        <v>7740</v>
      </c>
      <c r="L246" s="693">
        <f t="shared" ref="L246" si="151">L230+L231</f>
        <v>7497</v>
      </c>
    </row>
    <row r="247" spans="1:17">
      <c r="A247" s="202" t="s">
        <v>4513</v>
      </c>
      <c r="D247" s="693">
        <f t="shared" ref="D247:I247" si="152">SUM(D218:D229)+SUM(D232:D244)</f>
        <v>59093</v>
      </c>
      <c r="E247" s="693">
        <f t="shared" si="152"/>
        <v>59735</v>
      </c>
      <c r="F247" s="693">
        <f t="shared" si="152"/>
        <v>60663</v>
      </c>
      <c r="G247" s="693">
        <f t="shared" si="152"/>
        <v>61441</v>
      </c>
      <c r="H247" s="693">
        <f t="shared" si="152"/>
        <v>61470</v>
      </c>
      <c r="I247" s="693">
        <f t="shared" si="152"/>
        <v>58510</v>
      </c>
      <c r="J247" s="693">
        <f t="shared" ref="J247:K247" si="153">SUM(J218:J229)+SUM(J232:J244)</f>
        <v>61061</v>
      </c>
      <c r="K247" s="693">
        <f t="shared" si="153"/>
        <v>64206</v>
      </c>
      <c r="L247" s="693">
        <f t="shared" ref="L247" si="154">SUM(L218:L229)+SUM(L232:L244)</f>
        <v>62558</v>
      </c>
    </row>
    <row r="248" spans="1:17">
      <c r="A248" s="202"/>
      <c r="D248" s="693"/>
      <c r="E248" s="693"/>
      <c r="F248" s="693"/>
      <c r="G248" s="693"/>
      <c r="H248" s="693"/>
      <c r="I248" s="693"/>
      <c r="J248" s="693"/>
      <c r="K248" s="693"/>
      <c r="L248" s="693"/>
    </row>
    <row r="249" spans="1:17">
      <c r="A249" s="202" t="s">
        <v>4542</v>
      </c>
      <c r="B249" s="202"/>
    </row>
    <row r="250" spans="1:17">
      <c r="A250" s="202" t="s">
        <v>4543</v>
      </c>
      <c r="B250" s="202"/>
    </row>
    <row r="251" spans="1:17">
      <c r="A251" s="202"/>
      <c r="B251" s="202"/>
      <c r="D251" s="700"/>
      <c r="E251" s="700"/>
      <c r="F251" s="700"/>
      <c r="G251" s="700"/>
      <c r="H251" s="700"/>
      <c r="I251" s="700"/>
      <c r="J251" s="700"/>
      <c r="K251" s="700"/>
      <c r="L251" s="700"/>
    </row>
    <row r="252" spans="1:17">
      <c r="A252" s="202"/>
      <c r="B252" s="202"/>
    </row>
    <row r="253" spans="1:17">
      <c r="E253" s="42" t="s">
        <v>2303</v>
      </c>
      <c r="F253" s="42"/>
      <c r="G253" s="42"/>
      <c r="H253" s="42"/>
      <c r="I253" s="42"/>
      <c r="J253" s="42"/>
      <c r="K253" s="42"/>
      <c r="L253" s="42"/>
      <c r="N253" s="109" t="s">
        <v>13319</v>
      </c>
    </row>
    <row r="254" spans="1:17">
      <c r="D254" s="692">
        <v>2010</v>
      </c>
      <c r="E254" s="692">
        <v>2011</v>
      </c>
      <c r="F254" s="692">
        <v>2012</v>
      </c>
      <c r="G254" s="692">
        <v>2013</v>
      </c>
      <c r="H254" s="692">
        <v>2014</v>
      </c>
      <c r="I254" s="692">
        <v>2015</v>
      </c>
      <c r="J254" s="692">
        <v>2016</v>
      </c>
      <c r="K254" s="692">
        <v>2017</v>
      </c>
      <c r="L254" s="692">
        <v>2018</v>
      </c>
      <c r="M254" s="111"/>
      <c r="N254" s="112" t="s">
        <v>2304</v>
      </c>
    </row>
    <row r="255" spans="1:17">
      <c r="A255" s="202" t="s">
        <v>8098</v>
      </c>
      <c r="D255" s="693">
        <f>SUM(D256:D263)+SUM(D265:D273)</f>
        <v>53911</v>
      </c>
      <c r="E255" s="693">
        <f t="shared" ref="E255:I255" si="155">SUM(E256:E263)+SUM(E265:E273)</f>
        <v>53798</v>
      </c>
      <c r="F255" s="693">
        <f t="shared" si="155"/>
        <v>54336</v>
      </c>
      <c r="G255" s="693">
        <f t="shared" si="155"/>
        <v>53716</v>
      </c>
      <c r="H255" s="693">
        <f t="shared" si="155"/>
        <v>50165</v>
      </c>
      <c r="I255" s="693">
        <f t="shared" si="155"/>
        <v>52872</v>
      </c>
      <c r="J255" s="693">
        <f t="shared" ref="J255:K255" si="156">SUM(J256:J263)+SUM(J265:J273)</f>
        <v>52566</v>
      </c>
      <c r="K255" s="693">
        <f t="shared" si="156"/>
        <v>55382</v>
      </c>
      <c r="L255" s="693">
        <f t="shared" ref="L255" si="157">SUM(L256:L263)+SUM(L265:L273)</f>
        <v>54987</v>
      </c>
    </row>
    <row r="256" spans="1:17">
      <c r="A256" s="699">
        <v>1</v>
      </c>
      <c r="B256" s="202" t="s">
        <v>14008</v>
      </c>
      <c r="C256" s="4" t="s">
        <v>14060</v>
      </c>
      <c r="D256" s="693">
        <v>48287</v>
      </c>
      <c r="E256" s="693">
        <v>48263</v>
      </c>
      <c r="F256" s="693">
        <v>48714</v>
      </c>
      <c r="G256" s="30">
        <v>48115</v>
      </c>
      <c r="H256" s="30">
        <v>44791</v>
      </c>
      <c r="I256" s="30">
        <v>1621</v>
      </c>
      <c r="J256" s="30">
        <v>1646</v>
      </c>
      <c r="K256" s="30">
        <v>1768</v>
      </c>
      <c r="L256" s="30">
        <v>1736</v>
      </c>
      <c r="N256" s="202" t="s">
        <v>6214</v>
      </c>
      <c r="O256" s="4"/>
      <c r="Q256" s="4"/>
    </row>
    <row r="257" spans="1:17">
      <c r="A257" s="699">
        <v>2</v>
      </c>
      <c r="B257" s="202" t="s">
        <v>2306</v>
      </c>
      <c r="C257" s="4" t="s">
        <v>14061</v>
      </c>
      <c r="D257" s="693">
        <v>0</v>
      </c>
      <c r="E257" s="693">
        <v>0</v>
      </c>
      <c r="F257" s="693">
        <v>0</v>
      </c>
      <c r="G257" s="30">
        <v>0</v>
      </c>
      <c r="H257" s="30">
        <v>0</v>
      </c>
      <c r="I257" s="30">
        <v>3028</v>
      </c>
      <c r="J257" s="30">
        <v>2977</v>
      </c>
      <c r="K257" s="30">
        <v>3059</v>
      </c>
      <c r="L257" s="30">
        <v>3020</v>
      </c>
      <c r="N257" s="202" t="s">
        <v>6214</v>
      </c>
      <c r="O257" s="4"/>
      <c r="Q257" s="4"/>
    </row>
    <row r="258" spans="1:17">
      <c r="A258" s="699">
        <v>3</v>
      </c>
      <c r="B258" s="202" t="s">
        <v>8099</v>
      </c>
      <c r="C258" s="4" t="s">
        <v>14062</v>
      </c>
      <c r="D258" s="693">
        <v>0</v>
      </c>
      <c r="E258" s="693">
        <v>0</v>
      </c>
      <c r="F258" s="693">
        <v>0</v>
      </c>
      <c r="G258" s="30">
        <v>0</v>
      </c>
      <c r="H258" s="30">
        <v>0</v>
      </c>
      <c r="I258" s="30">
        <v>4505</v>
      </c>
      <c r="J258" s="30">
        <v>4423</v>
      </c>
      <c r="K258" s="30">
        <v>4657</v>
      </c>
      <c r="L258" s="30">
        <v>4579</v>
      </c>
      <c r="N258" s="202" t="s">
        <v>6214</v>
      </c>
      <c r="O258" s="4"/>
      <c r="Q258" s="4"/>
    </row>
    <row r="259" spans="1:17">
      <c r="A259" s="699">
        <v>4</v>
      </c>
      <c r="B259" s="202" t="s">
        <v>2812</v>
      </c>
      <c r="C259" s="4" t="s">
        <v>14063</v>
      </c>
      <c r="D259" s="693">
        <v>5624</v>
      </c>
      <c r="E259" s="693">
        <v>5535</v>
      </c>
      <c r="F259" s="693">
        <v>5622</v>
      </c>
      <c r="G259" s="30">
        <v>5601</v>
      </c>
      <c r="H259" s="30">
        <v>5374</v>
      </c>
      <c r="I259" s="30">
        <v>4066</v>
      </c>
      <c r="J259" s="30">
        <v>4119</v>
      </c>
      <c r="K259" s="30">
        <v>4449</v>
      </c>
      <c r="L259" s="30">
        <v>4423</v>
      </c>
      <c r="N259" s="202" t="s">
        <v>7982</v>
      </c>
      <c r="O259" s="4"/>
      <c r="Q259" s="4"/>
    </row>
    <row r="260" spans="1:17">
      <c r="A260" s="699">
        <v>5</v>
      </c>
      <c r="B260" s="202" t="s">
        <v>2813</v>
      </c>
      <c r="C260" s="4" t="s">
        <v>14064</v>
      </c>
      <c r="D260" s="693">
        <v>0</v>
      </c>
      <c r="E260" s="693">
        <v>0</v>
      </c>
      <c r="F260" s="693">
        <v>0</v>
      </c>
      <c r="G260" s="30">
        <v>0</v>
      </c>
      <c r="H260" s="30">
        <v>0</v>
      </c>
      <c r="I260" s="30">
        <v>3228</v>
      </c>
      <c r="J260" s="30">
        <v>3210</v>
      </c>
      <c r="K260" s="30">
        <v>3392</v>
      </c>
      <c r="L260" s="30">
        <v>3510</v>
      </c>
      <c r="N260" s="202" t="s">
        <v>6214</v>
      </c>
      <c r="O260" s="4"/>
      <c r="Q260" s="4"/>
    </row>
    <row r="261" spans="1:17">
      <c r="A261" s="699">
        <v>6</v>
      </c>
      <c r="B261" s="202" t="s">
        <v>14009</v>
      </c>
      <c r="C261" s="4" t="s">
        <v>14065</v>
      </c>
      <c r="D261" s="693">
        <v>0</v>
      </c>
      <c r="E261" s="693">
        <v>0</v>
      </c>
      <c r="F261" s="693">
        <v>0</v>
      </c>
      <c r="G261" s="30">
        <v>0</v>
      </c>
      <c r="H261" s="30">
        <v>0</v>
      </c>
      <c r="I261" s="30">
        <v>1531</v>
      </c>
      <c r="J261" s="30">
        <v>1503</v>
      </c>
      <c r="K261" s="30">
        <v>1598</v>
      </c>
      <c r="L261" s="30">
        <v>1580</v>
      </c>
      <c r="N261" s="202" t="s">
        <v>6214</v>
      </c>
      <c r="O261" s="4"/>
      <c r="Q261" s="4"/>
    </row>
    <row r="262" spans="1:17">
      <c r="A262" s="699">
        <v>7</v>
      </c>
      <c r="B262" s="202" t="s">
        <v>14013</v>
      </c>
      <c r="C262" s="4" t="s">
        <v>14066</v>
      </c>
      <c r="D262" s="693">
        <v>0</v>
      </c>
      <c r="E262" s="693">
        <v>0</v>
      </c>
      <c r="F262" s="693">
        <v>0</v>
      </c>
      <c r="G262" s="30">
        <v>0</v>
      </c>
      <c r="H262" s="30">
        <v>0</v>
      </c>
      <c r="I262" s="30">
        <v>1442</v>
      </c>
      <c r="J262" s="30">
        <v>1494</v>
      </c>
      <c r="K262" s="30">
        <v>1599</v>
      </c>
      <c r="L262" s="30">
        <v>1585</v>
      </c>
      <c r="N262" s="202" t="s">
        <v>7982</v>
      </c>
      <c r="O262" s="4"/>
      <c r="Q262" s="4"/>
    </row>
    <row r="263" spans="1:17" ht="15.75" thickBot="1">
      <c r="A263" s="699"/>
      <c r="B263" s="202"/>
      <c r="C263" s="4" t="s">
        <v>14066</v>
      </c>
      <c r="D263" s="696">
        <v>0</v>
      </c>
      <c r="E263" s="696">
        <v>0</v>
      </c>
      <c r="F263" s="696">
        <v>0</v>
      </c>
      <c r="G263" s="899">
        <v>0</v>
      </c>
      <c r="H263" s="899">
        <v>0</v>
      </c>
      <c r="I263" s="30">
        <v>1816</v>
      </c>
      <c r="J263" s="30">
        <v>1837</v>
      </c>
      <c r="K263" s="30">
        <v>1917</v>
      </c>
      <c r="L263" s="30">
        <v>1892</v>
      </c>
      <c r="N263" s="202" t="s">
        <v>6214</v>
      </c>
      <c r="O263" s="4"/>
      <c r="Q263" s="4"/>
    </row>
    <row r="264" spans="1:17" ht="15.75" thickBot="1">
      <c r="A264" s="699"/>
      <c r="B264" s="202"/>
      <c r="C264" s="4" t="s">
        <v>14066</v>
      </c>
      <c r="D264" s="701">
        <f>D262+D263</f>
        <v>0</v>
      </c>
      <c r="E264" s="701">
        <f t="shared" ref="E264:L264" si="158">E262+E263</f>
        <v>0</v>
      </c>
      <c r="F264" s="701">
        <f t="shared" si="158"/>
        <v>0</v>
      </c>
      <c r="G264" s="701">
        <f t="shared" si="158"/>
        <v>0</v>
      </c>
      <c r="H264" s="701">
        <f t="shared" si="158"/>
        <v>0</v>
      </c>
      <c r="I264" s="701">
        <f t="shared" si="158"/>
        <v>3258</v>
      </c>
      <c r="J264" s="701">
        <f t="shared" si="158"/>
        <v>3331</v>
      </c>
      <c r="K264" s="701">
        <f t="shared" si="158"/>
        <v>3516</v>
      </c>
      <c r="L264" s="701">
        <f t="shared" si="158"/>
        <v>3477</v>
      </c>
      <c r="N264" s="202"/>
      <c r="O264" s="4"/>
      <c r="Q264" s="4"/>
    </row>
    <row r="265" spans="1:17">
      <c r="A265" s="699">
        <v>8</v>
      </c>
      <c r="B265" s="202" t="s">
        <v>2054</v>
      </c>
      <c r="C265" s="4" t="s">
        <v>14067</v>
      </c>
      <c r="D265" s="693">
        <v>0</v>
      </c>
      <c r="E265" s="693">
        <v>0</v>
      </c>
      <c r="F265" s="693">
        <v>0</v>
      </c>
      <c r="G265" s="30">
        <v>0</v>
      </c>
      <c r="H265" s="30">
        <v>0</v>
      </c>
      <c r="I265" s="30">
        <v>2986</v>
      </c>
      <c r="J265" s="30">
        <v>2954</v>
      </c>
      <c r="K265" s="30">
        <v>3037</v>
      </c>
      <c r="L265" s="30">
        <v>2989</v>
      </c>
      <c r="N265" s="202" t="s">
        <v>6214</v>
      </c>
      <c r="O265" s="4"/>
      <c r="Q265" s="4"/>
    </row>
    <row r="266" spans="1:17">
      <c r="A266" s="699">
        <v>9</v>
      </c>
      <c r="B266" s="202" t="s">
        <v>2814</v>
      </c>
      <c r="C266" s="4" t="s">
        <v>14068</v>
      </c>
      <c r="D266" s="693">
        <v>0</v>
      </c>
      <c r="E266" s="693">
        <v>0</v>
      </c>
      <c r="F266" s="693">
        <v>0</v>
      </c>
      <c r="G266" s="30">
        <v>0</v>
      </c>
      <c r="H266" s="30">
        <v>0</v>
      </c>
      <c r="I266" s="30">
        <v>4344</v>
      </c>
      <c r="J266" s="30">
        <v>4371</v>
      </c>
      <c r="K266" s="30">
        <v>4525</v>
      </c>
      <c r="L266" s="30">
        <v>4457</v>
      </c>
      <c r="N266" s="202" t="s">
        <v>6214</v>
      </c>
      <c r="O266" s="4"/>
      <c r="Q266" s="4"/>
    </row>
    <row r="267" spans="1:17">
      <c r="A267" s="699">
        <v>10</v>
      </c>
      <c r="B267" s="202" t="s">
        <v>14012</v>
      </c>
      <c r="C267" s="4" t="s">
        <v>14069</v>
      </c>
      <c r="D267" s="693">
        <v>0</v>
      </c>
      <c r="E267" s="693">
        <v>0</v>
      </c>
      <c r="F267" s="693">
        <v>0</v>
      </c>
      <c r="G267" s="30">
        <v>0</v>
      </c>
      <c r="H267" s="30">
        <v>0</v>
      </c>
      <c r="I267" s="30">
        <v>1060</v>
      </c>
      <c r="J267" s="30">
        <v>1111</v>
      </c>
      <c r="K267" s="30">
        <v>1289</v>
      </c>
      <c r="L267" s="30">
        <v>1320</v>
      </c>
      <c r="N267" s="202" t="s">
        <v>6214</v>
      </c>
      <c r="O267" s="4"/>
      <c r="Q267" s="4"/>
    </row>
    <row r="268" spans="1:17">
      <c r="A268" s="699">
        <v>11</v>
      </c>
      <c r="B268" s="202" t="s">
        <v>2815</v>
      </c>
      <c r="C268" s="4" t="s">
        <v>14070</v>
      </c>
      <c r="D268" s="693">
        <v>0</v>
      </c>
      <c r="E268" s="693">
        <v>0</v>
      </c>
      <c r="F268" s="693">
        <v>0</v>
      </c>
      <c r="G268" s="30">
        <v>0</v>
      </c>
      <c r="H268" s="30">
        <v>0</v>
      </c>
      <c r="I268" s="30">
        <v>4435</v>
      </c>
      <c r="J268" s="30">
        <v>4257</v>
      </c>
      <c r="K268" s="30">
        <v>4507</v>
      </c>
      <c r="L268" s="30">
        <v>4487</v>
      </c>
      <c r="N268" s="202" t="s">
        <v>6214</v>
      </c>
      <c r="O268" s="4"/>
      <c r="Q268" s="4"/>
    </row>
    <row r="269" spans="1:17">
      <c r="A269" s="699">
        <v>12</v>
      </c>
      <c r="B269" s="202" t="s">
        <v>14011</v>
      </c>
      <c r="C269" s="4" t="s">
        <v>14071</v>
      </c>
      <c r="D269" s="693">
        <v>0</v>
      </c>
      <c r="E269" s="693">
        <v>0</v>
      </c>
      <c r="F269" s="693">
        <v>0</v>
      </c>
      <c r="G269" s="30">
        <v>0</v>
      </c>
      <c r="H269" s="30">
        <v>0</v>
      </c>
      <c r="I269" s="30">
        <v>4910</v>
      </c>
      <c r="J269" s="30">
        <v>4898</v>
      </c>
      <c r="K269" s="30">
        <v>5088</v>
      </c>
      <c r="L269" s="30">
        <v>4980</v>
      </c>
      <c r="N269" s="202" t="s">
        <v>6214</v>
      </c>
      <c r="O269" s="4"/>
      <c r="Q269" s="4"/>
    </row>
    <row r="270" spans="1:17">
      <c r="A270" s="699">
        <v>13</v>
      </c>
      <c r="B270" s="202" t="s">
        <v>14010</v>
      </c>
      <c r="C270" s="4" t="s">
        <v>14072</v>
      </c>
      <c r="D270" s="693">
        <v>0</v>
      </c>
      <c r="E270" s="693">
        <v>0</v>
      </c>
      <c r="F270" s="693">
        <v>0</v>
      </c>
      <c r="G270" s="30">
        <v>0</v>
      </c>
      <c r="H270" s="30">
        <v>0</v>
      </c>
      <c r="I270" s="30">
        <v>4479</v>
      </c>
      <c r="J270" s="30">
        <v>4397</v>
      </c>
      <c r="K270" s="30">
        <v>4630</v>
      </c>
      <c r="L270" s="30">
        <v>4603</v>
      </c>
      <c r="N270" s="202" t="s">
        <v>6214</v>
      </c>
      <c r="O270" s="4"/>
      <c r="Q270" s="4"/>
    </row>
    <row r="271" spans="1:17">
      <c r="A271" s="699">
        <v>14</v>
      </c>
      <c r="B271" s="202" t="s">
        <v>2816</v>
      </c>
      <c r="C271" s="4" t="s">
        <v>14073</v>
      </c>
      <c r="D271" s="693">
        <v>0</v>
      </c>
      <c r="E271" s="693">
        <v>0</v>
      </c>
      <c r="F271" s="693">
        <v>0</v>
      </c>
      <c r="G271" s="30">
        <v>0</v>
      </c>
      <c r="H271" s="30">
        <v>0</v>
      </c>
      <c r="I271" s="30">
        <v>2818</v>
      </c>
      <c r="J271" s="30">
        <v>2858</v>
      </c>
      <c r="K271" s="30">
        <v>3055</v>
      </c>
      <c r="L271" s="30">
        <v>3068</v>
      </c>
      <c r="N271" s="202" t="s">
        <v>6214</v>
      </c>
      <c r="O271" s="4"/>
      <c r="Q271" s="4"/>
    </row>
    <row r="272" spans="1:17">
      <c r="A272" s="699">
        <v>15</v>
      </c>
      <c r="B272" s="202" t="s">
        <v>5932</v>
      </c>
      <c r="C272" s="4" t="s">
        <v>14074</v>
      </c>
      <c r="D272" s="693">
        <v>0</v>
      </c>
      <c r="E272" s="693">
        <v>0</v>
      </c>
      <c r="F272" s="693">
        <v>0</v>
      </c>
      <c r="G272" s="30">
        <v>0</v>
      </c>
      <c r="H272" s="30">
        <v>0</v>
      </c>
      <c r="I272" s="31">
        <v>3512</v>
      </c>
      <c r="J272" s="31">
        <v>3458</v>
      </c>
      <c r="K272" s="31">
        <v>3623</v>
      </c>
      <c r="L272" s="31">
        <v>3605</v>
      </c>
      <c r="N272" s="202" t="s">
        <v>6214</v>
      </c>
      <c r="O272" s="4"/>
      <c r="Q272" s="4"/>
    </row>
    <row r="273" spans="1:17">
      <c r="A273" s="699">
        <v>16</v>
      </c>
      <c r="B273" s="202" t="s">
        <v>2817</v>
      </c>
      <c r="C273" s="4" t="s">
        <v>14075</v>
      </c>
      <c r="D273" s="693">
        <v>0</v>
      </c>
      <c r="E273" s="693">
        <v>0</v>
      </c>
      <c r="F273" s="693">
        <v>0</v>
      </c>
      <c r="G273" s="31">
        <v>0</v>
      </c>
      <c r="H273" s="31">
        <v>0</v>
      </c>
      <c r="I273" s="31">
        <v>3091</v>
      </c>
      <c r="J273" s="31">
        <v>3053</v>
      </c>
      <c r="K273" s="31">
        <v>3189</v>
      </c>
      <c r="L273" s="31">
        <v>3153</v>
      </c>
      <c r="N273" s="202" t="s">
        <v>6214</v>
      </c>
      <c r="O273" s="4"/>
      <c r="Q273" s="4"/>
    </row>
    <row r="274" spans="1:17">
      <c r="D274" s="694"/>
      <c r="E274" s="694"/>
      <c r="F274" s="694"/>
      <c r="G274" s="694"/>
      <c r="H274" s="694"/>
      <c r="I274" s="694"/>
      <c r="J274" s="694"/>
      <c r="K274" s="694"/>
      <c r="L274" s="694"/>
    </row>
    <row r="275" spans="1:17">
      <c r="A275" s="691" t="s">
        <v>1131</v>
      </c>
      <c r="D275" s="694">
        <f>D259+D262</f>
        <v>5624</v>
      </c>
      <c r="E275" s="694">
        <f t="shared" ref="E275:I275" si="159">E259+E262</f>
        <v>5535</v>
      </c>
      <c r="F275" s="694">
        <f t="shared" si="159"/>
        <v>5622</v>
      </c>
      <c r="G275" s="694">
        <f t="shared" si="159"/>
        <v>5601</v>
      </c>
      <c r="H275" s="694">
        <f t="shared" si="159"/>
        <v>5374</v>
      </c>
      <c r="I275" s="694">
        <f t="shared" si="159"/>
        <v>5508</v>
      </c>
      <c r="J275" s="694">
        <f t="shared" ref="J275:K275" si="160">J259+J262</f>
        <v>5613</v>
      </c>
      <c r="K275" s="694">
        <f t="shared" si="160"/>
        <v>6048</v>
      </c>
      <c r="L275" s="694">
        <f t="shared" ref="L275" si="161">L259+L262</f>
        <v>6008</v>
      </c>
    </row>
    <row r="276" spans="1:17">
      <c r="A276" s="202" t="s">
        <v>1152</v>
      </c>
      <c r="D276" s="693">
        <f>SUM(D256:D258)+D260+D261+D263+SUM(D265:D273)</f>
        <v>48287</v>
      </c>
      <c r="E276" s="693">
        <f t="shared" ref="E276:I276" si="162">SUM(E256:E258)+E260+E261+E263+SUM(E265:E273)</f>
        <v>48263</v>
      </c>
      <c r="F276" s="693">
        <f t="shared" si="162"/>
        <v>48714</v>
      </c>
      <c r="G276" s="693">
        <f t="shared" si="162"/>
        <v>48115</v>
      </c>
      <c r="H276" s="693">
        <f t="shared" si="162"/>
        <v>44791</v>
      </c>
      <c r="I276" s="693">
        <f t="shared" si="162"/>
        <v>47364</v>
      </c>
      <c r="J276" s="693">
        <f t="shared" ref="J276:K276" si="163">SUM(J256:J258)+J260+J261+J263+SUM(J265:J273)</f>
        <v>46953</v>
      </c>
      <c r="K276" s="693">
        <f t="shared" si="163"/>
        <v>49334</v>
      </c>
      <c r="L276" s="693">
        <f t="shared" ref="L276" si="164">SUM(L256:L258)+L260+L261+L263+SUM(L265:L273)</f>
        <v>48979</v>
      </c>
      <c r="M276" s="693"/>
    </row>
    <row r="278" spans="1:17">
      <c r="A278" s="691" t="s">
        <v>14014</v>
      </c>
    </row>
  </sheetData>
  <sortState ref="O256:Q272">
    <sortCondition ref="O256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5" orientation="portrait" horizontalDpi="300" verticalDpi="300" r:id="rId1"/>
  <headerFooter alignWithMargins="0">
    <oddFooter>&amp;C&amp;"Times New Roman,Regular"&amp;8&amp;P of &amp;N</oddFooter>
  </headerFooter>
  <ignoredErrors>
    <ignoredError sqref="D68:K68 D86:K86 D61:K61 D47:K47 D246:D247 D217:K217 D155:K155 D136:K136 D3:D12 E246:E247 E3:E12 D166:K166 D187:K187 D191:G191 D163:K163 D193:E193 D192:E192 D196:G196 D194:E194 D202:G202 D198:E198 D199:E199 D200:E200 D195:E195 D197:E197 D201:E201 D208:F210 F246:F247 F3:F12 G208:G210 G246:G247 G3:G12 D13:D42 E13:E42 F13:F42 G13:G42 H191:H202 H208:H210 H246:H247 H3:H12 H13:H42 I191:K191 I196:I210 I246:I247 D264:K264 D255:K255 D276:K276 I3:I42 D107:I107 D104:I104 D98:I98 D101:I101 D93:K93 D122:K122 D127:I128 J98 J127:J128 J246:J247 J196:K196 J202:K202 J208:J210 J3:J42 J100:J107 K98:K107 K127:K128 K208:K210 K246:K247 K3:K42 L3:L276" unlocked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154"/>
  <sheetViews>
    <sheetView showGridLines="0" zoomScaleNormal="100" workbookViewId="0"/>
  </sheetViews>
  <sheetFormatPr defaultColWidth="12.5703125" defaultRowHeight="15"/>
  <cols>
    <col min="1" max="1" width="4.85546875" style="101" customWidth="1"/>
    <col min="2" max="2" width="45.5703125" style="101" customWidth="1"/>
    <col min="3" max="3" width="11.5703125" style="101" customWidth="1"/>
    <col min="4" max="12" width="10" style="101" customWidth="1"/>
    <col min="13" max="13" width="2.28515625" style="101" customWidth="1"/>
    <col min="14" max="14" width="23.28515625" style="101" customWidth="1"/>
    <col min="15" max="15" width="12.5703125" style="101"/>
    <col min="16" max="16" width="9.7109375" style="101" customWidth="1"/>
    <col min="17" max="16384" width="12.5703125" style="101"/>
  </cols>
  <sheetData>
    <row r="1" spans="1:14">
      <c r="A1" s="100" t="s">
        <v>8847</v>
      </c>
      <c r="D1" s="102">
        <v>2010</v>
      </c>
      <c r="E1" s="102">
        <v>2011</v>
      </c>
      <c r="F1" s="102">
        <v>2012</v>
      </c>
      <c r="G1" s="102">
        <v>2013</v>
      </c>
      <c r="H1" s="102">
        <v>2014</v>
      </c>
      <c r="I1" s="102">
        <v>2015</v>
      </c>
      <c r="J1" s="102">
        <v>2016</v>
      </c>
      <c r="K1" s="102">
        <v>2017</v>
      </c>
      <c r="L1" s="102">
        <v>2018</v>
      </c>
    </row>
    <row r="3" spans="1:14">
      <c r="A3" s="100" t="s">
        <v>1685</v>
      </c>
      <c r="D3" s="103">
        <f t="shared" ref="D3:I3" si="0">SUM(D29:D68)+SUM(D70:D79)+SUM(D81:D84)+SUM(D86:D96)+SUM(D97:D100)</f>
        <v>245114</v>
      </c>
      <c r="E3" s="103">
        <f t="shared" si="0"/>
        <v>241852</v>
      </c>
      <c r="F3" s="103">
        <f t="shared" si="0"/>
        <v>245348</v>
      </c>
      <c r="G3" s="103">
        <f t="shared" si="0"/>
        <v>248229</v>
      </c>
      <c r="H3" s="103">
        <f t="shared" si="0"/>
        <v>244701</v>
      </c>
      <c r="I3" s="103">
        <f t="shared" si="0"/>
        <v>244610</v>
      </c>
      <c r="J3" s="103">
        <f t="shared" ref="J3:K3" si="1">SUM(J29:J68)+SUM(J70:J79)+SUM(J81:J84)+SUM(J86:J96)+SUM(J97:J100)</f>
        <v>232448</v>
      </c>
      <c r="K3" s="103">
        <f t="shared" si="1"/>
        <v>235363</v>
      </c>
      <c r="L3" s="103">
        <f t="shared" ref="L3" si="2">SUM(L29:L68)+SUM(L70:L79)+SUM(L81:L84)+SUM(L86:L96)+SUM(L97:L100)</f>
        <v>241298</v>
      </c>
    </row>
    <row r="4" spans="1:14">
      <c r="D4" s="104"/>
      <c r="E4" s="104"/>
      <c r="F4" s="104"/>
      <c r="G4" s="104"/>
      <c r="H4" s="104"/>
      <c r="I4" s="104"/>
      <c r="J4" s="104"/>
      <c r="K4" s="104"/>
      <c r="L4" s="104"/>
    </row>
    <row r="5" spans="1:14">
      <c r="A5" s="100" t="s">
        <v>1708</v>
      </c>
      <c r="D5" s="103">
        <f t="shared" ref="D5:I5" si="3">D3/3</f>
        <v>81704.666666666672</v>
      </c>
      <c r="E5" s="103">
        <f t="shared" si="3"/>
        <v>80617.333333333328</v>
      </c>
      <c r="F5" s="103">
        <f t="shared" si="3"/>
        <v>81782.666666666672</v>
      </c>
      <c r="G5" s="103">
        <f t="shared" si="3"/>
        <v>82743</v>
      </c>
      <c r="H5" s="103">
        <f t="shared" si="3"/>
        <v>81567</v>
      </c>
      <c r="I5" s="103">
        <f t="shared" si="3"/>
        <v>81536.666666666672</v>
      </c>
      <c r="J5" s="103">
        <f t="shared" ref="J5:K5" si="4">J3/3</f>
        <v>77482.666666666672</v>
      </c>
      <c r="K5" s="103">
        <f t="shared" si="4"/>
        <v>78454.333333333328</v>
      </c>
      <c r="L5" s="103">
        <f t="shared" ref="L5" si="5">L3/3</f>
        <v>80432.666666666672</v>
      </c>
    </row>
    <row r="6" spans="1:14">
      <c r="D6" s="104"/>
      <c r="E6" s="104"/>
      <c r="F6" s="104"/>
      <c r="G6" s="104"/>
      <c r="H6" s="104"/>
      <c r="I6" s="104"/>
      <c r="J6" s="104"/>
      <c r="K6" s="104"/>
      <c r="L6" s="104"/>
    </row>
    <row r="7" spans="1:14">
      <c r="A7" s="100" t="s">
        <v>1686</v>
      </c>
      <c r="D7" s="103">
        <f t="shared" ref="D7:I7" si="6">D102</f>
        <v>57112</v>
      </c>
      <c r="E7" s="103">
        <f t="shared" si="6"/>
        <v>55785</v>
      </c>
      <c r="F7" s="103">
        <f t="shared" si="6"/>
        <v>57712</v>
      </c>
      <c r="G7" s="103">
        <f t="shared" si="6"/>
        <v>58392</v>
      </c>
      <c r="H7" s="103">
        <f t="shared" si="6"/>
        <v>57262</v>
      </c>
      <c r="I7" s="103">
        <f t="shared" si="6"/>
        <v>57640</v>
      </c>
      <c r="J7" s="103">
        <f t="shared" ref="J7:K7" si="7">J102</f>
        <v>55548</v>
      </c>
      <c r="K7" s="103">
        <f t="shared" si="7"/>
        <v>56234</v>
      </c>
      <c r="L7" s="103">
        <f t="shared" ref="L7" si="8">L102</f>
        <v>57860</v>
      </c>
      <c r="N7" s="100" t="s">
        <v>1687</v>
      </c>
    </row>
    <row r="8" spans="1:14">
      <c r="D8" s="104"/>
      <c r="E8" s="104"/>
      <c r="F8" s="104"/>
      <c r="G8" s="104"/>
      <c r="H8" s="104"/>
      <c r="I8" s="104"/>
      <c r="J8" s="104"/>
      <c r="K8" s="104"/>
      <c r="L8" s="104"/>
    </row>
    <row r="9" spans="1:14">
      <c r="A9" s="100" t="s">
        <v>1688</v>
      </c>
      <c r="D9" s="103">
        <f t="shared" ref="D9:I9" si="9">D103</f>
        <v>64035</v>
      </c>
      <c r="E9" s="103">
        <f t="shared" si="9"/>
        <v>63173</v>
      </c>
      <c r="F9" s="103">
        <f t="shared" si="9"/>
        <v>63719</v>
      </c>
      <c r="G9" s="103">
        <f t="shared" si="9"/>
        <v>64674</v>
      </c>
      <c r="H9" s="103">
        <f t="shared" si="9"/>
        <v>63912</v>
      </c>
      <c r="I9" s="103">
        <f t="shared" si="9"/>
        <v>63712</v>
      </c>
      <c r="J9" s="103">
        <f t="shared" ref="J9:K9" si="10">J103</f>
        <v>59819</v>
      </c>
      <c r="K9" s="103">
        <f t="shared" si="10"/>
        <v>60990</v>
      </c>
      <c r="L9" s="103">
        <f t="shared" ref="L9" si="11">L103</f>
        <v>62420</v>
      </c>
      <c r="N9" s="100" t="s">
        <v>1687</v>
      </c>
    </row>
    <row r="10" spans="1:14">
      <c r="D10" s="104"/>
      <c r="E10" s="104"/>
      <c r="F10" s="104"/>
      <c r="G10" s="104"/>
      <c r="H10" s="104"/>
      <c r="I10" s="104"/>
      <c r="J10" s="104"/>
      <c r="K10" s="104"/>
      <c r="L10" s="104"/>
    </row>
    <row r="11" spans="1:14">
      <c r="A11" s="100" t="s">
        <v>1689</v>
      </c>
      <c r="D11" s="104">
        <f>'TYNE &amp; WEAR'!D18</f>
        <v>0</v>
      </c>
      <c r="E11" s="104">
        <f>'TYNE &amp; WEAR'!E18</f>
        <v>0</v>
      </c>
      <c r="F11" s="104">
        <f>'TYNE &amp; WEAR'!F18</f>
        <v>0</v>
      </c>
      <c r="G11" s="104">
        <f>'TYNE &amp; WEAR'!G18</f>
        <v>0</v>
      </c>
      <c r="H11" s="104">
        <f>'TYNE &amp; WEAR'!H18</f>
        <v>0</v>
      </c>
      <c r="I11" s="104">
        <f>'TYNE &amp; WEAR'!I18</f>
        <v>0</v>
      </c>
      <c r="J11" s="104">
        <f>'TYNE &amp; WEAR'!J18</f>
        <v>0</v>
      </c>
      <c r="K11" s="104">
        <f>'TYNE &amp; WEAR'!K18</f>
        <v>0</v>
      </c>
      <c r="L11" s="104">
        <f>'TYNE &amp; WEAR'!L18</f>
        <v>0</v>
      </c>
      <c r="N11" s="101" t="s">
        <v>4988</v>
      </c>
    </row>
    <row r="12" spans="1:14" ht="15.75" thickBot="1">
      <c r="A12" s="100"/>
      <c r="D12" s="105">
        <f t="shared" ref="D12:I12" si="12">D104</f>
        <v>61085</v>
      </c>
      <c r="E12" s="105">
        <f t="shared" si="12"/>
        <v>60499</v>
      </c>
      <c r="F12" s="105">
        <f t="shared" si="12"/>
        <v>60590</v>
      </c>
      <c r="G12" s="105">
        <f t="shared" si="12"/>
        <v>60978</v>
      </c>
      <c r="H12" s="105">
        <f t="shared" si="12"/>
        <v>60260</v>
      </c>
      <c r="I12" s="105">
        <f t="shared" si="12"/>
        <v>60232</v>
      </c>
      <c r="J12" s="105">
        <f t="shared" ref="J12:K12" si="13">J104</f>
        <v>58198</v>
      </c>
      <c r="K12" s="105">
        <f t="shared" si="13"/>
        <v>58698</v>
      </c>
      <c r="L12" s="105">
        <f t="shared" ref="L12" si="14">L104</f>
        <v>59856</v>
      </c>
      <c r="N12" s="100" t="s">
        <v>1687</v>
      </c>
    </row>
    <row r="13" spans="1:14" ht="15.75" thickBot="1">
      <c r="A13" s="100"/>
      <c r="D13" s="106">
        <f>D11+D12</f>
        <v>61085</v>
      </c>
      <c r="E13" s="106">
        <f t="shared" ref="E13:H13" si="15">E11+E12</f>
        <v>60499</v>
      </c>
      <c r="F13" s="106">
        <f t="shared" si="15"/>
        <v>60590</v>
      </c>
      <c r="G13" s="106">
        <f t="shared" si="15"/>
        <v>60978</v>
      </c>
      <c r="H13" s="106">
        <f t="shared" si="15"/>
        <v>60260</v>
      </c>
      <c r="I13" s="106">
        <f t="shared" ref="I13" si="16">I11+I12</f>
        <v>60232</v>
      </c>
      <c r="J13" s="106">
        <f t="shared" ref="J13:K13" si="17">J11+J12</f>
        <v>58198</v>
      </c>
      <c r="K13" s="106">
        <f t="shared" si="17"/>
        <v>58698</v>
      </c>
      <c r="L13" s="106">
        <f t="shared" ref="L13" si="18">L11+L12</f>
        <v>59856</v>
      </c>
      <c r="N13" s="100"/>
    </row>
    <row r="14" spans="1:14">
      <c r="D14" s="104"/>
      <c r="E14" s="104"/>
      <c r="F14" s="104"/>
      <c r="G14" s="104"/>
      <c r="H14" s="104"/>
      <c r="I14" s="104"/>
      <c r="J14" s="104"/>
      <c r="K14" s="104"/>
      <c r="L14" s="104"/>
    </row>
    <row r="15" spans="1:14">
      <c r="A15" s="100" t="s">
        <v>1690</v>
      </c>
      <c r="D15" s="103">
        <f t="shared" ref="D15:I15" si="19">D105</f>
        <v>62882</v>
      </c>
      <c r="E15" s="103">
        <f t="shared" si="19"/>
        <v>62395</v>
      </c>
      <c r="F15" s="103">
        <f t="shared" si="19"/>
        <v>63327</v>
      </c>
      <c r="G15" s="103">
        <f t="shared" si="19"/>
        <v>64185</v>
      </c>
      <c r="H15" s="103">
        <f t="shared" si="19"/>
        <v>63267</v>
      </c>
      <c r="I15" s="103">
        <f t="shared" si="19"/>
        <v>63026</v>
      </c>
      <c r="J15" s="103">
        <f t="shared" ref="J15:K15" si="20">J105</f>
        <v>58883</v>
      </c>
      <c r="K15" s="103">
        <f t="shared" si="20"/>
        <v>59441</v>
      </c>
      <c r="L15" s="103">
        <f t="shared" ref="L15" si="21">L105</f>
        <v>61162</v>
      </c>
      <c r="N15" s="100" t="s">
        <v>1687</v>
      </c>
    </row>
    <row r="16" spans="1:14">
      <c r="D16" s="104"/>
      <c r="E16" s="104"/>
      <c r="F16" s="104"/>
      <c r="G16" s="104"/>
      <c r="H16" s="104"/>
      <c r="I16" s="104"/>
      <c r="J16" s="104"/>
      <c r="K16" s="104"/>
      <c r="L16" s="104"/>
    </row>
    <row r="17" spans="1:17">
      <c r="A17" s="100" t="s">
        <v>8697</v>
      </c>
      <c r="D17" s="103">
        <f>D7+D9+D12+D15</f>
        <v>245114</v>
      </c>
      <c r="E17" s="103">
        <f t="shared" ref="E17:I17" si="22">E7+E9+E12+E15</f>
        <v>241852</v>
      </c>
      <c r="F17" s="103">
        <f t="shared" si="22"/>
        <v>245348</v>
      </c>
      <c r="G17" s="103">
        <f t="shared" si="22"/>
        <v>248229</v>
      </c>
      <c r="H17" s="103">
        <f t="shared" si="22"/>
        <v>244701</v>
      </c>
      <c r="I17" s="103">
        <f t="shared" si="22"/>
        <v>244610</v>
      </c>
      <c r="J17" s="103">
        <f t="shared" ref="J17:K17" si="23">J7+J9+J12+J15</f>
        <v>232448</v>
      </c>
      <c r="K17" s="103">
        <f t="shared" si="23"/>
        <v>235363</v>
      </c>
      <c r="L17" s="103">
        <f t="shared" ref="L17" si="24">L7+L9+L12+L15</f>
        <v>241298</v>
      </c>
    </row>
    <row r="18" spans="1:17">
      <c r="D18" s="104"/>
      <c r="E18" s="104"/>
      <c r="F18" s="104"/>
      <c r="G18" s="104"/>
      <c r="H18" s="104"/>
      <c r="I18" s="104"/>
      <c r="J18" s="104"/>
      <c r="K18" s="104"/>
      <c r="L18" s="104"/>
    </row>
    <row r="19" spans="1:17">
      <c r="A19" s="100" t="s">
        <v>8698</v>
      </c>
      <c r="D19" s="103">
        <f t="shared" ref="D19:I19" si="25">MAX(D7,D9,D12,D15)-MIN(D7,D9,D12,D15)</f>
        <v>6923</v>
      </c>
      <c r="E19" s="103">
        <f t="shared" si="25"/>
        <v>7388</v>
      </c>
      <c r="F19" s="103">
        <f t="shared" si="25"/>
        <v>6007</v>
      </c>
      <c r="G19" s="103">
        <f t="shared" si="25"/>
        <v>6282</v>
      </c>
      <c r="H19" s="103">
        <f t="shared" si="25"/>
        <v>6650</v>
      </c>
      <c r="I19" s="103">
        <f t="shared" si="25"/>
        <v>6072</v>
      </c>
      <c r="J19" s="103">
        <f t="shared" ref="J19:K19" si="26">MAX(J7,J9,J12,J15)-MIN(J7,J9,J12,J15)</f>
        <v>4271</v>
      </c>
      <c r="K19" s="103">
        <f t="shared" si="26"/>
        <v>4756</v>
      </c>
      <c r="L19" s="103">
        <f t="shared" ref="L19" si="27">MAX(L7,L9,L12,L15)-MIN(L7,L9,L12,L15)</f>
        <v>4560</v>
      </c>
    </row>
    <row r="20" spans="1:17">
      <c r="D20" s="104"/>
      <c r="E20" s="104"/>
      <c r="F20" s="104"/>
      <c r="G20" s="104"/>
      <c r="H20" s="104"/>
      <c r="I20" s="104"/>
      <c r="J20" s="104"/>
      <c r="K20" s="104"/>
      <c r="L20" s="104"/>
    </row>
    <row r="21" spans="1:17">
      <c r="A21" s="100" t="s">
        <v>8701</v>
      </c>
      <c r="D21" s="103">
        <f t="shared" ref="D21:I21" si="28">STDEVP(D7,D9,D12,D15)</f>
        <v>2625.1985163031004</v>
      </c>
      <c r="E21" s="103">
        <f t="shared" si="28"/>
        <v>2870.614219988468</v>
      </c>
      <c r="F21" s="103">
        <f t="shared" si="28"/>
        <v>2415.1945056247541</v>
      </c>
      <c r="G21" s="103">
        <f t="shared" si="28"/>
        <v>2548.2120570117395</v>
      </c>
      <c r="H21" s="103">
        <f t="shared" si="28"/>
        <v>2646.5272882590875</v>
      </c>
      <c r="I21" s="103">
        <f t="shared" si="28"/>
        <v>2410.7062761771704</v>
      </c>
      <c r="J21" s="103">
        <f t="shared" ref="J21:K21" si="29">STDEVP(J7,J9,J12,J15)</f>
        <v>1588.2208599561964</v>
      </c>
      <c r="K21" s="103">
        <f t="shared" si="29"/>
        <v>1717.1996644246119</v>
      </c>
      <c r="L21" s="103">
        <f t="shared" ref="L21" si="30">STDEVP(L7,L9,L12,L15)</f>
        <v>1687.1409988498294</v>
      </c>
    </row>
    <row r="22" spans="1:17">
      <c r="A22" s="100"/>
      <c r="D22" s="107"/>
      <c r="E22" s="107"/>
      <c r="F22" s="107"/>
      <c r="G22" s="107"/>
      <c r="H22" s="107"/>
      <c r="I22" s="107"/>
      <c r="J22" s="107"/>
      <c r="K22" s="107"/>
      <c r="L22" s="107"/>
    </row>
    <row r="23" spans="1:17">
      <c r="A23" s="100" t="s">
        <v>1691</v>
      </c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7">
      <c r="A24" s="100"/>
      <c r="D24" s="107"/>
      <c r="E24" s="107"/>
      <c r="F24" s="107"/>
      <c r="G24" s="107"/>
      <c r="H24" s="107"/>
      <c r="I24" s="107"/>
      <c r="J24" s="107"/>
      <c r="K24" s="107"/>
      <c r="L24" s="107"/>
    </row>
    <row r="25" spans="1:17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P25" s="108"/>
    </row>
    <row r="26" spans="1:17">
      <c r="E26" s="42" t="s">
        <v>2303</v>
      </c>
      <c r="F26" s="42"/>
      <c r="G26" s="42"/>
      <c r="H26" s="42"/>
      <c r="I26" s="42"/>
      <c r="J26" s="42"/>
      <c r="K26" s="42"/>
      <c r="L26" s="42"/>
      <c r="N26" s="109" t="s">
        <v>13319</v>
      </c>
    </row>
    <row r="27" spans="1:17">
      <c r="D27" s="110">
        <v>2010</v>
      </c>
      <c r="E27" s="110">
        <v>2011</v>
      </c>
      <c r="F27" s="110">
        <v>2012</v>
      </c>
      <c r="G27" s="110">
        <v>2013</v>
      </c>
      <c r="H27" s="110">
        <v>2014</v>
      </c>
      <c r="I27" s="110">
        <v>2015</v>
      </c>
      <c r="J27" s="110">
        <v>2016</v>
      </c>
      <c r="K27" s="110">
        <v>2017</v>
      </c>
      <c r="L27" s="110">
        <v>2018</v>
      </c>
      <c r="M27" s="111"/>
      <c r="N27" s="112" t="s">
        <v>2304</v>
      </c>
    </row>
    <row r="28" spans="1:17">
      <c r="A28" s="100" t="s">
        <v>1685</v>
      </c>
      <c r="B28" s="100"/>
      <c r="C28" s="100"/>
      <c r="D28" s="103">
        <f t="shared" ref="D28:I28" si="31">SUM(D29:D68)+SUM(D70:D79)+SUM(D81:D84)+SUM(D86:D96)+SUM(D97:D100)</f>
        <v>245114</v>
      </c>
      <c r="E28" s="103">
        <f t="shared" si="31"/>
        <v>241852</v>
      </c>
      <c r="F28" s="103">
        <f t="shared" si="31"/>
        <v>245348</v>
      </c>
      <c r="G28" s="103">
        <f t="shared" si="31"/>
        <v>248229</v>
      </c>
      <c r="H28" s="103">
        <f t="shared" si="31"/>
        <v>244701</v>
      </c>
      <c r="I28" s="103">
        <f t="shared" si="31"/>
        <v>244610</v>
      </c>
      <c r="J28" s="103">
        <f t="shared" ref="J28:K28" si="32">SUM(J29:J68)+SUM(J70:J79)+SUM(J81:J84)+SUM(J86:J96)+SUM(J97:J100)</f>
        <v>232448</v>
      </c>
      <c r="K28" s="103">
        <f t="shared" si="32"/>
        <v>235363</v>
      </c>
      <c r="L28" s="103">
        <f t="shared" ref="L28" si="33">SUM(L29:L68)+SUM(L70:L79)+SUM(L81:L84)+SUM(L86:L96)+SUM(L97:L100)</f>
        <v>241298</v>
      </c>
      <c r="P28" s="100"/>
    </row>
    <row r="29" spans="1:17">
      <c r="A29" s="113">
        <v>1</v>
      </c>
      <c r="B29" s="101" t="s">
        <v>6850</v>
      </c>
      <c r="C29" s="72" t="s">
        <v>13573</v>
      </c>
      <c r="D29" s="104">
        <v>57112</v>
      </c>
      <c r="E29" s="104">
        <v>55785</v>
      </c>
      <c r="F29" s="104">
        <v>57712</v>
      </c>
      <c r="G29" s="104">
        <v>58392</v>
      </c>
      <c r="H29" s="48">
        <v>7575</v>
      </c>
      <c r="I29" s="48">
        <v>7663</v>
      </c>
      <c r="J29" s="48">
        <v>7449</v>
      </c>
      <c r="K29" s="48">
        <v>7518</v>
      </c>
      <c r="L29" s="48">
        <v>7775</v>
      </c>
      <c r="N29" s="100" t="s">
        <v>1686</v>
      </c>
      <c r="Q29" s="4"/>
    </row>
    <row r="30" spans="1:17">
      <c r="A30" s="113">
        <v>2</v>
      </c>
      <c r="B30" s="100" t="s">
        <v>1692</v>
      </c>
      <c r="C30" s="72" t="s">
        <v>13574</v>
      </c>
      <c r="D30" s="104">
        <v>0</v>
      </c>
      <c r="E30" s="104">
        <v>0</v>
      </c>
      <c r="F30" s="104">
        <v>0</v>
      </c>
      <c r="G30" s="104">
        <v>0</v>
      </c>
      <c r="H30" s="48">
        <v>3713</v>
      </c>
      <c r="I30" s="48">
        <v>3700</v>
      </c>
      <c r="J30" s="48">
        <v>3408</v>
      </c>
      <c r="K30" s="48">
        <v>3598</v>
      </c>
      <c r="L30" s="48">
        <v>3814</v>
      </c>
      <c r="N30" s="100" t="s">
        <v>1686</v>
      </c>
      <c r="Q30" s="4"/>
    </row>
    <row r="31" spans="1:17">
      <c r="A31" s="113">
        <v>3</v>
      </c>
      <c r="B31" s="100" t="s">
        <v>1693</v>
      </c>
      <c r="C31" s="72" t="s">
        <v>13575</v>
      </c>
      <c r="D31" s="104">
        <v>0</v>
      </c>
      <c r="E31" s="104">
        <v>0</v>
      </c>
      <c r="F31" s="104">
        <v>0</v>
      </c>
      <c r="G31" s="104">
        <v>0</v>
      </c>
      <c r="H31" s="48">
        <v>3406</v>
      </c>
      <c r="I31" s="48">
        <v>3389</v>
      </c>
      <c r="J31" s="48">
        <v>3318</v>
      </c>
      <c r="K31" s="48">
        <v>3320</v>
      </c>
      <c r="L31" s="48">
        <v>3406</v>
      </c>
      <c r="N31" s="100" t="s">
        <v>1686</v>
      </c>
      <c r="Q31" s="4"/>
    </row>
    <row r="32" spans="1:17">
      <c r="A32" s="113">
        <v>4</v>
      </c>
      <c r="B32" s="100" t="s">
        <v>3308</v>
      </c>
      <c r="C32" s="72" t="s">
        <v>13576</v>
      </c>
      <c r="D32" s="104">
        <v>62882</v>
      </c>
      <c r="E32" s="104">
        <v>62395</v>
      </c>
      <c r="F32" s="104">
        <v>63327</v>
      </c>
      <c r="G32" s="104">
        <v>64185</v>
      </c>
      <c r="H32" s="48">
        <v>3637</v>
      </c>
      <c r="I32" s="48">
        <v>3623</v>
      </c>
      <c r="J32" s="48">
        <v>3181</v>
      </c>
      <c r="K32" s="48">
        <v>3197</v>
      </c>
      <c r="L32" s="48">
        <v>3337</v>
      </c>
      <c r="N32" s="100" t="s">
        <v>1690</v>
      </c>
      <c r="Q32" s="4"/>
    </row>
    <row r="33" spans="1:17">
      <c r="A33" s="113">
        <v>5</v>
      </c>
      <c r="B33" s="100" t="s">
        <v>3309</v>
      </c>
      <c r="C33" s="72" t="s">
        <v>13577</v>
      </c>
      <c r="D33" s="104">
        <v>0</v>
      </c>
      <c r="E33" s="104">
        <v>0</v>
      </c>
      <c r="F33" s="104">
        <v>0</v>
      </c>
      <c r="G33" s="104">
        <v>0</v>
      </c>
      <c r="H33" s="48">
        <v>3554</v>
      </c>
      <c r="I33" s="48">
        <v>3592</v>
      </c>
      <c r="J33" s="48">
        <v>3450</v>
      </c>
      <c r="K33" s="48">
        <v>3482</v>
      </c>
      <c r="L33" s="48">
        <v>3515</v>
      </c>
      <c r="N33" s="100" t="s">
        <v>1686</v>
      </c>
      <c r="Q33" s="4"/>
    </row>
    <row r="34" spans="1:17">
      <c r="A34" s="113">
        <v>6</v>
      </c>
      <c r="B34" s="100" t="s">
        <v>3445</v>
      </c>
      <c r="C34" s="72" t="s">
        <v>13578</v>
      </c>
      <c r="D34" s="104">
        <v>0</v>
      </c>
      <c r="E34" s="104">
        <v>0</v>
      </c>
      <c r="F34" s="104">
        <v>0</v>
      </c>
      <c r="G34" s="104">
        <v>0</v>
      </c>
      <c r="H34" s="48">
        <v>3723</v>
      </c>
      <c r="I34" s="48">
        <v>3697</v>
      </c>
      <c r="J34" s="48">
        <v>3483</v>
      </c>
      <c r="K34" s="48">
        <v>3566</v>
      </c>
      <c r="L34" s="48">
        <v>3696</v>
      </c>
      <c r="N34" s="100" t="s">
        <v>1690</v>
      </c>
      <c r="Q34" s="4"/>
    </row>
    <row r="35" spans="1:17">
      <c r="A35" s="113">
        <v>7</v>
      </c>
      <c r="B35" s="100" t="s">
        <v>3446</v>
      </c>
      <c r="C35" s="72" t="s">
        <v>13579</v>
      </c>
      <c r="D35" s="104">
        <v>0</v>
      </c>
      <c r="E35" s="104">
        <v>0</v>
      </c>
      <c r="F35" s="104">
        <v>0</v>
      </c>
      <c r="G35" s="104">
        <v>0</v>
      </c>
      <c r="H35" s="48">
        <v>3450</v>
      </c>
      <c r="I35" s="48">
        <v>3406</v>
      </c>
      <c r="J35" s="48">
        <v>3130</v>
      </c>
      <c r="K35" s="48">
        <v>3137</v>
      </c>
      <c r="L35" s="48">
        <v>3177</v>
      </c>
      <c r="N35" s="100" t="s">
        <v>1690</v>
      </c>
      <c r="Q35" s="4"/>
    </row>
    <row r="36" spans="1:17">
      <c r="A36" s="113">
        <v>8</v>
      </c>
      <c r="B36" s="100" t="s">
        <v>3447</v>
      </c>
      <c r="C36" s="72" t="s">
        <v>13580</v>
      </c>
      <c r="D36" s="104">
        <v>0</v>
      </c>
      <c r="E36" s="104">
        <v>0</v>
      </c>
      <c r="F36" s="104">
        <v>0</v>
      </c>
      <c r="G36" s="104">
        <v>0</v>
      </c>
      <c r="H36" s="48">
        <v>3708</v>
      </c>
      <c r="I36" s="48">
        <v>3710</v>
      </c>
      <c r="J36" s="48">
        <v>3577</v>
      </c>
      <c r="K36" s="48">
        <v>3598</v>
      </c>
      <c r="L36" s="48">
        <v>3715</v>
      </c>
      <c r="N36" s="100" t="s">
        <v>1690</v>
      </c>
      <c r="Q36" s="4"/>
    </row>
    <row r="37" spans="1:17">
      <c r="A37" s="113">
        <v>9</v>
      </c>
      <c r="B37" s="100" t="s">
        <v>6250</v>
      </c>
      <c r="C37" s="72" t="s">
        <v>13581</v>
      </c>
      <c r="D37" s="104">
        <v>61085</v>
      </c>
      <c r="E37" s="104">
        <v>60499</v>
      </c>
      <c r="F37" s="104">
        <v>60590</v>
      </c>
      <c r="G37" s="104">
        <v>60978</v>
      </c>
      <c r="H37" s="48">
        <v>3160</v>
      </c>
      <c r="I37" s="48">
        <v>3155</v>
      </c>
      <c r="J37" s="48">
        <v>3050</v>
      </c>
      <c r="K37" s="48">
        <v>3062</v>
      </c>
      <c r="L37" s="48">
        <v>3099</v>
      </c>
      <c r="N37" s="100" t="s">
        <v>1689</v>
      </c>
      <c r="Q37" s="4"/>
    </row>
    <row r="38" spans="1:17">
      <c r="A38" s="113">
        <v>10</v>
      </c>
      <c r="B38" s="100" t="s">
        <v>3448</v>
      </c>
      <c r="C38" s="72" t="s">
        <v>13582</v>
      </c>
      <c r="D38" s="104">
        <v>0</v>
      </c>
      <c r="E38" s="104">
        <v>0</v>
      </c>
      <c r="F38" s="104">
        <v>0</v>
      </c>
      <c r="G38" s="104">
        <v>0</v>
      </c>
      <c r="H38" s="48">
        <v>3411</v>
      </c>
      <c r="I38" s="48">
        <v>3395</v>
      </c>
      <c r="J38" s="48">
        <v>3215</v>
      </c>
      <c r="K38" s="48">
        <v>3248</v>
      </c>
      <c r="L38" s="48">
        <v>3310</v>
      </c>
      <c r="N38" s="100" t="s">
        <v>1686</v>
      </c>
      <c r="Q38" s="4"/>
    </row>
    <row r="39" spans="1:17">
      <c r="A39" s="113">
        <v>11</v>
      </c>
      <c r="B39" s="100" t="s">
        <v>3449</v>
      </c>
      <c r="C39" s="72" t="s">
        <v>13583</v>
      </c>
      <c r="D39" s="104">
        <v>0</v>
      </c>
      <c r="E39" s="104">
        <v>0</v>
      </c>
      <c r="F39" s="104">
        <v>0</v>
      </c>
      <c r="G39" s="104">
        <v>0</v>
      </c>
      <c r="H39" s="48">
        <v>3242</v>
      </c>
      <c r="I39" s="48">
        <v>3252</v>
      </c>
      <c r="J39" s="48">
        <v>3146</v>
      </c>
      <c r="K39" s="48">
        <v>3215</v>
      </c>
      <c r="L39" s="48">
        <v>3341</v>
      </c>
      <c r="N39" s="100" t="s">
        <v>1686</v>
      </c>
      <c r="Q39" s="4"/>
    </row>
    <row r="40" spans="1:17">
      <c r="A40" s="113">
        <v>12</v>
      </c>
      <c r="B40" s="100" t="s">
        <v>3450</v>
      </c>
      <c r="C40" s="72" t="s">
        <v>13584</v>
      </c>
      <c r="D40" s="104">
        <v>0</v>
      </c>
      <c r="E40" s="104">
        <v>0</v>
      </c>
      <c r="F40" s="104">
        <v>0</v>
      </c>
      <c r="G40" s="104">
        <v>0</v>
      </c>
      <c r="H40" s="48">
        <v>3028</v>
      </c>
      <c r="I40" s="48">
        <v>3056</v>
      </c>
      <c r="J40" s="48">
        <v>2943</v>
      </c>
      <c r="K40" s="48">
        <v>2980</v>
      </c>
      <c r="L40" s="48">
        <v>3092</v>
      </c>
      <c r="N40" s="100" t="s">
        <v>1686</v>
      </c>
      <c r="Q40" s="4"/>
    </row>
    <row r="41" spans="1:17">
      <c r="A41" s="113">
        <v>13</v>
      </c>
      <c r="B41" s="100" t="s">
        <v>3451</v>
      </c>
      <c r="C41" s="72" t="s">
        <v>13585</v>
      </c>
      <c r="D41" s="104">
        <v>0</v>
      </c>
      <c r="E41" s="104">
        <v>0</v>
      </c>
      <c r="F41" s="104">
        <v>0</v>
      </c>
      <c r="G41" s="104">
        <v>0</v>
      </c>
      <c r="H41" s="48">
        <v>3602</v>
      </c>
      <c r="I41" s="48">
        <v>3618</v>
      </c>
      <c r="J41" s="48">
        <v>3420</v>
      </c>
      <c r="K41" s="48">
        <v>3515</v>
      </c>
      <c r="L41" s="48">
        <v>3662</v>
      </c>
      <c r="N41" s="100" t="s">
        <v>1690</v>
      </c>
      <c r="Q41" s="4"/>
    </row>
    <row r="42" spans="1:17">
      <c r="A42" s="113">
        <v>14</v>
      </c>
      <c r="B42" s="100" t="s">
        <v>3452</v>
      </c>
      <c r="C42" s="72" t="s">
        <v>13586</v>
      </c>
      <c r="D42" s="104">
        <v>0</v>
      </c>
      <c r="E42" s="104">
        <v>0</v>
      </c>
      <c r="F42" s="104">
        <v>0</v>
      </c>
      <c r="G42" s="104">
        <v>0</v>
      </c>
      <c r="H42" s="48">
        <v>3552</v>
      </c>
      <c r="I42" s="48">
        <v>3577</v>
      </c>
      <c r="J42" s="48">
        <v>3457</v>
      </c>
      <c r="K42" s="48">
        <v>3437</v>
      </c>
      <c r="L42" s="48">
        <v>3581</v>
      </c>
      <c r="N42" s="100" t="s">
        <v>1689</v>
      </c>
      <c r="Q42" s="4"/>
    </row>
    <row r="43" spans="1:17">
      <c r="A43" s="113">
        <v>15</v>
      </c>
      <c r="B43" s="100" t="s">
        <v>3453</v>
      </c>
      <c r="C43" s="72" t="s">
        <v>13587</v>
      </c>
      <c r="D43" s="104">
        <v>0</v>
      </c>
      <c r="E43" s="104">
        <v>0</v>
      </c>
      <c r="F43" s="104">
        <v>0</v>
      </c>
      <c r="G43" s="104">
        <v>0</v>
      </c>
      <c r="H43" s="48">
        <v>3752</v>
      </c>
      <c r="I43" s="48">
        <v>3713</v>
      </c>
      <c r="J43" s="48">
        <v>3442</v>
      </c>
      <c r="K43" s="48">
        <v>3408</v>
      </c>
      <c r="L43" s="48">
        <v>3461</v>
      </c>
      <c r="N43" s="100" t="s">
        <v>1690</v>
      </c>
      <c r="Q43" s="4"/>
    </row>
    <row r="44" spans="1:17">
      <c r="A44" s="113">
        <v>16</v>
      </c>
      <c r="B44" s="100" t="s">
        <v>2177</v>
      </c>
      <c r="C44" s="72" t="s">
        <v>13588</v>
      </c>
      <c r="D44" s="104">
        <v>0</v>
      </c>
      <c r="E44" s="104">
        <v>0</v>
      </c>
      <c r="F44" s="104">
        <v>0</v>
      </c>
      <c r="G44" s="104">
        <v>0</v>
      </c>
      <c r="H44" s="48">
        <v>3762</v>
      </c>
      <c r="I44" s="48">
        <v>3717</v>
      </c>
      <c r="J44" s="48">
        <v>3368</v>
      </c>
      <c r="K44" s="48">
        <v>3407</v>
      </c>
      <c r="L44" s="48">
        <v>3496</v>
      </c>
      <c r="N44" s="100" t="s">
        <v>1690</v>
      </c>
      <c r="Q44" s="4"/>
    </row>
    <row r="45" spans="1:17">
      <c r="A45" s="113">
        <v>17</v>
      </c>
      <c r="B45" s="100" t="s">
        <v>3454</v>
      </c>
      <c r="C45" s="72" t="s">
        <v>13589</v>
      </c>
      <c r="D45" s="104">
        <v>0</v>
      </c>
      <c r="E45" s="104">
        <v>0</v>
      </c>
      <c r="F45" s="104">
        <v>0</v>
      </c>
      <c r="G45" s="104">
        <v>0</v>
      </c>
      <c r="H45" s="48">
        <v>3470</v>
      </c>
      <c r="I45" s="48">
        <v>3478</v>
      </c>
      <c r="J45" s="48">
        <v>3353</v>
      </c>
      <c r="K45" s="48">
        <v>3349</v>
      </c>
      <c r="L45" s="48">
        <v>3407</v>
      </c>
      <c r="N45" s="100" t="s">
        <v>1689</v>
      </c>
      <c r="Q45" s="4"/>
    </row>
    <row r="46" spans="1:17">
      <c r="A46" s="113">
        <v>18</v>
      </c>
      <c r="B46" s="100" t="s">
        <v>3455</v>
      </c>
      <c r="C46" s="72" t="s">
        <v>13590</v>
      </c>
      <c r="D46" s="104">
        <v>64035</v>
      </c>
      <c r="E46" s="104">
        <v>63173</v>
      </c>
      <c r="F46" s="104">
        <v>63719</v>
      </c>
      <c r="G46" s="104">
        <v>64674</v>
      </c>
      <c r="H46" s="48">
        <v>3305</v>
      </c>
      <c r="I46" s="48">
        <v>3266</v>
      </c>
      <c r="J46" s="48">
        <v>3050</v>
      </c>
      <c r="K46" s="48">
        <v>2991</v>
      </c>
      <c r="L46" s="48">
        <v>3032</v>
      </c>
      <c r="N46" s="100" t="s">
        <v>1688</v>
      </c>
      <c r="Q46" s="4"/>
    </row>
    <row r="47" spans="1:17">
      <c r="A47" s="114">
        <v>19</v>
      </c>
      <c r="B47" s="100" t="s">
        <v>3456</v>
      </c>
      <c r="C47" s="72" t="s">
        <v>13591</v>
      </c>
      <c r="D47" s="104">
        <v>0</v>
      </c>
      <c r="E47" s="104">
        <v>0</v>
      </c>
      <c r="F47" s="104">
        <v>0</v>
      </c>
      <c r="G47" s="104">
        <v>0</v>
      </c>
      <c r="H47" s="48">
        <v>3126</v>
      </c>
      <c r="I47" s="48">
        <v>3118</v>
      </c>
      <c r="J47" s="48">
        <v>2751</v>
      </c>
      <c r="K47" s="48">
        <v>2821</v>
      </c>
      <c r="L47" s="48">
        <v>2922</v>
      </c>
      <c r="N47" s="100" t="s">
        <v>1688</v>
      </c>
      <c r="Q47" s="4"/>
    </row>
    <row r="48" spans="1:17">
      <c r="A48" s="114">
        <v>20</v>
      </c>
      <c r="B48" s="100" t="s">
        <v>3457</v>
      </c>
      <c r="C48" s="72" t="s">
        <v>13592</v>
      </c>
      <c r="D48" s="104">
        <v>0</v>
      </c>
      <c r="E48" s="104">
        <v>0</v>
      </c>
      <c r="F48" s="104">
        <v>0</v>
      </c>
      <c r="G48" s="104">
        <v>0</v>
      </c>
      <c r="H48" s="48">
        <v>4182</v>
      </c>
      <c r="I48" s="48">
        <v>4174</v>
      </c>
      <c r="J48" s="48">
        <v>3840</v>
      </c>
      <c r="K48" s="48">
        <v>3880</v>
      </c>
      <c r="L48" s="48">
        <v>3947</v>
      </c>
      <c r="N48" s="100" t="s">
        <v>1688</v>
      </c>
      <c r="Q48" s="4"/>
    </row>
    <row r="49" spans="1:17">
      <c r="A49" s="113">
        <v>21</v>
      </c>
      <c r="B49" s="100" t="s">
        <v>3458</v>
      </c>
      <c r="C49" s="72" t="s">
        <v>13593</v>
      </c>
      <c r="D49" s="104">
        <v>0</v>
      </c>
      <c r="E49" s="104">
        <v>0</v>
      </c>
      <c r="F49" s="104">
        <v>0</v>
      </c>
      <c r="G49" s="104">
        <v>0</v>
      </c>
      <c r="H49" s="48">
        <v>4134</v>
      </c>
      <c r="I49" s="48">
        <v>4128</v>
      </c>
      <c r="J49" s="48">
        <v>4015</v>
      </c>
      <c r="K49" s="48">
        <v>4025</v>
      </c>
      <c r="L49" s="48">
        <v>4070</v>
      </c>
      <c r="N49" s="100" t="s">
        <v>1688</v>
      </c>
      <c r="Q49" s="4"/>
    </row>
    <row r="50" spans="1:17">
      <c r="A50" s="113">
        <v>22</v>
      </c>
      <c r="B50" s="101" t="s">
        <v>3459</v>
      </c>
      <c r="C50" s="72" t="s">
        <v>13594</v>
      </c>
      <c r="D50" s="104">
        <v>0</v>
      </c>
      <c r="E50" s="104">
        <v>0</v>
      </c>
      <c r="F50" s="104">
        <v>0</v>
      </c>
      <c r="G50" s="104">
        <v>0</v>
      </c>
      <c r="H50" s="48">
        <v>3907</v>
      </c>
      <c r="I50" s="48">
        <v>3929</v>
      </c>
      <c r="J50" s="48">
        <v>3738</v>
      </c>
      <c r="K50" s="48">
        <v>3743</v>
      </c>
      <c r="L50" s="48">
        <v>3774</v>
      </c>
      <c r="N50" s="100" t="s">
        <v>1688</v>
      </c>
      <c r="Q50" s="4"/>
    </row>
    <row r="51" spans="1:17">
      <c r="A51" s="113">
        <v>23</v>
      </c>
      <c r="B51" s="100" t="s">
        <v>3460</v>
      </c>
      <c r="C51" s="72" t="s">
        <v>13595</v>
      </c>
      <c r="D51" s="104">
        <v>0</v>
      </c>
      <c r="E51" s="104">
        <v>0</v>
      </c>
      <c r="F51" s="104">
        <v>0</v>
      </c>
      <c r="G51" s="104">
        <v>0</v>
      </c>
      <c r="H51" s="48">
        <v>3635</v>
      </c>
      <c r="I51" s="48">
        <v>3635</v>
      </c>
      <c r="J51" s="48">
        <v>3445</v>
      </c>
      <c r="K51" s="48">
        <v>3573</v>
      </c>
      <c r="L51" s="48">
        <v>3548</v>
      </c>
      <c r="N51" s="100" t="s">
        <v>1688</v>
      </c>
      <c r="Q51" s="4"/>
    </row>
    <row r="52" spans="1:17">
      <c r="A52" s="113">
        <v>24</v>
      </c>
      <c r="B52" s="100" t="s">
        <v>3461</v>
      </c>
      <c r="C52" s="72" t="s">
        <v>13596</v>
      </c>
      <c r="D52" s="104">
        <v>0</v>
      </c>
      <c r="E52" s="104">
        <v>0</v>
      </c>
      <c r="F52" s="104">
        <v>0</v>
      </c>
      <c r="G52" s="104">
        <v>0</v>
      </c>
      <c r="H52" s="48">
        <v>4072</v>
      </c>
      <c r="I52" s="48">
        <v>4036</v>
      </c>
      <c r="J52" s="48">
        <v>3737</v>
      </c>
      <c r="K52" s="48">
        <v>3820</v>
      </c>
      <c r="L52" s="48">
        <v>3962</v>
      </c>
      <c r="N52" s="100" t="s">
        <v>1688</v>
      </c>
      <c r="Q52" s="4"/>
    </row>
    <row r="53" spans="1:17">
      <c r="A53" s="113">
        <v>25</v>
      </c>
      <c r="B53" s="100" t="s">
        <v>2433</v>
      </c>
      <c r="C53" s="72" t="s">
        <v>13597</v>
      </c>
      <c r="D53" s="104">
        <v>0</v>
      </c>
      <c r="E53" s="104">
        <v>0</v>
      </c>
      <c r="F53" s="104">
        <v>0</v>
      </c>
      <c r="G53" s="104">
        <v>0</v>
      </c>
      <c r="H53" s="48">
        <v>3402</v>
      </c>
      <c r="I53" s="48">
        <v>3267</v>
      </c>
      <c r="J53" s="48">
        <v>2883</v>
      </c>
      <c r="K53" s="48">
        <v>2898</v>
      </c>
      <c r="L53" s="48">
        <v>2972</v>
      </c>
      <c r="N53" s="100" t="s">
        <v>1688</v>
      </c>
      <c r="Q53" s="4"/>
    </row>
    <row r="54" spans="1:17">
      <c r="A54" s="113">
        <v>26</v>
      </c>
      <c r="B54" s="100" t="s">
        <v>13328</v>
      </c>
      <c r="C54" s="72" t="s">
        <v>13598</v>
      </c>
      <c r="D54" s="104">
        <v>0</v>
      </c>
      <c r="E54" s="104">
        <v>0</v>
      </c>
      <c r="F54" s="104">
        <v>0</v>
      </c>
      <c r="G54" s="104">
        <v>0</v>
      </c>
      <c r="H54" s="48">
        <v>4165</v>
      </c>
      <c r="I54" s="48">
        <v>4186</v>
      </c>
      <c r="J54" s="48">
        <v>3936</v>
      </c>
      <c r="K54" s="48">
        <v>3971</v>
      </c>
      <c r="L54" s="48">
        <v>4096</v>
      </c>
      <c r="N54" s="100" t="s">
        <v>1686</v>
      </c>
      <c r="Q54" s="4"/>
    </row>
    <row r="55" spans="1:17">
      <c r="A55" s="113">
        <v>27</v>
      </c>
      <c r="B55" s="100" t="s">
        <v>5156</v>
      </c>
      <c r="C55" s="72" t="s">
        <v>13599</v>
      </c>
      <c r="D55" s="104">
        <v>0</v>
      </c>
      <c r="E55" s="104">
        <v>0</v>
      </c>
      <c r="F55" s="104">
        <v>0</v>
      </c>
      <c r="G55" s="104">
        <v>0</v>
      </c>
      <c r="H55" s="48">
        <v>3632</v>
      </c>
      <c r="I55" s="48">
        <v>3652</v>
      </c>
      <c r="J55" s="48">
        <v>3583</v>
      </c>
      <c r="K55" s="48">
        <v>3606</v>
      </c>
      <c r="L55" s="48">
        <v>3725</v>
      </c>
      <c r="N55" s="100" t="s">
        <v>1689</v>
      </c>
      <c r="Q55" s="4"/>
    </row>
    <row r="56" spans="1:17">
      <c r="A56" s="113">
        <v>28</v>
      </c>
      <c r="B56" s="100" t="s">
        <v>5157</v>
      </c>
      <c r="C56" s="72" t="s">
        <v>13600</v>
      </c>
      <c r="D56" s="104">
        <v>0</v>
      </c>
      <c r="E56" s="104">
        <v>0</v>
      </c>
      <c r="F56" s="104">
        <v>0</v>
      </c>
      <c r="G56" s="104">
        <v>0</v>
      </c>
      <c r="H56" s="48">
        <v>4077</v>
      </c>
      <c r="I56" s="48">
        <v>4064</v>
      </c>
      <c r="J56" s="48">
        <v>3883</v>
      </c>
      <c r="K56" s="48">
        <v>3961</v>
      </c>
      <c r="L56" s="48">
        <v>3970</v>
      </c>
      <c r="N56" s="100" t="s">
        <v>1688</v>
      </c>
      <c r="Q56" s="4"/>
    </row>
    <row r="57" spans="1:17">
      <c r="A57" s="113">
        <v>29</v>
      </c>
      <c r="B57" s="101" t="s">
        <v>5158</v>
      </c>
      <c r="C57" s="72" t="s">
        <v>13601</v>
      </c>
      <c r="D57" s="104">
        <v>0</v>
      </c>
      <c r="E57" s="104">
        <v>0</v>
      </c>
      <c r="F57" s="104">
        <v>0</v>
      </c>
      <c r="G57" s="104">
        <v>0</v>
      </c>
      <c r="H57" s="48">
        <v>3669</v>
      </c>
      <c r="I57" s="48">
        <v>3649</v>
      </c>
      <c r="J57" s="48">
        <v>3486</v>
      </c>
      <c r="K57" s="48">
        <v>3491</v>
      </c>
      <c r="L57" s="48">
        <v>3487</v>
      </c>
      <c r="N57" s="100" t="s">
        <v>1690</v>
      </c>
      <c r="Q57" s="4"/>
    </row>
    <row r="58" spans="1:17">
      <c r="A58" s="113">
        <v>30</v>
      </c>
      <c r="B58" s="100" t="s">
        <v>3439</v>
      </c>
      <c r="C58" s="72" t="s">
        <v>13602</v>
      </c>
      <c r="D58" s="104">
        <v>0</v>
      </c>
      <c r="E58" s="104">
        <v>0</v>
      </c>
      <c r="F58" s="104">
        <v>0</v>
      </c>
      <c r="G58" s="104">
        <v>0</v>
      </c>
      <c r="H58" s="48">
        <v>3415</v>
      </c>
      <c r="I58" s="48">
        <v>3415</v>
      </c>
      <c r="J58" s="48">
        <v>3321</v>
      </c>
      <c r="K58" s="48">
        <v>3381</v>
      </c>
      <c r="L58" s="48">
        <v>3401</v>
      </c>
      <c r="N58" s="100" t="s">
        <v>1689</v>
      </c>
      <c r="Q58" s="4"/>
    </row>
    <row r="59" spans="1:17">
      <c r="A59" s="113">
        <v>31</v>
      </c>
      <c r="B59" s="100" t="s">
        <v>3440</v>
      </c>
      <c r="C59" s="72" t="s">
        <v>13603</v>
      </c>
      <c r="D59" s="104">
        <v>0</v>
      </c>
      <c r="E59" s="104">
        <v>0</v>
      </c>
      <c r="F59" s="104">
        <v>0</v>
      </c>
      <c r="G59" s="104">
        <v>0</v>
      </c>
      <c r="H59" s="48">
        <v>3470</v>
      </c>
      <c r="I59" s="48">
        <v>3465</v>
      </c>
      <c r="J59" s="48">
        <v>3235</v>
      </c>
      <c r="K59" s="48">
        <v>3264</v>
      </c>
      <c r="L59" s="48">
        <v>3288</v>
      </c>
      <c r="N59" s="100" t="s">
        <v>1689</v>
      </c>
      <c r="Q59" s="4"/>
    </row>
    <row r="60" spans="1:17">
      <c r="A60" s="113">
        <v>32</v>
      </c>
      <c r="B60" s="100" t="s">
        <v>5126</v>
      </c>
      <c r="C60" s="72" t="s">
        <v>13604</v>
      </c>
      <c r="D60" s="104">
        <v>0</v>
      </c>
      <c r="E60" s="104">
        <v>0</v>
      </c>
      <c r="F60" s="104">
        <v>0</v>
      </c>
      <c r="G60" s="104">
        <v>0</v>
      </c>
      <c r="H60" s="48">
        <v>3399</v>
      </c>
      <c r="I60" s="48">
        <v>3346</v>
      </c>
      <c r="J60" s="48">
        <v>3228</v>
      </c>
      <c r="K60" s="48">
        <v>3232</v>
      </c>
      <c r="L60" s="48">
        <v>3417</v>
      </c>
      <c r="N60" s="100" t="s">
        <v>1689</v>
      </c>
      <c r="Q60" s="4"/>
    </row>
    <row r="61" spans="1:17">
      <c r="A61" s="114">
        <v>33</v>
      </c>
      <c r="B61" s="100" t="s">
        <v>5127</v>
      </c>
      <c r="C61" s="72" t="s">
        <v>13605</v>
      </c>
      <c r="D61" s="104">
        <v>0</v>
      </c>
      <c r="E61" s="104">
        <v>0</v>
      </c>
      <c r="F61" s="104">
        <v>0</v>
      </c>
      <c r="G61" s="104">
        <v>0</v>
      </c>
      <c r="H61" s="48">
        <v>3319</v>
      </c>
      <c r="I61" s="48">
        <v>3258</v>
      </c>
      <c r="J61" s="48">
        <v>3177</v>
      </c>
      <c r="K61" s="48">
        <v>3160</v>
      </c>
      <c r="L61" s="48">
        <v>3181</v>
      </c>
      <c r="N61" s="100" t="s">
        <v>1689</v>
      </c>
      <c r="Q61" s="4"/>
    </row>
    <row r="62" spans="1:17">
      <c r="A62" s="113">
        <v>34</v>
      </c>
      <c r="B62" s="100" t="s">
        <v>5128</v>
      </c>
      <c r="C62" s="72" t="s">
        <v>13606</v>
      </c>
      <c r="D62" s="104">
        <v>0</v>
      </c>
      <c r="E62" s="104">
        <v>0</v>
      </c>
      <c r="F62" s="104">
        <v>0</v>
      </c>
      <c r="G62" s="104">
        <v>0</v>
      </c>
      <c r="H62" s="48">
        <v>3677</v>
      </c>
      <c r="I62" s="48">
        <v>3606</v>
      </c>
      <c r="J62" s="48">
        <v>3113</v>
      </c>
      <c r="K62" s="48">
        <v>3140</v>
      </c>
      <c r="L62" s="48">
        <v>3267</v>
      </c>
      <c r="N62" s="100" t="s">
        <v>1690</v>
      </c>
      <c r="Q62" s="4"/>
    </row>
    <row r="63" spans="1:17">
      <c r="A63" s="113">
        <v>35</v>
      </c>
      <c r="B63" s="100" t="s">
        <v>6196</v>
      </c>
      <c r="C63" s="72" t="s">
        <v>13607</v>
      </c>
      <c r="D63" s="104">
        <v>0</v>
      </c>
      <c r="E63" s="104">
        <v>0</v>
      </c>
      <c r="F63" s="104">
        <v>0</v>
      </c>
      <c r="G63" s="104">
        <v>0</v>
      </c>
      <c r="H63" s="48">
        <v>4265</v>
      </c>
      <c r="I63" s="48">
        <v>4237</v>
      </c>
      <c r="J63" s="48">
        <v>3966</v>
      </c>
      <c r="K63" s="48">
        <v>3991</v>
      </c>
      <c r="L63" s="48">
        <v>4024</v>
      </c>
      <c r="N63" s="100" t="s">
        <v>1688</v>
      </c>
      <c r="Q63" s="4"/>
    </row>
    <row r="64" spans="1:17">
      <c r="A64" s="113">
        <v>36</v>
      </c>
      <c r="B64" s="100" t="s">
        <v>5129</v>
      </c>
      <c r="C64" s="72" t="s">
        <v>13608</v>
      </c>
      <c r="D64" s="104">
        <v>0</v>
      </c>
      <c r="E64" s="104">
        <v>0</v>
      </c>
      <c r="F64" s="104">
        <v>0</v>
      </c>
      <c r="G64" s="104">
        <v>0</v>
      </c>
      <c r="H64" s="48">
        <v>3397</v>
      </c>
      <c r="I64" s="48">
        <v>3364</v>
      </c>
      <c r="J64" s="48">
        <v>3244</v>
      </c>
      <c r="K64" s="48">
        <v>3275</v>
      </c>
      <c r="L64" s="48">
        <v>3306</v>
      </c>
      <c r="N64" s="100" t="s">
        <v>1689</v>
      </c>
      <c r="Q64" s="4"/>
    </row>
    <row r="65" spans="1:17">
      <c r="A65" s="113">
        <v>37</v>
      </c>
      <c r="B65" s="100" t="s">
        <v>5130</v>
      </c>
      <c r="C65" s="72" t="s">
        <v>13609</v>
      </c>
      <c r="D65" s="104">
        <v>0</v>
      </c>
      <c r="E65" s="104">
        <v>0</v>
      </c>
      <c r="F65" s="104">
        <v>0</v>
      </c>
      <c r="G65" s="104">
        <v>0</v>
      </c>
      <c r="H65" s="48">
        <v>3432</v>
      </c>
      <c r="I65" s="48">
        <v>3399</v>
      </c>
      <c r="J65" s="48">
        <v>3102</v>
      </c>
      <c r="K65" s="48">
        <v>3081</v>
      </c>
      <c r="L65" s="48">
        <v>3109</v>
      </c>
      <c r="N65" s="100" t="s">
        <v>1688</v>
      </c>
      <c r="Q65" s="4"/>
    </row>
    <row r="66" spans="1:17">
      <c r="A66" s="113">
        <v>38</v>
      </c>
      <c r="B66" s="100" t="s">
        <v>5131</v>
      </c>
      <c r="C66" s="72" t="s">
        <v>13610</v>
      </c>
      <c r="D66" s="104">
        <v>0</v>
      </c>
      <c r="E66" s="104">
        <v>0</v>
      </c>
      <c r="F66" s="104">
        <v>0</v>
      </c>
      <c r="G66" s="104">
        <v>0</v>
      </c>
      <c r="H66" s="48">
        <v>4222</v>
      </c>
      <c r="I66" s="48">
        <v>4267</v>
      </c>
      <c r="J66" s="48">
        <v>4009</v>
      </c>
      <c r="K66" s="48">
        <v>4259</v>
      </c>
      <c r="L66" s="48">
        <v>4557</v>
      </c>
      <c r="N66" s="100" t="s">
        <v>1688</v>
      </c>
      <c r="Q66" s="4"/>
    </row>
    <row r="67" spans="1:17">
      <c r="A67" s="113">
        <v>39</v>
      </c>
      <c r="B67" s="100" t="s">
        <v>16284</v>
      </c>
      <c r="C67" s="72" t="s">
        <v>13611</v>
      </c>
      <c r="D67" s="104">
        <v>0</v>
      </c>
      <c r="E67" s="104">
        <v>0</v>
      </c>
      <c r="F67" s="104">
        <v>0</v>
      </c>
      <c r="G67" s="104">
        <v>0</v>
      </c>
      <c r="H67" s="48">
        <v>2278</v>
      </c>
      <c r="I67" s="48">
        <v>2314</v>
      </c>
      <c r="J67" s="48">
        <v>2297</v>
      </c>
      <c r="K67" s="48">
        <v>2328</v>
      </c>
      <c r="L67" s="48">
        <v>2388</v>
      </c>
      <c r="N67" s="100" t="s">
        <v>1686</v>
      </c>
      <c r="Q67" s="4"/>
    </row>
    <row r="68" spans="1:17" ht="15.75" thickBot="1">
      <c r="A68" s="113"/>
      <c r="B68" s="100"/>
      <c r="C68" s="72" t="s">
        <v>13611</v>
      </c>
      <c r="D68" s="104">
        <v>0</v>
      </c>
      <c r="E68" s="104">
        <v>0</v>
      </c>
      <c r="F68" s="104">
        <v>0</v>
      </c>
      <c r="G68" s="104">
        <v>0</v>
      </c>
      <c r="H68" s="48">
        <v>945</v>
      </c>
      <c r="I68" s="48">
        <v>944</v>
      </c>
      <c r="J68" s="48">
        <v>904</v>
      </c>
      <c r="K68" s="48">
        <v>923</v>
      </c>
      <c r="L68" s="48">
        <v>1035</v>
      </c>
      <c r="N68" s="100" t="s">
        <v>1690</v>
      </c>
      <c r="Q68" s="4"/>
    </row>
    <row r="69" spans="1:17" ht="15.75" thickBot="1">
      <c r="A69" s="113"/>
      <c r="B69" s="100"/>
      <c r="C69" s="72" t="s">
        <v>13611</v>
      </c>
      <c r="D69" s="116">
        <f t="shared" ref="D69:G69" si="34">D67+D68</f>
        <v>0</v>
      </c>
      <c r="E69" s="116">
        <f t="shared" si="34"/>
        <v>0</v>
      </c>
      <c r="F69" s="116">
        <f t="shared" si="34"/>
        <v>0</v>
      </c>
      <c r="G69" s="116">
        <f t="shared" si="34"/>
        <v>0</v>
      </c>
      <c r="H69" s="116">
        <f>H67+H68</f>
        <v>3223</v>
      </c>
      <c r="I69" s="116">
        <f>I67+I68</f>
        <v>3258</v>
      </c>
      <c r="J69" s="116">
        <f>J67+J68</f>
        <v>3201</v>
      </c>
      <c r="K69" s="116">
        <f>K67+K68</f>
        <v>3251</v>
      </c>
      <c r="L69" s="116">
        <f>L67+L68</f>
        <v>3423</v>
      </c>
      <c r="N69" s="100"/>
      <c r="Q69" s="4"/>
    </row>
    <row r="70" spans="1:17">
      <c r="A70" s="113">
        <v>40</v>
      </c>
      <c r="B70" s="100" t="s">
        <v>5132</v>
      </c>
      <c r="C70" s="72" t="s">
        <v>13612</v>
      </c>
      <c r="D70" s="104">
        <v>0</v>
      </c>
      <c r="E70" s="104">
        <v>0</v>
      </c>
      <c r="F70" s="104">
        <v>0</v>
      </c>
      <c r="G70" s="104">
        <v>0</v>
      </c>
      <c r="H70" s="48">
        <v>3359</v>
      </c>
      <c r="I70" s="48">
        <v>3389</v>
      </c>
      <c r="J70" s="48">
        <v>3286</v>
      </c>
      <c r="K70" s="48">
        <v>3263</v>
      </c>
      <c r="L70" s="48">
        <v>3368</v>
      </c>
      <c r="N70" s="100" t="s">
        <v>1686</v>
      </c>
      <c r="Q70" s="4"/>
    </row>
    <row r="71" spans="1:17">
      <c r="A71" s="113">
        <v>41</v>
      </c>
      <c r="B71" s="100" t="s">
        <v>5133</v>
      </c>
      <c r="C71" s="72" t="s">
        <v>13613</v>
      </c>
      <c r="D71" s="104">
        <v>0</v>
      </c>
      <c r="E71" s="104">
        <v>0</v>
      </c>
      <c r="F71" s="104">
        <v>0</v>
      </c>
      <c r="G71" s="104">
        <v>0</v>
      </c>
      <c r="H71" s="48">
        <v>3362</v>
      </c>
      <c r="I71" s="48">
        <v>3377</v>
      </c>
      <c r="J71" s="48">
        <v>3207</v>
      </c>
      <c r="K71" s="48">
        <v>3251</v>
      </c>
      <c r="L71" s="48">
        <v>3291</v>
      </c>
      <c r="N71" s="100" t="s">
        <v>1686</v>
      </c>
      <c r="Q71" s="4"/>
    </row>
    <row r="72" spans="1:17">
      <c r="A72" s="113">
        <v>42</v>
      </c>
      <c r="B72" s="100" t="s">
        <v>5134</v>
      </c>
      <c r="C72" s="72" t="s">
        <v>13614</v>
      </c>
      <c r="D72" s="104">
        <v>0</v>
      </c>
      <c r="E72" s="104">
        <v>0</v>
      </c>
      <c r="F72" s="104">
        <v>0</v>
      </c>
      <c r="G72" s="104">
        <v>0</v>
      </c>
      <c r="H72" s="48">
        <v>4091</v>
      </c>
      <c r="I72" s="48">
        <v>4160</v>
      </c>
      <c r="J72" s="48">
        <v>4015</v>
      </c>
      <c r="K72" s="48">
        <v>4021</v>
      </c>
      <c r="L72" s="48">
        <v>4174</v>
      </c>
      <c r="N72" s="100" t="s">
        <v>1690</v>
      </c>
      <c r="Q72" s="4"/>
    </row>
    <row r="73" spans="1:17">
      <c r="A73" s="113">
        <v>43</v>
      </c>
      <c r="B73" s="100" t="s">
        <v>5135</v>
      </c>
      <c r="C73" s="72" t="s">
        <v>13615</v>
      </c>
      <c r="D73" s="104">
        <v>0</v>
      </c>
      <c r="E73" s="104">
        <v>0</v>
      </c>
      <c r="F73" s="104">
        <v>0</v>
      </c>
      <c r="G73" s="104">
        <v>0</v>
      </c>
      <c r="H73" s="48">
        <v>3763</v>
      </c>
      <c r="I73" s="48">
        <v>3767</v>
      </c>
      <c r="J73" s="48">
        <v>3650</v>
      </c>
      <c r="K73" s="48">
        <v>3641</v>
      </c>
      <c r="L73" s="48">
        <v>3769</v>
      </c>
      <c r="N73" s="100" t="s">
        <v>1690</v>
      </c>
      <c r="Q73" s="4"/>
    </row>
    <row r="74" spans="1:17">
      <c r="A74" s="113">
        <v>44</v>
      </c>
      <c r="B74" s="100" t="s">
        <v>5136</v>
      </c>
      <c r="C74" s="72" t="s">
        <v>13616</v>
      </c>
      <c r="D74" s="104">
        <v>0</v>
      </c>
      <c r="E74" s="104">
        <v>0</v>
      </c>
      <c r="F74" s="104">
        <v>0</v>
      </c>
      <c r="G74" s="104">
        <v>0</v>
      </c>
      <c r="H74" s="48">
        <v>3655</v>
      </c>
      <c r="I74" s="48">
        <v>3640</v>
      </c>
      <c r="J74" s="48">
        <v>3502</v>
      </c>
      <c r="K74" s="48">
        <v>3505</v>
      </c>
      <c r="L74" s="48">
        <v>3512</v>
      </c>
      <c r="N74" s="100" t="s">
        <v>1690</v>
      </c>
      <c r="Q74" s="4"/>
    </row>
    <row r="75" spans="1:17">
      <c r="A75" s="113">
        <v>45</v>
      </c>
      <c r="B75" s="100" t="s">
        <v>5137</v>
      </c>
      <c r="C75" s="72" t="s">
        <v>13617</v>
      </c>
      <c r="D75" s="104">
        <v>0</v>
      </c>
      <c r="E75" s="104">
        <v>0</v>
      </c>
      <c r="F75" s="104">
        <v>0</v>
      </c>
      <c r="G75" s="104">
        <v>0</v>
      </c>
      <c r="H75" s="48">
        <v>3685</v>
      </c>
      <c r="I75" s="48">
        <v>3638</v>
      </c>
      <c r="J75" s="48">
        <v>3378</v>
      </c>
      <c r="K75" s="48">
        <v>3426</v>
      </c>
      <c r="L75" s="48">
        <v>3529</v>
      </c>
      <c r="N75" s="100" t="s">
        <v>1690</v>
      </c>
      <c r="Q75" s="4"/>
    </row>
    <row r="76" spans="1:17">
      <c r="A76" s="113">
        <v>46</v>
      </c>
      <c r="B76" s="100" t="s">
        <v>5138</v>
      </c>
      <c r="C76" s="72" t="s">
        <v>13618</v>
      </c>
      <c r="D76" s="104">
        <v>0</v>
      </c>
      <c r="E76" s="104">
        <v>0</v>
      </c>
      <c r="F76" s="104">
        <v>0</v>
      </c>
      <c r="G76" s="104">
        <v>0</v>
      </c>
      <c r="H76" s="48">
        <v>3466</v>
      </c>
      <c r="I76" s="48">
        <v>3451</v>
      </c>
      <c r="J76" s="48">
        <v>3179</v>
      </c>
      <c r="K76" s="48">
        <v>3200</v>
      </c>
      <c r="L76" s="48">
        <v>3321</v>
      </c>
      <c r="N76" s="100" t="s">
        <v>1688</v>
      </c>
      <c r="Q76" s="4"/>
    </row>
    <row r="77" spans="1:17">
      <c r="A77" s="113">
        <v>47</v>
      </c>
      <c r="B77" s="100" t="s">
        <v>5139</v>
      </c>
      <c r="C77" s="72" t="s">
        <v>13619</v>
      </c>
      <c r="D77" s="104">
        <v>0</v>
      </c>
      <c r="E77" s="104">
        <v>0</v>
      </c>
      <c r="F77" s="104">
        <v>0</v>
      </c>
      <c r="G77" s="104">
        <v>0</v>
      </c>
      <c r="H77" s="48">
        <v>3504</v>
      </c>
      <c r="I77" s="48">
        <v>3533</v>
      </c>
      <c r="J77" s="48">
        <v>3440</v>
      </c>
      <c r="K77" s="48">
        <v>3426</v>
      </c>
      <c r="L77" s="48">
        <v>3498</v>
      </c>
      <c r="N77" s="100" t="s">
        <v>1686</v>
      </c>
      <c r="Q77" s="4"/>
    </row>
    <row r="78" spans="1:17">
      <c r="A78" s="113">
        <v>48</v>
      </c>
      <c r="B78" s="100" t="s">
        <v>15</v>
      </c>
      <c r="C78" s="72" t="s">
        <v>13620</v>
      </c>
      <c r="D78" s="104">
        <v>0</v>
      </c>
      <c r="E78" s="104">
        <v>0</v>
      </c>
      <c r="F78" s="104">
        <v>0</v>
      </c>
      <c r="G78" s="104">
        <v>0</v>
      </c>
      <c r="H78" s="48">
        <v>720</v>
      </c>
      <c r="I78" s="48">
        <v>741</v>
      </c>
      <c r="J78" s="48">
        <v>709</v>
      </c>
      <c r="K78" s="48">
        <v>731</v>
      </c>
      <c r="L78" s="48">
        <v>743</v>
      </c>
      <c r="N78" s="100" t="s">
        <v>1686</v>
      </c>
      <c r="Q78" s="4"/>
    </row>
    <row r="79" spans="1:17" ht="15.75" thickBot="1">
      <c r="A79" s="113"/>
      <c r="B79" s="100"/>
      <c r="C79" s="72" t="s">
        <v>13620</v>
      </c>
      <c r="D79" s="104">
        <v>0</v>
      </c>
      <c r="E79" s="104">
        <v>0</v>
      </c>
      <c r="F79" s="104">
        <v>0</v>
      </c>
      <c r="G79" s="104">
        <v>0</v>
      </c>
      <c r="H79" s="48">
        <v>3242</v>
      </c>
      <c r="I79" s="48">
        <v>3261</v>
      </c>
      <c r="J79" s="48">
        <v>3124</v>
      </c>
      <c r="K79" s="48">
        <v>3130</v>
      </c>
      <c r="L79" s="48">
        <v>3215</v>
      </c>
      <c r="N79" s="100" t="s">
        <v>1690</v>
      </c>
      <c r="Q79" s="4"/>
    </row>
    <row r="80" spans="1:17" ht="15.75" thickBot="1">
      <c r="A80" s="113"/>
      <c r="B80" s="100"/>
      <c r="C80" s="72" t="s">
        <v>13620</v>
      </c>
      <c r="D80" s="116">
        <f t="shared" ref="D80:G80" si="35">D78+D79</f>
        <v>0</v>
      </c>
      <c r="E80" s="116">
        <f t="shared" si="35"/>
        <v>0</v>
      </c>
      <c r="F80" s="116">
        <f t="shared" si="35"/>
        <v>0</v>
      </c>
      <c r="G80" s="116">
        <f t="shared" si="35"/>
        <v>0</v>
      </c>
      <c r="H80" s="116">
        <f>H78+H79</f>
        <v>3962</v>
      </c>
      <c r="I80" s="116">
        <f>I78+I79</f>
        <v>4002</v>
      </c>
      <c r="J80" s="116">
        <f>J78+J79</f>
        <v>3833</v>
      </c>
      <c r="K80" s="116">
        <f>K78+K79</f>
        <v>3861</v>
      </c>
      <c r="L80" s="116">
        <f>L78+L79</f>
        <v>3958</v>
      </c>
      <c r="N80" s="100"/>
      <c r="Q80" s="4"/>
    </row>
    <row r="81" spans="1:17">
      <c r="A81" s="113">
        <v>49</v>
      </c>
      <c r="B81" s="100" t="s">
        <v>16</v>
      </c>
      <c r="C81" s="72" t="s">
        <v>13621</v>
      </c>
      <c r="D81" s="115">
        <v>0</v>
      </c>
      <c r="E81" s="115">
        <v>0</v>
      </c>
      <c r="F81" s="115">
        <v>0</v>
      </c>
      <c r="G81" s="115">
        <v>0</v>
      </c>
      <c r="H81" s="48">
        <v>3516</v>
      </c>
      <c r="I81" s="48">
        <v>3482</v>
      </c>
      <c r="J81" s="48">
        <v>3283</v>
      </c>
      <c r="K81" s="48">
        <v>3308</v>
      </c>
      <c r="L81" s="48">
        <v>3343</v>
      </c>
      <c r="N81" s="100" t="s">
        <v>1688</v>
      </c>
      <c r="Q81" s="4"/>
    </row>
    <row r="82" spans="1:17">
      <c r="A82" s="113">
        <v>50</v>
      </c>
      <c r="B82" s="100" t="s">
        <v>13329</v>
      </c>
      <c r="C82" s="72" t="s">
        <v>13622</v>
      </c>
      <c r="D82" s="104">
        <v>0</v>
      </c>
      <c r="E82" s="104">
        <v>0</v>
      </c>
      <c r="F82" s="104">
        <v>0</v>
      </c>
      <c r="G82" s="104">
        <v>0</v>
      </c>
      <c r="H82" s="48">
        <v>3298</v>
      </c>
      <c r="I82" s="48">
        <v>3360</v>
      </c>
      <c r="J82" s="48">
        <v>3297</v>
      </c>
      <c r="K82" s="48">
        <v>3395</v>
      </c>
      <c r="L82" s="48">
        <v>3503</v>
      </c>
      <c r="N82" s="100" t="s">
        <v>1689</v>
      </c>
    </row>
    <row r="83" spans="1:17">
      <c r="A83" s="113">
        <v>51</v>
      </c>
      <c r="B83" s="100" t="s">
        <v>2481</v>
      </c>
      <c r="C83" s="72" t="s">
        <v>13623</v>
      </c>
      <c r="D83" s="104">
        <v>0</v>
      </c>
      <c r="E83" s="104">
        <v>0</v>
      </c>
      <c r="F83" s="104">
        <v>0</v>
      </c>
      <c r="G83" s="104">
        <v>0</v>
      </c>
      <c r="H83" s="48">
        <v>515</v>
      </c>
      <c r="I83" s="48">
        <v>515</v>
      </c>
      <c r="J83" s="48">
        <v>507</v>
      </c>
      <c r="K83" s="48">
        <v>527</v>
      </c>
      <c r="L83" s="48">
        <v>542</v>
      </c>
      <c r="N83" s="100" t="s">
        <v>1686</v>
      </c>
    </row>
    <row r="84" spans="1:17" ht="15.75" thickBot="1">
      <c r="A84" s="113"/>
      <c r="B84" s="100"/>
      <c r="C84" s="72" t="s">
        <v>13623</v>
      </c>
      <c r="D84" s="104">
        <v>0</v>
      </c>
      <c r="E84" s="104">
        <v>0</v>
      </c>
      <c r="F84" s="104">
        <v>0</v>
      </c>
      <c r="G84" s="104">
        <v>0</v>
      </c>
      <c r="H84" s="48">
        <v>3203</v>
      </c>
      <c r="I84" s="48">
        <v>3177</v>
      </c>
      <c r="J84" s="48">
        <v>3137</v>
      </c>
      <c r="K84" s="48">
        <v>3185</v>
      </c>
      <c r="L84" s="48">
        <v>3255</v>
      </c>
      <c r="N84" s="100" t="s">
        <v>1689</v>
      </c>
      <c r="Q84" s="4"/>
    </row>
    <row r="85" spans="1:17" ht="15.75" thickBot="1">
      <c r="A85" s="113"/>
      <c r="B85" s="100"/>
      <c r="C85" s="72" t="s">
        <v>13623</v>
      </c>
      <c r="D85" s="116">
        <f t="shared" ref="D85:G85" si="36">D83+D84</f>
        <v>0</v>
      </c>
      <c r="E85" s="116">
        <f t="shared" si="36"/>
        <v>0</v>
      </c>
      <c r="F85" s="116">
        <f t="shared" si="36"/>
        <v>0</v>
      </c>
      <c r="G85" s="116">
        <f t="shared" si="36"/>
        <v>0</v>
      </c>
      <c r="H85" s="116">
        <f>H83+H84</f>
        <v>3718</v>
      </c>
      <c r="I85" s="116">
        <f>I83+I84</f>
        <v>3692</v>
      </c>
      <c r="J85" s="116">
        <f>J83+J84</f>
        <v>3644</v>
      </c>
      <c r="K85" s="116">
        <f>K83+K84</f>
        <v>3712</v>
      </c>
      <c r="L85" s="116">
        <f>L83+L84</f>
        <v>3797</v>
      </c>
      <c r="N85" s="100"/>
      <c r="Q85" s="4"/>
    </row>
    <row r="86" spans="1:17">
      <c r="A86" s="114">
        <v>52</v>
      </c>
      <c r="B86" s="100" t="s">
        <v>2908</v>
      </c>
      <c r="C86" s="72" t="s">
        <v>13624</v>
      </c>
      <c r="D86" s="115">
        <v>0</v>
      </c>
      <c r="E86" s="115">
        <v>0</v>
      </c>
      <c r="F86" s="115">
        <v>0</v>
      </c>
      <c r="G86" s="115">
        <v>0</v>
      </c>
      <c r="H86" s="48">
        <v>3431</v>
      </c>
      <c r="I86" s="48">
        <v>3431</v>
      </c>
      <c r="J86" s="48">
        <v>3351</v>
      </c>
      <c r="K86" s="48">
        <v>3359</v>
      </c>
      <c r="L86" s="48">
        <v>3366</v>
      </c>
      <c r="N86" s="100" t="s">
        <v>1689</v>
      </c>
      <c r="Q86" s="4"/>
    </row>
    <row r="87" spans="1:17">
      <c r="A87" s="114">
        <v>53</v>
      </c>
      <c r="B87" s="100" t="s">
        <v>2909</v>
      </c>
      <c r="C87" s="72" t="s">
        <v>13625</v>
      </c>
      <c r="D87" s="104">
        <v>0</v>
      </c>
      <c r="E87" s="104">
        <v>0</v>
      </c>
      <c r="F87" s="104">
        <v>0</v>
      </c>
      <c r="G87" s="104">
        <v>0</v>
      </c>
      <c r="H87" s="48">
        <v>3338</v>
      </c>
      <c r="I87" s="48">
        <v>3357</v>
      </c>
      <c r="J87" s="48">
        <v>3275</v>
      </c>
      <c r="K87" s="48">
        <v>3325</v>
      </c>
      <c r="L87" s="48">
        <v>3433</v>
      </c>
      <c r="N87" s="100" t="s">
        <v>1689</v>
      </c>
      <c r="Q87" s="4"/>
    </row>
    <row r="88" spans="1:17">
      <c r="A88" s="113">
        <v>54</v>
      </c>
      <c r="B88" s="100" t="s">
        <v>13330</v>
      </c>
      <c r="C88" s="72" t="s">
        <v>13626</v>
      </c>
      <c r="D88" s="104">
        <v>0</v>
      </c>
      <c r="E88" s="104">
        <v>0</v>
      </c>
      <c r="F88" s="104">
        <v>0</v>
      </c>
      <c r="G88" s="104">
        <v>0</v>
      </c>
      <c r="H88" s="48">
        <v>4310</v>
      </c>
      <c r="I88" s="48">
        <v>4317</v>
      </c>
      <c r="J88" s="48">
        <v>4112</v>
      </c>
      <c r="K88" s="48">
        <v>4125</v>
      </c>
      <c r="L88" s="48">
        <v>4199</v>
      </c>
      <c r="N88" s="100" t="s">
        <v>1689</v>
      </c>
      <c r="Q88" s="4"/>
    </row>
    <row r="89" spans="1:17">
      <c r="A89" s="113">
        <v>55</v>
      </c>
      <c r="B89" s="100" t="s">
        <v>13331</v>
      </c>
      <c r="C89" s="72" t="s">
        <v>13627</v>
      </c>
      <c r="D89" s="104">
        <v>0</v>
      </c>
      <c r="E89" s="104">
        <v>0</v>
      </c>
      <c r="F89" s="104">
        <v>0</v>
      </c>
      <c r="G89" s="104">
        <v>0</v>
      </c>
      <c r="H89" s="48">
        <v>3986</v>
      </c>
      <c r="I89" s="48">
        <v>3985</v>
      </c>
      <c r="J89" s="48">
        <v>3739</v>
      </c>
      <c r="K89" s="48">
        <v>3780</v>
      </c>
      <c r="L89" s="48">
        <v>3862</v>
      </c>
      <c r="N89" s="100" t="s">
        <v>1689</v>
      </c>
      <c r="Q89" s="4"/>
    </row>
    <row r="90" spans="1:17">
      <c r="A90" s="113">
        <v>56</v>
      </c>
      <c r="B90" s="100" t="s">
        <v>2910</v>
      </c>
      <c r="C90" s="72" t="s">
        <v>13628</v>
      </c>
      <c r="D90" s="104">
        <v>0</v>
      </c>
      <c r="E90" s="104">
        <v>0</v>
      </c>
      <c r="F90" s="104">
        <v>0</v>
      </c>
      <c r="G90" s="104">
        <v>0</v>
      </c>
      <c r="H90" s="48">
        <v>4027</v>
      </c>
      <c r="I90" s="48">
        <v>4067</v>
      </c>
      <c r="J90" s="48">
        <v>3957</v>
      </c>
      <c r="K90" s="48">
        <v>3964</v>
      </c>
      <c r="L90" s="48">
        <v>4030</v>
      </c>
      <c r="N90" s="100" t="s">
        <v>1686</v>
      </c>
      <c r="Q90" s="4"/>
    </row>
    <row r="91" spans="1:17">
      <c r="A91" s="113">
        <v>57</v>
      </c>
      <c r="B91" s="100" t="s">
        <v>2911</v>
      </c>
      <c r="C91" s="72" t="s">
        <v>13629</v>
      </c>
      <c r="D91" s="104">
        <v>0</v>
      </c>
      <c r="E91" s="104">
        <v>0</v>
      </c>
      <c r="F91" s="104">
        <v>0</v>
      </c>
      <c r="G91" s="104">
        <v>0</v>
      </c>
      <c r="H91" s="48">
        <v>3653</v>
      </c>
      <c r="I91" s="48">
        <v>3677</v>
      </c>
      <c r="J91" s="48">
        <v>3425</v>
      </c>
      <c r="K91" s="48">
        <v>3555</v>
      </c>
      <c r="L91" s="48">
        <v>3746</v>
      </c>
      <c r="N91" s="100" t="s">
        <v>1690</v>
      </c>
      <c r="Q91" s="4"/>
    </row>
    <row r="92" spans="1:17">
      <c r="A92" s="113">
        <v>58</v>
      </c>
      <c r="B92" s="100" t="s">
        <v>2912</v>
      </c>
      <c r="C92" s="72" t="s">
        <v>13630</v>
      </c>
      <c r="D92" s="104">
        <v>0</v>
      </c>
      <c r="E92" s="104">
        <v>0</v>
      </c>
      <c r="F92" s="104">
        <v>0</v>
      </c>
      <c r="G92" s="104">
        <v>0</v>
      </c>
      <c r="H92" s="48">
        <v>4225</v>
      </c>
      <c r="I92" s="48">
        <v>4251</v>
      </c>
      <c r="J92" s="48">
        <v>4146</v>
      </c>
      <c r="K92" s="48">
        <v>4410</v>
      </c>
      <c r="L92" s="48">
        <v>4572</v>
      </c>
      <c r="N92" s="100" t="s">
        <v>1688</v>
      </c>
      <c r="Q92" s="4"/>
    </row>
    <row r="93" spans="1:17">
      <c r="A93" s="113">
        <v>59</v>
      </c>
      <c r="B93" s="100" t="s">
        <v>2913</v>
      </c>
      <c r="C93" s="72" t="s">
        <v>13631</v>
      </c>
      <c r="D93" s="104">
        <v>0</v>
      </c>
      <c r="E93" s="104">
        <v>0</v>
      </c>
      <c r="F93" s="104">
        <v>0</v>
      </c>
      <c r="G93" s="104">
        <v>0</v>
      </c>
      <c r="H93" s="48">
        <v>4023</v>
      </c>
      <c r="I93" s="48">
        <v>4082</v>
      </c>
      <c r="J93" s="48">
        <v>3962</v>
      </c>
      <c r="K93" s="48">
        <v>4041</v>
      </c>
      <c r="L93" s="48">
        <v>4179</v>
      </c>
      <c r="N93" s="100" t="s">
        <v>1686</v>
      </c>
      <c r="Q93" s="4"/>
    </row>
    <row r="94" spans="1:17">
      <c r="A94" s="113">
        <v>60</v>
      </c>
      <c r="B94" s="100" t="s">
        <v>2914</v>
      </c>
      <c r="C94" s="72" t="s">
        <v>13632</v>
      </c>
      <c r="D94" s="104">
        <v>0</v>
      </c>
      <c r="E94" s="104">
        <v>0</v>
      </c>
      <c r="F94" s="104">
        <v>0</v>
      </c>
      <c r="G94" s="104">
        <v>0</v>
      </c>
      <c r="H94" s="48">
        <v>3554</v>
      </c>
      <c r="I94" s="48">
        <v>3497</v>
      </c>
      <c r="J94" s="48">
        <v>3180</v>
      </c>
      <c r="K94" s="48">
        <v>3229</v>
      </c>
      <c r="L94" s="48">
        <v>3325</v>
      </c>
      <c r="N94" s="100" t="s">
        <v>1690</v>
      </c>
      <c r="Q94" s="4"/>
    </row>
    <row r="95" spans="1:17">
      <c r="A95" s="113">
        <v>61</v>
      </c>
      <c r="B95" s="100" t="s">
        <v>2915</v>
      </c>
      <c r="C95" s="72" t="s">
        <v>13633</v>
      </c>
      <c r="D95" s="104">
        <v>0</v>
      </c>
      <c r="E95" s="104">
        <v>0</v>
      </c>
      <c r="F95" s="104">
        <v>0</v>
      </c>
      <c r="G95" s="104">
        <v>0</v>
      </c>
      <c r="H95" s="48">
        <v>3697</v>
      </c>
      <c r="I95" s="48">
        <v>3737</v>
      </c>
      <c r="J95" s="48">
        <v>3579</v>
      </c>
      <c r="K95" s="48">
        <v>3593</v>
      </c>
      <c r="L95" s="48">
        <v>3624</v>
      </c>
      <c r="N95" s="100" t="s">
        <v>1688</v>
      </c>
      <c r="Q95" s="4"/>
    </row>
    <row r="96" spans="1:17">
      <c r="A96" s="113">
        <v>62</v>
      </c>
      <c r="B96" s="100" t="s">
        <v>2916</v>
      </c>
      <c r="C96" s="72" t="s">
        <v>13634</v>
      </c>
      <c r="D96" s="115">
        <v>0</v>
      </c>
      <c r="E96" s="115">
        <v>0</v>
      </c>
      <c r="F96" s="115">
        <v>0</v>
      </c>
      <c r="G96" s="115">
        <v>0</v>
      </c>
      <c r="H96" s="104">
        <v>3932</v>
      </c>
      <c r="I96" s="48">
        <v>3948</v>
      </c>
      <c r="J96" s="48">
        <v>3831</v>
      </c>
      <c r="K96" s="48">
        <v>3930</v>
      </c>
      <c r="L96" s="48">
        <v>3979</v>
      </c>
      <c r="N96" s="100" t="s">
        <v>1689</v>
      </c>
      <c r="Q96" s="4"/>
    </row>
    <row r="97" spans="1:17">
      <c r="A97" s="113">
        <v>63</v>
      </c>
      <c r="B97" s="100" t="s">
        <v>2917</v>
      </c>
      <c r="C97" s="72" t="s">
        <v>13635</v>
      </c>
      <c r="D97" s="115">
        <v>0</v>
      </c>
      <c r="E97" s="115">
        <v>0</v>
      </c>
      <c r="F97" s="115">
        <v>0</v>
      </c>
      <c r="G97" s="115">
        <v>0</v>
      </c>
      <c r="H97" s="48">
        <v>3699</v>
      </c>
      <c r="I97" s="48">
        <v>3703</v>
      </c>
      <c r="J97" s="48">
        <v>3505</v>
      </c>
      <c r="K97" s="48">
        <v>3552</v>
      </c>
      <c r="L97" s="48">
        <v>3559</v>
      </c>
      <c r="N97" s="100" t="s">
        <v>1690</v>
      </c>
      <c r="Q97" s="4"/>
    </row>
    <row r="98" spans="1:17">
      <c r="A98" s="113">
        <v>64</v>
      </c>
      <c r="B98" s="100" t="s">
        <v>1167</v>
      </c>
      <c r="C98" s="72" t="s">
        <v>13636</v>
      </c>
      <c r="D98" s="104">
        <v>0</v>
      </c>
      <c r="E98" s="104">
        <v>0</v>
      </c>
      <c r="F98" s="104">
        <v>0</v>
      </c>
      <c r="G98" s="104">
        <v>0</v>
      </c>
      <c r="H98" s="48">
        <v>3948</v>
      </c>
      <c r="I98" s="48">
        <v>3947</v>
      </c>
      <c r="J98" s="48">
        <v>3808</v>
      </c>
      <c r="K98" s="48">
        <v>3833</v>
      </c>
      <c r="L98" s="48">
        <v>3854</v>
      </c>
      <c r="N98" s="100" t="s">
        <v>1689</v>
      </c>
      <c r="Q98" s="4"/>
    </row>
    <row r="99" spans="1:17">
      <c r="A99" s="113">
        <v>65</v>
      </c>
      <c r="B99" s="100" t="s">
        <v>3854</v>
      </c>
      <c r="C99" s="72" t="s">
        <v>13637</v>
      </c>
      <c r="D99" s="104">
        <v>0</v>
      </c>
      <c r="E99" s="104">
        <v>0</v>
      </c>
      <c r="F99" s="104">
        <v>0</v>
      </c>
      <c r="G99" s="104">
        <v>0</v>
      </c>
      <c r="H99" s="48">
        <v>3249</v>
      </c>
      <c r="I99" s="48">
        <v>3271</v>
      </c>
      <c r="J99" s="48">
        <v>3213</v>
      </c>
      <c r="K99" s="48">
        <v>3436</v>
      </c>
      <c r="L99" s="48">
        <v>3673</v>
      </c>
      <c r="N99" s="100" t="s">
        <v>1688</v>
      </c>
    </row>
    <row r="100" spans="1:17">
      <c r="A100" s="113">
        <v>66</v>
      </c>
      <c r="B100" s="100" t="s">
        <v>3855</v>
      </c>
      <c r="C100" s="72" t="s">
        <v>13638</v>
      </c>
      <c r="D100" s="104">
        <v>0</v>
      </c>
      <c r="E100" s="104">
        <v>0</v>
      </c>
      <c r="F100" s="104">
        <v>0</v>
      </c>
      <c r="G100" s="104">
        <v>0</v>
      </c>
      <c r="H100" s="48">
        <v>3380</v>
      </c>
      <c r="I100" s="48">
        <v>3389</v>
      </c>
      <c r="J100" s="48">
        <v>3318</v>
      </c>
      <c r="K100" s="48">
        <v>3371</v>
      </c>
      <c r="L100" s="48">
        <v>3472</v>
      </c>
      <c r="N100" s="100" t="s">
        <v>1686</v>
      </c>
    </row>
    <row r="101" spans="1:17">
      <c r="A101" s="113"/>
      <c r="B101" s="100"/>
      <c r="C101" s="72"/>
      <c r="H101" s="104"/>
      <c r="I101" s="104"/>
      <c r="J101" s="104"/>
      <c r="K101" s="104"/>
      <c r="L101" s="104"/>
      <c r="N101" s="100"/>
      <c r="O101" s="4"/>
      <c r="Q101" s="4"/>
    </row>
    <row r="102" spans="1:17">
      <c r="A102" s="100" t="s">
        <v>1686</v>
      </c>
      <c r="C102" s="72"/>
      <c r="D102" s="103">
        <f>SUM(D29:D31)+D33+SUM(D38:D40)+D54+D67+D67+D70+D71+D77+D78+D83+D90+D93+D100</f>
        <v>57112</v>
      </c>
      <c r="E102" s="103">
        <f>SUM(E29:E31)+E33+SUM(E38:E40)+E54+E67+E67+E70+E71+E77+E78+E83+E90+E93+E100</f>
        <v>55785</v>
      </c>
      <c r="F102" s="103">
        <f>SUM(F29:F31)+F33+SUM(F38:F40)+F54+F67+F67+F70+F71+F77+F78+F83+F90+F93+F100</f>
        <v>57712</v>
      </c>
      <c r="G102" s="103">
        <f>SUM(G29:G31)+G33+SUM(G38:G40)+G54+G67+G67+G70+G71+G77+G78+G83+G90+G93+G100</f>
        <v>58392</v>
      </c>
      <c r="H102" s="103">
        <f>SUM(H29:H31)+H33+SUM(H38:H40)+H54+H67+H70+H71+H77+H78+H83+H90+H93+H100</f>
        <v>57262</v>
      </c>
      <c r="I102" s="103">
        <f>SUM(I29:I31)+I33+SUM(I38:I40)+I54+I67+I70+I71+I77+I78+I83+I90+I93+I100</f>
        <v>57640</v>
      </c>
      <c r="J102" s="103">
        <f>SUM(J29:J31)+J33+SUM(J38:J40)+J54+J67+J70+J71+J77+J78+J83+J90+J93+J100</f>
        <v>55548</v>
      </c>
      <c r="K102" s="103">
        <f>SUM(K29:K31)+K33+SUM(K38:K40)+K54+K67+K70+K71+K77+K78+K83+K90+K93+K100</f>
        <v>56234</v>
      </c>
      <c r="L102" s="103">
        <f>SUM(L29:L31)+L33+SUM(L38:L40)+L54+L67+L70+L71+L77+L78+L83+L90+L93+L100</f>
        <v>57860</v>
      </c>
      <c r="N102" s="100"/>
      <c r="O102" s="4"/>
      <c r="Q102" s="4"/>
    </row>
    <row r="103" spans="1:17">
      <c r="A103" s="100" t="s">
        <v>1688</v>
      </c>
      <c r="C103" s="72"/>
      <c r="D103" s="103">
        <f t="shared" ref="D103:I103" si="37">SUM(D46:D53)+D56+D63+D65+D66+D76+D81+D92+D95+D99</f>
        <v>64035</v>
      </c>
      <c r="E103" s="103">
        <f t="shared" si="37"/>
        <v>63173</v>
      </c>
      <c r="F103" s="103">
        <f t="shared" si="37"/>
        <v>63719</v>
      </c>
      <c r="G103" s="103">
        <f t="shared" si="37"/>
        <v>64674</v>
      </c>
      <c r="H103" s="103">
        <f t="shared" si="37"/>
        <v>63912</v>
      </c>
      <c r="I103" s="103">
        <f t="shared" si="37"/>
        <v>63712</v>
      </c>
      <c r="J103" s="103">
        <f t="shared" ref="J103:K103" si="38">SUM(J46:J53)+J56+J63+J65+J66+J76+J81+J92+J95+J99</f>
        <v>59819</v>
      </c>
      <c r="K103" s="103">
        <f t="shared" si="38"/>
        <v>60990</v>
      </c>
      <c r="L103" s="103">
        <f t="shared" ref="L103" si="39">SUM(L46:L53)+L56+L63+L65+L66+L76+L81+L92+L95+L99</f>
        <v>62420</v>
      </c>
      <c r="P103" s="100"/>
    </row>
    <row r="104" spans="1:17">
      <c r="A104" s="100" t="s">
        <v>13334</v>
      </c>
      <c r="C104" s="72"/>
      <c r="D104" s="103">
        <f t="shared" ref="D104:I104" si="40">D37+D42+D45+D55+SUM(D58:D61)+D64+D82+D84+SUM(D86:D89)+D96+D98</f>
        <v>61085</v>
      </c>
      <c r="E104" s="103">
        <f t="shared" si="40"/>
        <v>60499</v>
      </c>
      <c r="F104" s="103">
        <f t="shared" si="40"/>
        <v>60590</v>
      </c>
      <c r="G104" s="103">
        <f t="shared" si="40"/>
        <v>60978</v>
      </c>
      <c r="H104" s="103">
        <f t="shared" si="40"/>
        <v>60260</v>
      </c>
      <c r="I104" s="103">
        <f t="shared" si="40"/>
        <v>60232</v>
      </c>
      <c r="J104" s="103">
        <f t="shared" ref="J104:K104" si="41">J37+J42+J45+J55+SUM(J58:J61)+J64+J82+J84+SUM(J86:J89)+J96+J98</f>
        <v>58198</v>
      </c>
      <c r="K104" s="103">
        <f t="shared" si="41"/>
        <v>58698</v>
      </c>
      <c r="L104" s="103">
        <f t="shared" ref="L104" si="42">L37+L42+L45+L55+SUM(L58:L61)+L64+L82+L84+SUM(L86:L89)+L96+L98</f>
        <v>59856</v>
      </c>
    </row>
    <row r="105" spans="1:17">
      <c r="A105" s="100" t="s">
        <v>1690</v>
      </c>
      <c r="C105" s="72"/>
      <c r="D105" s="103">
        <f t="shared" ref="D105:I105" si="43">D32+SUM(D34:D36)+D41+D43+D44+D57+D62+D68+SUM(D72:D75)+D79+D91+D94+D97</f>
        <v>62882</v>
      </c>
      <c r="E105" s="103">
        <f t="shared" si="43"/>
        <v>62395</v>
      </c>
      <c r="F105" s="103">
        <f t="shared" si="43"/>
        <v>63327</v>
      </c>
      <c r="G105" s="103">
        <f t="shared" si="43"/>
        <v>64185</v>
      </c>
      <c r="H105" s="103">
        <f t="shared" si="43"/>
        <v>63267</v>
      </c>
      <c r="I105" s="103">
        <f t="shared" si="43"/>
        <v>63026</v>
      </c>
      <c r="J105" s="103">
        <f t="shared" ref="J105:K105" si="44">J32+SUM(J34:J36)+J41+J43+J44+J57+J62+J68+SUM(J72:J75)+J79+J91+J94+J97</f>
        <v>58883</v>
      </c>
      <c r="K105" s="103">
        <f t="shared" si="44"/>
        <v>59441</v>
      </c>
      <c r="L105" s="103">
        <f t="shared" ref="L105" si="45">L32+SUM(L34:L36)+L41+L43+L44+L57+L62+L68+SUM(L72:L75)+L79+L91+L94+L97</f>
        <v>61162</v>
      </c>
    </row>
    <row r="106" spans="1:17">
      <c r="C106" s="72"/>
    </row>
    <row r="107" spans="1:17">
      <c r="A107" s="101" t="s">
        <v>13332</v>
      </c>
      <c r="C107" s="72"/>
    </row>
    <row r="108" spans="1:17">
      <c r="A108" s="101" t="s">
        <v>13333</v>
      </c>
      <c r="C108" s="72"/>
    </row>
    <row r="109" spans="1:17">
      <c r="C109" s="72"/>
    </row>
    <row r="110" spans="1:17">
      <c r="C110" s="72"/>
    </row>
    <row r="111" spans="1:17">
      <c r="C111" s="72"/>
    </row>
    <row r="112" spans="1:17">
      <c r="C112" s="72"/>
    </row>
    <row r="113" spans="3:3">
      <c r="C113" s="72"/>
    </row>
    <row r="114" spans="3:3">
      <c r="C114" s="72"/>
    </row>
    <row r="115" spans="3:3">
      <c r="C115" s="72"/>
    </row>
    <row r="116" spans="3:3">
      <c r="C116" s="72"/>
    </row>
    <row r="117" spans="3:3">
      <c r="C117" s="72"/>
    </row>
    <row r="118" spans="3:3">
      <c r="C118" s="72"/>
    </row>
    <row r="119" spans="3:3">
      <c r="C119" s="72"/>
    </row>
    <row r="120" spans="3:3">
      <c r="C120" s="72"/>
    </row>
    <row r="121" spans="3:3">
      <c r="C121" s="72"/>
    </row>
    <row r="122" spans="3:3">
      <c r="C122" s="72"/>
    </row>
    <row r="123" spans="3:3">
      <c r="C123" s="72"/>
    </row>
    <row r="124" spans="3:3">
      <c r="C124" s="72"/>
    </row>
    <row r="125" spans="3:3">
      <c r="C125" s="72"/>
    </row>
    <row r="126" spans="3:3">
      <c r="C126" s="72"/>
    </row>
    <row r="127" spans="3:3">
      <c r="C127" s="72"/>
    </row>
    <row r="128" spans="3:3">
      <c r="C128" s="72"/>
    </row>
    <row r="129" spans="3:3">
      <c r="C129" s="72"/>
    </row>
    <row r="130" spans="3:3">
      <c r="C130" s="72"/>
    </row>
    <row r="131" spans="3:3">
      <c r="C131" s="72"/>
    </row>
    <row r="132" spans="3:3">
      <c r="C132" s="72"/>
    </row>
    <row r="133" spans="3:3">
      <c r="C133" s="72"/>
    </row>
    <row r="134" spans="3:3">
      <c r="C134" s="72"/>
    </row>
    <row r="135" spans="3:3">
      <c r="C135" s="72"/>
    </row>
    <row r="136" spans="3:3">
      <c r="C136" s="72"/>
    </row>
    <row r="137" spans="3:3">
      <c r="C137" s="72"/>
    </row>
    <row r="138" spans="3:3">
      <c r="C138" s="72"/>
    </row>
    <row r="139" spans="3:3">
      <c r="C139" s="72"/>
    </row>
    <row r="140" spans="3:3">
      <c r="C140" s="72"/>
    </row>
    <row r="141" spans="3:3">
      <c r="C141" s="72"/>
    </row>
    <row r="142" spans="3:3">
      <c r="C142" s="72"/>
    </row>
    <row r="143" spans="3:3">
      <c r="C143" s="72"/>
    </row>
    <row r="144" spans="3:3">
      <c r="C144" s="72"/>
    </row>
    <row r="145" spans="3:3">
      <c r="C145" s="72"/>
    </row>
    <row r="146" spans="3:3">
      <c r="C146" s="72"/>
    </row>
    <row r="147" spans="3:3">
      <c r="C147" s="72"/>
    </row>
    <row r="148" spans="3:3">
      <c r="C148" s="72"/>
    </row>
    <row r="149" spans="3:3">
      <c r="C149" s="72"/>
    </row>
    <row r="150" spans="3:3">
      <c r="C150" s="72"/>
    </row>
    <row r="151" spans="3:3">
      <c r="C151" s="72"/>
    </row>
    <row r="152" spans="3:3">
      <c r="C152" s="72"/>
    </row>
    <row r="153" spans="3:3">
      <c r="C153" s="72"/>
    </row>
    <row r="154" spans="3:3">
      <c r="C154" s="72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1" orientation="portrait" horizontalDpi="300" verticalDpi="300" r:id="rId1"/>
  <headerFooter alignWithMargins="0">
    <oddFooter>&amp;C&amp;8&amp;P of &amp;N</oddFooter>
  </headerFooter>
  <rowBreaks count="1" manualBreakCount="1">
    <brk id="76" max="4" man="1"/>
  </rowBreaks>
  <ignoredErrors>
    <ignoredError sqref="D4 E4 F4 G4 D14:D16 E14:E16 F14:F16 G14:G16 G9:G10 F9:F10 E9:E10 D9:D10 D12:G13 D18:D21 E18:E21 F18:F21 G18:G22 D5 E5 F5 G5 D6:D8 E6:E8 F6:F8 G6:G8 D102:G102 D28:K28 H102 H103:H105 D3:H3 H5:H8 D103:G105 H9:H16 H18:H21 D17:H17 I102:I105 I3:I10 I12:I21 J102:J105 J3:J21 K102:K105 K3:K10 K12:K21 L3:L105" unlocked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V100"/>
  <sheetViews>
    <sheetView showGridLines="0" zoomScaleNormal="100" workbookViewId="0"/>
  </sheetViews>
  <sheetFormatPr defaultColWidth="14.5703125" defaultRowHeight="15"/>
  <cols>
    <col min="1" max="1" width="4.85546875" style="627" customWidth="1"/>
    <col min="2" max="2" width="40.7109375" style="627" customWidth="1"/>
    <col min="3" max="3" width="11.5703125" style="627" customWidth="1"/>
    <col min="4" max="12" width="10" style="627" customWidth="1"/>
    <col min="13" max="13" width="2.28515625" style="627" customWidth="1"/>
    <col min="14" max="14" width="33.140625" style="627" customWidth="1"/>
    <col min="15" max="16384" width="14.5703125" style="627"/>
  </cols>
  <sheetData>
    <row r="1" spans="1:14">
      <c r="A1" s="626" t="s">
        <v>8847</v>
      </c>
      <c r="D1" s="322">
        <v>2010</v>
      </c>
      <c r="E1" s="322">
        <v>2011</v>
      </c>
      <c r="F1" s="322">
        <v>2012</v>
      </c>
      <c r="G1" s="322">
        <v>2013</v>
      </c>
      <c r="H1" s="322">
        <v>2014</v>
      </c>
      <c r="I1" s="322">
        <v>2015</v>
      </c>
      <c r="J1" s="322">
        <v>2016</v>
      </c>
      <c r="K1" s="322">
        <v>2017</v>
      </c>
      <c r="L1" s="322">
        <v>2018</v>
      </c>
    </row>
    <row r="3" spans="1:14">
      <c r="A3" s="626" t="s">
        <v>7119</v>
      </c>
      <c r="D3" s="628">
        <f t="shared" ref="D3:J3" si="0">SUM(D17:D51)</f>
        <v>155666</v>
      </c>
      <c r="E3" s="628">
        <f t="shared" si="0"/>
        <v>157001</v>
      </c>
      <c r="F3" s="628">
        <f t="shared" si="0"/>
        <v>157809</v>
      </c>
      <c r="G3" s="628">
        <f t="shared" si="0"/>
        <v>159585</v>
      </c>
      <c r="H3" s="628">
        <f t="shared" si="0"/>
        <v>157776</v>
      </c>
      <c r="I3" s="628">
        <f t="shared" si="0"/>
        <v>156981</v>
      </c>
      <c r="J3" s="628">
        <f t="shared" si="0"/>
        <v>151312</v>
      </c>
      <c r="K3" s="628">
        <f t="shared" ref="K3:L3" si="1">SUM(K17:K51)</f>
        <v>159208</v>
      </c>
      <c r="L3" s="628">
        <f t="shared" si="1"/>
        <v>158288</v>
      </c>
    </row>
    <row r="4" spans="1:14">
      <c r="B4" s="626"/>
      <c r="C4" s="626"/>
      <c r="D4" s="629"/>
      <c r="E4" s="629"/>
      <c r="F4" s="629"/>
      <c r="G4" s="629"/>
      <c r="H4" s="629"/>
      <c r="I4" s="629"/>
      <c r="J4" s="629"/>
      <c r="K4" s="629"/>
      <c r="L4" s="629"/>
      <c r="N4" s="630"/>
    </row>
    <row r="5" spans="1:14">
      <c r="A5" s="626" t="s">
        <v>3520</v>
      </c>
      <c r="D5" s="628">
        <f t="shared" ref="D5:I5" si="2">D3/2</f>
        <v>77833</v>
      </c>
      <c r="E5" s="628">
        <f t="shared" si="2"/>
        <v>78500.5</v>
      </c>
      <c r="F5" s="628">
        <f t="shared" si="2"/>
        <v>78904.5</v>
      </c>
      <c r="G5" s="628">
        <f t="shared" si="2"/>
        <v>79792.5</v>
      </c>
      <c r="H5" s="628">
        <f t="shared" si="2"/>
        <v>78888</v>
      </c>
      <c r="I5" s="628">
        <f t="shared" si="2"/>
        <v>78490.5</v>
      </c>
      <c r="J5" s="628">
        <f t="shared" ref="J5:K5" si="3">J3/2</f>
        <v>75656</v>
      </c>
      <c r="K5" s="628">
        <f t="shared" si="3"/>
        <v>79604</v>
      </c>
      <c r="L5" s="628">
        <f t="shared" ref="L5" si="4">L3/2</f>
        <v>79144</v>
      </c>
    </row>
    <row r="6" spans="1:14">
      <c r="D6" s="631"/>
      <c r="E6" s="631"/>
      <c r="F6" s="631"/>
      <c r="G6" s="631"/>
      <c r="H6" s="631"/>
      <c r="I6" s="631"/>
      <c r="J6" s="631"/>
      <c r="K6" s="631"/>
      <c r="L6" s="631"/>
    </row>
    <row r="7" spans="1:14">
      <c r="A7" s="626" t="s">
        <v>7120</v>
      </c>
      <c r="D7" s="628">
        <f>D17+SUM(D20:D24)+D26+SUM(D28:D37)+SUM(D49:D51)</f>
        <v>77150</v>
      </c>
      <c r="E7" s="628">
        <f t="shared" ref="E7:I7" si="5">E17+SUM(E20:E24)+E26+SUM(E28:E37)+SUM(E49:E51)</f>
        <v>78223</v>
      </c>
      <c r="F7" s="628">
        <f t="shared" si="5"/>
        <v>78687</v>
      </c>
      <c r="G7" s="628">
        <f t="shared" si="5"/>
        <v>79500</v>
      </c>
      <c r="H7" s="628">
        <f t="shared" si="5"/>
        <v>79281</v>
      </c>
      <c r="I7" s="628">
        <f t="shared" si="5"/>
        <v>78808</v>
      </c>
      <c r="J7" s="628">
        <f>J17+SUM(J20:J24)+J26+SUM(J28:J37)+SUM(J49:J51)</f>
        <v>75979</v>
      </c>
      <c r="K7" s="628">
        <f>K17+SUM(K20:K24)+K26+SUM(K28:K37)+SUM(K49:K51)</f>
        <v>79191</v>
      </c>
      <c r="L7" s="628">
        <f>L17+SUM(L20:L24)+L26+SUM(L28:L37)+SUM(L49:L51)</f>
        <v>78469</v>
      </c>
      <c r="N7" s="626" t="s">
        <v>5314</v>
      </c>
    </row>
    <row r="8" spans="1:14">
      <c r="D8" s="629"/>
      <c r="E8" s="629"/>
      <c r="F8" s="629"/>
      <c r="G8" s="629"/>
      <c r="H8" s="629"/>
      <c r="I8" s="629"/>
      <c r="J8" s="629"/>
      <c r="K8" s="629"/>
      <c r="L8" s="629"/>
      <c r="N8" s="626"/>
    </row>
    <row r="9" spans="1:14">
      <c r="A9" s="626" t="s">
        <v>5315</v>
      </c>
      <c r="D9" s="628">
        <f>D18+D19+D25+D27+SUM(D38:D48)</f>
        <v>78516</v>
      </c>
      <c r="E9" s="628">
        <f t="shared" ref="E9:I9" si="6">E18+E19+E25+E27+SUM(E38:E48)</f>
        <v>78778</v>
      </c>
      <c r="F9" s="628">
        <f t="shared" si="6"/>
        <v>79122</v>
      </c>
      <c r="G9" s="628">
        <f t="shared" si="6"/>
        <v>80085</v>
      </c>
      <c r="H9" s="628">
        <f t="shared" si="6"/>
        <v>78495</v>
      </c>
      <c r="I9" s="628">
        <f t="shared" si="6"/>
        <v>78173</v>
      </c>
      <c r="J9" s="628">
        <f>J18+J19+J25+J27+SUM(J38:J48)</f>
        <v>75333</v>
      </c>
      <c r="K9" s="628">
        <f>K18+K19+K25+K27+SUM(K38:K48)</f>
        <v>80017</v>
      </c>
      <c r="L9" s="628">
        <f>L18+L19+L25+L27+SUM(L38:L48)</f>
        <v>79819</v>
      </c>
      <c r="N9" s="626" t="s">
        <v>5314</v>
      </c>
    </row>
    <row r="10" spans="1:14">
      <c r="D10" s="631"/>
      <c r="E10" s="631"/>
      <c r="F10" s="631"/>
      <c r="G10" s="631"/>
      <c r="H10" s="631"/>
      <c r="I10" s="631"/>
      <c r="J10" s="631"/>
      <c r="K10" s="631"/>
      <c r="L10" s="631"/>
    </row>
    <row r="11" spans="1:14">
      <c r="A11" s="626" t="s">
        <v>8697</v>
      </c>
      <c r="D11" s="628">
        <f t="shared" ref="D11:I11" si="7">D7+D9</f>
        <v>155666</v>
      </c>
      <c r="E11" s="628">
        <f t="shared" si="7"/>
        <v>157001</v>
      </c>
      <c r="F11" s="628">
        <f t="shared" si="7"/>
        <v>157809</v>
      </c>
      <c r="G11" s="628">
        <f t="shared" si="7"/>
        <v>159585</v>
      </c>
      <c r="H11" s="628">
        <f t="shared" si="7"/>
        <v>157776</v>
      </c>
      <c r="I11" s="628">
        <f t="shared" si="7"/>
        <v>156981</v>
      </c>
      <c r="J11" s="628">
        <f t="shared" ref="J11:K11" si="8">J7+J9</f>
        <v>151312</v>
      </c>
      <c r="K11" s="628">
        <f t="shared" si="8"/>
        <v>159208</v>
      </c>
      <c r="L11" s="628">
        <f t="shared" ref="L11" si="9">L7+L9</f>
        <v>158288</v>
      </c>
    </row>
    <row r="12" spans="1:14">
      <c r="D12" s="631"/>
      <c r="E12" s="631"/>
      <c r="F12" s="631"/>
      <c r="G12" s="631"/>
      <c r="H12" s="631"/>
      <c r="I12" s="631"/>
      <c r="J12" s="631"/>
      <c r="K12" s="631"/>
      <c r="L12" s="631"/>
    </row>
    <row r="13" spans="1:14">
      <c r="A13" s="626" t="s">
        <v>8698</v>
      </c>
      <c r="D13" s="628">
        <f t="shared" ref="D13:I13" si="10">MAX(D7,D9)-MIN(D7,D9)</f>
        <v>1366</v>
      </c>
      <c r="E13" s="628">
        <f t="shared" si="10"/>
        <v>555</v>
      </c>
      <c r="F13" s="628">
        <f t="shared" si="10"/>
        <v>435</v>
      </c>
      <c r="G13" s="628">
        <f t="shared" si="10"/>
        <v>585</v>
      </c>
      <c r="H13" s="628">
        <f t="shared" si="10"/>
        <v>786</v>
      </c>
      <c r="I13" s="628">
        <f t="shared" si="10"/>
        <v>635</v>
      </c>
      <c r="J13" s="628">
        <f t="shared" ref="J13:K13" si="11">MAX(J7,J9)-MIN(J7,J9)</f>
        <v>646</v>
      </c>
      <c r="K13" s="628">
        <f t="shared" si="11"/>
        <v>826</v>
      </c>
      <c r="L13" s="628">
        <f t="shared" ref="L13" si="12">MAX(L7,L9)-MIN(L7,L9)</f>
        <v>1350</v>
      </c>
    </row>
    <row r="14" spans="1:14">
      <c r="D14" s="631"/>
      <c r="E14" s="631"/>
      <c r="F14" s="631"/>
      <c r="G14" s="631"/>
      <c r="H14" s="631"/>
      <c r="I14" s="631"/>
      <c r="J14" s="631"/>
      <c r="K14" s="631"/>
      <c r="L14" s="631"/>
    </row>
    <row r="15" spans="1:14">
      <c r="A15" s="626" t="s">
        <v>8701</v>
      </c>
      <c r="D15" s="628">
        <f t="shared" ref="D15:I15" si="13">STDEVP(D7,D9)</f>
        <v>683</v>
      </c>
      <c r="E15" s="628">
        <f t="shared" si="13"/>
        <v>277.5</v>
      </c>
      <c r="F15" s="628">
        <f t="shared" si="13"/>
        <v>217.5</v>
      </c>
      <c r="G15" s="628">
        <f t="shared" si="13"/>
        <v>292.5</v>
      </c>
      <c r="H15" s="628">
        <f t="shared" si="13"/>
        <v>393</v>
      </c>
      <c r="I15" s="628">
        <f t="shared" si="13"/>
        <v>317.5</v>
      </c>
      <c r="J15" s="628">
        <f t="shared" ref="J15:K15" si="14">STDEVP(J7,J9)</f>
        <v>323</v>
      </c>
      <c r="K15" s="628">
        <f t="shared" si="14"/>
        <v>413</v>
      </c>
      <c r="L15" s="628">
        <f t="shared" ref="L15" si="15">STDEVP(L7,L9)</f>
        <v>675</v>
      </c>
    </row>
    <row r="17" spans="1:17">
      <c r="A17" s="512">
        <v>1</v>
      </c>
      <c r="B17" s="626" t="s">
        <v>5316</v>
      </c>
      <c r="C17" s="4" t="s">
        <v>15216</v>
      </c>
      <c r="D17" s="628">
        <v>77150</v>
      </c>
      <c r="E17" s="628">
        <v>78223</v>
      </c>
      <c r="F17" s="628">
        <v>78687</v>
      </c>
      <c r="G17" s="30">
        <v>79500</v>
      </c>
      <c r="H17" s="30">
        <v>79281</v>
      </c>
      <c r="I17" s="30">
        <v>78808</v>
      </c>
      <c r="J17" s="30">
        <v>3514</v>
      </c>
      <c r="K17" s="30">
        <v>3603</v>
      </c>
      <c r="L17" s="30">
        <v>3591</v>
      </c>
      <c r="N17" s="626" t="s">
        <v>7120</v>
      </c>
      <c r="O17" s="4"/>
      <c r="Q17" s="4"/>
    </row>
    <row r="18" spans="1:17">
      <c r="A18" s="512">
        <v>2</v>
      </c>
      <c r="B18" s="626" t="s">
        <v>15218</v>
      </c>
      <c r="C18" s="4" t="s">
        <v>15237</v>
      </c>
      <c r="D18" s="628">
        <v>78516</v>
      </c>
      <c r="E18" s="628">
        <v>78778</v>
      </c>
      <c r="F18" s="628">
        <v>79122</v>
      </c>
      <c r="G18" s="31">
        <v>80085</v>
      </c>
      <c r="H18" s="31">
        <v>78495</v>
      </c>
      <c r="I18" s="31">
        <v>78173</v>
      </c>
      <c r="J18" s="31">
        <v>5802</v>
      </c>
      <c r="K18" s="31">
        <v>6079</v>
      </c>
      <c r="L18" s="31">
        <v>5989</v>
      </c>
      <c r="N18" s="626" t="s">
        <v>5315</v>
      </c>
      <c r="O18" s="4"/>
      <c r="Q18" s="4"/>
    </row>
    <row r="19" spans="1:17">
      <c r="A19" s="512">
        <v>3</v>
      </c>
      <c r="B19" s="626" t="s">
        <v>15219</v>
      </c>
      <c r="C19" s="4" t="s">
        <v>15238</v>
      </c>
      <c r="D19" s="628">
        <v>0</v>
      </c>
      <c r="E19" s="628">
        <v>0</v>
      </c>
      <c r="F19" s="628">
        <v>0</v>
      </c>
      <c r="G19" s="31">
        <v>0</v>
      </c>
      <c r="H19" s="31">
        <v>0</v>
      </c>
      <c r="I19" s="31">
        <v>0</v>
      </c>
      <c r="J19" s="31">
        <v>2998</v>
      </c>
      <c r="K19" s="31">
        <v>3136</v>
      </c>
      <c r="L19" s="31">
        <v>3087</v>
      </c>
      <c r="N19" s="626" t="s">
        <v>5315</v>
      </c>
      <c r="O19" s="4"/>
      <c r="Q19" s="4"/>
    </row>
    <row r="20" spans="1:17">
      <c r="A20" s="512">
        <v>4</v>
      </c>
      <c r="B20" s="626" t="s">
        <v>3606</v>
      </c>
      <c r="C20" s="4" t="s">
        <v>15239</v>
      </c>
      <c r="D20" s="628">
        <v>0</v>
      </c>
      <c r="E20" s="628">
        <v>0</v>
      </c>
      <c r="F20" s="628">
        <v>0</v>
      </c>
      <c r="G20" s="31">
        <v>0</v>
      </c>
      <c r="H20" s="31">
        <v>0</v>
      </c>
      <c r="I20" s="31">
        <v>0</v>
      </c>
      <c r="J20" s="30">
        <v>3153</v>
      </c>
      <c r="K20" s="30">
        <v>3334</v>
      </c>
      <c r="L20" s="30">
        <v>3249</v>
      </c>
      <c r="N20" s="626" t="s">
        <v>7120</v>
      </c>
      <c r="O20" s="4"/>
      <c r="Q20" s="4"/>
    </row>
    <row r="21" spans="1:17">
      <c r="A21" s="512">
        <v>5</v>
      </c>
      <c r="B21" s="626" t="s">
        <v>3607</v>
      </c>
      <c r="C21" s="4" t="s">
        <v>15240</v>
      </c>
      <c r="D21" s="628">
        <v>0</v>
      </c>
      <c r="E21" s="628">
        <v>0</v>
      </c>
      <c r="F21" s="628">
        <v>0</v>
      </c>
      <c r="G21" s="31">
        <v>0</v>
      </c>
      <c r="H21" s="31">
        <v>0</v>
      </c>
      <c r="I21" s="31">
        <v>0</v>
      </c>
      <c r="J21" s="30">
        <v>3218</v>
      </c>
      <c r="K21" s="30">
        <v>3358</v>
      </c>
      <c r="L21" s="30">
        <v>3285</v>
      </c>
      <c r="N21" s="626" t="s">
        <v>7120</v>
      </c>
      <c r="O21" s="4"/>
      <c r="Q21" s="4"/>
    </row>
    <row r="22" spans="1:17">
      <c r="A22" s="512">
        <v>6</v>
      </c>
      <c r="B22" s="626" t="s">
        <v>3608</v>
      </c>
      <c r="C22" s="4" t="s">
        <v>15241</v>
      </c>
      <c r="D22" s="628">
        <v>0</v>
      </c>
      <c r="E22" s="628">
        <v>0</v>
      </c>
      <c r="F22" s="628">
        <v>0</v>
      </c>
      <c r="G22" s="31">
        <v>0</v>
      </c>
      <c r="H22" s="31">
        <v>0</v>
      </c>
      <c r="I22" s="31">
        <v>0</v>
      </c>
      <c r="J22" s="30">
        <v>3346</v>
      </c>
      <c r="K22" s="30">
        <v>3553</v>
      </c>
      <c r="L22" s="30">
        <v>3516</v>
      </c>
      <c r="N22" s="626" t="s">
        <v>7120</v>
      </c>
      <c r="O22" s="4"/>
      <c r="Q22" s="4"/>
    </row>
    <row r="23" spans="1:17">
      <c r="A23" s="512">
        <v>7</v>
      </c>
      <c r="B23" s="626" t="s">
        <v>3609</v>
      </c>
      <c r="C23" s="4" t="s">
        <v>15242</v>
      </c>
      <c r="D23" s="628">
        <v>0</v>
      </c>
      <c r="E23" s="628">
        <v>0</v>
      </c>
      <c r="F23" s="628">
        <v>0</v>
      </c>
      <c r="G23" s="31">
        <v>0</v>
      </c>
      <c r="H23" s="31">
        <v>0</v>
      </c>
      <c r="I23" s="31">
        <v>0</v>
      </c>
      <c r="J23" s="30">
        <v>3091</v>
      </c>
      <c r="K23" s="30">
        <v>3166</v>
      </c>
      <c r="L23" s="30">
        <v>3164</v>
      </c>
      <c r="N23" s="626" t="s">
        <v>7120</v>
      </c>
      <c r="O23" s="4"/>
      <c r="Q23" s="4"/>
    </row>
    <row r="24" spans="1:17">
      <c r="A24" s="512">
        <v>8</v>
      </c>
      <c r="B24" s="626" t="s">
        <v>3610</v>
      </c>
      <c r="C24" s="4" t="s">
        <v>15243</v>
      </c>
      <c r="D24" s="628">
        <v>0</v>
      </c>
      <c r="E24" s="628">
        <v>0</v>
      </c>
      <c r="F24" s="628">
        <v>0</v>
      </c>
      <c r="G24" s="31">
        <v>0</v>
      </c>
      <c r="H24" s="31">
        <v>0</v>
      </c>
      <c r="I24" s="31">
        <v>0</v>
      </c>
      <c r="J24" s="30">
        <v>3156</v>
      </c>
      <c r="K24" s="30">
        <v>3261</v>
      </c>
      <c r="L24" s="30">
        <v>3282</v>
      </c>
      <c r="N24" s="626" t="s">
        <v>7120</v>
      </c>
      <c r="O24" s="4"/>
      <c r="Q24" s="4"/>
    </row>
    <row r="25" spans="1:17">
      <c r="A25" s="512">
        <v>9</v>
      </c>
      <c r="B25" s="626" t="s">
        <v>15220</v>
      </c>
      <c r="C25" s="4" t="s">
        <v>15244</v>
      </c>
      <c r="D25" s="628">
        <v>0</v>
      </c>
      <c r="E25" s="628">
        <v>0</v>
      </c>
      <c r="F25" s="628">
        <v>0</v>
      </c>
      <c r="G25" s="31">
        <v>0</v>
      </c>
      <c r="H25" s="31">
        <v>0</v>
      </c>
      <c r="I25" s="31">
        <v>0</v>
      </c>
      <c r="J25" s="31">
        <v>3007</v>
      </c>
      <c r="K25" s="31">
        <v>3162</v>
      </c>
      <c r="L25" s="31">
        <v>3117</v>
      </c>
      <c r="N25" s="626" t="s">
        <v>5315</v>
      </c>
      <c r="O25" s="4"/>
      <c r="Q25" s="4"/>
    </row>
    <row r="26" spans="1:17">
      <c r="A26" s="512">
        <v>10</v>
      </c>
      <c r="B26" s="626" t="s">
        <v>15221</v>
      </c>
      <c r="C26" s="4" t="s">
        <v>15245</v>
      </c>
      <c r="D26" s="628">
        <v>0</v>
      </c>
      <c r="E26" s="628">
        <v>0</v>
      </c>
      <c r="F26" s="628">
        <v>0</v>
      </c>
      <c r="G26" s="31">
        <v>0</v>
      </c>
      <c r="H26" s="31">
        <v>0</v>
      </c>
      <c r="I26" s="31">
        <v>0</v>
      </c>
      <c r="J26" s="30">
        <v>3370</v>
      </c>
      <c r="K26" s="30">
        <v>3484</v>
      </c>
      <c r="L26" s="30">
        <v>3436</v>
      </c>
      <c r="N26" s="626" t="s">
        <v>7120</v>
      </c>
      <c r="O26" s="4"/>
      <c r="Q26" s="4"/>
    </row>
    <row r="27" spans="1:17">
      <c r="A27" s="512">
        <v>11</v>
      </c>
      <c r="B27" s="626" t="s">
        <v>15222</v>
      </c>
      <c r="C27" s="4" t="s">
        <v>15246</v>
      </c>
      <c r="D27" s="628">
        <v>0</v>
      </c>
      <c r="E27" s="628">
        <v>0</v>
      </c>
      <c r="F27" s="628">
        <v>0</v>
      </c>
      <c r="G27" s="31">
        <v>0</v>
      </c>
      <c r="H27" s="31">
        <v>0</v>
      </c>
      <c r="I27" s="31">
        <v>0</v>
      </c>
      <c r="J27" s="31">
        <v>5455</v>
      </c>
      <c r="K27" s="31">
        <v>5715</v>
      </c>
      <c r="L27" s="31">
        <v>5739</v>
      </c>
      <c r="N27" s="626" t="s">
        <v>5315</v>
      </c>
      <c r="O27" s="4"/>
      <c r="Q27" s="4"/>
    </row>
    <row r="28" spans="1:17">
      <c r="A28" s="512">
        <v>12</v>
      </c>
      <c r="B28" s="626" t="s">
        <v>15223</v>
      </c>
      <c r="C28" s="4" t="s">
        <v>15247</v>
      </c>
      <c r="D28" s="628">
        <v>0</v>
      </c>
      <c r="E28" s="628">
        <v>0</v>
      </c>
      <c r="F28" s="628">
        <v>0</v>
      </c>
      <c r="G28" s="31">
        <v>0</v>
      </c>
      <c r="H28" s="31">
        <v>0</v>
      </c>
      <c r="I28" s="31">
        <v>0</v>
      </c>
      <c r="J28" s="30">
        <v>6267</v>
      </c>
      <c r="K28" s="30">
        <v>6513</v>
      </c>
      <c r="L28" s="30">
        <v>6494</v>
      </c>
      <c r="N28" s="626" t="s">
        <v>7120</v>
      </c>
      <c r="O28" s="4"/>
      <c r="Q28" s="4"/>
    </row>
    <row r="29" spans="1:17">
      <c r="A29" s="512">
        <v>13</v>
      </c>
      <c r="B29" s="626" t="s">
        <v>15224</v>
      </c>
      <c r="C29" s="4" t="s">
        <v>15248</v>
      </c>
      <c r="D29" s="628">
        <v>0</v>
      </c>
      <c r="E29" s="628">
        <v>0</v>
      </c>
      <c r="F29" s="628">
        <v>0</v>
      </c>
      <c r="G29" s="31">
        <v>0</v>
      </c>
      <c r="H29" s="31">
        <v>0</v>
      </c>
      <c r="I29" s="31">
        <v>0</v>
      </c>
      <c r="J29" s="30">
        <v>3330</v>
      </c>
      <c r="K29" s="30">
        <v>3387</v>
      </c>
      <c r="L29" s="30">
        <v>3329</v>
      </c>
      <c r="N29" s="626" t="s">
        <v>7120</v>
      </c>
      <c r="O29" s="4"/>
      <c r="Q29" s="4"/>
    </row>
    <row r="30" spans="1:17">
      <c r="A30" s="512">
        <v>14</v>
      </c>
      <c r="B30" s="626" t="s">
        <v>15225</v>
      </c>
      <c r="C30" s="4" t="s">
        <v>15249</v>
      </c>
      <c r="D30" s="628">
        <v>0</v>
      </c>
      <c r="E30" s="628">
        <v>0</v>
      </c>
      <c r="F30" s="628">
        <v>0</v>
      </c>
      <c r="G30" s="31">
        <v>0</v>
      </c>
      <c r="H30" s="31">
        <v>0</v>
      </c>
      <c r="I30" s="31">
        <v>0</v>
      </c>
      <c r="J30" s="30">
        <v>2931</v>
      </c>
      <c r="K30" s="30">
        <v>3043</v>
      </c>
      <c r="L30" s="30">
        <v>2978</v>
      </c>
      <c r="N30" s="626" t="s">
        <v>7120</v>
      </c>
      <c r="O30" s="4"/>
      <c r="Q30" s="4"/>
    </row>
    <row r="31" spans="1:17">
      <c r="A31" s="512">
        <v>15</v>
      </c>
      <c r="B31" s="626" t="s">
        <v>15226</v>
      </c>
      <c r="C31" s="4" t="s">
        <v>15250</v>
      </c>
      <c r="D31" s="628">
        <v>0</v>
      </c>
      <c r="E31" s="628">
        <v>0</v>
      </c>
      <c r="F31" s="628">
        <v>0</v>
      </c>
      <c r="G31" s="31">
        <v>0</v>
      </c>
      <c r="H31" s="31">
        <v>0</v>
      </c>
      <c r="I31" s="31">
        <v>0</v>
      </c>
      <c r="J31" s="30">
        <v>3226</v>
      </c>
      <c r="K31" s="30">
        <v>3410</v>
      </c>
      <c r="L31" s="30">
        <v>3416</v>
      </c>
      <c r="N31" s="626" t="s">
        <v>7120</v>
      </c>
      <c r="O31" s="4"/>
      <c r="Q31" s="4"/>
    </row>
    <row r="32" spans="1:17">
      <c r="A32" s="512">
        <v>16</v>
      </c>
      <c r="B32" s="626" t="s">
        <v>15227</v>
      </c>
      <c r="C32" s="4" t="s">
        <v>15251</v>
      </c>
      <c r="D32" s="628">
        <v>0</v>
      </c>
      <c r="E32" s="628">
        <v>0</v>
      </c>
      <c r="F32" s="628">
        <v>0</v>
      </c>
      <c r="G32" s="31">
        <v>0</v>
      </c>
      <c r="H32" s="31">
        <v>0</v>
      </c>
      <c r="I32" s="31">
        <v>0</v>
      </c>
      <c r="J32" s="30">
        <v>2757</v>
      </c>
      <c r="K32" s="30">
        <v>2822</v>
      </c>
      <c r="L32" s="30">
        <v>2799</v>
      </c>
      <c r="N32" s="626" t="s">
        <v>7120</v>
      </c>
      <c r="O32" s="4"/>
      <c r="Q32" s="4"/>
    </row>
    <row r="33" spans="1:17">
      <c r="A33" s="512">
        <v>17</v>
      </c>
      <c r="B33" s="626" t="s">
        <v>5330</v>
      </c>
      <c r="C33" s="4" t="s">
        <v>15252</v>
      </c>
      <c r="D33" s="628">
        <v>0</v>
      </c>
      <c r="E33" s="628">
        <v>0</v>
      </c>
      <c r="F33" s="628">
        <v>0</v>
      </c>
      <c r="G33" s="31">
        <v>0</v>
      </c>
      <c r="H33" s="31">
        <v>0</v>
      </c>
      <c r="I33" s="31">
        <v>0</v>
      </c>
      <c r="J33" s="30">
        <v>3255</v>
      </c>
      <c r="K33" s="30">
        <v>3386</v>
      </c>
      <c r="L33" s="30">
        <v>3304</v>
      </c>
      <c r="N33" s="626" t="s">
        <v>7120</v>
      </c>
      <c r="O33" s="4"/>
      <c r="Q33" s="4"/>
    </row>
    <row r="34" spans="1:17">
      <c r="A34" s="512">
        <v>18</v>
      </c>
      <c r="B34" s="627" t="s">
        <v>5331</v>
      </c>
      <c r="C34" s="4" t="s">
        <v>15253</v>
      </c>
      <c r="D34" s="628">
        <v>0</v>
      </c>
      <c r="E34" s="628">
        <v>0</v>
      </c>
      <c r="F34" s="628">
        <v>0</v>
      </c>
      <c r="G34" s="31">
        <v>0</v>
      </c>
      <c r="H34" s="31">
        <v>0</v>
      </c>
      <c r="I34" s="31">
        <v>0</v>
      </c>
      <c r="J34" s="30">
        <v>4926</v>
      </c>
      <c r="K34" s="30">
        <v>5254</v>
      </c>
      <c r="L34" s="30">
        <v>5241</v>
      </c>
      <c r="N34" s="626" t="s">
        <v>7120</v>
      </c>
      <c r="O34" s="4"/>
      <c r="Q34" s="4"/>
    </row>
    <row r="35" spans="1:17">
      <c r="A35" s="512">
        <v>19</v>
      </c>
      <c r="B35" s="626" t="s">
        <v>15228</v>
      </c>
      <c r="C35" s="4" t="s">
        <v>15254</v>
      </c>
      <c r="D35" s="628">
        <v>0</v>
      </c>
      <c r="E35" s="628">
        <v>0</v>
      </c>
      <c r="F35" s="628">
        <v>0</v>
      </c>
      <c r="G35" s="31">
        <v>0</v>
      </c>
      <c r="H35" s="31">
        <v>0</v>
      </c>
      <c r="I35" s="31">
        <v>0</v>
      </c>
      <c r="J35" s="30">
        <v>3659</v>
      </c>
      <c r="K35" s="30">
        <v>3888</v>
      </c>
      <c r="L35" s="30">
        <v>3794</v>
      </c>
      <c r="N35" s="626" t="s">
        <v>7120</v>
      </c>
      <c r="O35" s="4"/>
      <c r="Q35" s="4"/>
    </row>
    <row r="36" spans="1:17">
      <c r="A36" s="512">
        <v>20</v>
      </c>
      <c r="B36" s="626" t="s">
        <v>15229</v>
      </c>
      <c r="C36" s="4" t="s">
        <v>15255</v>
      </c>
      <c r="D36" s="628">
        <v>0</v>
      </c>
      <c r="E36" s="628">
        <v>0</v>
      </c>
      <c r="F36" s="628">
        <v>0</v>
      </c>
      <c r="G36" s="31">
        <v>0</v>
      </c>
      <c r="H36" s="31">
        <v>0</v>
      </c>
      <c r="I36" s="31">
        <v>0</v>
      </c>
      <c r="J36" s="31">
        <v>3191</v>
      </c>
      <c r="K36" s="31">
        <v>3301</v>
      </c>
      <c r="L36" s="31">
        <v>3285</v>
      </c>
      <c r="N36" s="626" t="s">
        <v>7120</v>
      </c>
      <c r="O36" s="4"/>
      <c r="Q36" s="4"/>
    </row>
    <row r="37" spans="1:17">
      <c r="A37" s="512">
        <v>21</v>
      </c>
      <c r="B37" s="626" t="s">
        <v>3615</v>
      </c>
      <c r="C37" s="4" t="s">
        <v>15256</v>
      </c>
      <c r="D37" s="628">
        <v>0</v>
      </c>
      <c r="E37" s="628">
        <v>0</v>
      </c>
      <c r="F37" s="628">
        <v>0</v>
      </c>
      <c r="G37" s="31">
        <v>0</v>
      </c>
      <c r="H37" s="31">
        <v>0</v>
      </c>
      <c r="I37" s="31">
        <v>0</v>
      </c>
      <c r="J37" s="31">
        <v>6948</v>
      </c>
      <c r="K37" s="31">
        <v>7216</v>
      </c>
      <c r="L37" s="31">
        <v>7164</v>
      </c>
      <c r="N37" s="626" t="s">
        <v>7120</v>
      </c>
      <c r="O37" s="4"/>
      <c r="Q37" s="4"/>
    </row>
    <row r="38" spans="1:17">
      <c r="A38" s="512">
        <v>22</v>
      </c>
      <c r="B38" s="626" t="s">
        <v>16598</v>
      </c>
      <c r="C38" s="4" t="s">
        <v>15257</v>
      </c>
      <c r="D38" s="628">
        <v>0</v>
      </c>
      <c r="E38" s="628">
        <v>0</v>
      </c>
      <c r="F38" s="628">
        <v>0</v>
      </c>
      <c r="G38" s="31">
        <v>0</v>
      </c>
      <c r="H38" s="31">
        <v>0</v>
      </c>
      <c r="I38" s="31">
        <v>0</v>
      </c>
      <c r="J38" s="31">
        <v>5514</v>
      </c>
      <c r="K38" s="31">
        <v>5856</v>
      </c>
      <c r="L38" s="31">
        <v>5814</v>
      </c>
      <c r="N38" s="626" t="s">
        <v>5315</v>
      </c>
      <c r="O38" s="4"/>
      <c r="Q38" s="4"/>
    </row>
    <row r="39" spans="1:17">
      <c r="A39" s="512">
        <v>23</v>
      </c>
      <c r="B39" s="626" t="s">
        <v>9638</v>
      </c>
      <c r="C39" s="4" t="s">
        <v>15258</v>
      </c>
      <c r="D39" s="628">
        <v>0</v>
      </c>
      <c r="E39" s="628">
        <v>0</v>
      </c>
      <c r="F39" s="628">
        <v>0</v>
      </c>
      <c r="G39" s="31">
        <v>0</v>
      </c>
      <c r="H39" s="31">
        <v>0</v>
      </c>
      <c r="I39" s="31">
        <v>0</v>
      </c>
      <c r="J39" s="31">
        <v>5364</v>
      </c>
      <c r="K39" s="31">
        <v>6347</v>
      </c>
      <c r="L39" s="31">
        <v>5868</v>
      </c>
      <c r="N39" s="626" t="s">
        <v>5315</v>
      </c>
      <c r="O39" s="4"/>
      <c r="Q39" s="4"/>
    </row>
    <row r="40" spans="1:17">
      <c r="A40" s="512">
        <v>24</v>
      </c>
      <c r="B40" s="626" t="s">
        <v>15230</v>
      </c>
      <c r="C40" s="4" t="s">
        <v>15259</v>
      </c>
      <c r="D40" s="628">
        <v>0</v>
      </c>
      <c r="E40" s="628">
        <v>0</v>
      </c>
      <c r="F40" s="628">
        <v>0</v>
      </c>
      <c r="G40" s="31">
        <v>0</v>
      </c>
      <c r="H40" s="31">
        <v>0</v>
      </c>
      <c r="I40" s="31">
        <v>0</v>
      </c>
      <c r="J40" s="31">
        <v>5854</v>
      </c>
      <c r="K40" s="31">
        <v>6796</v>
      </c>
      <c r="L40" s="31">
        <v>6206</v>
      </c>
      <c r="N40" s="626" t="s">
        <v>5315</v>
      </c>
      <c r="O40" s="4"/>
      <c r="Q40" s="4"/>
    </row>
    <row r="41" spans="1:17">
      <c r="A41" s="512">
        <v>25</v>
      </c>
      <c r="B41" s="626" t="s">
        <v>15231</v>
      </c>
      <c r="C41" s="4" t="s">
        <v>15260</v>
      </c>
      <c r="D41" s="628">
        <v>0</v>
      </c>
      <c r="E41" s="628">
        <v>0</v>
      </c>
      <c r="F41" s="628">
        <v>0</v>
      </c>
      <c r="G41" s="31">
        <v>0</v>
      </c>
      <c r="H41" s="31">
        <v>0</v>
      </c>
      <c r="I41" s="31">
        <v>0</v>
      </c>
      <c r="J41" s="31">
        <v>6392</v>
      </c>
      <c r="K41" s="31">
        <v>3099</v>
      </c>
      <c r="L41" s="31">
        <v>6793</v>
      </c>
      <c r="N41" s="626" t="s">
        <v>5315</v>
      </c>
      <c r="O41" s="4"/>
      <c r="Q41" s="4"/>
    </row>
    <row r="42" spans="1:17">
      <c r="A42" s="512">
        <v>26</v>
      </c>
      <c r="B42" s="626" t="s">
        <v>15232</v>
      </c>
      <c r="C42" s="4" t="s">
        <v>15261</v>
      </c>
      <c r="D42" s="628">
        <v>0</v>
      </c>
      <c r="E42" s="628">
        <v>0</v>
      </c>
      <c r="F42" s="628">
        <v>0</v>
      </c>
      <c r="G42" s="31">
        <v>0</v>
      </c>
      <c r="H42" s="31">
        <v>0</v>
      </c>
      <c r="I42" s="31">
        <v>0</v>
      </c>
      <c r="J42" s="31">
        <v>2959</v>
      </c>
      <c r="K42" s="31">
        <v>6796</v>
      </c>
      <c r="L42" s="31">
        <v>3165</v>
      </c>
      <c r="N42" s="626" t="s">
        <v>5315</v>
      </c>
      <c r="O42" s="4"/>
      <c r="Q42" s="4"/>
    </row>
    <row r="43" spans="1:17">
      <c r="A43" s="512">
        <v>27</v>
      </c>
      <c r="B43" s="626" t="s">
        <v>15233</v>
      </c>
      <c r="C43" s="4" t="s">
        <v>15262</v>
      </c>
      <c r="D43" s="628">
        <v>0</v>
      </c>
      <c r="E43" s="628">
        <v>0</v>
      </c>
      <c r="F43" s="628">
        <v>0</v>
      </c>
      <c r="G43" s="31">
        <v>0</v>
      </c>
      <c r="H43" s="31">
        <v>0</v>
      </c>
      <c r="I43" s="31">
        <v>0</v>
      </c>
      <c r="J43" s="31">
        <v>6406</v>
      </c>
      <c r="K43" s="31">
        <v>6135</v>
      </c>
      <c r="L43" s="31">
        <v>6786</v>
      </c>
      <c r="N43" s="626" t="s">
        <v>5315</v>
      </c>
      <c r="O43" s="4"/>
      <c r="Q43" s="4"/>
    </row>
    <row r="44" spans="1:17">
      <c r="A44" s="512">
        <v>28</v>
      </c>
      <c r="B44" s="626" t="s">
        <v>9639</v>
      </c>
      <c r="C44" s="4" t="s">
        <v>15263</v>
      </c>
      <c r="D44" s="628">
        <v>0</v>
      </c>
      <c r="E44" s="628">
        <v>0</v>
      </c>
      <c r="F44" s="628">
        <v>0</v>
      </c>
      <c r="G44" s="31">
        <v>0</v>
      </c>
      <c r="H44" s="31">
        <v>0</v>
      </c>
      <c r="I44" s="31">
        <v>0</v>
      </c>
      <c r="J44" s="31">
        <v>5945</v>
      </c>
      <c r="K44" s="31">
        <v>5811</v>
      </c>
      <c r="L44" s="31">
        <v>6109</v>
      </c>
      <c r="N44" s="626" t="s">
        <v>5315</v>
      </c>
      <c r="O44" s="4"/>
      <c r="Q44" s="4"/>
    </row>
    <row r="45" spans="1:17">
      <c r="A45" s="512">
        <v>29</v>
      </c>
      <c r="B45" s="626" t="s">
        <v>9640</v>
      </c>
      <c r="C45" s="4" t="s">
        <v>15264</v>
      </c>
      <c r="D45" s="628">
        <v>0</v>
      </c>
      <c r="E45" s="628">
        <v>0</v>
      </c>
      <c r="F45" s="628">
        <v>0</v>
      </c>
      <c r="G45" s="31">
        <v>0</v>
      </c>
      <c r="H45" s="31">
        <v>0</v>
      </c>
      <c r="I45" s="31">
        <v>0</v>
      </c>
      <c r="J45" s="31">
        <v>5975</v>
      </c>
      <c r="K45" s="31">
        <v>6321</v>
      </c>
      <c r="L45" s="31">
        <v>6285</v>
      </c>
      <c r="N45" s="626" t="s">
        <v>5315</v>
      </c>
      <c r="O45" s="4"/>
      <c r="Q45" s="4"/>
    </row>
    <row r="46" spans="1:17">
      <c r="A46" s="512">
        <v>30</v>
      </c>
      <c r="B46" s="626" t="s">
        <v>15234</v>
      </c>
      <c r="C46" s="4" t="s">
        <v>15265</v>
      </c>
      <c r="D46" s="628">
        <v>0</v>
      </c>
      <c r="E46" s="628">
        <v>0</v>
      </c>
      <c r="F46" s="628">
        <v>0</v>
      </c>
      <c r="G46" s="31">
        <v>0</v>
      </c>
      <c r="H46" s="31">
        <v>0</v>
      </c>
      <c r="I46" s="31">
        <v>0</v>
      </c>
      <c r="J46" s="31">
        <v>6090</v>
      </c>
      <c r="K46" s="31">
        <v>6361</v>
      </c>
      <c r="L46" s="31">
        <v>6323</v>
      </c>
      <c r="N46" s="626" t="s">
        <v>5315</v>
      </c>
      <c r="O46" s="4"/>
      <c r="Q46" s="4"/>
    </row>
    <row r="47" spans="1:17">
      <c r="A47" s="512">
        <v>31</v>
      </c>
      <c r="B47" s="626" t="s">
        <v>15235</v>
      </c>
      <c r="C47" s="4" t="s">
        <v>15266</v>
      </c>
      <c r="D47" s="628">
        <v>0</v>
      </c>
      <c r="E47" s="628">
        <v>0</v>
      </c>
      <c r="F47" s="628">
        <v>0</v>
      </c>
      <c r="G47" s="31">
        <v>0</v>
      </c>
      <c r="H47" s="31">
        <v>0</v>
      </c>
      <c r="I47" s="31">
        <v>0</v>
      </c>
      <c r="J47" s="31">
        <v>4311</v>
      </c>
      <c r="K47" s="31">
        <v>4947</v>
      </c>
      <c r="L47" s="31">
        <v>5103</v>
      </c>
      <c r="N47" s="626" t="s">
        <v>5315</v>
      </c>
      <c r="O47" s="4"/>
      <c r="Q47" s="4"/>
    </row>
    <row r="48" spans="1:17">
      <c r="A48" s="512">
        <v>32</v>
      </c>
      <c r="B48" s="626" t="s">
        <v>15236</v>
      </c>
      <c r="C48" s="4" t="s">
        <v>15267</v>
      </c>
      <c r="D48" s="628">
        <v>0</v>
      </c>
      <c r="E48" s="628">
        <v>0</v>
      </c>
      <c r="F48" s="628">
        <v>0</v>
      </c>
      <c r="G48" s="31">
        <v>0</v>
      </c>
      <c r="H48" s="31">
        <v>0</v>
      </c>
      <c r="I48" s="31">
        <v>0</v>
      </c>
      <c r="J48" s="31">
        <v>3261</v>
      </c>
      <c r="K48" s="31">
        <v>3456</v>
      </c>
      <c r="L48" s="31">
        <v>3435</v>
      </c>
      <c r="N48" s="626" t="s">
        <v>5315</v>
      </c>
      <c r="O48" s="4"/>
      <c r="Q48" s="4"/>
    </row>
    <row r="49" spans="1:48">
      <c r="A49" s="512">
        <v>33</v>
      </c>
      <c r="B49" s="626" t="s">
        <v>3616</v>
      </c>
      <c r="C49" s="4" t="s">
        <v>15268</v>
      </c>
      <c r="D49" s="628">
        <v>0</v>
      </c>
      <c r="E49" s="628">
        <v>0</v>
      </c>
      <c r="F49" s="628">
        <v>0</v>
      </c>
      <c r="G49" s="31">
        <v>0</v>
      </c>
      <c r="H49" s="31">
        <v>0</v>
      </c>
      <c r="I49" s="31">
        <v>0</v>
      </c>
      <c r="J49" s="31">
        <v>3239</v>
      </c>
      <c r="K49" s="31">
        <v>3391</v>
      </c>
      <c r="L49" s="31">
        <v>3400</v>
      </c>
      <c r="N49" s="626" t="s">
        <v>7120</v>
      </c>
      <c r="O49" s="4"/>
      <c r="Q49" s="4"/>
    </row>
    <row r="50" spans="1:48">
      <c r="A50" s="512">
        <v>34</v>
      </c>
      <c r="B50" s="626" t="s">
        <v>3617</v>
      </c>
      <c r="C50" s="4" t="s">
        <v>15269</v>
      </c>
      <c r="D50" s="628">
        <v>0</v>
      </c>
      <c r="E50" s="628">
        <v>0</v>
      </c>
      <c r="F50" s="628">
        <v>0</v>
      </c>
      <c r="G50" s="31">
        <v>0</v>
      </c>
      <c r="H50" s="31">
        <v>0</v>
      </c>
      <c r="I50" s="31">
        <v>0</v>
      </c>
      <c r="J50" s="31">
        <v>3096</v>
      </c>
      <c r="K50" s="31">
        <v>3248</v>
      </c>
      <c r="L50" s="31">
        <v>3188</v>
      </c>
      <c r="N50" s="626" t="s">
        <v>7120</v>
      </c>
      <c r="O50" s="4"/>
      <c r="Q50" s="4"/>
    </row>
    <row r="51" spans="1:48">
      <c r="A51" s="512">
        <v>35</v>
      </c>
      <c r="B51" s="626" t="s">
        <v>3618</v>
      </c>
      <c r="C51" s="4" t="s">
        <v>15270</v>
      </c>
      <c r="D51" s="628">
        <v>0</v>
      </c>
      <c r="E51" s="628">
        <v>0</v>
      </c>
      <c r="F51" s="628">
        <v>0</v>
      </c>
      <c r="G51" s="31">
        <v>0</v>
      </c>
      <c r="H51" s="31">
        <v>0</v>
      </c>
      <c r="I51" s="31">
        <v>0</v>
      </c>
      <c r="J51" s="31">
        <v>6306</v>
      </c>
      <c r="K51" s="31">
        <v>6573</v>
      </c>
      <c r="L51" s="31">
        <v>6554</v>
      </c>
      <c r="N51" s="626" t="s">
        <v>7120</v>
      </c>
    </row>
    <row r="52" spans="1:48">
      <c r="C52" s="626"/>
      <c r="D52" s="631"/>
      <c r="E52" s="631"/>
      <c r="F52" s="631"/>
      <c r="G52" s="631"/>
      <c r="H52" s="631"/>
      <c r="I52" s="631"/>
      <c r="J52" s="631"/>
      <c r="K52" s="631"/>
      <c r="L52" s="631"/>
    </row>
    <row r="53" spans="1:48">
      <c r="A53" s="626" t="s">
        <v>15217</v>
      </c>
    </row>
    <row r="54" spans="1:48">
      <c r="A54" s="626"/>
    </row>
    <row r="55" spans="1:48">
      <c r="A55" s="626"/>
      <c r="AT55" s="956"/>
      <c r="AU55" s="956"/>
      <c r="AV55" s="956"/>
    </row>
    <row r="56" spans="1:48">
      <c r="D56" s="633"/>
      <c r="E56" s="633"/>
      <c r="F56" s="633"/>
      <c r="G56" s="633"/>
      <c r="H56" s="633"/>
      <c r="I56" s="633"/>
      <c r="J56" s="633"/>
      <c r="K56" s="633"/>
      <c r="L56" s="633"/>
      <c r="M56" s="43"/>
      <c r="N56" s="43"/>
    </row>
    <row r="57" spans="1:48">
      <c r="D57" s="633"/>
      <c r="E57" s="633"/>
      <c r="F57" s="633"/>
      <c r="G57" s="633"/>
      <c r="H57" s="633"/>
      <c r="I57" s="633"/>
      <c r="J57" s="633"/>
      <c r="K57" s="633"/>
      <c r="L57" s="633"/>
      <c r="M57" s="43"/>
      <c r="N57" s="44"/>
    </row>
    <row r="58" spans="1:48">
      <c r="D58" s="633"/>
      <c r="E58" s="633"/>
      <c r="F58" s="633"/>
      <c r="G58" s="633"/>
      <c r="H58" s="633"/>
      <c r="I58" s="633"/>
      <c r="J58" s="633"/>
      <c r="K58" s="633"/>
      <c r="L58" s="633"/>
    </row>
    <row r="59" spans="1:48">
      <c r="B59" s="626"/>
      <c r="C59" s="626"/>
      <c r="D59" s="628"/>
      <c r="E59" s="628"/>
      <c r="F59" s="628"/>
      <c r="G59" s="628"/>
      <c r="H59" s="628"/>
      <c r="I59" s="628"/>
      <c r="J59" s="628"/>
      <c r="K59" s="628"/>
      <c r="L59" s="628"/>
    </row>
    <row r="60" spans="1:48">
      <c r="A60" s="512"/>
      <c r="B60" s="626"/>
      <c r="C60" s="626"/>
      <c r="D60" s="628"/>
      <c r="E60" s="628"/>
      <c r="F60" s="628"/>
      <c r="G60" s="628"/>
      <c r="H60" s="628"/>
      <c r="I60" s="628"/>
      <c r="J60" s="628"/>
      <c r="K60" s="628"/>
      <c r="L60" s="628"/>
      <c r="N60" s="626"/>
    </row>
    <row r="61" spans="1:48">
      <c r="A61" s="512"/>
      <c r="B61" s="626"/>
      <c r="C61" s="626"/>
      <c r="D61" s="628"/>
      <c r="E61" s="628"/>
      <c r="F61" s="628"/>
      <c r="G61" s="628"/>
      <c r="H61" s="628"/>
      <c r="I61" s="628"/>
      <c r="J61" s="628"/>
      <c r="K61" s="628"/>
      <c r="L61" s="628"/>
      <c r="N61" s="626"/>
    </row>
    <row r="62" spans="1:48">
      <c r="A62" s="512"/>
      <c r="B62" s="626"/>
      <c r="C62" s="626"/>
      <c r="D62" s="628"/>
      <c r="E62" s="628"/>
      <c r="F62" s="628"/>
      <c r="G62" s="628"/>
      <c r="H62" s="628"/>
      <c r="I62" s="628"/>
      <c r="J62" s="628"/>
      <c r="K62" s="628"/>
      <c r="L62" s="628"/>
      <c r="N62" s="626"/>
    </row>
    <row r="63" spans="1:48">
      <c r="A63" s="632"/>
      <c r="D63" s="628"/>
      <c r="E63" s="628"/>
      <c r="F63" s="628"/>
      <c r="G63" s="628"/>
      <c r="H63" s="628"/>
      <c r="I63" s="628"/>
      <c r="J63" s="628"/>
      <c r="K63" s="628"/>
      <c r="L63" s="628"/>
      <c r="N63" s="626"/>
    </row>
    <row r="64" spans="1:48">
      <c r="A64" s="512"/>
      <c r="B64" s="626"/>
      <c r="C64" s="626"/>
      <c r="D64" s="628"/>
      <c r="E64" s="628"/>
      <c r="F64" s="628"/>
      <c r="G64" s="628"/>
      <c r="H64" s="628"/>
      <c r="I64" s="628"/>
      <c r="J64" s="628"/>
      <c r="K64" s="628"/>
      <c r="L64" s="628"/>
      <c r="N64" s="626"/>
    </row>
    <row r="65" spans="1:14">
      <c r="A65" s="512"/>
      <c r="B65" s="626"/>
      <c r="C65" s="626"/>
      <c r="D65" s="628"/>
      <c r="E65" s="628"/>
      <c r="F65" s="628"/>
      <c r="G65" s="628"/>
      <c r="H65" s="628"/>
      <c r="I65" s="628"/>
      <c r="J65" s="628"/>
      <c r="K65" s="628"/>
      <c r="L65" s="628"/>
      <c r="N65" s="626"/>
    </row>
    <row r="66" spans="1:14">
      <c r="A66" s="512"/>
      <c r="B66" s="626"/>
      <c r="C66" s="626"/>
      <c r="D66" s="628"/>
      <c r="E66" s="628"/>
      <c r="F66" s="628"/>
      <c r="G66" s="628"/>
      <c r="H66" s="628"/>
      <c r="I66" s="628"/>
      <c r="J66" s="628"/>
      <c r="K66" s="628"/>
      <c r="L66" s="628"/>
      <c r="N66" s="626"/>
    </row>
    <row r="67" spans="1:14">
      <c r="A67" s="512"/>
      <c r="B67" s="626"/>
      <c r="C67" s="626"/>
      <c r="D67" s="628"/>
      <c r="E67" s="628"/>
      <c r="F67" s="628"/>
      <c r="G67" s="628"/>
      <c r="H67" s="628"/>
      <c r="I67" s="628"/>
      <c r="J67" s="628"/>
      <c r="K67" s="628"/>
      <c r="L67" s="628"/>
      <c r="N67" s="626"/>
    </row>
    <row r="68" spans="1:14">
      <c r="A68" s="512"/>
      <c r="B68" s="626"/>
      <c r="C68" s="626"/>
      <c r="D68" s="628"/>
      <c r="E68" s="628"/>
      <c r="F68" s="628"/>
      <c r="G68" s="628"/>
      <c r="H68" s="628"/>
      <c r="I68" s="628"/>
      <c r="J68" s="628"/>
      <c r="K68" s="628"/>
      <c r="L68" s="628"/>
      <c r="N68" s="626"/>
    </row>
    <row r="69" spans="1:14">
      <c r="A69" s="512"/>
      <c r="B69" s="626"/>
      <c r="C69" s="626"/>
      <c r="D69" s="628"/>
      <c r="E69" s="628"/>
      <c r="F69" s="628"/>
      <c r="G69" s="628"/>
      <c r="H69" s="628"/>
      <c r="I69" s="628"/>
      <c r="J69" s="628"/>
      <c r="K69" s="628"/>
      <c r="L69" s="628"/>
      <c r="N69" s="626"/>
    </row>
    <row r="70" spans="1:14">
      <c r="A70" s="512"/>
      <c r="B70" s="626"/>
      <c r="C70" s="626"/>
      <c r="D70" s="628"/>
      <c r="E70" s="628"/>
      <c r="F70" s="628"/>
      <c r="G70" s="628"/>
      <c r="H70" s="628"/>
      <c r="I70" s="628"/>
      <c r="J70" s="628"/>
      <c r="K70" s="628"/>
      <c r="L70" s="628"/>
      <c r="N70" s="626"/>
    </row>
    <row r="71" spans="1:14">
      <c r="A71" s="512"/>
      <c r="B71" s="626"/>
      <c r="C71" s="626"/>
      <c r="D71" s="628"/>
      <c r="E71" s="628"/>
      <c r="F71" s="628"/>
      <c r="G71" s="628"/>
      <c r="H71" s="628"/>
      <c r="I71" s="628"/>
      <c r="J71" s="628"/>
      <c r="K71" s="628"/>
      <c r="L71" s="628"/>
      <c r="N71" s="626"/>
    </row>
    <row r="72" spans="1:14">
      <c r="A72" s="512"/>
      <c r="B72" s="626"/>
      <c r="C72" s="626"/>
      <c r="D72" s="628"/>
      <c r="E72" s="628"/>
      <c r="F72" s="628"/>
      <c r="G72" s="628"/>
      <c r="H72" s="628"/>
      <c r="I72" s="628"/>
      <c r="J72" s="628"/>
      <c r="K72" s="628"/>
      <c r="L72" s="628"/>
      <c r="N72" s="626"/>
    </row>
    <row r="73" spans="1:14">
      <c r="A73" s="512"/>
      <c r="B73" s="626"/>
      <c r="C73" s="626"/>
      <c r="D73" s="628"/>
      <c r="E73" s="628"/>
      <c r="F73" s="628"/>
      <c r="G73" s="628"/>
      <c r="H73" s="628"/>
      <c r="I73" s="628"/>
      <c r="J73" s="628"/>
      <c r="K73" s="628"/>
      <c r="L73" s="628"/>
      <c r="N73" s="626"/>
    </row>
    <row r="74" spans="1:14">
      <c r="A74" s="512"/>
      <c r="B74" s="626"/>
      <c r="C74" s="626"/>
      <c r="D74" s="628"/>
      <c r="E74" s="628"/>
      <c r="F74" s="628"/>
      <c r="G74" s="628"/>
      <c r="H74" s="628"/>
      <c r="I74" s="628"/>
      <c r="J74" s="628"/>
      <c r="K74" s="628"/>
      <c r="L74" s="628"/>
      <c r="N74" s="626"/>
    </row>
    <row r="75" spans="1:14">
      <c r="A75" s="512"/>
      <c r="B75" s="626"/>
      <c r="C75" s="626"/>
      <c r="D75" s="628"/>
      <c r="E75" s="628"/>
      <c r="F75" s="628"/>
      <c r="G75" s="628"/>
      <c r="H75" s="628"/>
      <c r="I75" s="628"/>
      <c r="J75" s="628"/>
      <c r="K75" s="628"/>
      <c r="L75" s="628"/>
      <c r="N75" s="626"/>
    </row>
    <row r="76" spans="1:14">
      <c r="A76" s="512"/>
      <c r="B76" s="626"/>
      <c r="C76" s="626"/>
      <c r="D76" s="628"/>
      <c r="E76" s="628"/>
      <c r="F76" s="628"/>
      <c r="G76" s="628"/>
      <c r="H76" s="628"/>
      <c r="I76" s="628"/>
      <c r="J76" s="628"/>
      <c r="K76" s="628"/>
      <c r="L76" s="628"/>
      <c r="N76" s="626"/>
    </row>
    <row r="77" spans="1:14">
      <c r="A77" s="632"/>
      <c r="D77" s="628"/>
      <c r="E77" s="628"/>
      <c r="F77" s="628"/>
      <c r="G77" s="628"/>
      <c r="H77" s="628"/>
      <c r="I77" s="628"/>
      <c r="J77" s="628"/>
      <c r="K77" s="628"/>
      <c r="L77" s="628"/>
      <c r="N77" s="626"/>
    </row>
    <row r="78" spans="1:14">
      <c r="A78" s="512"/>
      <c r="B78" s="626"/>
      <c r="C78" s="626"/>
      <c r="D78" s="628"/>
      <c r="E78" s="628"/>
      <c r="F78" s="628"/>
      <c r="G78" s="628"/>
      <c r="H78" s="628"/>
      <c r="I78" s="628"/>
      <c r="J78" s="628"/>
      <c r="K78" s="628"/>
      <c r="L78" s="628"/>
      <c r="N78" s="626"/>
    </row>
    <row r="79" spans="1:14">
      <c r="A79" s="512"/>
      <c r="B79" s="626"/>
      <c r="C79" s="626"/>
      <c r="D79" s="628"/>
      <c r="E79" s="628"/>
      <c r="F79" s="628"/>
      <c r="G79" s="628"/>
      <c r="H79" s="628"/>
      <c r="I79" s="628"/>
      <c r="J79" s="628"/>
      <c r="K79" s="628"/>
      <c r="L79" s="628"/>
      <c r="N79" s="626"/>
    </row>
    <row r="80" spans="1:14">
      <c r="A80" s="512"/>
      <c r="B80" s="626"/>
      <c r="C80" s="626"/>
      <c r="D80" s="628"/>
      <c r="E80" s="628"/>
      <c r="F80" s="628"/>
      <c r="G80" s="628"/>
      <c r="H80" s="628"/>
      <c r="I80" s="628"/>
      <c r="J80" s="628"/>
      <c r="K80" s="628"/>
      <c r="L80" s="628"/>
      <c r="N80" s="626"/>
    </row>
    <row r="81" spans="1:14">
      <c r="A81" s="512"/>
      <c r="B81" s="626"/>
      <c r="C81" s="626"/>
      <c r="D81" s="628"/>
      <c r="E81" s="628"/>
      <c r="F81" s="628"/>
      <c r="G81" s="628"/>
      <c r="H81" s="628"/>
      <c r="I81" s="628"/>
      <c r="J81" s="628"/>
      <c r="K81" s="628"/>
      <c r="L81" s="628"/>
      <c r="N81" s="626"/>
    </row>
    <row r="82" spans="1:14">
      <c r="A82" s="512"/>
      <c r="B82" s="626"/>
      <c r="C82" s="626"/>
      <c r="D82" s="628"/>
      <c r="E82" s="628"/>
      <c r="F82" s="628"/>
      <c r="G82" s="628"/>
      <c r="H82" s="628"/>
      <c r="I82" s="628"/>
      <c r="J82" s="628"/>
      <c r="K82" s="628"/>
      <c r="L82" s="628"/>
      <c r="N82" s="626"/>
    </row>
    <row r="83" spans="1:14">
      <c r="A83" s="512"/>
      <c r="B83" s="626"/>
      <c r="C83" s="626"/>
      <c r="D83" s="628"/>
      <c r="E83" s="628"/>
      <c r="F83" s="628"/>
      <c r="G83" s="628"/>
      <c r="H83" s="628"/>
      <c r="I83" s="628"/>
      <c r="J83" s="628"/>
      <c r="K83" s="628"/>
      <c r="L83" s="628"/>
      <c r="N83" s="626"/>
    </row>
    <row r="84" spans="1:14">
      <c r="A84" s="512"/>
      <c r="B84" s="626"/>
      <c r="C84" s="626"/>
      <c r="D84" s="628"/>
      <c r="E84" s="628"/>
      <c r="F84" s="628"/>
      <c r="G84" s="628"/>
      <c r="H84" s="628"/>
      <c r="I84" s="628"/>
      <c r="J84" s="628"/>
      <c r="K84" s="628"/>
      <c r="L84" s="628"/>
      <c r="N84" s="626"/>
    </row>
    <row r="85" spans="1:14">
      <c r="A85" s="512"/>
      <c r="B85" s="626"/>
      <c r="C85" s="626"/>
      <c r="D85" s="628"/>
      <c r="E85" s="628"/>
      <c r="F85" s="628"/>
      <c r="G85" s="628"/>
      <c r="H85" s="628"/>
      <c r="I85" s="628"/>
      <c r="J85" s="628"/>
      <c r="K85" s="628"/>
      <c r="L85" s="628"/>
      <c r="N85" s="626"/>
    </row>
    <row r="86" spans="1:14">
      <c r="A86" s="512"/>
      <c r="B86" s="626"/>
      <c r="C86" s="626"/>
      <c r="D86" s="628"/>
      <c r="E86" s="628"/>
      <c r="F86" s="628"/>
      <c r="G86" s="628"/>
      <c r="H86" s="628"/>
      <c r="I86" s="628"/>
      <c r="J86" s="628"/>
      <c r="K86" s="628"/>
      <c r="L86" s="628"/>
      <c r="N86" s="626"/>
    </row>
    <row r="87" spans="1:14">
      <c r="A87" s="512"/>
      <c r="B87" s="626"/>
      <c r="C87" s="626"/>
      <c r="D87" s="628"/>
      <c r="E87" s="628"/>
      <c r="F87" s="628"/>
      <c r="G87" s="628"/>
      <c r="H87" s="628"/>
      <c r="I87" s="628"/>
      <c r="J87" s="628"/>
      <c r="K87" s="628"/>
      <c r="L87" s="628"/>
      <c r="N87" s="626"/>
    </row>
    <row r="88" spans="1:14">
      <c r="A88" s="512"/>
      <c r="B88" s="626"/>
      <c r="C88" s="626"/>
      <c r="D88" s="628"/>
      <c r="E88" s="628"/>
      <c r="F88" s="628"/>
      <c r="G88" s="628"/>
      <c r="H88" s="628"/>
      <c r="I88" s="628"/>
      <c r="J88" s="628"/>
      <c r="K88" s="628"/>
      <c r="L88" s="628"/>
      <c r="N88" s="626"/>
    </row>
    <row r="89" spans="1:14">
      <c r="A89" s="512"/>
      <c r="B89" s="626"/>
      <c r="C89" s="626"/>
      <c r="D89" s="628"/>
      <c r="E89" s="628"/>
      <c r="F89" s="628"/>
      <c r="G89" s="628"/>
      <c r="H89" s="628"/>
      <c r="I89" s="628"/>
      <c r="J89" s="628"/>
      <c r="K89" s="628"/>
      <c r="L89" s="628"/>
      <c r="N89" s="626"/>
    </row>
    <row r="90" spans="1:14">
      <c r="A90" s="512"/>
      <c r="B90" s="626"/>
      <c r="C90" s="626"/>
      <c r="D90" s="628"/>
      <c r="E90" s="628"/>
      <c r="F90" s="628"/>
      <c r="G90" s="628"/>
      <c r="H90" s="628"/>
      <c r="I90" s="628"/>
      <c r="J90" s="628"/>
      <c r="K90" s="628"/>
      <c r="L90" s="628"/>
      <c r="N90" s="626"/>
    </row>
    <row r="91" spans="1:14">
      <c r="A91" s="512"/>
      <c r="B91" s="626"/>
      <c r="C91" s="626"/>
      <c r="D91" s="628"/>
      <c r="E91" s="628"/>
      <c r="F91" s="628"/>
      <c r="G91" s="628"/>
      <c r="H91" s="628"/>
      <c r="I91" s="628"/>
      <c r="J91" s="628"/>
      <c r="K91" s="628"/>
      <c r="L91" s="628"/>
      <c r="N91" s="626"/>
    </row>
    <row r="92" spans="1:14">
      <c r="A92" s="512"/>
      <c r="B92" s="626"/>
      <c r="C92" s="626"/>
      <c r="D92" s="628"/>
      <c r="E92" s="628"/>
      <c r="F92" s="628"/>
      <c r="G92" s="628"/>
      <c r="H92" s="628"/>
      <c r="I92" s="628"/>
      <c r="J92" s="628"/>
      <c r="K92" s="628"/>
      <c r="L92" s="628"/>
      <c r="N92" s="626"/>
    </row>
    <row r="93" spans="1:14">
      <c r="A93" s="512"/>
      <c r="B93" s="626"/>
      <c r="C93" s="626"/>
      <c r="D93" s="628"/>
      <c r="E93" s="628"/>
      <c r="F93" s="628"/>
      <c r="G93" s="628"/>
      <c r="H93" s="628"/>
      <c r="I93" s="628"/>
      <c r="J93" s="628"/>
      <c r="K93" s="628"/>
      <c r="L93" s="628"/>
      <c r="N93" s="626"/>
    </row>
    <row r="94" spans="1:14">
      <c r="A94" s="512"/>
      <c r="B94" s="626"/>
      <c r="C94" s="626"/>
      <c r="D94" s="628"/>
      <c r="E94" s="628"/>
      <c r="F94" s="628"/>
      <c r="G94" s="628"/>
      <c r="H94" s="628"/>
      <c r="I94" s="628"/>
      <c r="J94" s="628"/>
      <c r="K94" s="628"/>
      <c r="L94" s="628"/>
      <c r="N94" s="626"/>
    </row>
    <row r="95" spans="1:14">
      <c r="D95" s="631"/>
      <c r="E95" s="631"/>
      <c r="F95" s="631"/>
      <c r="G95" s="631"/>
      <c r="H95" s="631"/>
      <c r="I95" s="631"/>
      <c r="J95" s="631"/>
      <c r="K95" s="631"/>
      <c r="L95" s="631"/>
    </row>
    <row r="96" spans="1:14">
      <c r="A96" s="626"/>
      <c r="D96" s="628"/>
      <c r="E96" s="628"/>
      <c r="F96" s="628"/>
      <c r="G96" s="628"/>
      <c r="H96" s="628"/>
      <c r="I96" s="628"/>
      <c r="J96" s="628"/>
      <c r="K96" s="628"/>
      <c r="L96" s="628"/>
    </row>
    <row r="97" spans="1:12">
      <c r="A97" s="626"/>
      <c r="D97" s="628"/>
      <c r="E97" s="628"/>
      <c r="F97" s="628"/>
      <c r="G97" s="628"/>
      <c r="H97" s="628"/>
      <c r="I97" s="628"/>
      <c r="J97" s="628"/>
      <c r="K97" s="628"/>
      <c r="L97" s="628"/>
    </row>
    <row r="98" spans="1:12">
      <c r="A98" s="626"/>
      <c r="D98" s="628"/>
      <c r="E98" s="628"/>
      <c r="F98" s="628"/>
      <c r="G98" s="628"/>
      <c r="H98" s="628"/>
      <c r="I98" s="628"/>
      <c r="J98" s="628"/>
      <c r="K98" s="628"/>
      <c r="L98" s="628"/>
    </row>
    <row r="100" spans="1:12">
      <c r="A100" s="626"/>
    </row>
  </sheetData>
  <sortState ref="O17:Q51">
    <sortCondition ref="O17"/>
  </sortState>
  <mergeCells count="1">
    <mergeCell ref="AT55:AV55"/>
  </mergeCells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7 E5:E6 F5:F6 G5:G6 H3:H4 H5:H6 I3:I6 D10:D15 E10:E15 F10:F15 G10:G15 H10:H15 I10:I15 D8 E7:I7 D9:I9 E8:I8 J3:J15 K3:K15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89"/>
  <sheetViews>
    <sheetView showGridLines="0" zoomScaleNormal="100" workbookViewId="0"/>
  </sheetViews>
  <sheetFormatPr defaultColWidth="12.5703125" defaultRowHeight="15"/>
  <cols>
    <col min="1" max="1" width="4.7109375" style="135" customWidth="1"/>
    <col min="2" max="2" width="40.7109375" style="135" customWidth="1"/>
    <col min="3" max="3" width="11.5703125" style="135" customWidth="1"/>
    <col min="4" max="12" width="10" style="135" customWidth="1"/>
    <col min="13" max="13" width="2.28515625" style="135" customWidth="1"/>
    <col min="14" max="14" width="33.140625" style="135" customWidth="1"/>
    <col min="15" max="16384" width="12.5703125" style="135"/>
  </cols>
  <sheetData>
    <row r="1" spans="1:14">
      <c r="A1" s="134" t="s">
        <v>8847</v>
      </c>
      <c r="D1" s="136">
        <v>2010</v>
      </c>
      <c r="E1" s="136">
        <v>2011</v>
      </c>
      <c r="F1" s="136">
        <v>2012</v>
      </c>
      <c r="G1" s="136">
        <v>2013</v>
      </c>
      <c r="H1" s="136">
        <v>2014</v>
      </c>
      <c r="I1" s="136">
        <v>2015</v>
      </c>
      <c r="J1" s="136">
        <v>2016</v>
      </c>
      <c r="K1" s="136">
        <v>2017</v>
      </c>
      <c r="L1" s="136">
        <v>2018</v>
      </c>
    </row>
    <row r="3" spans="1:14">
      <c r="A3" s="134" t="s">
        <v>6350</v>
      </c>
      <c r="D3" s="137">
        <f t="shared" ref="D3:I3" si="0">SUM(D5:D11)</f>
        <v>457925</v>
      </c>
      <c r="E3" s="137">
        <f t="shared" si="0"/>
        <v>457932</v>
      </c>
      <c r="F3" s="137">
        <f t="shared" si="0"/>
        <v>457796</v>
      </c>
      <c r="G3" s="137">
        <f t="shared" si="0"/>
        <v>462169</v>
      </c>
      <c r="H3" s="137">
        <f t="shared" si="0"/>
        <v>460043</v>
      </c>
      <c r="I3" s="137">
        <f t="shared" si="0"/>
        <v>453258</v>
      </c>
      <c r="J3" s="137">
        <f t="shared" ref="J3:K3" si="1">SUM(J5:J11)</f>
        <v>442491</v>
      </c>
      <c r="K3" s="137">
        <f t="shared" si="1"/>
        <v>457890</v>
      </c>
      <c r="L3" s="137">
        <f t="shared" ref="L3" si="2">SUM(L5:L11)</f>
        <v>459317</v>
      </c>
    </row>
    <row r="4" spans="1:14">
      <c r="D4" s="138"/>
      <c r="E4" s="138"/>
      <c r="F4" s="138"/>
      <c r="G4" s="138"/>
      <c r="H4" s="138"/>
      <c r="I4" s="138"/>
      <c r="J4" s="138"/>
      <c r="K4" s="138"/>
      <c r="L4" s="138"/>
    </row>
    <row r="5" spans="1:14">
      <c r="A5" s="134" t="s">
        <v>6351</v>
      </c>
      <c r="C5" s="134"/>
      <c r="D5" s="137">
        <f t="shared" ref="D5:I5" si="3">D47</f>
        <v>44376</v>
      </c>
      <c r="E5" s="137">
        <f t="shared" si="3"/>
        <v>44552</v>
      </c>
      <c r="F5" s="137">
        <f t="shared" si="3"/>
        <v>44576</v>
      </c>
      <c r="G5" s="137">
        <f t="shared" si="3"/>
        <v>44903</v>
      </c>
      <c r="H5" s="137">
        <f t="shared" si="3"/>
        <v>44423</v>
      </c>
      <c r="I5" s="137">
        <f t="shared" si="3"/>
        <v>43302</v>
      </c>
      <c r="J5" s="137">
        <f t="shared" ref="J5:K5" si="4">J47</f>
        <v>42127</v>
      </c>
      <c r="K5" s="137">
        <f t="shared" si="4"/>
        <v>43918</v>
      </c>
      <c r="L5" s="137">
        <f t="shared" ref="L5" si="5">L47</f>
        <v>44156</v>
      </c>
      <c r="N5" s="139"/>
    </row>
    <row r="6" spans="1:14">
      <c r="A6" s="134" t="s">
        <v>6352</v>
      </c>
      <c r="C6" s="134"/>
      <c r="D6" s="137">
        <f t="shared" ref="D6:I6" si="6">D76</f>
        <v>70278</v>
      </c>
      <c r="E6" s="137">
        <f t="shared" si="6"/>
        <v>70709</v>
      </c>
      <c r="F6" s="137">
        <f t="shared" si="6"/>
        <v>70453</v>
      </c>
      <c r="G6" s="137">
        <f t="shared" si="6"/>
        <v>69992</v>
      </c>
      <c r="H6" s="137">
        <f t="shared" si="6"/>
        <v>70752</v>
      </c>
      <c r="I6" s="137">
        <f t="shared" si="6"/>
        <v>68768</v>
      </c>
      <c r="J6" s="137">
        <f t="shared" ref="J6:K6" si="7">J76</f>
        <v>67293</v>
      </c>
      <c r="K6" s="137">
        <f t="shared" si="7"/>
        <v>71238</v>
      </c>
      <c r="L6" s="137">
        <f t="shared" ref="L6" si="8">L76</f>
        <v>70970</v>
      </c>
      <c r="N6" s="139"/>
    </row>
    <row r="7" spans="1:14">
      <c r="A7" s="134" t="s">
        <v>6353</v>
      </c>
      <c r="C7" s="134"/>
      <c r="D7" s="137">
        <f t="shared" ref="D7:I7" si="9">D107</f>
        <v>116382</v>
      </c>
      <c r="E7" s="137">
        <f t="shared" si="9"/>
        <v>117243</v>
      </c>
      <c r="F7" s="137">
        <f t="shared" si="9"/>
        <v>117436</v>
      </c>
      <c r="G7" s="137">
        <f t="shared" si="9"/>
        <v>118889</v>
      </c>
      <c r="H7" s="137">
        <f t="shared" si="9"/>
        <v>118076</v>
      </c>
      <c r="I7" s="137">
        <f t="shared" si="9"/>
        <v>117983</v>
      </c>
      <c r="J7" s="137">
        <f t="shared" ref="J7:K7" si="10">J107</f>
        <v>115996</v>
      </c>
      <c r="K7" s="137">
        <f t="shared" si="10"/>
        <v>119093</v>
      </c>
      <c r="L7" s="137">
        <f t="shared" ref="L7" si="11">L107</f>
        <v>118845</v>
      </c>
      <c r="N7" s="139"/>
    </row>
    <row r="8" spans="1:14">
      <c r="A8" s="134" t="s">
        <v>6354</v>
      </c>
      <c r="C8" s="134"/>
      <c r="D8" s="137">
        <f t="shared" ref="D8:I8" si="12">D167</f>
        <v>37245</v>
      </c>
      <c r="E8" s="137">
        <f t="shared" si="12"/>
        <v>34633</v>
      </c>
      <c r="F8" s="137">
        <f t="shared" si="12"/>
        <v>34841</v>
      </c>
      <c r="G8" s="137">
        <f t="shared" si="12"/>
        <v>35623</v>
      </c>
      <c r="H8" s="137">
        <f t="shared" si="12"/>
        <v>35658</v>
      </c>
      <c r="I8" s="137">
        <f t="shared" si="12"/>
        <v>34720</v>
      </c>
      <c r="J8" s="137">
        <f t="shared" ref="J8:K8" si="13">J167</f>
        <v>34366</v>
      </c>
      <c r="K8" s="137">
        <f t="shared" si="13"/>
        <v>35855</v>
      </c>
      <c r="L8" s="137">
        <f t="shared" ref="L8" si="14">L167</f>
        <v>36330</v>
      </c>
      <c r="N8" s="139"/>
    </row>
    <row r="9" spans="1:14">
      <c r="A9" s="134" t="s">
        <v>6355</v>
      </c>
      <c r="C9" s="134"/>
      <c r="D9" s="137">
        <f t="shared" ref="D9:I9" si="15">D200</f>
        <v>41032</v>
      </c>
      <c r="E9" s="137">
        <f t="shared" si="15"/>
        <v>41234</v>
      </c>
      <c r="F9" s="137">
        <f t="shared" si="15"/>
        <v>41480</v>
      </c>
      <c r="G9" s="137">
        <f t="shared" si="15"/>
        <v>42074</v>
      </c>
      <c r="H9" s="137">
        <f t="shared" si="15"/>
        <v>40530</v>
      </c>
      <c r="I9" s="137">
        <f t="shared" si="15"/>
        <v>40590</v>
      </c>
      <c r="J9" s="137">
        <f t="shared" ref="J9:K9" si="16">J200</f>
        <v>39668</v>
      </c>
      <c r="K9" s="137">
        <f t="shared" si="16"/>
        <v>41406</v>
      </c>
      <c r="L9" s="137">
        <f t="shared" ref="L9" si="17">L200</f>
        <v>41576</v>
      </c>
      <c r="N9" s="139"/>
    </row>
    <row r="10" spans="1:14">
      <c r="A10" s="134" t="s">
        <v>6356</v>
      </c>
      <c r="C10" s="134"/>
      <c r="D10" s="137">
        <f t="shared" ref="D10:I10" si="18">D229</f>
        <v>85624</v>
      </c>
      <c r="E10" s="137">
        <f t="shared" si="18"/>
        <v>85634</v>
      </c>
      <c r="F10" s="137">
        <f t="shared" si="18"/>
        <v>85187</v>
      </c>
      <c r="G10" s="137">
        <f t="shared" si="18"/>
        <v>85066</v>
      </c>
      <c r="H10" s="137">
        <f t="shared" si="18"/>
        <v>84602</v>
      </c>
      <c r="I10" s="137">
        <f t="shared" si="18"/>
        <v>82120</v>
      </c>
      <c r="J10" s="137">
        <f t="shared" ref="J10:K10" si="19">J229</f>
        <v>79890</v>
      </c>
      <c r="K10" s="137">
        <f t="shared" si="19"/>
        <v>81261</v>
      </c>
      <c r="L10" s="137">
        <f t="shared" ref="L10" si="20">L229</f>
        <v>81797</v>
      </c>
      <c r="N10" s="139"/>
    </row>
    <row r="11" spans="1:14">
      <c r="A11" s="134" t="s">
        <v>6357</v>
      </c>
      <c r="C11" s="134"/>
      <c r="D11" s="137">
        <f t="shared" ref="D11:I11" si="21">D264</f>
        <v>62988</v>
      </c>
      <c r="E11" s="137">
        <f t="shared" si="21"/>
        <v>63927</v>
      </c>
      <c r="F11" s="137">
        <f t="shared" si="21"/>
        <v>63823</v>
      </c>
      <c r="G11" s="137">
        <f t="shared" si="21"/>
        <v>65622</v>
      </c>
      <c r="H11" s="137">
        <f t="shared" si="21"/>
        <v>66002</v>
      </c>
      <c r="I11" s="137">
        <f t="shared" si="21"/>
        <v>65775</v>
      </c>
      <c r="J11" s="137">
        <f t="shared" ref="J11:K11" si="22">J264</f>
        <v>63151</v>
      </c>
      <c r="K11" s="137">
        <f t="shared" si="22"/>
        <v>65119</v>
      </c>
      <c r="L11" s="137">
        <f t="shared" ref="L11" si="23">L264</f>
        <v>65643</v>
      </c>
      <c r="N11" s="139"/>
    </row>
    <row r="13" spans="1:14">
      <c r="A13" s="134" t="s">
        <v>1173</v>
      </c>
      <c r="D13" s="137">
        <f t="shared" ref="D13:I13" si="24">SUM(D5:D11)/6</f>
        <v>76320.833333333328</v>
      </c>
      <c r="E13" s="137">
        <f t="shared" si="24"/>
        <v>76322</v>
      </c>
      <c r="F13" s="137">
        <f t="shared" si="24"/>
        <v>76299.333333333328</v>
      </c>
      <c r="G13" s="137">
        <f t="shared" si="24"/>
        <v>77028.166666666672</v>
      </c>
      <c r="H13" s="137">
        <f t="shared" si="24"/>
        <v>76673.833333333328</v>
      </c>
      <c r="I13" s="137">
        <f t="shared" si="24"/>
        <v>75543</v>
      </c>
      <c r="J13" s="137">
        <f t="shared" ref="J13:K13" si="25">SUM(J5:J11)/6</f>
        <v>73748.5</v>
      </c>
      <c r="K13" s="137">
        <f t="shared" si="25"/>
        <v>76315</v>
      </c>
      <c r="L13" s="137">
        <f t="shared" ref="L13" si="26">SUM(L5:L11)/6</f>
        <v>76552.833333333328</v>
      </c>
    </row>
    <row r="14" spans="1:14">
      <c r="D14" s="138"/>
      <c r="E14" s="138"/>
      <c r="F14" s="138"/>
      <c r="G14" s="138"/>
      <c r="H14" s="138"/>
      <c r="I14" s="138"/>
      <c r="J14" s="138"/>
      <c r="K14" s="138"/>
      <c r="L14" s="138"/>
    </row>
    <row r="15" spans="1:14">
      <c r="A15" s="134" t="s">
        <v>6358</v>
      </c>
      <c r="D15" s="137">
        <f t="shared" ref="D15:I15" si="27">D158</f>
        <v>74560</v>
      </c>
      <c r="E15" s="137">
        <f t="shared" si="27"/>
        <v>75044</v>
      </c>
      <c r="F15" s="137">
        <f t="shared" si="27"/>
        <v>75020</v>
      </c>
      <c r="G15" s="137">
        <f t="shared" si="27"/>
        <v>76047</v>
      </c>
      <c r="H15" s="137">
        <f t="shared" si="27"/>
        <v>75563</v>
      </c>
      <c r="I15" s="137">
        <f t="shared" si="27"/>
        <v>75542</v>
      </c>
      <c r="J15" s="137">
        <f t="shared" ref="J15:K15" si="28">J158</f>
        <v>74319</v>
      </c>
      <c r="K15" s="137">
        <f t="shared" si="28"/>
        <v>76417</v>
      </c>
      <c r="L15" s="137">
        <f t="shared" ref="L15" si="29">L158</f>
        <v>76053</v>
      </c>
      <c r="N15" s="134" t="s">
        <v>6359</v>
      </c>
    </row>
    <row r="16" spans="1:14">
      <c r="D16" s="140" t="s">
        <v>7367</v>
      </c>
      <c r="E16" s="140" t="s">
        <v>7367</v>
      </c>
      <c r="F16" s="140" t="s">
        <v>7367</v>
      </c>
      <c r="G16" s="140" t="s">
        <v>7367</v>
      </c>
      <c r="H16" s="140" t="s">
        <v>7367</v>
      </c>
      <c r="I16" s="140" t="s">
        <v>7367</v>
      </c>
      <c r="J16" s="140" t="s">
        <v>7367</v>
      </c>
      <c r="K16" s="140" t="s">
        <v>7367</v>
      </c>
      <c r="L16" s="140" t="s">
        <v>7367</v>
      </c>
    </row>
    <row r="17" spans="1:14">
      <c r="A17" s="134" t="s">
        <v>6360</v>
      </c>
      <c r="D17" s="137">
        <f t="shared" ref="D17:I17" si="30">D99</f>
        <v>44069</v>
      </c>
      <c r="E17" s="137">
        <f t="shared" si="30"/>
        <v>44269</v>
      </c>
      <c r="F17" s="137">
        <f t="shared" si="30"/>
        <v>44061</v>
      </c>
      <c r="G17" s="137">
        <f t="shared" si="30"/>
        <v>43619</v>
      </c>
      <c r="H17" s="137">
        <f t="shared" si="30"/>
        <v>44105</v>
      </c>
      <c r="I17" s="137">
        <f t="shared" si="30"/>
        <v>42883</v>
      </c>
      <c r="J17" s="137">
        <f t="shared" ref="J17:K17" si="31">J99</f>
        <v>41991</v>
      </c>
      <c r="K17" s="137">
        <f t="shared" si="31"/>
        <v>44282</v>
      </c>
      <c r="L17" s="137">
        <f t="shared" ref="L17" si="32">L99</f>
        <v>43885</v>
      </c>
      <c r="N17" s="134" t="s">
        <v>6361</v>
      </c>
    </row>
    <row r="18" spans="1:14" ht="15.75" thickBot="1">
      <c r="D18" s="141">
        <f t="shared" ref="D18:I18" si="33">D193</f>
        <v>37245</v>
      </c>
      <c r="E18" s="141">
        <f t="shared" si="33"/>
        <v>34633</v>
      </c>
      <c r="F18" s="141">
        <f t="shared" si="33"/>
        <v>34841</v>
      </c>
      <c r="G18" s="141">
        <f t="shared" si="33"/>
        <v>35623</v>
      </c>
      <c r="H18" s="141">
        <f t="shared" si="33"/>
        <v>35658</v>
      </c>
      <c r="I18" s="141">
        <f t="shared" si="33"/>
        <v>34720</v>
      </c>
      <c r="J18" s="141">
        <f t="shared" ref="J18:K18" si="34">J193</f>
        <v>34366</v>
      </c>
      <c r="K18" s="141">
        <f t="shared" si="34"/>
        <v>35855</v>
      </c>
      <c r="L18" s="141">
        <f t="shared" ref="L18" si="35">L193</f>
        <v>36330</v>
      </c>
      <c r="N18" s="134" t="s">
        <v>5606</v>
      </c>
    </row>
    <row r="19" spans="1:14" ht="15.75" thickBot="1">
      <c r="D19" s="141">
        <f t="shared" ref="D19:I19" si="36">D17+D18</f>
        <v>81314</v>
      </c>
      <c r="E19" s="141">
        <f t="shared" si="36"/>
        <v>78902</v>
      </c>
      <c r="F19" s="141">
        <f t="shared" si="36"/>
        <v>78902</v>
      </c>
      <c r="G19" s="141">
        <f t="shared" si="36"/>
        <v>79242</v>
      </c>
      <c r="H19" s="141">
        <f t="shared" si="36"/>
        <v>79763</v>
      </c>
      <c r="I19" s="141">
        <f t="shared" si="36"/>
        <v>77603</v>
      </c>
      <c r="J19" s="141">
        <f t="shared" ref="J19:K19" si="37">J17+J18</f>
        <v>76357</v>
      </c>
      <c r="K19" s="141">
        <f t="shared" si="37"/>
        <v>80137</v>
      </c>
      <c r="L19" s="141">
        <f t="shared" ref="L19" si="38">L17+L18</f>
        <v>80215</v>
      </c>
    </row>
    <row r="20" spans="1:14">
      <c r="D20" s="140" t="s">
        <v>7367</v>
      </c>
      <c r="E20" s="140" t="s">
        <v>7367</v>
      </c>
      <c r="F20" s="140" t="s">
        <v>7367</v>
      </c>
      <c r="G20" s="140" t="s">
        <v>7367</v>
      </c>
      <c r="H20" s="140" t="s">
        <v>7367</v>
      </c>
      <c r="I20" s="140" t="s">
        <v>7367</v>
      </c>
      <c r="J20" s="140" t="s">
        <v>7367</v>
      </c>
      <c r="K20" s="140" t="s">
        <v>7367</v>
      </c>
      <c r="L20" s="140" t="s">
        <v>7367</v>
      </c>
    </row>
    <row r="21" spans="1:14">
      <c r="A21" s="134" t="s">
        <v>6362</v>
      </c>
      <c r="D21" s="137">
        <f t="shared" ref="D21:I21" si="39">D256</f>
        <v>76032</v>
      </c>
      <c r="E21" s="137">
        <f t="shared" si="39"/>
        <v>76078</v>
      </c>
      <c r="F21" s="137">
        <f t="shared" si="39"/>
        <v>75613</v>
      </c>
      <c r="G21" s="137">
        <f t="shared" si="39"/>
        <v>75521</v>
      </c>
      <c r="H21" s="137">
        <f t="shared" si="39"/>
        <v>74997</v>
      </c>
      <c r="I21" s="137">
        <f t="shared" si="39"/>
        <v>72763</v>
      </c>
      <c r="J21" s="137">
        <f t="shared" ref="J21:K21" si="40">J256</f>
        <v>70708</v>
      </c>
      <c r="K21" s="137">
        <f t="shared" si="40"/>
        <v>71857</v>
      </c>
      <c r="L21" s="137">
        <f t="shared" ref="L21" si="41">L256</f>
        <v>72357</v>
      </c>
      <c r="N21" s="134" t="s">
        <v>6363</v>
      </c>
    </row>
    <row r="22" spans="1:14">
      <c r="D22" s="140" t="s">
        <v>7367</v>
      </c>
      <c r="E22" s="140" t="s">
        <v>7367</v>
      </c>
      <c r="F22" s="140" t="s">
        <v>7367</v>
      </c>
      <c r="G22" s="140" t="s">
        <v>7367</v>
      </c>
      <c r="H22" s="140" t="s">
        <v>7367</v>
      </c>
      <c r="I22" s="140" t="s">
        <v>7367</v>
      </c>
      <c r="J22" s="140" t="s">
        <v>7367</v>
      </c>
      <c r="K22" s="140" t="s">
        <v>7367</v>
      </c>
      <c r="L22" s="140" t="s">
        <v>7367</v>
      </c>
    </row>
    <row r="23" spans="1:14">
      <c r="A23" s="134" t="s">
        <v>6364</v>
      </c>
      <c r="D23" s="137">
        <f t="shared" ref="D23:I23" si="42">D159</f>
        <v>9544</v>
      </c>
      <c r="E23" s="137">
        <f t="shared" si="42"/>
        <v>9653</v>
      </c>
      <c r="F23" s="137">
        <f t="shared" si="42"/>
        <v>9663</v>
      </c>
      <c r="G23" s="137">
        <f t="shared" si="42"/>
        <v>9737</v>
      </c>
      <c r="H23" s="137">
        <f t="shared" si="42"/>
        <v>9681</v>
      </c>
      <c r="I23" s="137">
        <f t="shared" si="42"/>
        <v>9678</v>
      </c>
      <c r="J23" s="137">
        <f t="shared" ref="J23:K23" si="43">J159</f>
        <v>9534</v>
      </c>
      <c r="K23" s="137">
        <f t="shared" si="43"/>
        <v>9753</v>
      </c>
      <c r="L23" s="137">
        <f t="shared" ref="L23" si="44">L159</f>
        <v>9781</v>
      </c>
      <c r="N23" s="134" t="s">
        <v>6359</v>
      </c>
    </row>
    <row r="24" spans="1:14" ht="15.75" thickBot="1">
      <c r="D24" s="141">
        <f t="shared" ref="D24:I24" si="45">D285</f>
        <v>62988</v>
      </c>
      <c r="E24" s="141">
        <f t="shared" si="45"/>
        <v>63927</v>
      </c>
      <c r="F24" s="141">
        <f t="shared" si="45"/>
        <v>63823</v>
      </c>
      <c r="G24" s="141">
        <f t="shared" si="45"/>
        <v>65622</v>
      </c>
      <c r="H24" s="141">
        <f t="shared" si="45"/>
        <v>66002</v>
      </c>
      <c r="I24" s="141">
        <f t="shared" si="45"/>
        <v>65775</v>
      </c>
      <c r="J24" s="141">
        <f t="shared" ref="J24:K24" si="46">J285</f>
        <v>63151</v>
      </c>
      <c r="K24" s="141">
        <f t="shared" si="46"/>
        <v>65119</v>
      </c>
      <c r="L24" s="141">
        <f t="shared" ref="L24" si="47">L285</f>
        <v>65643</v>
      </c>
      <c r="N24" s="134" t="s">
        <v>5609</v>
      </c>
    </row>
    <row r="25" spans="1:14" ht="15.75" thickBot="1">
      <c r="D25" s="141">
        <f t="shared" ref="D25:I25" si="48">D23+D24</f>
        <v>72532</v>
      </c>
      <c r="E25" s="141">
        <f t="shared" si="48"/>
        <v>73580</v>
      </c>
      <c r="F25" s="141">
        <f t="shared" si="48"/>
        <v>73486</v>
      </c>
      <c r="G25" s="141">
        <f t="shared" si="48"/>
        <v>75359</v>
      </c>
      <c r="H25" s="141">
        <f t="shared" si="48"/>
        <v>75683</v>
      </c>
      <c r="I25" s="141">
        <f t="shared" si="48"/>
        <v>75453</v>
      </c>
      <c r="J25" s="141">
        <f t="shared" ref="J25:K25" si="49">J23+J24</f>
        <v>72685</v>
      </c>
      <c r="K25" s="141">
        <f t="shared" si="49"/>
        <v>74872</v>
      </c>
      <c r="L25" s="141">
        <f t="shared" ref="L25" si="50">L23+L24</f>
        <v>75424</v>
      </c>
    </row>
    <row r="26" spans="1:14">
      <c r="D26" s="140" t="s">
        <v>7367</v>
      </c>
      <c r="E26" s="140" t="s">
        <v>7367</v>
      </c>
      <c r="F26" s="140" t="s">
        <v>7367</v>
      </c>
      <c r="G26" s="140" t="s">
        <v>7367</v>
      </c>
      <c r="H26" s="140" t="s">
        <v>7367</v>
      </c>
      <c r="I26" s="140" t="s">
        <v>7367</v>
      </c>
      <c r="J26" s="140" t="s">
        <v>7367</v>
      </c>
      <c r="K26" s="140" t="s">
        <v>7367</v>
      </c>
      <c r="L26" s="140" t="s">
        <v>7367</v>
      </c>
    </row>
    <row r="27" spans="1:14">
      <c r="A27" s="134" t="s">
        <v>6365</v>
      </c>
      <c r="D27" s="137">
        <f t="shared" ref="D27:I27" si="51">D68</f>
        <v>44376</v>
      </c>
      <c r="E27" s="137">
        <f t="shared" si="51"/>
        <v>44552</v>
      </c>
      <c r="F27" s="137">
        <f t="shared" si="51"/>
        <v>44576</v>
      </c>
      <c r="G27" s="137">
        <f t="shared" si="51"/>
        <v>44903</v>
      </c>
      <c r="H27" s="137">
        <f t="shared" si="51"/>
        <v>44423</v>
      </c>
      <c r="I27" s="137">
        <f t="shared" si="51"/>
        <v>43302</v>
      </c>
      <c r="J27" s="137">
        <f t="shared" ref="J27:K27" si="52">J68</f>
        <v>42127</v>
      </c>
      <c r="K27" s="137">
        <f t="shared" si="52"/>
        <v>43918</v>
      </c>
      <c r="L27" s="137">
        <f t="shared" ref="L27" si="53">L68</f>
        <v>44156</v>
      </c>
      <c r="N27" s="134" t="s">
        <v>5603</v>
      </c>
    </row>
    <row r="28" spans="1:14" ht="15.75" thickBot="1">
      <c r="D28" s="141">
        <f t="shared" ref="D28:I28" si="54">D160</f>
        <v>32278</v>
      </c>
      <c r="E28" s="141">
        <f t="shared" si="54"/>
        <v>32546</v>
      </c>
      <c r="F28" s="141">
        <f t="shared" si="54"/>
        <v>32753</v>
      </c>
      <c r="G28" s="141">
        <f t="shared" si="54"/>
        <v>33105</v>
      </c>
      <c r="H28" s="141">
        <f t="shared" si="54"/>
        <v>32832</v>
      </c>
      <c r="I28" s="141">
        <f t="shared" si="54"/>
        <v>32763</v>
      </c>
      <c r="J28" s="141">
        <f t="shared" ref="J28:K28" si="55">J160</f>
        <v>32143</v>
      </c>
      <c r="K28" s="141">
        <f t="shared" si="55"/>
        <v>32923</v>
      </c>
      <c r="L28" s="141">
        <f t="shared" ref="L28" si="56">L160</f>
        <v>33011</v>
      </c>
      <c r="N28" s="134" t="s">
        <v>6359</v>
      </c>
    </row>
    <row r="29" spans="1:14" ht="15.75" thickBot="1">
      <c r="D29" s="141">
        <f t="shared" ref="D29:I29" si="57">D27+D28</f>
        <v>76654</v>
      </c>
      <c r="E29" s="141">
        <f t="shared" si="57"/>
        <v>77098</v>
      </c>
      <c r="F29" s="141">
        <f t="shared" si="57"/>
        <v>77329</v>
      </c>
      <c r="G29" s="141">
        <f t="shared" si="57"/>
        <v>78008</v>
      </c>
      <c r="H29" s="141">
        <f t="shared" si="57"/>
        <v>77255</v>
      </c>
      <c r="I29" s="141">
        <f t="shared" si="57"/>
        <v>76065</v>
      </c>
      <c r="J29" s="141">
        <f t="shared" ref="J29:K29" si="58">J27+J28</f>
        <v>74270</v>
      </c>
      <c r="K29" s="141">
        <f t="shared" si="58"/>
        <v>76841</v>
      </c>
      <c r="L29" s="141">
        <f t="shared" ref="L29" si="59">L27+L28</f>
        <v>77167</v>
      </c>
    </row>
    <row r="30" spans="1:14">
      <c r="D30" s="140" t="s">
        <v>7367</v>
      </c>
      <c r="E30" s="140" t="s">
        <v>7367</v>
      </c>
      <c r="F30" s="140" t="s">
        <v>7367</v>
      </c>
      <c r="G30" s="140" t="s">
        <v>7367</v>
      </c>
      <c r="H30" s="140" t="s">
        <v>7367</v>
      </c>
      <c r="I30" s="140" t="s">
        <v>7367</v>
      </c>
      <c r="J30" s="140" t="s">
        <v>7367</v>
      </c>
      <c r="K30" s="140" t="s">
        <v>7367</v>
      </c>
      <c r="L30" s="140" t="s">
        <v>7367</v>
      </c>
    </row>
    <row r="31" spans="1:14">
      <c r="A31" s="134" t="s">
        <v>6366</v>
      </c>
      <c r="D31" s="137">
        <f t="shared" ref="D31:I31" si="60">D100</f>
        <v>26209</v>
      </c>
      <c r="E31" s="137">
        <f t="shared" si="60"/>
        <v>26440</v>
      </c>
      <c r="F31" s="137">
        <f t="shared" si="60"/>
        <v>26392</v>
      </c>
      <c r="G31" s="137">
        <f t="shared" si="60"/>
        <v>26373</v>
      </c>
      <c r="H31" s="137">
        <f t="shared" si="60"/>
        <v>26647</v>
      </c>
      <c r="I31" s="137">
        <f t="shared" si="60"/>
        <v>25885</v>
      </c>
      <c r="J31" s="137">
        <f t="shared" ref="J31:K31" si="61">J100</f>
        <v>25302</v>
      </c>
      <c r="K31" s="137">
        <f t="shared" si="61"/>
        <v>26956</v>
      </c>
      <c r="L31" s="137">
        <f t="shared" ref="L31" si="62">L100</f>
        <v>27085</v>
      </c>
      <c r="N31" s="134" t="s">
        <v>6361</v>
      </c>
    </row>
    <row r="32" spans="1:14">
      <c r="D32" s="137">
        <f t="shared" ref="D32:I32" si="63">D222</f>
        <v>41032</v>
      </c>
      <c r="E32" s="137">
        <f t="shared" si="63"/>
        <v>41234</v>
      </c>
      <c r="F32" s="137">
        <f t="shared" si="63"/>
        <v>41480</v>
      </c>
      <c r="G32" s="137">
        <f t="shared" si="63"/>
        <v>42074</v>
      </c>
      <c r="H32" s="137">
        <f t="shared" si="63"/>
        <v>40530</v>
      </c>
      <c r="I32" s="137">
        <f t="shared" si="63"/>
        <v>40590</v>
      </c>
      <c r="J32" s="137">
        <f t="shared" ref="J32:K32" si="64">J222</f>
        <v>39668</v>
      </c>
      <c r="K32" s="137">
        <f t="shared" si="64"/>
        <v>41406</v>
      </c>
      <c r="L32" s="137">
        <f t="shared" ref="L32" si="65">L222</f>
        <v>41576</v>
      </c>
      <c r="N32" s="134" t="s">
        <v>5607</v>
      </c>
    </row>
    <row r="33" spans="1:17" ht="15.75" thickBot="1">
      <c r="D33" s="141">
        <f t="shared" ref="D33:I33" si="66">D257</f>
        <v>9592</v>
      </c>
      <c r="E33" s="141">
        <f t="shared" si="66"/>
        <v>9556</v>
      </c>
      <c r="F33" s="141">
        <f t="shared" si="66"/>
        <v>9574</v>
      </c>
      <c r="G33" s="141">
        <f t="shared" si="66"/>
        <v>9545</v>
      </c>
      <c r="H33" s="141">
        <f t="shared" si="66"/>
        <v>9605</v>
      </c>
      <c r="I33" s="141">
        <f t="shared" si="66"/>
        <v>9357</v>
      </c>
      <c r="J33" s="141">
        <f t="shared" ref="J33:K33" si="67">J257</f>
        <v>9182</v>
      </c>
      <c r="K33" s="141">
        <f t="shared" si="67"/>
        <v>9404</v>
      </c>
      <c r="L33" s="141">
        <f t="shared" ref="L33" si="68">L257</f>
        <v>9440</v>
      </c>
      <c r="N33" s="134" t="s">
        <v>6363</v>
      </c>
    </row>
    <row r="34" spans="1:17" ht="15.75" thickBot="1">
      <c r="D34" s="141">
        <f t="shared" ref="D34:I34" si="69">SUM(D31:D33)</f>
        <v>76833</v>
      </c>
      <c r="E34" s="141">
        <f t="shared" si="69"/>
        <v>77230</v>
      </c>
      <c r="F34" s="141">
        <f t="shared" si="69"/>
        <v>77446</v>
      </c>
      <c r="G34" s="141">
        <f t="shared" si="69"/>
        <v>77992</v>
      </c>
      <c r="H34" s="141">
        <f t="shared" si="69"/>
        <v>76782</v>
      </c>
      <c r="I34" s="141">
        <f t="shared" si="69"/>
        <v>75832</v>
      </c>
      <c r="J34" s="141">
        <f t="shared" ref="J34:K34" si="70">SUM(J31:J33)</f>
        <v>74152</v>
      </c>
      <c r="K34" s="141">
        <f t="shared" si="70"/>
        <v>77766</v>
      </c>
      <c r="L34" s="141">
        <f t="shared" ref="L34" si="71">SUM(L31:L33)</f>
        <v>78101</v>
      </c>
    </row>
    <row r="36" spans="1:17">
      <c r="A36" s="134" t="s">
        <v>8697</v>
      </c>
      <c r="D36" s="137">
        <f t="shared" ref="D36:I36" si="72">D15+D19+D21+D25+D29+D34</f>
        <v>457925</v>
      </c>
      <c r="E36" s="137">
        <f t="shared" si="72"/>
        <v>457932</v>
      </c>
      <c r="F36" s="137">
        <f t="shared" si="72"/>
        <v>457796</v>
      </c>
      <c r="G36" s="137">
        <f t="shared" si="72"/>
        <v>462169</v>
      </c>
      <c r="H36" s="137">
        <f t="shared" si="72"/>
        <v>460043</v>
      </c>
      <c r="I36" s="137">
        <f t="shared" si="72"/>
        <v>453258</v>
      </c>
      <c r="J36" s="137">
        <f t="shared" ref="J36:K36" si="73">J15+J19+J21+J25+J29+J34</f>
        <v>442491</v>
      </c>
      <c r="K36" s="137">
        <f t="shared" si="73"/>
        <v>457890</v>
      </c>
      <c r="L36" s="137">
        <f t="shared" ref="L36" si="74">L15+L19+L21+L25+L29+L34</f>
        <v>459317</v>
      </c>
    </row>
    <row r="37" spans="1:17">
      <c r="D37" s="138"/>
      <c r="E37" s="138"/>
      <c r="F37" s="138"/>
      <c r="G37" s="138"/>
      <c r="H37" s="138"/>
      <c r="I37" s="138"/>
      <c r="J37" s="138"/>
      <c r="K37" s="138"/>
      <c r="L37" s="138"/>
    </row>
    <row r="38" spans="1:17">
      <c r="A38" s="134" t="s">
        <v>8698</v>
      </c>
      <c r="D38" s="137">
        <f t="shared" ref="D38:I38" si="75">MAX(D15,D19,D34,D21,D25,D29)-MIN(D15,D19,D34,D21,D25,D29)</f>
        <v>8782</v>
      </c>
      <c r="E38" s="137">
        <f t="shared" si="75"/>
        <v>5322</v>
      </c>
      <c r="F38" s="137">
        <f t="shared" si="75"/>
        <v>5416</v>
      </c>
      <c r="G38" s="137">
        <f t="shared" si="75"/>
        <v>3883</v>
      </c>
      <c r="H38" s="137">
        <f t="shared" si="75"/>
        <v>4766</v>
      </c>
      <c r="I38" s="137">
        <f t="shared" si="75"/>
        <v>4840</v>
      </c>
      <c r="J38" s="137">
        <f t="shared" ref="J38:K38" si="76">MAX(J15,J19,J34,J21,J25,J29)-MIN(J15,J19,J34,J21,J25,J29)</f>
        <v>5649</v>
      </c>
      <c r="K38" s="137">
        <f t="shared" si="76"/>
        <v>8280</v>
      </c>
      <c r="L38" s="137">
        <f t="shared" ref="L38" si="77">MAX(L15,L19,L34,L21,L25,L29)-MIN(L15,L19,L34,L21,L25,L29)</f>
        <v>7858</v>
      </c>
    </row>
    <row r="39" spans="1:17">
      <c r="D39" s="138"/>
      <c r="E39" s="138"/>
      <c r="F39" s="138"/>
      <c r="G39" s="138"/>
      <c r="H39" s="138"/>
      <c r="I39" s="138"/>
      <c r="J39" s="138"/>
      <c r="K39" s="138"/>
      <c r="L39" s="138"/>
    </row>
    <row r="40" spans="1:17">
      <c r="A40" s="134" t="s">
        <v>8701</v>
      </c>
      <c r="D40" s="137">
        <f t="shared" ref="D40:I40" si="78">STDEVP(D15,D19,D21,D25,D29,D34)</f>
        <v>2672.210222310779</v>
      </c>
      <c r="E40" s="137">
        <f t="shared" si="78"/>
        <v>1697.7644123964903</v>
      </c>
      <c r="F40" s="137">
        <f t="shared" si="78"/>
        <v>1787.5273113686653</v>
      </c>
      <c r="G40" s="137">
        <f t="shared" si="78"/>
        <v>1461.1903157661868</v>
      </c>
      <c r="H40" s="137">
        <f t="shared" si="78"/>
        <v>1576.9103141551484</v>
      </c>
      <c r="I40" s="137">
        <f t="shared" si="78"/>
        <v>1433.8820267604538</v>
      </c>
      <c r="J40" s="137">
        <f t="shared" ref="J40:K40" si="79">STDEVP(J15,J19,J21,J25,J29,J34)</f>
        <v>1729.1707791115757</v>
      </c>
      <c r="K40" s="137">
        <f t="shared" si="79"/>
        <v>2548.076987324624</v>
      </c>
      <c r="L40" s="137">
        <f t="shared" ref="L40" si="80">STDEVP(L15,L19,L21,L25,L29,L34)</f>
        <v>2426.0599344524767</v>
      </c>
    </row>
    <row r="42" spans="1:17">
      <c r="A42" s="134" t="s">
        <v>4601</v>
      </c>
    </row>
    <row r="45" spans="1:17">
      <c r="E45" s="42" t="s">
        <v>2303</v>
      </c>
      <c r="F45" s="42"/>
      <c r="G45" s="42"/>
      <c r="H45" s="42"/>
      <c r="I45" s="42"/>
      <c r="J45" s="42"/>
      <c r="K45" s="42"/>
      <c r="L45" s="42"/>
      <c r="M45" s="109"/>
      <c r="N45" s="109" t="s">
        <v>13319</v>
      </c>
    </row>
    <row r="46" spans="1:17">
      <c r="D46" s="110">
        <v>2010</v>
      </c>
      <c r="E46" s="110">
        <v>2011</v>
      </c>
      <c r="F46" s="110">
        <v>2012</v>
      </c>
      <c r="G46" s="110">
        <v>2013</v>
      </c>
      <c r="H46" s="110">
        <v>2014</v>
      </c>
      <c r="I46" s="110">
        <v>2015</v>
      </c>
      <c r="J46" s="110">
        <v>2016</v>
      </c>
      <c r="K46" s="110">
        <v>2017</v>
      </c>
      <c r="L46" s="110">
        <v>2018</v>
      </c>
      <c r="M46" s="109"/>
      <c r="N46" s="112" t="s">
        <v>2304</v>
      </c>
    </row>
    <row r="47" spans="1:17">
      <c r="A47" s="134" t="s">
        <v>4602</v>
      </c>
      <c r="C47" s="134"/>
      <c r="D47" s="137">
        <f t="shared" ref="D47:I47" si="81">SUM(D48:D66)</f>
        <v>44376</v>
      </c>
      <c r="E47" s="137">
        <f t="shared" si="81"/>
        <v>44552</v>
      </c>
      <c r="F47" s="137">
        <f t="shared" si="81"/>
        <v>44576</v>
      </c>
      <c r="G47" s="137">
        <f t="shared" si="81"/>
        <v>44903</v>
      </c>
      <c r="H47" s="137">
        <f t="shared" si="81"/>
        <v>44423</v>
      </c>
      <c r="I47" s="137">
        <f t="shared" si="81"/>
        <v>43302</v>
      </c>
      <c r="J47" s="137">
        <f t="shared" ref="J47:K47" si="82">SUM(J48:J66)</f>
        <v>42127</v>
      </c>
      <c r="K47" s="137">
        <f t="shared" si="82"/>
        <v>43918</v>
      </c>
      <c r="L47" s="137">
        <f t="shared" ref="L47" si="83">SUM(L48:L66)</f>
        <v>44156</v>
      </c>
    </row>
    <row r="48" spans="1:17">
      <c r="A48" s="134" t="s">
        <v>6957</v>
      </c>
      <c r="B48" s="134" t="s">
        <v>4603</v>
      </c>
      <c r="C48" s="4" t="s">
        <v>15870</v>
      </c>
      <c r="D48" s="137">
        <v>2897</v>
      </c>
      <c r="E48" s="137">
        <v>2940</v>
      </c>
      <c r="F48" s="137">
        <v>2960</v>
      </c>
      <c r="G48" s="30">
        <v>2979</v>
      </c>
      <c r="H48" s="30">
        <v>2947</v>
      </c>
      <c r="I48" s="30">
        <v>2919</v>
      </c>
      <c r="J48" s="30">
        <v>2824</v>
      </c>
      <c r="K48" s="30">
        <v>2892</v>
      </c>
      <c r="L48" s="30">
        <v>2888</v>
      </c>
      <c r="N48" s="134" t="s">
        <v>6365</v>
      </c>
      <c r="O48" s="4"/>
      <c r="Q48" s="4"/>
    </row>
    <row r="49" spans="1:17">
      <c r="A49" s="134" t="s">
        <v>6959</v>
      </c>
      <c r="B49" s="134" t="s">
        <v>4604</v>
      </c>
      <c r="C49" s="4" t="s">
        <v>15871</v>
      </c>
      <c r="D49" s="137">
        <v>1330</v>
      </c>
      <c r="E49" s="137">
        <v>1338</v>
      </c>
      <c r="F49" s="137">
        <v>1325</v>
      </c>
      <c r="G49" s="30">
        <v>1323</v>
      </c>
      <c r="H49" s="30">
        <v>1339</v>
      </c>
      <c r="I49" s="30">
        <v>1317</v>
      </c>
      <c r="J49" s="30">
        <v>1247</v>
      </c>
      <c r="K49" s="30">
        <v>1319</v>
      </c>
      <c r="L49" s="30">
        <v>1300</v>
      </c>
      <c r="N49" s="134" t="s">
        <v>6365</v>
      </c>
      <c r="O49" s="4"/>
      <c r="Q49" s="4"/>
    </row>
    <row r="50" spans="1:17">
      <c r="A50" s="134" t="s">
        <v>6961</v>
      </c>
      <c r="B50" s="134" t="s">
        <v>4605</v>
      </c>
      <c r="C50" s="4" t="s">
        <v>10256</v>
      </c>
      <c r="D50" s="137">
        <v>2995</v>
      </c>
      <c r="E50" s="137">
        <v>3004</v>
      </c>
      <c r="F50" s="137">
        <v>3000</v>
      </c>
      <c r="G50" s="30">
        <v>2973</v>
      </c>
      <c r="H50" s="30">
        <v>2900</v>
      </c>
      <c r="I50" s="30">
        <v>2832</v>
      </c>
      <c r="J50" s="30">
        <v>2795</v>
      </c>
      <c r="K50" s="30">
        <v>2885</v>
      </c>
      <c r="L50" s="30">
        <v>2908</v>
      </c>
      <c r="N50" s="134" t="s">
        <v>6365</v>
      </c>
      <c r="O50" s="4"/>
      <c r="Q50" s="4"/>
    </row>
    <row r="51" spans="1:17">
      <c r="A51" s="134" t="s">
        <v>6963</v>
      </c>
      <c r="B51" s="134" t="s">
        <v>4606</v>
      </c>
      <c r="C51" s="4" t="s">
        <v>15872</v>
      </c>
      <c r="D51" s="137">
        <v>1825</v>
      </c>
      <c r="E51" s="137">
        <v>1833</v>
      </c>
      <c r="F51" s="137">
        <v>1816</v>
      </c>
      <c r="G51" s="30">
        <v>1838</v>
      </c>
      <c r="H51" s="30">
        <v>1798</v>
      </c>
      <c r="I51" s="30">
        <v>1713</v>
      </c>
      <c r="J51" s="30">
        <v>1707</v>
      </c>
      <c r="K51" s="30">
        <v>1807</v>
      </c>
      <c r="L51" s="30">
        <v>1824</v>
      </c>
      <c r="N51" s="134" t="s">
        <v>6365</v>
      </c>
      <c r="O51" s="4"/>
      <c r="Q51" s="4"/>
    </row>
    <row r="52" spans="1:17">
      <c r="A52" s="134" t="s">
        <v>6965</v>
      </c>
      <c r="B52" s="134" t="s">
        <v>4607</v>
      </c>
      <c r="C52" s="4" t="s">
        <v>14474</v>
      </c>
      <c r="D52" s="137">
        <v>1507</v>
      </c>
      <c r="E52" s="137">
        <v>1515</v>
      </c>
      <c r="F52" s="137">
        <v>1522</v>
      </c>
      <c r="G52" s="30">
        <v>1543</v>
      </c>
      <c r="H52" s="30">
        <v>1531</v>
      </c>
      <c r="I52" s="30">
        <v>1513</v>
      </c>
      <c r="J52" s="30">
        <v>1479</v>
      </c>
      <c r="K52" s="30">
        <v>1505</v>
      </c>
      <c r="L52" s="30">
        <v>1534</v>
      </c>
      <c r="N52" s="134" t="s">
        <v>6365</v>
      </c>
      <c r="O52" s="4"/>
      <c r="Q52" s="4"/>
    </row>
    <row r="53" spans="1:17">
      <c r="A53" s="134" t="s">
        <v>6997</v>
      </c>
      <c r="B53" s="134" t="s">
        <v>4608</v>
      </c>
      <c r="C53" s="4" t="s">
        <v>14475</v>
      </c>
      <c r="D53" s="137">
        <v>2507</v>
      </c>
      <c r="E53" s="137">
        <v>2538</v>
      </c>
      <c r="F53" s="137">
        <v>2529</v>
      </c>
      <c r="G53" s="30">
        <v>2539</v>
      </c>
      <c r="H53" s="30">
        <v>2527</v>
      </c>
      <c r="I53" s="30">
        <v>2508</v>
      </c>
      <c r="J53" s="30">
        <v>2462</v>
      </c>
      <c r="K53" s="30">
        <v>2575</v>
      </c>
      <c r="L53" s="30">
        <v>2545</v>
      </c>
      <c r="N53" s="134" t="s">
        <v>6365</v>
      </c>
      <c r="O53" s="4"/>
      <c r="Q53" s="4"/>
    </row>
    <row r="54" spans="1:17">
      <c r="A54" s="134" t="s">
        <v>6999</v>
      </c>
      <c r="B54" s="134" t="s">
        <v>4609</v>
      </c>
      <c r="C54" s="4" t="s">
        <v>14476</v>
      </c>
      <c r="D54" s="137">
        <v>3157</v>
      </c>
      <c r="E54" s="137">
        <v>3168</v>
      </c>
      <c r="F54" s="137">
        <v>3167</v>
      </c>
      <c r="G54" s="30">
        <v>3149</v>
      </c>
      <c r="H54" s="30">
        <v>3102</v>
      </c>
      <c r="I54" s="30">
        <v>2976</v>
      </c>
      <c r="J54" s="30">
        <v>2944</v>
      </c>
      <c r="K54" s="30">
        <v>3050</v>
      </c>
      <c r="L54" s="30">
        <v>3058</v>
      </c>
      <c r="N54" s="134" t="s">
        <v>6365</v>
      </c>
      <c r="O54" s="4"/>
      <c r="Q54" s="4"/>
    </row>
    <row r="55" spans="1:17">
      <c r="A55" s="134" t="s">
        <v>7001</v>
      </c>
      <c r="B55" s="134" t="s">
        <v>4610</v>
      </c>
      <c r="C55" s="4" t="s">
        <v>15873</v>
      </c>
      <c r="D55" s="137">
        <v>1361</v>
      </c>
      <c r="E55" s="137">
        <v>1358</v>
      </c>
      <c r="F55" s="137">
        <v>1336</v>
      </c>
      <c r="G55" s="30">
        <v>1355</v>
      </c>
      <c r="H55" s="30">
        <v>1305</v>
      </c>
      <c r="I55" s="30">
        <v>1225</v>
      </c>
      <c r="J55" s="30">
        <v>1201</v>
      </c>
      <c r="K55" s="30">
        <v>1277</v>
      </c>
      <c r="L55" s="30">
        <v>1297</v>
      </c>
      <c r="N55" s="134" t="s">
        <v>6365</v>
      </c>
      <c r="O55" s="4"/>
      <c r="Q55" s="4"/>
    </row>
    <row r="56" spans="1:17">
      <c r="A56" s="134" t="s">
        <v>7003</v>
      </c>
      <c r="B56" s="134" t="s">
        <v>4611</v>
      </c>
      <c r="C56" s="4" t="s">
        <v>15874</v>
      </c>
      <c r="D56" s="137">
        <v>1798</v>
      </c>
      <c r="E56" s="137">
        <v>1823</v>
      </c>
      <c r="F56" s="137">
        <v>1798</v>
      </c>
      <c r="G56" s="30">
        <v>1794</v>
      </c>
      <c r="H56" s="30">
        <v>1842</v>
      </c>
      <c r="I56" s="30">
        <v>1814</v>
      </c>
      <c r="J56" s="30">
        <v>1709</v>
      </c>
      <c r="K56" s="30">
        <v>1799</v>
      </c>
      <c r="L56" s="30">
        <v>1775</v>
      </c>
      <c r="N56" s="134" t="s">
        <v>6365</v>
      </c>
      <c r="O56" s="4"/>
      <c r="Q56" s="4"/>
    </row>
    <row r="57" spans="1:17">
      <c r="A57" s="134" t="s">
        <v>7005</v>
      </c>
      <c r="B57" s="134" t="s">
        <v>4612</v>
      </c>
      <c r="C57" s="4" t="s">
        <v>10257</v>
      </c>
      <c r="D57" s="137">
        <v>3201</v>
      </c>
      <c r="E57" s="137">
        <v>3180</v>
      </c>
      <c r="F57" s="137">
        <v>3211</v>
      </c>
      <c r="G57" s="30">
        <v>3249</v>
      </c>
      <c r="H57" s="30">
        <v>3190</v>
      </c>
      <c r="I57" s="30">
        <v>3120</v>
      </c>
      <c r="J57" s="30">
        <v>3019</v>
      </c>
      <c r="K57" s="30">
        <v>3104</v>
      </c>
      <c r="L57" s="30">
        <v>3140</v>
      </c>
      <c r="N57" s="134" t="s">
        <v>6365</v>
      </c>
      <c r="O57" s="4"/>
      <c r="Q57" s="4"/>
    </row>
    <row r="58" spans="1:17">
      <c r="A58" s="134" t="s">
        <v>7007</v>
      </c>
      <c r="B58" s="134" t="s">
        <v>8130</v>
      </c>
      <c r="C58" s="4" t="s">
        <v>15875</v>
      </c>
      <c r="D58" s="137">
        <v>1479</v>
      </c>
      <c r="E58" s="137">
        <v>1468</v>
      </c>
      <c r="F58" s="137">
        <v>1468</v>
      </c>
      <c r="G58" s="30">
        <v>1472</v>
      </c>
      <c r="H58" s="30">
        <v>1467</v>
      </c>
      <c r="I58" s="30">
        <v>1455</v>
      </c>
      <c r="J58" s="30">
        <v>1391</v>
      </c>
      <c r="K58" s="30">
        <v>1487</v>
      </c>
      <c r="L58" s="30">
        <v>1504</v>
      </c>
      <c r="N58" s="134" t="s">
        <v>6365</v>
      </c>
      <c r="O58" s="4"/>
      <c r="Q58" s="4"/>
    </row>
    <row r="59" spans="1:17">
      <c r="A59" s="134" t="s">
        <v>7009</v>
      </c>
      <c r="B59" s="134" t="s">
        <v>8131</v>
      </c>
      <c r="C59" s="4" t="s">
        <v>15876</v>
      </c>
      <c r="D59" s="137">
        <v>2979</v>
      </c>
      <c r="E59" s="137">
        <v>2958</v>
      </c>
      <c r="F59" s="137">
        <v>2952</v>
      </c>
      <c r="G59" s="30">
        <v>3006</v>
      </c>
      <c r="H59" s="30">
        <v>2985</v>
      </c>
      <c r="I59" s="30">
        <v>2950</v>
      </c>
      <c r="J59" s="30">
        <v>2920</v>
      </c>
      <c r="K59" s="30">
        <v>3096</v>
      </c>
      <c r="L59" s="30">
        <v>3117</v>
      </c>
      <c r="N59" s="134" t="s">
        <v>6365</v>
      </c>
      <c r="O59" s="4"/>
      <c r="Q59" s="4"/>
    </row>
    <row r="60" spans="1:17">
      <c r="A60" s="134" t="s">
        <v>7011</v>
      </c>
      <c r="B60" s="134" t="s">
        <v>8178</v>
      </c>
      <c r="C60" s="4" t="s">
        <v>14477</v>
      </c>
      <c r="D60" s="137">
        <v>2785</v>
      </c>
      <c r="E60" s="137">
        <v>2797</v>
      </c>
      <c r="F60" s="137">
        <v>2762</v>
      </c>
      <c r="G60" s="30">
        <v>2810</v>
      </c>
      <c r="H60" s="30">
        <v>2799</v>
      </c>
      <c r="I60" s="30">
        <v>2747</v>
      </c>
      <c r="J60" s="30">
        <v>2665</v>
      </c>
      <c r="K60" s="30">
        <v>2810</v>
      </c>
      <c r="L60" s="30">
        <v>2823</v>
      </c>
      <c r="N60" s="134" t="s">
        <v>6365</v>
      </c>
      <c r="O60" s="4"/>
      <c r="Q60" s="4"/>
    </row>
    <row r="61" spans="1:17">
      <c r="A61" s="134" t="s">
        <v>7013</v>
      </c>
      <c r="B61" s="134" t="s">
        <v>8179</v>
      </c>
      <c r="C61" s="4" t="s">
        <v>14478</v>
      </c>
      <c r="D61" s="137">
        <v>2774</v>
      </c>
      <c r="E61" s="137">
        <v>2814</v>
      </c>
      <c r="F61" s="137">
        <v>2818</v>
      </c>
      <c r="G61" s="30">
        <v>2852</v>
      </c>
      <c r="H61" s="30">
        <v>2842</v>
      </c>
      <c r="I61" s="30">
        <v>2802</v>
      </c>
      <c r="J61" s="30">
        <v>2731</v>
      </c>
      <c r="K61" s="30">
        <v>2865</v>
      </c>
      <c r="L61" s="30">
        <v>2871</v>
      </c>
      <c r="N61" s="134" t="s">
        <v>6365</v>
      </c>
      <c r="O61" s="4"/>
      <c r="Q61" s="4"/>
    </row>
    <row r="62" spans="1:17">
      <c r="A62" s="134" t="s">
        <v>7015</v>
      </c>
      <c r="B62" s="134" t="s">
        <v>8180</v>
      </c>
      <c r="C62" s="4" t="s">
        <v>10258</v>
      </c>
      <c r="D62" s="137">
        <v>2775</v>
      </c>
      <c r="E62" s="137">
        <v>2779</v>
      </c>
      <c r="F62" s="137">
        <v>2773</v>
      </c>
      <c r="G62" s="30">
        <v>2769</v>
      </c>
      <c r="H62" s="30">
        <v>2711</v>
      </c>
      <c r="I62" s="30">
        <v>2600</v>
      </c>
      <c r="J62" s="30">
        <v>2505</v>
      </c>
      <c r="K62" s="30">
        <v>2639</v>
      </c>
      <c r="L62" s="30">
        <v>2670</v>
      </c>
      <c r="N62" s="134" t="s">
        <v>6365</v>
      </c>
      <c r="O62" s="4"/>
      <c r="Q62" s="4"/>
    </row>
    <row r="63" spans="1:17">
      <c r="A63" s="134" t="s">
        <v>7017</v>
      </c>
      <c r="B63" s="134" t="s">
        <v>8181</v>
      </c>
      <c r="C63" s="4" t="s">
        <v>14479</v>
      </c>
      <c r="D63" s="137">
        <v>2931</v>
      </c>
      <c r="E63" s="137">
        <v>2919</v>
      </c>
      <c r="F63" s="137">
        <v>2976</v>
      </c>
      <c r="G63" s="31">
        <v>3069</v>
      </c>
      <c r="H63" s="31">
        <v>3004</v>
      </c>
      <c r="I63" s="31">
        <v>2869</v>
      </c>
      <c r="J63" s="31">
        <v>2724</v>
      </c>
      <c r="K63" s="31">
        <v>2890</v>
      </c>
      <c r="L63" s="31">
        <v>2966</v>
      </c>
      <c r="N63" s="134" t="s">
        <v>6365</v>
      </c>
      <c r="O63" s="4"/>
      <c r="Q63" s="4"/>
    </row>
    <row r="64" spans="1:17">
      <c r="A64" s="134" t="s">
        <v>7019</v>
      </c>
      <c r="B64" s="134" t="s">
        <v>8182</v>
      </c>
      <c r="C64" s="4" t="s">
        <v>14480</v>
      </c>
      <c r="D64" s="137">
        <v>2893</v>
      </c>
      <c r="E64" s="137">
        <v>2921</v>
      </c>
      <c r="F64" s="137">
        <v>2926</v>
      </c>
      <c r="G64" s="31">
        <v>2966</v>
      </c>
      <c r="H64" s="31">
        <v>2958</v>
      </c>
      <c r="I64" s="31">
        <v>2843</v>
      </c>
      <c r="J64" s="31">
        <v>2763</v>
      </c>
      <c r="K64" s="31">
        <v>2803</v>
      </c>
      <c r="L64" s="31">
        <v>2832</v>
      </c>
      <c r="N64" s="134" t="s">
        <v>6365</v>
      </c>
      <c r="O64" s="4"/>
      <c r="Q64" s="4"/>
    </row>
    <row r="65" spans="1:17">
      <c r="A65" s="134" t="s">
        <v>7021</v>
      </c>
      <c r="B65" s="134" t="s">
        <v>8183</v>
      </c>
      <c r="C65" s="4" t="s">
        <v>10259</v>
      </c>
      <c r="D65" s="137">
        <v>1577</v>
      </c>
      <c r="E65" s="137">
        <v>1587</v>
      </c>
      <c r="F65" s="137">
        <v>1596</v>
      </c>
      <c r="G65" s="31">
        <v>1608</v>
      </c>
      <c r="H65" s="31">
        <v>1576</v>
      </c>
      <c r="I65" s="31">
        <v>1556</v>
      </c>
      <c r="J65" s="31">
        <v>1506</v>
      </c>
      <c r="K65" s="31">
        <v>1540</v>
      </c>
      <c r="L65" s="31">
        <v>1534</v>
      </c>
      <c r="N65" s="134" t="s">
        <v>6365</v>
      </c>
      <c r="O65" s="4"/>
      <c r="Q65" s="4"/>
    </row>
    <row r="66" spans="1:17">
      <c r="A66" s="134" t="s">
        <v>7023</v>
      </c>
      <c r="B66" s="134" t="s">
        <v>8184</v>
      </c>
      <c r="C66" s="4" t="s">
        <v>14481</v>
      </c>
      <c r="D66" s="137">
        <v>1605</v>
      </c>
      <c r="E66" s="137">
        <v>1612</v>
      </c>
      <c r="F66" s="137">
        <v>1641</v>
      </c>
      <c r="G66" s="31">
        <v>1609</v>
      </c>
      <c r="H66" s="31">
        <v>1600</v>
      </c>
      <c r="I66" s="31">
        <v>1543</v>
      </c>
      <c r="J66" s="31">
        <v>1535</v>
      </c>
      <c r="K66" s="31">
        <v>1575</v>
      </c>
      <c r="L66" s="31">
        <v>1570</v>
      </c>
      <c r="N66" s="134" t="s">
        <v>6365</v>
      </c>
      <c r="O66" s="4"/>
      <c r="Q66" s="4"/>
    </row>
    <row r="67" spans="1:17">
      <c r="D67" s="138"/>
      <c r="E67" s="138"/>
      <c r="F67" s="138"/>
      <c r="G67" s="138"/>
      <c r="H67" s="138"/>
      <c r="I67" s="138"/>
      <c r="J67" s="138"/>
      <c r="K67" s="138"/>
      <c r="L67" s="138"/>
    </row>
    <row r="68" spans="1:17">
      <c r="A68" s="134" t="s">
        <v>6293</v>
      </c>
      <c r="D68" s="137">
        <f t="shared" ref="D68:I68" si="84">SUM(D48:D66)</f>
        <v>44376</v>
      </c>
      <c r="E68" s="137">
        <f t="shared" si="84"/>
        <v>44552</v>
      </c>
      <c r="F68" s="137">
        <f t="shared" si="84"/>
        <v>44576</v>
      </c>
      <c r="G68" s="137">
        <f t="shared" si="84"/>
        <v>44903</v>
      </c>
      <c r="H68" s="137">
        <f t="shared" si="84"/>
        <v>44423</v>
      </c>
      <c r="I68" s="137">
        <f t="shared" si="84"/>
        <v>43302</v>
      </c>
      <c r="J68" s="137">
        <f t="shared" ref="J68:K68" si="85">SUM(J48:J66)</f>
        <v>42127</v>
      </c>
      <c r="K68" s="137">
        <f t="shared" si="85"/>
        <v>43918</v>
      </c>
      <c r="L68" s="137">
        <f t="shared" ref="L68" si="86">SUM(L48:L66)</f>
        <v>44156</v>
      </c>
    </row>
    <row r="69" spans="1:17">
      <c r="A69" s="134"/>
      <c r="D69" s="137"/>
      <c r="E69" s="137"/>
      <c r="F69" s="137"/>
      <c r="G69" s="137"/>
      <c r="H69" s="137"/>
      <c r="I69" s="137"/>
      <c r="J69" s="137"/>
      <c r="K69" s="137"/>
      <c r="L69" s="137"/>
    </row>
    <row r="70" spans="1:17">
      <c r="A70" s="134" t="s">
        <v>13641</v>
      </c>
      <c r="D70" s="137"/>
      <c r="E70" s="137"/>
      <c r="F70" s="137"/>
      <c r="G70" s="137"/>
      <c r="H70" s="137"/>
      <c r="I70" s="137"/>
      <c r="J70" s="137"/>
      <c r="K70" s="137"/>
      <c r="L70" s="137"/>
    </row>
    <row r="71" spans="1:17">
      <c r="A71" s="134" t="s">
        <v>13642</v>
      </c>
      <c r="D71" s="137"/>
      <c r="E71" s="137"/>
      <c r="F71" s="137"/>
      <c r="G71" s="137"/>
      <c r="H71" s="137"/>
      <c r="I71" s="137"/>
      <c r="J71" s="137"/>
      <c r="K71" s="137"/>
      <c r="L71" s="137"/>
    </row>
    <row r="72" spans="1:17">
      <c r="A72" s="134"/>
      <c r="B72" s="134"/>
      <c r="D72" s="142"/>
      <c r="E72" s="142"/>
      <c r="F72" s="142"/>
      <c r="G72" s="142"/>
      <c r="H72" s="142"/>
      <c r="I72" s="142"/>
      <c r="J72" s="142"/>
      <c r="K72" s="142"/>
      <c r="L72" s="142"/>
    </row>
    <row r="73" spans="1:17">
      <c r="A73" s="134"/>
      <c r="B73" s="134"/>
      <c r="D73" s="142"/>
      <c r="E73" s="142"/>
      <c r="F73" s="142"/>
      <c r="G73" s="142"/>
      <c r="H73" s="142"/>
      <c r="I73" s="142"/>
      <c r="J73" s="142"/>
      <c r="K73" s="142"/>
      <c r="L73" s="142"/>
    </row>
    <row r="74" spans="1:17">
      <c r="E74" s="42" t="s">
        <v>2303</v>
      </c>
      <c r="F74" s="42"/>
      <c r="G74" s="42"/>
      <c r="H74" s="42"/>
      <c r="I74" s="42"/>
      <c r="J74" s="42"/>
      <c r="K74" s="42"/>
      <c r="L74" s="42"/>
      <c r="M74" s="109"/>
      <c r="N74" s="109" t="s">
        <v>13319</v>
      </c>
    </row>
    <row r="75" spans="1:17">
      <c r="D75" s="110">
        <v>2010</v>
      </c>
      <c r="E75" s="110">
        <v>2011</v>
      </c>
      <c r="F75" s="110">
        <v>2012</v>
      </c>
      <c r="G75" s="110">
        <v>2013</v>
      </c>
      <c r="H75" s="110">
        <v>2014</v>
      </c>
      <c r="I75" s="110">
        <v>2015</v>
      </c>
      <c r="J75" s="110">
        <v>2016</v>
      </c>
      <c r="K75" s="110">
        <v>2017</v>
      </c>
      <c r="L75" s="110">
        <v>2018</v>
      </c>
      <c r="M75" s="109"/>
      <c r="N75" s="112" t="s">
        <v>2304</v>
      </c>
    </row>
    <row r="76" spans="1:17">
      <c r="A76" s="134" t="s">
        <v>7962</v>
      </c>
      <c r="D76" s="137">
        <f>SUM(D77:D97)</f>
        <v>70278</v>
      </c>
      <c r="E76" s="137">
        <f>SUM(E77:E97)</f>
        <v>70709</v>
      </c>
      <c r="F76" s="137">
        <f>SUM(F77:F97)</f>
        <v>70453</v>
      </c>
      <c r="G76" s="137">
        <f>SUM(G77:G97)</f>
        <v>69992</v>
      </c>
      <c r="H76" s="137">
        <f>SUM(H77:H97)</f>
        <v>70752</v>
      </c>
      <c r="I76" s="137">
        <f>SUM(I77:I79)+SUM(I81:I87)+SUM(I89:I97)</f>
        <v>68768</v>
      </c>
      <c r="J76" s="137">
        <f>SUM(J77:J79)+SUM(J81:J87)+SUM(J89:J97)</f>
        <v>67293</v>
      </c>
      <c r="K76" s="137">
        <f>SUM(K77:K79)+SUM(K81:K87)+SUM(K89:K97)</f>
        <v>71238</v>
      </c>
      <c r="L76" s="137">
        <f>SUM(L77:L79)+SUM(L81:L87)+SUM(L89:L97)</f>
        <v>70970</v>
      </c>
    </row>
    <row r="77" spans="1:17">
      <c r="A77" s="134" t="s">
        <v>6957</v>
      </c>
      <c r="B77" s="135" t="s">
        <v>13839</v>
      </c>
      <c r="C77" s="4" t="s">
        <v>14482</v>
      </c>
      <c r="D77" s="137">
        <v>44069</v>
      </c>
      <c r="E77" s="137">
        <v>44269</v>
      </c>
      <c r="F77" s="137">
        <v>44061</v>
      </c>
      <c r="G77" s="137">
        <v>43619</v>
      </c>
      <c r="H77" s="30">
        <v>44105</v>
      </c>
      <c r="I77" s="30">
        <v>2505</v>
      </c>
      <c r="J77" s="30">
        <v>2414</v>
      </c>
      <c r="K77" s="30">
        <v>2539</v>
      </c>
      <c r="L77" s="30">
        <v>2516</v>
      </c>
      <c r="N77" s="134" t="s">
        <v>6360</v>
      </c>
      <c r="O77" s="930"/>
      <c r="P77" s="952"/>
      <c r="Q77" s="945"/>
    </row>
    <row r="78" spans="1:17">
      <c r="A78" s="134" t="s">
        <v>6959</v>
      </c>
      <c r="B78" s="135" t="s">
        <v>13840</v>
      </c>
      <c r="C78" s="4" t="s">
        <v>14483</v>
      </c>
      <c r="D78" s="137">
        <v>0</v>
      </c>
      <c r="E78" s="137">
        <v>0</v>
      </c>
      <c r="F78" s="137">
        <v>0</v>
      </c>
      <c r="G78" s="137">
        <v>0</v>
      </c>
      <c r="H78" s="30">
        <v>0</v>
      </c>
      <c r="I78" s="30">
        <v>204</v>
      </c>
      <c r="J78" s="30">
        <v>201</v>
      </c>
      <c r="K78" s="30">
        <v>205</v>
      </c>
      <c r="L78" s="30">
        <v>212</v>
      </c>
      <c r="N78" s="134" t="s">
        <v>6360</v>
      </c>
      <c r="O78" s="930"/>
      <c r="P78" s="952"/>
      <c r="Q78" s="945"/>
    </row>
    <row r="79" spans="1:17" ht="15.75" thickBot="1">
      <c r="A79" s="134"/>
      <c r="C79" s="4" t="s">
        <v>14483</v>
      </c>
      <c r="D79" s="141">
        <v>0</v>
      </c>
      <c r="E79" s="141">
        <v>0</v>
      </c>
      <c r="F79" s="141">
        <v>0</v>
      </c>
      <c r="G79" s="141">
        <v>0</v>
      </c>
      <c r="H79" s="899">
        <v>0</v>
      </c>
      <c r="I79" s="30">
        <v>2594</v>
      </c>
      <c r="J79" s="30">
        <v>2495</v>
      </c>
      <c r="K79" s="30">
        <v>2635</v>
      </c>
      <c r="L79" s="30">
        <v>2590</v>
      </c>
      <c r="N79" s="134" t="s">
        <v>6366</v>
      </c>
      <c r="O79" s="930"/>
      <c r="P79" s="952"/>
      <c r="Q79" s="945"/>
    </row>
    <row r="80" spans="1:17" ht="15.75" thickBot="1">
      <c r="A80" s="134"/>
      <c r="C80" s="4" t="s">
        <v>14483</v>
      </c>
      <c r="D80" s="902">
        <f>D78+D79</f>
        <v>0</v>
      </c>
      <c r="E80" s="902">
        <f t="shared" ref="E80:L80" si="87">E78+E79</f>
        <v>0</v>
      </c>
      <c r="F80" s="902">
        <f t="shared" si="87"/>
        <v>0</v>
      </c>
      <c r="G80" s="902">
        <f t="shared" si="87"/>
        <v>0</v>
      </c>
      <c r="H80" s="902">
        <f t="shared" si="87"/>
        <v>0</v>
      </c>
      <c r="I80" s="902">
        <f t="shared" si="87"/>
        <v>2798</v>
      </c>
      <c r="J80" s="902">
        <f t="shared" si="87"/>
        <v>2696</v>
      </c>
      <c r="K80" s="902">
        <f t="shared" si="87"/>
        <v>2840</v>
      </c>
      <c r="L80" s="902">
        <f t="shared" si="87"/>
        <v>2802</v>
      </c>
      <c r="N80" s="134"/>
      <c r="O80" s="930"/>
      <c r="P80" s="952"/>
      <c r="Q80" s="945"/>
    </row>
    <row r="81" spans="1:17">
      <c r="A81" s="134" t="s">
        <v>6961</v>
      </c>
      <c r="B81" s="135" t="s">
        <v>7963</v>
      </c>
      <c r="C81" s="4" t="s">
        <v>14484</v>
      </c>
      <c r="D81" s="137">
        <v>0</v>
      </c>
      <c r="E81" s="137">
        <v>0</v>
      </c>
      <c r="F81" s="137">
        <v>0</v>
      </c>
      <c r="G81" s="137">
        <v>0</v>
      </c>
      <c r="H81" s="30">
        <v>0</v>
      </c>
      <c r="I81" s="30">
        <v>6644</v>
      </c>
      <c r="J81" s="30">
        <v>6755</v>
      </c>
      <c r="K81" s="30">
        <v>7226</v>
      </c>
      <c r="L81" s="30">
        <v>7169</v>
      </c>
      <c r="N81" s="134" t="s">
        <v>6360</v>
      </c>
      <c r="O81" s="930"/>
      <c r="P81" s="952"/>
      <c r="Q81" s="945"/>
    </row>
    <row r="82" spans="1:17">
      <c r="A82" s="134" t="s">
        <v>6963</v>
      </c>
      <c r="B82" s="134" t="s">
        <v>7964</v>
      </c>
      <c r="C82" s="4" t="s">
        <v>14485</v>
      </c>
      <c r="D82" s="137">
        <v>0</v>
      </c>
      <c r="E82" s="137">
        <v>0</v>
      </c>
      <c r="F82" s="137">
        <v>0</v>
      </c>
      <c r="G82" s="137">
        <v>0</v>
      </c>
      <c r="H82" s="30">
        <v>0</v>
      </c>
      <c r="I82" s="30">
        <v>7586</v>
      </c>
      <c r="J82" s="30">
        <v>7423</v>
      </c>
      <c r="K82" s="30">
        <v>7951</v>
      </c>
      <c r="L82" s="30">
        <v>7984</v>
      </c>
      <c r="N82" s="134" t="s">
        <v>6366</v>
      </c>
      <c r="O82" s="930"/>
      <c r="P82" s="952"/>
      <c r="Q82" s="945"/>
    </row>
    <row r="83" spans="1:17">
      <c r="A83" s="134" t="s">
        <v>6965</v>
      </c>
      <c r="B83" s="134" t="s">
        <v>7965</v>
      </c>
      <c r="C83" s="4" t="s">
        <v>14486</v>
      </c>
      <c r="D83" s="137">
        <v>0</v>
      </c>
      <c r="E83" s="137">
        <v>0</v>
      </c>
      <c r="F83" s="137">
        <v>0</v>
      </c>
      <c r="G83" s="137">
        <v>0</v>
      </c>
      <c r="H83" s="30">
        <v>0</v>
      </c>
      <c r="I83" s="30">
        <v>4583</v>
      </c>
      <c r="J83" s="30">
        <v>4520</v>
      </c>
      <c r="K83" s="30">
        <v>4674</v>
      </c>
      <c r="L83" s="30">
        <v>4634</v>
      </c>
      <c r="N83" s="134" t="s">
        <v>6360</v>
      </c>
      <c r="O83" s="930"/>
      <c r="P83" s="952"/>
      <c r="Q83" s="945"/>
    </row>
    <row r="84" spans="1:17">
      <c r="A84" s="134" t="s">
        <v>6997</v>
      </c>
      <c r="B84" s="134" t="s">
        <v>13832</v>
      </c>
      <c r="C84" s="4" t="s">
        <v>14487</v>
      </c>
      <c r="D84" s="137">
        <v>26209</v>
      </c>
      <c r="E84" s="137">
        <v>26440</v>
      </c>
      <c r="F84" s="137">
        <v>26392</v>
      </c>
      <c r="G84" s="137">
        <v>26373</v>
      </c>
      <c r="H84" s="31">
        <v>26647</v>
      </c>
      <c r="I84" s="30">
        <v>2794</v>
      </c>
      <c r="J84" s="30">
        <v>2726</v>
      </c>
      <c r="K84" s="30">
        <v>2832</v>
      </c>
      <c r="L84" s="30">
        <v>2869</v>
      </c>
      <c r="N84" s="134" t="s">
        <v>6366</v>
      </c>
      <c r="O84" s="946"/>
      <c r="P84" s="952"/>
      <c r="Q84" s="945"/>
    </row>
    <row r="85" spans="1:17">
      <c r="A85" s="134" t="s">
        <v>6999</v>
      </c>
      <c r="B85" s="134" t="s">
        <v>13833</v>
      </c>
      <c r="C85" s="4" t="s">
        <v>14488</v>
      </c>
      <c r="D85" s="137">
        <v>0</v>
      </c>
      <c r="E85" s="137">
        <v>0</v>
      </c>
      <c r="F85" s="137">
        <v>0</v>
      </c>
      <c r="G85" s="137">
        <v>0</v>
      </c>
      <c r="H85" s="30">
        <v>0</v>
      </c>
      <c r="I85" s="30">
        <v>2643</v>
      </c>
      <c r="J85" s="30">
        <v>2505</v>
      </c>
      <c r="K85" s="30">
        <v>2632</v>
      </c>
      <c r="L85" s="30">
        <v>2608</v>
      </c>
      <c r="N85" s="134" t="s">
        <v>6360</v>
      </c>
      <c r="O85" s="930"/>
      <c r="P85" s="952"/>
      <c r="Q85" s="945"/>
    </row>
    <row r="86" spans="1:17">
      <c r="A86" s="134" t="s">
        <v>7001</v>
      </c>
      <c r="B86" s="134" t="s">
        <v>12503</v>
      </c>
      <c r="C86" s="4" t="s">
        <v>14489</v>
      </c>
      <c r="D86" s="137">
        <v>0</v>
      </c>
      <c r="E86" s="137">
        <v>0</v>
      </c>
      <c r="F86" s="137">
        <v>0</v>
      </c>
      <c r="G86" s="137">
        <v>0</v>
      </c>
      <c r="H86" s="31">
        <v>0</v>
      </c>
      <c r="I86" s="30">
        <v>2235</v>
      </c>
      <c r="J86" s="30">
        <v>2194</v>
      </c>
      <c r="K86" s="30">
        <v>2308</v>
      </c>
      <c r="L86" s="30">
        <v>2271</v>
      </c>
      <c r="N86" s="134" t="s">
        <v>6360</v>
      </c>
      <c r="O86" s="946"/>
      <c r="P86" s="952"/>
      <c r="Q86" s="945"/>
    </row>
    <row r="87" spans="1:17" ht="15.75" thickBot="1">
      <c r="A87" s="134"/>
      <c r="B87" s="134"/>
      <c r="C87" s="4" t="s">
        <v>14489</v>
      </c>
      <c r="D87" s="141">
        <v>0</v>
      </c>
      <c r="E87" s="141">
        <v>0</v>
      </c>
      <c r="F87" s="141">
        <v>0</v>
      </c>
      <c r="G87" s="141">
        <v>0</v>
      </c>
      <c r="H87" s="899">
        <v>0</v>
      </c>
      <c r="I87" s="31">
        <v>511</v>
      </c>
      <c r="J87" s="31">
        <v>493</v>
      </c>
      <c r="K87" s="31">
        <v>510</v>
      </c>
      <c r="L87" s="31">
        <v>488</v>
      </c>
      <c r="N87" s="134" t="s">
        <v>6366</v>
      </c>
      <c r="O87" s="946"/>
      <c r="P87" s="952"/>
      <c r="Q87" s="945"/>
    </row>
    <row r="88" spans="1:17" ht="15.75" thickBot="1">
      <c r="A88" s="134"/>
      <c r="B88" s="134"/>
      <c r="C88" s="4" t="s">
        <v>14489</v>
      </c>
      <c r="D88" s="902">
        <f>D86+D87</f>
        <v>0</v>
      </c>
      <c r="E88" s="902">
        <f t="shared" ref="E88" si="88">E86+E87</f>
        <v>0</v>
      </c>
      <c r="F88" s="902">
        <f t="shared" ref="F88" si="89">F86+F87</f>
        <v>0</v>
      </c>
      <c r="G88" s="902">
        <f t="shared" ref="G88" si="90">G86+G87</f>
        <v>0</v>
      </c>
      <c r="H88" s="902">
        <f t="shared" ref="H88" si="91">H86+H87</f>
        <v>0</v>
      </c>
      <c r="I88" s="902">
        <f t="shared" ref="I88:L88" si="92">I86+I87</f>
        <v>2746</v>
      </c>
      <c r="J88" s="902">
        <f t="shared" si="92"/>
        <v>2687</v>
      </c>
      <c r="K88" s="902">
        <f t="shared" si="92"/>
        <v>2818</v>
      </c>
      <c r="L88" s="902">
        <f t="shared" si="92"/>
        <v>2759</v>
      </c>
      <c r="N88" s="134"/>
      <c r="O88" s="946"/>
      <c r="P88" s="952"/>
      <c r="Q88" s="945"/>
    </row>
    <row r="89" spans="1:17">
      <c r="A89" s="134" t="s">
        <v>7003</v>
      </c>
      <c r="B89" s="134" t="s">
        <v>13834</v>
      </c>
      <c r="C89" s="4" t="s">
        <v>14490</v>
      </c>
      <c r="D89" s="137">
        <v>0</v>
      </c>
      <c r="E89" s="137">
        <v>0</v>
      </c>
      <c r="F89" s="137">
        <v>0</v>
      </c>
      <c r="G89" s="137">
        <v>0</v>
      </c>
      <c r="H89" s="31">
        <v>0</v>
      </c>
      <c r="I89" s="30">
        <v>4197</v>
      </c>
      <c r="J89" s="30">
        <v>4185</v>
      </c>
      <c r="K89" s="30">
        <v>4450</v>
      </c>
      <c r="L89" s="30">
        <v>4450</v>
      </c>
      <c r="N89" s="134" t="s">
        <v>6360</v>
      </c>
      <c r="O89" s="946"/>
      <c r="P89" s="952"/>
      <c r="Q89" s="945"/>
    </row>
    <row r="90" spans="1:17">
      <c r="A90" s="134" t="s">
        <v>7005</v>
      </c>
      <c r="B90" s="134" t="s">
        <v>13835</v>
      </c>
      <c r="C90" s="4" t="s">
        <v>14491</v>
      </c>
      <c r="D90" s="137">
        <v>0</v>
      </c>
      <c r="E90" s="137">
        <v>0</v>
      </c>
      <c r="F90" s="137">
        <v>0</v>
      </c>
      <c r="G90" s="137">
        <v>0</v>
      </c>
      <c r="H90" s="30">
        <v>0</v>
      </c>
      <c r="I90" s="30">
        <v>5055</v>
      </c>
      <c r="J90" s="30">
        <v>4851</v>
      </c>
      <c r="K90" s="30">
        <v>5197</v>
      </c>
      <c r="L90" s="30">
        <v>5129</v>
      </c>
      <c r="N90" s="134" t="s">
        <v>6360</v>
      </c>
      <c r="O90" s="930"/>
      <c r="P90" s="952"/>
      <c r="Q90" s="945"/>
    </row>
    <row r="91" spans="1:17">
      <c r="A91" s="134" t="s">
        <v>7007</v>
      </c>
      <c r="B91" s="134" t="s">
        <v>13836</v>
      </c>
      <c r="C91" s="4" t="s">
        <v>14492</v>
      </c>
      <c r="D91" s="137">
        <v>0</v>
      </c>
      <c r="E91" s="137">
        <v>0</v>
      </c>
      <c r="F91" s="137">
        <v>0</v>
      </c>
      <c r="G91" s="137">
        <v>0</v>
      </c>
      <c r="H91" s="30">
        <v>0</v>
      </c>
      <c r="I91" s="30">
        <v>2491</v>
      </c>
      <c r="J91" s="30">
        <v>2393</v>
      </c>
      <c r="K91" s="30">
        <v>2534</v>
      </c>
      <c r="L91" s="30">
        <v>2507</v>
      </c>
      <c r="N91" s="134" t="s">
        <v>6360</v>
      </c>
      <c r="O91" s="930"/>
      <c r="P91" s="952"/>
      <c r="Q91" s="945"/>
    </row>
    <row r="92" spans="1:17">
      <c r="A92" s="134" t="s">
        <v>7009</v>
      </c>
      <c r="B92" s="134" t="s">
        <v>13837</v>
      </c>
      <c r="C92" s="4" t="s">
        <v>14493</v>
      </c>
      <c r="D92" s="137">
        <v>0</v>
      </c>
      <c r="E92" s="137">
        <v>0</v>
      </c>
      <c r="F92" s="137">
        <v>0</v>
      </c>
      <c r="G92" s="137">
        <v>0</v>
      </c>
      <c r="H92" s="30">
        <v>0</v>
      </c>
      <c r="I92" s="31">
        <v>2634</v>
      </c>
      <c r="J92" s="31">
        <v>2571</v>
      </c>
      <c r="K92" s="31">
        <v>2743</v>
      </c>
      <c r="L92" s="31">
        <v>2721</v>
      </c>
      <c r="N92" s="134" t="s">
        <v>6366</v>
      </c>
      <c r="O92" s="930"/>
      <c r="P92" s="952"/>
      <c r="Q92" s="945"/>
    </row>
    <row r="93" spans="1:17">
      <c r="A93" s="134" t="s">
        <v>7011</v>
      </c>
      <c r="B93" s="134" t="s">
        <v>5332</v>
      </c>
      <c r="C93" s="4" t="s">
        <v>14494</v>
      </c>
      <c r="D93" s="137">
        <v>0</v>
      </c>
      <c r="E93" s="137">
        <v>0</v>
      </c>
      <c r="F93" s="137">
        <v>0</v>
      </c>
      <c r="G93" s="137">
        <v>0</v>
      </c>
      <c r="H93" s="30">
        <v>0</v>
      </c>
      <c r="I93" s="30">
        <v>5070</v>
      </c>
      <c r="J93" s="30">
        <v>4931</v>
      </c>
      <c r="K93" s="30">
        <v>5134</v>
      </c>
      <c r="L93" s="30">
        <v>5081</v>
      </c>
      <c r="N93" s="134" t="s">
        <v>6360</v>
      </c>
      <c r="O93" s="930"/>
      <c r="P93" s="952"/>
      <c r="Q93" s="945"/>
    </row>
    <row r="94" spans="1:17">
      <c r="A94" s="134" t="s">
        <v>7013</v>
      </c>
      <c r="B94" s="134" t="s">
        <v>13838</v>
      </c>
      <c r="C94" s="4" t="s">
        <v>14495</v>
      </c>
      <c r="D94" s="137">
        <v>0</v>
      </c>
      <c r="E94" s="137">
        <v>0</v>
      </c>
      <c r="F94" s="137">
        <v>0</v>
      </c>
      <c r="G94" s="137">
        <v>0</v>
      </c>
      <c r="H94" s="30">
        <v>0</v>
      </c>
      <c r="I94" s="31">
        <v>4694</v>
      </c>
      <c r="J94" s="31">
        <v>4675</v>
      </c>
      <c r="K94" s="31">
        <v>5008</v>
      </c>
      <c r="L94" s="31">
        <v>5188</v>
      </c>
      <c r="N94" s="134" t="s">
        <v>6366</v>
      </c>
      <c r="O94" s="930"/>
      <c r="P94" s="952"/>
      <c r="Q94" s="945"/>
    </row>
    <row r="95" spans="1:17">
      <c r="A95" s="134" t="s">
        <v>7015</v>
      </c>
      <c r="B95" s="134" t="s">
        <v>5333</v>
      </c>
      <c r="C95" s="4" t="s">
        <v>14496</v>
      </c>
      <c r="D95" s="137">
        <v>0</v>
      </c>
      <c r="E95" s="137">
        <v>0</v>
      </c>
      <c r="F95" s="137">
        <v>0</v>
      </c>
      <c r="G95" s="137">
        <v>0</v>
      </c>
      <c r="H95" s="30">
        <v>0</v>
      </c>
      <c r="I95" s="30">
        <v>4886</v>
      </c>
      <c r="J95" s="30">
        <v>4707</v>
      </c>
      <c r="K95" s="30">
        <v>4946</v>
      </c>
      <c r="L95" s="30">
        <v>4886</v>
      </c>
      <c r="N95" s="134" t="s">
        <v>6360</v>
      </c>
      <c r="O95" s="930"/>
      <c r="P95" s="952"/>
      <c r="Q95" s="945"/>
    </row>
    <row r="96" spans="1:17">
      <c r="A96" s="134" t="s">
        <v>7017</v>
      </c>
      <c r="B96" s="134" t="s">
        <v>1892</v>
      </c>
      <c r="C96" s="4" t="s">
        <v>14497</v>
      </c>
      <c r="D96" s="137">
        <v>0</v>
      </c>
      <c r="E96" s="137">
        <v>0</v>
      </c>
      <c r="F96" s="137">
        <v>0</v>
      </c>
      <c r="G96" s="137">
        <v>0</v>
      </c>
      <c r="H96" s="30">
        <v>0</v>
      </c>
      <c r="I96" s="30">
        <v>2370</v>
      </c>
      <c r="J96" s="30">
        <v>2335</v>
      </c>
      <c r="K96" s="30">
        <v>2437</v>
      </c>
      <c r="L96" s="30">
        <v>2422</v>
      </c>
      <c r="N96" s="134" t="s">
        <v>6360</v>
      </c>
      <c r="O96" s="70"/>
      <c r="Q96" s="4"/>
    </row>
    <row r="97" spans="1:17">
      <c r="A97" s="134" t="s">
        <v>7019</v>
      </c>
      <c r="B97" s="134" t="s">
        <v>5334</v>
      </c>
      <c r="C97" s="4" t="s">
        <v>14498</v>
      </c>
      <c r="D97" s="137">
        <v>0</v>
      </c>
      <c r="E97" s="137">
        <v>0</v>
      </c>
      <c r="F97" s="137">
        <v>0</v>
      </c>
      <c r="G97" s="137">
        <v>0</v>
      </c>
      <c r="H97" s="30">
        <v>0</v>
      </c>
      <c r="I97" s="31">
        <v>5072</v>
      </c>
      <c r="J97" s="31">
        <v>4919</v>
      </c>
      <c r="K97" s="31">
        <v>5277</v>
      </c>
      <c r="L97" s="31">
        <v>5245</v>
      </c>
      <c r="N97" s="134" t="s">
        <v>6366</v>
      </c>
      <c r="O97" s="70"/>
      <c r="Q97" s="4"/>
    </row>
    <row r="98" spans="1:17">
      <c r="D98" s="138"/>
      <c r="E98" s="138"/>
      <c r="F98" s="138"/>
      <c r="G98" s="138"/>
      <c r="H98" s="138"/>
      <c r="I98" s="138"/>
      <c r="J98" s="138"/>
      <c r="K98" s="138"/>
      <c r="L98" s="138"/>
    </row>
    <row r="99" spans="1:17">
      <c r="A99" s="134" t="s">
        <v>5336</v>
      </c>
      <c r="D99" s="137">
        <f t="shared" ref="D99:H99" si="93">D77+D78+D81+D83+D85+D86+SUM(D89:D91)+D93+D95+D96</f>
        <v>44069</v>
      </c>
      <c r="E99" s="137">
        <f t="shared" si="93"/>
        <v>44269</v>
      </c>
      <c r="F99" s="137">
        <f t="shared" si="93"/>
        <v>44061</v>
      </c>
      <c r="G99" s="137">
        <f t="shared" si="93"/>
        <v>43619</v>
      </c>
      <c r="H99" s="137">
        <f t="shared" si="93"/>
        <v>44105</v>
      </c>
      <c r="I99" s="137">
        <f>I77+I78+I81+I83+I85+I86+SUM(I89:I91)+I93+I95+I96</f>
        <v>42883</v>
      </c>
      <c r="J99" s="137">
        <f>J77+J78+J81+J83+J85+J86+SUM(J89:J91)+J93+J95+J96</f>
        <v>41991</v>
      </c>
      <c r="K99" s="137">
        <f>K77+K78+K81+K83+K85+K86+SUM(K89:K91)+K93+K95+K96</f>
        <v>44282</v>
      </c>
      <c r="L99" s="137">
        <f>L77+L78+L81+L83+L85+L86+SUM(L89:L91)+L93+L95+L96</f>
        <v>43885</v>
      </c>
    </row>
    <row r="100" spans="1:17">
      <c r="A100" s="134" t="s">
        <v>5337</v>
      </c>
      <c r="D100" s="137">
        <f t="shared" ref="D100:H100" si="94">D79+D82+D84+D87+D92+D94+D97</f>
        <v>26209</v>
      </c>
      <c r="E100" s="137">
        <f t="shared" si="94"/>
        <v>26440</v>
      </c>
      <c r="F100" s="137">
        <f t="shared" si="94"/>
        <v>26392</v>
      </c>
      <c r="G100" s="137">
        <f t="shared" si="94"/>
        <v>26373</v>
      </c>
      <c r="H100" s="137">
        <f t="shared" si="94"/>
        <v>26647</v>
      </c>
      <c r="I100" s="137">
        <f>I79+I82+I84+I87+I92+I94+I97</f>
        <v>25885</v>
      </c>
      <c r="J100" s="137">
        <f>J79+J82+J84+J87+J92+J94+J97</f>
        <v>25302</v>
      </c>
      <c r="K100" s="137">
        <f>K79+K82+K84+K87+K92+K94+K97</f>
        <v>26956</v>
      </c>
      <c r="L100" s="137">
        <f>L79+L82+L84+L87+L92+L94+L97</f>
        <v>27085</v>
      </c>
    </row>
    <row r="101" spans="1:17">
      <c r="A101" s="134"/>
      <c r="D101" s="137"/>
      <c r="E101" s="137"/>
      <c r="F101" s="137"/>
      <c r="G101" s="137"/>
      <c r="H101" s="137"/>
      <c r="I101" s="137"/>
      <c r="J101" s="137"/>
      <c r="K101" s="137"/>
      <c r="L101" s="137"/>
    </row>
    <row r="102" spans="1:17">
      <c r="A102" s="134" t="s">
        <v>13841</v>
      </c>
      <c r="D102" s="137"/>
      <c r="E102" s="137"/>
      <c r="F102" s="137"/>
      <c r="G102" s="137"/>
      <c r="H102" s="137"/>
      <c r="I102" s="137"/>
      <c r="J102" s="137"/>
      <c r="K102" s="137"/>
      <c r="L102" s="137"/>
    </row>
    <row r="103" spans="1:17">
      <c r="A103" s="134"/>
      <c r="B103" s="134"/>
      <c r="D103" s="142"/>
      <c r="E103" s="142"/>
      <c r="F103" s="142"/>
      <c r="G103" s="142"/>
      <c r="H103" s="142"/>
      <c r="I103" s="142"/>
      <c r="J103" s="142"/>
      <c r="K103" s="142"/>
      <c r="L103" s="142"/>
    </row>
    <row r="104" spans="1:17">
      <c r="A104" s="134"/>
      <c r="B104" s="134"/>
      <c r="D104" s="142"/>
      <c r="E104" s="142"/>
      <c r="F104" s="142"/>
      <c r="G104" s="142"/>
      <c r="H104" s="142"/>
      <c r="I104" s="142"/>
      <c r="J104" s="142"/>
      <c r="K104" s="142"/>
      <c r="L104" s="142"/>
    </row>
    <row r="105" spans="1:17">
      <c r="E105" s="42" t="s">
        <v>2303</v>
      </c>
      <c r="F105" s="42"/>
      <c r="G105" s="42"/>
      <c r="H105" s="42"/>
      <c r="I105" s="42"/>
      <c r="J105" s="42"/>
      <c r="K105" s="42"/>
      <c r="L105" s="42"/>
      <c r="M105" s="109"/>
      <c r="N105" s="109" t="s">
        <v>13319</v>
      </c>
    </row>
    <row r="106" spans="1:17">
      <c r="D106" s="110">
        <v>2010</v>
      </c>
      <c r="E106" s="110">
        <v>2011</v>
      </c>
      <c r="F106" s="110">
        <v>2012</v>
      </c>
      <c r="G106" s="110">
        <v>2013</v>
      </c>
      <c r="H106" s="110">
        <v>2014</v>
      </c>
      <c r="I106" s="110">
        <v>2015</v>
      </c>
      <c r="J106" s="110">
        <v>2016</v>
      </c>
      <c r="K106" s="110">
        <v>2017</v>
      </c>
      <c r="L106" s="110">
        <v>2018</v>
      </c>
      <c r="M106" s="109"/>
      <c r="N106" s="112" t="s">
        <v>2304</v>
      </c>
    </row>
    <row r="107" spans="1:17">
      <c r="A107" s="134" t="s">
        <v>6353</v>
      </c>
      <c r="D107" s="137">
        <f>SUM(D108:D112)+D114+D115+SUM(D117:D145)+SUM(D147:D154)+D156</f>
        <v>116382</v>
      </c>
      <c r="E107" s="137">
        <f t="shared" ref="E107:L107" si="95">SUM(E108:E112)+E114+E115+SUM(E117:E145)+SUM(E147:E154)+E156</f>
        <v>117243</v>
      </c>
      <c r="F107" s="137">
        <f t="shared" si="95"/>
        <v>117436</v>
      </c>
      <c r="G107" s="137">
        <f t="shared" si="95"/>
        <v>118889</v>
      </c>
      <c r="H107" s="137">
        <f t="shared" si="95"/>
        <v>118076</v>
      </c>
      <c r="I107" s="137">
        <f t="shared" si="95"/>
        <v>117983</v>
      </c>
      <c r="J107" s="137">
        <f t="shared" si="95"/>
        <v>115996</v>
      </c>
      <c r="K107" s="137">
        <f t="shared" si="95"/>
        <v>119093</v>
      </c>
      <c r="L107" s="137">
        <f t="shared" si="95"/>
        <v>118845</v>
      </c>
    </row>
    <row r="108" spans="1:17">
      <c r="A108" s="134" t="s">
        <v>6957</v>
      </c>
      <c r="B108" s="134" t="s">
        <v>16413</v>
      </c>
      <c r="C108" s="4" t="s">
        <v>16412</v>
      </c>
      <c r="D108" s="137">
        <v>32278</v>
      </c>
      <c r="E108" s="137">
        <v>32546</v>
      </c>
      <c r="F108" s="137">
        <v>32753</v>
      </c>
      <c r="G108" s="137">
        <v>33105</v>
      </c>
      <c r="H108" s="30">
        <v>32832</v>
      </c>
      <c r="I108" s="30">
        <v>32763</v>
      </c>
      <c r="J108" s="30">
        <v>32143</v>
      </c>
      <c r="K108" s="30">
        <v>32923</v>
      </c>
      <c r="L108" s="30">
        <v>2851</v>
      </c>
      <c r="N108" s="134" t="s">
        <v>6365</v>
      </c>
      <c r="O108" s="930"/>
      <c r="P108" s="952"/>
      <c r="Q108" s="945"/>
    </row>
    <row r="109" spans="1:17">
      <c r="A109" s="134" t="s">
        <v>6959</v>
      </c>
      <c r="B109" s="134" t="s">
        <v>7206</v>
      </c>
      <c r="C109" s="4" t="s">
        <v>16414</v>
      </c>
      <c r="D109" s="137">
        <v>74560</v>
      </c>
      <c r="E109" s="137">
        <v>75044</v>
      </c>
      <c r="F109" s="137">
        <v>75020</v>
      </c>
      <c r="G109" s="137">
        <v>76047</v>
      </c>
      <c r="H109" s="31">
        <v>75563</v>
      </c>
      <c r="I109" s="31">
        <v>75542</v>
      </c>
      <c r="J109" s="31">
        <v>74319</v>
      </c>
      <c r="K109" s="31">
        <v>76417</v>
      </c>
      <c r="L109" s="31">
        <v>2645</v>
      </c>
      <c r="N109" s="134" t="s">
        <v>6358</v>
      </c>
      <c r="O109" s="946"/>
      <c r="P109" s="952"/>
      <c r="Q109" s="945"/>
    </row>
    <row r="110" spans="1:17">
      <c r="A110" s="134" t="s">
        <v>6961</v>
      </c>
      <c r="B110" s="134" t="s">
        <v>7207</v>
      </c>
      <c r="C110" s="4" t="s">
        <v>16415</v>
      </c>
      <c r="D110" s="137">
        <v>0</v>
      </c>
      <c r="E110" s="137">
        <v>0</v>
      </c>
      <c r="F110" s="137">
        <v>0</v>
      </c>
      <c r="G110" s="137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1720</v>
      </c>
      <c r="N110" s="134" t="s">
        <v>6358</v>
      </c>
      <c r="O110" s="930"/>
      <c r="P110" s="952"/>
      <c r="Q110" s="945"/>
    </row>
    <row r="111" spans="1:17">
      <c r="A111" s="134"/>
      <c r="B111" s="134"/>
      <c r="C111" s="4" t="s">
        <v>16415</v>
      </c>
      <c r="D111" s="137">
        <v>0</v>
      </c>
      <c r="E111" s="137">
        <v>0</v>
      </c>
      <c r="F111" s="137">
        <v>0</v>
      </c>
      <c r="G111" s="137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600</v>
      </c>
      <c r="N111" s="134" t="s">
        <v>6364</v>
      </c>
      <c r="O111" s="930"/>
      <c r="P111" s="952"/>
      <c r="Q111" s="945"/>
    </row>
    <row r="112" spans="1:17" ht="15.75" thickBot="1">
      <c r="A112" s="134"/>
      <c r="B112" s="134"/>
      <c r="C112" s="4" t="s">
        <v>16415</v>
      </c>
      <c r="D112" s="137">
        <v>0</v>
      </c>
      <c r="E112" s="137">
        <v>0</v>
      </c>
      <c r="F112" s="137">
        <v>0</v>
      </c>
      <c r="G112" s="137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557</v>
      </c>
      <c r="N112" s="134" t="s">
        <v>6365</v>
      </c>
      <c r="O112" s="930"/>
      <c r="P112" s="952"/>
      <c r="Q112" s="945"/>
    </row>
    <row r="113" spans="1:17" ht="15.75" thickBot="1">
      <c r="A113" s="134"/>
      <c r="B113" s="134"/>
      <c r="C113" s="4" t="s">
        <v>16415</v>
      </c>
      <c r="D113" s="902">
        <f>SUM(D110:D112)</f>
        <v>0</v>
      </c>
      <c r="E113" s="902">
        <f t="shared" ref="E113:L113" si="96">SUM(E110:E112)</f>
        <v>0</v>
      </c>
      <c r="F113" s="902">
        <f t="shared" si="96"/>
        <v>0</v>
      </c>
      <c r="G113" s="902">
        <f t="shared" si="96"/>
        <v>0</v>
      </c>
      <c r="H113" s="902">
        <f t="shared" si="96"/>
        <v>0</v>
      </c>
      <c r="I113" s="902">
        <f t="shared" si="96"/>
        <v>0</v>
      </c>
      <c r="J113" s="902">
        <f t="shared" si="96"/>
        <v>0</v>
      </c>
      <c r="K113" s="902">
        <f t="shared" si="96"/>
        <v>0</v>
      </c>
      <c r="L113" s="902">
        <f t="shared" si="96"/>
        <v>2877</v>
      </c>
      <c r="N113" s="134"/>
      <c r="O113" s="930"/>
      <c r="P113" s="952"/>
      <c r="Q113" s="945"/>
    </row>
    <row r="114" spans="1:17">
      <c r="A114" s="134" t="s">
        <v>6963</v>
      </c>
      <c r="B114" s="134" t="s">
        <v>16416</v>
      </c>
      <c r="C114" s="4" t="s">
        <v>16417</v>
      </c>
      <c r="D114" s="137">
        <v>0</v>
      </c>
      <c r="E114" s="137">
        <v>0</v>
      </c>
      <c r="F114" s="137">
        <v>0</v>
      </c>
      <c r="G114" s="137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266</v>
      </c>
      <c r="N114" s="134" t="s">
        <v>6358</v>
      </c>
      <c r="O114" s="930"/>
      <c r="P114" s="952"/>
      <c r="Q114" s="945"/>
    </row>
    <row r="115" spans="1:17" ht="15.75" thickBot="1">
      <c r="A115" s="134"/>
      <c r="B115" s="134"/>
      <c r="C115" s="4" t="s">
        <v>16417</v>
      </c>
      <c r="D115" s="137">
        <v>0</v>
      </c>
      <c r="E115" s="137">
        <v>0</v>
      </c>
      <c r="F115" s="137">
        <v>0</v>
      </c>
      <c r="G115" s="137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2952</v>
      </c>
      <c r="N115" s="134" t="s">
        <v>6365</v>
      </c>
      <c r="O115" s="930"/>
      <c r="P115" s="952"/>
      <c r="Q115" s="945"/>
    </row>
    <row r="116" spans="1:17" ht="15.75" thickBot="1">
      <c r="A116" s="134"/>
      <c r="B116" s="134"/>
      <c r="C116" s="4" t="s">
        <v>16417</v>
      </c>
      <c r="D116" s="902">
        <f>D114+D115</f>
        <v>0</v>
      </c>
      <c r="E116" s="902">
        <f t="shared" ref="E116:L116" si="97">E114+E115</f>
        <v>0</v>
      </c>
      <c r="F116" s="902">
        <f t="shared" si="97"/>
        <v>0</v>
      </c>
      <c r="G116" s="902">
        <f t="shared" si="97"/>
        <v>0</v>
      </c>
      <c r="H116" s="902">
        <f t="shared" si="97"/>
        <v>0</v>
      </c>
      <c r="I116" s="902">
        <f t="shared" si="97"/>
        <v>0</v>
      </c>
      <c r="J116" s="902">
        <f t="shared" si="97"/>
        <v>0</v>
      </c>
      <c r="K116" s="902">
        <f t="shared" si="97"/>
        <v>0</v>
      </c>
      <c r="L116" s="902">
        <f t="shared" si="97"/>
        <v>3218</v>
      </c>
      <c r="N116" s="134"/>
      <c r="O116" s="930"/>
      <c r="P116" s="952"/>
      <c r="Q116" s="945"/>
    </row>
    <row r="117" spans="1:17">
      <c r="A117" s="134" t="s">
        <v>6965</v>
      </c>
      <c r="B117" s="135" t="s">
        <v>16418</v>
      </c>
      <c r="C117" s="4" t="s">
        <v>16419</v>
      </c>
      <c r="D117" s="137">
        <v>0</v>
      </c>
      <c r="E117" s="137">
        <v>0</v>
      </c>
      <c r="F117" s="137">
        <v>0</v>
      </c>
      <c r="G117" s="137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3105</v>
      </c>
      <c r="N117" s="134" t="s">
        <v>6358</v>
      </c>
      <c r="O117" s="930"/>
      <c r="P117" s="952"/>
      <c r="Q117" s="945"/>
    </row>
    <row r="118" spans="1:17">
      <c r="A118" s="134" t="s">
        <v>6997</v>
      </c>
      <c r="B118" s="134" t="s">
        <v>16420</v>
      </c>
      <c r="C118" s="4" t="s">
        <v>16421</v>
      </c>
      <c r="D118" s="137">
        <v>0</v>
      </c>
      <c r="E118" s="137">
        <v>0</v>
      </c>
      <c r="F118" s="137">
        <v>0</v>
      </c>
      <c r="G118" s="137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3146</v>
      </c>
      <c r="N118" s="134" t="s">
        <v>6358</v>
      </c>
      <c r="O118" s="930"/>
      <c r="P118" s="952"/>
      <c r="Q118" s="945"/>
    </row>
    <row r="119" spans="1:17">
      <c r="A119" s="134" t="s">
        <v>6999</v>
      </c>
      <c r="B119" s="134" t="s">
        <v>16422</v>
      </c>
      <c r="C119" s="4" t="s">
        <v>16423</v>
      </c>
      <c r="D119" s="137">
        <v>0</v>
      </c>
      <c r="E119" s="137">
        <v>0</v>
      </c>
      <c r="F119" s="137">
        <v>0</v>
      </c>
      <c r="G119" s="137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2784</v>
      </c>
      <c r="N119" s="134" t="s">
        <v>6358</v>
      </c>
      <c r="O119" s="930"/>
      <c r="P119" s="952"/>
      <c r="Q119" s="945"/>
    </row>
    <row r="120" spans="1:17">
      <c r="A120" s="134" t="s">
        <v>7001</v>
      </c>
      <c r="B120" s="134" t="s">
        <v>16424</v>
      </c>
      <c r="C120" s="4" t="s">
        <v>16425</v>
      </c>
      <c r="D120" s="137">
        <v>0</v>
      </c>
      <c r="E120" s="137">
        <v>0</v>
      </c>
      <c r="F120" s="137">
        <v>0</v>
      </c>
      <c r="G120" s="137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2963</v>
      </c>
      <c r="N120" s="134" t="s">
        <v>6358</v>
      </c>
      <c r="O120" s="930"/>
      <c r="P120" s="952"/>
      <c r="Q120" s="945"/>
    </row>
    <row r="121" spans="1:17">
      <c r="A121" s="134" t="s">
        <v>7003</v>
      </c>
      <c r="B121" s="135" t="s">
        <v>16426</v>
      </c>
      <c r="C121" s="4" t="s">
        <v>16431</v>
      </c>
      <c r="D121" s="137">
        <v>0</v>
      </c>
      <c r="E121" s="137">
        <v>0</v>
      </c>
      <c r="F121" s="137">
        <v>0</v>
      </c>
      <c r="G121" s="137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2445</v>
      </c>
      <c r="N121" s="134" t="s">
        <v>6358</v>
      </c>
      <c r="O121" s="930"/>
      <c r="P121" s="952"/>
      <c r="Q121" s="945"/>
    </row>
    <row r="122" spans="1:17">
      <c r="A122" s="134" t="s">
        <v>7005</v>
      </c>
      <c r="B122" s="135" t="s">
        <v>16427</v>
      </c>
      <c r="C122" s="4" t="s">
        <v>16432</v>
      </c>
      <c r="D122" s="137">
        <v>0</v>
      </c>
      <c r="E122" s="137">
        <v>0</v>
      </c>
      <c r="F122" s="137">
        <v>0</v>
      </c>
      <c r="G122" s="137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3121</v>
      </c>
      <c r="N122" s="134" t="s">
        <v>6358</v>
      </c>
      <c r="O122" s="946"/>
      <c r="P122" s="952"/>
      <c r="Q122" s="945"/>
    </row>
    <row r="123" spans="1:17">
      <c r="A123" s="134" t="s">
        <v>7007</v>
      </c>
      <c r="B123" s="135" t="s">
        <v>16441</v>
      </c>
      <c r="C123" s="4" t="s">
        <v>16433</v>
      </c>
      <c r="D123" s="137">
        <v>0</v>
      </c>
      <c r="E123" s="137">
        <v>0</v>
      </c>
      <c r="F123" s="137">
        <v>0</v>
      </c>
      <c r="G123" s="137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2840</v>
      </c>
      <c r="N123" s="134" t="s">
        <v>6358</v>
      </c>
      <c r="O123" s="930"/>
      <c r="P123" s="952"/>
      <c r="Q123" s="945"/>
    </row>
    <row r="124" spans="1:17">
      <c r="A124" s="134" t="s">
        <v>7009</v>
      </c>
      <c r="B124" s="135" t="s">
        <v>16428</v>
      </c>
      <c r="C124" s="4" t="s">
        <v>16434</v>
      </c>
      <c r="D124" s="137">
        <v>0</v>
      </c>
      <c r="E124" s="137">
        <v>0</v>
      </c>
      <c r="F124" s="137">
        <v>0</v>
      </c>
      <c r="G124" s="137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2870</v>
      </c>
      <c r="N124" s="134" t="s">
        <v>6358</v>
      </c>
      <c r="O124" s="930"/>
      <c r="P124" s="952"/>
      <c r="Q124" s="945"/>
    </row>
    <row r="125" spans="1:17">
      <c r="A125" s="134" t="s">
        <v>7011</v>
      </c>
      <c r="B125" s="135" t="s">
        <v>16429</v>
      </c>
      <c r="C125" s="4" t="s">
        <v>16435</v>
      </c>
      <c r="D125" s="137">
        <v>0</v>
      </c>
      <c r="E125" s="137">
        <v>0</v>
      </c>
      <c r="F125" s="137">
        <v>0</v>
      </c>
      <c r="G125" s="137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2887</v>
      </c>
      <c r="N125" s="134" t="s">
        <v>6358</v>
      </c>
      <c r="O125" s="930"/>
      <c r="P125" s="952"/>
      <c r="Q125" s="945"/>
    </row>
    <row r="126" spans="1:17">
      <c r="A126" s="134" t="s">
        <v>7013</v>
      </c>
      <c r="B126" s="135" t="s">
        <v>16430</v>
      </c>
      <c r="C126" s="4" t="s">
        <v>16437</v>
      </c>
      <c r="D126" s="137">
        <v>0</v>
      </c>
      <c r="E126" s="137">
        <v>0</v>
      </c>
      <c r="F126" s="137">
        <v>0</v>
      </c>
      <c r="G126" s="137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2848</v>
      </c>
      <c r="N126" s="134" t="s">
        <v>6358</v>
      </c>
      <c r="O126" s="930"/>
      <c r="P126" s="952"/>
      <c r="Q126" s="945"/>
    </row>
    <row r="127" spans="1:17">
      <c r="A127" s="134" t="s">
        <v>7015</v>
      </c>
      <c r="B127" s="135" t="s">
        <v>16436</v>
      </c>
      <c r="C127" s="4" t="s">
        <v>16439</v>
      </c>
      <c r="D127" s="137">
        <v>0</v>
      </c>
      <c r="E127" s="137">
        <v>0</v>
      </c>
      <c r="F127" s="137">
        <v>0</v>
      </c>
      <c r="G127" s="137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2778</v>
      </c>
      <c r="N127" s="134" t="s">
        <v>6358</v>
      </c>
      <c r="O127" s="946"/>
      <c r="P127" s="952"/>
      <c r="Q127" s="945"/>
    </row>
    <row r="128" spans="1:17">
      <c r="A128" s="134" t="s">
        <v>7017</v>
      </c>
      <c r="B128" s="135" t="s">
        <v>16438</v>
      </c>
      <c r="C128" s="4" t="s">
        <v>16442</v>
      </c>
      <c r="D128" s="143">
        <v>0</v>
      </c>
      <c r="E128" s="143">
        <v>0</v>
      </c>
      <c r="F128" s="143">
        <v>0</v>
      </c>
      <c r="G128" s="143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3324</v>
      </c>
      <c r="N128" s="134" t="s">
        <v>6358</v>
      </c>
      <c r="O128" s="946"/>
      <c r="P128" s="952"/>
      <c r="Q128" s="945"/>
    </row>
    <row r="129" spans="1:17">
      <c r="A129" s="134" t="s">
        <v>7019</v>
      </c>
      <c r="B129" s="135" t="s">
        <v>16440</v>
      </c>
      <c r="C129" s="4" t="s">
        <v>16443</v>
      </c>
      <c r="D129" s="143">
        <v>0</v>
      </c>
      <c r="E129" s="143">
        <v>0</v>
      </c>
      <c r="F129" s="143">
        <v>0</v>
      </c>
      <c r="G129" s="143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2914</v>
      </c>
      <c r="N129" s="134" t="s">
        <v>6358</v>
      </c>
      <c r="O129" s="946"/>
      <c r="P129" s="952"/>
      <c r="Q129" s="945"/>
    </row>
    <row r="130" spans="1:17">
      <c r="A130" s="134" t="s">
        <v>7021</v>
      </c>
      <c r="B130" s="134" t="s">
        <v>16474</v>
      </c>
      <c r="C130" s="4" t="s">
        <v>16444</v>
      </c>
      <c r="D130" s="143">
        <v>0</v>
      </c>
      <c r="E130" s="143">
        <v>0</v>
      </c>
      <c r="F130" s="143">
        <v>0</v>
      </c>
      <c r="G130" s="143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2662</v>
      </c>
      <c r="N130" s="134" t="s">
        <v>6358</v>
      </c>
      <c r="O130" s="952"/>
      <c r="P130" s="952"/>
      <c r="Q130" s="945"/>
    </row>
    <row r="131" spans="1:17">
      <c r="A131" s="134" t="s">
        <v>7023</v>
      </c>
      <c r="B131" s="134" t="s">
        <v>16475</v>
      </c>
      <c r="C131" s="4" t="s">
        <v>16446</v>
      </c>
      <c r="D131" s="143">
        <v>0</v>
      </c>
      <c r="E131" s="143">
        <v>0</v>
      </c>
      <c r="F131" s="143">
        <v>0</v>
      </c>
      <c r="G131" s="143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3073</v>
      </c>
      <c r="N131" s="134" t="s">
        <v>6358</v>
      </c>
      <c r="O131" s="930"/>
      <c r="P131" s="952"/>
      <c r="Q131" s="945"/>
    </row>
    <row r="132" spans="1:17">
      <c r="A132" s="134" t="s">
        <v>7025</v>
      </c>
      <c r="B132" s="134" t="s">
        <v>16476</v>
      </c>
      <c r="C132" s="4" t="s">
        <v>16445</v>
      </c>
      <c r="D132" s="143">
        <v>0</v>
      </c>
      <c r="E132" s="143">
        <v>0</v>
      </c>
      <c r="F132" s="143">
        <v>0</v>
      </c>
      <c r="G132" s="143">
        <v>0</v>
      </c>
      <c r="H132" s="30">
        <v>0</v>
      </c>
      <c r="I132" s="30">
        <v>0</v>
      </c>
      <c r="J132" s="30">
        <v>0</v>
      </c>
      <c r="K132" s="30">
        <v>0</v>
      </c>
      <c r="L132" s="31">
        <v>3278</v>
      </c>
      <c r="N132" s="134" t="s">
        <v>6358</v>
      </c>
      <c r="O132" s="946"/>
      <c r="P132" s="952"/>
      <c r="Q132" s="945"/>
    </row>
    <row r="133" spans="1:17">
      <c r="A133" s="134" t="s">
        <v>7570</v>
      </c>
      <c r="B133" s="134" t="s">
        <v>16477</v>
      </c>
      <c r="C133" s="4" t="s">
        <v>16447</v>
      </c>
      <c r="D133" s="143">
        <v>0</v>
      </c>
      <c r="E133" s="143">
        <v>0</v>
      </c>
      <c r="F133" s="143">
        <v>0</v>
      </c>
      <c r="G133" s="143">
        <v>0</v>
      </c>
      <c r="H133" s="30">
        <v>0</v>
      </c>
      <c r="I133" s="30">
        <v>0</v>
      </c>
      <c r="J133" s="30">
        <v>0</v>
      </c>
      <c r="K133" s="30">
        <v>0</v>
      </c>
      <c r="L133" s="31">
        <v>2847</v>
      </c>
      <c r="N133" s="134" t="s">
        <v>6358</v>
      </c>
      <c r="O133" s="946"/>
      <c r="P133" s="952"/>
      <c r="Q133" s="945"/>
    </row>
    <row r="134" spans="1:17">
      <c r="A134" s="134" t="s">
        <v>7572</v>
      </c>
      <c r="B134" s="134" t="s">
        <v>16478</v>
      </c>
      <c r="C134" s="4" t="s">
        <v>16448</v>
      </c>
      <c r="D134" s="143">
        <v>0</v>
      </c>
      <c r="E134" s="143">
        <v>0</v>
      </c>
      <c r="F134" s="143">
        <v>0</v>
      </c>
      <c r="G134" s="143">
        <v>0</v>
      </c>
      <c r="H134" s="30">
        <v>0</v>
      </c>
      <c r="I134" s="30">
        <v>0</v>
      </c>
      <c r="J134" s="30">
        <v>0</v>
      </c>
      <c r="K134" s="30">
        <v>0</v>
      </c>
      <c r="L134" s="31">
        <v>3349</v>
      </c>
      <c r="N134" s="134" t="s">
        <v>6358</v>
      </c>
      <c r="O134" s="930"/>
      <c r="P134" s="952"/>
      <c r="Q134" s="945"/>
    </row>
    <row r="135" spans="1:17">
      <c r="A135" s="134" t="s">
        <v>7573</v>
      </c>
      <c r="B135" s="134" t="s">
        <v>16479</v>
      </c>
      <c r="C135" s="4" t="s">
        <v>16449</v>
      </c>
      <c r="D135" s="143">
        <v>0</v>
      </c>
      <c r="E135" s="143">
        <v>0</v>
      </c>
      <c r="F135" s="143">
        <v>0</v>
      </c>
      <c r="G135" s="143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3100</v>
      </c>
      <c r="N135" s="134" t="s">
        <v>6358</v>
      </c>
      <c r="O135" s="946"/>
      <c r="P135" s="952"/>
      <c r="Q135" s="945"/>
    </row>
    <row r="136" spans="1:17">
      <c r="A136" s="134" t="s">
        <v>5798</v>
      </c>
      <c r="B136" s="134" t="s">
        <v>16473</v>
      </c>
      <c r="C136" s="4" t="s">
        <v>16450</v>
      </c>
      <c r="D136" s="143">
        <v>0</v>
      </c>
      <c r="E136" s="143">
        <v>0</v>
      </c>
      <c r="F136" s="143">
        <v>0</v>
      </c>
      <c r="G136" s="143">
        <v>0</v>
      </c>
      <c r="H136" s="30">
        <v>0</v>
      </c>
      <c r="I136" s="30">
        <v>0</v>
      </c>
      <c r="J136" s="30">
        <v>0</v>
      </c>
      <c r="K136" s="30">
        <v>0</v>
      </c>
      <c r="L136" s="31">
        <v>2215</v>
      </c>
      <c r="N136" s="134" t="s">
        <v>6358</v>
      </c>
      <c r="O136" s="946"/>
      <c r="P136" s="952"/>
      <c r="Q136" s="945"/>
    </row>
    <row r="137" spans="1:17">
      <c r="A137" s="134" t="s">
        <v>5799</v>
      </c>
      <c r="B137" s="134" t="s">
        <v>16472</v>
      </c>
      <c r="C137" s="4" t="s">
        <v>16451</v>
      </c>
      <c r="D137" s="143">
        <v>0</v>
      </c>
      <c r="E137" s="143">
        <v>0</v>
      </c>
      <c r="F137" s="143">
        <v>0</v>
      </c>
      <c r="G137" s="143">
        <v>0</v>
      </c>
      <c r="H137" s="30">
        <v>0</v>
      </c>
      <c r="I137" s="30">
        <v>0</v>
      </c>
      <c r="J137" s="30">
        <v>0</v>
      </c>
      <c r="K137" s="30">
        <v>0</v>
      </c>
      <c r="L137" s="31">
        <v>3144</v>
      </c>
      <c r="N137" s="134" t="s">
        <v>6358</v>
      </c>
      <c r="O137" s="946"/>
      <c r="P137" s="952"/>
      <c r="Q137" s="945"/>
    </row>
    <row r="138" spans="1:17">
      <c r="A138" s="134" t="s">
        <v>5801</v>
      </c>
      <c r="B138" s="134" t="s">
        <v>16471</v>
      </c>
      <c r="C138" s="4" t="s">
        <v>16452</v>
      </c>
      <c r="D138" s="143">
        <v>0</v>
      </c>
      <c r="E138" s="143">
        <v>0</v>
      </c>
      <c r="F138" s="143">
        <v>0</v>
      </c>
      <c r="G138" s="143">
        <v>0</v>
      </c>
      <c r="H138" s="30">
        <v>0</v>
      </c>
      <c r="I138" s="30">
        <v>0</v>
      </c>
      <c r="J138" s="30">
        <v>0</v>
      </c>
      <c r="K138" s="30">
        <v>0</v>
      </c>
      <c r="L138" s="31">
        <v>3401</v>
      </c>
      <c r="N138" s="134" t="s">
        <v>6358</v>
      </c>
      <c r="O138" s="946"/>
      <c r="P138" s="952"/>
      <c r="Q138" s="945"/>
    </row>
    <row r="139" spans="1:17">
      <c r="A139" s="134" t="s">
        <v>5927</v>
      </c>
      <c r="B139" s="134" t="s">
        <v>16470</v>
      </c>
      <c r="C139" s="4" t="s">
        <v>16453</v>
      </c>
      <c r="D139" s="143">
        <v>0</v>
      </c>
      <c r="E139" s="143">
        <v>0</v>
      </c>
      <c r="F139" s="143">
        <v>0</v>
      </c>
      <c r="G139" s="143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2489</v>
      </c>
      <c r="N139" s="134" t="s">
        <v>6358</v>
      </c>
      <c r="O139" s="946"/>
      <c r="P139" s="952"/>
      <c r="Q139" s="945"/>
    </row>
    <row r="140" spans="1:17">
      <c r="A140" s="134" t="s">
        <v>5929</v>
      </c>
      <c r="B140" s="134" t="s">
        <v>7208</v>
      </c>
      <c r="C140" s="4" t="s">
        <v>16454</v>
      </c>
      <c r="D140" s="143">
        <v>0</v>
      </c>
      <c r="E140" s="143">
        <v>0</v>
      </c>
      <c r="F140" s="143">
        <v>0</v>
      </c>
      <c r="G140" s="143">
        <v>0</v>
      </c>
      <c r="H140" s="30">
        <v>0</v>
      </c>
      <c r="I140" s="30">
        <v>0</v>
      </c>
      <c r="J140" s="30">
        <v>0</v>
      </c>
      <c r="K140" s="30">
        <v>0</v>
      </c>
      <c r="L140" s="31">
        <v>3199</v>
      </c>
      <c r="N140" s="134" t="s">
        <v>6358</v>
      </c>
      <c r="O140" s="930"/>
      <c r="P140" s="952"/>
      <c r="Q140" s="945"/>
    </row>
    <row r="141" spans="1:17">
      <c r="A141" s="144">
        <v>29</v>
      </c>
      <c r="B141" s="134" t="s">
        <v>7209</v>
      </c>
      <c r="C141" s="4" t="s">
        <v>16455</v>
      </c>
      <c r="D141" s="143">
        <v>9544</v>
      </c>
      <c r="E141" s="143">
        <v>9653</v>
      </c>
      <c r="F141" s="143">
        <v>9663</v>
      </c>
      <c r="G141" s="143">
        <v>9737</v>
      </c>
      <c r="H141" s="30">
        <v>9681</v>
      </c>
      <c r="I141" s="30">
        <v>9678</v>
      </c>
      <c r="J141" s="30">
        <v>9534</v>
      </c>
      <c r="K141" s="30">
        <v>9753</v>
      </c>
      <c r="L141" s="31">
        <v>2910</v>
      </c>
      <c r="N141" s="134" t="s">
        <v>6364</v>
      </c>
      <c r="O141" s="946"/>
      <c r="P141" s="952"/>
      <c r="Q141" s="945"/>
    </row>
    <row r="142" spans="1:17" ht="15.75" customHeight="1">
      <c r="A142" s="144">
        <v>30</v>
      </c>
      <c r="B142" s="134" t="s">
        <v>16469</v>
      </c>
      <c r="C142" s="4" t="s">
        <v>16456</v>
      </c>
      <c r="D142" s="137">
        <v>0</v>
      </c>
      <c r="E142" s="137">
        <v>0</v>
      </c>
      <c r="F142" s="137">
        <v>0</v>
      </c>
      <c r="G142" s="137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2812</v>
      </c>
      <c r="N142" s="134" t="s">
        <v>6365</v>
      </c>
      <c r="O142" s="946"/>
      <c r="P142" s="952"/>
      <c r="Q142" s="945"/>
    </row>
    <row r="143" spans="1:17">
      <c r="A143" s="144">
        <v>31</v>
      </c>
      <c r="B143" s="134" t="s">
        <v>7211</v>
      </c>
      <c r="C143" s="4" t="s">
        <v>16457</v>
      </c>
      <c r="D143" s="137">
        <v>0</v>
      </c>
      <c r="E143" s="137">
        <v>0</v>
      </c>
      <c r="F143" s="137">
        <v>0</v>
      </c>
      <c r="G143" s="137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3075</v>
      </c>
      <c r="N143" s="134" t="s">
        <v>6365</v>
      </c>
      <c r="O143" s="946"/>
      <c r="P143" s="952"/>
      <c r="Q143" s="945"/>
    </row>
    <row r="144" spans="1:17">
      <c r="A144" s="144">
        <v>32</v>
      </c>
      <c r="B144" s="134" t="s">
        <v>7212</v>
      </c>
      <c r="C144" s="4" t="s">
        <v>16458</v>
      </c>
      <c r="D144" s="137">
        <v>0</v>
      </c>
      <c r="E144" s="137">
        <v>0</v>
      </c>
      <c r="F144" s="137">
        <v>0</v>
      </c>
      <c r="G144" s="137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640</v>
      </c>
      <c r="N144" s="134" t="s">
        <v>6358</v>
      </c>
      <c r="O144" s="946"/>
      <c r="P144" s="952"/>
      <c r="Q144" s="945"/>
    </row>
    <row r="145" spans="1:17" ht="15.75" thickBot="1">
      <c r="A145" s="144"/>
      <c r="B145" s="134"/>
      <c r="C145" s="4" t="s">
        <v>16458</v>
      </c>
      <c r="D145" s="137">
        <v>0</v>
      </c>
      <c r="E145" s="137">
        <v>0</v>
      </c>
      <c r="F145" s="137">
        <v>0</v>
      </c>
      <c r="G145" s="137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2524</v>
      </c>
      <c r="N145" s="134" t="s">
        <v>6364</v>
      </c>
      <c r="O145" s="946"/>
      <c r="P145" s="952"/>
      <c r="Q145" s="945"/>
    </row>
    <row r="146" spans="1:17" ht="15.75" thickBot="1">
      <c r="A146" s="144"/>
      <c r="B146" s="134"/>
      <c r="C146" s="4" t="s">
        <v>16458</v>
      </c>
      <c r="D146" s="902">
        <f>D144+D145</f>
        <v>0</v>
      </c>
      <c r="E146" s="902">
        <f t="shared" ref="E146:L146" si="98">E144+E145</f>
        <v>0</v>
      </c>
      <c r="F146" s="902">
        <f t="shared" si="98"/>
        <v>0</v>
      </c>
      <c r="G146" s="902">
        <f t="shared" si="98"/>
        <v>0</v>
      </c>
      <c r="H146" s="902">
        <f t="shared" si="98"/>
        <v>0</v>
      </c>
      <c r="I146" s="902">
        <f t="shared" si="98"/>
        <v>0</v>
      </c>
      <c r="J146" s="902">
        <f t="shared" si="98"/>
        <v>0</v>
      </c>
      <c r="K146" s="902">
        <f t="shared" si="98"/>
        <v>0</v>
      </c>
      <c r="L146" s="902">
        <f t="shared" si="98"/>
        <v>3164</v>
      </c>
      <c r="N146" s="134"/>
      <c r="O146" s="946"/>
      <c r="P146" s="952"/>
      <c r="Q146" s="945"/>
    </row>
    <row r="147" spans="1:17">
      <c r="A147" s="145">
        <v>33</v>
      </c>
      <c r="B147" s="134" t="s">
        <v>16468</v>
      </c>
      <c r="C147" s="4" t="s">
        <v>16459</v>
      </c>
      <c r="D147" s="137">
        <v>0</v>
      </c>
      <c r="E147" s="137">
        <v>0</v>
      </c>
      <c r="F147" s="137">
        <v>0</v>
      </c>
      <c r="G147" s="137">
        <v>0</v>
      </c>
      <c r="H147" s="31">
        <v>0</v>
      </c>
      <c r="I147" s="31">
        <v>0</v>
      </c>
      <c r="J147" s="31">
        <v>0</v>
      </c>
      <c r="K147" s="31">
        <v>0</v>
      </c>
      <c r="L147" s="30">
        <v>2946</v>
      </c>
      <c r="N147" s="134" t="s">
        <v>6365</v>
      </c>
      <c r="O147" s="946"/>
      <c r="P147" s="952"/>
      <c r="Q147" s="945"/>
    </row>
    <row r="148" spans="1:17">
      <c r="A148" s="145">
        <v>34</v>
      </c>
      <c r="B148" s="134" t="s">
        <v>8818</v>
      </c>
      <c r="C148" s="4" t="s">
        <v>16460</v>
      </c>
      <c r="D148" s="137">
        <v>0</v>
      </c>
      <c r="E148" s="137">
        <v>0</v>
      </c>
      <c r="F148" s="137">
        <v>0</v>
      </c>
      <c r="G148" s="137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3074</v>
      </c>
      <c r="N148" s="134" t="s">
        <v>6365</v>
      </c>
      <c r="O148" s="946"/>
      <c r="P148" s="952"/>
      <c r="Q148" s="945"/>
    </row>
    <row r="149" spans="1:17">
      <c r="A149" s="145">
        <v>35</v>
      </c>
      <c r="B149" s="134" t="s">
        <v>8819</v>
      </c>
      <c r="C149" s="4" t="s">
        <v>16461</v>
      </c>
      <c r="D149" s="137">
        <v>0</v>
      </c>
      <c r="E149" s="137">
        <v>0</v>
      </c>
      <c r="F149" s="137">
        <v>0</v>
      </c>
      <c r="G149" s="137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3051</v>
      </c>
      <c r="N149" s="134" t="s">
        <v>6365</v>
      </c>
      <c r="O149" s="946"/>
      <c r="P149" s="952"/>
      <c r="Q149" s="945"/>
    </row>
    <row r="150" spans="1:17">
      <c r="A150" s="145">
        <v>36</v>
      </c>
      <c r="B150" s="134" t="s">
        <v>8820</v>
      </c>
      <c r="C150" s="4" t="s">
        <v>16462</v>
      </c>
      <c r="D150" s="137">
        <v>0</v>
      </c>
      <c r="E150" s="137">
        <v>0</v>
      </c>
      <c r="F150" s="137">
        <v>0</v>
      </c>
      <c r="G150" s="137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2891</v>
      </c>
      <c r="N150" s="134" t="s">
        <v>6365</v>
      </c>
      <c r="O150" s="946"/>
      <c r="P150" s="952"/>
      <c r="Q150" s="945"/>
    </row>
    <row r="151" spans="1:17">
      <c r="A151" s="145">
        <v>37</v>
      </c>
      <c r="B151" s="134" t="s">
        <v>16467</v>
      </c>
      <c r="C151" s="4" t="s">
        <v>16463</v>
      </c>
      <c r="D151" s="137">
        <v>0</v>
      </c>
      <c r="E151" s="137">
        <v>0</v>
      </c>
      <c r="F151" s="137">
        <v>0</v>
      </c>
      <c r="G151" s="137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2980</v>
      </c>
      <c r="N151" s="134" t="s">
        <v>6365</v>
      </c>
      <c r="O151" s="946"/>
      <c r="P151" s="952"/>
      <c r="Q151" s="945"/>
    </row>
    <row r="152" spans="1:17">
      <c r="A152" s="145">
        <v>38</v>
      </c>
      <c r="B152" s="134" t="s">
        <v>8821</v>
      </c>
      <c r="C152" s="4" t="s">
        <v>16464</v>
      </c>
      <c r="D152" s="137">
        <v>0</v>
      </c>
      <c r="E152" s="137">
        <v>0</v>
      </c>
      <c r="F152" s="137">
        <v>0</v>
      </c>
      <c r="G152" s="137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2985</v>
      </c>
      <c r="N152" s="134" t="s">
        <v>6364</v>
      </c>
      <c r="O152" s="946"/>
      <c r="P152" s="952"/>
      <c r="Q152" s="945"/>
    </row>
    <row r="153" spans="1:17">
      <c r="A153" s="145">
        <v>39</v>
      </c>
      <c r="B153" s="134" t="s">
        <v>8822</v>
      </c>
      <c r="C153" s="4" t="s">
        <v>16465</v>
      </c>
      <c r="D153" s="137">
        <v>0</v>
      </c>
      <c r="E153" s="137">
        <v>0</v>
      </c>
      <c r="F153" s="137">
        <v>0</v>
      </c>
      <c r="G153" s="137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762</v>
      </c>
      <c r="N153" s="134" t="s">
        <v>6364</v>
      </c>
      <c r="O153" s="71"/>
      <c r="Q153" s="4"/>
    </row>
    <row r="154" spans="1:17" ht="15.75" thickBot="1">
      <c r="A154" s="145"/>
      <c r="B154" s="134"/>
      <c r="C154" s="4" t="s">
        <v>16465</v>
      </c>
      <c r="D154" s="137">
        <v>0</v>
      </c>
      <c r="E154" s="137">
        <v>0</v>
      </c>
      <c r="F154" s="137">
        <v>0</v>
      </c>
      <c r="G154" s="137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2596</v>
      </c>
      <c r="N154" s="134" t="s">
        <v>6365</v>
      </c>
      <c r="O154" s="71"/>
      <c r="Q154" s="4"/>
    </row>
    <row r="155" spans="1:17" ht="15.75" thickBot="1">
      <c r="A155" s="145"/>
      <c r="B155" s="134"/>
      <c r="C155" s="4" t="s">
        <v>16465</v>
      </c>
      <c r="D155" s="902">
        <f>D153+D154</f>
        <v>0</v>
      </c>
      <c r="E155" s="902">
        <f t="shared" ref="E155:L155" si="99">E153+E154</f>
        <v>0</v>
      </c>
      <c r="F155" s="902">
        <f t="shared" si="99"/>
        <v>0</v>
      </c>
      <c r="G155" s="902">
        <f t="shared" si="99"/>
        <v>0</v>
      </c>
      <c r="H155" s="902">
        <f t="shared" si="99"/>
        <v>0</v>
      </c>
      <c r="I155" s="902">
        <f t="shared" si="99"/>
        <v>0</v>
      </c>
      <c r="J155" s="902">
        <f t="shared" si="99"/>
        <v>0</v>
      </c>
      <c r="K155" s="902">
        <f t="shared" si="99"/>
        <v>0</v>
      </c>
      <c r="L155" s="902">
        <f t="shared" si="99"/>
        <v>3358</v>
      </c>
      <c r="N155" s="134"/>
      <c r="O155" s="71"/>
      <c r="Q155" s="4"/>
    </row>
    <row r="156" spans="1:17">
      <c r="A156" s="145">
        <v>40</v>
      </c>
      <c r="B156" s="134" t="s">
        <v>8823</v>
      </c>
      <c r="C156" s="4" t="s">
        <v>16466</v>
      </c>
      <c r="D156" s="137">
        <v>0</v>
      </c>
      <c r="E156" s="137">
        <v>0</v>
      </c>
      <c r="F156" s="137">
        <v>0</v>
      </c>
      <c r="G156" s="137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3226</v>
      </c>
      <c r="N156" s="134" t="s">
        <v>6365</v>
      </c>
      <c r="O156" s="71"/>
      <c r="Q156" s="4"/>
    </row>
    <row r="157" spans="1:17">
      <c r="D157" s="138"/>
      <c r="E157" s="138"/>
      <c r="F157" s="138"/>
      <c r="G157" s="138"/>
      <c r="H157" s="138"/>
      <c r="I157" s="138"/>
      <c r="J157" s="138"/>
      <c r="K157" s="138"/>
      <c r="L157" s="138"/>
    </row>
    <row r="158" spans="1:17">
      <c r="A158" s="134" t="s">
        <v>6358</v>
      </c>
      <c r="D158" s="137">
        <f t="shared" ref="D158:J158" si="100">D109+D110+D114+SUM(D117:D140)+D144</f>
        <v>74560</v>
      </c>
      <c r="E158" s="137">
        <f t="shared" si="100"/>
        <v>75044</v>
      </c>
      <c r="F158" s="137">
        <f t="shared" si="100"/>
        <v>75020</v>
      </c>
      <c r="G158" s="137">
        <f t="shared" si="100"/>
        <v>76047</v>
      </c>
      <c r="H158" s="137">
        <f t="shared" si="100"/>
        <v>75563</v>
      </c>
      <c r="I158" s="137">
        <f t="shared" si="100"/>
        <v>75542</v>
      </c>
      <c r="J158" s="137">
        <f t="shared" si="100"/>
        <v>74319</v>
      </c>
      <c r="K158" s="137">
        <f>K109+K110+K114+SUM(K117:K140)+K144</f>
        <v>76417</v>
      </c>
      <c r="L158" s="137">
        <f>L109+L110+L114+SUM(L117:L140)+L144</f>
        <v>76053</v>
      </c>
    </row>
    <row r="159" spans="1:17">
      <c r="A159" s="134" t="s">
        <v>5282</v>
      </c>
      <c r="D159" s="137">
        <f t="shared" ref="D159:J159" si="101">D111+D141+D145+D152+D153</f>
        <v>9544</v>
      </c>
      <c r="E159" s="137">
        <f t="shared" si="101"/>
        <v>9653</v>
      </c>
      <c r="F159" s="137">
        <f t="shared" si="101"/>
        <v>9663</v>
      </c>
      <c r="G159" s="137">
        <f t="shared" si="101"/>
        <v>9737</v>
      </c>
      <c r="H159" s="137">
        <f t="shared" si="101"/>
        <v>9681</v>
      </c>
      <c r="I159" s="137">
        <f t="shared" si="101"/>
        <v>9678</v>
      </c>
      <c r="J159" s="137">
        <f t="shared" si="101"/>
        <v>9534</v>
      </c>
      <c r="K159" s="137">
        <f>K111+K141+K145+K152+K153</f>
        <v>9753</v>
      </c>
      <c r="L159" s="137">
        <f>L111+L141+L145+L152+L153</f>
        <v>9781</v>
      </c>
    </row>
    <row r="160" spans="1:17">
      <c r="A160" s="134" t="s">
        <v>6293</v>
      </c>
      <c r="D160" s="137">
        <f t="shared" ref="D160:J160" si="102">D108+D112+D115+D142+D143+SUM(D147:D151)+D154+D156</f>
        <v>32278</v>
      </c>
      <c r="E160" s="137">
        <f t="shared" si="102"/>
        <v>32546</v>
      </c>
      <c r="F160" s="137">
        <f t="shared" si="102"/>
        <v>32753</v>
      </c>
      <c r="G160" s="137">
        <f t="shared" si="102"/>
        <v>33105</v>
      </c>
      <c r="H160" s="137">
        <f t="shared" si="102"/>
        <v>32832</v>
      </c>
      <c r="I160" s="137">
        <f t="shared" si="102"/>
        <v>32763</v>
      </c>
      <c r="J160" s="137">
        <f t="shared" si="102"/>
        <v>32143</v>
      </c>
      <c r="K160" s="137">
        <f>K108+K112+K115+K142+K143+SUM(K147:K151)+K154+K156</f>
        <v>32923</v>
      </c>
      <c r="L160" s="137">
        <f>L108+L112+L115+L142+L143+SUM(L147:L151)+L154+L156</f>
        <v>33011</v>
      </c>
    </row>
    <row r="162" spans="1:17">
      <c r="A162" s="134" t="s">
        <v>16411</v>
      </c>
    </row>
    <row r="163" spans="1:17">
      <c r="A163" s="134"/>
    </row>
    <row r="164" spans="1:17">
      <c r="A164" s="134"/>
    </row>
    <row r="165" spans="1:17">
      <c r="E165" s="42" t="s">
        <v>2303</v>
      </c>
      <c r="F165" s="42"/>
      <c r="G165" s="42"/>
      <c r="H165" s="42"/>
      <c r="I165" s="42"/>
      <c r="J165" s="42"/>
      <c r="K165" s="42"/>
      <c r="L165" s="42"/>
      <c r="M165" s="109"/>
      <c r="N165" s="109" t="s">
        <v>13319</v>
      </c>
    </row>
    <row r="166" spans="1:17">
      <c r="D166" s="110">
        <v>2010</v>
      </c>
      <c r="E166" s="110">
        <v>2011</v>
      </c>
      <c r="F166" s="110">
        <v>2012</v>
      </c>
      <c r="G166" s="110">
        <v>2013</v>
      </c>
      <c r="H166" s="110">
        <v>2014</v>
      </c>
      <c r="I166" s="110">
        <v>2015</v>
      </c>
      <c r="J166" s="110">
        <v>2016</v>
      </c>
      <c r="K166" s="110">
        <v>2017</v>
      </c>
      <c r="L166" s="110">
        <v>2018</v>
      </c>
      <c r="M166" s="109"/>
      <c r="N166" s="112" t="s">
        <v>2304</v>
      </c>
    </row>
    <row r="167" spans="1:17">
      <c r="A167" s="134" t="s">
        <v>2939</v>
      </c>
      <c r="D167" s="137">
        <f t="shared" ref="D167:I167" si="103">SUM(D168:D191)</f>
        <v>37245</v>
      </c>
      <c r="E167" s="137">
        <f t="shared" si="103"/>
        <v>34633</v>
      </c>
      <c r="F167" s="137">
        <f t="shared" si="103"/>
        <v>34841</v>
      </c>
      <c r="G167" s="137">
        <f t="shared" si="103"/>
        <v>35623</v>
      </c>
      <c r="H167" s="137">
        <f t="shared" si="103"/>
        <v>35658</v>
      </c>
      <c r="I167" s="137">
        <f t="shared" si="103"/>
        <v>34720</v>
      </c>
      <c r="J167" s="137">
        <f t="shared" ref="J167:K167" si="104">SUM(J168:J191)</f>
        <v>34366</v>
      </c>
      <c r="K167" s="137">
        <f t="shared" si="104"/>
        <v>35855</v>
      </c>
      <c r="L167" s="137">
        <f t="shared" ref="L167" si="105">SUM(L168:L191)</f>
        <v>36330</v>
      </c>
    </row>
    <row r="168" spans="1:17">
      <c r="A168" s="134" t="s">
        <v>6957</v>
      </c>
      <c r="B168" s="134" t="s">
        <v>2940</v>
      </c>
      <c r="C168" s="4" t="s">
        <v>10260</v>
      </c>
      <c r="D168" s="137">
        <v>1132</v>
      </c>
      <c r="E168" s="137">
        <v>1093</v>
      </c>
      <c r="F168" s="137">
        <v>1098</v>
      </c>
      <c r="G168" s="30">
        <v>1066</v>
      </c>
      <c r="H168" s="30">
        <v>1061</v>
      </c>
      <c r="I168" s="30">
        <v>1061</v>
      </c>
      <c r="J168" s="30">
        <v>1054</v>
      </c>
      <c r="K168" s="30">
        <v>1079</v>
      </c>
      <c r="L168" s="30">
        <v>1115</v>
      </c>
      <c r="N168" s="134" t="s">
        <v>6360</v>
      </c>
      <c r="O168" s="4"/>
      <c r="Q168" s="4"/>
    </row>
    <row r="169" spans="1:17">
      <c r="A169" s="134" t="s">
        <v>6959</v>
      </c>
      <c r="B169" s="134" t="s">
        <v>5807</v>
      </c>
      <c r="C169" s="4" t="s">
        <v>10261</v>
      </c>
      <c r="D169" s="137">
        <v>1079</v>
      </c>
      <c r="E169" s="137">
        <v>1022</v>
      </c>
      <c r="F169" s="137">
        <v>976</v>
      </c>
      <c r="G169" s="30">
        <v>1008</v>
      </c>
      <c r="H169" s="30">
        <v>990</v>
      </c>
      <c r="I169" s="30">
        <v>990</v>
      </c>
      <c r="J169" s="30">
        <v>983</v>
      </c>
      <c r="K169" s="30">
        <v>1015</v>
      </c>
      <c r="L169" s="30">
        <v>1014</v>
      </c>
      <c r="N169" s="134" t="s">
        <v>6360</v>
      </c>
      <c r="O169" s="4"/>
      <c r="Q169" s="4"/>
    </row>
    <row r="170" spans="1:17">
      <c r="A170" s="134" t="s">
        <v>6961</v>
      </c>
      <c r="B170" s="134" t="s">
        <v>2941</v>
      </c>
      <c r="C170" s="4" t="s">
        <v>10262</v>
      </c>
      <c r="D170" s="137">
        <v>1136</v>
      </c>
      <c r="E170" s="137">
        <v>1067</v>
      </c>
      <c r="F170" s="137">
        <v>1026</v>
      </c>
      <c r="G170" s="30">
        <v>1048</v>
      </c>
      <c r="H170" s="30">
        <v>1067</v>
      </c>
      <c r="I170" s="30">
        <v>1067</v>
      </c>
      <c r="J170" s="30">
        <v>1059</v>
      </c>
      <c r="K170" s="30">
        <v>1086</v>
      </c>
      <c r="L170" s="30">
        <v>1098</v>
      </c>
      <c r="N170" s="134" t="s">
        <v>6360</v>
      </c>
      <c r="O170" s="4"/>
      <c r="Q170" s="4"/>
    </row>
    <row r="171" spans="1:17">
      <c r="A171" s="134" t="s">
        <v>6963</v>
      </c>
      <c r="B171" s="134" t="s">
        <v>2942</v>
      </c>
      <c r="C171" s="4" t="s">
        <v>10263</v>
      </c>
      <c r="D171" s="137">
        <v>2419</v>
      </c>
      <c r="E171" s="137">
        <v>2347</v>
      </c>
      <c r="F171" s="137">
        <v>2328</v>
      </c>
      <c r="G171" s="30">
        <v>2364</v>
      </c>
      <c r="H171" s="30">
        <v>2398</v>
      </c>
      <c r="I171" s="30">
        <v>2359</v>
      </c>
      <c r="J171" s="30">
        <v>2312</v>
      </c>
      <c r="K171" s="30">
        <v>2343</v>
      </c>
      <c r="L171" s="30">
        <v>2356</v>
      </c>
      <c r="N171" s="134" t="s">
        <v>6360</v>
      </c>
      <c r="O171" s="4"/>
      <c r="Q171" s="4"/>
    </row>
    <row r="172" spans="1:17">
      <c r="A172" s="134" t="s">
        <v>6965</v>
      </c>
      <c r="B172" s="134" t="s">
        <v>2943</v>
      </c>
      <c r="C172" s="4" t="s">
        <v>10264</v>
      </c>
      <c r="D172" s="137">
        <v>1962</v>
      </c>
      <c r="E172" s="137">
        <v>1911</v>
      </c>
      <c r="F172" s="137">
        <v>1904</v>
      </c>
      <c r="G172" s="30">
        <v>1946</v>
      </c>
      <c r="H172" s="30">
        <v>1959</v>
      </c>
      <c r="I172" s="30">
        <v>1833</v>
      </c>
      <c r="J172" s="30">
        <v>1790</v>
      </c>
      <c r="K172" s="30">
        <v>1907</v>
      </c>
      <c r="L172" s="30">
        <v>1902</v>
      </c>
      <c r="N172" s="134" t="s">
        <v>6360</v>
      </c>
      <c r="O172" s="4"/>
      <c r="Q172" s="4"/>
    </row>
    <row r="173" spans="1:17">
      <c r="A173" s="134" t="s">
        <v>6997</v>
      </c>
      <c r="B173" s="134" t="s">
        <v>2944</v>
      </c>
      <c r="C173" s="4" t="s">
        <v>10265</v>
      </c>
      <c r="D173" s="137">
        <v>2994</v>
      </c>
      <c r="E173" s="137">
        <v>2659</v>
      </c>
      <c r="F173" s="137">
        <v>2632</v>
      </c>
      <c r="G173" s="30">
        <v>2775</v>
      </c>
      <c r="H173" s="30">
        <v>2797</v>
      </c>
      <c r="I173" s="30">
        <v>2787</v>
      </c>
      <c r="J173" s="30">
        <v>2814</v>
      </c>
      <c r="K173" s="30">
        <v>3098</v>
      </c>
      <c r="L173" s="30">
        <v>3344</v>
      </c>
      <c r="N173" s="134" t="s">
        <v>6360</v>
      </c>
      <c r="O173" s="4"/>
      <c r="Q173" s="4"/>
    </row>
    <row r="174" spans="1:17">
      <c r="A174" s="134" t="s">
        <v>6999</v>
      </c>
      <c r="B174" s="134" t="s">
        <v>2433</v>
      </c>
      <c r="C174" s="4" t="s">
        <v>10266</v>
      </c>
      <c r="D174" s="137">
        <v>1051</v>
      </c>
      <c r="E174" s="137">
        <v>1002</v>
      </c>
      <c r="F174" s="137">
        <v>1016</v>
      </c>
      <c r="G174" s="30">
        <v>1049</v>
      </c>
      <c r="H174" s="30">
        <v>1047</v>
      </c>
      <c r="I174" s="30">
        <v>1042</v>
      </c>
      <c r="J174" s="30">
        <v>1012</v>
      </c>
      <c r="K174" s="30">
        <v>1040</v>
      </c>
      <c r="L174" s="30">
        <v>1040</v>
      </c>
      <c r="N174" s="134" t="s">
        <v>6360</v>
      </c>
      <c r="O174" s="4"/>
      <c r="Q174" s="4"/>
    </row>
    <row r="175" spans="1:17">
      <c r="A175" s="134" t="s">
        <v>7001</v>
      </c>
      <c r="B175" s="134" t="s">
        <v>2945</v>
      </c>
      <c r="C175" s="4" t="s">
        <v>10267</v>
      </c>
      <c r="D175" s="137">
        <v>957</v>
      </c>
      <c r="E175" s="137">
        <v>947</v>
      </c>
      <c r="F175" s="137">
        <v>958</v>
      </c>
      <c r="G175" s="30">
        <v>966</v>
      </c>
      <c r="H175" s="30">
        <v>968</v>
      </c>
      <c r="I175" s="30">
        <v>951</v>
      </c>
      <c r="J175" s="30">
        <v>960</v>
      </c>
      <c r="K175" s="30">
        <v>975</v>
      </c>
      <c r="L175" s="30">
        <v>978</v>
      </c>
      <c r="N175" s="134" t="s">
        <v>6360</v>
      </c>
      <c r="O175" s="4"/>
      <c r="Q175" s="4"/>
    </row>
    <row r="176" spans="1:17">
      <c r="A176" s="134" t="s">
        <v>7003</v>
      </c>
      <c r="B176" s="134" t="s">
        <v>2946</v>
      </c>
      <c r="C176" s="4" t="s">
        <v>10268</v>
      </c>
      <c r="D176" s="137">
        <v>1085</v>
      </c>
      <c r="E176" s="137">
        <v>1066</v>
      </c>
      <c r="F176" s="137">
        <v>1072</v>
      </c>
      <c r="G176" s="30">
        <v>1057</v>
      </c>
      <c r="H176" s="30">
        <v>1047</v>
      </c>
      <c r="I176" s="30">
        <v>1042</v>
      </c>
      <c r="J176" s="30">
        <v>1017</v>
      </c>
      <c r="K176" s="30">
        <v>1027</v>
      </c>
      <c r="L176" s="30">
        <v>1029</v>
      </c>
      <c r="N176" s="134" t="s">
        <v>6360</v>
      </c>
      <c r="O176" s="4"/>
      <c r="Q176" s="4"/>
    </row>
    <row r="177" spans="1:17">
      <c r="A177" s="134" t="s">
        <v>7005</v>
      </c>
      <c r="B177" s="134" t="s">
        <v>2947</v>
      </c>
      <c r="C177" s="4" t="s">
        <v>10269</v>
      </c>
      <c r="D177" s="137">
        <v>2887</v>
      </c>
      <c r="E177" s="137">
        <v>1949</v>
      </c>
      <c r="F177" s="137">
        <v>2081</v>
      </c>
      <c r="G177" s="30">
        <v>2055</v>
      </c>
      <c r="H177" s="30">
        <v>1983</v>
      </c>
      <c r="I177" s="30">
        <v>1888</v>
      </c>
      <c r="J177" s="30">
        <v>1991</v>
      </c>
      <c r="K177" s="30">
        <v>2338</v>
      </c>
      <c r="L177" s="30">
        <v>2306</v>
      </c>
      <c r="N177" s="134" t="s">
        <v>6360</v>
      </c>
      <c r="O177" s="4"/>
      <c r="Q177" s="4"/>
    </row>
    <row r="178" spans="1:17">
      <c r="A178" s="134" t="s">
        <v>7007</v>
      </c>
      <c r="B178" s="134" t="s">
        <v>1287</v>
      </c>
      <c r="C178" s="4" t="s">
        <v>10270</v>
      </c>
      <c r="D178" s="137">
        <v>1294</v>
      </c>
      <c r="E178" s="137">
        <v>1276</v>
      </c>
      <c r="F178" s="137">
        <v>1301</v>
      </c>
      <c r="G178" s="30">
        <v>1346</v>
      </c>
      <c r="H178" s="30">
        <v>1311</v>
      </c>
      <c r="I178" s="30">
        <v>1308</v>
      </c>
      <c r="J178" s="30">
        <v>1310</v>
      </c>
      <c r="K178" s="30">
        <v>1361</v>
      </c>
      <c r="L178" s="30">
        <v>1354</v>
      </c>
      <c r="N178" s="134" t="s">
        <v>6360</v>
      </c>
      <c r="O178" s="4"/>
      <c r="Q178" s="4"/>
    </row>
    <row r="179" spans="1:17">
      <c r="A179" s="134" t="s">
        <v>7009</v>
      </c>
      <c r="B179" s="134" t="s">
        <v>1288</v>
      </c>
      <c r="C179" s="4" t="s">
        <v>10271</v>
      </c>
      <c r="D179" s="137">
        <v>2185</v>
      </c>
      <c r="E179" s="137">
        <v>2099</v>
      </c>
      <c r="F179" s="137">
        <v>2137</v>
      </c>
      <c r="G179" s="30">
        <v>2153</v>
      </c>
      <c r="H179" s="30">
        <v>2147</v>
      </c>
      <c r="I179" s="30">
        <v>2092</v>
      </c>
      <c r="J179" s="30">
        <v>2081</v>
      </c>
      <c r="K179" s="30">
        <v>2159</v>
      </c>
      <c r="L179" s="30">
        <v>2283</v>
      </c>
      <c r="N179" s="134" t="s">
        <v>6360</v>
      </c>
      <c r="O179" s="4"/>
      <c r="Q179" s="4"/>
    </row>
    <row r="180" spans="1:17">
      <c r="A180" s="134" t="s">
        <v>7011</v>
      </c>
      <c r="B180" s="134" t="s">
        <v>1289</v>
      </c>
      <c r="C180" s="4" t="s">
        <v>10272</v>
      </c>
      <c r="D180" s="137">
        <v>1109</v>
      </c>
      <c r="E180" s="137">
        <v>1085</v>
      </c>
      <c r="F180" s="137">
        <v>1116</v>
      </c>
      <c r="G180" s="30">
        <v>1139</v>
      </c>
      <c r="H180" s="30">
        <v>1153</v>
      </c>
      <c r="I180" s="30">
        <v>1161</v>
      </c>
      <c r="J180" s="30">
        <v>1126</v>
      </c>
      <c r="K180" s="30">
        <v>1152</v>
      </c>
      <c r="L180" s="30">
        <v>1166</v>
      </c>
      <c r="N180" s="134" t="s">
        <v>6360</v>
      </c>
      <c r="O180" s="4"/>
      <c r="Q180" s="4"/>
    </row>
    <row r="181" spans="1:17">
      <c r="A181" s="134" t="s">
        <v>7013</v>
      </c>
      <c r="B181" s="134" t="s">
        <v>1290</v>
      </c>
      <c r="C181" s="4" t="s">
        <v>10273</v>
      </c>
      <c r="D181" s="137">
        <v>1114</v>
      </c>
      <c r="E181" s="137">
        <v>1078</v>
      </c>
      <c r="F181" s="137">
        <v>1092</v>
      </c>
      <c r="G181" s="30">
        <v>1116</v>
      </c>
      <c r="H181" s="30">
        <v>1126</v>
      </c>
      <c r="I181" s="30">
        <v>1090</v>
      </c>
      <c r="J181" s="30">
        <v>1087</v>
      </c>
      <c r="K181" s="30">
        <v>1119</v>
      </c>
      <c r="L181" s="30">
        <v>1113</v>
      </c>
      <c r="N181" s="134" t="s">
        <v>6360</v>
      </c>
      <c r="O181" s="4"/>
      <c r="Q181" s="4"/>
    </row>
    <row r="182" spans="1:17">
      <c r="A182" s="134" t="s">
        <v>7015</v>
      </c>
      <c r="B182" s="134" t="s">
        <v>1291</v>
      </c>
      <c r="C182" s="4" t="s">
        <v>10274</v>
      </c>
      <c r="D182" s="137">
        <v>1066</v>
      </c>
      <c r="E182" s="137">
        <v>1024</v>
      </c>
      <c r="F182" s="137">
        <v>1027</v>
      </c>
      <c r="G182" s="30">
        <v>1040</v>
      </c>
      <c r="H182" s="30">
        <v>1056</v>
      </c>
      <c r="I182" s="30">
        <v>1008</v>
      </c>
      <c r="J182" s="30">
        <v>970</v>
      </c>
      <c r="K182" s="30">
        <v>975</v>
      </c>
      <c r="L182" s="30">
        <v>980</v>
      </c>
      <c r="N182" s="134" t="s">
        <v>6360</v>
      </c>
      <c r="O182" s="4"/>
      <c r="Q182" s="4"/>
    </row>
    <row r="183" spans="1:17">
      <c r="A183" s="134" t="s">
        <v>7017</v>
      </c>
      <c r="B183" s="134" t="s">
        <v>1292</v>
      </c>
      <c r="C183" s="4" t="s">
        <v>10275</v>
      </c>
      <c r="D183" s="137">
        <v>940</v>
      </c>
      <c r="E183" s="137">
        <v>903</v>
      </c>
      <c r="F183" s="137">
        <v>943</v>
      </c>
      <c r="G183" s="31">
        <v>957</v>
      </c>
      <c r="H183" s="31">
        <v>932</v>
      </c>
      <c r="I183" s="31">
        <v>921</v>
      </c>
      <c r="J183" s="31">
        <v>934</v>
      </c>
      <c r="K183" s="31">
        <v>905</v>
      </c>
      <c r="L183" s="31">
        <v>935</v>
      </c>
      <c r="N183" s="134" t="s">
        <v>6360</v>
      </c>
      <c r="O183" s="4"/>
      <c r="Q183" s="4"/>
    </row>
    <row r="184" spans="1:17">
      <c r="A184" s="134" t="s">
        <v>7019</v>
      </c>
      <c r="B184" s="134" t="s">
        <v>1293</v>
      </c>
      <c r="C184" s="4" t="s">
        <v>10276</v>
      </c>
      <c r="D184" s="137">
        <v>1036</v>
      </c>
      <c r="E184" s="137">
        <v>1008</v>
      </c>
      <c r="F184" s="137">
        <v>1037</v>
      </c>
      <c r="G184" s="31">
        <v>1093</v>
      </c>
      <c r="H184" s="31">
        <v>1085</v>
      </c>
      <c r="I184" s="31">
        <v>1053</v>
      </c>
      <c r="J184" s="31">
        <v>1048</v>
      </c>
      <c r="K184" s="31">
        <v>1062</v>
      </c>
      <c r="L184" s="31">
        <v>1102</v>
      </c>
      <c r="N184" s="134" t="s">
        <v>6360</v>
      </c>
      <c r="O184" s="4"/>
      <c r="Q184" s="4"/>
    </row>
    <row r="185" spans="1:17">
      <c r="A185" s="134" t="s">
        <v>7021</v>
      </c>
      <c r="B185" s="134" t="s">
        <v>1294</v>
      </c>
      <c r="C185" s="4" t="s">
        <v>10277</v>
      </c>
      <c r="D185" s="137">
        <v>1010</v>
      </c>
      <c r="E185" s="137">
        <v>978</v>
      </c>
      <c r="F185" s="137">
        <v>999</v>
      </c>
      <c r="G185" s="31">
        <v>1003</v>
      </c>
      <c r="H185" s="31">
        <v>1001</v>
      </c>
      <c r="I185" s="31">
        <v>965</v>
      </c>
      <c r="J185" s="31">
        <v>942</v>
      </c>
      <c r="K185" s="31">
        <v>975</v>
      </c>
      <c r="L185" s="31">
        <v>985</v>
      </c>
      <c r="N185" s="134" t="s">
        <v>6360</v>
      </c>
      <c r="O185" s="4"/>
      <c r="Q185" s="4"/>
    </row>
    <row r="186" spans="1:17">
      <c r="A186" s="134" t="s">
        <v>7023</v>
      </c>
      <c r="B186" s="134" t="s">
        <v>1295</v>
      </c>
      <c r="C186" s="4" t="s">
        <v>10278</v>
      </c>
      <c r="D186" s="137">
        <v>1031</v>
      </c>
      <c r="E186" s="137">
        <v>1020</v>
      </c>
      <c r="F186" s="137">
        <v>1021</v>
      </c>
      <c r="G186" s="31">
        <v>1011</v>
      </c>
      <c r="H186" s="31">
        <v>991</v>
      </c>
      <c r="I186" s="31">
        <v>993</v>
      </c>
      <c r="J186" s="31">
        <v>956</v>
      </c>
      <c r="K186" s="31">
        <v>972</v>
      </c>
      <c r="L186" s="31">
        <v>962</v>
      </c>
      <c r="N186" s="134" t="s">
        <v>6360</v>
      </c>
      <c r="O186" s="4"/>
      <c r="Q186" s="4"/>
    </row>
    <row r="187" spans="1:17">
      <c r="A187" s="134" t="s">
        <v>7025</v>
      </c>
      <c r="B187" s="134" t="s">
        <v>2972</v>
      </c>
      <c r="C187" s="4" t="s">
        <v>10279</v>
      </c>
      <c r="D187" s="137">
        <v>2253</v>
      </c>
      <c r="E187" s="137">
        <v>2169</v>
      </c>
      <c r="F187" s="137">
        <v>2122</v>
      </c>
      <c r="G187" s="31">
        <v>2266</v>
      </c>
      <c r="H187" s="31">
        <v>2317</v>
      </c>
      <c r="I187" s="31">
        <v>2276</v>
      </c>
      <c r="J187" s="31">
        <v>2192</v>
      </c>
      <c r="K187" s="31">
        <v>2208</v>
      </c>
      <c r="L187" s="31">
        <v>2191</v>
      </c>
      <c r="N187" s="134" t="s">
        <v>6360</v>
      </c>
      <c r="O187" s="4"/>
      <c r="Q187" s="4"/>
    </row>
    <row r="188" spans="1:17">
      <c r="A188" s="144">
        <v>21</v>
      </c>
      <c r="B188" s="134" t="s">
        <v>2973</v>
      </c>
      <c r="C188" s="4" t="s">
        <v>10280</v>
      </c>
      <c r="D188" s="137">
        <v>2154</v>
      </c>
      <c r="E188" s="137">
        <v>2122</v>
      </c>
      <c r="F188" s="137">
        <v>2142</v>
      </c>
      <c r="G188" s="31">
        <v>2132</v>
      </c>
      <c r="H188" s="31">
        <v>2169</v>
      </c>
      <c r="I188" s="31">
        <v>2133</v>
      </c>
      <c r="J188" s="31">
        <v>2056</v>
      </c>
      <c r="K188" s="31">
        <v>2083</v>
      </c>
      <c r="L188" s="31">
        <v>2068</v>
      </c>
      <c r="N188" s="134" t="s">
        <v>6360</v>
      </c>
      <c r="O188" s="4"/>
      <c r="Q188" s="4"/>
    </row>
    <row r="189" spans="1:17">
      <c r="A189" s="134" t="s">
        <v>7572</v>
      </c>
      <c r="B189" s="134" t="s">
        <v>4684</v>
      </c>
      <c r="C189" s="4" t="s">
        <v>10281</v>
      </c>
      <c r="D189" s="137">
        <v>2200</v>
      </c>
      <c r="E189" s="137">
        <v>2081</v>
      </c>
      <c r="F189" s="137">
        <v>2075</v>
      </c>
      <c r="G189" s="31">
        <v>2174</v>
      </c>
      <c r="H189" s="31">
        <v>2204</v>
      </c>
      <c r="I189" s="31">
        <v>2177</v>
      </c>
      <c r="J189" s="31">
        <v>2128</v>
      </c>
      <c r="K189" s="31">
        <v>2186</v>
      </c>
      <c r="L189" s="31">
        <v>2225</v>
      </c>
      <c r="N189" s="134" t="s">
        <v>6360</v>
      </c>
      <c r="O189" s="4"/>
      <c r="Q189" s="4"/>
    </row>
    <row r="190" spans="1:17">
      <c r="A190" s="134" t="s">
        <v>7573</v>
      </c>
      <c r="B190" s="134" t="s">
        <v>4685</v>
      </c>
      <c r="C190" s="4" t="s">
        <v>10282</v>
      </c>
      <c r="D190" s="137">
        <v>2189</v>
      </c>
      <c r="E190" s="137">
        <v>1815</v>
      </c>
      <c r="F190" s="137">
        <v>1829</v>
      </c>
      <c r="G190" s="31">
        <v>1931</v>
      </c>
      <c r="H190" s="31">
        <v>1913</v>
      </c>
      <c r="I190" s="31">
        <v>1597</v>
      </c>
      <c r="J190" s="31">
        <v>1631</v>
      </c>
      <c r="K190" s="31">
        <v>1849</v>
      </c>
      <c r="L190" s="31">
        <v>1830</v>
      </c>
      <c r="N190" s="134" t="s">
        <v>6360</v>
      </c>
      <c r="O190" s="4"/>
      <c r="Q190" s="4"/>
    </row>
    <row r="191" spans="1:17">
      <c r="A191" s="134" t="s">
        <v>5798</v>
      </c>
      <c r="B191" s="134" t="s">
        <v>4686</v>
      </c>
      <c r="C191" s="4" t="s">
        <v>10283</v>
      </c>
      <c r="D191" s="137">
        <v>962</v>
      </c>
      <c r="E191" s="137">
        <v>912</v>
      </c>
      <c r="F191" s="137">
        <v>909</v>
      </c>
      <c r="G191" s="31">
        <v>928</v>
      </c>
      <c r="H191" s="31">
        <v>936</v>
      </c>
      <c r="I191" s="31">
        <v>926</v>
      </c>
      <c r="J191" s="31">
        <v>913</v>
      </c>
      <c r="K191" s="31">
        <v>941</v>
      </c>
      <c r="L191" s="31">
        <v>954</v>
      </c>
      <c r="N191" s="134" t="s">
        <v>6360</v>
      </c>
      <c r="O191" s="4"/>
      <c r="Q191" s="4"/>
    </row>
    <row r="192" spans="1:17">
      <c r="D192" s="138"/>
      <c r="E192" s="138"/>
      <c r="F192" s="138"/>
      <c r="G192" s="138"/>
      <c r="H192" s="138"/>
      <c r="I192" s="138"/>
      <c r="J192" s="138"/>
      <c r="K192" s="138"/>
      <c r="L192" s="138"/>
    </row>
    <row r="193" spans="1:17">
      <c r="A193" s="134" t="s">
        <v>5336</v>
      </c>
      <c r="D193" s="137">
        <f t="shared" ref="D193:I193" si="106">SUM(D168:D191)</f>
        <v>37245</v>
      </c>
      <c r="E193" s="137">
        <f t="shared" si="106"/>
        <v>34633</v>
      </c>
      <c r="F193" s="137">
        <f t="shared" si="106"/>
        <v>34841</v>
      </c>
      <c r="G193" s="137">
        <f t="shared" si="106"/>
        <v>35623</v>
      </c>
      <c r="H193" s="137">
        <f t="shared" si="106"/>
        <v>35658</v>
      </c>
      <c r="I193" s="137">
        <f t="shared" si="106"/>
        <v>34720</v>
      </c>
      <c r="J193" s="137">
        <f t="shared" ref="J193:K193" si="107">SUM(J168:J191)</f>
        <v>34366</v>
      </c>
      <c r="K193" s="137">
        <f t="shared" si="107"/>
        <v>35855</v>
      </c>
      <c r="L193" s="137">
        <f t="shared" ref="L193" si="108">SUM(L168:L191)</f>
        <v>36330</v>
      </c>
    </row>
    <row r="194" spans="1:17">
      <c r="A194" s="134"/>
      <c r="D194" s="137"/>
      <c r="E194" s="137"/>
      <c r="F194" s="137"/>
      <c r="G194" s="137"/>
      <c r="H194" s="137"/>
      <c r="I194" s="137"/>
      <c r="J194" s="137"/>
      <c r="K194" s="137"/>
      <c r="L194" s="137"/>
    </row>
    <row r="195" spans="1:17">
      <c r="A195" s="134" t="s">
        <v>4687</v>
      </c>
      <c r="D195" s="137"/>
      <c r="E195" s="137"/>
      <c r="F195" s="137"/>
      <c r="G195" s="137"/>
      <c r="H195" s="137"/>
      <c r="I195" s="137"/>
      <c r="J195" s="137"/>
      <c r="K195" s="137"/>
      <c r="L195" s="137"/>
    </row>
    <row r="196" spans="1:17">
      <c r="A196" s="134"/>
      <c r="B196" s="134"/>
      <c r="D196" s="142"/>
      <c r="E196" s="142"/>
      <c r="F196" s="142"/>
      <c r="G196" s="142"/>
      <c r="H196" s="142"/>
      <c r="I196" s="142"/>
      <c r="J196" s="142"/>
      <c r="K196" s="142"/>
      <c r="L196" s="142"/>
    </row>
    <row r="197" spans="1:17">
      <c r="A197" s="134"/>
      <c r="B197" s="134"/>
      <c r="D197" s="142"/>
      <c r="E197" s="142"/>
      <c r="F197" s="142"/>
      <c r="G197" s="142"/>
      <c r="H197" s="142"/>
      <c r="I197" s="142"/>
      <c r="J197" s="142"/>
      <c r="K197" s="142"/>
      <c r="L197" s="142"/>
    </row>
    <row r="198" spans="1:17">
      <c r="E198" s="42" t="s">
        <v>2303</v>
      </c>
      <c r="F198" s="42"/>
      <c r="G198" s="42"/>
      <c r="H198" s="42"/>
      <c r="I198" s="42"/>
      <c r="J198" s="42"/>
      <c r="K198" s="42"/>
      <c r="L198" s="42"/>
      <c r="M198" s="109"/>
      <c r="N198" s="109" t="s">
        <v>13319</v>
      </c>
    </row>
    <row r="199" spans="1:17">
      <c r="D199" s="110">
        <v>2010</v>
      </c>
      <c r="E199" s="110">
        <v>2011</v>
      </c>
      <c r="F199" s="110">
        <v>2012</v>
      </c>
      <c r="G199" s="110">
        <v>2013</v>
      </c>
      <c r="H199" s="110">
        <v>2014</v>
      </c>
      <c r="I199" s="110">
        <v>2015</v>
      </c>
      <c r="J199" s="110">
        <v>2016</v>
      </c>
      <c r="K199" s="110">
        <v>2017</v>
      </c>
      <c r="L199" s="110">
        <v>2018</v>
      </c>
      <c r="M199" s="109"/>
      <c r="N199" s="112" t="s">
        <v>2304</v>
      </c>
    </row>
    <row r="200" spans="1:17">
      <c r="A200" s="134" t="s">
        <v>6355</v>
      </c>
      <c r="D200" s="137">
        <f t="shared" ref="D200:I200" si="109">SUM(D201:D220)</f>
        <v>41032</v>
      </c>
      <c r="E200" s="137">
        <f t="shared" si="109"/>
        <v>41234</v>
      </c>
      <c r="F200" s="137">
        <f t="shared" si="109"/>
        <v>41480</v>
      </c>
      <c r="G200" s="137">
        <f t="shared" si="109"/>
        <v>42074</v>
      </c>
      <c r="H200" s="137">
        <f t="shared" si="109"/>
        <v>40530</v>
      </c>
      <c r="I200" s="137">
        <f t="shared" si="109"/>
        <v>40590</v>
      </c>
      <c r="J200" s="137">
        <f t="shared" ref="J200:K200" si="110">SUM(J201:J220)</f>
        <v>39668</v>
      </c>
      <c r="K200" s="137">
        <f t="shared" si="110"/>
        <v>41406</v>
      </c>
      <c r="L200" s="137">
        <f t="shared" ref="L200" si="111">SUM(L201:L220)</f>
        <v>41576</v>
      </c>
    </row>
    <row r="201" spans="1:17">
      <c r="A201" s="144">
        <v>1</v>
      </c>
      <c r="B201" s="134" t="s">
        <v>4688</v>
      </c>
      <c r="C201" s="4" t="s">
        <v>10284</v>
      </c>
      <c r="D201" s="137">
        <v>1510</v>
      </c>
      <c r="E201" s="137">
        <v>1549</v>
      </c>
      <c r="F201" s="137">
        <v>1540</v>
      </c>
      <c r="G201" s="48">
        <v>1571</v>
      </c>
      <c r="H201" s="48">
        <v>1510</v>
      </c>
      <c r="I201" s="48">
        <v>1517</v>
      </c>
      <c r="J201" s="48">
        <v>1479</v>
      </c>
      <c r="K201" s="48">
        <v>1543</v>
      </c>
      <c r="L201" s="48">
        <v>1560</v>
      </c>
      <c r="N201" s="134" t="s">
        <v>6366</v>
      </c>
      <c r="O201" s="4"/>
      <c r="Q201" s="4"/>
    </row>
    <row r="202" spans="1:17">
      <c r="A202" s="144">
        <v>2</v>
      </c>
      <c r="B202" s="134" t="s">
        <v>2963</v>
      </c>
      <c r="C202" s="4" t="s">
        <v>10285</v>
      </c>
      <c r="D202" s="137">
        <v>1372</v>
      </c>
      <c r="E202" s="137">
        <v>1428</v>
      </c>
      <c r="F202" s="137">
        <v>1407</v>
      </c>
      <c r="G202" s="48">
        <v>1443</v>
      </c>
      <c r="H202" s="48">
        <v>1319</v>
      </c>
      <c r="I202" s="48">
        <v>1281</v>
      </c>
      <c r="J202" s="48">
        <v>1236</v>
      </c>
      <c r="K202" s="48">
        <v>1313</v>
      </c>
      <c r="L202" s="48">
        <v>1310</v>
      </c>
      <c r="N202" s="134" t="s">
        <v>6366</v>
      </c>
      <c r="O202" s="4"/>
      <c r="Q202" s="4"/>
    </row>
    <row r="203" spans="1:17">
      <c r="A203" s="144">
        <v>3</v>
      </c>
      <c r="B203" s="134" t="s">
        <v>2964</v>
      </c>
      <c r="C203" s="4" t="s">
        <v>10286</v>
      </c>
      <c r="D203" s="137">
        <v>1271</v>
      </c>
      <c r="E203" s="137">
        <v>1265</v>
      </c>
      <c r="F203" s="137">
        <v>1269</v>
      </c>
      <c r="G203" s="48">
        <v>1268</v>
      </c>
      <c r="H203" s="48">
        <v>1267</v>
      </c>
      <c r="I203" s="48">
        <v>1283</v>
      </c>
      <c r="J203" s="48">
        <v>1253</v>
      </c>
      <c r="K203" s="48">
        <v>1302</v>
      </c>
      <c r="L203" s="48">
        <v>1293</v>
      </c>
      <c r="N203" s="134" t="s">
        <v>6366</v>
      </c>
      <c r="O203" s="4"/>
      <c r="Q203" s="4"/>
    </row>
    <row r="204" spans="1:17">
      <c r="A204" s="144">
        <v>4</v>
      </c>
      <c r="B204" s="134" t="s">
        <v>2965</v>
      </c>
      <c r="C204" s="4" t="s">
        <v>10287</v>
      </c>
      <c r="D204" s="137">
        <v>1179</v>
      </c>
      <c r="E204" s="137">
        <v>1172</v>
      </c>
      <c r="F204" s="137">
        <v>1163</v>
      </c>
      <c r="G204" s="48">
        <v>1167</v>
      </c>
      <c r="H204" s="48">
        <v>1097</v>
      </c>
      <c r="I204" s="48">
        <v>1096</v>
      </c>
      <c r="J204" s="48">
        <v>1062</v>
      </c>
      <c r="K204" s="48">
        <v>1089</v>
      </c>
      <c r="L204" s="48">
        <v>1104</v>
      </c>
      <c r="N204" s="134" t="s">
        <v>6366</v>
      </c>
      <c r="O204" s="4"/>
      <c r="Q204" s="4"/>
    </row>
    <row r="205" spans="1:17">
      <c r="A205" s="144">
        <v>5</v>
      </c>
      <c r="B205" s="134" t="s">
        <v>3568</v>
      </c>
      <c r="C205" s="4" t="s">
        <v>10288</v>
      </c>
      <c r="D205" s="137">
        <v>2743</v>
      </c>
      <c r="E205" s="137">
        <v>2764</v>
      </c>
      <c r="F205" s="137">
        <v>2768</v>
      </c>
      <c r="G205" s="48">
        <v>2756</v>
      </c>
      <c r="H205" s="48">
        <v>2673</v>
      </c>
      <c r="I205" s="48">
        <v>2685</v>
      </c>
      <c r="J205" s="48">
        <v>2630</v>
      </c>
      <c r="K205" s="48">
        <v>2713</v>
      </c>
      <c r="L205" s="48">
        <v>2721</v>
      </c>
      <c r="N205" s="134" t="s">
        <v>6366</v>
      </c>
      <c r="O205" s="4"/>
      <c r="Q205" s="4"/>
    </row>
    <row r="206" spans="1:17">
      <c r="A206" s="144">
        <v>6</v>
      </c>
      <c r="B206" s="134" t="s">
        <v>2966</v>
      </c>
      <c r="C206" s="4" t="s">
        <v>10289</v>
      </c>
      <c r="D206" s="137">
        <v>2525</v>
      </c>
      <c r="E206" s="137">
        <v>2538</v>
      </c>
      <c r="F206" s="137">
        <v>2541</v>
      </c>
      <c r="G206" s="48">
        <v>2585</v>
      </c>
      <c r="H206" s="48">
        <v>2485</v>
      </c>
      <c r="I206" s="48">
        <v>2477</v>
      </c>
      <c r="J206" s="48">
        <v>2369</v>
      </c>
      <c r="K206" s="48">
        <v>2534</v>
      </c>
      <c r="L206" s="48">
        <v>2531</v>
      </c>
      <c r="N206" s="134" t="s">
        <v>6366</v>
      </c>
      <c r="O206" s="4"/>
      <c r="Q206" s="4"/>
    </row>
    <row r="207" spans="1:17">
      <c r="A207" s="144">
        <v>7</v>
      </c>
      <c r="B207" s="134" t="s">
        <v>2967</v>
      </c>
      <c r="C207" s="4" t="s">
        <v>10290</v>
      </c>
      <c r="D207" s="137">
        <v>1417</v>
      </c>
      <c r="E207" s="137">
        <v>1420</v>
      </c>
      <c r="F207" s="137">
        <v>1435</v>
      </c>
      <c r="G207" s="48">
        <v>1444</v>
      </c>
      <c r="H207" s="48">
        <v>1384</v>
      </c>
      <c r="I207" s="48">
        <v>1398</v>
      </c>
      <c r="J207" s="48">
        <v>1384</v>
      </c>
      <c r="K207" s="48">
        <v>1416</v>
      </c>
      <c r="L207" s="48">
        <v>1410</v>
      </c>
      <c r="N207" s="134" t="s">
        <v>6366</v>
      </c>
      <c r="O207" s="4"/>
      <c r="Q207" s="4"/>
    </row>
    <row r="208" spans="1:17">
      <c r="A208" s="144">
        <v>8</v>
      </c>
      <c r="B208" s="134" t="s">
        <v>2968</v>
      </c>
      <c r="C208" s="4" t="s">
        <v>10291</v>
      </c>
      <c r="D208" s="137">
        <v>2795</v>
      </c>
      <c r="E208" s="137">
        <v>2770</v>
      </c>
      <c r="F208" s="137">
        <v>2798</v>
      </c>
      <c r="G208" s="48">
        <v>2857</v>
      </c>
      <c r="H208" s="48">
        <v>2754</v>
      </c>
      <c r="I208" s="48">
        <v>2730</v>
      </c>
      <c r="J208" s="48">
        <v>2634</v>
      </c>
      <c r="K208" s="48">
        <v>2707</v>
      </c>
      <c r="L208" s="48">
        <v>2701</v>
      </c>
      <c r="N208" s="134" t="s">
        <v>6366</v>
      </c>
      <c r="O208" s="4"/>
      <c r="Q208" s="4"/>
    </row>
    <row r="209" spans="1:17">
      <c r="A209" s="144">
        <v>9</v>
      </c>
      <c r="B209" s="134" t="s">
        <v>2969</v>
      </c>
      <c r="C209" s="4" t="s">
        <v>10292</v>
      </c>
      <c r="D209" s="137">
        <v>3863</v>
      </c>
      <c r="E209" s="137">
        <v>3866</v>
      </c>
      <c r="F209" s="137">
        <v>3935</v>
      </c>
      <c r="G209" s="48">
        <v>4065</v>
      </c>
      <c r="H209" s="48">
        <v>3810</v>
      </c>
      <c r="I209" s="48">
        <v>3799</v>
      </c>
      <c r="J209" s="48">
        <v>3745</v>
      </c>
      <c r="K209" s="48">
        <v>4005</v>
      </c>
      <c r="L209" s="48">
        <v>4102</v>
      </c>
      <c r="N209" s="134" t="s">
        <v>6366</v>
      </c>
      <c r="O209" s="4"/>
      <c r="Q209" s="4"/>
    </row>
    <row r="210" spans="1:17">
      <c r="A210" s="144">
        <v>10</v>
      </c>
      <c r="B210" s="134" t="s">
        <v>2970</v>
      </c>
      <c r="C210" s="4" t="s">
        <v>10293</v>
      </c>
      <c r="D210" s="137">
        <v>2940</v>
      </c>
      <c r="E210" s="137">
        <v>3016</v>
      </c>
      <c r="F210" s="137">
        <v>3109</v>
      </c>
      <c r="G210" s="48">
        <v>3179</v>
      </c>
      <c r="H210" s="48">
        <v>3088</v>
      </c>
      <c r="I210" s="48">
        <v>3097</v>
      </c>
      <c r="J210" s="48">
        <v>3060</v>
      </c>
      <c r="K210" s="48">
        <v>3235</v>
      </c>
      <c r="L210" s="48">
        <v>3223</v>
      </c>
      <c r="N210" s="134" t="s">
        <v>6366</v>
      </c>
      <c r="O210" s="4"/>
      <c r="Q210" s="4"/>
    </row>
    <row r="211" spans="1:17">
      <c r="A211" s="144">
        <v>11</v>
      </c>
      <c r="B211" s="134" t="s">
        <v>8268</v>
      </c>
      <c r="C211" s="4" t="s">
        <v>10294</v>
      </c>
      <c r="D211" s="137">
        <v>2638</v>
      </c>
      <c r="E211" s="137">
        <v>2666</v>
      </c>
      <c r="F211" s="137">
        <v>2665</v>
      </c>
      <c r="G211" s="48">
        <v>2684</v>
      </c>
      <c r="H211" s="48">
        <v>2522</v>
      </c>
      <c r="I211" s="48">
        <v>2525</v>
      </c>
      <c r="J211" s="48">
        <v>2408</v>
      </c>
      <c r="K211" s="48">
        <v>2509</v>
      </c>
      <c r="L211" s="48">
        <v>2520</v>
      </c>
      <c r="N211" s="134" t="s">
        <v>6366</v>
      </c>
      <c r="O211" s="4"/>
      <c r="Q211" s="4"/>
    </row>
    <row r="212" spans="1:17">
      <c r="A212" s="144">
        <v>12</v>
      </c>
      <c r="B212" s="134" t="s">
        <v>8269</v>
      </c>
      <c r="C212" s="4" t="s">
        <v>10295</v>
      </c>
      <c r="D212" s="137">
        <v>2657</v>
      </c>
      <c r="E212" s="137">
        <v>2674</v>
      </c>
      <c r="F212" s="137">
        <v>2649</v>
      </c>
      <c r="G212" s="48">
        <v>2703</v>
      </c>
      <c r="H212" s="48">
        <v>2783</v>
      </c>
      <c r="I212" s="48">
        <v>2822</v>
      </c>
      <c r="J212" s="48">
        <v>2747</v>
      </c>
      <c r="K212" s="48">
        <v>2867</v>
      </c>
      <c r="L212" s="48">
        <v>2956</v>
      </c>
      <c r="N212" s="134" t="s">
        <v>6366</v>
      </c>
      <c r="O212" s="4"/>
      <c r="Q212" s="4"/>
    </row>
    <row r="213" spans="1:17">
      <c r="A213" s="144">
        <v>13</v>
      </c>
      <c r="B213" s="134" t="s">
        <v>8270</v>
      </c>
      <c r="C213" s="4" t="s">
        <v>10296</v>
      </c>
      <c r="D213" s="137">
        <v>2855</v>
      </c>
      <c r="E213" s="137">
        <v>2850</v>
      </c>
      <c r="F213" s="137">
        <v>2884</v>
      </c>
      <c r="G213" s="48">
        <v>2897</v>
      </c>
      <c r="H213" s="48">
        <v>2679</v>
      </c>
      <c r="I213" s="48">
        <v>2728</v>
      </c>
      <c r="J213" s="48">
        <v>2701</v>
      </c>
      <c r="K213" s="48">
        <v>2805</v>
      </c>
      <c r="L213" s="48">
        <v>2811</v>
      </c>
      <c r="N213" s="134" t="s">
        <v>6366</v>
      </c>
      <c r="O213" s="4"/>
      <c r="Q213" s="4"/>
    </row>
    <row r="214" spans="1:17">
      <c r="A214" s="144">
        <v>14</v>
      </c>
      <c r="B214" s="134" t="s">
        <v>8271</v>
      </c>
      <c r="C214" s="4" t="s">
        <v>10297</v>
      </c>
      <c r="D214" s="137">
        <v>1421</v>
      </c>
      <c r="E214" s="137">
        <v>1428</v>
      </c>
      <c r="F214" s="137">
        <v>1425</v>
      </c>
      <c r="G214" s="48">
        <v>1433</v>
      </c>
      <c r="H214" s="48">
        <v>1343</v>
      </c>
      <c r="I214" s="48">
        <v>1339</v>
      </c>
      <c r="J214" s="48">
        <v>1332</v>
      </c>
      <c r="K214" s="48">
        <v>1392</v>
      </c>
      <c r="L214" s="48">
        <v>1380</v>
      </c>
      <c r="N214" s="134" t="s">
        <v>6366</v>
      </c>
      <c r="O214" s="4"/>
      <c r="Q214" s="4"/>
    </row>
    <row r="215" spans="1:17">
      <c r="A215" s="144">
        <v>15</v>
      </c>
      <c r="B215" s="134" t="s">
        <v>6492</v>
      </c>
      <c r="C215" s="4" t="s">
        <v>10298</v>
      </c>
      <c r="D215" s="137">
        <v>1337</v>
      </c>
      <c r="E215" s="137">
        <v>1342</v>
      </c>
      <c r="F215" s="137">
        <v>1349</v>
      </c>
      <c r="G215" s="48">
        <v>1383</v>
      </c>
      <c r="H215" s="48">
        <v>1323</v>
      </c>
      <c r="I215" s="48">
        <v>1336</v>
      </c>
      <c r="J215" s="48">
        <v>1320</v>
      </c>
      <c r="K215" s="48">
        <v>1387</v>
      </c>
      <c r="L215" s="48">
        <v>1374</v>
      </c>
      <c r="N215" s="134" t="s">
        <v>6366</v>
      </c>
      <c r="O215" s="4"/>
      <c r="Q215" s="4"/>
    </row>
    <row r="216" spans="1:17">
      <c r="A216" s="144">
        <v>16</v>
      </c>
      <c r="B216" s="134" t="s">
        <v>5313</v>
      </c>
      <c r="C216" s="4" t="s">
        <v>10299</v>
      </c>
      <c r="D216" s="137">
        <v>1570</v>
      </c>
      <c r="E216" s="137">
        <v>1568</v>
      </c>
      <c r="F216" s="137">
        <v>1570</v>
      </c>
      <c r="G216" s="48">
        <v>1573</v>
      </c>
      <c r="H216" s="48">
        <v>1531</v>
      </c>
      <c r="I216" s="48">
        <v>1534</v>
      </c>
      <c r="J216" s="48">
        <v>1505</v>
      </c>
      <c r="K216" s="48">
        <v>1391</v>
      </c>
      <c r="L216" s="48">
        <v>1539</v>
      </c>
      <c r="N216" s="134" t="s">
        <v>6366</v>
      </c>
      <c r="O216" s="48"/>
      <c r="P216" s="48"/>
      <c r="Q216" s="4"/>
    </row>
    <row r="217" spans="1:17">
      <c r="A217" s="144">
        <v>17</v>
      </c>
      <c r="B217" s="134" t="s">
        <v>6493</v>
      </c>
      <c r="C217" s="4" t="s">
        <v>10300</v>
      </c>
      <c r="D217" s="137">
        <v>1400</v>
      </c>
      <c r="E217" s="137">
        <v>1412</v>
      </c>
      <c r="F217" s="137">
        <v>1410</v>
      </c>
      <c r="G217" s="48">
        <v>1417</v>
      </c>
      <c r="H217" s="48">
        <v>1395</v>
      </c>
      <c r="I217" s="48">
        <v>1394</v>
      </c>
      <c r="J217" s="48">
        <v>1345</v>
      </c>
      <c r="K217" s="48">
        <v>1550</v>
      </c>
      <c r="L217" s="48">
        <v>1400</v>
      </c>
      <c r="N217" s="134" t="s">
        <v>6366</v>
      </c>
      <c r="O217" s="4"/>
      <c r="Q217" s="4"/>
    </row>
    <row r="218" spans="1:17">
      <c r="A218" s="145">
        <v>18</v>
      </c>
      <c r="B218" s="134" t="s">
        <v>6494</v>
      </c>
      <c r="C218" s="4" t="s">
        <v>10301</v>
      </c>
      <c r="D218" s="137">
        <v>1424</v>
      </c>
      <c r="E218" s="137">
        <v>1400</v>
      </c>
      <c r="F218" s="137">
        <v>1420</v>
      </c>
      <c r="G218" s="48">
        <v>1446</v>
      </c>
      <c r="H218" s="48">
        <v>1425</v>
      </c>
      <c r="I218" s="48">
        <v>1422</v>
      </c>
      <c r="J218" s="48">
        <v>1381</v>
      </c>
      <c r="K218" s="48">
        <v>1451</v>
      </c>
      <c r="L218" s="48">
        <v>1450</v>
      </c>
      <c r="N218" s="134" t="s">
        <v>6366</v>
      </c>
      <c r="O218" s="4"/>
      <c r="Q218" s="4"/>
    </row>
    <row r="219" spans="1:17">
      <c r="A219" s="145">
        <v>19</v>
      </c>
      <c r="B219" s="134" t="s">
        <v>6495</v>
      </c>
      <c r="C219" s="4" t="s">
        <v>10302</v>
      </c>
      <c r="D219" s="137">
        <v>2717</v>
      </c>
      <c r="E219" s="137">
        <v>2708</v>
      </c>
      <c r="F219" s="137">
        <v>2741</v>
      </c>
      <c r="G219" s="48">
        <v>2740</v>
      </c>
      <c r="H219" s="48">
        <v>2684</v>
      </c>
      <c r="I219" s="48">
        <v>2677</v>
      </c>
      <c r="J219" s="48">
        <v>2616</v>
      </c>
      <c r="K219" s="48">
        <v>2703</v>
      </c>
      <c r="L219" s="48">
        <v>2734</v>
      </c>
      <c r="N219" s="134" t="s">
        <v>6366</v>
      </c>
      <c r="O219" s="4"/>
      <c r="Q219" s="4"/>
    </row>
    <row r="220" spans="1:17">
      <c r="A220" s="145">
        <v>20</v>
      </c>
      <c r="B220" s="134" t="s">
        <v>6044</v>
      </c>
      <c r="C220" s="4" t="s">
        <v>10303</v>
      </c>
      <c r="D220" s="137">
        <v>1398</v>
      </c>
      <c r="E220" s="137">
        <v>1398</v>
      </c>
      <c r="F220" s="137">
        <v>1402</v>
      </c>
      <c r="G220" s="48">
        <v>1463</v>
      </c>
      <c r="H220" s="48">
        <v>1458</v>
      </c>
      <c r="I220" s="48">
        <v>1450</v>
      </c>
      <c r="J220" s="48">
        <v>1461</v>
      </c>
      <c r="K220" s="48">
        <v>1494</v>
      </c>
      <c r="L220" s="48">
        <v>1457</v>
      </c>
      <c r="N220" s="134" t="s">
        <v>6366</v>
      </c>
      <c r="O220" s="4"/>
      <c r="Q220" s="4"/>
    </row>
    <row r="221" spans="1:17">
      <c r="D221" s="138"/>
      <c r="E221" s="138"/>
      <c r="F221" s="138"/>
      <c r="G221" s="138"/>
      <c r="H221" s="138"/>
      <c r="I221" s="138"/>
      <c r="J221" s="138"/>
      <c r="K221" s="138"/>
      <c r="L221" s="138"/>
    </row>
    <row r="222" spans="1:17">
      <c r="A222" s="134" t="s">
        <v>5337</v>
      </c>
      <c r="D222" s="137">
        <f t="shared" ref="D222:I222" si="112">SUM(D201:D220)</f>
        <v>41032</v>
      </c>
      <c r="E222" s="137">
        <f t="shared" si="112"/>
        <v>41234</v>
      </c>
      <c r="F222" s="137">
        <f t="shared" si="112"/>
        <v>41480</v>
      </c>
      <c r="G222" s="137">
        <f t="shared" si="112"/>
        <v>42074</v>
      </c>
      <c r="H222" s="137">
        <f t="shared" si="112"/>
        <v>40530</v>
      </c>
      <c r="I222" s="137">
        <f t="shared" si="112"/>
        <v>40590</v>
      </c>
      <c r="J222" s="137">
        <f t="shared" ref="J222:K222" si="113">SUM(J201:J220)</f>
        <v>39668</v>
      </c>
      <c r="K222" s="137">
        <f t="shared" si="113"/>
        <v>41406</v>
      </c>
      <c r="L222" s="137">
        <f t="shared" ref="L222" si="114">SUM(L201:L220)</f>
        <v>41576</v>
      </c>
    </row>
    <row r="224" spans="1:17">
      <c r="A224" s="134" t="s">
        <v>6496</v>
      </c>
    </row>
    <row r="225" spans="1:17">
      <c r="A225" s="134"/>
    </row>
    <row r="226" spans="1:17">
      <c r="A226" s="134"/>
    </row>
    <row r="227" spans="1:17">
      <c r="E227" s="42" t="s">
        <v>2303</v>
      </c>
      <c r="F227" s="42"/>
      <c r="G227" s="42"/>
      <c r="H227" s="42"/>
      <c r="I227" s="42"/>
      <c r="J227" s="42"/>
      <c r="K227" s="42"/>
      <c r="L227" s="42"/>
      <c r="M227" s="109"/>
      <c r="N227" s="109" t="s">
        <v>13319</v>
      </c>
    </row>
    <row r="228" spans="1:17">
      <c r="D228" s="110">
        <v>2010</v>
      </c>
      <c r="E228" s="110">
        <v>2011</v>
      </c>
      <c r="F228" s="110">
        <v>2012</v>
      </c>
      <c r="G228" s="110">
        <v>2013</v>
      </c>
      <c r="H228" s="110">
        <v>2014</v>
      </c>
      <c r="I228" s="110">
        <v>2015</v>
      </c>
      <c r="J228" s="110">
        <v>2016</v>
      </c>
      <c r="K228" s="110">
        <v>2017</v>
      </c>
      <c r="L228" s="110">
        <v>2018</v>
      </c>
      <c r="M228" s="109"/>
      <c r="N228" s="112" t="s">
        <v>2304</v>
      </c>
    </row>
    <row r="229" spans="1:17">
      <c r="A229" s="134" t="s">
        <v>6497</v>
      </c>
      <c r="D229" s="137">
        <f t="shared" ref="D229:I229" si="115">SUM(D230:D254)</f>
        <v>85624</v>
      </c>
      <c r="E229" s="137">
        <f t="shared" si="115"/>
        <v>85634</v>
      </c>
      <c r="F229" s="137">
        <f t="shared" si="115"/>
        <v>85187</v>
      </c>
      <c r="G229" s="137">
        <f t="shared" si="115"/>
        <v>85066</v>
      </c>
      <c r="H229" s="137">
        <f t="shared" si="115"/>
        <v>84602</v>
      </c>
      <c r="I229" s="137">
        <f t="shared" si="115"/>
        <v>82120</v>
      </c>
      <c r="J229" s="137">
        <f t="shared" ref="J229:K229" si="116">SUM(J230:J254)</f>
        <v>79890</v>
      </c>
      <c r="K229" s="137">
        <f t="shared" si="116"/>
        <v>81261</v>
      </c>
      <c r="L229" s="137">
        <f t="shared" ref="L229" si="117">SUM(L230:L254)</f>
        <v>81797</v>
      </c>
    </row>
    <row r="230" spans="1:17">
      <c r="A230" s="134" t="s">
        <v>6957</v>
      </c>
      <c r="B230" s="134" t="s">
        <v>7588</v>
      </c>
      <c r="C230" s="4" t="s">
        <v>10304</v>
      </c>
      <c r="D230" s="137">
        <v>3184</v>
      </c>
      <c r="E230" s="137">
        <v>3270</v>
      </c>
      <c r="F230" s="137">
        <v>3151</v>
      </c>
      <c r="G230" s="48">
        <v>3065</v>
      </c>
      <c r="H230" s="48">
        <v>3053</v>
      </c>
      <c r="I230" s="48">
        <v>2864</v>
      </c>
      <c r="J230" s="48">
        <v>2783</v>
      </c>
      <c r="K230" s="48">
        <v>2825</v>
      </c>
      <c r="L230" s="48">
        <v>2812</v>
      </c>
      <c r="N230" s="134" t="s">
        <v>6362</v>
      </c>
      <c r="O230" s="4"/>
      <c r="Q230" s="4"/>
    </row>
    <row r="231" spans="1:17">
      <c r="A231" s="134" t="s">
        <v>6959</v>
      </c>
      <c r="B231" s="134" t="s">
        <v>6498</v>
      </c>
      <c r="C231" s="4" t="s">
        <v>10305</v>
      </c>
      <c r="D231" s="137">
        <v>3555</v>
      </c>
      <c r="E231" s="137">
        <v>3557</v>
      </c>
      <c r="F231" s="137">
        <v>3513</v>
      </c>
      <c r="G231" s="48">
        <v>3542</v>
      </c>
      <c r="H231" s="48">
        <v>3561</v>
      </c>
      <c r="I231" s="48">
        <v>3513</v>
      </c>
      <c r="J231" s="48">
        <v>3548</v>
      </c>
      <c r="K231" s="48">
        <v>3619</v>
      </c>
      <c r="L231" s="48">
        <v>3673</v>
      </c>
      <c r="N231" s="134" t="s">
        <v>6362</v>
      </c>
      <c r="O231" s="4"/>
      <c r="Q231" s="4"/>
    </row>
    <row r="232" spans="1:17">
      <c r="A232" s="134" t="s">
        <v>6961</v>
      </c>
      <c r="B232" s="134" t="s">
        <v>7725</v>
      </c>
      <c r="C232" s="4" t="s">
        <v>10306</v>
      </c>
      <c r="D232" s="137">
        <v>3392</v>
      </c>
      <c r="E232" s="137">
        <v>3370</v>
      </c>
      <c r="F232" s="137">
        <v>3305</v>
      </c>
      <c r="G232" s="48">
        <v>3335</v>
      </c>
      <c r="H232" s="48">
        <v>3257</v>
      </c>
      <c r="I232" s="48">
        <v>3107</v>
      </c>
      <c r="J232" s="48">
        <v>2919</v>
      </c>
      <c r="K232" s="48">
        <v>3010</v>
      </c>
      <c r="L232" s="48">
        <v>3071</v>
      </c>
      <c r="N232" s="134" t="s">
        <v>6362</v>
      </c>
      <c r="O232" s="4"/>
      <c r="Q232" s="4"/>
    </row>
    <row r="233" spans="1:17">
      <c r="A233" s="134" t="s">
        <v>6963</v>
      </c>
      <c r="B233" s="134" t="s">
        <v>6499</v>
      </c>
      <c r="C233" s="4" t="s">
        <v>10307</v>
      </c>
      <c r="D233" s="137">
        <v>1730</v>
      </c>
      <c r="E233" s="137">
        <v>1735</v>
      </c>
      <c r="F233" s="137">
        <v>1732</v>
      </c>
      <c r="G233" s="48">
        <v>1701</v>
      </c>
      <c r="H233" s="48">
        <v>1694</v>
      </c>
      <c r="I233" s="48">
        <v>1641</v>
      </c>
      <c r="J233" s="48">
        <v>1583</v>
      </c>
      <c r="K233" s="48">
        <v>1576</v>
      </c>
      <c r="L233" s="48">
        <v>1570</v>
      </c>
      <c r="N233" s="134" t="s">
        <v>6362</v>
      </c>
      <c r="O233" s="4"/>
      <c r="Q233" s="4"/>
    </row>
    <row r="234" spans="1:17">
      <c r="A234" s="134" t="s">
        <v>6965</v>
      </c>
      <c r="B234" s="134" t="s">
        <v>4662</v>
      </c>
      <c r="C234" s="4" t="s">
        <v>10308</v>
      </c>
      <c r="D234" s="137">
        <v>3702</v>
      </c>
      <c r="E234" s="137">
        <v>3724</v>
      </c>
      <c r="F234" s="137">
        <v>3709</v>
      </c>
      <c r="G234" s="48">
        <v>3707</v>
      </c>
      <c r="H234" s="48">
        <v>3648</v>
      </c>
      <c r="I234" s="48">
        <v>3588</v>
      </c>
      <c r="J234" s="48">
        <v>3523</v>
      </c>
      <c r="K234" s="48">
        <v>3596</v>
      </c>
      <c r="L234" s="48">
        <v>3620</v>
      </c>
      <c r="N234" s="134" t="s">
        <v>6362</v>
      </c>
      <c r="O234" s="4"/>
      <c r="Q234" s="4"/>
    </row>
    <row r="235" spans="1:17">
      <c r="A235" s="134" t="s">
        <v>6997</v>
      </c>
      <c r="B235" s="134" t="s">
        <v>2805</v>
      </c>
      <c r="C235" s="4" t="s">
        <v>10309</v>
      </c>
      <c r="D235" s="137">
        <v>4001</v>
      </c>
      <c r="E235" s="137">
        <v>4054</v>
      </c>
      <c r="F235" s="137">
        <v>4051</v>
      </c>
      <c r="G235" s="48">
        <v>4091</v>
      </c>
      <c r="H235" s="48">
        <v>4045</v>
      </c>
      <c r="I235" s="48">
        <v>4003</v>
      </c>
      <c r="J235" s="48">
        <v>3879</v>
      </c>
      <c r="K235" s="48">
        <v>4059</v>
      </c>
      <c r="L235" s="48">
        <v>4182</v>
      </c>
      <c r="N235" s="134" t="s">
        <v>6362</v>
      </c>
      <c r="O235" s="4"/>
      <c r="Q235" s="4"/>
    </row>
    <row r="236" spans="1:17">
      <c r="A236" s="134" t="s">
        <v>6999</v>
      </c>
      <c r="B236" s="134" t="s">
        <v>6488</v>
      </c>
      <c r="C236" s="4" t="s">
        <v>10310</v>
      </c>
      <c r="D236" s="137">
        <v>3596</v>
      </c>
      <c r="E236" s="137">
        <v>3570</v>
      </c>
      <c r="F236" s="137">
        <v>3558</v>
      </c>
      <c r="G236" s="48">
        <v>3553</v>
      </c>
      <c r="H236" s="48">
        <v>3554</v>
      </c>
      <c r="I236" s="48">
        <v>3511</v>
      </c>
      <c r="J236" s="48">
        <v>3413</v>
      </c>
      <c r="K236" s="48">
        <v>3495</v>
      </c>
      <c r="L236" s="48">
        <v>3520</v>
      </c>
      <c r="N236" s="134" t="s">
        <v>6362</v>
      </c>
      <c r="O236" s="4"/>
      <c r="Q236" s="4"/>
    </row>
    <row r="237" spans="1:17">
      <c r="A237" s="134" t="s">
        <v>7001</v>
      </c>
      <c r="B237" s="134" t="s">
        <v>6489</v>
      </c>
      <c r="C237" s="4" t="s">
        <v>10311</v>
      </c>
      <c r="D237" s="137">
        <v>3722</v>
      </c>
      <c r="E237" s="137">
        <v>3737</v>
      </c>
      <c r="F237" s="137">
        <v>3738</v>
      </c>
      <c r="G237" s="48">
        <v>3784</v>
      </c>
      <c r="H237" s="48">
        <v>3775</v>
      </c>
      <c r="I237" s="48">
        <v>3540</v>
      </c>
      <c r="J237" s="48">
        <v>3410</v>
      </c>
      <c r="K237" s="48">
        <v>3464</v>
      </c>
      <c r="L237" s="48">
        <v>3517</v>
      </c>
      <c r="N237" s="134" t="s">
        <v>6362</v>
      </c>
      <c r="O237" s="4"/>
      <c r="Q237" s="4"/>
    </row>
    <row r="238" spans="1:17">
      <c r="A238" s="134" t="s">
        <v>7003</v>
      </c>
      <c r="B238" s="134" t="s">
        <v>6490</v>
      </c>
      <c r="C238" s="4" t="s">
        <v>10312</v>
      </c>
      <c r="D238" s="137">
        <v>5484</v>
      </c>
      <c r="E238" s="137">
        <v>5453</v>
      </c>
      <c r="F238" s="137">
        <v>5464</v>
      </c>
      <c r="G238" s="48">
        <v>5435</v>
      </c>
      <c r="H238" s="48">
        <v>5455</v>
      </c>
      <c r="I238" s="48">
        <v>5335</v>
      </c>
      <c r="J238" s="48">
        <v>5255</v>
      </c>
      <c r="K238" s="48">
        <v>5405</v>
      </c>
      <c r="L238" s="48">
        <v>5450</v>
      </c>
      <c r="N238" s="134" t="s">
        <v>6366</v>
      </c>
      <c r="O238" s="4"/>
      <c r="Q238" s="4"/>
    </row>
    <row r="239" spans="1:17">
      <c r="A239" s="134" t="s">
        <v>7005</v>
      </c>
      <c r="B239" s="134" t="s">
        <v>6491</v>
      </c>
      <c r="C239" s="4" t="s">
        <v>10313</v>
      </c>
      <c r="D239" s="137">
        <v>1743</v>
      </c>
      <c r="E239" s="137">
        <v>1736</v>
      </c>
      <c r="F239" s="137">
        <v>1728</v>
      </c>
      <c r="G239" s="48">
        <v>1744</v>
      </c>
      <c r="H239" s="48">
        <v>1731</v>
      </c>
      <c r="I239" s="48">
        <v>1704</v>
      </c>
      <c r="J239" s="48">
        <v>1635</v>
      </c>
      <c r="K239" s="48">
        <v>1630</v>
      </c>
      <c r="L239" s="48">
        <v>1626</v>
      </c>
      <c r="N239" s="134" t="s">
        <v>6362</v>
      </c>
      <c r="O239" s="4"/>
      <c r="Q239" s="4"/>
    </row>
    <row r="240" spans="1:17">
      <c r="A240" s="134" t="s">
        <v>7007</v>
      </c>
      <c r="B240" s="134" t="s">
        <v>4719</v>
      </c>
      <c r="C240" s="4" t="s">
        <v>10314</v>
      </c>
      <c r="D240" s="137">
        <v>4108</v>
      </c>
      <c r="E240" s="137">
        <v>4103</v>
      </c>
      <c r="F240" s="137">
        <v>4110</v>
      </c>
      <c r="G240" s="48">
        <v>4110</v>
      </c>
      <c r="H240" s="48">
        <v>4150</v>
      </c>
      <c r="I240" s="48">
        <v>4022</v>
      </c>
      <c r="J240" s="48">
        <v>3927</v>
      </c>
      <c r="K240" s="48">
        <v>3999</v>
      </c>
      <c r="L240" s="48">
        <v>3990</v>
      </c>
      <c r="N240" s="134" t="s">
        <v>6366</v>
      </c>
      <c r="O240" s="4"/>
      <c r="Q240" s="4"/>
    </row>
    <row r="241" spans="1:17">
      <c r="A241" s="134" t="s">
        <v>7009</v>
      </c>
      <c r="B241" s="134" t="s">
        <v>4720</v>
      </c>
      <c r="C241" s="4" t="s">
        <v>10315</v>
      </c>
      <c r="D241" s="137">
        <v>1855</v>
      </c>
      <c r="E241" s="137">
        <v>1876</v>
      </c>
      <c r="F241" s="137">
        <v>1826</v>
      </c>
      <c r="G241" s="48">
        <v>1848</v>
      </c>
      <c r="H241" s="48">
        <v>1836</v>
      </c>
      <c r="I241" s="48">
        <v>1804</v>
      </c>
      <c r="J241" s="48">
        <v>1761</v>
      </c>
      <c r="K241" s="48">
        <v>1757</v>
      </c>
      <c r="L241" s="48">
        <v>1771</v>
      </c>
      <c r="N241" s="134" t="s">
        <v>6362</v>
      </c>
      <c r="O241" s="4"/>
      <c r="Q241" s="4"/>
    </row>
    <row r="242" spans="1:17">
      <c r="A242" s="134" t="s">
        <v>7011</v>
      </c>
      <c r="B242" s="134" t="s">
        <v>6780</v>
      </c>
      <c r="C242" s="4" t="s">
        <v>10316</v>
      </c>
      <c r="D242" s="137">
        <v>3783</v>
      </c>
      <c r="E242" s="137">
        <v>3766</v>
      </c>
      <c r="F242" s="137">
        <v>3751</v>
      </c>
      <c r="G242" s="48">
        <v>3774</v>
      </c>
      <c r="H242" s="48">
        <v>3812</v>
      </c>
      <c r="I242" s="48">
        <v>3727</v>
      </c>
      <c r="J242" s="48">
        <v>3640</v>
      </c>
      <c r="K242" s="48">
        <v>3753</v>
      </c>
      <c r="L242" s="48">
        <v>3681</v>
      </c>
      <c r="N242" s="134" t="s">
        <v>6362</v>
      </c>
      <c r="O242" s="4"/>
      <c r="Q242" s="4"/>
    </row>
    <row r="243" spans="1:17">
      <c r="A243" s="134" t="s">
        <v>7013</v>
      </c>
      <c r="B243" s="134" t="s">
        <v>4738</v>
      </c>
      <c r="C243" s="4" t="s">
        <v>10317</v>
      </c>
      <c r="D243" s="137">
        <v>2910</v>
      </c>
      <c r="E243" s="137">
        <v>2827</v>
      </c>
      <c r="F243" s="137">
        <v>2832</v>
      </c>
      <c r="G243" s="48">
        <v>2841</v>
      </c>
      <c r="H243" s="48">
        <v>2830</v>
      </c>
      <c r="I243" s="48">
        <v>2771</v>
      </c>
      <c r="J243" s="48">
        <v>2698</v>
      </c>
      <c r="K243" s="48">
        <v>2721</v>
      </c>
      <c r="L243" s="48">
        <v>2722</v>
      </c>
      <c r="N243" s="134" t="s">
        <v>6362</v>
      </c>
      <c r="O243" s="4"/>
      <c r="Q243" s="4"/>
    </row>
    <row r="244" spans="1:17">
      <c r="A244" s="134" t="s">
        <v>7015</v>
      </c>
      <c r="B244" s="134" t="s">
        <v>7210</v>
      </c>
      <c r="C244" s="4" t="s">
        <v>10318</v>
      </c>
      <c r="D244" s="137">
        <v>5215</v>
      </c>
      <c r="E244" s="137">
        <v>5193</v>
      </c>
      <c r="F244" s="137">
        <v>5171</v>
      </c>
      <c r="G244" s="48">
        <v>5169</v>
      </c>
      <c r="H244" s="48">
        <v>5121</v>
      </c>
      <c r="I244" s="48">
        <v>5066</v>
      </c>
      <c r="J244" s="48">
        <v>4957</v>
      </c>
      <c r="K244" s="48">
        <v>5035</v>
      </c>
      <c r="L244" s="48">
        <v>4986</v>
      </c>
      <c r="N244" s="134" t="s">
        <v>6362</v>
      </c>
      <c r="O244" s="4"/>
      <c r="Q244" s="4"/>
    </row>
    <row r="245" spans="1:17">
      <c r="A245" s="134" t="s">
        <v>7017</v>
      </c>
      <c r="B245" s="134" t="s">
        <v>3005</v>
      </c>
      <c r="C245" s="4" t="s">
        <v>10319</v>
      </c>
      <c r="D245" s="137">
        <v>3396</v>
      </c>
      <c r="E245" s="137">
        <v>3451</v>
      </c>
      <c r="F245" s="137">
        <v>3402</v>
      </c>
      <c r="G245" s="48">
        <v>3403</v>
      </c>
      <c r="H245" s="48">
        <v>3431</v>
      </c>
      <c r="I245" s="48">
        <v>3055</v>
      </c>
      <c r="J245" s="48">
        <v>3143</v>
      </c>
      <c r="K245" s="48">
        <v>3174</v>
      </c>
      <c r="L245" s="48">
        <v>3160</v>
      </c>
      <c r="N245" s="134" t="s">
        <v>6362</v>
      </c>
      <c r="O245" s="4"/>
      <c r="Q245" s="4"/>
    </row>
    <row r="246" spans="1:17">
      <c r="A246" s="134" t="s">
        <v>7019</v>
      </c>
      <c r="B246" s="134" t="s">
        <v>3006</v>
      </c>
      <c r="C246" s="4" t="s">
        <v>10320</v>
      </c>
      <c r="D246" s="137">
        <v>3177</v>
      </c>
      <c r="E246" s="137">
        <v>3132</v>
      </c>
      <c r="F246" s="137">
        <v>3154</v>
      </c>
      <c r="G246" s="48">
        <v>3161</v>
      </c>
      <c r="H246" s="48">
        <v>3151</v>
      </c>
      <c r="I246" s="48">
        <v>3255</v>
      </c>
      <c r="J246" s="48">
        <v>2965</v>
      </c>
      <c r="K246" s="48">
        <v>2994</v>
      </c>
      <c r="L246" s="48">
        <v>2962</v>
      </c>
      <c r="N246" s="134" t="s">
        <v>6362</v>
      </c>
      <c r="O246" s="4"/>
      <c r="Q246" s="4"/>
    </row>
    <row r="247" spans="1:17">
      <c r="A247" s="134" t="s">
        <v>7021</v>
      </c>
      <c r="B247" s="134" t="s">
        <v>3007</v>
      </c>
      <c r="C247" s="4" t="s">
        <v>10321</v>
      </c>
      <c r="D247" s="137">
        <v>3153</v>
      </c>
      <c r="E247" s="137">
        <v>3204</v>
      </c>
      <c r="F247" s="137">
        <v>3113</v>
      </c>
      <c r="G247" s="48">
        <v>3009</v>
      </c>
      <c r="H247" s="48">
        <v>2848</v>
      </c>
      <c r="I247" s="48">
        <v>2763</v>
      </c>
      <c r="J247" s="48">
        <v>2707</v>
      </c>
      <c r="K247" s="48">
        <v>2749</v>
      </c>
      <c r="L247" s="48">
        <v>2792</v>
      </c>
      <c r="N247" s="134" t="s">
        <v>6362</v>
      </c>
      <c r="O247" s="4"/>
      <c r="Q247" s="4"/>
    </row>
    <row r="248" spans="1:17">
      <c r="A248" s="144">
        <v>19</v>
      </c>
      <c r="B248" s="134" t="s">
        <v>3008</v>
      </c>
      <c r="C248" s="4" t="s">
        <v>10322</v>
      </c>
      <c r="D248" s="137">
        <v>3408</v>
      </c>
      <c r="E248" s="137">
        <v>3423</v>
      </c>
      <c r="F248" s="137">
        <v>3404</v>
      </c>
      <c r="G248" s="48">
        <v>3386</v>
      </c>
      <c r="H248" s="48">
        <v>3724</v>
      </c>
      <c r="I248" s="48">
        <v>3659</v>
      </c>
      <c r="J248" s="48">
        <v>3285</v>
      </c>
      <c r="K248" s="48">
        <v>3385</v>
      </c>
      <c r="L248" s="48">
        <v>3453</v>
      </c>
      <c r="N248" s="134" t="s">
        <v>6362</v>
      </c>
      <c r="O248" s="4"/>
      <c r="Q248" s="4"/>
    </row>
    <row r="249" spans="1:17">
      <c r="A249" s="144">
        <v>20</v>
      </c>
      <c r="B249" s="134" t="s">
        <v>3009</v>
      </c>
      <c r="C249" s="4" t="s">
        <v>10323</v>
      </c>
      <c r="D249" s="137">
        <v>3777</v>
      </c>
      <c r="E249" s="137">
        <v>3724</v>
      </c>
      <c r="F249" s="137">
        <v>3710</v>
      </c>
      <c r="G249" s="48">
        <v>3734</v>
      </c>
      <c r="H249" s="48">
        <v>3398</v>
      </c>
      <c r="I249" s="48">
        <v>3336</v>
      </c>
      <c r="J249" s="48">
        <v>3596</v>
      </c>
      <c r="K249" s="48">
        <v>3619</v>
      </c>
      <c r="L249" s="48">
        <v>3620</v>
      </c>
      <c r="N249" s="134" t="s">
        <v>6362</v>
      </c>
      <c r="O249" s="4"/>
      <c r="Q249" s="4"/>
    </row>
    <row r="250" spans="1:17">
      <c r="A250" s="144">
        <v>21</v>
      </c>
      <c r="B250" s="134" t="s">
        <v>3010</v>
      </c>
      <c r="C250" s="4" t="s">
        <v>10324</v>
      </c>
      <c r="D250" s="137">
        <v>3485</v>
      </c>
      <c r="E250" s="137">
        <v>3494</v>
      </c>
      <c r="F250" s="137">
        <v>3487</v>
      </c>
      <c r="G250" s="48">
        <v>3530</v>
      </c>
      <c r="H250" s="48">
        <v>3486</v>
      </c>
      <c r="I250" s="48">
        <v>3322</v>
      </c>
      <c r="J250" s="48">
        <v>3211</v>
      </c>
      <c r="K250" s="48">
        <v>3239</v>
      </c>
      <c r="L250" s="48">
        <v>3301</v>
      </c>
      <c r="N250" s="134" t="s">
        <v>6362</v>
      </c>
      <c r="O250" s="4"/>
      <c r="Q250" s="4"/>
    </row>
    <row r="251" spans="1:17">
      <c r="A251" s="144">
        <v>22</v>
      </c>
      <c r="B251" s="134" t="s">
        <v>3011</v>
      </c>
      <c r="C251" s="4" t="s">
        <v>10325</v>
      </c>
      <c r="D251" s="137">
        <v>3619</v>
      </c>
      <c r="E251" s="137">
        <v>3587</v>
      </c>
      <c r="F251" s="137">
        <v>3554</v>
      </c>
      <c r="G251" s="48">
        <v>3549</v>
      </c>
      <c r="H251" s="48">
        <v>3532</v>
      </c>
      <c r="I251" s="48">
        <v>3427</v>
      </c>
      <c r="J251" s="48">
        <v>3275</v>
      </c>
      <c r="K251" s="48">
        <v>3341</v>
      </c>
      <c r="L251" s="48">
        <v>3387</v>
      </c>
      <c r="N251" s="134" t="s">
        <v>6362</v>
      </c>
      <c r="O251" s="4"/>
      <c r="Q251" s="4"/>
    </row>
    <row r="252" spans="1:17">
      <c r="A252" s="144">
        <v>23</v>
      </c>
      <c r="B252" s="134" t="s">
        <v>3012</v>
      </c>
      <c r="C252" s="4" t="s">
        <v>10326</v>
      </c>
      <c r="D252" s="137">
        <v>2991</v>
      </c>
      <c r="E252" s="137">
        <v>3038</v>
      </c>
      <c r="F252" s="137">
        <v>3076</v>
      </c>
      <c r="G252" s="48">
        <v>2960</v>
      </c>
      <c r="H252" s="48">
        <v>2921</v>
      </c>
      <c r="I252" s="48">
        <v>2758</v>
      </c>
      <c r="J252" s="48">
        <v>2749</v>
      </c>
      <c r="K252" s="48">
        <v>2773</v>
      </c>
      <c r="L252" s="48">
        <v>2777</v>
      </c>
      <c r="N252" s="134" t="s">
        <v>6362</v>
      </c>
      <c r="O252" s="4"/>
      <c r="Q252" s="4"/>
    </row>
    <row r="253" spans="1:17">
      <c r="A253" s="144">
        <v>24</v>
      </c>
      <c r="B253" s="134" t="s">
        <v>3013</v>
      </c>
      <c r="C253" s="4" t="s">
        <v>10327</v>
      </c>
      <c r="D253" s="137">
        <v>3225</v>
      </c>
      <c r="E253" s="137">
        <v>3237</v>
      </c>
      <c r="F253" s="137">
        <v>3260</v>
      </c>
      <c r="G253" s="48">
        <v>3219</v>
      </c>
      <c r="H253" s="48">
        <v>3205</v>
      </c>
      <c r="I253" s="48">
        <v>3073</v>
      </c>
      <c r="J253" s="48">
        <v>2945</v>
      </c>
      <c r="K253" s="48">
        <v>2979</v>
      </c>
      <c r="L253" s="48">
        <v>3059</v>
      </c>
      <c r="N253" s="134" t="s">
        <v>6362</v>
      </c>
      <c r="O253" s="4"/>
      <c r="Q253" s="4"/>
    </row>
    <row r="254" spans="1:17">
      <c r="A254" s="144">
        <v>25</v>
      </c>
      <c r="B254" s="134" t="s">
        <v>4956</v>
      </c>
      <c r="C254" s="4" t="s">
        <v>10328</v>
      </c>
      <c r="D254" s="137">
        <v>3413</v>
      </c>
      <c r="E254" s="137">
        <v>3373</v>
      </c>
      <c r="F254" s="137">
        <v>3388</v>
      </c>
      <c r="G254" s="48">
        <v>3416</v>
      </c>
      <c r="H254" s="48">
        <v>3384</v>
      </c>
      <c r="I254" s="48">
        <v>3276</v>
      </c>
      <c r="J254" s="48">
        <v>3083</v>
      </c>
      <c r="K254" s="48">
        <v>3064</v>
      </c>
      <c r="L254" s="48">
        <v>3095</v>
      </c>
      <c r="N254" s="134" t="s">
        <v>6362</v>
      </c>
      <c r="O254" s="4"/>
      <c r="Q254" s="4"/>
    </row>
    <row r="255" spans="1:17">
      <c r="D255" s="138"/>
      <c r="E255" s="138"/>
      <c r="F255" s="138"/>
      <c r="G255" s="138"/>
      <c r="H255" s="138"/>
      <c r="I255" s="138"/>
      <c r="J255" s="138"/>
      <c r="K255" s="138"/>
      <c r="L255" s="138"/>
    </row>
    <row r="256" spans="1:17">
      <c r="A256" s="134" t="s">
        <v>6362</v>
      </c>
      <c r="D256" s="137">
        <f t="shared" ref="D256:I256" si="118">SUM(D230:D237)+D239+SUM(D241:D254)</f>
        <v>76032</v>
      </c>
      <c r="E256" s="137">
        <f t="shared" si="118"/>
        <v>76078</v>
      </c>
      <c r="F256" s="137">
        <f t="shared" si="118"/>
        <v>75613</v>
      </c>
      <c r="G256" s="137">
        <f t="shared" si="118"/>
        <v>75521</v>
      </c>
      <c r="H256" s="137">
        <f t="shared" si="118"/>
        <v>74997</v>
      </c>
      <c r="I256" s="137">
        <f t="shared" si="118"/>
        <v>72763</v>
      </c>
      <c r="J256" s="137">
        <f t="shared" ref="J256:K256" si="119">SUM(J230:J237)+J239+SUM(J241:J254)</f>
        <v>70708</v>
      </c>
      <c r="K256" s="137">
        <f t="shared" si="119"/>
        <v>71857</v>
      </c>
      <c r="L256" s="137">
        <f t="shared" ref="L256" si="120">SUM(L230:L237)+L239+SUM(L241:L254)</f>
        <v>72357</v>
      </c>
    </row>
    <row r="257" spans="1:17">
      <c r="A257" s="134" t="s">
        <v>5337</v>
      </c>
      <c r="D257" s="137">
        <f t="shared" ref="D257:I257" si="121">D238+D240</f>
        <v>9592</v>
      </c>
      <c r="E257" s="137">
        <f t="shared" si="121"/>
        <v>9556</v>
      </c>
      <c r="F257" s="137">
        <f t="shared" si="121"/>
        <v>9574</v>
      </c>
      <c r="G257" s="137">
        <f t="shared" si="121"/>
        <v>9545</v>
      </c>
      <c r="H257" s="137">
        <f t="shared" si="121"/>
        <v>9605</v>
      </c>
      <c r="I257" s="137">
        <f t="shared" si="121"/>
        <v>9357</v>
      </c>
      <c r="J257" s="137">
        <f t="shared" ref="J257:K257" si="122">J238+J240</f>
        <v>9182</v>
      </c>
      <c r="K257" s="137">
        <f t="shared" si="122"/>
        <v>9404</v>
      </c>
      <c r="L257" s="137">
        <f t="shared" ref="L257" si="123">L238+L240</f>
        <v>9440</v>
      </c>
    </row>
    <row r="258" spans="1:17">
      <c r="A258" s="134"/>
      <c r="D258" s="137"/>
      <c r="E258" s="137"/>
      <c r="F258" s="137"/>
      <c r="G258" s="137"/>
      <c r="H258" s="137"/>
      <c r="I258" s="137"/>
      <c r="J258" s="137"/>
      <c r="K258" s="137"/>
      <c r="L258" s="137"/>
    </row>
    <row r="259" spans="1:17">
      <c r="A259" s="134" t="s">
        <v>7132</v>
      </c>
      <c r="D259" s="137"/>
      <c r="E259" s="137"/>
      <c r="F259" s="137"/>
      <c r="G259" s="137"/>
      <c r="H259" s="137"/>
      <c r="I259" s="137"/>
      <c r="J259" s="137"/>
      <c r="K259" s="137"/>
      <c r="L259" s="137"/>
    </row>
    <row r="260" spans="1:17">
      <c r="A260" s="134"/>
      <c r="B260" s="134"/>
      <c r="D260" s="142"/>
      <c r="E260" s="142"/>
      <c r="F260" s="142"/>
      <c r="G260" s="142"/>
      <c r="H260" s="142"/>
      <c r="I260" s="142"/>
      <c r="J260" s="142"/>
      <c r="K260" s="142"/>
      <c r="L260" s="142"/>
    </row>
    <row r="261" spans="1:17">
      <c r="A261" s="134"/>
      <c r="B261" s="134"/>
      <c r="D261" s="142"/>
      <c r="E261" s="142"/>
      <c r="F261" s="142"/>
      <c r="G261" s="142"/>
      <c r="H261" s="142"/>
      <c r="I261" s="142"/>
      <c r="J261" s="142"/>
      <c r="K261" s="142"/>
      <c r="L261" s="142"/>
    </row>
    <row r="262" spans="1:17">
      <c r="E262" s="42" t="s">
        <v>2303</v>
      </c>
      <c r="F262" s="42"/>
      <c r="G262" s="42"/>
      <c r="H262" s="42"/>
      <c r="I262" s="42"/>
      <c r="J262" s="42"/>
      <c r="K262" s="42"/>
      <c r="L262" s="42"/>
      <c r="M262" s="109"/>
      <c r="N262" s="109" t="s">
        <v>13319</v>
      </c>
    </row>
    <row r="263" spans="1:17">
      <c r="D263" s="110">
        <v>2010</v>
      </c>
      <c r="E263" s="110">
        <v>2011</v>
      </c>
      <c r="F263" s="110">
        <v>2012</v>
      </c>
      <c r="G263" s="110">
        <v>2013</v>
      </c>
      <c r="H263" s="110">
        <v>2014</v>
      </c>
      <c r="I263" s="110">
        <v>2015</v>
      </c>
      <c r="J263" s="110">
        <v>2016</v>
      </c>
      <c r="K263" s="110">
        <v>2017</v>
      </c>
      <c r="L263" s="110">
        <v>2018</v>
      </c>
      <c r="M263" s="109"/>
      <c r="N263" s="112" t="s">
        <v>2304</v>
      </c>
    </row>
    <row r="264" spans="1:17">
      <c r="A264" s="134" t="s">
        <v>6357</v>
      </c>
      <c r="D264" s="137">
        <f t="shared" ref="D264:I264" si="124">SUM(D265:D283)</f>
        <v>62988</v>
      </c>
      <c r="E264" s="137">
        <f t="shared" si="124"/>
        <v>63927</v>
      </c>
      <c r="F264" s="137">
        <f t="shared" si="124"/>
        <v>63823</v>
      </c>
      <c r="G264" s="137">
        <f t="shared" si="124"/>
        <v>65622</v>
      </c>
      <c r="H264" s="137">
        <f t="shared" si="124"/>
        <v>66002</v>
      </c>
      <c r="I264" s="137">
        <f t="shared" si="124"/>
        <v>65775</v>
      </c>
      <c r="J264" s="137">
        <f t="shared" ref="J264:K264" si="125">SUM(J265:J283)</f>
        <v>63151</v>
      </c>
      <c r="K264" s="137">
        <f t="shared" si="125"/>
        <v>65119</v>
      </c>
      <c r="L264" s="137">
        <f t="shared" ref="L264" si="126">SUM(L265:L283)</f>
        <v>65643</v>
      </c>
    </row>
    <row r="265" spans="1:17">
      <c r="A265" s="144">
        <v>1</v>
      </c>
      <c r="B265" s="134" t="s">
        <v>13885</v>
      </c>
      <c r="C265" s="4" t="s">
        <v>14455</v>
      </c>
      <c r="D265" s="137">
        <v>62988</v>
      </c>
      <c r="E265" s="137">
        <v>63927</v>
      </c>
      <c r="F265" s="137">
        <v>63823</v>
      </c>
      <c r="G265" s="30">
        <v>65622</v>
      </c>
      <c r="H265" s="30">
        <v>66002</v>
      </c>
      <c r="I265" s="30">
        <v>4550</v>
      </c>
      <c r="J265" s="30">
        <v>4422</v>
      </c>
      <c r="K265" s="30">
        <v>4516</v>
      </c>
      <c r="L265" s="30">
        <v>4509</v>
      </c>
      <c r="N265" s="134" t="s">
        <v>6364</v>
      </c>
      <c r="O265" s="4"/>
      <c r="Q265" s="4"/>
    </row>
    <row r="266" spans="1:17">
      <c r="A266" s="144">
        <v>2</v>
      </c>
      <c r="B266" s="134" t="s">
        <v>13886</v>
      </c>
      <c r="C266" s="4" t="s">
        <v>14456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2180</v>
      </c>
      <c r="J266" s="30">
        <v>2072</v>
      </c>
      <c r="K266" s="30">
        <v>2154</v>
      </c>
      <c r="L266" s="30">
        <v>2231</v>
      </c>
      <c r="N266" s="134" t="s">
        <v>6364</v>
      </c>
      <c r="O266" s="4"/>
      <c r="Q266" s="4"/>
    </row>
    <row r="267" spans="1:17">
      <c r="A267" s="144">
        <v>3</v>
      </c>
      <c r="B267" s="134" t="s">
        <v>7133</v>
      </c>
      <c r="C267" s="4" t="s">
        <v>14457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4826</v>
      </c>
      <c r="J267" s="30">
        <v>4721</v>
      </c>
      <c r="K267" s="30">
        <v>4773</v>
      </c>
      <c r="L267" s="30">
        <v>4772</v>
      </c>
      <c r="N267" s="134" t="s">
        <v>6364</v>
      </c>
      <c r="O267" s="4"/>
      <c r="Q267" s="4"/>
    </row>
    <row r="268" spans="1:17">
      <c r="A268" s="144">
        <v>4</v>
      </c>
      <c r="B268" s="134" t="s">
        <v>13887</v>
      </c>
      <c r="C268" s="4" t="s">
        <v>14458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2377</v>
      </c>
      <c r="J268" s="30">
        <v>2196</v>
      </c>
      <c r="K268" s="30">
        <v>2267</v>
      </c>
      <c r="L268" s="30">
        <v>2217</v>
      </c>
      <c r="N268" s="134" t="s">
        <v>6364</v>
      </c>
      <c r="O268" s="4"/>
      <c r="Q268" s="4"/>
    </row>
    <row r="269" spans="1:17">
      <c r="A269" s="144">
        <v>5</v>
      </c>
      <c r="B269" s="135" t="s">
        <v>13888</v>
      </c>
      <c r="C269" s="4" t="s">
        <v>14459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4661</v>
      </c>
      <c r="J269" s="30">
        <v>4498</v>
      </c>
      <c r="K269" s="30">
        <v>4579</v>
      </c>
      <c r="L269" s="30">
        <v>4519</v>
      </c>
      <c r="N269" s="134" t="s">
        <v>6364</v>
      </c>
      <c r="O269" s="4"/>
      <c r="Q269" s="4"/>
    </row>
    <row r="270" spans="1:17">
      <c r="A270" s="144">
        <v>6</v>
      </c>
      <c r="B270" s="134" t="s">
        <v>13889</v>
      </c>
      <c r="C270" s="4" t="s">
        <v>14460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2456</v>
      </c>
      <c r="J270" s="30">
        <v>2404</v>
      </c>
      <c r="K270" s="30">
        <v>2472</v>
      </c>
      <c r="L270" s="30">
        <v>2424</v>
      </c>
      <c r="N270" s="134" t="s">
        <v>6364</v>
      </c>
      <c r="O270" s="4"/>
      <c r="Q270" s="4"/>
    </row>
    <row r="271" spans="1:17">
      <c r="A271" s="144">
        <v>7</v>
      </c>
      <c r="B271" s="134" t="s">
        <v>3568</v>
      </c>
      <c r="C271" s="4" t="s">
        <v>14461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4348</v>
      </c>
      <c r="J271" s="30">
        <v>4270</v>
      </c>
      <c r="K271" s="30">
        <v>4357</v>
      </c>
      <c r="L271" s="30">
        <v>4391</v>
      </c>
      <c r="N271" s="134" t="s">
        <v>6364</v>
      </c>
      <c r="O271" s="4"/>
      <c r="Q271" s="4"/>
    </row>
    <row r="272" spans="1:17">
      <c r="A272" s="144">
        <v>8</v>
      </c>
      <c r="B272" s="134" t="s">
        <v>7134</v>
      </c>
      <c r="C272" s="4" t="s">
        <v>14462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2243</v>
      </c>
      <c r="J272" s="30">
        <v>2153</v>
      </c>
      <c r="K272" s="30">
        <v>2259</v>
      </c>
      <c r="L272" s="30">
        <v>2343</v>
      </c>
      <c r="N272" s="134" t="s">
        <v>6364</v>
      </c>
      <c r="O272" s="4"/>
      <c r="Q272" s="4"/>
    </row>
    <row r="273" spans="1:17">
      <c r="A273" s="144">
        <v>9</v>
      </c>
      <c r="B273" s="134" t="s">
        <v>13890</v>
      </c>
      <c r="C273" s="4" t="s">
        <v>14463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1968</v>
      </c>
      <c r="J273" s="30">
        <v>1903</v>
      </c>
      <c r="K273" s="30">
        <v>1926</v>
      </c>
      <c r="L273" s="30">
        <v>1967</v>
      </c>
      <c r="N273" s="134" t="s">
        <v>6364</v>
      </c>
      <c r="O273" s="4"/>
      <c r="Q273" s="4"/>
    </row>
    <row r="274" spans="1:17">
      <c r="A274" s="144">
        <v>10</v>
      </c>
      <c r="B274" s="134" t="s">
        <v>5604</v>
      </c>
      <c r="C274" s="4" t="s">
        <v>14464</v>
      </c>
      <c r="D274" s="30">
        <v>0</v>
      </c>
      <c r="E274" s="30">
        <v>0</v>
      </c>
      <c r="F274" s="30">
        <v>0</v>
      </c>
      <c r="G274" s="30">
        <v>0</v>
      </c>
      <c r="H274" s="30">
        <v>0</v>
      </c>
      <c r="I274" s="30">
        <v>2171</v>
      </c>
      <c r="J274" s="30">
        <v>2090</v>
      </c>
      <c r="K274" s="30">
        <v>2124</v>
      </c>
      <c r="L274" s="30">
        <v>2171</v>
      </c>
      <c r="N274" s="134" t="s">
        <v>6364</v>
      </c>
      <c r="O274" s="4"/>
      <c r="Q274" s="4"/>
    </row>
    <row r="275" spans="1:17">
      <c r="A275" s="144">
        <v>11</v>
      </c>
      <c r="B275" s="134" t="s">
        <v>13891</v>
      </c>
      <c r="C275" s="4" t="s">
        <v>14465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2382</v>
      </c>
      <c r="J275" s="30">
        <v>2322</v>
      </c>
      <c r="K275" s="30">
        <v>2403</v>
      </c>
      <c r="L275" s="30">
        <v>2390</v>
      </c>
      <c r="N275" s="134" t="s">
        <v>6364</v>
      </c>
      <c r="O275" s="4"/>
      <c r="Q275" s="4"/>
    </row>
    <row r="276" spans="1:17">
      <c r="A276" s="144">
        <v>12</v>
      </c>
      <c r="B276" s="134" t="s">
        <v>13892</v>
      </c>
      <c r="C276" s="4" t="s">
        <v>14466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1956</v>
      </c>
      <c r="J276" s="30">
        <v>1896</v>
      </c>
      <c r="K276" s="30">
        <v>1946</v>
      </c>
      <c r="L276" s="30">
        <v>1971</v>
      </c>
      <c r="N276" s="134" t="s">
        <v>6364</v>
      </c>
      <c r="O276" s="4"/>
      <c r="Q276" s="4"/>
    </row>
    <row r="277" spans="1:17">
      <c r="A277" s="144">
        <v>13</v>
      </c>
      <c r="B277" s="134" t="s">
        <v>13893</v>
      </c>
      <c r="C277" s="4" t="s">
        <v>14467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4859</v>
      </c>
      <c r="J277" s="30">
        <v>4450</v>
      </c>
      <c r="K277" s="30">
        <v>4676</v>
      </c>
      <c r="L277" s="30">
        <v>4814</v>
      </c>
      <c r="N277" s="134" t="s">
        <v>6364</v>
      </c>
      <c r="O277" s="4"/>
      <c r="Q277" s="4"/>
    </row>
    <row r="278" spans="1:17">
      <c r="A278" s="144">
        <v>14</v>
      </c>
      <c r="B278" s="134" t="s">
        <v>8028</v>
      </c>
      <c r="C278" s="4" t="s">
        <v>14468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6963</v>
      </c>
      <c r="J278" s="30">
        <v>6581</v>
      </c>
      <c r="K278" s="30">
        <v>6756</v>
      </c>
      <c r="L278" s="30">
        <v>6781</v>
      </c>
      <c r="N278" s="134" t="s">
        <v>6364</v>
      </c>
      <c r="O278" s="4"/>
      <c r="Q278" s="4"/>
    </row>
    <row r="279" spans="1:17">
      <c r="A279" s="144">
        <v>15</v>
      </c>
      <c r="B279" s="134" t="s">
        <v>8029</v>
      </c>
      <c r="C279" s="4" t="s">
        <v>14469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5365</v>
      </c>
      <c r="J279" s="30">
        <v>5023</v>
      </c>
      <c r="K279" s="30">
        <v>5284</v>
      </c>
      <c r="L279" s="30">
        <v>5524</v>
      </c>
      <c r="N279" s="134" t="s">
        <v>6364</v>
      </c>
      <c r="O279" s="4"/>
      <c r="Q279" s="4"/>
    </row>
    <row r="280" spans="1:17">
      <c r="A280" s="144">
        <v>16</v>
      </c>
      <c r="B280" s="134" t="s">
        <v>13894</v>
      </c>
      <c r="C280" s="4" t="s">
        <v>14470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2001</v>
      </c>
      <c r="J280" s="31">
        <v>2045</v>
      </c>
      <c r="K280" s="31">
        <v>2057</v>
      </c>
      <c r="L280" s="31">
        <v>2045</v>
      </c>
      <c r="N280" s="134" t="s">
        <v>6364</v>
      </c>
      <c r="O280" s="4"/>
      <c r="Q280" s="4"/>
    </row>
    <row r="281" spans="1:17">
      <c r="A281" s="144">
        <v>17</v>
      </c>
      <c r="B281" s="134" t="s">
        <v>13895</v>
      </c>
      <c r="C281" s="4" t="s">
        <v>14471</v>
      </c>
      <c r="D281" s="31">
        <v>0</v>
      </c>
      <c r="E281" s="31">
        <v>0</v>
      </c>
      <c r="F281" s="31">
        <v>0</v>
      </c>
      <c r="G281" s="31">
        <v>0</v>
      </c>
      <c r="H281" s="31">
        <v>0</v>
      </c>
      <c r="I281" s="31">
        <v>5968</v>
      </c>
      <c r="J281" s="31">
        <v>5677</v>
      </c>
      <c r="K281" s="31">
        <v>5882</v>
      </c>
      <c r="L281" s="31">
        <v>5876</v>
      </c>
      <c r="N281" s="134" t="s">
        <v>6364</v>
      </c>
      <c r="O281" s="4"/>
      <c r="Q281" s="4"/>
    </row>
    <row r="282" spans="1:17">
      <c r="A282" s="144">
        <v>18</v>
      </c>
      <c r="B282" s="134" t="s">
        <v>13896</v>
      </c>
      <c r="C282" s="4" t="s">
        <v>14472</v>
      </c>
      <c r="D282" s="31">
        <v>0</v>
      </c>
      <c r="E282" s="31">
        <v>0</v>
      </c>
      <c r="F282" s="31">
        <v>0</v>
      </c>
      <c r="G282" s="31">
        <v>0</v>
      </c>
      <c r="H282" s="31">
        <v>0</v>
      </c>
      <c r="I282" s="31">
        <v>2201</v>
      </c>
      <c r="J282" s="31">
        <v>2188</v>
      </c>
      <c r="K282" s="31">
        <v>2357</v>
      </c>
      <c r="L282" s="31">
        <v>2369</v>
      </c>
      <c r="N282" s="134" t="s">
        <v>6364</v>
      </c>
      <c r="O282" s="4"/>
      <c r="Q282" s="4"/>
    </row>
    <row r="283" spans="1:17">
      <c r="A283" s="144">
        <v>19</v>
      </c>
      <c r="B283" s="134" t="s">
        <v>4121</v>
      </c>
      <c r="C283" s="4" t="s">
        <v>14473</v>
      </c>
      <c r="D283" s="31">
        <v>0</v>
      </c>
      <c r="E283" s="31">
        <v>0</v>
      </c>
      <c r="F283" s="31">
        <v>0</v>
      </c>
      <c r="G283" s="31">
        <v>0</v>
      </c>
      <c r="H283" s="31">
        <v>0</v>
      </c>
      <c r="I283" s="31">
        <v>2300</v>
      </c>
      <c r="J283" s="31">
        <v>2240</v>
      </c>
      <c r="K283" s="31">
        <v>2331</v>
      </c>
      <c r="L283" s="31">
        <v>2329</v>
      </c>
      <c r="N283" s="134" t="s">
        <v>6364</v>
      </c>
      <c r="O283" s="4"/>
      <c r="Q283" s="4"/>
    </row>
    <row r="284" spans="1:17">
      <c r="D284" s="138"/>
      <c r="E284" s="138"/>
      <c r="F284" s="138"/>
      <c r="G284" s="31"/>
      <c r="H284" s="31"/>
      <c r="I284" s="31"/>
      <c r="J284" s="31"/>
      <c r="K284" s="31"/>
      <c r="L284" s="31"/>
    </row>
    <row r="285" spans="1:17">
      <c r="A285" s="134" t="s">
        <v>5282</v>
      </c>
      <c r="D285" s="137">
        <f t="shared" ref="D285:L285" si="127">SUM(D265:D283)</f>
        <v>62988</v>
      </c>
      <c r="E285" s="137">
        <f t="shared" si="127"/>
        <v>63927</v>
      </c>
      <c r="F285" s="137">
        <f t="shared" si="127"/>
        <v>63823</v>
      </c>
      <c r="G285" s="137">
        <f t="shared" si="127"/>
        <v>65622</v>
      </c>
      <c r="H285" s="137">
        <f t="shared" si="127"/>
        <v>66002</v>
      </c>
      <c r="I285" s="137">
        <f t="shared" si="127"/>
        <v>65775</v>
      </c>
      <c r="J285" s="137">
        <f t="shared" si="127"/>
        <v>63151</v>
      </c>
      <c r="K285" s="137">
        <f t="shared" si="127"/>
        <v>65119</v>
      </c>
      <c r="L285" s="137">
        <f t="shared" si="127"/>
        <v>65643</v>
      </c>
    </row>
    <row r="287" spans="1:17">
      <c r="A287" s="134" t="s">
        <v>13897</v>
      </c>
    </row>
    <row r="288" spans="1:17">
      <c r="A288" s="134"/>
    </row>
    <row r="289" spans="1:1">
      <c r="A289" s="134"/>
    </row>
  </sheetData>
  <sortState ref="O201:Q220">
    <sortCondition ref="O201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9" orientation="portrait" horizontalDpi="300" verticalDpi="300" r:id="rId1"/>
  <headerFooter alignWithMargins="0">
    <oddFooter>&amp;C&amp;"Times New Roman,Regular"&amp;8&amp;P of &amp;N</oddFooter>
  </headerFooter>
  <rowBreaks count="7" manualBreakCount="7">
    <brk id="44" max="4" man="1"/>
    <brk id="73" max="4" man="1"/>
    <brk id="104" max="4" man="1"/>
    <brk id="164" max="4" man="1"/>
    <brk id="197" max="4" man="1"/>
    <brk id="226" max="4" man="1"/>
    <brk id="261" max="4" man="1"/>
  </rowBreaks>
  <ignoredErrors>
    <ignoredError sqref="D200:E200 D222:E222 D76:E76 D47:E47 D68:E68 D193:E193 D167:E167 D229:E229 D285:K285 D264:E264 D256:E257 F256:F264 F222:F229 F193:F200 F161:F167 F101:F106 F72:F76 G229:K229 G200:K200 G222:K222 G76 G167:K167 G193:K193 G47:K47 G68 G264:K264 D3:G12 D13:E40 F13:F47 G13:G40 F68:F70 G256:H257 H3:H12 H72:H76 H68:H70 H13:H40 D80:K80 I76:K76 I99:I100 D99:H100 I256:I257 I68:K68 I3:I40 D88:K88 J99:J100 J256:J257 J3:J40 K99:K100 K256:K257 K3:K40 D116:K116 D155:K155 D146:K146 D107:K107 D158:K160 L3:L285" unlockedFormula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44"/>
  <sheetViews>
    <sheetView showGridLines="0" zoomScaleNormal="100" workbookViewId="0"/>
  </sheetViews>
  <sheetFormatPr defaultColWidth="12.5703125" defaultRowHeight="15"/>
  <cols>
    <col min="1" max="1" width="4.85546875" style="703" customWidth="1"/>
    <col min="2" max="2" width="40.7109375" style="703" customWidth="1"/>
    <col min="3" max="3" width="11.5703125" style="703" customWidth="1"/>
    <col min="4" max="12" width="10" style="703" customWidth="1"/>
    <col min="13" max="13" width="2.28515625" style="703" customWidth="1"/>
    <col min="14" max="14" width="27" style="703" customWidth="1"/>
    <col min="15" max="16384" width="12.5703125" style="703"/>
  </cols>
  <sheetData>
    <row r="1" spans="1:14">
      <c r="A1" s="702" t="s">
        <v>8847</v>
      </c>
      <c r="D1" s="704">
        <v>2010</v>
      </c>
      <c r="E1" s="704">
        <v>2011</v>
      </c>
      <c r="F1" s="704">
        <v>2012</v>
      </c>
      <c r="G1" s="704">
        <v>2013</v>
      </c>
      <c r="H1" s="704">
        <v>2014</v>
      </c>
      <c r="I1" s="704">
        <v>2015</v>
      </c>
      <c r="J1" s="704">
        <v>2016</v>
      </c>
      <c r="K1" s="704">
        <v>2017</v>
      </c>
      <c r="L1" s="704">
        <v>2018</v>
      </c>
    </row>
    <row r="3" spans="1:14">
      <c r="A3" s="702" t="s">
        <v>8015</v>
      </c>
      <c r="D3" s="709">
        <f t="shared" ref="D3:I3" si="0">SUM(D19:D38)</f>
        <v>186724</v>
      </c>
      <c r="E3" s="709">
        <f t="shared" si="0"/>
        <v>193221</v>
      </c>
      <c r="F3" s="709">
        <f t="shared" si="0"/>
        <v>199120</v>
      </c>
      <c r="G3" s="709">
        <f t="shared" si="0"/>
        <v>198122</v>
      </c>
      <c r="H3" s="709">
        <f t="shared" si="0"/>
        <v>194342</v>
      </c>
      <c r="I3" s="709">
        <f t="shared" si="0"/>
        <v>181224</v>
      </c>
      <c r="J3" s="709">
        <f t="shared" ref="J3:K3" si="1">SUM(J19:J38)</f>
        <v>187371</v>
      </c>
      <c r="K3" s="709">
        <f t="shared" si="1"/>
        <v>192286</v>
      </c>
      <c r="L3" s="709">
        <f t="shared" ref="L3" si="2">SUM(L19:L38)</f>
        <v>206424</v>
      </c>
    </row>
    <row r="4" spans="1:14">
      <c r="B4" s="702"/>
      <c r="C4" s="702"/>
      <c r="D4" s="709"/>
      <c r="E4" s="709"/>
      <c r="F4" s="709"/>
      <c r="G4" s="709"/>
      <c r="H4" s="709"/>
      <c r="I4" s="709"/>
      <c r="J4" s="709"/>
      <c r="K4" s="709"/>
      <c r="L4" s="709"/>
      <c r="N4" s="706"/>
    </row>
    <row r="5" spans="1:14">
      <c r="A5" s="702" t="s">
        <v>1708</v>
      </c>
      <c r="D5" s="705">
        <f t="shared" ref="D5:I5" si="3">D3/3</f>
        <v>62241.333333333336</v>
      </c>
      <c r="E5" s="705">
        <f t="shared" si="3"/>
        <v>64407</v>
      </c>
      <c r="F5" s="705">
        <f t="shared" si="3"/>
        <v>66373.333333333328</v>
      </c>
      <c r="G5" s="705">
        <f t="shared" si="3"/>
        <v>66040.666666666672</v>
      </c>
      <c r="H5" s="705">
        <f t="shared" si="3"/>
        <v>64780.666666666664</v>
      </c>
      <c r="I5" s="705">
        <f t="shared" si="3"/>
        <v>60408</v>
      </c>
      <c r="J5" s="705">
        <f t="shared" ref="J5:K5" si="4">J3/3</f>
        <v>62457</v>
      </c>
      <c r="K5" s="705">
        <f t="shared" si="4"/>
        <v>64095.333333333336</v>
      </c>
      <c r="L5" s="705">
        <f t="shared" ref="L5" si="5">L3/3</f>
        <v>68808</v>
      </c>
    </row>
    <row r="6" spans="1:14">
      <c r="D6" s="707"/>
      <c r="E6" s="707"/>
      <c r="F6" s="707"/>
      <c r="G6" s="707"/>
      <c r="H6" s="707"/>
      <c r="I6" s="707"/>
      <c r="J6" s="707"/>
      <c r="K6" s="707"/>
      <c r="L6" s="707"/>
    </row>
    <row r="7" spans="1:14">
      <c r="A7" s="702" t="s">
        <v>8016</v>
      </c>
      <c r="D7" s="705">
        <f t="shared" ref="D7:I7" si="6">D19+D22+D30+D33+D35+D36</f>
        <v>57353</v>
      </c>
      <c r="E7" s="705">
        <f t="shared" si="6"/>
        <v>59489</v>
      </c>
      <c r="F7" s="705">
        <f t="shared" si="6"/>
        <v>61851</v>
      </c>
      <c r="G7" s="705">
        <f t="shared" si="6"/>
        <v>60933</v>
      </c>
      <c r="H7" s="705">
        <f t="shared" si="6"/>
        <v>59119</v>
      </c>
      <c r="I7" s="705">
        <f t="shared" si="6"/>
        <v>55250</v>
      </c>
      <c r="J7" s="705">
        <f t="shared" ref="J7:K7" si="7">J19+J22+J30+J33+J35+J36</f>
        <v>57132</v>
      </c>
      <c r="K7" s="705">
        <f t="shared" si="7"/>
        <v>59207</v>
      </c>
      <c r="L7" s="705">
        <f t="shared" ref="L7" si="8">L19+L22+L30+L33+L35+L36</f>
        <v>63628</v>
      </c>
      <c r="N7" s="702" t="s">
        <v>8017</v>
      </c>
    </row>
    <row r="8" spans="1:14">
      <c r="D8" s="707"/>
      <c r="E8" s="707"/>
      <c r="F8" s="707"/>
      <c r="G8" s="707"/>
      <c r="H8" s="707"/>
      <c r="I8" s="707"/>
      <c r="J8" s="707"/>
      <c r="K8" s="707"/>
      <c r="L8" s="707"/>
    </row>
    <row r="9" spans="1:14">
      <c r="A9" s="702" t="s">
        <v>8018</v>
      </c>
      <c r="D9" s="705">
        <f>D20+D21+D23+D24+D26+D27</f>
        <v>63271</v>
      </c>
      <c r="E9" s="705">
        <f>E20+E21+E23+E24+E26+E27</f>
        <v>64578</v>
      </c>
      <c r="F9" s="705">
        <f>F20+F21+F23+F24+F26+F27</f>
        <v>65248</v>
      </c>
      <c r="G9" s="705">
        <f t="shared" ref="G9:L9" si="9">G20+G21+G23+G24+G27+G26</f>
        <v>65434</v>
      </c>
      <c r="H9" s="705">
        <f t="shared" si="9"/>
        <v>64436</v>
      </c>
      <c r="I9" s="705">
        <f t="shared" si="9"/>
        <v>64090</v>
      </c>
      <c r="J9" s="705">
        <f t="shared" si="9"/>
        <v>64727</v>
      </c>
      <c r="K9" s="705">
        <f t="shared" si="9"/>
        <v>66426</v>
      </c>
      <c r="L9" s="705">
        <f t="shared" si="9"/>
        <v>68434</v>
      </c>
      <c r="N9" s="702" t="s">
        <v>8017</v>
      </c>
    </row>
    <row r="10" spans="1:14">
      <c r="D10" s="707"/>
      <c r="E10" s="707"/>
      <c r="F10" s="707"/>
      <c r="G10" s="707"/>
      <c r="H10" s="707"/>
      <c r="I10" s="707"/>
      <c r="J10" s="707"/>
      <c r="K10" s="707"/>
      <c r="L10" s="707"/>
    </row>
    <row r="11" spans="1:14">
      <c r="A11" s="702" t="s">
        <v>8019</v>
      </c>
      <c r="D11" s="705">
        <f t="shared" ref="D11:I11" si="10">D25+D28+D29+D31+D32+D34+D37+D38</f>
        <v>66100</v>
      </c>
      <c r="E11" s="705">
        <f t="shared" si="10"/>
        <v>69154</v>
      </c>
      <c r="F11" s="705">
        <f t="shared" si="10"/>
        <v>72021</v>
      </c>
      <c r="G11" s="705">
        <f t="shared" si="10"/>
        <v>71755</v>
      </c>
      <c r="H11" s="705">
        <f t="shared" si="10"/>
        <v>70787</v>
      </c>
      <c r="I11" s="705">
        <f t="shared" si="10"/>
        <v>61884</v>
      </c>
      <c r="J11" s="705">
        <f t="shared" ref="J11:K11" si="11">J25+J28+J29+J31+J32+J34+J37+J38</f>
        <v>65512</v>
      </c>
      <c r="K11" s="705">
        <f t="shared" si="11"/>
        <v>66653</v>
      </c>
      <c r="L11" s="705">
        <f t="shared" ref="L11" si="12">L25+L28+L29+L31+L32+L34+L37+L38</f>
        <v>74362</v>
      </c>
      <c r="N11" s="702" t="s">
        <v>8017</v>
      </c>
    </row>
    <row r="12" spans="1:14">
      <c r="D12" s="707"/>
      <c r="E12" s="707"/>
      <c r="F12" s="707"/>
      <c r="G12" s="707"/>
      <c r="H12" s="707"/>
      <c r="I12" s="707"/>
      <c r="J12" s="707"/>
      <c r="K12" s="707"/>
      <c r="L12" s="707"/>
    </row>
    <row r="13" spans="1:14">
      <c r="A13" s="702" t="s">
        <v>8697</v>
      </c>
      <c r="D13" s="705">
        <f t="shared" ref="D13:I13" si="13">D7+D9+D11</f>
        <v>186724</v>
      </c>
      <c r="E13" s="705">
        <f t="shared" si="13"/>
        <v>193221</v>
      </c>
      <c r="F13" s="705">
        <f t="shared" si="13"/>
        <v>199120</v>
      </c>
      <c r="G13" s="705">
        <f t="shared" si="13"/>
        <v>198122</v>
      </c>
      <c r="H13" s="705">
        <f t="shared" si="13"/>
        <v>194342</v>
      </c>
      <c r="I13" s="705">
        <f t="shared" si="13"/>
        <v>181224</v>
      </c>
      <c r="J13" s="705">
        <f t="shared" ref="J13:K13" si="14">J7+J9+J11</f>
        <v>187371</v>
      </c>
      <c r="K13" s="705">
        <f t="shared" si="14"/>
        <v>192286</v>
      </c>
      <c r="L13" s="705">
        <f t="shared" ref="L13" si="15">L7+L9+L11</f>
        <v>206424</v>
      </c>
    </row>
    <row r="14" spans="1:14">
      <c r="D14" s="707"/>
      <c r="E14" s="707"/>
      <c r="F14" s="707"/>
      <c r="G14" s="707"/>
      <c r="H14" s="707"/>
      <c r="I14" s="707"/>
      <c r="J14" s="707"/>
      <c r="K14" s="707"/>
      <c r="L14" s="707"/>
    </row>
    <row r="15" spans="1:14">
      <c r="A15" s="702" t="s">
        <v>8698</v>
      </c>
      <c r="D15" s="705">
        <f t="shared" ref="D15:I15" si="16">MAX(D7,D9,D11)-MIN(D7,D9,D11)</f>
        <v>8747</v>
      </c>
      <c r="E15" s="705">
        <f t="shared" si="16"/>
        <v>9665</v>
      </c>
      <c r="F15" s="705">
        <f t="shared" si="16"/>
        <v>10170</v>
      </c>
      <c r="G15" s="705">
        <f t="shared" si="16"/>
        <v>10822</v>
      </c>
      <c r="H15" s="705">
        <f t="shared" si="16"/>
        <v>11668</v>
      </c>
      <c r="I15" s="705">
        <f t="shared" si="16"/>
        <v>8840</v>
      </c>
      <c r="J15" s="705">
        <f t="shared" ref="J15:K15" si="17">MAX(J7,J9,J11)-MIN(J7,J9,J11)</f>
        <v>8380</v>
      </c>
      <c r="K15" s="705">
        <f t="shared" si="17"/>
        <v>7446</v>
      </c>
      <c r="L15" s="705">
        <f t="shared" ref="L15" si="18">MAX(L7,L9,L11)-MIN(L7,L9,L11)</f>
        <v>10734</v>
      </c>
    </row>
    <row r="16" spans="1:14">
      <c r="D16" s="707"/>
      <c r="E16" s="707"/>
      <c r="F16" s="707"/>
      <c r="G16" s="707"/>
      <c r="H16" s="707"/>
      <c r="I16" s="707"/>
      <c r="J16" s="707"/>
      <c r="K16" s="707"/>
      <c r="L16" s="707"/>
    </row>
    <row r="17" spans="1:17">
      <c r="A17" s="702" t="s">
        <v>8701</v>
      </c>
      <c r="D17" s="705">
        <f t="shared" ref="D17:I17" si="19">STDEVP(D7,D9,D11)</f>
        <v>3644.4169477282494</v>
      </c>
      <c r="E17" s="705">
        <f t="shared" si="19"/>
        <v>3947.5719963879906</v>
      </c>
      <c r="F17" s="705">
        <f t="shared" si="19"/>
        <v>4227.4504793735377</v>
      </c>
      <c r="G17" s="705">
        <f t="shared" si="19"/>
        <v>4438.8402639528367</v>
      </c>
      <c r="H17" s="705">
        <f t="shared" si="19"/>
        <v>4769.6717101098502</v>
      </c>
      <c r="I17" s="705">
        <f t="shared" si="19"/>
        <v>3756.8011215216952</v>
      </c>
      <c r="J17" s="705">
        <f t="shared" ref="J17:K17" si="20">STDEVP(J7,J9,J11)</f>
        <v>3778.9570871692454</v>
      </c>
      <c r="K17" s="705">
        <f t="shared" si="20"/>
        <v>3457.8157203002529</v>
      </c>
      <c r="L17" s="705">
        <f t="shared" ref="L17" si="21">STDEVP(L7,L9,L11)</f>
        <v>4390.1097936156448</v>
      </c>
    </row>
    <row r="18" spans="1:17">
      <c r="A18" s="702"/>
      <c r="D18" s="710"/>
      <c r="E18" s="710"/>
      <c r="F18" s="710"/>
      <c r="G18" s="710"/>
      <c r="H18" s="710"/>
      <c r="I18" s="710"/>
      <c r="J18" s="710"/>
      <c r="K18" s="710"/>
      <c r="L18" s="710"/>
    </row>
    <row r="19" spans="1:17">
      <c r="A19" s="702" t="s">
        <v>6957</v>
      </c>
      <c r="B19" s="702" t="s">
        <v>3556</v>
      </c>
      <c r="C19" s="4" t="s">
        <v>9581</v>
      </c>
      <c r="D19" s="705">
        <v>6260</v>
      </c>
      <c r="E19" s="705">
        <v>6924</v>
      </c>
      <c r="F19" s="705">
        <v>7827</v>
      </c>
      <c r="G19" s="705">
        <v>7398</v>
      </c>
      <c r="H19" s="48">
        <v>7488</v>
      </c>
      <c r="I19" s="30">
        <v>5053</v>
      </c>
      <c r="J19" s="30">
        <v>6187</v>
      </c>
      <c r="K19" s="30">
        <v>5977</v>
      </c>
      <c r="L19" s="30">
        <v>7367</v>
      </c>
      <c r="N19" s="702" t="s">
        <v>8016</v>
      </c>
      <c r="O19" s="4"/>
      <c r="Q19" s="4"/>
    </row>
    <row r="20" spans="1:17">
      <c r="A20" s="702" t="s">
        <v>6959</v>
      </c>
      <c r="B20" s="702" t="s">
        <v>8020</v>
      </c>
      <c r="C20" s="4" t="s">
        <v>9582</v>
      </c>
      <c r="D20" s="705">
        <v>9699</v>
      </c>
      <c r="E20" s="705">
        <v>9867</v>
      </c>
      <c r="F20" s="705">
        <v>9927</v>
      </c>
      <c r="G20" s="705">
        <v>9910</v>
      </c>
      <c r="H20" s="48">
        <v>9597</v>
      </c>
      <c r="I20" s="30">
        <v>9609</v>
      </c>
      <c r="J20" s="30">
        <v>9855</v>
      </c>
      <c r="K20" s="30">
        <v>10225</v>
      </c>
      <c r="L20" s="30">
        <v>10564</v>
      </c>
      <c r="N20" s="702" t="s">
        <v>8018</v>
      </c>
      <c r="O20" s="4"/>
      <c r="Q20" s="4"/>
    </row>
    <row r="21" spans="1:17">
      <c r="A21" s="702" t="s">
        <v>6961</v>
      </c>
      <c r="B21" s="702" t="s">
        <v>8021</v>
      </c>
      <c r="C21" s="4" t="s">
        <v>9583</v>
      </c>
      <c r="D21" s="705">
        <v>10646</v>
      </c>
      <c r="E21" s="705">
        <v>10783</v>
      </c>
      <c r="F21" s="705">
        <v>11013</v>
      </c>
      <c r="G21" s="48">
        <v>11006</v>
      </c>
      <c r="H21" s="48">
        <v>10953</v>
      </c>
      <c r="I21" s="30">
        <v>10695</v>
      </c>
      <c r="J21" s="30">
        <v>10921</v>
      </c>
      <c r="K21" s="30">
        <v>11058</v>
      </c>
      <c r="L21" s="30">
        <v>11398</v>
      </c>
      <c r="N21" s="702" t="s">
        <v>8018</v>
      </c>
      <c r="O21" s="4"/>
      <c r="Q21" s="4"/>
    </row>
    <row r="22" spans="1:17">
      <c r="A22" s="702" t="s">
        <v>6963</v>
      </c>
      <c r="B22" s="702" t="s">
        <v>8022</v>
      </c>
      <c r="C22" s="4" t="s">
        <v>9584</v>
      </c>
      <c r="D22" s="705">
        <v>10925</v>
      </c>
      <c r="E22" s="705">
        <v>11204</v>
      </c>
      <c r="F22" s="705">
        <v>11874</v>
      </c>
      <c r="G22" s="48">
        <v>11597</v>
      </c>
      <c r="H22" s="48">
        <v>10744</v>
      </c>
      <c r="I22" s="30">
        <v>10585</v>
      </c>
      <c r="J22" s="30">
        <v>10694</v>
      </c>
      <c r="K22" s="30">
        <v>10968</v>
      </c>
      <c r="L22" s="30">
        <v>11783</v>
      </c>
      <c r="N22" s="702" t="s">
        <v>8016</v>
      </c>
      <c r="O22" s="4"/>
      <c r="Q22" s="4"/>
    </row>
    <row r="23" spans="1:17">
      <c r="A23" s="702" t="s">
        <v>6965</v>
      </c>
      <c r="B23" s="702" t="s">
        <v>7266</v>
      </c>
      <c r="C23" s="4" t="s">
        <v>9585</v>
      </c>
      <c r="D23" s="709">
        <v>11041</v>
      </c>
      <c r="E23" s="709">
        <v>11327</v>
      </c>
      <c r="F23" s="709">
        <v>11337</v>
      </c>
      <c r="G23" s="48">
        <v>11403</v>
      </c>
      <c r="H23" s="48">
        <v>11203</v>
      </c>
      <c r="I23" s="30">
        <v>11260</v>
      </c>
      <c r="J23" s="30">
        <v>11216</v>
      </c>
      <c r="K23" s="30">
        <v>11543</v>
      </c>
      <c r="L23" s="30">
        <v>11896</v>
      </c>
      <c r="N23" s="702" t="s">
        <v>8018</v>
      </c>
      <c r="O23" s="4"/>
      <c r="Q23" s="4"/>
    </row>
    <row r="24" spans="1:17">
      <c r="A24" s="702" t="s">
        <v>6997</v>
      </c>
      <c r="B24" s="702" t="s">
        <v>7267</v>
      </c>
      <c r="C24" s="4" t="s">
        <v>9586</v>
      </c>
      <c r="D24" s="705">
        <v>11213</v>
      </c>
      <c r="E24" s="705">
        <v>11573</v>
      </c>
      <c r="F24" s="705">
        <v>11759</v>
      </c>
      <c r="G24" s="48">
        <v>11776</v>
      </c>
      <c r="H24" s="48">
        <v>11674</v>
      </c>
      <c r="I24" s="30">
        <v>11576</v>
      </c>
      <c r="J24" s="30">
        <v>11620</v>
      </c>
      <c r="K24" s="30">
        <v>12094</v>
      </c>
      <c r="L24" s="30">
        <v>12504</v>
      </c>
      <c r="N24" s="702" t="s">
        <v>8018</v>
      </c>
      <c r="O24" s="4"/>
      <c r="Q24" s="4"/>
    </row>
    <row r="25" spans="1:17">
      <c r="A25" s="702" t="s">
        <v>6999</v>
      </c>
      <c r="B25" s="702" t="s">
        <v>2854</v>
      </c>
      <c r="C25" s="4" t="s">
        <v>9587</v>
      </c>
      <c r="D25" s="709">
        <v>7456</v>
      </c>
      <c r="E25" s="709">
        <v>7852</v>
      </c>
      <c r="F25" s="709">
        <v>8048</v>
      </c>
      <c r="G25" s="48">
        <v>7934</v>
      </c>
      <c r="H25" s="48">
        <v>7699</v>
      </c>
      <c r="I25" s="30">
        <v>7715</v>
      </c>
      <c r="J25" s="30">
        <v>8188</v>
      </c>
      <c r="K25" s="30">
        <v>8558</v>
      </c>
      <c r="L25" s="30">
        <v>9501</v>
      </c>
      <c r="N25" s="702" t="s">
        <v>8019</v>
      </c>
      <c r="O25" s="4"/>
      <c r="Q25" s="4"/>
    </row>
    <row r="26" spans="1:17">
      <c r="A26" s="702" t="s">
        <v>7001</v>
      </c>
      <c r="B26" s="702" t="s">
        <v>7268</v>
      </c>
      <c r="C26" s="4" t="s">
        <v>9588</v>
      </c>
      <c r="D26" s="705">
        <v>10572</v>
      </c>
      <c r="E26" s="705">
        <v>10834</v>
      </c>
      <c r="F26" s="705">
        <v>11006</v>
      </c>
      <c r="G26" s="48">
        <v>11079</v>
      </c>
      <c r="H26" s="48">
        <v>10798</v>
      </c>
      <c r="I26" s="30">
        <v>10769</v>
      </c>
      <c r="J26" s="30">
        <v>10988</v>
      </c>
      <c r="K26" s="30">
        <v>11131</v>
      </c>
      <c r="L26" s="30">
        <v>11513</v>
      </c>
      <c r="N26" s="702" t="s">
        <v>8018</v>
      </c>
      <c r="Q26" s="4"/>
    </row>
    <row r="27" spans="1:17">
      <c r="A27" s="702" t="s">
        <v>7003</v>
      </c>
      <c r="B27" s="702" t="s">
        <v>7269</v>
      </c>
      <c r="C27" s="4" t="s">
        <v>9589</v>
      </c>
      <c r="D27" s="705">
        <v>10100</v>
      </c>
      <c r="E27" s="705">
        <v>10194</v>
      </c>
      <c r="F27" s="705">
        <v>10206</v>
      </c>
      <c r="G27" s="48">
        <v>10260</v>
      </c>
      <c r="H27" s="48">
        <v>10211</v>
      </c>
      <c r="I27" s="30">
        <v>10181</v>
      </c>
      <c r="J27" s="30">
        <v>10127</v>
      </c>
      <c r="K27" s="30">
        <v>10375</v>
      </c>
      <c r="L27" s="30">
        <v>10559</v>
      </c>
      <c r="N27" s="702" t="s">
        <v>8018</v>
      </c>
      <c r="Q27" s="4"/>
    </row>
    <row r="28" spans="1:17">
      <c r="A28" s="702" t="s">
        <v>7005</v>
      </c>
      <c r="B28" s="702" t="s">
        <v>7270</v>
      </c>
      <c r="C28" s="4" t="s">
        <v>9590</v>
      </c>
      <c r="D28" s="705">
        <v>9681</v>
      </c>
      <c r="E28" s="705">
        <v>9913</v>
      </c>
      <c r="F28" s="705">
        <v>10669</v>
      </c>
      <c r="G28" s="48">
        <v>10740</v>
      </c>
      <c r="H28" s="48">
        <v>10710</v>
      </c>
      <c r="I28" s="30">
        <v>9271</v>
      </c>
      <c r="J28" s="30">
        <v>9537</v>
      </c>
      <c r="K28" s="30">
        <v>9806</v>
      </c>
      <c r="L28" s="30">
        <v>10355</v>
      </c>
      <c r="N28" s="702" t="s">
        <v>8019</v>
      </c>
      <c r="O28" s="4"/>
      <c r="Q28" s="4"/>
    </row>
    <row r="29" spans="1:17">
      <c r="A29" s="702" t="s">
        <v>7007</v>
      </c>
      <c r="B29" s="702" t="s">
        <v>7271</v>
      </c>
      <c r="C29" s="4" t="s">
        <v>9591</v>
      </c>
      <c r="D29" s="705">
        <v>10001</v>
      </c>
      <c r="E29" s="705">
        <v>10272</v>
      </c>
      <c r="F29" s="705">
        <v>10324</v>
      </c>
      <c r="G29" s="48">
        <v>10557</v>
      </c>
      <c r="H29" s="48">
        <v>10341</v>
      </c>
      <c r="I29" s="30">
        <v>10251</v>
      </c>
      <c r="J29" s="30">
        <v>10154</v>
      </c>
      <c r="K29" s="30">
        <v>10325</v>
      </c>
      <c r="L29" s="30">
        <v>10627</v>
      </c>
      <c r="N29" s="702" t="s">
        <v>8019</v>
      </c>
      <c r="O29" s="4"/>
      <c r="Q29" s="4"/>
    </row>
    <row r="30" spans="1:17">
      <c r="A30" s="702" t="s">
        <v>7009</v>
      </c>
      <c r="B30" s="702" t="s">
        <v>2965</v>
      </c>
      <c r="C30" s="4" t="s">
        <v>9592</v>
      </c>
      <c r="D30" s="705">
        <v>9692</v>
      </c>
      <c r="E30" s="705">
        <v>9995</v>
      </c>
      <c r="F30" s="705">
        <v>10231</v>
      </c>
      <c r="G30" s="48">
        <v>10400</v>
      </c>
      <c r="H30" s="48">
        <v>10341</v>
      </c>
      <c r="I30" s="30">
        <v>10269</v>
      </c>
      <c r="J30" s="30">
        <v>10035</v>
      </c>
      <c r="K30" s="30">
        <v>10501</v>
      </c>
      <c r="L30" s="30">
        <v>10927</v>
      </c>
      <c r="N30" s="702" t="s">
        <v>8016</v>
      </c>
      <c r="O30" s="4"/>
      <c r="Q30" s="4"/>
    </row>
    <row r="31" spans="1:17">
      <c r="A31" s="702" t="s">
        <v>7011</v>
      </c>
      <c r="B31" s="702" t="s">
        <v>7272</v>
      </c>
      <c r="C31" s="4" t="s">
        <v>9593</v>
      </c>
      <c r="D31" s="705">
        <v>5378</v>
      </c>
      <c r="E31" s="705">
        <v>5151</v>
      </c>
      <c r="F31" s="705">
        <v>5965</v>
      </c>
      <c r="G31" s="48">
        <v>5689</v>
      </c>
      <c r="H31" s="48">
        <v>5036</v>
      </c>
      <c r="I31" s="31">
        <v>4385</v>
      </c>
      <c r="J31" s="31">
        <v>5005</v>
      </c>
      <c r="K31" s="31">
        <v>4868</v>
      </c>
      <c r="L31" s="31">
        <v>6539</v>
      </c>
      <c r="N31" s="702" t="s">
        <v>8019</v>
      </c>
      <c r="O31" s="4"/>
      <c r="Q31" s="4"/>
    </row>
    <row r="32" spans="1:17">
      <c r="A32" s="702" t="s">
        <v>7013</v>
      </c>
      <c r="B32" s="702" t="s">
        <v>7273</v>
      </c>
      <c r="C32" s="4" t="s">
        <v>9594</v>
      </c>
      <c r="D32" s="709">
        <v>6950</v>
      </c>
      <c r="E32" s="709">
        <v>7100</v>
      </c>
      <c r="F32" s="709">
        <v>7158</v>
      </c>
      <c r="G32" s="48">
        <v>7252</v>
      </c>
      <c r="H32" s="48">
        <v>7176</v>
      </c>
      <c r="I32" s="31">
        <v>7143</v>
      </c>
      <c r="J32" s="31">
        <v>7038</v>
      </c>
      <c r="K32" s="31">
        <v>7223</v>
      </c>
      <c r="L32" s="31">
        <v>7722</v>
      </c>
      <c r="N32" s="702" t="s">
        <v>8019</v>
      </c>
      <c r="O32" s="4"/>
      <c r="Q32" s="4"/>
    </row>
    <row r="33" spans="1:17">
      <c r="A33" s="702" t="s">
        <v>7015</v>
      </c>
      <c r="B33" s="702" t="s">
        <v>7274</v>
      </c>
      <c r="C33" s="4" t="s">
        <v>9595</v>
      </c>
      <c r="D33" s="705">
        <v>10213</v>
      </c>
      <c r="E33" s="705">
        <v>10481</v>
      </c>
      <c r="F33" s="705">
        <v>10507</v>
      </c>
      <c r="G33" s="48">
        <v>10602</v>
      </c>
      <c r="H33" s="48">
        <v>10082</v>
      </c>
      <c r="I33" s="30">
        <v>9871</v>
      </c>
      <c r="J33" s="30">
        <v>9964</v>
      </c>
      <c r="K33" s="30">
        <v>10487</v>
      </c>
      <c r="L33" s="30">
        <v>10991</v>
      </c>
      <c r="N33" s="702" t="s">
        <v>8016</v>
      </c>
      <c r="O33" s="4"/>
      <c r="Q33" s="4"/>
    </row>
    <row r="34" spans="1:17">
      <c r="A34" s="702" t="s">
        <v>7017</v>
      </c>
      <c r="B34" s="702" t="s">
        <v>7275</v>
      </c>
      <c r="C34" s="4" t="s">
        <v>9596</v>
      </c>
      <c r="D34" s="705">
        <v>8751</v>
      </c>
      <c r="E34" s="705">
        <v>10506</v>
      </c>
      <c r="F34" s="705">
        <v>11387</v>
      </c>
      <c r="G34" s="48">
        <v>11634</v>
      </c>
      <c r="H34" s="48">
        <v>11571</v>
      </c>
      <c r="I34" s="31">
        <v>8971</v>
      </c>
      <c r="J34" s="31">
        <v>10339</v>
      </c>
      <c r="K34" s="31">
        <v>10407</v>
      </c>
      <c r="L34" s="31">
        <v>12277</v>
      </c>
      <c r="N34" s="702" t="s">
        <v>8019</v>
      </c>
      <c r="O34" s="4"/>
      <c r="Q34" s="4"/>
    </row>
    <row r="35" spans="1:17">
      <c r="A35" s="712">
        <v>17</v>
      </c>
      <c r="B35" s="702" t="s">
        <v>6751</v>
      </c>
      <c r="C35" s="4" t="s">
        <v>9597</v>
      </c>
      <c r="D35" s="705">
        <v>9837</v>
      </c>
      <c r="E35" s="705">
        <v>10348</v>
      </c>
      <c r="F35" s="705">
        <v>10961</v>
      </c>
      <c r="G35" s="705">
        <v>10511</v>
      </c>
      <c r="H35" s="48">
        <v>10230</v>
      </c>
      <c r="I35" s="30">
        <v>9233</v>
      </c>
      <c r="J35" s="30">
        <v>10027</v>
      </c>
      <c r="K35" s="30">
        <v>10636</v>
      </c>
      <c r="L35" s="30">
        <v>11448</v>
      </c>
      <c r="N35" s="702" t="s">
        <v>8016</v>
      </c>
      <c r="O35" s="4"/>
      <c r="Q35" s="4"/>
    </row>
    <row r="36" spans="1:17">
      <c r="A36" s="712">
        <v>18</v>
      </c>
      <c r="B36" s="702" t="s">
        <v>99</v>
      </c>
      <c r="C36" s="4" t="s">
        <v>9598</v>
      </c>
      <c r="D36" s="705">
        <v>10426</v>
      </c>
      <c r="E36" s="705">
        <v>10537</v>
      </c>
      <c r="F36" s="705">
        <v>10451</v>
      </c>
      <c r="G36" s="705">
        <v>10425</v>
      </c>
      <c r="H36" s="48">
        <v>10234</v>
      </c>
      <c r="I36" s="30">
        <v>10239</v>
      </c>
      <c r="J36" s="30">
        <v>10225</v>
      </c>
      <c r="K36" s="30">
        <v>10638</v>
      </c>
      <c r="L36" s="30">
        <v>11112</v>
      </c>
      <c r="N36" s="702" t="s">
        <v>8016</v>
      </c>
      <c r="O36" s="4"/>
      <c r="Q36" s="4"/>
    </row>
    <row r="37" spans="1:17">
      <c r="A37" s="702" t="s">
        <v>7023</v>
      </c>
      <c r="B37" s="702" t="s">
        <v>5417</v>
      </c>
      <c r="C37" s="4" t="s">
        <v>9599</v>
      </c>
      <c r="D37" s="705">
        <v>7061</v>
      </c>
      <c r="E37" s="705">
        <v>7457</v>
      </c>
      <c r="F37" s="705">
        <v>7528</v>
      </c>
      <c r="G37" s="705">
        <v>6959</v>
      </c>
      <c r="H37" s="48">
        <v>7346</v>
      </c>
      <c r="I37" s="31">
        <v>3276</v>
      </c>
      <c r="J37" s="31">
        <v>4488</v>
      </c>
      <c r="K37" s="31">
        <v>4497</v>
      </c>
      <c r="L37" s="31">
        <v>6021</v>
      </c>
      <c r="N37" s="702" t="s">
        <v>8019</v>
      </c>
      <c r="O37" s="4"/>
      <c r="Q37" s="4"/>
    </row>
    <row r="38" spans="1:17">
      <c r="A38" s="702" t="s">
        <v>7025</v>
      </c>
      <c r="B38" s="702" t="s">
        <v>4764</v>
      </c>
      <c r="C38" s="4" t="s">
        <v>9600</v>
      </c>
      <c r="D38" s="705">
        <v>10822</v>
      </c>
      <c r="E38" s="705">
        <v>10903</v>
      </c>
      <c r="F38" s="705">
        <v>10942</v>
      </c>
      <c r="G38" s="705">
        <v>10990</v>
      </c>
      <c r="H38" s="48">
        <v>10908</v>
      </c>
      <c r="I38" s="31">
        <v>10872</v>
      </c>
      <c r="J38" s="31">
        <v>10763</v>
      </c>
      <c r="K38" s="31">
        <v>10969</v>
      </c>
      <c r="L38" s="31">
        <v>11320</v>
      </c>
      <c r="N38" s="702" t="s">
        <v>8019</v>
      </c>
      <c r="O38" s="4"/>
      <c r="Q38" s="4"/>
    </row>
    <row r="39" spans="1:17">
      <c r="D39" s="707"/>
      <c r="E39" s="707"/>
      <c r="F39" s="707"/>
      <c r="G39" s="707"/>
      <c r="H39" s="707"/>
      <c r="I39" s="904"/>
      <c r="J39" s="904"/>
      <c r="K39" s="904"/>
      <c r="L39" s="904"/>
    </row>
    <row r="40" spans="1:17">
      <c r="A40" s="702" t="s">
        <v>4765</v>
      </c>
      <c r="B40" s="702"/>
      <c r="C40" s="702"/>
      <c r="D40" s="711"/>
      <c r="E40" s="711"/>
      <c r="F40" s="711"/>
      <c r="G40" s="711"/>
      <c r="H40" s="711"/>
      <c r="I40" s="711"/>
      <c r="J40" s="711"/>
      <c r="K40" s="711"/>
      <c r="L40" s="711"/>
    </row>
    <row r="41" spans="1:17">
      <c r="A41" s="702"/>
      <c r="B41" s="702"/>
      <c r="C41" s="702"/>
      <c r="D41" s="711"/>
      <c r="E41" s="711"/>
      <c r="F41" s="711"/>
      <c r="G41" s="711"/>
      <c r="H41" s="711"/>
      <c r="I41" s="711"/>
      <c r="J41" s="711"/>
      <c r="K41" s="711"/>
      <c r="L41" s="711"/>
    </row>
    <row r="42" spans="1:17">
      <c r="A42" s="702"/>
      <c r="B42" s="702"/>
      <c r="C42" s="702"/>
      <c r="D42" s="711"/>
      <c r="E42" s="711"/>
      <c r="F42" s="711"/>
      <c r="G42" s="711"/>
      <c r="H42" s="711"/>
      <c r="I42" s="711"/>
      <c r="J42" s="711"/>
      <c r="K42" s="711"/>
      <c r="L42" s="711"/>
    </row>
    <row r="43" spans="1:17">
      <c r="D43" s="110"/>
      <c r="E43" s="110"/>
      <c r="F43" s="110"/>
      <c r="G43" s="110"/>
      <c r="H43" s="110"/>
      <c r="I43" s="110"/>
      <c r="J43" s="110"/>
      <c r="K43" s="110"/>
      <c r="L43" s="110"/>
      <c r="M43" s="109"/>
      <c r="N43" s="109"/>
    </row>
    <row r="44" spans="1:17">
      <c r="D44" s="110"/>
      <c r="E44" s="110"/>
      <c r="F44" s="110"/>
      <c r="G44" s="110"/>
      <c r="H44" s="110"/>
      <c r="I44" s="110"/>
      <c r="J44" s="110"/>
      <c r="K44" s="110"/>
      <c r="L44" s="110"/>
      <c r="M44" s="109"/>
      <c r="N44" s="112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7 E5:E17 F5:F17 G5:G17 H3:H4 H5:H17 I3:I17 J3:J17 K3:K17 L3:L17" unlockedFormula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Y301"/>
  <sheetViews>
    <sheetView showGridLines="0" zoomScaleNormal="100" workbookViewId="0"/>
  </sheetViews>
  <sheetFormatPr defaultColWidth="12.5703125" defaultRowHeight="15"/>
  <cols>
    <col min="1" max="1" width="4.85546875" style="703" customWidth="1"/>
    <col min="2" max="2" width="40.7109375" style="703" customWidth="1"/>
    <col min="3" max="3" width="11.5703125" style="703" customWidth="1"/>
    <col min="4" max="12" width="10" style="703" customWidth="1"/>
    <col min="13" max="13" width="2.28515625" style="703" customWidth="1"/>
    <col min="14" max="14" width="27" style="703" customWidth="1"/>
    <col min="15" max="16384" width="12.5703125" style="703"/>
  </cols>
  <sheetData>
    <row r="1" spans="1:25">
      <c r="A1" s="702" t="s">
        <v>8847</v>
      </c>
      <c r="D1" s="704">
        <v>2010</v>
      </c>
      <c r="E1" s="704">
        <v>2011</v>
      </c>
      <c r="F1" s="704">
        <v>2012</v>
      </c>
      <c r="G1" s="704">
        <v>2013</v>
      </c>
      <c r="H1" s="704">
        <v>2014</v>
      </c>
      <c r="I1" s="704">
        <v>2015</v>
      </c>
      <c r="J1" s="704">
        <v>2016</v>
      </c>
      <c r="K1" s="704">
        <v>2017</v>
      </c>
      <c r="L1" s="704">
        <v>2018</v>
      </c>
    </row>
    <row r="3" spans="1:25">
      <c r="A3" s="702" t="s">
        <v>4766</v>
      </c>
      <c r="D3" s="705">
        <f t="shared" ref="D3:I3" si="0">SUM(D5:D11)</f>
        <v>593204</v>
      </c>
      <c r="E3" s="705">
        <f t="shared" si="0"/>
        <v>595999</v>
      </c>
      <c r="F3" s="705">
        <f t="shared" si="0"/>
        <v>597395</v>
      </c>
      <c r="G3" s="705">
        <f t="shared" si="0"/>
        <v>599890</v>
      </c>
      <c r="H3" s="705">
        <f t="shared" si="0"/>
        <v>584697</v>
      </c>
      <c r="I3" s="705">
        <f t="shared" si="0"/>
        <v>583498</v>
      </c>
      <c r="J3" s="705">
        <f t="shared" ref="J3:K3" si="1">SUM(J5:J11)</f>
        <v>581650</v>
      </c>
      <c r="K3" s="705">
        <f t="shared" si="1"/>
        <v>594952</v>
      </c>
      <c r="L3" s="705">
        <f t="shared" ref="L3" si="2">SUM(L5:L11)</f>
        <v>597320</v>
      </c>
    </row>
    <row r="4" spans="1:25" ht="15.75" customHeight="1">
      <c r="A4" s="20"/>
      <c r="B4" s="20"/>
      <c r="C4" s="20"/>
      <c r="D4" s="21"/>
      <c r="E4" s="21"/>
      <c r="F4" s="21"/>
      <c r="G4" s="21"/>
      <c r="H4" s="21"/>
      <c r="I4" s="21"/>
      <c r="J4" s="21"/>
      <c r="K4" s="21"/>
      <c r="L4" s="21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ht="15" customHeight="1">
      <c r="A5" s="702" t="s">
        <v>4767</v>
      </c>
      <c r="C5" s="702"/>
      <c r="D5" s="705">
        <f t="shared" ref="D5:I5" si="3">D50</f>
        <v>90381</v>
      </c>
      <c r="E5" s="705">
        <f t="shared" si="3"/>
        <v>89647</v>
      </c>
      <c r="F5" s="705">
        <f t="shared" si="3"/>
        <v>90993</v>
      </c>
      <c r="G5" s="705">
        <f t="shared" si="3"/>
        <v>91360</v>
      </c>
      <c r="H5" s="705">
        <f t="shared" si="3"/>
        <v>86925</v>
      </c>
      <c r="I5" s="705">
        <f t="shared" si="3"/>
        <v>89567</v>
      </c>
      <c r="J5" s="705">
        <f t="shared" ref="J5:K5" si="4">J50</f>
        <v>90473</v>
      </c>
      <c r="K5" s="705">
        <f t="shared" si="4"/>
        <v>91469</v>
      </c>
      <c r="L5" s="705">
        <f t="shared" ref="L5" si="5">L50</f>
        <v>92262</v>
      </c>
      <c r="N5" s="706"/>
    </row>
    <row r="6" spans="1:25">
      <c r="A6" s="702" t="s">
        <v>4768</v>
      </c>
      <c r="C6" s="702"/>
      <c r="D6" s="705">
        <f t="shared" ref="D6:I6" si="6">D83</f>
        <v>83556</v>
      </c>
      <c r="E6" s="705">
        <f t="shared" si="6"/>
        <v>85194</v>
      </c>
      <c r="F6" s="705">
        <f t="shared" si="6"/>
        <v>84495</v>
      </c>
      <c r="G6" s="705">
        <f t="shared" si="6"/>
        <v>85384</v>
      </c>
      <c r="H6" s="705">
        <f t="shared" si="6"/>
        <v>84812</v>
      </c>
      <c r="I6" s="705">
        <f t="shared" si="6"/>
        <v>82635</v>
      </c>
      <c r="J6" s="705">
        <f t="shared" ref="J6:K6" si="7">J83</f>
        <v>83683</v>
      </c>
      <c r="K6" s="705">
        <f t="shared" si="7"/>
        <v>84587</v>
      </c>
      <c r="L6" s="705">
        <f t="shared" ref="L6" si="8">L83</f>
        <v>84201</v>
      </c>
      <c r="N6" s="706"/>
    </row>
    <row r="7" spans="1:25">
      <c r="A7" s="702" t="s">
        <v>4769</v>
      </c>
      <c r="C7" s="702"/>
      <c r="D7" s="705">
        <f t="shared" ref="D7:I7" si="9">D118</f>
        <v>82815</v>
      </c>
      <c r="E7" s="705">
        <f t="shared" si="9"/>
        <v>83413</v>
      </c>
      <c r="F7" s="705">
        <f t="shared" si="9"/>
        <v>83728</v>
      </c>
      <c r="G7" s="705">
        <f t="shared" si="9"/>
        <v>83060</v>
      </c>
      <c r="H7" s="705">
        <f t="shared" si="9"/>
        <v>79977</v>
      </c>
      <c r="I7" s="705">
        <f t="shared" si="9"/>
        <v>80645</v>
      </c>
      <c r="J7" s="705">
        <f t="shared" ref="J7:K7" si="10">J118</f>
        <v>80641</v>
      </c>
      <c r="K7" s="705">
        <f t="shared" si="10"/>
        <v>82766</v>
      </c>
      <c r="L7" s="705">
        <f t="shared" ref="L7" si="11">L118</f>
        <v>82674</v>
      </c>
      <c r="N7" s="706"/>
    </row>
    <row r="8" spans="1:25">
      <c r="A8" s="702" t="s">
        <v>4770</v>
      </c>
      <c r="C8" s="702"/>
      <c r="D8" s="705">
        <f t="shared" ref="D8:I8" si="12">D150</f>
        <v>87612</v>
      </c>
      <c r="E8" s="705">
        <f t="shared" si="12"/>
        <v>87700</v>
      </c>
      <c r="F8" s="705">
        <f t="shared" si="12"/>
        <v>87412</v>
      </c>
      <c r="G8" s="705">
        <f t="shared" si="12"/>
        <v>88706</v>
      </c>
      <c r="H8" s="705">
        <f t="shared" si="12"/>
        <v>85183</v>
      </c>
      <c r="I8" s="705">
        <f t="shared" si="12"/>
        <v>85895</v>
      </c>
      <c r="J8" s="705">
        <f t="shared" ref="J8:K8" si="13">J150</f>
        <v>85825</v>
      </c>
      <c r="K8" s="705">
        <f t="shared" si="13"/>
        <v>88234</v>
      </c>
      <c r="L8" s="705">
        <f t="shared" ref="L8" si="14">L150</f>
        <v>88369</v>
      </c>
      <c r="N8" s="706"/>
    </row>
    <row r="9" spans="1:25">
      <c r="A9" s="702" t="s">
        <v>4771</v>
      </c>
      <c r="C9" s="702"/>
      <c r="D9" s="705">
        <f t="shared" ref="D9:I9" si="15">D185</f>
        <v>80247</v>
      </c>
      <c r="E9" s="705">
        <f t="shared" si="15"/>
        <v>79849</v>
      </c>
      <c r="F9" s="705">
        <f t="shared" si="15"/>
        <v>79748</v>
      </c>
      <c r="G9" s="705">
        <f t="shared" si="15"/>
        <v>79714</v>
      </c>
      <c r="H9" s="705">
        <f t="shared" si="15"/>
        <v>75412</v>
      </c>
      <c r="I9" s="705">
        <f t="shared" si="15"/>
        <v>77022</v>
      </c>
      <c r="J9" s="705">
        <f t="shared" ref="J9:K9" si="16">J185</f>
        <v>74066</v>
      </c>
      <c r="K9" s="705">
        <f t="shared" si="16"/>
        <v>76353</v>
      </c>
      <c r="L9" s="705">
        <f t="shared" ref="L9" si="17">L185</f>
        <v>76181</v>
      </c>
      <c r="N9" s="706"/>
    </row>
    <row r="10" spans="1:25" s="20" customFormat="1">
      <c r="A10" s="702" t="s">
        <v>4772</v>
      </c>
      <c r="C10" s="702"/>
      <c r="D10" s="705">
        <f t="shared" ref="D10:I10" si="18">D230</f>
        <v>84062</v>
      </c>
      <c r="E10" s="705">
        <f t="shared" si="18"/>
        <v>84788</v>
      </c>
      <c r="F10" s="705">
        <f t="shared" si="18"/>
        <v>85099</v>
      </c>
      <c r="G10" s="705">
        <f t="shared" si="18"/>
        <v>84985</v>
      </c>
      <c r="H10" s="705">
        <f t="shared" si="18"/>
        <v>85748</v>
      </c>
      <c r="I10" s="705">
        <f t="shared" si="18"/>
        <v>83432</v>
      </c>
      <c r="J10" s="705">
        <f t="shared" ref="J10:K10" si="19">J230</f>
        <v>82713</v>
      </c>
      <c r="K10" s="705">
        <f t="shared" si="19"/>
        <v>85751</v>
      </c>
      <c r="L10" s="705">
        <f t="shared" ref="L10" si="20">L230</f>
        <v>87110</v>
      </c>
      <c r="M10" s="703"/>
      <c r="N10" s="706"/>
      <c r="O10" s="703"/>
      <c r="P10" s="703"/>
      <c r="Q10" s="703"/>
      <c r="R10" s="703"/>
      <c r="S10" s="703"/>
      <c r="T10" s="703"/>
      <c r="U10" s="703"/>
      <c r="V10" s="703"/>
      <c r="W10" s="703"/>
      <c r="X10" s="703"/>
      <c r="Y10" s="703"/>
    </row>
    <row r="11" spans="1:25">
      <c r="A11" s="702" t="s">
        <v>4796</v>
      </c>
      <c r="C11" s="702"/>
      <c r="D11" s="705">
        <f t="shared" ref="D11:I11" si="21">D267</f>
        <v>84531</v>
      </c>
      <c r="E11" s="705">
        <f t="shared" si="21"/>
        <v>85408</v>
      </c>
      <c r="F11" s="705">
        <f t="shared" si="21"/>
        <v>85920</v>
      </c>
      <c r="G11" s="705">
        <f t="shared" si="21"/>
        <v>86681</v>
      </c>
      <c r="H11" s="705">
        <f t="shared" si="21"/>
        <v>86640</v>
      </c>
      <c r="I11" s="705">
        <f t="shared" si="21"/>
        <v>84302</v>
      </c>
      <c r="J11" s="705">
        <f t="shared" ref="J11:K11" si="22">J267</f>
        <v>84249</v>
      </c>
      <c r="K11" s="705">
        <f t="shared" si="22"/>
        <v>85792</v>
      </c>
      <c r="L11" s="705">
        <f t="shared" ref="L11" si="23">L267</f>
        <v>86523</v>
      </c>
      <c r="N11" s="706"/>
    </row>
    <row r="12" spans="1:25">
      <c r="B12" s="702"/>
      <c r="C12" s="702"/>
      <c r="D12" s="705"/>
      <c r="E12" s="705"/>
      <c r="F12" s="705"/>
      <c r="G12" s="705"/>
      <c r="H12" s="705"/>
      <c r="I12" s="705"/>
      <c r="J12" s="705"/>
      <c r="K12" s="705"/>
      <c r="L12" s="705"/>
      <c r="N12" s="706"/>
    </row>
    <row r="13" spans="1:25">
      <c r="A13" s="702" t="s">
        <v>1542</v>
      </c>
      <c r="D13" s="705">
        <f t="shared" ref="D13:I13" si="24">D3/8</f>
        <v>74150.5</v>
      </c>
      <c r="E13" s="705">
        <f t="shared" si="24"/>
        <v>74499.875</v>
      </c>
      <c r="F13" s="705">
        <f t="shared" si="24"/>
        <v>74674.375</v>
      </c>
      <c r="G13" s="705">
        <f t="shared" si="24"/>
        <v>74986.25</v>
      </c>
      <c r="H13" s="705">
        <f t="shared" si="24"/>
        <v>73087.125</v>
      </c>
      <c r="I13" s="705">
        <f t="shared" si="24"/>
        <v>72937.25</v>
      </c>
      <c r="J13" s="705">
        <f t="shared" ref="J13:K13" si="25">J3/8</f>
        <v>72706.25</v>
      </c>
      <c r="K13" s="705">
        <f t="shared" si="25"/>
        <v>74369</v>
      </c>
      <c r="L13" s="705">
        <f t="shared" ref="L13" si="26">L3/8</f>
        <v>74665</v>
      </c>
    </row>
    <row r="14" spans="1:25">
      <c r="D14" s="707"/>
      <c r="E14" s="707"/>
      <c r="F14" s="707"/>
      <c r="G14" s="707"/>
      <c r="H14" s="707"/>
      <c r="I14" s="707"/>
      <c r="J14" s="707"/>
      <c r="K14" s="707"/>
      <c r="L14" s="707"/>
    </row>
    <row r="15" spans="1:25">
      <c r="A15" s="702" t="s">
        <v>3098</v>
      </c>
      <c r="D15" s="705">
        <f t="shared" ref="D15:I15" si="27">D75</f>
        <v>66317</v>
      </c>
      <c r="E15" s="705">
        <f t="shared" si="27"/>
        <v>65597</v>
      </c>
      <c r="F15" s="705">
        <f t="shared" si="27"/>
        <v>66467</v>
      </c>
      <c r="G15" s="705">
        <f t="shared" si="27"/>
        <v>66614</v>
      </c>
      <c r="H15" s="705">
        <f t="shared" si="27"/>
        <v>63448</v>
      </c>
      <c r="I15" s="705">
        <f t="shared" si="27"/>
        <v>65206</v>
      </c>
      <c r="J15" s="705">
        <f t="shared" ref="J15:K15" si="28">J75</f>
        <v>65548</v>
      </c>
      <c r="K15" s="705">
        <f t="shared" si="28"/>
        <v>66090</v>
      </c>
      <c r="L15" s="705">
        <f t="shared" ref="L15" si="29">L75</f>
        <v>66268</v>
      </c>
      <c r="N15" s="702" t="s">
        <v>3099</v>
      </c>
    </row>
    <row r="16" spans="1:25" ht="15.75" thickBot="1">
      <c r="D16" s="708">
        <f t="shared" ref="D16:I16" si="30">D142</f>
        <v>11375</v>
      </c>
      <c r="E16" s="708">
        <f t="shared" si="30"/>
        <v>11452</v>
      </c>
      <c r="F16" s="708">
        <f t="shared" si="30"/>
        <v>11395</v>
      </c>
      <c r="G16" s="708">
        <f t="shared" si="30"/>
        <v>11404</v>
      </c>
      <c r="H16" s="708">
        <f t="shared" si="30"/>
        <v>10897</v>
      </c>
      <c r="I16" s="708">
        <f t="shared" si="30"/>
        <v>10997</v>
      </c>
      <c r="J16" s="708">
        <f t="shared" ref="J16:K16" si="31">J142</f>
        <v>10942</v>
      </c>
      <c r="K16" s="708">
        <f t="shared" si="31"/>
        <v>11200</v>
      </c>
      <c r="L16" s="708">
        <f t="shared" ref="L16" si="32">L142</f>
        <v>11210</v>
      </c>
      <c r="N16" s="702" t="s">
        <v>3100</v>
      </c>
    </row>
    <row r="17" spans="1:14" ht="15.75" thickBot="1">
      <c r="D17" s="708">
        <f t="shared" ref="D17:I17" si="33">D15+D16</f>
        <v>77692</v>
      </c>
      <c r="E17" s="708">
        <f t="shared" si="33"/>
        <v>77049</v>
      </c>
      <c r="F17" s="708">
        <f t="shared" si="33"/>
        <v>77862</v>
      </c>
      <c r="G17" s="708">
        <f t="shared" si="33"/>
        <v>78018</v>
      </c>
      <c r="H17" s="708">
        <f t="shared" si="33"/>
        <v>74345</v>
      </c>
      <c r="I17" s="708">
        <f t="shared" si="33"/>
        <v>76203</v>
      </c>
      <c r="J17" s="708">
        <f t="shared" ref="J17:K17" si="34">J15+J16</f>
        <v>76490</v>
      </c>
      <c r="K17" s="708">
        <f t="shared" si="34"/>
        <v>77290</v>
      </c>
      <c r="L17" s="708">
        <f t="shared" ref="L17" si="35">L15+L16</f>
        <v>77478</v>
      </c>
    </row>
    <row r="18" spans="1:14">
      <c r="D18" s="707"/>
      <c r="E18" s="707"/>
      <c r="F18" s="707"/>
      <c r="G18" s="707"/>
      <c r="H18" s="707"/>
      <c r="I18" s="707"/>
      <c r="J18" s="707"/>
      <c r="K18" s="707"/>
      <c r="L18" s="707"/>
    </row>
    <row r="19" spans="1:14">
      <c r="A19" s="702" t="s">
        <v>3101</v>
      </c>
      <c r="D19" s="705">
        <f t="shared" ref="D19:I19" si="36">D110</f>
        <v>76741</v>
      </c>
      <c r="E19" s="705">
        <f t="shared" si="36"/>
        <v>78306</v>
      </c>
      <c r="F19" s="705">
        <f t="shared" si="36"/>
        <v>77724</v>
      </c>
      <c r="G19" s="705">
        <f t="shared" si="36"/>
        <v>78482</v>
      </c>
      <c r="H19" s="705">
        <f t="shared" si="36"/>
        <v>77996</v>
      </c>
      <c r="I19" s="705">
        <f t="shared" si="36"/>
        <v>75910</v>
      </c>
      <c r="J19" s="705">
        <f t="shared" ref="J19:K19" si="37">J110</f>
        <v>76764</v>
      </c>
      <c r="K19" s="705">
        <f t="shared" si="37"/>
        <v>77546</v>
      </c>
      <c r="L19" s="705">
        <f t="shared" ref="L19" si="38">L110</f>
        <v>77184</v>
      </c>
      <c r="N19" s="702" t="s">
        <v>3102</v>
      </c>
    </row>
    <row r="20" spans="1:14">
      <c r="D20" s="707"/>
      <c r="E20" s="707"/>
      <c r="F20" s="707"/>
      <c r="G20" s="707"/>
      <c r="H20" s="707"/>
      <c r="I20" s="707"/>
      <c r="J20" s="707"/>
      <c r="K20" s="707"/>
      <c r="L20" s="707"/>
    </row>
    <row r="21" spans="1:14">
      <c r="A21" s="702" t="s">
        <v>3103</v>
      </c>
      <c r="D21" s="705">
        <f t="shared" ref="D21:I21" si="39">D143</f>
        <v>71440</v>
      </c>
      <c r="E21" s="705">
        <f t="shared" si="39"/>
        <v>71961</v>
      </c>
      <c r="F21" s="705">
        <f t="shared" si="39"/>
        <v>72333</v>
      </c>
      <c r="G21" s="705">
        <f t="shared" si="39"/>
        <v>71656</v>
      </c>
      <c r="H21" s="705">
        <f t="shared" si="39"/>
        <v>69080</v>
      </c>
      <c r="I21" s="705">
        <f t="shared" si="39"/>
        <v>69648</v>
      </c>
      <c r="J21" s="705">
        <f t="shared" ref="J21:K21" si="40">J143</f>
        <v>69699</v>
      </c>
      <c r="K21" s="705">
        <f t="shared" si="40"/>
        <v>71566</v>
      </c>
      <c r="L21" s="705">
        <f t="shared" ref="L21" si="41">L143</f>
        <v>71464</v>
      </c>
      <c r="N21" s="702" t="s">
        <v>3100</v>
      </c>
    </row>
    <row r="22" spans="1:14">
      <c r="D22" s="707"/>
      <c r="E22" s="707"/>
      <c r="F22" s="707"/>
      <c r="G22" s="707"/>
      <c r="H22" s="707"/>
      <c r="I22" s="707"/>
      <c r="J22" s="707"/>
      <c r="K22" s="707"/>
      <c r="L22" s="707"/>
    </row>
    <row r="23" spans="1:14">
      <c r="A23" s="702" t="s">
        <v>3104</v>
      </c>
      <c r="D23" s="705">
        <f t="shared" ref="D23:I23" si="42">D177</f>
        <v>70989</v>
      </c>
      <c r="E23" s="705">
        <f t="shared" si="42"/>
        <v>70886</v>
      </c>
      <c r="F23" s="705">
        <f t="shared" si="42"/>
        <v>70420</v>
      </c>
      <c r="G23" s="705">
        <f t="shared" si="42"/>
        <v>71511</v>
      </c>
      <c r="H23" s="705">
        <f t="shared" si="42"/>
        <v>68307</v>
      </c>
      <c r="I23" s="705">
        <f t="shared" si="42"/>
        <v>68950</v>
      </c>
      <c r="J23" s="705">
        <f t="shared" ref="J23:K23" si="43">J177</f>
        <v>68900</v>
      </c>
      <c r="K23" s="705">
        <f t="shared" si="43"/>
        <v>70782</v>
      </c>
      <c r="L23" s="705">
        <f t="shared" ref="L23" si="44">L177</f>
        <v>70818</v>
      </c>
      <c r="N23" s="702" t="s">
        <v>3105</v>
      </c>
    </row>
    <row r="24" spans="1:14">
      <c r="D24" s="707"/>
      <c r="E24" s="707"/>
      <c r="F24" s="707"/>
      <c r="G24" s="707"/>
      <c r="H24" s="707"/>
      <c r="I24" s="707"/>
      <c r="J24" s="707"/>
      <c r="K24" s="707"/>
      <c r="L24" s="707"/>
    </row>
    <row r="25" spans="1:14">
      <c r="A25" s="702" t="s">
        <v>3106</v>
      </c>
      <c r="D25" s="705">
        <f t="shared" ref="D25:I25" si="45">D223</f>
        <v>80247</v>
      </c>
      <c r="E25" s="705">
        <f t="shared" si="45"/>
        <v>79849</v>
      </c>
      <c r="F25" s="705">
        <f t="shared" si="45"/>
        <v>79748</v>
      </c>
      <c r="G25" s="705">
        <f t="shared" si="45"/>
        <v>79714</v>
      </c>
      <c r="H25" s="705">
        <f t="shared" si="45"/>
        <v>75412</v>
      </c>
      <c r="I25" s="705">
        <f t="shared" si="45"/>
        <v>77022</v>
      </c>
      <c r="J25" s="705">
        <f t="shared" ref="J25:K25" si="46">J223</f>
        <v>74066</v>
      </c>
      <c r="K25" s="705">
        <f t="shared" si="46"/>
        <v>76353</v>
      </c>
      <c r="L25" s="705">
        <f t="shared" ref="L25" si="47">L223</f>
        <v>76181</v>
      </c>
      <c r="N25" s="702" t="s">
        <v>5576</v>
      </c>
    </row>
    <row r="26" spans="1:14">
      <c r="D26" s="707"/>
      <c r="E26" s="707"/>
      <c r="F26" s="707"/>
      <c r="G26" s="707"/>
      <c r="H26" s="707"/>
      <c r="I26" s="707"/>
      <c r="J26" s="707"/>
      <c r="K26" s="707"/>
      <c r="L26" s="707"/>
    </row>
    <row r="27" spans="1:14">
      <c r="A27" s="702" t="s">
        <v>3107</v>
      </c>
      <c r="D27" s="705">
        <f t="shared" ref="D27:I27" si="48">D111</f>
        <v>6815</v>
      </c>
      <c r="E27" s="705">
        <f t="shared" si="48"/>
        <v>6888</v>
      </c>
      <c r="F27" s="705">
        <f t="shared" si="48"/>
        <v>6771</v>
      </c>
      <c r="G27" s="705">
        <f t="shared" si="48"/>
        <v>6902</v>
      </c>
      <c r="H27" s="705">
        <f t="shared" si="48"/>
        <v>6816</v>
      </c>
      <c r="I27" s="705">
        <f t="shared" si="48"/>
        <v>6725</v>
      </c>
      <c r="J27" s="705">
        <f t="shared" ref="J27:K27" si="49">J111</f>
        <v>6919</v>
      </c>
      <c r="K27" s="705">
        <f t="shared" si="49"/>
        <v>7041</v>
      </c>
      <c r="L27" s="705">
        <f t="shared" ref="L27" si="50">L111</f>
        <v>7017</v>
      </c>
      <c r="N27" s="702" t="s">
        <v>3102</v>
      </c>
    </row>
    <row r="28" spans="1:14">
      <c r="D28" s="709">
        <f t="shared" ref="D28:I28" si="51">D259</f>
        <v>53078</v>
      </c>
      <c r="E28" s="709">
        <f t="shared" si="51"/>
        <v>53541</v>
      </c>
      <c r="F28" s="709">
        <f t="shared" si="51"/>
        <v>53720</v>
      </c>
      <c r="G28" s="709">
        <f t="shared" si="51"/>
        <v>53802</v>
      </c>
      <c r="H28" s="709">
        <f t="shared" si="51"/>
        <v>54396</v>
      </c>
      <c r="I28" s="709">
        <f t="shared" si="51"/>
        <v>53076</v>
      </c>
      <c r="J28" s="709">
        <f t="shared" ref="J28:K28" si="52">J259</f>
        <v>52512</v>
      </c>
      <c r="K28" s="709">
        <f t="shared" si="52"/>
        <v>54201</v>
      </c>
      <c r="L28" s="709">
        <f t="shared" ref="L28" si="53">L259</f>
        <v>54858</v>
      </c>
      <c r="N28" s="702" t="s">
        <v>3108</v>
      </c>
    </row>
    <row r="29" spans="1:14" ht="15.75" thickBot="1">
      <c r="D29" s="708">
        <f t="shared" ref="D29:I29" si="54">D298</f>
        <v>11757</v>
      </c>
      <c r="E29" s="708">
        <f t="shared" si="54"/>
        <v>11978</v>
      </c>
      <c r="F29" s="708">
        <f t="shared" si="54"/>
        <v>12135</v>
      </c>
      <c r="G29" s="708">
        <f t="shared" si="54"/>
        <v>12357</v>
      </c>
      <c r="H29" s="708">
        <f t="shared" si="54"/>
        <v>12443</v>
      </c>
      <c r="I29" s="708">
        <f t="shared" si="54"/>
        <v>12392</v>
      </c>
      <c r="J29" s="708">
        <f t="shared" ref="J29:K29" si="55">J298</f>
        <v>12352</v>
      </c>
      <c r="K29" s="708">
        <f t="shared" si="55"/>
        <v>12510</v>
      </c>
      <c r="L29" s="708">
        <f t="shared" ref="L29" si="56">L298</f>
        <v>12572</v>
      </c>
      <c r="N29" s="702" t="s">
        <v>3109</v>
      </c>
    </row>
    <row r="30" spans="1:14" ht="15.75" thickBot="1">
      <c r="D30" s="708">
        <f t="shared" ref="D30:I30" si="57">SUM(D27:D29)</f>
        <v>71650</v>
      </c>
      <c r="E30" s="708">
        <f t="shared" si="57"/>
        <v>72407</v>
      </c>
      <c r="F30" s="708">
        <f t="shared" si="57"/>
        <v>72626</v>
      </c>
      <c r="G30" s="708">
        <f t="shared" si="57"/>
        <v>73061</v>
      </c>
      <c r="H30" s="708">
        <f t="shared" si="57"/>
        <v>73655</v>
      </c>
      <c r="I30" s="708">
        <f t="shared" si="57"/>
        <v>72193</v>
      </c>
      <c r="J30" s="708">
        <f t="shared" ref="J30:K30" si="58">SUM(J27:J29)</f>
        <v>71783</v>
      </c>
      <c r="K30" s="708">
        <f t="shared" si="58"/>
        <v>73752</v>
      </c>
      <c r="L30" s="708">
        <f t="shared" ref="L30" si="59">SUM(L27:L29)</f>
        <v>74447</v>
      </c>
    </row>
    <row r="31" spans="1:14">
      <c r="D31" s="707"/>
      <c r="E31" s="707"/>
      <c r="F31" s="707"/>
      <c r="G31" s="707"/>
      <c r="H31" s="707"/>
      <c r="I31" s="707"/>
      <c r="J31" s="707"/>
      <c r="K31" s="707"/>
      <c r="L31" s="707"/>
    </row>
    <row r="32" spans="1:14">
      <c r="A32" s="702" t="s">
        <v>3110</v>
      </c>
      <c r="D32" s="705">
        <f t="shared" ref="D32:I32" si="60">D299</f>
        <v>72774</v>
      </c>
      <c r="E32" s="705">
        <f t="shared" si="60"/>
        <v>73430</v>
      </c>
      <c r="F32" s="705">
        <f t="shared" si="60"/>
        <v>73785</v>
      </c>
      <c r="G32" s="705">
        <f t="shared" si="60"/>
        <v>74324</v>
      </c>
      <c r="H32" s="705">
        <f t="shared" si="60"/>
        <v>74197</v>
      </c>
      <c r="I32" s="705">
        <f t="shared" si="60"/>
        <v>71910</v>
      </c>
      <c r="J32" s="705">
        <f t="shared" ref="J32:K32" si="61">J299</f>
        <v>71897</v>
      </c>
      <c r="K32" s="705">
        <f t="shared" si="61"/>
        <v>73282</v>
      </c>
      <c r="L32" s="705">
        <f t="shared" ref="L32" si="62">L299</f>
        <v>73951</v>
      </c>
      <c r="N32" s="702" t="s">
        <v>3109</v>
      </c>
    </row>
    <row r="33" spans="1:14">
      <c r="D33" s="707"/>
      <c r="E33" s="707"/>
      <c r="F33" s="707"/>
      <c r="G33" s="707"/>
      <c r="H33" s="707"/>
      <c r="I33" s="707"/>
      <c r="J33" s="707"/>
      <c r="K33" s="707"/>
      <c r="L33" s="707"/>
    </row>
    <row r="34" spans="1:14">
      <c r="A34" s="702" t="s">
        <v>3111</v>
      </c>
      <c r="D34" s="705">
        <f t="shared" ref="D34:I34" si="63">D76</f>
        <v>24064</v>
      </c>
      <c r="E34" s="705">
        <f t="shared" si="63"/>
        <v>24050</v>
      </c>
      <c r="F34" s="705">
        <f t="shared" si="63"/>
        <v>24526</v>
      </c>
      <c r="G34" s="705">
        <f t="shared" si="63"/>
        <v>24746</v>
      </c>
      <c r="H34" s="705">
        <f t="shared" si="63"/>
        <v>23477</v>
      </c>
      <c r="I34" s="705">
        <f t="shared" si="63"/>
        <v>24361</v>
      </c>
      <c r="J34" s="705">
        <f t="shared" ref="J34:K34" si="64">J76</f>
        <v>24925</v>
      </c>
      <c r="K34" s="705">
        <f t="shared" si="64"/>
        <v>25379</v>
      </c>
      <c r="L34" s="705">
        <f t="shared" ref="L34" si="65">L76</f>
        <v>25994</v>
      </c>
      <c r="N34" s="702" t="s">
        <v>3099</v>
      </c>
    </row>
    <row r="35" spans="1:14">
      <c r="D35" s="705">
        <f t="shared" ref="D35:I35" si="66">D178</f>
        <v>16623</v>
      </c>
      <c r="E35" s="705">
        <f t="shared" si="66"/>
        <v>16814</v>
      </c>
      <c r="F35" s="705">
        <f t="shared" si="66"/>
        <v>16992</v>
      </c>
      <c r="G35" s="705">
        <f t="shared" si="66"/>
        <v>17195</v>
      </c>
      <c r="H35" s="705">
        <f t="shared" si="66"/>
        <v>16876</v>
      </c>
      <c r="I35" s="705">
        <f t="shared" si="66"/>
        <v>16945</v>
      </c>
      <c r="J35" s="705">
        <f t="shared" ref="J35:K35" si="67">J178</f>
        <v>16925</v>
      </c>
      <c r="K35" s="705">
        <f t="shared" si="67"/>
        <v>17452</v>
      </c>
      <c r="L35" s="705">
        <f t="shared" ref="L35" si="68">L178</f>
        <v>17551</v>
      </c>
      <c r="N35" s="702" t="s">
        <v>3105</v>
      </c>
    </row>
    <row r="36" spans="1:14" ht="15.75" thickBot="1">
      <c r="D36" s="708">
        <f t="shared" ref="D36:I36" si="69">D260</f>
        <v>30984</v>
      </c>
      <c r="E36" s="708">
        <f t="shared" si="69"/>
        <v>31247</v>
      </c>
      <c r="F36" s="708">
        <f t="shared" si="69"/>
        <v>31379</v>
      </c>
      <c r="G36" s="708">
        <f t="shared" si="69"/>
        <v>31183</v>
      </c>
      <c r="H36" s="708">
        <f t="shared" si="69"/>
        <v>31352</v>
      </c>
      <c r="I36" s="708">
        <f t="shared" si="69"/>
        <v>30356</v>
      </c>
      <c r="J36" s="708">
        <f t="shared" ref="J36:K36" si="70">J260</f>
        <v>30201</v>
      </c>
      <c r="K36" s="708">
        <f t="shared" si="70"/>
        <v>31550</v>
      </c>
      <c r="L36" s="708">
        <f t="shared" ref="L36" si="71">L260</f>
        <v>32252</v>
      </c>
      <c r="N36" s="702" t="s">
        <v>3108</v>
      </c>
    </row>
    <row r="37" spans="1:14" ht="15.75" thickBot="1">
      <c r="D37" s="708">
        <f t="shared" ref="D37:I37" si="72">SUM(D34:D36)</f>
        <v>71671</v>
      </c>
      <c r="E37" s="708">
        <f t="shared" si="72"/>
        <v>72111</v>
      </c>
      <c r="F37" s="708">
        <f t="shared" si="72"/>
        <v>72897</v>
      </c>
      <c r="G37" s="708">
        <f t="shared" si="72"/>
        <v>73124</v>
      </c>
      <c r="H37" s="708">
        <f t="shared" si="72"/>
        <v>71705</v>
      </c>
      <c r="I37" s="708">
        <f t="shared" si="72"/>
        <v>71662</v>
      </c>
      <c r="J37" s="708">
        <f t="shared" ref="J37:K37" si="73">SUM(J34:J36)</f>
        <v>72051</v>
      </c>
      <c r="K37" s="708">
        <f t="shared" si="73"/>
        <v>74381</v>
      </c>
      <c r="L37" s="708">
        <f t="shared" ref="L37" si="74">SUM(L34:L36)</f>
        <v>75797</v>
      </c>
    </row>
    <row r="38" spans="1:14">
      <c r="D38" s="707"/>
      <c r="E38" s="707"/>
      <c r="F38" s="707"/>
      <c r="G38" s="707"/>
      <c r="H38" s="707"/>
      <c r="I38" s="707"/>
      <c r="J38" s="707"/>
      <c r="K38" s="707"/>
      <c r="L38" s="707"/>
    </row>
    <row r="39" spans="1:14">
      <c r="A39" s="702" t="s">
        <v>8697</v>
      </c>
      <c r="D39" s="705">
        <f t="shared" ref="D39:I39" si="75">D17+D19+D21+D23+D25+D30+D32+D37</f>
        <v>593204</v>
      </c>
      <c r="E39" s="705">
        <f t="shared" si="75"/>
        <v>595999</v>
      </c>
      <c r="F39" s="705">
        <f t="shared" si="75"/>
        <v>597395</v>
      </c>
      <c r="G39" s="705">
        <f t="shared" si="75"/>
        <v>599890</v>
      </c>
      <c r="H39" s="705">
        <f t="shared" si="75"/>
        <v>584697</v>
      </c>
      <c r="I39" s="705">
        <f t="shared" si="75"/>
        <v>583498</v>
      </c>
      <c r="J39" s="705">
        <f t="shared" ref="J39:K39" si="76">J17+J19+J21+J23+J25+J30+J32+J37</f>
        <v>581650</v>
      </c>
      <c r="K39" s="705">
        <f t="shared" si="76"/>
        <v>594952</v>
      </c>
      <c r="L39" s="705">
        <f t="shared" ref="L39" si="77">L17+L19+L21+L23+L25+L30+L32+L37</f>
        <v>597320</v>
      </c>
    </row>
    <row r="40" spans="1:14">
      <c r="D40" s="707"/>
      <c r="E40" s="707"/>
      <c r="F40" s="707"/>
      <c r="G40" s="707"/>
      <c r="H40" s="707"/>
      <c r="I40" s="707"/>
      <c r="J40" s="707"/>
      <c r="K40" s="707"/>
      <c r="L40" s="707"/>
    </row>
    <row r="41" spans="1:14">
      <c r="A41" s="702" t="s">
        <v>8698</v>
      </c>
      <c r="D41" s="705">
        <f t="shared" ref="D41:I41" si="78">MAX(D17,D19,D21,D23,D25,D30,D32,D37)-MIN(D17,D19,D21,D23,D25,D30,D32,D37)</f>
        <v>9258</v>
      </c>
      <c r="E41" s="705">
        <f t="shared" si="78"/>
        <v>8963</v>
      </c>
      <c r="F41" s="705">
        <f t="shared" si="78"/>
        <v>9328</v>
      </c>
      <c r="G41" s="705">
        <f t="shared" si="78"/>
        <v>8203</v>
      </c>
      <c r="H41" s="705">
        <f t="shared" si="78"/>
        <v>9689</v>
      </c>
      <c r="I41" s="705">
        <f t="shared" si="78"/>
        <v>8072</v>
      </c>
      <c r="J41" s="705">
        <f t="shared" ref="J41:K41" si="79">MAX(J17,J19,J21,J23,J25,J30,J32,J37)-MIN(J17,J19,J21,J23,J25,J30,J32,J37)</f>
        <v>7864</v>
      </c>
      <c r="K41" s="705">
        <f t="shared" si="79"/>
        <v>6764</v>
      </c>
      <c r="L41" s="705">
        <f t="shared" ref="L41" si="80">MAX(L17,L19,L21,L23,L25,L30,L32,L37)-MIN(L17,L19,L21,L23,L25,L30,L32,L37)</f>
        <v>6660</v>
      </c>
    </row>
    <row r="42" spans="1:14">
      <c r="D42" s="707"/>
      <c r="E42" s="707"/>
      <c r="F42" s="707"/>
      <c r="G42" s="707"/>
      <c r="H42" s="707"/>
      <c r="I42" s="707"/>
      <c r="J42" s="707"/>
      <c r="K42" s="707"/>
      <c r="L42" s="707"/>
    </row>
    <row r="43" spans="1:14">
      <c r="A43" s="702" t="s">
        <v>8701</v>
      </c>
      <c r="D43" s="705">
        <f t="shared" ref="D43:I43" si="81">STDEVP(D17,D19,D21,D23,D25,D30,D32,D37)</f>
        <v>3317.7042137598705</v>
      </c>
      <c r="E43" s="705">
        <f t="shared" si="81"/>
        <v>3168.8961973177666</v>
      </c>
      <c r="F43" s="705">
        <f t="shared" si="81"/>
        <v>3101.0173708599245</v>
      </c>
      <c r="G43" s="705">
        <f t="shared" si="81"/>
        <v>3052.5493751125468</v>
      </c>
      <c r="H43" s="705">
        <f t="shared" si="81"/>
        <v>3030.1725791405015</v>
      </c>
      <c r="I43" s="705">
        <f t="shared" si="81"/>
        <v>2875.332361223655</v>
      </c>
      <c r="J43" s="705">
        <f t="shared" ref="J43:K43" si="82">STDEVP(J17,J19,J21,J23,J25,J30,J32,J37)</f>
        <v>2694.8733620524731</v>
      </c>
      <c r="K43" s="705">
        <f t="shared" si="82"/>
        <v>2367.6889048183675</v>
      </c>
      <c r="L43" s="705">
        <f t="shared" ref="L43" si="83">STDEVP(L17,L19,L21,L23,L25,L30,L32,L37)</f>
        <v>2330.266615647231</v>
      </c>
    </row>
    <row r="44" spans="1:14">
      <c r="A44" s="702"/>
      <c r="D44" s="710"/>
      <c r="E44" s="710"/>
      <c r="F44" s="710"/>
      <c r="G44" s="710"/>
      <c r="H44" s="710"/>
      <c r="I44" s="710"/>
      <c r="J44" s="710"/>
      <c r="K44" s="710"/>
      <c r="L44" s="710"/>
    </row>
    <row r="45" spans="1:14">
      <c r="A45" s="702" t="s">
        <v>3112</v>
      </c>
      <c r="D45" s="710"/>
      <c r="E45" s="710"/>
      <c r="F45" s="710"/>
      <c r="G45" s="710"/>
      <c r="H45" s="710"/>
      <c r="I45" s="710"/>
      <c r="J45" s="710"/>
      <c r="K45" s="710"/>
      <c r="L45" s="710"/>
    </row>
    <row r="46" spans="1:14">
      <c r="A46" s="702"/>
      <c r="D46" s="710"/>
      <c r="E46" s="710"/>
      <c r="F46" s="710"/>
      <c r="G46" s="710"/>
      <c r="H46" s="710"/>
      <c r="I46" s="710"/>
      <c r="J46" s="710"/>
      <c r="K46" s="710"/>
      <c r="L46" s="710"/>
    </row>
    <row r="48" spans="1:14">
      <c r="E48" s="42" t="s">
        <v>2303</v>
      </c>
      <c r="F48" s="42"/>
      <c r="G48" s="42"/>
      <c r="H48" s="42"/>
      <c r="I48" s="42"/>
      <c r="J48" s="42"/>
      <c r="K48" s="42"/>
      <c r="L48" s="42"/>
      <c r="M48" s="109"/>
      <c r="N48" s="109" t="s">
        <v>13319</v>
      </c>
    </row>
    <row r="49" spans="1:17">
      <c r="D49" s="703">
        <v>2010</v>
      </c>
      <c r="E49" s="703">
        <v>2011</v>
      </c>
      <c r="F49" s="703">
        <v>2012</v>
      </c>
      <c r="G49" s="703">
        <v>2013</v>
      </c>
      <c r="H49" s="703">
        <v>2014</v>
      </c>
      <c r="I49" s="703">
        <v>2015</v>
      </c>
      <c r="J49" s="703">
        <v>2016</v>
      </c>
      <c r="K49" s="703">
        <v>2017</v>
      </c>
      <c r="L49" s="703">
        <v>2018</v>
      </c>
      <c r="M49" s="109"/>
      <c r="N49" s="112" t="s">
        <v>2304</v>
      </c>
    </row>
    <row r="50" spans="1:17">
      <c r="A50" s="702" t="s">
        <v>3113</v>
      </c>
      <c r="C50" s="702"/>
      <c r="D50" s="705">
        <f>SUM(D51:D73)</f>
        <v>90381</v>
      </c>
      <c r="E50" s="705">
        <f t="shared" ref="E50:J50" si="84">SUM(E51:E73)</f>
        <v>89647</v>
      </c>
      <c r="F50" s="705">
        <f t="shared" si="84"/>
        <v>90993</v>
      </c>
      <c r="G50" s="705">
        <f t="shared" si="84"/>
        <v>91360</v>
      </c>
      <c r="H50" s="705">
        <f t="shared" si="84"/>
        <v>86925</v>
      </c>
      <c r="I50" s="705">
        <f t="shared" si="84"/>
        <v>89567</v>
      </c>
      <c r="J50" s="705">
        <f t="shared" si="84"/>
        <v>90473</v>
      </c>
      <c r="K50" s="705">
        <f t="shared" ref="K50:L50" si="85">SUM(K51:K73)</f>
        <v>91469</v>
      </c>
      <c r="L50" s="705">
        <f t="shared" si="85"/>
        <v>92262</v>
      </c>
    </row>
    <row r="51" spans="1:17">
      <c r="A51" s="702" t="s">
        <v>6957</v>
      </c>
      <c r="B51" s="702" t="s">
        <v>14755</v>
      </c>
      <c r="C51" s="4" t="s">
        <v>14754</v>
      </c>
      <c r="D51" s="705">
        <v>66317</v>
      </c>
      <c r="E51" s="705">
        <v>65597</v>
      </c>
      <c r="F51" s="705">
        <v>66467</v>
      </c>
      <c r="G51" s="48">
        <v>66614</v>
      </c>
      <c r="H51" s="48">
        <v>63448</v>
      </c>
      <c r="I51" s="30">
        <v>65206</v>
      </c>
      <c r="J51" s="30">
        <v>2305</v>
      </c>
      <c r="K51" s="30">
        <v>2300</v>
      </c>
      <c r="L51" s="30">
        <v>2329</v>
      </c>
      <c r="N51" s="702" t="s">
        <v>3098</v>
      </c>
      <c r="O51" s="4"/>
      <c r="Q51" s="4"/>
    </row>
    <row r="52" spans="1:17">
      <c r="A52" s="702" t="s">
        <v>6959</v>
      </c>
      <c r="B52" s="702" t="s">
        <v>14756</v>
      </c>
      <c r="C52" s="4" t="s">
        <v>14770</v>
      </c>
      <c r="D52" s="705">
        <v>0</v>
      </c>
      <c r="E52" s="705">
        <v>0</v>
      </c>
      <c r="F52" s="705">
        <v>0</v>
      </c>
      <c r="G52" s="48">
        <v>0</v>
      </c>
      <c r="H52" s="48">
        <v>0</v>
      </c>
      <c r="I52" s="30">
        <v>0</v>
      </c>
      <c r="J52" s="30">
        <v>5673</v>
      </c>
      <c r="K52" s="30">
        <v>5795</v>
      </c>
      <c r="L52" s="30">
        <v>5883</v>
      </c>
      <c r="N52" s="702" t="s">
        <v>3098</v>
      </c>
      <c r="O52" s="4"/>
      <c r="Q52" s="4"/>
    </row>
    <row r="53" spans="1:17">
      <c r="A53" s="702" t="s">
        <v>6961</v>
      </c>
      <c r="B53" s="702" t="s">
        <v>14757</v>
      </c>
      <c r="C53" s="4" t="s">
        <v>14771</v>
      </c>
      <c r="D53" s="705">
        <v>0</v>
      </c>
      <c r="E53" s="705">
        <v>0</v>
      </c>
      <c r="F53" s="705">
        <v>0</v>
      </c>
      <c r="G53" s="48">
        <v>0</v>
      </c>
      <c r="H53" s="48">
        <v>0</v>
      </c>
      <c r="I53" s="30">
        <v>0</v>
      </c>
      <c r="J53" s="30">
        <v>2869</v>
      </c>
      <c r="K53" s="30">
        <v>2893</v>
      </c>
      <c r="L53" s="30">
        <v>2914</v>
      </c>
      <c r="N53" s="702" t="s">
        <v>3098</v>
      </c>
      <c r="O53" s="4"/>
      <c r="Q53" s="4"/>
    </row>
    <row r="54" spans="1:17">
      <c r="A54" s="702" t="s">
        <v>6963</v>
      </c>
      <c r="B54" s="702" t="s">
        <v>14758</v>
      </c>
      <c r="C54" s="4" t="s">
        <v>14772</v>
      </c>
      <c r="D54" s="705">
        <v>0</v>
      </c>
      <c r="E54" s="705">
        <v>0</v>
      </c>
      <c r="F54" s="705">
        <v>0</v>
      </c>
      <c r="G54" s="48">
        <v>0</v>
      </c>
      <c r="H54" s="48">
        <v>0</v>
      </c>
      <c r="I54" s="30">
        <v>0</v>
      </c>
      <c r="J54" s="30">
        <v>2761</v>
      </c>
      <c r="K54" s="30">
        <v>2764</v>
      </c>
      <c r="L54" s="30">
        <v>2705</v>
      </c>
      <c r="N54" s="702" t="s">
        <v>3098</v>
      </c>
      <c r="O54" s="4"/>
      <c r="Q54" s="4"/>
    </row>
    <row r="55" spans="1:17">
      <c r="A55" s="702" t="s">
        <v>6965</v>
      </c>
      <c r="B55" s="702" t="s">
        <v>14759</v>
      </c>
      <c r="C55" s="4" t="s">
        <v>14773</v>
      </c>
      <c r="D55" s="705">
        <v>0</v>
      </c>
      <c r="E55" s="705">
        <v>0</v>
      </c>
      <c r="F55" s="705">
        <v>0</v>
      </c>
      <c r="G55" s="48">
        <v>0</v>
      </c>
      <c r="H55" s="48">
        <v>0</v>
      </c>
      <c r="I55" s="30">
        <v>0</v>
      </c>
      <c r="J55" s="30">
        <v>4949</v>
      </c>
      <c r="K55" s="30">
        <v>5053</v>
      </c>
      <c r="L55" s="30">
        <v>5135</v>
      </c>
      <c r="N55" s="702" t="s">
        <v>3098</v>
      </c>
      <c r="O55" s="4"/>
      <c r="Q55" s="4"/>
    </row>
    <row r="56" spans="1:17">
      <c r="A56" s="702" t="s">
        <v>6997</v>
      </c>
      <c r="B56" s="702" t="s">
        <v>3114</v>
      </c>
      <c r="C56" s="4" t="s">
        <v>14774</v>
      </c>
      <c r="D56" s="705">
        <v>24064</v>
      </c>
      <c r="E56" s="705">
        <v>24050</v>
      </c>
      <c r="F56" s="705">
        <v>24526</v>
      </c>
      <c r="G56" s="48">
        <v>24746</v>
      </c>
      <c r="H56" s="48">
        <v>23477</v>
      </c>
      <c r="I56" s="30">
        <v>24361</v>
      </c>
      <c r="J56" s="31">
        <v>5183</v>
      </c>
      <c r="K56" s="31">
        <v>5322</v>
      </c>
      <c r="L56" s="31">
        <v>5409</v>
      </c>
      <c r="N56" s="702" t="s">
        <v>3111</v>
      </c>
      <c r="O56" s="4"/>
      <c r="Q56" s="4"/>
    </row>
    <row r="57" spans="1:17">
      <c r="A57" s="702" t="s">
        <v>6999</v>
      </c>
      <c r="B57" s="702" t="s">
        <v>3115</v>
      </c>
      <c r="C57" s="4" t="s">
        <v>14775</v>
      </c>
      <c r="D57" s="705">
        <v>0</v>
      </c>
      <c r="E57" s="705">
        <v>0</v>
      </c>
      <c r="F57" s="705">
        <v>0</v>
      </c>
      <c r="G57" s="48">
        <v>0</v>
      </c>
      <c r="H57" s="48">
        <v>0</v>
      </c>
      <c r="I57" s="30">
        <v>0</v>
      </c>
      <c r="J57" s="31">
        <v>7490</v>
      </c>
      <c r="K57" s="31">
        <v>7672</v>
      </c>
      <c r="L57" s="31">
        <v>7893</v>
      </c>
      <c r="N57" s="702" t="s">
        <v>3111</v>
      </c>
      <c r="O57" s="4"/>
      <c r="Q57" s="4"/>
    </row>
    <row r="58" spans="1:17">
      <c r="A58" s="702" t="s">
        <v>7001</v>
      </c>
      <c r="B58" s="702" t="s">
        <v>14760</v>
      </c>
      <c r="C58" s="4" t="s">
        <v>14776</v>
      </c>
      <c r="D58" s="705">
        <v>0</v>
      </c>
      <c r="E58" s="705">
        <v>0</v>
      </c>
      <c r="F58" s="705">
        <v>0</v>
      </c>
      <c r="G58" s="48">
        <v>0</v>
      </c>
      <c r="H58" s="48">
        <v>0</v>
      </c>
      <c r="I58" s="30">
        <v>0</v>
      </c>
      <c r="J58" s="31">
        <v>5321</v>
      </c>
      <c r="K58" s="31">
        <v>5443</v>
      </c>
      <c r="L58" s="31">
        <v>5538</v>
      </c>
      <c r="N58" s="702" t="s">
        <v>3111</v>
      </c>
      <c r="O58" s="4"/>
      <c r="Q58" s="4"/>
    </row>
    <row r="59" spans="1:17">
      <c r="A59" s="702" t="s">
        <v>7003</v>
      </c>
      <c r="B59" s="702" t="s">
        <v>3116</v>
      </c>
      <c r="C59" s="4" t="s">
        <v>14777</v>
      </c>
      <c r="D59" s="705">
        <v>0</v>
      </c>
      <c r="E59" s="705">
        <v>0</v>
      </c>
      <c r="F59" s="705">
        <v>0</v>
      </c>
      <c r="G59" s="48">
        <v>0</v>
      </c>
      <c r="H59" s="48">
        <v>0</v>
      </c>
      <c r="I59" s="30">
        <v>0</v>
      </c>
      <c r="J59" s="31">
        <v>6931</v>
      </c>
      <c r="K59" s="31">
        <v>6942</v>
      </c>
      <c r="L59" s="31">
        <v>7154</v>
      </c>
      <c r="N59" s="702" t="s">
        <v>3111</v>
      </c>
      <c r="O59" s="4"/>
      <c r="Q59" s="4"/>
    </row>
    <row r="60" spans="1:17">
      <c r="A60" s="702" t="s">
        <v>7005</v>
      </c>
      <c r="B60" s="702" t="s">
        <v>14761</v>
      </c>
      <c r="C60" s="4" t="s">
        <v>14778</v>
      </c>
      <c r="D60" s="705">
        <v>0</v>
      </c>
      <c r="E60" s="705">
        <v>0</v>
      </c>
      <c r="F60" s="705">
        <v>0</v>
      </c>
      <c r="G60" s="705">
        <v>0</v>
      </c>
      <c r="H60" s="705">
        <v>0</v>
      </c>
      <c r="I60" s="705">
        <v>0</v>
      </c>
      <c r="J60" s="30">
        <v>5513</v>
      </c>
      <c r="K60" s="30">
        <v>5557</v>
      </c>
      <c r="L60" s="30">
        <v>5569</v>
      </c>
      <c r="N60" s="702" t="s">
        <v>3098</v>
      </c>
      <c r="O60" s="4"/>
      <c r="Q60" s="4"/>
    </row>
    <row r="61" spans="1:17">
      <c r="A61" s="702" t="s">
        <v>7007</v>
      </c>
      <c r="B61" s="702" t="s">
        <v>4782</v>
      </c>
      <c r="C61" s="4" t="s">
        <v>14779</v>
      </c>
      <c r="D61" s="705">
        <v>0</v>
      </c>
      <c r="E61" s="705">
        <v>0</v>
      </c>
      <c r="F61" s="705">
        <v>0</v>
      </c>
      <c r="G61" s="705">
        <v>0</v>
      </c>
      <c r="H61" s="705">
        <v>0</v>
      </c>
      <c r="I61" s="705">
        <v>0</v>
      </c>
      <c r="J61" s="30">
        <v>2611</v>
      </c>
      <c r="K61" s="30">
        <v>2573</v>
      </c>
      <c r="L61" s="30">
        <v>2543</v>
      </c>
      <c r="N61" s="702" t="s">
        <v>3098</v>
      </c>
      <c r="O61" s="4"/>
      <c r="Q61" s="4"/>
    </row>
    <row r="62" spans="1:17">
      <c r="A62" s="702" t="s">
        <v>7009</v>
      </c>
      <c r="B62" s="702" t="s">
        <v>8568</v>
      </c>
      <c r="C62" s="4" t="s">
        <v>14780</v>
      </c>
      <c r="D62" s="705">
        <v>0</v>
      </c>
      <c r="E62" s="705">
        <v>0</v>
      </c>
      <c r="F62" s="705">
        <v>0</v>
      </c>
      <c r="G62" s="705">
        <v>0</v>
      </c>
      <c r="H62" s="705">
        <v>0</v>
      </c>
      <c r="I62" s="705">
        <v>0</v>
      </c>
      <c r="J62" s="30">
        <v>2391</v>
      </c>
      <c r="K62" s="30">
        <v>2359</v>
      </c>
      <c r="L62" s="30">
        <v>2395</v>
      </c>
      <c r="N62" s="702" t="s">
        <v>3098</v>
      </c>
      <c r="O62" s="4"/>
      <c r="Q62" s="4"/>
    </row>
    <row r="63" spans="1:17">
      <c r="A63" s="702" t="s">
        <v>7011</v>
      </c>
      <c r="B63" s="702" t="s">
        <v>14762</v>
      </c>
      <c r="C63" s="4" t="s">
        <v>14781</v>
      </c>
      <c r="D63" s="705">
        <v>0</v>
      </c>
      <c r="E63" s="705">
        <v>0</v>
      </c>
      <c r="F63" s="705">
        <v>0</v>
      </c>
      <c r="G63" s="705">
        <v>0</v>
      </c>
      <c r="H63" s="705">
        <v>0</v>
      </c>
      <c r="I63" s="705">
        <v>0</v>
      </c>
      <c r="J63" s="30">
        <v>2984</v>
      </c>
      <c r="K63" s="30">
        <v>3051</v>
      </c>
      <c r="L63" s="30">
        <v>3080</v>
      </c>
      <c r="N63" s="702" t="s">
        <v>3098</v>
      </c>
      <c r="O63" s="4"/>
      <c r="Q63" s="4"/>
    </row>
    <row r="64" spans="1:17">
      <c r="A64" s="702" t="s">
        <v>7013</v>
      </c>
      <c r="B64" s="702" t="s">
        <v>14763</v>
      </c>
      <c r="C64" s="4" t="s">
        <v>14782</v>
      </c>
      <c r="D64" s="705">
        <v>0</v>
      </c>
      <c r="E64" s="705">
        <v>0</v>
      </c>
      <c r="F64" s="705">
        <v>0</v>
      </c>
      <c r="G64" s="705">
        <v>0</v>
      </c>
      <c r="H64" s="705">
        <v>0</v>
      </c>
      <c r="I64" s="705">
        <v>0</v>
      </c>
      <c r="J64" s="30">
        <v>2619</v>
      </c>
      <c r="K64" s="30">
        <v>2680</v>
      </c>
      <c r="L64" s="30">
        <v>2777</v>
      </c>
      <c r="N64" s="702" t="s">
        <v>3098</v>
      </c>
      <c r="O64" s="4"/>
      <c r="Q64" s="4"/>
    </row>
    <row r="65" spans="1:17">
      <c r="A65" s="702" t="s">
        <v>7015</v>
      </c>
      <c r="B65" s="702" t="s">
        <v>14764</v>
      </c>
      <c r="C65" s="4" t="s">
        <v>14783</v>
      </c>
      <c r="D65" s="705">
        <v>0</v>
      </c>
      <c r="E65" s="705">
        <v>0</v>
      </c>
      <c r="F65" s="705">
        <v>0</v>
      </c>
      <c r="G65" s="705">
        <v>0</v>
      </c>
      <c r="H65" s="705">
        <v>0</v>
      </c>
      <c r="I65" s="705">
        <v>0</v>
      </c>
      <c r="J65" s="30">
        <v>2647</v>
      </c>
      <c r="K65" s="30">
        <v>2708</v>
      </c>
      <c r="L65" s="30">
        <v>2707</v>
      </c>
      <c r="N65" s="702" t="s">
        <v>3098</v>
      </c>
      <c r="O65" s="4"/>
      <c r="Q65" s="4"/>
    </row>
    <row r="66" spans="1:17">
      <c r="A66" s="702" t="s">
        <v>7017</v>
      </c>
      <c r="B66" s="702" t="s">
        <v>8835</v>
      </c>
      <c r="C66" s="4" t="s">
        <v>14784</v>
      </c>
      <c r="D66" s="705">
        <v>0</v>
      </c>
      <c r="E66" s="705">
        <v>0</v>
      </c>
      <c r="F66" s="705">
        <v>0</v>
      </c>
      <c r="G66" s="705">
        <v>0</v>
      </c>
      <c r="H66" s="705">
        <v>0</v>
      </c>
      <c r="I66" s="705">
        <v>0</v>
      </c>
      <c r="J66" s="30">
        <v>2814</v>
      </c>
      <c r="K66" s="30">
        <v>2848</v>
      </c>
      <c r="L66" s="30">
        <v>2839</v>
      </c>
      <c r="N66" s="702" t="s">
        <v>3098</v>
      </c>
      <c r="O66" s="4"/>
      <c r="Q66" s="4"/>
    </row>
    <row r="67" spans="1:17">
      <c r="A67" s="702" t="s">
        <v>7019</v>
      </c>
      <c r="B67" s="702" t="s">
        <v>4783</v>
      </c>
      <c r="C67" s="4" t="s">
        <v>14785</v>
      </c>
      <c r="D67" s="705">
        <v>0</v>
      </c>
      <c r="E67" s="705">
        <v>0</v>
      </c>
      <c r="F67" s="705">
        <v>0</v>
      </c>
      <c r="G67" s="705">
        <v>0</v>
      </c>
      <c r="H67" s="705">
        <v>0</v>
      </c>
      <c r="I67" s="705">
        <v>0</v>
      </c>
      <c r="J67" s="30">
        <v>5063</v>
      </c>
      <c r="K67" s="30">
        <v>5030</v>
      </c>
      <c r="L67" s="30">
        <v>5032</v>
      </c>
      <c r="N67" s="702" t="s">
        <v>3098</v>
      </c>
      <c r="O67" s="4"/>
      <c r="Q67" s="4"/>
    </row>
    <row r="68" spans="1:17">
      <c r="A68" s="702" t="s">
        <v>7021</v>
      </c>
      <c r="B68" s="702" t="s">
        <v>14765</v>
      </c>
      <c r="C68" s="4" t="s">
        <v>14786</v>
      </c>
      <c r="D68" s="705">
        <v>0</v>
      </c>
      <c r="E68" s="705">
        <v>0</v>
      </c>
      <c r="F68" s="705">
        <v>0</v>
      </c>
      <c r="G68" s="705">
        <v>0</v>
      </c>
      <c r="H68" s="705">
        <v>0</v>
      </c>
      <c r="I68" s="705">
        <v>0</v>
      </c>
      <c r="J68" s="30">
        <v>5261</v>
      </c>
      <c r="K68" s="30">
        <v>5244</v>
      </c>
      <c r="L68" s="30">
        <v>5173</v>
      </c>
      <c r="N68" s="702" t="s">
        <v>3098</v>
      </c>
      <c r="O68" s="4"/>
      <c r="Q68" s="4"/>
    </row>
    <row r="69" spans="1:17">
      <c r="A69" s="702" t="s">
        <v>7023</v>
      </c>
      <c r="B69" s="703" t="s">
        <v>14766</v>
      </c>
      <c r="C69" s="4" t="s">
        <v>14787</v>
      </c>
      <c r="D69" s="705">
        <v>0</v>
      </c>
      <c r="E69" s="705">
        <v>0</v>
      </c>
      <c r="F69" s="705">
        <v>0</v>
      </c>
      <c r="G69" s="705">
        <v>0</v>
      </c>
      <c r="H69" s="705">
        <v>0</v>
      </c>
      <c r="I69" s="705">
        <v>0</v>
      </c>
      <c r="J69" s="30">
        <v>2333</v>
      </c>
      <c r="K69" s="30">
        <v>2402</v>
      </c>
      <c r="L69" s="30">
        <v>2397</v>
      </c>
      <c r="N69" s="702" t="s">
        <v>3098</v>
      </c>
      <c r="O69" s="4"/>
      <c r="Q69" s="4"/>
    </row>
    <row r="70" spans="1:17">
      <c r="A70" s="702" t="s">
        <v>7025</v>
      </c>
      <c r="B70" s="703" t="s">
        <v>14767</v>
      </c>
      <c r="C70" s="4" t="s">
        <v>14788</v>
      </c>
      <c r="D70" s="705">
        <v>0</v>
      </c>
      <c r="E70" s="705">
        <v>0</v>
      </c>
      <c r="F70" s="705">
        <v>0</v>
      </c>
      <c r="G70" s="705">
        <v>0</v>
      </c>
      <c r="H70" s="705">
        <v>0</v>
      </c>
      <c r="I70" s="705">
        <v>0</v>
      </c>
      <c r="J70" s="31">
        <v>5061</v>
      </c>
      <c r="K70" s="31">
        <v>5098</v>
      </c>
      <c r="L70" s="31">
        <v>5044</v>
      </c>
      <c r="N70" s="702" t="s">
        <v>3098</v>
      </c>
      <c r="O70" s="4"/>
      <c r="Q70" s="4"/>
    </row>
    <row r="71" spans="1:17">
      <c r="A71" s="702" t="s">
        <v>7570</v>
      </c>
      <c r="B71" s="703" t="s">
        <v>14768</v>
      </c>
      <c r="C71" s="4" t="s">
        <v>14789</v>
      </c>
      <c r="D71" s="705">
        <v>0</v>
      </c>
      <c r="E71" s="705">
        <v>0</v>
      </c>
      <c r="F71" s="705">
        <v>0</v>
      </c>
      <c r="G71" s="705">
        <v>0</v>
      </c>
      <c r="H71" s="705">
        <v>0</v>
      </c>
      <c r="I71" s="705">
        <v>0</v>
      </c>
      <c r="J71" s="31">
        <v>2698</v>
      </c>
      <c r="K71" s="31">
        <v>2732</v>
      </c>
      <c r="L71" s="31">
        <v>2722</v>
      </c>
      <c r="N71" s="702" t="s">
        <v>3098</v>
      </c>
      <c r="O71" s="4"/>
      <c r="Q71" s="4"/>
    </row>
    <row r="72" spans="1:17">
      <c r="A72" s="702" t="s">
        <v>7572</v>
      </c>
      <c r="B72" s="703" t="s">
        <v>14769</v>
      </c>
      <c r="C72" s="4" t="s">
        <v>14790</v>
      </c>
      <c r="D72" s="705">
        <v>0</v>
      </c>
      <c r="E72" s="705">
        <v>0</v>
      </c>
      <c r="F72" s="705">
        <v>0</v>
      </c>
      <c r="G72" s="705">
        <v>0</v>
      </c>
      <c r="H72" s="705">
        <v>0</v>
      </c>
      <c r="I72" s="705">
        <v>0</v>
      </c>
      <c r="J72" s="31">
        <v>2381</v>
      </c>
      <c r="K72" s="31">
        <v>2383</v>
      </c>
      <c r="L72" s="31">
        <v>2356</v>
      </c>
      <c r="N72" s="702" t="s">
        <v>3098</v>
      </c>
      <c r="O72" s="4"/>
      <c r="Q72" s="4"/>
    </row>
    <row r="73" spans="1:17">
      <c r="A73" s="702" t="s">
        <v>7573</v>
      </c>
      <c r="B73" s="702" t="s">
        <v>4798</v>
      </c>
      <c r="C73" s="4" t="s">
        <v>14791</v>
      </c>
      <c r="D73" s="705">
        <v>0</v>
      </c>
      <c r="E73" s="705">
        <v>0</v>
      </c>
      <c r="F73" s="705">
        <v>0</v>
      </c>
      <c r="G73" s="705">
        <v>0</v>
      </c>
      <c r="H73" s="705">
        <v>0</v>
      </c>
      <c r="I73" s="705">
        <v>0</v>
      </c>
      <c r="J73" s="31">
        <v>2615</v>
      </c>
      <c r="K73" s="31">
        <v>2620</v>
      </c>
      <c r="L73" s="31">
        <v>2668</v>
      </c>
      <c r="N73" s="702" t="s">
        <v>3098</v>
      </c>
      <c r="O73" s="4"/>
      <c r="Q73" s="4"/>
    </row>
    <row r="74" spans="1:17">
      <c r="A74" s="702" t="s">
        <v>7367</v>
      </c>
      <c r="D74" s="707"/>
      <c r="E74" s="707"/>
      <c r="F74" s="707"/>
      <c r="G74" s="707"/>
      <c r="H74" s="707"/>
      <c r="I74" s="707"/>
      <c r="J74" s="707"/>
      <c r="K74" s="707"/>
      <c r="L74" s="707"/>
    </row>
    <row r="75" spans="1:17">
      <c r="A75" s="702" t="s">
        <v>4799</v>
      </c>
      <c r="D75" s="705">
        <f>SUM(D51:D55)+SUM(D60:D73)</f>
        <v>66317</v>
      </c>
      <c r="E75" s="705">
        <f t="shared" ref="E75:J75" si="86">SUM(E51:E55)+SUM(E60:E73)</f>
        <v>65597</v>
      </c>
      <c r="F75" s="705">
        <f t="shared" si="86"/>
        <v>66467</v>
      </c>
      <c r="G75" s="705">
        <f t="shared" si="86"/>
        <v>66614</v>
      </c>
      <c r="H75" s="705">
        <f t="shared" si="86"/>
        <v>63448</v>
      </c>
      <c r="I75" s="705">
        <f t="shared" si="86"/>
        <v>65206</v>
      </c>
      <c r="J75" s="705">
        <f t="shared" si="86"/>
        <v>65548</v>
      </c>
      <c r="K75" s="705">
        <f t="shared" ref="K75:L75" si="87">SUM(K51:K55)+SUM(K60:K73)</f>
        <v>66090</v>
      </c>
      <c r="L75" s="705">
        <f t="shared" si="87"/>
        <v>66268</v>
      </c>
    </row>
    <row r="76" spans="1:17">
      <c r="A76" s="702" t="s">
        <v>4800</v>
      </c>
      <c r="D76" s="705">
        <f>SUM(D56:D59)</f>
        <v>24064</v>
      </c>
      <c r="E76" s="705">
        <f t="shared" ref="E76:J76" si="88">SUM(E56:E59)</f>
        <v>24050</v>
      </c>
      <c r="F76" s="705">
        <f t="shared" si="88"/>
        <v>24526</v>
      </c>
      <c r="G76" s="705">
        <f t="shared" si="88"/>
        <v>24746</v>
      </c>
      <c r="H76" s="705">
        <f t="shared" si="88"/>
        <v>23477</v>
      </c>
      <c r="I76" s="705">
        <f t="shared" si="88"/>
        <v>24361</v>
      </c>
      <c r="J76" s="705">
        <f t="shared" si="88"/>
        <v>24925</v>
      </c>
      <c r="K76" s="705">
        <f t="shared" ref="K76:L76" si="89">SUM(K56:K59)</f>
        <v>25379</v>
      </c>
      <c r="L76" s="705">
        <f t="shared" si="89"/>
        <v>25994</v>
      </c>
    </row>
    <row r="77" spans="1:17">
      <c r="A77" s="702"/>
      <c r="D77" s="705"/>
      <c r="E77" s="705"/>
      <c r="F77" s="705"/>
      <c r="G77" s="705"/>
      <c r="H77" s="705"/>
      <c r="I77" s="705"/>
      <c r="J77" s="705"/>
      <c r="K77" s="705"/>
      <c r="L77" s="705"/>
    </row>
    <row r="78" spans="1:17">
      <c r="A78" s="702" t="s">
        <v>14792</v>
      </c>
      <c r="D78" s="705"/>
      <c r="E78" s="705"/>
      <c r="F78" s="705"/>
      <c r="G78" s="705"/>
      <c r="H78" s="705"/>
      <c r="I78" s="705"/>
      <c r="J78" s="705"/>
      <c r="K78" s="705"/>
      <c r="L78" s="705"/>
    </row>
    <row r="79" spans="1:17">
      <c r="A79" s="702"/>
      <c r="B79" s="702"/>
      <c r="D79" s="711"/>
      <c r="E79" s="711"/>
      <c r="F79" s="711"/>
      <c r="G79" s="711"/>
      <c r="H79" s="711"/>
      <c r="I79" s="711"/>
      <c r="J79" s="711"/>
      <c r="K79" s="711"/>
      <c r="L79" s="711"/>
    </row>
    <row r="80" spans="1:17">
      <c r="A80" s="702"/>
      <c r="B80" s="702"/>
      <c r="D80" s="711"/>
      <c r="E80" s="711"/>
      <c r="F80" s="711"/>
      <c r="G80" s="711"/>
      <c r="H80" s="711"/>
      <c r="I80" s="711"/>
      <c r="J80" s="711"/>
      <c r="K80" s="711"/>
      <c r="L80" s="711"/>
    </row>
    <row r="81" spans="1:17">
      <c r="E81" s="42" t="s">
        <v>2303</v>
      </c>
      <c r="F81" s="42"/>
      <c r="G81" s="42"/>
      <c r="H81" s="42"/>
      <c r="I81" s="42"/>
      <c r="J81" s="42"/>
      <c r="K81" s="42"/>
      <c r="L81" s="42"/>
      <c r="M81" s="109"/>
      <c r="N81" s="109" t="s">
        <v>13319</v>
      </c>
    </row>
    <row r="82" spans="1:17">
      <c r="D82" s="703">
        <v>2010</v>
      </c>
      <c r="E82" s="703">
        <v>2011</v>
      </c>
      <c r="F82" s="703">
        <v>2012</v>
      </c>
      <c r="G82" s="703">
        <v>2013</v>
      </c>
      <c r="H82" s="703">
        <v>2014</v>
      </c>
      <c r="I82" s="703">
        <v>2015</v>
      </c>
      <c r="J82" s="703">
        <v>2016</v>
      </c>
      <c r="K82" s="703">
        <v>2017</v>
      </c>
      <c r="L82" s="703">
        <v>2018</v>
      </c>
      <c r="M82" s="109"/>
      <c r="N82" s="112" t="s">
        <v>2304</v>
      </c>
    </row>
    <row r="83" spans="1:17">
      <c r="A83" s="702" t="s">
        <v>4801</v>
      </c>
      <c r="D83" s="705">
        <f t="shared" ref="D83:I83" si="90">SUM(D84:D100)+SUM(D101:D102)+SUM(D103:D108)</f>
        <v>83556</v>
      </c>
      <c r="E83" s="705">
        <f t="shared" si="90"/>
        <v>85194</v>
      </c>
      <c r="F83" s="705">
        <f t="shared" si="90"/>
        <v>84495</v>
      </c>
      <c r="G83" s="705">
        <f t="shared" si="90"/>
        <v>85384</v>
      </c>
      <c r="H83" s="705">
        <f t="shared" si="90"/>
        <v>84812</v>
      </c>
      <c r="I83" s="705">
        <f t="shared" si="90"/>
        <v>82635</v>
      </c>
      <c r="J83" s="705">
        <f t="shared" ref="J83:K83" si="91">SUM(J84:J100)+SUM(J101:J102)+SUM(J103:J108)</f>
        <v>83683</v>
      </c>
      <c r="K83" s="705">
        <f t="shared" si="91"/>
        <v>84587</v>
      </c>
      <c r="L83" s="705">
        <f t="shared" ref="L83" si="92">SUM(L84:L100)+SUM(L101:L102)+SUM(L103:L108)</f>
        <v>84201</v>
      </c>
    </row>
    <row r="84" spans="1:17">
      <c r="A84" s="702" t="s">
        <v>6957</v>
      </c>
      <c r="B84" s="702" t="s">
        <v>4802</v>
      </c>
      <c r="C84" s="4" t="s">
        <v>11474</v>
      </c>
      <c r="D84" s="705">
        <v>1846</v>
      </c>
      <c r="E84" s="705">
        <v>1848</v>
      </c>
      <c r="F84" s="705">
        <v>1860</v>
      </c>
      <c r="G84" s="30">
        <v>1852</v>
      </c>
      <c r="H84" s="30">
        <v>1911</v>
      </c>
      <c r="I84" s="30">
        <v>1852</v>
      </c>
      <c r="J84" s="30">
        <v>1863</v>
      </c>
      <c r="K84" s="30">
        <v>1890</v>
      </c>
      <c r="L84" s="30">
        <v>1877</v>
      </c>
      <c r="N84" s="702" t="s">
        <v>3101</v>
      </c>
      <c r="O84" s="4"/>
      <c r="Q84" s="4"/>
    </row>
    <row r="85" spans="1:17">
      <c r="A85" s="702" t="s">
        <v>6959</v>
      </c>
      <c r="B85" s="702" t="s">
        <v>4803</v>
      </c>
      <c r="C85" s="4" t="s">
        <v>11475</v>
      </c>
      <c r="D85" s="705">
        <v>1811</v>
      </c>
      <c r="E85" s="705">
        <v>1844</v>
      </c>
      <c r="F85" s="705">
        <v>1855</v>
      </c>
      <c r="G85" s="30">
        <v>1855</v>
      </c>
      <c r="H85" s="30">
        <v>1820</v>
      </c>
      <c r="I85" s="30">
        <v>1785</v>
      </c>
      <c r="J85" s="30">
        <v>1817</v>
      </c>
      <c r="K85" s="30">
        <v>1824</v>
      </c>
      <c r="L85" s="30">
        <v>1827</v>
      </c>
      <c r="N85" s="702" t="s">
        <v>3101</v>
      </c>
      <c r="O85" s="4"/>
      <c r="Q85" s="4"/>
    </row>
    <row r="86" spans="1:17">
      <c r="A86" s="702" t="s">
        <v>6961</v>
      </c>
      <c r="B86" s="702" t="s">
        <v>7587</v>
      </c>
      <c r="C86" s="4" t="s">
        <v>11476</v>
      </c>
      <c r="D86" s="705">
        <v>4631</v>
      </c>
      <c r="E86" s="705">
        <v>4625</v>
      </c>
      <c r="F86" s="705">
        <v>4547</v>
      </c>
      <c r="G86" s="30">
        <v>4531</v>
      </c>
      <c r="H86" s="30">
        <v>4530</v>
      </c>
      <c r="I86" s="30">
        <v>4382</v>
      </c>
      <c r="J86" s="30">
        <v>4437</v>
      </c>
      <c r="K86" s="30">
        <v>4423</v>
      </c>
      <c r="L86" s="30">
        <v>4364</v>
      </c>
      <c r="N86" s="702" t="s">
        <v>3101</v>
      </c>
      <c r="O86" s="4"/>
      <c r="Q86" s="4"/>
    </row>
    <row r="87" spans="1:17">
      <c r="A87" s="702" t="s">
        <v>6963</v>
      </c>
      <c r="B87" s="702" t="s">
        <v>4804</v>
      </c>
      <c r="C87" s="4" t="s">
        <v>11477</v>
      </c>
      <c r="D87" s="705">
        <v>1535</v>
      </c>
      <c r="E87" s="705">
        <v>1552</v>
      </c>
      <c r="F87" s="705">
        <v>1562</v>
      </c>
      <c r="G87" s="30">
        <v>1530</v>
      </c>
      <c r="H87" s="30">
        <v>1547</v>
      </c>
      <c r="I87" s="30">
        <v>1529</v>
      </c>
      <c r="J87" s="30">
        <v>1505</v>
      </c>
      <c r="K87" s="30">
        <v>1504</v>
      </c>
      <c r="L87" s="30">
        <v>1541</v>
      </c>
      <c r="N87" s="702" t="s">
        <v>3101</v>
      </c>
      <c r="O87" s="4"/>
      <c r="Q87" s="4"/>
    </row>
    <row r="88" spans="1:17">
      <c r="A88" s="702" t="s">
        <v>6965</v>
      </c>
      <c r="B88" s="702" t="s">
        <v>4805</v>
      </c>
      <c r="C88" s="4" t="s">
        <v>11478</v>
      </c>
      <c r="D88" s="705">
        <v>1831</v>
      </c>
      <c r="E88" s="705">
        <v>1864</v>
      </c>
      <c r="F88" s="705">
        <v>1830</v>
      </c>
      <c r="G88" s="31">
        <v>1874</v>
      </c>
      <c r="H88" s="31">
        <v>1895</v>
      </c>
      <c r="I88" s="31">
        <v>1900</v>
      </c>
      <c r="J88" s="31">
        <v>1929</v>
      </c>
      <c r="K88" s="31">
        <v>1966</v>
      </c>
      <c r="L88" s="31">
        <v>1969</v>
      </c>
      <c r="N88" s="702" t="s">
        <v>3107</v>
      </c>
      <c r="O88" s="4"/>
      <c r="Q88" s="4"/>
    </row>
    <row r="89" spans="1:17">
      <c r="A89" s="702" t="s">
        <v>6997</v>
      </c>
      <c r="B89" s="702" t="s">
        <v>4806</v>
      </c>
      <c r="C89" s="4" t="s">
        <v>11479</v>
      </c>
      <c r="D89" s="705">
        <v>5252</v>
      </c>
      <c r="E89" s="705">
        <v>5327</v>
      </c>
      <c r="F89" s="705">
        <v>5367</v>
      </c>
      <c r="G89" s="30">
        <v>5473</v>
      </c>
      <c r="H89" s="30">
        <v>5406</v>
      </c>
      <c r="I89" s="30">
        <v>5190</v>
      </c>
      <c r="J89" s="30">
        <v>5273</v>
      </c>
      <c r="K89" s="30">
        <v>5287</v>
      </c>
      <c r="L89" s="30">
        <v>5162</v>
      </c>
      <c r="N89" s="702" t="s">
        <v>3101</v>
      </c>
      <c r="O89" s="4"/>
      <c r="Q89" s="4"/>
    </row>
    <row r="90" spans="1:17">
      <c r="A90" s="702" t="s">
        <v>6999</v>
      </c>
      <c r="B90" s="702" t="s">
        <v>4807</v>
      </c>
      <c r="C90" s="4" t="s">
        <v>11480</v>
      </c>
      <c r="D90" s="705">
        <v>4846</v>
      </c>
      <c r="E90" s="705">
        <v>4872</v>
      </c>
      <c r="F90" s="705">
        <v>4861</v>
      </c>
      <c r="G90" s="30">
        <v>4928</v>
      </c>
      <c r="H90" s="30">
        <v>4951</v>
      </c>
      <c r="I90" s="30">
        <v>4809</v>
      </c>
      <c r="J90" s="30">
        <v>4887</v>
      </c>
      <c r="K90" s="30">
        <v>4967</v>
      </c>
      <c r="L90" s="30">
        <v>4920</v>
      </c>
      <c r="N90" s="702" t="s">
        <v>3101</v>
      </c>
      <c r="O90" s="4"/>
      <c r="Q90" s="4"/>
    </row>
    <row r="91" spans="1:17">
      <c r="A91" s="702" t="s">
        <v>7001</v>
      </c>
      <c r="B91" s="702" t="s">
        <v>4808</v>
      </c>
      <c r="C91" s="4" t="s">
        <v>11481</v>
      </c>
      <c r="D91" s="705">
        <v>3220</v>
      </c>
      <c r="E91" s="705">
        <v>3287</v>
      </c>
      <c r="F91" s="705">
        <v>3341</v>
      </c>
      <c r="G91" s="30">
        <v>3387</v>
      </c>
      <c r="H91" s="30">
        <v>3432</v>
      </c>
      <c r="I91" s="30">
        <v>3373</v>
      </c>
      <c r="J91" s="30">
        <v>3515</v>
      </c>
      <c r="K91" s="30">
        <v>3689</v>
      </c>
      <c r="L91" s="30">
        <v>3690</v>
      </c>
      <c r="N91" s="702" t="s">
        <v>3101</v>
      </c>
      <c r="O91" s="4"/>
      <c r="Q91" s="4"/>
    </row>
    <row r="92" spans="1:17">
      <c r="A92" s="702" t="s">
        <v>7003</v>
      </c>
      <c r="B92" s="702" t="s">
        <v>4809</v>
      </c>
      <c r="C92" s="4" t="s">
        <v>11482</v>
      </c>
      <c r="D92" s="705">
        <v>3541</v>
      </c>
      <c r="E92" s="705">
        <v>3553</v>
      </c>
      <c r="F92" s="705">
        <v>3426</v>
      </c>
      <c r="G92" s="30">
        <v>3495</v>
      </c>
      <c r="H92" s="30">
        <v>3475</v>
      </c>
      <c r="I92" s="30">
        <v>3352</v>
      </c>
      <c r="J92" s="30">
        <v>3483</v>
      </c>
      <c r="K92" s="30">
        <v>3618</v>
      </c>
      <c r="L92" s="30">
        <v>3654</v>
      </c>
      <c r="N92" s="702" t="s">
        <v>3101</v>
      </c>
      <c r="O92" s="4"/>
      <c r="Q92" s="4"/>
    </row>
    <row r="93" spans="1:17">
      <c r="A93" s="702" t="s">
        <v>7005</v>
      </c>
      <c r="B93" s="702" t="s">
        <v>6674</v>
      </c>
      <c r="C93" s="4" t="s">
        <v>11483</v>
      </c>
      <c r="D93" s="705">
        <v>1800</v>
      </c>
      <c r="E93" s="705">
        <v>1858</v>
      </c>
      <c r="F93" s="705">
        <v>1869</v>
      </c>
      <c r="G93" s="30">
        <v>1902</v>
      </c>
      <c r="H93" s="30">
        <v>1892</v>
      </c>
      <c r="I93" s="30">
        <v>1876</v>
      </c>
      <c r="J93" s="30">
        <v>1898</v>
      </c>
      <c r="K93" s="30">
        <v>1979</v>
      </c>
      <c r="L93" s="30">
        <v>2010</v>
      </c>
      <c r="N93" s="702" t="s">
        <v>3101</v>
      </c>
      <c r="O93" s="4"/>
      <c r="Q93" s="4"/>
    </row>
    <row r="94" spans="1:17">
      <c r="A94" s="702" t="s">
        <v>7007</v>
      </c>
      <c r="B94" s="702" t="s">
        <v>4810</v>
      </c>
      <c r="C94" s="4" t="s">
        <v>11484</v>
      </c>
      <c r="D94" s="705">
        <v>5704</v>
      </c>
      <c r="E94" s="705">
        <v>5841</v>
      </c>
      <c r="F94" s="705">
        <v>5739</v>
      </c>
      <c r="G94" s="30">
        <v>5880</v>
      </c>
      <c r="H94" s="30">
        <v>5831</v>
      </c>
      <c r="I94" s="30">
        <v>5736</v>
      </c>
      <c r="J94" s="30">
        <v>5726</v>
      </c>
      <c r="K94" s="30">
        <v>5760</v>
      </c>
      <c r="L94" s="30">
        <v>5757</v>
      </c>
      <c r="N94" s="702" t="s">
        <v>3101</v>
      </c>
      <c r="O94" s="4"/>
      <c r="Q94" s="4"/>
    </row>
    <row r="95" spans="1:17">
      <c r="A95" s="702" t="s">
        <v>7009</v>
      </c>
      <c r="B95" s="702" t="s">
        <v>4811</v>
      </c>
      <c r="C95" s="4" t="s">
        <v>11485</v>
      </c>
      <c r="D95" s="705">
        <v>1787</v>
      </c>
      <c r="E95" s="705">
        <v>1836</v>
      </c>
      <c r="F95" s="705">
        <v>1725</v>
      </c>
      <c r="G95" s="30">
        <v>1830</v>
      </c>
      <c r="H95" s="30">
        <v>1895</v>
      </c>
      <c r="I95" s="30">
        <v>1854</v>
      </c>
      <c r="J95" s="30">
        <v>1910</v>
      </c>
      <c r="K95" s="30">
        <v>1944</v>
      </c>
      <c r="L95" s="30">
        <v>1932</v>
      </c>
      <c r="N95" s="702" t="s">
        <v>3101</v>
      </c>
      <c r="O95" s="4"/>
      <c r="Q95" s="4"/>
    </row>
    <row r="96" spans="1:17">
      <c r="A96" s="702" t="s">
        <v>7011</v>
      </c>
      <c r="B96" s="702" t="s">
        <v>4390</v>
      </c>
      <c r="C96" s="4" t="s">
        <v>11486</v>
      </c>
      <c r="D96" s="705">
        <v>1941</v>
      </c>
      <c r="E96" s="705">
        <v>1943</v>
      </c>
      <c r="F96" s="705">
        <v>1940</v>
      </c>
      <c r="G96" s="30">
        <v>1964</v>
      </c>
      <c r="H96" s="30">
        <v>1967</v>
      </c>
      <c r="I96" s="30">
        <v>1957</v>
      </c>
      <c r="J96" s="30">
        <v>2008</v>
      </c>
      <c r="K96" s="30">
        <v>2027</v>
      </c>
      <c r="L96" s="30">
        <v>2049</v>
      </c>
      <c r="N96" s="702" t="s">
        <v>3101</v>
      </c>
      <c r="O96" s="4"/>
      <c r="Q96" s="4"/>
    </row>
    <row r="97" spans="1:17">
      <c r="A97" s="702" t="s">
        <v>7013</v>
      </c>
      <c r="B97" s="702" t="s">
        <v>7540</v>
      </c>
      <c r="C97" s="4" t="s">
        <v>11487</v>
      </c>
      <c r="D97" s="705">
        <v>1591</v>
      </c>
      <c r="E97" s="705">
        <v>1615</v>
      </c>
      <c r="F97" s="705">
        <v>1605</v>
      </c>
      <c r="G97" s="31">
        <v>1609</v>
      </c>
      <c r="H97" s="31">
        <v>1574</v>
      </c>
      <c r="I97" s="31">
        <v>1541</v>
      </c>
      <c r="J97" s="31">
        <v>1595</v>
      </c>
      <c r="K97" s="31">
        <v>1649</v>
      </c>
      <c r="L97" s="31">
        <v>1645</v>
      </c>
      <c r="N97" s="702" t="s">
        <v>3107</v>
      </c>
      <c r="O97" s="4"/>
      <c r="Q97" s="4"/>
    </row>
    <row r="98" spans="1:17">
      <c r="A98" s="702" t="s">
        <v>7015</v>
      </c>
      <c r="B98" s="702" t="s">
        <v>8428</v>
      </c>
      <c r="C98" s="4" t="s">
        <v>11488</v>
      </c>
      <c r="D98" s="705">
        <v>1852</v>
      </c>
      <c r="E98" s="705">
        <v>1845</v>
      </c>
      <c r="F98" s="705">
        <v>1894</v>
      </c>
      <c r="G98" s="30">
        <v>1883</v>
      </c>
      <c r="H98" s="30">
        <v>1893</v>
      </c>
      <c r="I98" s="30">
        <v>1854</v>
      </c>
      <c r="J98" s="30">
        <v>1846</v>
      </c>
      <c r="K98" s="30">
        <v>1860</v>
      </c>
      <c r="L98" s="30">
        <v>1853</v>
      </c>
      <c r="N98" s="702" t="s">
        <v>3101</v>
      </c>
      <c r="O98" s="4"/>
      <c r="Q98" s="4"/>
    </row>
    <row r="99" spans="1:17">
      <c r="A99" s="702" t="s">
        <v>7017</v>
      </c>
      <c r="B99" s="702" t="s">
        <v>8429</v>
      </c>
      <c r="C99" s="4" t="s">
        <v>11489</v>
      </c>
      <c r="D99" s="705">
        <v>1736</v>
      </c>
      <c r="E99" s="705">
        <v>1771</v>
      </c>
      <c r="F99" s="705">
        <v>1754</v>
      </c>
      <c r="G99" s="30">
        <v>1774</v>
      </c>
      <c r="H99" s="30">
        <v>1808</v>
      </c>
      <c r="I99" s="30">
        <v>1801</v>
      </c>
      <c r="J99" s="30">
        <v>1816</v>
      </c>
      <c r="K99" s="30">
        <v>1824</v>
      </c>
      <c r="L99" s="30">
        <v>1815</v>
      </c>
      <c r="N99" s="702" t="s">
        <v>3101</v>
      </c>
      <c r="O99" s="4"/>
      <c r="Q99" s="4"/>
    </row>
    <row r="100" spans="1:17">
      <c r="A100" s="702" t="s">
        <v>7019</v>
      </c>
      <c r="B100" s="702" t="s">
        <v>8811</v>
      </c>
      <c r="C100" s="4" t="s">
        <v>11490</v>
      </c>
      <c r="D100" s="705">
        <v>1598</v>
      </c>
      <c r="E100" s="705">
        <v>1678</v>
      </c>
      <c r="F100" s="705">
        <v>1633</v>
      </c>
      <c r="G100" s="30">
        <v>1646</v>
      </c>
      <c r="H100" s="30">
        <v>1656</v>
      </c>
      <c r="I100" s="30">
        <v>1638</v>
      </c>
      <c r="J100" s="30">
        <v>1656</v>
      </c>
      <c r="K100" s="30">
        <v>1686</v>
      </c>
      <c r="L100" s="30">
        <v>1689</v>
      </c>
      <c r="N100" s="702" t="s">
        <v>3101</v>
      </c>
      <c r="O100" s="4"/>
      <c r="Q100" s="4"/>
    </row>
    <row r="101" spans="1:17">
      <c r="A101" s="702" t="s">
        <v>7021</v>
      </c>
      <c r="B101" s="702" t="s">
        <v>8430</v>
      </c>
      <c r="C101" s="4" t="s">
        <v>11491</v>
      </c>
      <c r="D101" s="705">
        <v>3393</v>
      </c>
      <c r="E101" s="705">
        <v>3409</v>
      </c>
      <c r="F101" s="705">
        <v>3336</v>
      </c>
      <c r="G101" s="31">
        <v>3419</v>
      </c>
      <c r="H101" s="31">
        <v>3347</v>
      </c>
      <c r="I101" s="31">
        <v>3284</v>
      </c>
      <c r="J101" s="31">
        <v>3395</v>
      </c>
      <c r="K101" s="31">
        <v>3426</v>
      </c>
      <c r="L101" s="31">
        <v>3403</v>
      </c>
      <c r="N101" s="702" t="s">
        <v>3107</v>
      </c>
      <c r="O101" s="4"/>
      <c r="Q101" s="4"/>
    </row>
    <row r="102" spans="1:17">
      <c r="A102" s="702" t="s">
        <v>7023</v>
      </c>
      <c r="B102" s="702" t="s">
        <v>8431</v>
      </c>
      <c r="C102" s="4" t="s">
        <v>11492</v>
      </c>
      <c r="D102" s="705">
        <v>1601</v>
      </c>
      <c r="E102" s="705">
        <v>1588</v>
      </c>
      <c r="F102" s="705">
        <v>1555</v>
      </c>
      <c r="G102" s="31">
        <v>1548</v>
      </c>
      <c r="H102" s="31">
        <v>1538</v>
      </c>
      <c r="I102" s="31">
        <v>1511</v>
      </c>
      <c r="J102" s="31">
        <v>1533</v>
      </c>
      <c r="K102" s="31">
        <v>1580</v>
      </c>
      <c r="L102" s="31">
        <v>1552</v>
      </c>
      <c r="N102" s="702" t="s">
        <v>3101</v>
      </c>
      <c r="O102" s="4"/>
      <c r="Q102" s="4"/>
    </row>
    <row r="103" spans="1:17">
      <c r="A103" s="702" t="s">
        <v>7025</v>
      </c>
      <c r="B103" s="702" t="s">
        <v>8432</v>
      </c>
      <c r="C103" s="4" t="s">
        <v>11493</v>
      </c>
      <c r="D103" s="705">
        <v>4936</v>
      </c>
      <c r="E103" s="705">
        <v>4987</v>
      </c>
      <c r="F103" s="705">
        <v>4848</v>
      </c>
      <c r="G103" s="31">
        <v>4886</v>
      </c>
      <c r="H103" s="31">
        <v>4851</v>
      </c>
      <c r="I103" s="31">
        <v>4689</v>
      </c>
      <c r="J103" s="31">
        <v>4760</v>
      </c>
      <c r="K103" s="31">
        <v>4761</v>
      </c>
      <c r="L103" s="31">
        <v>4728</v>
      </c>
      <c r="N103" s="702" t="s">
        <v>3101</v>
      </c>
      <c r="O103" s="4"/>
      <c r="Q103" s="4"/>
    </row>
    <row r="104" spans="1:17">
      <c r="A104" s="702" t="s">
        <v>7570</v>
      </c>
      <c r="B104" s="702" t="s">
        <v>8433</v>
      </c>
      <c r="C104" s="4" t="s">
        <v>11494</v>
      </c>
      <c r="D104" s="705">
        <v>6355</v>
      </c>
      <c r="E104" s="705">
        <v>6534</v>
      </c>
      <c r="F104" s="705">
        <v>6636</v>
      </c>
      <c r="G104" s="31">
        <v>6705</v>
      </c>
      <c r="H104" s="31">
        <v>6682</v>
      </c>
      <c r="I104" s="31">
        <v>6542</v>
      </c>
      <c r="J104" s="31">
        <v>6476</v>
      </c>
      <c r="K104" s="31">
        <v>6555</v>
      </c>
      <c r="L104" s="31">
        <v>6554</v>
      </c>
      <c r="N104" s="702" t="s">
        <v>3101</v>
      </c>
      <c r="O104" s="4"/>
      <c r="Q104" s="4"/>
    </row>
    <row r="105" spans="1:17">
      <c r="A105" s="702" t="s">
        <v>7572</v>
      </c>
      <c r="B105" s="702" t="s">
        <v>8434</v>
      </c>
      <c r="C105" s="4" t="s">
        <v>11495</v>
      </c>
      <c r="D105" s="705">
        <v>4994</v>
      </c>
      <c r="E105" s="705">
        <v>5058</v>
      </c>
      <c r="F105" s="705">
        <v>5017</v>
      </c>
      <c r="G105" s="31">
        <v>4998</v>
      </c>
      <c r="H105" s="31">
        <v>4899</v>
      </c>
      <c r="I105" s="31">
        <v>4805</v>
      </c>
      <c r="J105" s="31">
        <v>4836</v>
      </c>
      <c r="K105" s="31">
        <v>4833</v>
      </c>
      <c r="L105" s="31">
        <v>4785</v>
      </c>
      <c r="N105" s="702" t="s">
        <v>3101</v>
      </c>
      <c r="O105" s="4"/>
      <c r="Q105" s="4"/>
    </row>
    <row r="106" spans="1:17">
      <c r="A106" s="702" t="s">
        <v>7573</v>
      </c>
      <c r="B106" s="702" t="s">
        <v>4742</v>
      </c>
      <c r="C106" s="4" t="s">
        <v>11496</v>
      </c>
      <c r="D106" s="705">
        <v>5268</v>
      </c>
      <c r="E106" s="705">
        <v>5564</v>
      </c>
      <c r="F106" s="705">
        <v>5551</v>
      </c>
      <c r="G106" s="31">
        <v>5567</v>
      </c>
      <c r="H106" s="31">
        <v>5416</v>
      </c>
      <c r="I106" s="31">
        <v>5226</v>
      </c>
      <c r="J106" s="31">
        <v>5300</v>
      </c>
      <c r="K106" s="31">
        <v>5301</v>
      </c>
      <c r="L106" s="31">
        <v>5249</v>
      </c>
      <c r="N106" s="702" t="s">
        <v>3101</v>
      </c>
      <c r="O106" s="4"/>
      <c r="Q106" s="4"/>
    </row>
    <row r="107" spans="1:17">
      <c r="A107" s="702" t="s">
        <v>5798</v>
      </c>
      <c r="B107" s="702" t="s">
        <v>6615</v>
      </c>
      <c r="C107" s="4" t="s">
        <v>11497</v>
      </c>
      <c r="D107" s="707">
        <v>5223</v>
      </c>
      <c r="E107" s="707">
        <v>5302</v>
      </c>
      <c r="F107" s="707">
        <v>5270</v>
      </c>
      <c r="G107" s="31">
        <v>5349</v>
      </c>
      <c r="H107" s="31">
        <v>5261</v>
      </c>
      <c r="I107" s="31">
        <v>5083</v>
      </c>
      <c r="J107" s="31">
        <v>5132</v>
      </c>
      <c r="K107" s="31">
        <v>5174</v>
      </c>
      <c r="L107" s="31">
        <v>5263</v>
      </c>
      <c r="N107" s="702" t="s">
        <v>3101</v>
      </c>
      <c r="O107" s="4"/>
      <c r="Q107" s="4"/>
    </row>
    <row r="108" spans="1:17">
      <c r="A108" s="702" t="s">
        <v>5799</v>
      </c>
      <c r="B108" s="702" t="s">
        <v>6616</v>
      </c>
      <c r="C108" s="4" t="s">
        <v>11498</v>
      </c>
      <c r="D108" s="705">
        <v>5264</v>
      </c>
      <c r="E108" s="705">
        <v>5593</v>
      </c>
      <c r="F108" s="705">
        <v>5474</v>
      </c>
      <c r="G108" s="31">
        <v>5499</v>
      </c>
      <c r="H108" s="31">
        <v>5335</v>
      </c>
      <c r="I108" s="31">
        <v>5066</v>
      </c>
      <c r="J108" s="31">
        <v>5087</v>
      </c>
      <c r="K108" s="31">
        <v>5060</v>
      </c>
      <c r="L108" s="31">
        <v>4913</v>
      </c>
      <c r="N108" s="702" t="s">
        <v>3101</v>
      </c>
      <c r="O108" s="4"/>
      <c r="Q108" s="4"/>
    </row>
    <row r="109" spans="1:17">
      <c r="D109" s="707"/>
      <c r="E109" s="707"/>
      <c r="F109" s="707"/>
      <c r="G109" s="707"/>
      <c r="H109" s="707"/>
      <c r="I109" s="707"/>
      <c r="J109" s="707"/>
      <c r="K109" s="707"/>
      <c r="L109" s="707"/>
    </row>
    <row r="110" spans="1:17">
      <c r="A110" s="702" t="s">
        <v>3101</v>
      </c>
      <c r="D110" s="705">
        <f t="shared" ref="D110:H110" si="93">SUM(D84:D87)+SUM(D89:D96)+SUM(D98:D100)+SUM(D102:D108)</f>
        <v>76741</v>
      </c>
      <c r="E110" s="705">
        <f t="shared" si="93"/>
        <v>78306</v>
      </c>
      <c r="F110" s="705">
        <f t="shared" si="93"/>
        <v>77724</v>
      </c>
      <c r="G110" s="705">
        <f t="shared" si="93"/>
        <v>78482</v>
      </c>
      <c r="H110" s="705">
        <f t="shared" si="93"/>
        <v>77996</v>
      </c>
      <c r="I110" s="705">
        <f>SUM(I84:I87)+SUM(I89:I96)+SUM(I98:I100)+SUM(I102:I108)</f>
        <v>75910</v>
      </c>
      <c r="J110" s="705">
        <f>SUM(J84:J87)+SUM(J89:J96)+SUM(J98:J100)+SUM(J102:J108)</f>
        <v>76764</v>
      </c>
      <c r="K110" s="705">
        <f>SUM(K84:K87)+SUM(K89:K96)+SUM(K98:K100)+SUM(K102:K108)</f>
        <v>77546</v>
      </c>
      <c r="L110" s="705">
        <f>SUM(L84:L87)+SUM(L89:L96)+SUM(L98:L100)+SUM(L102:L108)</f>
        <v>77184</v>
      </c>
    </row>
    <row r="111" spans="1:17">
      <c r="A111" s="702" t="s">
        <v>6617</v>
      </c>
      <c r="D111" s="705">
        <f t="shared" ref="D111:I111" si="94">D88+D97+D101</f>
        <v>6815</v>
      </c>
      <c r="E111" s="705">
        <f t="shared" si="94"/>
        <v>6888</v>
      </c>
      <c r="F111" s="705">
        <f t="shared" si="94"/>
        <v>6771</v>
      </c>
      <c r="G111" s="705">
        <f t="shared" si="94"/>
        <v>6902</v>
      </c>
      <c r="H111" s="705">
        <f t="shared" si="94"/>
        <v>6816</v>
      </c>
      <c r="I111" s="705">
        <f t="shared" si="94"/>
        <v>6725</v>
      </c>
      <c r="J111" s="705">
        <f t="shared" ref="J111:K111" si="95">J88+J97+J101</f>
        <v>6919</v>
      </c>
      <c r="K111" s="705">
        <f t="shared" si="95"/>
        <v>7041</v>
      </c>
      <c r="L111" s="705">
        <f t="shared" ref="L111" si="96">L88+L97+L101</f>
        <v>7017</v>
      </c>
    </row>
    <row r="112" spans="1:17">
      <c r="A112" s="702"/>
      <c r="D112" s="705"/>
      <c r="E112" s="705"/>
      <c r="F112" s="705"/>
      <c r="G112" s="705"/>
      <c r="H112" s="705"/>
      <c r="I112" s="705"/>
      <c r="J112" s="705"/>
      <c r="K112" s="705"/>
      <c r="L112" s="705"/>
    </row>
    <row r="113" spans="1:17">
      <c r="A113" s="702" t="s">
        <v>7229</v>
      </c>
      <c r="D113" s="705"/>
      <c r="E113" s="705"/>
      <c r="F113" s="705"/>
      <c r="G113" s="705"/>
      <c r="H113" s="705"/>
      <c r="I113" s="705"/>
      <c r="J113" s="705"/>
      <c r="K113" s="705"/>
      <c r="L113" s="705"/>
    </row>
    <row r="114" spans="1:17">
      <c r="A114" s="702"/>
      <c r="B114" s="702"/>
      <c r="D114" s="711"/>
      <c r="E114" s="711"/>
      <c r="F114" s="711"/>
      <c r="G114" s="711"/>
      <c r="H114" s="711"/>
      <c r="I114" s="711"/>
      <c r="J114" s="711"/>
      <c r="K114" s="711"/>
      <c r="L114" s="711"/>
    </row>
    <row r="115" spans="1:17">
      <c r="A115" s="702"/>
      <c r="B115" s="702"/>
      <c r="D115" s="711"/>
      <c r="E115" s="711"/>
      <c r="F115" s="711"/>
      <c r="G115" s="711"/>
      <c r="H115" s="711"/>
      <c r="I115" s="711"/>
      <c r="J115" s="711"/>
      <c r="K115" s="711"/>
      <c r="L115" s="711"/>
    </row>
    <row r="116" spans="1:17">
      <c r="E116" s="42" t="s">
        <v>2303</v>
      </c>
      <c r="F116" s="42"/>
      <c r="G116" s="42"/>
      <c r="H116" s="42"/>
      <c r="I116" s="42"/>
      <c r="J116" s="42"/>
      <c r="K116" s="42"/>
      <c r="L116" s="42"/>
      <c r="M116" s="109"/>
      <c r="N116" s="109" t="s">
        <v>13319</v>
      </c>
    </row>
    <row r="117" spans="1:17">
      <c r="D117" s="703">
        <v>2010</v>
      </c>
      <c r="E117" s="703">
        <v>2011</v>
      </c>
      <c r="F117" s="703">
        <v>2012</v>
      </c>
      <c r="G117" s="703">
        <v>2013</v>
      </c>
      <c r="H117" s="703">
        <v>2014</v>
      </c>
      <c r="I117" s="703">
        <v>2015</v>
      </c>
      <c r="J117" s="703">
        <v>2016</v>
      </c>
      <c r="K117" s="703">
        <v>2017</v>
      </c>
      <c r="L117" s="703">
        <v>2018</v>
      </c>
      <c r="M117" s="109"/>
      <c r="N117" s="112" t="s">
        <v>2304</v>
      </c>
    </row>
    <row r="118" spans="1:17">
      <c r="A118" s="702" t="s">
        <v>7230</v>
      </c>
      <c r="D118" s="705">
        <f>SUM(D119:D132)+SUM(D134:D140)</f>
        <v>82815</v>
      </c>
      <c r="E118" s="705">
        <f t="shared" ref="E118:K118" si="97">SUM(E119:E132)+SUM(E134:E140)</f>
        <v>83413</v>
      </c>
      <c r="F118" s="705">
        <f t="shared" si="97"/>
        <v>83728</v>
      </c>
      <c r="G118" s="705">
        <f t="shared" si="97"/>
        <v>83060</v>
      </c>
      <c r="H118" s="705">
        <f t="shared" si="97"/>
        <v>79977</v>
      </c>
      <c r="I118" s="705">
        <f t="shared" si="97"/>
        <v>80645</v>
      </c>
      <c r="J118" s="705">
        <f t="shared" si="97"/>
        <v>80641</v>
      </c>
      <c r="K118" s="705">
        <f t="shared" si="97"/>
        <v>82766</v>
      </c>
      <c r="L118" s="705">
        <f t="shared" ref="L118" si="98">SUM(L119:L132)+SUM(L134:L140)</f>
        <v>82674</v>
      </c>
    </row>
    <row r="119" spans="1:17">
      <c r="A119" s="702" t="s">
        <v>6957</v>
      </c>
      <c r="B119" s="702" t="s">
        <v>15272</v>
      </c>
      <c r="C119" s="4" t="s">
        <v>15271</v>
      </c>
      <c r="D119" s="705">
        <v>71440</v>
      </c>
      <c r="E119" s="705">
        <v>71961</v>
      </c>
      <c r="F119" s="705">
        <v>72333</v>
      </c>
      <c r="G119" s="705">
        <v>71656</v>
      </c>
      <c r="H119" s="48">
        <v>69080</v>
      </c>
      <c r="I119" s="48">
        <v>69648</v>
      </c>
      <c r="J119" s="48">
        <v>5538</v>
      </c>
      <c r="K119" s="48">
        <v>5636</v>
      </c>
      <c r="L119" s="48">
        <v>5644</v>
      </c>
      <c r="N119" s="702" t="s">
        <v>3103</v>
      </c>
      <c r="O119" s="4"/>
      <c r="Q119" s="4"/>
    </row>
    <row r="120" spans="1:17">
      <c r="A120" s="702" t="s">
        <v>6959</v>
      </c>
      <c r="B120" s="702" t="s">
        <v>15273</v>
      </c>
      <c r="C120" s="4" t="s">
        <v>15283</v>
      </c>
      <c r="D120" s="705">
        <v>0</v>
      </c>
      <c r="E120" s="705">
        <v>0</v>
      </c>
      <c r="F120" s="705">
        <v>0</v>
      </c>
      <c r="G120" s="705">
        <v>0</v>
      </c>
      <c r="H120" s="48">
        <v>0</v>
      </c>
      <c r="I120" s="48">
        <v>0</v>
      </c>
      <c r="J120" s="48">
        <v>4050</v>
      </c>
      <c r="K120" s="48">
        <v>4101</v>
      </c>
      <c r="L120" s="48">
        <v>4109</v>
      </c>
      <c r="N120" s="702" t="s">
        <v>3103</v>
      </c>
      <c r="O120" s="4"/>
      <c r="Q120" s="4"/>
    </row>
    <row r="121" spans="1:17">
      <c r="A121" s="702" t="s">
        <v>6961</v>
      </c>
      <c r="B121" s="702" t="s">
        <v>7231</v>
      </c>
      <c r="C121" s="4" t="s">
        <v>15284</v>
      </c>
      <c r="D121" s="705">
        <v>0</v>
      </c>
      <c r="E121" s="705">
        <v>0</v>
      </c>
      <c r="F121" s="705">
        <v>0</v>
      </c>
      <c r="G121" s="705">
        <v>0</v>
      </c>
      <c r="H121" s="48">
        <v>0</v>
      </c>
      <c r="I121" s="48">
        <v>0</v>
      </c>
      <c r="J121" s="48">
        <v>3431</v>
      </c>
      <c r="K121" s="48">
        <v>3653</v>
      </c>
      <c r="L121" s="48">
        <v>3676</v>
      </c>
      <c r="N121" s="702" t="s">
        <v>3103</v>
      </c>
      <c r="O121" s="4"/>
      <c r="Q121" s="4"/>
    </row>
    <row r="122" spans="1:17">
      <c r="A122" s="702" t="s">
        <v>6963</v>
      </c>
      <c r="B122" s="702" t="s">
        <v>7232</v>
      </c>
      <c r="C122" s="4" t="s">
        <v>15285</v>
      </c>
      <c r="D122" s="705">
        <v>0</v>
      </c>
      <c r="E122" s="705">
        <v>0</v>
      </c>
      <c r="F122" s="705">
        <v>0</v>
      </c>
      <c r="G122" s="705">
        <v>0</v>
      </c>
      <c r="H122" s="48">
        <v>0</v>
      </c>
      <c r="I122" s="48">
        <v>0</v>
      </c>
      <c r="J122" s="48">
        <v>3790</v>
      </c>
      <c r="K122" s="48">
        <v>3871</v>
      </c>
      <c r="L122" s="48">
        <v>3888</v>
      </c>
      <c r="N122" s="702" t="s">
        <v>3103</v>
      </c>
      <c r="O122" s="4"/>
      <c r="Q122" s="4"/>
    </row>
    <row r="123" spans="1:17">
      <c r="A123" s="702" t="s">
        <v>6965</v>
      </c>
      <c r="B123" s="702" t="s">
        <v>7233</v>
      </c>
      <c r="C123" s="4" t="s">
        <v>15286</v>
      </c>
      <c r="D123" s="705">
        <v>0</v>
      </c>
      <c r="E123" s="705">
        <v>0</v>
      </c>
      <c r="F123" s="705">
        <v>0</v>
      </c>
      <c r="G123" s="705">
        <v>0</v>
      </c>
      <c r="H123" s="48">
        <v>0</v>
      </c>
      <c r="I123" s="48">
        <v>0</v>
      </c>
      <c r="J123" s="48">
        <v>3432</v>
      </c>
      <c r="K123" s="48">
        <v>3473</v>
      </c>
      <c r="L123" s="48">
        <v>3439</v>
      </c>
      <c r="N123" s="702" t="s">
        <v>3103</v>
      </c>
      <c r="O123" s="4"/>
      <c r="Q123" s="4"/>
    </row>
    <row r="124" spans="1:17">
      <c r="A124" s="702" t="s">
        <v>6997</v>
      </c>
      <c r="B124" s="702" t="s">
        <v>7234</v>
      </c>
      <c r="C124" s="4" t="s">
        <v>15287</v>
      </c>
      <c r="D124" s="705">
        <v>0</v>
      </c>
      <c r="E124" s="705">
        <v>0</v>
      </c>
      <c r="F124" s="705">
        <v>0</v>
      </c>
      <c r="G124" s="705">
        <v>0</v>
      </c>
      <c r="H124" s="48">
        <v>0</v>
      </c>
      <c r="I124" s="48">
        <v>0</v>
      </c>
      <c r="J124" s="48">
        <v>3773</v>
      </c>
      <c r="K124" s="48">
        <v>3875</v>
      </c>
      <c r="L124" s="48">
        <v>3902</v>
      </c>
      <c r="N124" s="702" t="s">
        <v>3103</v>
      </c>
      <c r="O124" s="4"/>
      <c r="Q124" s="4"/>
    </row>
    <row r="125" spans="1:17">
      <c r="A125" s="702" t="s">
        <v>6999</v>
      </c>
      <c r="B125" s="702" t="s">
        <v>7235</v>
      </c>
      <c r="C125" s="4" t="s">
        <v>15288</v>
      </c>
      <c r="D125" s="705">
        <v>0</v>
      </c>
      <c r="E125" s="705">
        <v>0</v>
      </c>
      <c r="F125" s="705">
        <v>0</v>
      </c>
      <c r="G125" s="705">
        <v>0</v>
      </c>
      <c r="H125" s="48">
        <v>0</v>
      </c>
      <c r="I125" s="48">
        <v>0</v>
      </c>
      <c r="J125" s="48">
        <v>5671</v>
      </c>
      <c r="K125" s="48">
        <v>5741</v>
      </c>
      <c r="L125" s="48">
        <v>5713</v>
      </c>
      <c r="N125" s="702" t="s">
        <v>3103</v>
      </c>
      <c r="O125" s="4"/>
      <c r="Q125" s="4"/>
    </row>
    <row r="126" spans="1:17">
      <c r="A126" s="702" t="s">
        <v>7001</v>
      </c>
      <c r="B126" s="702" t="s">
        <v>7236</v>
      </c>
      <c r="C126" s="4" t="s">
        <v>15289</v>
      </c>
      <c r="D126" s="705">
        <v>11375</v>
      </c>
      <c r="E126" s="705">
        <v>11452</v>
      </c>
      <c r="F126" s="705">
        <v>11395</v>
      </c>
      <c r="G126" s="705">
        <v>11404</v>
      </c>
      <c r="H126" s="48">
        <v>10897</v>
      </c>
      <c r="I126" s="48">
        <v>10997</v>
      </c>
      <c r="J126" s="48">
        <v>1845</v>
      </c>
      <c r="K126" s="48">
        <v>1889</v>
      </c>
      <c r="L126" s="48">
        <v>1881</v>
      </c>
      <c r="N126" s="702" t="s">
        <v>3098</v>
      </c>
      <c r="O126" s="4"/>
      <c r="Q126" s="4"/>
    </row>
    <row r="127" spans="1:17">
      <c r="A127" s="702" t="s">
        <v>7003</v>
      </c>
      <c r="B127" s="702" t="s">
        <v>7237</v>
      </c>
      <c r="C127" s="4" t="s">
        <v>15290</v>
      </c>
      <c r="D127" s="705">
        <v>0</v>
      </c>
      <c r="E127" s="705">
        <v>0</v>
      </c>
      <c r="F127" s="705">
        <v>0</v>
      </c>
      <c r="G127" s="705">
        <v>0</v>
      </c>
      <c r="H127" s="48">
        <v>0</v>
      </c>
      <c r="I127" s="48">
        <v>0</v>
      </c>
      <c r="J127" s="48">
        <v>5468</v>
      </c>
      <c r="K127" s="48">
        <v>5660</v>
      </c>
      <c r="L127" s="48">
        <v>5648</v>
      </c>
      <c r="N127" s="702" t="s">
        <v>3103</v>
      </c>
      <c r="O127" s="4"/>
      <c r="Q127" s="4"/>
    </row>
    <row r="128" spans="1:17">
      <c r="A128" s="702" t="s">
        <v>7005</v>
      </c>
      <c r="B128" s="702" t="s">
        <v>15274</v>
      </c>
      <c r="C128" s="4" t="s">
        <v>15291</v>
      </c>
      <c r="D128" s="705">
        <v>0</v>
      </c>
      <c r="E128" s="705">
        <v>0</v>
      </c>
      <c r="F128" s="705">
        <v>0</v>
      </c>
      <c r="G128" s="705">
        <v>0</v>
      </c>
      <c r="H128" s="48">
        <v>0</v>
      </c>
      <c r="I128" s="48">
        <v>0</v>
      </c>
      <c r="J128" s="48">
        <v>1907</v>
      </c>
      <c r="K128" s="48">
        <v>1941</v>
      </c>
      <c r="L128" s="48">
        <v>1942</v>
      </c>
      <c r="N128" s="702" t="s">
        <v>3098</v>
      </c>
      <c r="O128" s="4"/>
      <c r="Q128" s="4"/>
    </row>
    <row r="129" spans="1:17">
      <c r="A129" s="702" t="s">
        <v>7007</v>
      </c>
      <c r="B129" s="702" t="s">
        <v>15275</v>
      </c>
      <c r="C129" s="4" t="s">
        <v>15292</v>
      </c>
      <c r="D129" s="705">
        <v>0</v>
      </c>
      <c r="E129" s="705">
        <v>0</v>
      </c>
      <c r="F129" s="705">
        <v>0</v>
      </c>
      <c r="G129" s="705">
        <v>0</v>
      </c>
      <c r="H129" s="48">
        <v>0</v>
      </c>
      <c r="I129" s="48">
        <v>0</v>
      </c>
      <c r="J129" s="48">
        <v>3857</v>
      </c>
      <c r="K129" s="48">
        <v>3919</v>
      </c>
      <c r="L129" s="48">
        <v>3874</v>
      </c>
      <c r="N129" s="702" t="s">
        <v>3098</v>
      </c>
      <c r="O129" s="4"/>
      <c r="Q129" s="4"/>
    </row>
    <row r="130" spans="1:17">
      <c r="A130" s="702" t="s">
        <v>7009</v>
      </c>
      <c r="B130" s="702" t="s">
        <v>15276</v>
      </c>
      <c r="C130" s="4" t="s">
        <v>15293</v>
      </c>
      <c r="D130" s="705">
        <v>0</v>
      </c>
      <c r="E130" s="705">
        <v>0</v>
      </c>
      <c r="F130" s="705">
        <v>0</v>
      </c>
      <c r="G130" s="705">
        <v>0</v>
      </c>
      <c r="H130" s="48">
        <v>0</v>
      </c>
      <c r="I130" s="48">
        <v>0</v>
      </c>
      <c r="J130" s="48">
        <v>3261</v>
      </c>
      <c r="K130" s="48">
        <v>3377</v>
      </c>
      <c r="L130" s="48">
        <v>3437</v>
      </c>
      <c r="N130" s="702" t="s">
        <v>3098</v>
      </c>
      <c r="O130" s="4"/>
      <c r="Q130" s="4"/>
    </row>
    <row r="131" spans="1:17">
      <c r="A131" s="702" t="s">
        <v>7011</v>
      </c>
      <c r="B131" s="702" t="s">
        <v>15277</v>
      </c>
      <c r="C131" s="4" t="s">
        <v>15294</v>
      </c>
      <c r="D131" s="705">
        <v>0</v>
      </c>
      <c r="E131" s="705">
        <v>0</v>
      </c>
      <c r="F131" s="705">
        <v>0</v>
      </c>
      <c r="G131" s="705">
        <v>0</v>
      </c>
      <c r="H131" s="48">
        <v>0</v>
      </c>
      <c r="I131" s="48">
        <v>0</v>
      </c>
      <c r="J131" s="48">
        <v>72</v>
      </c>
      <c r="K131" s="48">
        <v>74</v>
      </c>
      <c r="L131" s="48">
        <v>76</v>
      </c>
      <c r="N131" s="702" t="s">
        <v>3098</v>
      </c>
      <c r="O131" s="4"/>
      <c r="Q131" s="4"/>
    </row>
    <row r="132" spans="1:17" ht="15.75" thickBot="1">
      <c r="A132" s="702"/>
      <c r="B132" s="702"/>
      <c r="C132" s="4" t="s">
        <v>15294</v>
      </c>
      <c r="D132" s="708">
        <v>0</v>
      </c>
      <c r="E132" s="708">
        <v>0</v>
      </c>
      <c r="F132" s="708">
        <v>0</v>
      </c>
      <c r="G132" s="708">
        <v>0</v>
      </c>
      <c r="H132" s="159">
        <v>0</v>
      </c>
      <c r="I132" s="159">
        <v>0</v>
      </c>
      <c r="J132" s="48">
        <v>5156</v>
      </c>
      <c r="K132" s="48">
        <v>5229</v>
      </c>
      <c r="L132" s="48">
        <v>5217</v>
      </c>
      <c r="N132" s="702" t="s">
        <v>3103</v>
      </c>
      <c r="O132" s="4"/>
      <c r="Q132" s="4"/>
    </row>
    <row r="133" spans="1:17" ht="15.75" thickBot="1">
      <c r="A133" s="702"/>
      <c r="B133" s="702"/>
      <c r="C133" s="4" t="s">
        <v>15294</v>
      </c>
      <c r="D133" s="908">
        <f>SUM(D131+D132)</f>
        <v>0</v>
      </c>
      <c r="E133" s="908">
        <f t="shared" ref="E133:L133" si="99">SUM(E131+E132)</f>
        <v>0</v>
      </c>
      <c r="F133" s="908">
        <f t="shared" si="99"/>
        <v>0</v>
      </c>
      <c r="G133" s="908">
        <f t="shared" si="99"/>
        <v>0</v>
      </c>
      <c r="H133" s="908">
        <f t="shared" si="99"/>
        <v>0</v>
      </c>
      <c r="I133" s="908">
        <f t="shared" si="99"/>
        <v>0</v>
      </c>
      <c r="J133" s="908">
        <f t="shared" si="99"/>
        <v>5228</v>
      </c>
      <c r="K133" s="908">
        <f t="shared" si="99"/>
        <v>5303</v>
      </c>
      <c r="L133" s="908">
        <f t="shared" si="99"/>
        <v>5293</v>
      </c>
      <c r="N133" s="702"/>
      <c r="O133" s="4"/>
      <c r="Q133" s="4"/>
    </row>
    <row r="134" spans="1:17">
      <c r="A134" s="702" t="s">
        <v>7013</v>
      </c>
      <c r="B134" s="702" t="s">
        <v>15278</v>
      </c>
      <c r="C134" s="4" t="s">
        <v>15295</v>
      </c>
      <c r="D134" s="705">
        <v>0</v>
      </c>
      <c r="E134" s="705">
        <v>0</v>
      </c>
      <c r="F134" s="705">
        <v>0</v>
      </c>
      <c r="G134" s="705">
        <v>0</v>
      </c>
      <c r="H134" s="705">
        <v>0</v>
      </c>
      <c r="I134" s="705">
        <v>0</v>
      </c>
      <c r="J134" s="48">
        <v>5030</v>
      </c>
      <c r="K134" s="48">
        <v>5127</v>
      </c>
      <c r="L134" s="48">
        <v>5101</v>
      </c>
      <c r="N134" s="702" t="s">
        <v>3103</v>
      </c>
      <c r="O134" s="4"/>
      <c r="Q134" s="4"/>
    </row>
    <row r="135" spans="1:17">
      <c r="A135" s="702" t="s">
        <v>7015</v>
      </c>
      <c r="B135" s="702" t="s">
        <v>15279</v>
      </c>
      <c r="C135" s="4" t="s">
        <v>15296</v>
      </c>
      <c r="D135" s="705">
        <v>0</v>
      </c>
      <c r="E135" s="705">
        <v>0</v>
      </c>
      <c r="F135" s="705">
        <v>0</v>
      </c>
      <c r="G135" s="705">
        <v>0</v>
      </c>
      <c r="H135" s="705">
        <v>0</v>
      </c>
      <c r="I135" s="705">
        <v>0</v>
      </c>
      <c r="J135" s="48">
        <v>3833</v>
      </c>
      <c r="K135" s="48">
        <v>3995</v>
      </c>
      <c r="L135" s="48">
        <v>3967</v>
      </c>
      <c r="N135" s="702" t="s">
        <v>3103</v>
      </c>
      <c r="O135" s="4"/>
      <c r="Q135" s="4"/>
    </row>
    <row r="136" spans="1:17">
      <c r="A136" s="702" t="s">
        <v>7017</v>
      </c>
      <c r="B136" s="702" t="s">
        <v>3197</v>
      </c>
      <c r="C136" s="4" t="s">
        <v>15297</v>
      </c>
      <c r="D136" s="705">
        <v>0</v>
      </c>
      <c r="E136" s="705">
        <v>0</v>
      </c>
      <c r="F136" s="705">
        <v>0</v>
      </c>
      <c r="G136" s="705">
        <v>0</v>
      </c>
      <c r="H136" s="705">
        <v>0</v>
      </c>
      <c r="I136" s="705">
        <v>0</v>
      </c>
      <c r="J136" s="48">
        <v>3282</v>
      </c>
      <c r="K136" s="48">
        <v>3451</v>
      </c>
      <c r="L136" s="48">
        <v>3409</v>
      </c>
      <c r="N136" s="702" t="s">
        <v>3103</v>
      </c>
      <c r="O136" s="4"/>
      <c r="Q136" s="4"/>
    </row>
    <row r="137" spans="1:17">
      <c r="A137" s="702" t="s">
        <v>7019</v>
      </c>
      <c r="B137" s="702" t="s">
        <v>3198</v>
      </c>
      <c r="C137" s="4" t="s">
        <v>15298</v>
      </c>
      <c r="D137" s="705">
        <v>0</v>
      </c>
      <c r="E137" s="705">
        <v>0</v>
      </c>
      <c r="F137" s="705">
        <v>0</v>
      </c>
      <c r="G137" s="705">
        <v>0</v>
      </c>
      <c r="H137" s="705">
        <v>0</v>
      </c>
      <c r="I137" s="705">
        <v>0</v>
      </c>
      <c r="J137" s="48">
        <v>3687</v>
      </c>
      <c r="K137" s="48">
        <v>3818</v>
      </c>
      <c r="L137" s="48">
        <v>3836</v>
      </c>
      <c r="N137" s="702" t="s">
        <v>3103</v>
      </c>
      <c r="O137" s="4"/>
      <c r="Q137" s="4"/>
    </row>
    <row r="138" spans="1:17">
      <c r="A138" s="702" t="s">
        <v>7021</v>
      </c>
      <c r="B138" s="702" t="s">
        <v>3199</v>
      </c>
      <c r="C138" s="4" t="s">
        <v>15299</v>
      </c>
      <c r="D138" s="705">
        <v>0</v>
      </c>
      <c r="E138" s="705">
        <v>0</v>
      </c>
      <c r="F138" s="705">
        <v>0</v>
      </c>
      <c r="G138" s="705">
        <v>0</v>
      </c>
      <c r="H138" s="705">
        <v>0</v>
      </c>
      <c r="I138" s="705">
        <v>0</v>
      </c>
      <c r="J138" s="48">
        <v>3827</v>
      </c>
      <c r="K138" s="48">
        <v>3952</v>
      </c>
      <c r="L138" s="48">
        <v>3992</v>
      </c>
      <c r="N138" s="702" t="s">
        <v>3103</v>
      </c>
      <c r="O138" s="4"/>
      <c r="Q138" s="4"/>
    </row>
    <row r="139" spans="1:17">
      <c r="A139" s="702" t="s">
        <v>7023</v>
      </c>
      <c r="B139" s="702" t="s">
        <v>15280</v>
      </c>
      <c r="C139" s="4" t="s">
        <v>15300</v>
      </c>
      <c r="D139" s="705">
        <v>0</v>
      </c>
      <c r="E139" s="705">
        <v>0</v>
      </c>
      <c r="F139" s="705">
        <v>0</v>
      </c>
      <c r="G139" s="705">
        <v>0</v>
      </c>
      <c r="H139" s="705">
        <v>0</v>
      </c>
      <c r="I139" s="705">
        <v>0</v>
      </c>
      <c r="J139" s="48">
        <v>6181</v>
      </c>
      <c r="K139" s="48">
        <v>6336</v>
      </c>
      <c r="L139" s="48">
        <v>6307</v>
      </c>
      <c r="N139" s="702" t="s">
        <v>3103</v>
      </c>
      <c r="O139" s="4"/>
      <c r="Q139" s="4"/>
    </row>
    <row r="140" spans="1:17">
      <c r="A140" s="702" t="s">
        <v>7025</v>
      </c>
      <c r="B140" s="702" t="s">
        <v>15281</v>
      </c>
      <c r="C140" s="4" t="s">
        <v>15301</v>
      </c>
      <c r="D140" s="705">
        <v>0</v>
      </c>
      <c r="E140" s="705">
        <v>0</v>
      </c>
      <c r="F140" s="705">
        <v>0</v>
      </c>
      <c r="G140" s="705">
        <v>0</v>
      </c>
      <c r="H140" s="705">
        <v>0</v>
      </c>
      <c r="I140" s="705">
        <v>0</v>
      </c>
      <c r="J140" s="48">
        <v>3550</v>
      </c>
      <c r="K140" s="48">
        <v>3648</v>
      </c>
      <c r="L140" s="48">
        <v>3616</v>
      </c>
      <c r="N140" s="702" t="s">
        <v>3103</v>
      </c>
      <c r="O140" s="4"/>
      <c r="Q140" s="4"/>
    </row>
    <row r="141" spans="1:17">
      <c r="D141" s="707"/>
      <c r="E141" s="707"/>
      <c r="F141" s="707"/>
      <c r="G141" s="707"/>
      <c r="H141" s="707"/>
      <c r="I141" s="707"/>
      <c r="J141" s="707"/>
      <c r="K141" s="707"/>
      <c r="L141" s="707"/>
    </row>
    <row r="142" spans="1:17">
      <c r="A142" s="702" t="s">
        <v>4799</v>
      </c>
      <c r="D142" s="705">
        <f>D126+SUM(D128:D131)</f>
        <v>11375</v>
      </c>
      <c r="E142" s="705">
        <f t="shared" ref="E142:J142" si="100">E126+SUM(E128:E131)</f>
        <v>11452</v>
      </c>
      <c r="F142" s="705">
        <f t="shared" si="100"/>
        <v>11395</v>
      </c>
      <c r="G142" s="705">
        <f t="shared" si="100"/>
        <v>11404</v>
      </c>
      <c r="H142" s="705">
        <f t="shared" si="100"/>
        <v>10897</v>
      </c>
      <c r="I142" s="705">
        <f t="shared" si="100"/>
        <v>10997</v>
      </c>
      <c r="J142" s="705">
        <f t="shared" si="100"/>
        <v>10942</v>
      </c>
      <c r="K142" s="705">
        <f t="shared" ref="K142:L142" si="101">K126+SUM(K128:K131)</f>
        <v>11200</v>
      </c>
      <c r="L142" s="705">
        <f t="shared" si="101"/>
        <v>11210</v>
      </c>
    </row>
    <row r="143" spans="1:17">
      <c r="A143" s="702" t="s">
        <v>3200</v>
      </c>
      <c r="D143" s="705">
        <f>SUM(D119:D125)+D127+D132+SUM(D134:D140)</f>
        <v>71440</v>
      </c>
      <c r="E143" s="705">
        <f t="shared" ref="E143:J143" si="102">SUM(E119:E125)+E127+E132+SUM(E134:E140)</f>
        <v>71961</v>
      </c>
      <c r="F143" s="705">
        <f t="shared" si="102"/>
        <v>72333</v>
      </c>
      <c r="G143" s="705">
        <f t="shared" si="102"/>
        <v>71656</v>
      </c>
      <c r="H143" s="705">
        <f t="shared" si="102"/>
        <v>69080</v>
      </c>
      <c r="I143" s="705">
        <f t="shared" si="102"/>
        <v>69648</v>
      </c>
      <c r="J143" s="705">
        <f t="shared" si="102"/>
        <v>69699</v>
      </c>
      <c r="K143" s="705">
        <f t="shared" ref="K143:L143" si="103">SUM(K119:K125)+K127+K132+SUM(K134:K140)</f>
        <v>71566</v>
      </c>
      <c r="L143" s="705">
        <f t="shared" si="103"/>
        <v>71464</v>
      </c>
    </row>
    <row r="144" spans="1:17">
      <c r="A144" s="702"/>
      <c r="D144" s="705"/>
      <c r="E144" s="705"/>
      <c r="F144" s="705"/>
      <c r="G144" s="705"/>
      <c r="H144" s="705"/>
      <c r="I144" s="705"/>
      <c r="J144" s="705"/>
      <c r="K144" s="705"/>
      <c r="L144" s="705"/>
    </row>
    <row r="145" spans="1:17">
      <c r="A145" s="702" t="s">
        <v>15282</v>
      </c>
      <c r="D145" s="705"/>
      <c r="E145" s="705"/>
      <c r="F145" s="705"/>
      <c r="G145" s="705"/>
      <c r="H145" s="705"/>
      <c r="I145" s="705"/>
      <c r="J145" s="705"/>
      <c r="K145" s="705"/>
      <c r="L145" s="705"/>
    </row>
    <row r="146" spans="1:17" ht="15.75" customHeight="1">
      <c r="A146" s="702"/>
      <c r="B146" s="702"/>
      <c r="D146" s="711"/>
      <c r="E146" s="711"/>
      <c r="F146" s="711"/>
      <c r="G146" s="711"/>
      <c r="H146" s="711"/>
      <c r="I146" s="711"/>
      <c r="J146" s="711"/>
      <c r="K146" s="711"/>
      <c r="L146" s="711"/>
    </row>
    <row r="147" spans="1:17">
      <c r="A147" s="702"/>
      <c r="B147" s="702"/>
      <c r="D147" s="711"/>
      <c r="E147" s="711"/>
      <c r="F147" s="711"/>
      <c r="G147" s="711"/>
      <c r="H147" s="711"/>
      <c r="I147" s="711"/>
      <c r="J147" s="711"/>
      <c r="K147" s="711"/>
      <c r="L147" s="711"/>
    </row>
    <row r="148" spans="1:17">
      <c r="E148" s="42" t="s">
        <v>2303</v>
      </c>
      <c r="F148" s="42"/>
      <c r="G148" s="42"/>
      <c r="H148" s="42"/>
      <c r="I148" s="42"/>
      <c r="J148" s="42"/>
      <c r="K148" s="42"/>
      <c r="L148" s="42"/>
      <c r="M148" s="109"/>
      <c r="N148" s="109" t="s">
        <v>13319</v>
      </c>
    </row>
    <row r="149" spans="1:17">
      <c r="D149" s="703">
        <v>2010</v>
      </c>
      <c r="E149" s="703">
        <v>2011</v>
      </c>
      <c r="F149" s="703">
        <v>2012</v>
      </c>
      <c r="G149" s="703">
        <v>2013</v>
      </c>
      <c r="H149" s="703">
        <v>2014</v>
      </c>
      <c r="I149" s="703">
        <v>2015</v>
      </c>
      <c r="J149" s="703">
        <v>2016</v>
      </c>
      <c r="K149" s="703">
        <v>2017</v>
      </c>
      <c r="L149" s="703">
        <v>2018</v>
      </c>
      <c r="M149" s="109"/>
      <c r="N149" s="112" t="s">
        <v>2304</v>
      </c>
    </row>
    <row r="150" spans="1:17">
      <c r="A150" s="702" t="s">
        <v>3201</v>
      </c>
      <c r="D150" s="705">
        <f>D151+D152+SUM(D154:D168)+SUM(D170:D172)+D174+D175</f>
        <v>87612</v>
      </c>
      <c r="E150" s="705">
        <f t="shared" ref="E150:I150" si="104">E151+E152+SUM(E154:E168)+SUM(E170:E172)+E174+E175</f>
        <v>87700</v>
      </c>
      <c r="F150" s="705">
        <f t="shared" si="104"/>
        <v>87412</v>
      </c>
      <c r="G150" s="705">
        <f t="shared" si="104"/>
        <v>88706</v>
      </c>
      <c r="H150" s="705">
        <f t="shared" si="104"/>
        <v>85183</v>
      </c>
      <c r="I150" s="705">
        <f t="shared" si="104"/>
        <v>85895</v>
      </c>
      <c r="J150" s="705">
        <f t="shared" ref="J150:K150" si="105">J151+J152+SUM(J154:J168)+SUM(J170:J172)+J174+J175</f>
        <v>85825</v>
      </c>
      <c r="K150" s="705">
        <f t="shared" si="105"/>
        <v>88234</v>
      </c>
      <c r="L150" s="705">
        <f t="shared" ref="L150" si="106">L151+L152+SUM(L154:L168)+SUM(L170:L172)+L174+L175</f>
        <v>88369</v>
      </c>
    </row>
    <row r="151" spans="1:17">
      <c r="A151" s="702" t="s">
        <v>6957</v>
      </c>
      <c r="B151" s="702" t="s">
        <v>13983</v>
      </c>
      <c r="C151" s="4" t="s">
        <v>14015</v>
      </c>
      <c r="D151" s="705">
        <v>0</v>
      </c>
      <c r="E151" s="705">
        <v>0</v>
      </c>
      <c r="F151" s="705">
        <v>0</v>
      </c>
      <c r="G151" s="705">
        <v>0</v>
      </c>
      <c r="H151" s="31">
        <v>0</v>
      </c>
      <c r="I151" s="30">
        <v>2338</v>
      </c>
      <c r="J151" s="30">
        <v>2306</v>
      </c>
      <c r="K151" s="30">
        <v>2399</v>
      </c>
      <c r="L151" s="30">
        <v>2390</v>
      </c>
      <c r="N151" s="702" t="s">
        <v>3104</v>
      </c>
      <c r="O151" s="4"/>
      <c r="Q151" s="4"/>
    </row>
    <row r="152" spans="1:17" ht="15.75" thickBot="1">
      <c r="A152" s="702"/>
      <c r="B152" s="702"/>
      <c r="C152" s="4" t="s">
        <v>14015</v>
      </c>
      <c r="D152" s="708">
        <v>0</v>
      </c>
      <c r="E152" s="708">
        <v>0</v>
      </c>
      <c r="F152" s="708">
        <v>0</v>
      </c>
      <c r="G152" s="708">
        <v>0</v>
      </c>
      <c r="H152" s="905">
        <v>0</v>
      </c>
      <c r="I152" s="31">
        <v>1571</v>
      </c>
      <c r="J152" s="31">
        <v>1546</v>
      </c>
      <c r="K152" s="31">
        <v>1586</v>
      </c>
      <c r="L152" s="31">
        <v>1593</v>
      </c>
      <c r="N152" s="702" t="s">
        <v>3111</v>
      </c>
      <c r="O152" s="4"/>
      <c r="Q152" s="4"/>
    </row>
    <row r="153" spans="1:17" ht="15.75" thickBot="1">
      <c r="A153" s="702"/>
      <c r="B153" s="702"/>
      <c r="C153" s="4" t="s">
        <v>14015</v>
      </c>
      <c r="D153" s="908">
        <f>D151+D152</f>
        <v>0</v>
      </c>
      <c r="E153" s="908">
        <f t="shared" ref="E153:L153" si="107">E151+E152</f>
        <v>0</v>
      </c>
      <c r="F153" s="908">
        <f t="shared" si="107"/>
        <v>0</v>
      </c>
      <c r="G153" s="908">
        <f t="shared" si="107"/>
        <v>0</v>
      </c>
      <c r="H153" s="908">
        <f t="shared" si="107"/>
        <v>0</v>
      </c>
      <c r="I153" s="908">
        <f t="shared" si="107"/>
        <v>3909</v>
      </c>
      <c r="J153" s="908">
        <f t="shared" si="107"/>
        <v>3852</v>
      </c>
      <c r="K153" s="908">
        <f t="shared" si="107"/>
        <v>3985</v>
      </c>
      <c r="L153" s="908">
        <f t="shared" si="107"/>
        <v>3983</v>
      </c>
      <c r="N153" s="702"/>
      <c r="O153" s="4"/>
      <c r="Q153" s="4"/>
    </row>
    <row r="154" spans="1:17">
      <c r="A154" s="702" t="s">
        <v>6959</v>
      </c>
      <c r="B154" s="702" t="s">
        <v>3202</v>
      </c>
      <c r="C154" s="4" t="s">
        <v>14016</v>
      </c>
      <c r="D154" s="705">
        <v>16623</v>
      </c>
      <c r="E154" s="705">
        <v>16814</v>
      </c>
      <c r="F154" s="705">
        <v>16992</v>
      </c>
      <c r="G154" s="705">
        <v>17195</v>
      </c>
      <c r="H154" s="30">
        <v>16876</v>
      </c>
      <c r="I154" s="31">
        <v>5694</v>
      </c>
      <c r="J154" s="31">
        <v>5712</v>
      </c>
      <c r="K154" s="31">
        <v>5953</v>
      </c>
      <c r="L154" s="31">
        <v>5980</v>
      </c>
      <c r="N154" s="702" t="s">
        <v>3111</v>
      </c>
      <c r="O154" s="4"/>
      <c r="Q154" s="4"/>
    </row>
    <row r="155" spans="1:17">
      <c r="A155" s="702" t="s">
        <v>6961</v>
      </c>
      <c r="B155" s="702" t="s">
        <v>7587</v>
      </c>
      <c r="C155" s="4" t="s">
        <v>14017</v>
      </c>
      <c r="D155" s="705">
        <v>70989</v>
      </c>
      <c r="E155" s="705">
        <v>70886</v>
      </c>
      <c r="F155" s="705">
        <v>70420</v>
      </c>
      <c r="G155" s="705">
        <v>71511</v>
      </c>
      <c r="H155" s="30">
        <v>68307</v>
      </c>
      <c r="I155" s="30">
        <v>5619</v>
      </c>
      <c r="J155" s="30">
        <v>4072</v>
      </c>
      <c r="K155" s="30">
        <v>4164</v>
      </c>
      <c r="L155" s="30">
        <v>4184</v>
      </c>
      <c r="N155" s="702" t="s">
        <v>3104</v>
      </c>
      <c r="O155" s="4"/>
      <c r="Q155" s="4"/>
    </row>
    <row r="156" spans="1:17">
      <c r="A156" s="702" t="s">
        <v>6963</v>
      </c>
      <c r="B156" s="702" t="s">
        <v>3203</v>
      </c>
      <c r="C156" s="4" t="s">
        <v>14018</v>
      </c>
      <c r="D156" s="705">
        <v>0</v>
      </c>
      <c r="E156" s="705">
        <v>0</v>
      </c>
      <c r="F156" s="705">
        <v>0</v>
      </c>
      <c r="G156" s="705">
        <v>0</v>
      </c>
      <c r="H156" s="31">
        <v>0</v>
      </c>
      <c r="I156" s="30">
        <v>4420</v>
      </c>
      <c r="J156" s="30">
        <v>5934</v>
      </c>
      <c r="K156" s="30">
        <v>6146</v>
      </c>
      <c r="L156" s="30">
        <v>6167</v>
      </c>
      <c r="N156" s="702" t="s">
        <v>3104</v>
      </c>
      <c r="O156" s="4"/>
      <c r="Q156" s="4"/>
    </row>
    <row r="157" spans="1:17">
      <c r="A157" s="702" t="s">
        <v>6965</v>
      </c>
      <c r="B157" s="702" t="s">
        <v>8544</v>
      </c>
      <c r="C157" s="4" t="s">
        <v>14019</v>
      </c>
      <c r="D157" s="705">
        <v>0</v>
      </c>
      <c r="E157" s="705">
        <v>0</v>
      </c>
      <c r="F157" s="705">
        <v>0</v>
      </c>
      <c r="G157" s="705">
        <v>0</v>
      </c>
      <c r="H157" s="30">
        <v>0</v>
      </c>
      <c r="I157" s="30">
        <v>4125</v>
      </c>
      <c r="J157" s="30">
        <v>4082</v>
      </c>
      <c r="K157" s="30">
        <v>4194</v>
      </c>
      <c r="L157" s="30">
        <v>4230</v>
      </c>
      <c r="N157" s="702" t="s">
        <v>3104</v>
      </c>
      <c r="O157" s="4"/>
      <c r="Q157" s="4"/>
    </row>
    <row r="158" spans="1:17">
      <c r="A158" s="702" t="s">
        <v>6997</v>
      </c>
      <c r="B158" s="702" t="s">
        <v>13984</v>
      </c>
      <c r="C158" s="4" t="s">
        <v>14020</v>
      </c>
      <c r="D158" s="705">
        <v>0</v>
      </c>
      <c r="E158" s="705">
        <v>0</v>
      </c>
      <c r="F158" s="705">
        <v>0</v>
      </c>
      <c r="G158" s="705">
        <v>0</v>
      </c>
      <c r="H158" s="30">
        <v>0</v>
      </c>
      <c r="I158" s="30">
        <v>2038</v>
      </c>
      <c r="J158" s="30">
        <v>2015</v>
      </c>
      <c r="K158" s="30">
        <v>2047</v>
      </c>
      <c r="L158" s="30">
        <v>2037</v>
      </c>
      <c r="N158" s="702" t="s">
        <v>3104</v>
      </c>
      <c r="O158" s="4"/>
      <c r="Q158" s="4"/>
    </row>
    <row r="159" spans="1:17">
      <c r="A159" s="702" t="s">
        <v>6999</v>
      </c>
      <c r="B159" s="702" t="s">
        <v>13985</v>
      </c>
      <c r="C159" s="4" t="s">
        <v>14021</v>
      </c>
      <c r="D159" s="705">
        <v>0</v>
      </c>
      <c r="E159" s="705">
        <v>0</v>
      </c>
      <c r="F159" s="705">
        <v>0</v>
      </c>
      <c r="G159" s="705">
        <v>0</v>
      </c>
      <c r="H159" s="30">
        <v>0</v>
      </c>
      <c r="I159" s="30">
        <v>4489</v>
      </c>
      <c r="J159" s="30">
        <v>4501</v>
      </c>
      <c r="K159" s="30">
        <v>4618</v>
      </c>
      <c r="L159" s="30">
        <v>4619</v>
      </c>
      <c r="N159" s="702" t="s">
        <v>3104</v>
      </c>
      <c r="O159" s="4"/>
      <c r="Q159" s="4"/>
    </row>
    <row r="160" spans="1:17">
      <c r="A160" s="702" t="s">
        <v>7001</v>
      </c>
      <c r="B160" s="702" t="s">
        <v>3204</v>
      </c>
      <c r="C160" s="4" t="s">
        <v>14022</v>
      </c>
      <c r="D160" s="705">
        <v>0</v>
      </c>
      <c r="E160" s="705">
        <v>0</v>
      </c>
      <c r="F160" s="705">
        <v>0</v>
      </c>
      <c r="G160" s="705">
        <v>0</v>
      </c>
      <c r="H160" s="30">
        <v>0</v>
      </c>
      <c r="I160" s="30">
        <v>4114</v>
      </c>
      <c r="J160" s="30">
        <v>4173</v>
      </c>
      <c r="K160" s="30">
        <v>4275</v>
      </c>
      <c r="L160" s="30">
        <v>4278</v>
      </c>
      <c r="N160" s="702" t="s">
        <v>3104</v>
      </c>
      <c r="O160" s="4"/>
      <c r="Q160" s="4"/>
    </row>
    <row r="161" spans="1:17">
      <c r="A161" s="702" t="s">
        <v>7003</v>
      </c>
      <c r="B161" s="702" t="s">
        <v>13986</v>
      </c>
      <c r="C161" s="4" t="s">
        <v>14023</v>
      </c>
      <c r="D161" s="705">
        <v>0</v>
      </c>
      <c r="E161" s="705">
        <v>0</v>
      </c>
      <c r="F161" s="705">
        <v>0</v>
      </c>
      <c r="G161" s="705">
        <v>0</v>
      </c>
      <c r="H161" s="30">
        <v>0</v>
      </c>
      <c r="I161" s="31">
        <v>2302</v>
      </c>
      <c r="J161" s="31">
        <v>2294</v>
      </c>
      <c r="K161" s="31">
        <v>2338</v>
      </c>
      <c r="L161" s="31">
        <v>2326</v>
      </c>
      <c r="N161" s="702" t="s">
        <v>3111</v>
      </c>
      <c r="O161" s="4"/>
      <c r="Q161" s="4"/>
    </row>
    <row r="162" spans="1:17">
      <c r="A162" s="702" t="s">
        <v>7005</v>
      </c>
      <c r="B162" s="702" t="s">
        <v>13987</v>
      </c>
      <c r="C162" s="4" t="s">
        <v>14024</v>
      </c>
      <c r="D162" s="705">
        <v>0</v>
      </c>
      <c r="E162" s="705">
        <v>0</v>
      </c>
      <c r="F162" s="705">
        <v>0</v>
      </c>
      <c r="G162" s="705">
        <v>0</v>
      </c>
      <c r="H162" s="30">
        <v>0</v>
      </c>
      <c r="I162" s="30">
        <v>4600</v>
      </c>
      <c r="J162" s="30">
        <v>4526</v>
      </c>
      <c r="K162" s="30">
        <v>4628</v>
      </c>
      <c r="L162" s="30">
        <v>4606</v>
      </c>
      <c r="N162" s="702" t="s">
        <v>3104</v>
      </c>
      <c r="O162" s="4"/>
      <c r="Q162" s="4"/>
    </row>
    <row r="163" spans="1:17">
      <c r="A163" s="702" t="s">
        <v>7007</v>
      </c>
      <c r="B163" s="702" t="s">
        <v>5575</v>
      </c>
      <c r="C163" s="4" t="s">
        <v>14025</v>
      </c>
      <c r="D163" s="705">
        <v>0</v>
      </c>
      <c r="E163" s="705">
        <v>0</v>
      </c>
      <c r="F163" s="705">
        <v>0</v>
      </c>
      <c r="G163" s="705">
        <v>0</v>
      </c>
      <c r="H163" s="31">
        <v>0</v>
      </c>
      <c r="I163" s="30">
        <v>4439</v>
      </c>
      <c r="J163" s="30">
        <v>4415</v>
      </c>
      <c r="K163" s="30">
        <v>4495</v>
      </c>
      <c r="L163" s="30">
        <v>4489</v>
      </c>
      <c r="N163" s="702" t="s">
        <v>3104</v>
      </c>
      <c r="O163" s="4"/>
      <c r="Q163" s="4"/>
    </row>
    <row r="164" spans="1:17">
      <c r="A164" s="702" t="s">
        <v>7009</v>
      </c>
      <c r="B164" s="702" t="s">
        <v>12926</v>
      </c>
      <c r="C164" s="4" t="s">
        <v>14026</v>
      </c>
      <c r="D164" s="705">
        <v>0</v>
      </c>
      <c r="E164" s="705">
        <v>0</v>
      </c>
      <c r="F164" s="705">
        <v>0</v>
      </c>
      <c r="G164" s="705">
        <v>0</v>
      </c>
      <c r="H164" s="30">
        <v>0</v>
      </c>
      <c r="I164" s="30">
        <v>3928</v>
      </c>
      <c r="J164" s="30">
        <v>3867</v>
      </c>
      <c r="K164" s="30">
        <v>3974</v>
      </c>
      <c r="L164" s="30">
        <v>3961</v>
      </c>
      <c r="N164" s="702" t="s">
        <v>3104</v>
      </c>
      <c r="O164" s="4"/>
      <c r="Q164" s="4"/>
    </row>
    <row r="165" spans="1:17">
      <c r="A165" s="702" t="s">
        <v>7011</v>
      </c>
      <c r="B165" s="702" t="s">
        <v>13988</v>
      </c>
      <c r="C165" s="4" t="s">
        <v>14027</v>
      </c>
      <c r="D165" s="705">
        <v>0</v>
      </c>
      <c r="E165" s="705">
        <v>0</v>
      </c>
      <c r="F165" s="705">
        <v>0</v>
      </c>
      <c r="G165" s="705">
        <v>0</v>
      </c>
      <c r="H165" s="30">
        <v>0</v>
      </c>
      <c r="I165" s="31">
        <v>6423</v>
      </c>
      <c r="J165" s="31">
        <v>6362</v>
      </c>
      <c r="K165" s="31">
        <v>6534</v>
      </c>
      <c r="L165" s="31">
        <v>6581</v>
      </c>
      <c r="N165" s="702" t="s">
        <v>3111</v>
      </c>
      <c r="O165" s="4"/>
      <c r="Q165" s="4"/>
    </row>
    <row r="166" spans="1:17">
      <c r="A166" s="702" t="s">
        <v>7013</v>
      </c>
      <c r="B166" s="702" t="s">
        <v>8494</v>
      </c>
      <c r="C166" s="4" t="s">
        <v>14028</v>
      </c>
      <c r="D166" s="705">
        <v>0</v>
      </c>
      <c r="E166" s="705">
        <v>0</v>
      </c>
      <c r="F166" s="705">
        <v>0</v>
      </c>
      <c r="G166" s="705">
        <v>0</v>
      </c>
      <c r="H166" s="31">
        <v>0</v>
      </c>
      <c r="I166" s="30">
        <v>4142</v>
      </c>
      <c r="J166" s="30">
        <v>4131</v>
      </c>
      <c r="K166" s="30">
        <v>4195</v>
      </c>
      <c r="L166" s="30">
        <v>4170</v>
      </c>
      <c r="N166" s="702" t="s">
        <v>3104</v>
      </c>
      <c r="O166" s="4"/>
      <c r="Q166" s="4"/>
    </row>
    <row r="167" spans="1:17">
      <c r="A167" s="702" t="s">
        <v>7015</v>
      </c>
      <c r="B167" s="702" t="s">
        <v>13989</v>
      </c>
      <c r="C167" s="4" t="s">
        <v>14029</v>
      </c>
      <c r="D167" s="705">
        <v>0</v>
      </c>
      <c r="E167" s="705">
        <v>0</v>
      </c>
      <c r="F167" s="705">
        <v>0</v>
      </c>
      <c r="G167" s="705">
        <v>0</v>
      </c>
      <c r="H167" s="30">
        <v>0</v>
      </c>
      <c r="I167" s="30">
        <v>5487</v>
      </c>
      <c r="J167" s="30">
        <v>5479</v>
      </c>
      <c r="K167" s="30">
        <v>5604</v>
      </c>
      <c r="L167" s="30">
        <v>5672</v>
      </c>
      <c r="N167" s="702" t="s">
        <v>3104</v>
      </c>
      <c r="O167" s="4"/>
      <c r="Q167" s="4"/>
    </row>
    <row r="168" spans="1:17" ht="15.75" thickBot="1">
      <c r="A168" s="702"/>
      <c r="B168" s="702"/>
      <c r="C168" s="4" t="s">
        <v>14029</v>
      </c>
      <c r="D168" s="708">
        <v>0</v>
      </c>
      <c r="E168" s="708">
        <v>0</v>
      </c>
      <c r="F168" s="708">
        <v>0</v>
      </c>
      <c r="G168" s="708">
        <v>0</v>
      </c>
      <c r="H168" s="905">
        <v>0</v>
      </c>
      <c r="I168" s="31">
        <v>922</v>
      </c>
      <c r="J168" s="31">
        <v>975</v>
      </c>
      <c r="K168" s="31">
        <v>1000</v>
      </c>
      <c r="L168" s="31">
        <v>1034</v>
      </c>
      <c r="N168" s="702" t="s">
        <v>3111</v>
      </c>
      <c r="O168" s="4"/>
      <c r="Q168" s="4"/>
    </row>
    <row r="169" spans="1:17" ht="15.75" thickBot="1">
      <c r="A169" s="702"/>
      <c r="B169" s="702"/>
      <c r="C169" s="4" t="s">
        <v>14029</v>
      </c>
      <c r="D169" s="908">
        <f>D167+D168</f>
        <v>0</v>
      </c>
      <c r="E169" s="908">
        <f t="shared" ref="E169" si="108">E167+E168</f>
        <v>0</v>
      </c>
      <c r="F169" s="908">
        <f t="shared" ref="F169" si="109">F167+F168</f>
        <v>0</v>
      </c>
      <c r="G169" s="908">
        <f t="shared" ref="G169" si="110">G167+G168</f>
        <v>0</v>
      </c>
      <c r="H169" s="908">
        <f t="shared" ref="H169" si="111">H167+H168</f>
        <v>0</v>
      </c>
      <c r="I169" s="908">
        <f t="shared" ref="I169:L169" si="112">I167+I168</f>
        <v>6409</v>
      </c>
      <c r="J169" s="908">
        <f t="shared" si="112"/>
        <v>6454</v>
      </c>
      <c r="K169" s="908">
        <f t="shared" si="112"/>
        <v>6604</v>
      </c>
      <c r="L169" s="908">
        <f t="shared" si="112"/>
        <v>6706</v>
      </c>
      <c r="N169" s="702"/>
      <c r="O169" s="4"/>
      <c r="Q169" s="4"/>
    </row>
    <row r="170" spans="1:17">
      <c r="A170" s="702" t="s">
        <v>7017</v>
      </c>
      <c r="B170" s="702" t="s">
        <v>8495</v>
      </c>
      <c r="C170" s="4" t="s">
        <v>14030</v>
      </c>
      <c r="D170" s="705">
        <v>0</v>
      </c>
      <c r="E170" s="705">
        <v>0</v>
      </c>
      <c r="F170" s="705">
        <v>0</v>
      </c>
      <c r="G170" s="705">
        <v>0</v>
      </c>
      <c r="H170" s="30">
        <v>0</v>
      </c>
      <c r="I170" s="30">
        <v>6124</v>
      </c>
      <c r="J170" s="30">
        <v>6225</v>
      </c>
      <c r="K170" s="30">
        <v>6456</v>
      </c>
      <c r="L170" s="30">
        <v>6406</v>
      </c>
      <c r="N170" s="702" t="s">
        <v>3104</v>
      </c>
      <c r="O170" s="4"/>
      <c r="Q170" s="4"/>
    </row>
    <row r="171" spans="1:17">
      <c r="A171" s="702" t="s">
        <v>7019</v>
      </c>
      <c r="B171" s="702" t="s">
        <v>5645</v>
      </c>
      <c r="C171" s="4" t="s">
        <v>14031</v>
      </c>
      <c r="D171" s="705">
        <v>0</v>
      </c>
      <c r="E171" s="705">
        <v>0</v>
      </c>
      <c r="F171" s="705">
        <v>0</v>
      </c>
      <c r="G171" s="705">
        <v>0</v>
      </c>
      <c r="H171" s="31">
        <v>0</v>
      </c>
      <c r="I171" s="30">
        <v>4498</v>
      </c>
      <c r="J171" s="30">
        <v>4659</v>
      </c>
      <c r="K171" s="30">
        <v>4830</v>
      </c>
      <c r="L171" s="30">
        <v>4871</v>
      </c>
      <c r="N171" s="702" t="s">
        <v>3104</v>
      </c>
      <c r="O171" s="4"/>
      <c r="Q171" s="4"/>
    </row>
    <row r="172" spans="1:17" ht="15.75" thickBot="1">
      <c r="A172" s="702"/>
      <c r="B172" s="702"/>
      <c r="C172" s="4" t="s">
        <v>14031</v>
      </c>
      <c r="D172" s="708">
        <v>0</v>
      </c>
      <c r="E172" s="708">
        <v>0</v>
      </c>
      <c r="F172" s="708">
        <v>0</v>
      </c>
      <c r="G172" s="708">
        <v>0</v>
      </c>
      <c r="H172" s="905">
        <v>0</v>
      </c>
      <c r="I172" s="31">
        <v>33</v>
      </c>
      <c r="J172" s="31">
        <v>36</v>
      </c>
      <c r="K172" s="31">
        <v>41</v>
      </c>
      <c r="L172" s="31">
        <v>37</v>
      </c>
      <c r="N172" s="702" t="s">
        <v>3111</v>
      </c>
      <c r="O172" s="4"/>
      <c r="Q172" s="4"/>
    </row>
    <row r="173" spans="1:17" ht="15.75" thickBot="1">
      <c r="A173" s="702"/>
      <c r="B173" s="702"/>
      <c r="C173" s="4" t="s">
        <v>14031</v>
      </c>
      <c r="D173" s="908">
        <f>D171+D172</f>
        <v>0</v>
      </c>
      <c r="E173" s="908">
        <f t="shared" ref="E173" si="113">E171+E172</f>
        <v>0</v>
      </c>
      <c r="F173" s="908">
        <f t="shared" ref="F173" si="114">F171+F172</f>
        <v>0</v>
      </c>
      <c r="G173" s="908">
        <f t="shared" ref="G173" si="115">G171+G172</f>
        <v>0</v>
      </c>
      <c r="H173" s="908">
        <f t="shared" ref="H173" si="116">H171+H172</f>
        <v>0</v>
      </c>
      <c r="I173" s="908">
        <f t="shared" ref="I173:L173" si="117">I171+I172</f>
        <v>4531</v>
      </c>
      <c r="J173" s="908">
        <f t="shared" si="117"/>
        <v>4695</v>
      </c>
      <c r="K173" s="908">
        <f t="shared" si="117"/>
        <v>4871</v>
      </c>
      <c r="L173" s="908">
        <f t="shared" si="117"/>
        <v>4908</v>
      </c>
      <c r="N173" s="702"/>
      <c r="O173" s="4"/>
      <c r="Q173" s="4"/>
    </row>
    <row r="174" spans="1:17">
      <c r="A174" s="702" t="s">
        <v>7021</v>
      </c>
      <c r="B174" s="702" t="s">
        <v>13990</v>
      </c>
      <c r="C174" s="4" t="s">
        <v>14032</v>
      </c>
      <c r="D174" s="705">
        <v>0</v>
      </c>
      <c r="E174" s="705">
        <v>0</v>
      </c>
      <c r="F174" s="705">
        <v>0</v>
      </c>
      <c r="G174" s="705">
        <v>0</v>
      </c>
      <c r="H174" s="30">
        <v>0</v>
      </c>
      <c r="I174" s="30">
        <v>4172</v>
      </c>
      <c r="J174" s="30">
        <v>4136</v>
      </c>
      <c r="K174" s="30">
        <v>4256</v>
      </c>
      <c r="L174" s="30">
        <v>4233</v>
      </c>
      <c r="N174" s="702" t="s">
        <v>3104</v>
      </c>
      <c r="O174" s="4"/>
      <c r="Q174" s="4"/>
    </row>
    <row r="175" spans="1:17">
      <c r="A175" s="702" t="s">
        <v>7023</v>
      </c>
      <c r="B175" s="702" t="s">
        <v>8496</v>
      </c>
      <c r="C175" s="4" t="s">
        <v>14033</v>
      </c>
      <c r="D175" s="705">
        <v>0</v>
      </c>
      <c r="E175" s="705">
        <v>0</v>
      </c>
      <c r="F175" s="705">
        <v>0</v>
      </c>
      <c r="G175" s="705">
        <v>0</v>
      </c>
      <c r="H175" s="30">
        <v>0</v>
      </c>
      <c r="I175" s="30">
        <v>4417</v>
      </c>
      <c r="J175" s="31">
        <v>4379</v>
      </c>
      <c r="K175" s="31">
        <v>4501</v>
      </c>
      <c r="L175" s="31">
        <v>4505</v>
      </c>
      <c r="N175" s="702" t="s">
        <v>3104</v>
      </c>
      <c r="O175" s="4"/>
      <c r="Q175" s="4"/>
    </row>
    <row r="176" spans="1:17">
      <c r="D176" s="707"/>
      <c r="E176" s="707"/>
      <c r="F176" s="707"/>
      <c r="G176" s="707"/>
      <c r="H176" s="707"/>
      <c r="I176" s="707"/>
      <c r="J176" s="707"/>
      <c r="K176" s="707"/>
      <c r="L176" s="707"/>
    </row>
    <row r="177" spans="1:17">
      <c r="A177" s="702" t="s">
        <v>3104</v>
      </c>
      <c r="D177" s="705">
        <f t="shared" ref="D177:H177" si="118">D151+SUM(D155:D160)+SUM(D162:D164)+D166+D167+D170+D171+D174+D175</f>
        <v>70989</v>
      </c>
      <c r="E177" s="705">
        <f t="shared" si="118"/>
        <v>70886</v>
      </c>
      <c r="F177" s="705">
        <f t="shared" si="118"/>
        <v>70420</v>
      </c>
      <c r="G177" s="705">
        <f t="shared" si="118"/>
        <v>71511</v>
      </c>
      <c r="H177" s="705">
        <f t="shared" si="118"/>
        <v>68307</v>
      </c>
      <c r="I177" s="705">
        <f>I151+SUM(I155:I160)+SUM(I162:I164)+I166+I167+I170+I171+I174+I175</f>
        <v>68950</v>
      </c>
      <c r="J177" s="705">
        <f>J151+SUM(J155:J160)+SUM(J162:J164)+J166+J167+J170+J171+J174+J175</f>
        <v>68900</v>
      </c>
      <c r="K177" s="705">
        <f>K151+SUM(K155:K160)+SUM(K162:K164)+K166+K167+K170+K171+K174+K175</f>
        <v>70782</v>
      </c>
      <c r="L177" s="705">
        <f>L151+SUM(L155:L160)+SUM(L162:L164)+L166+L167+L170+L171+L174+L175</f>
        <v>70818</v>
      </c>
    </row>
    <row r="178" spans="1:17">
      <c r="A178" s="702" t="s">
        <v>4800</v>
      </c>
      <c r="D178" s="705">
        <f t="shared" ref="D178:H178" si="119">D152+D154+D161+D165+D168+D172</f>
        <v>16623</v>
      </c>
      <c r="E178" s="705">
        <f t="shared" si="119"/>
        <v>16814</v>
      </c>
      <c r="F178" s="705">
        <f t="shared" si="119"/>
        <v>16992</v>
      </c>
      <c r="G178" s="705">
        <f t="shared" si="119"/>
        <v>17195</v>
      </c>
      <c r="H178" s="705">
        <f t="shared" si="119"/>
        <v>16876</v>
      </c>
      <c r="I178" s="705">
        <f>I152+I154+I161+I165+I168+I172</f>
        <v>16945</v>
      </c>
      <c r="J178" s="705">
        <f>J152+J154+J161+J165+J168+J172</f>
        <v>16925</v>
      </c>
      <c r="K178" s="705">
        <f>K152+K154+K161+K165+K168+K172</f>
        <v>17452</v>
      </c>
      <c r="L178" s="705">
        <f>L152+L154+L161+L165+L168+L172</f>
        <v>17551</v>
      </c>
    </row>
    <row r="179" spans="1:17">
      <c r="A179" s="702"/>
      <c r="D179" s="705"/>
      <c r="E179" s="705"/>
      <c r="F179" s="705"/>
      <c r="G179" s="705"/>
      <c r="H179" s="705"/>
      <c r="I179" s="705"/>
      <c r="J179" s="705"/>
      <c r="K179" s="705"/>
      <c r="L179" s="705"/>
    </row>
    <row r="180" spans="1:17">
      <c r="A180" s="702" t="s">
        <v>13991</v>
      </c>
      <c r="D180" s="705"/>
      <c r="E180" s="705"/>
      <c r="F180" s="705"/>
      <c r="G180" s="705"/>
      <c r="H180" s="705"/>
      <c r="I180" s="705"/>
      <c r="J180" s="705"/>
      <c r="K180" s="705"/>
      <c r="L180" s="705"/>
    </row>
    <row r="181" spans="1:17">
      <c r="A181" s="702"/>
      <c r="B181" s="702"/>
      <c r="D181" s="711"/>
      <c r="E181" s="711"/>
      <c r="F181" s="711"/>
      <c r="G181" s="711"/>
      <c r="H181" s="711"/>
      <c r="I181" s="711"/>
      <c r="J181" s="711"/>
      <c r="K181" s="711"/>
      <c r="L181" s="711"/>
    </row>
    <row r="182" spans="1:17">
      <c r="A182" s="702"/>
      <c r="B182" s="702"/>
      <c r="D182" s="711"/>
      <c r="E182" s="711"/>
      <c r="F182" s="711"/>
      <c r="G182" s="711"/>
      <c r="H182" s="711"/>
      <c r="I182" s="711"/>
      <c r="J182" s="711"/>
      <c r="K182" s="711"/>
      <c r="L182" s="711"/>
    </row>
    <row r="183" spans="1:17">
      <c r="E183" s="42" t="s">
        <v>2303</v>
      </c>
      <c r="F183" s="42"/>
      <c r="G183" s="42"/>
      <c r="H183" s="42"/>
      <c r="I183" s="42"/>
      <c r="J183" s="42"/>
      <c r="K183" s="42"/>
      <c r="L183" s="42"/>
      <c r="M183" s="109"/>
      <c r="N183" s="109" t="s">
        <v>13319</v>
      </c>
    </row>
    <row r="184" spans="1:17">
      <c r="D184" s="703">
        <v>2010</v>
      </c>
      <c r="E184" s="703">
        <v>2011</v>
      </c>
      <c r="F184" s="703">
        <v>2012</v>
      </c>
      <c r="G184" s="703">
        <v>2013</v>
      </c>
      <c r="H184" s="703">
        <v>2014</v>
      </c>
      <c r="I184" s="703">
        <v>2015</v>
      </c>
      <c r="J184" s="703">
        <v>2016</v>
      </c>
      <c r="K184" s="703">
        <v>2017</v>
      </c>
      <c r="L184" s="703">
        <v>2018</v>
      </c>
      <c r="M184" s="109"/>
      <c r="N184" s="112" t="s">
        <v>2304</v>
      </c>
    </row>
    <row r="185" spans="1:17">
      <c r="A185" s="702" t="s">
        <v>8497</v>
      </c>
      <c r="D185" s="705">
        <f t="shared" ref="D185:E185" si="120">SUM(D186:D221)</f>
        <v>80247</v>
      </c>
      <c r="E185" s="705">
        <f t="shared" si="120"/>
        <v>79849</v>
      </c>
      <c r="F185" s="705">
        <f t="shared" ref="F185:K185" si="121">SUM(F186:F221)</f>
        <v>79748</v>
      </c>
      <c r="G185" s="705">
        <f t="shared" si="121"/>
        <v>79714</v>
      </c>
      <c r="H185" s="705">
        <f t="shared" si="121"/>
        <v>75412</v>
      </c>
      <c r="I185" s="705">
        <f t="shared" si="121"/>
        <v>77022</v>
      </c>
      <c r="J185" s="705">
        <f t="shared" si="121"/>
        <v>74066</v>
      </c>
      <c r="K185" s="705">
        <f t="shared" si="121"/>
        <v>76353</v>
      </c>
      <c r="L185" s="705">
        <f t="shared" ref="L185" si="122">SUM(L186:L221)</f>
        <v>76181</v>
      </c>
    </row>
    <row r="186" spans="1:17">
      <c r="A186" s="702" t="s">
        <v>6957</v>
      </c>
      <c r="B186" s="702" t="s">
        <v>12897</v>
      </c>
      <c r="C186" s="4" t="s">
        <v>12898</v>
      </c>
      <c r="D186" s="705">
        <v>80247</v>
      </c>
      <c r="E186" s="705">
        <v>79849</v>
      </c>
      <c r="F186" s="705">
        <v>2217</v>
      </c>
      <c r="G186" s="48">
        <v>2204</v>
      </c>
      <c r="H186" s="48">
        <v>2087</v>
      </c>
      <c r="I186" s="48">
        <v>2128</v>
      </c>
      <c r="J186" s="48">
        <v>2043</v>
      </c>
      <c r="K186" s="48">
        <v>2085</v>
      </c>
      <c r="L186" s="48">
        <v>2079</v>
      </c>
      <c r="N186" s="702" t="s">
        <v>3106</v>
      </c>
      <c r="O186" s="4"/>
      <c r="Q186" s="4"/>
    </row>
    <row r="187" spans="1:17">
      <c r="A187" s="702" t="s">
        <v>6959</v>
      </c>
      <c r="B187" s="702" t="s">
        <v>7732</v>
      </c>
      <c r="C187" s="4" t="s">
        <v>12899</v>
      </c>
      <c r="D187" s="705">
        <v>0</v>
      </c>
      <c r="E187" s="705">
        <v>0</v>
      </c>
      <c r="F187" s="705">
        <v>2188</v>
      </c>
      <c r="G187" s="48">
        <v>2185</v>
      </c>
      <c r="H187" s="48">
        <v>2158</v>
      </c>
      <c r="I187" s="48">
        <v>2202</v>
      </c>
      <c r="J187" s="48">
        <v>2182</v>
      </c>
      <c r="K187" s="48">
        <v>2214</v>
      </c>
      <c r="L187" s="48">
        <v>2227</v>
      </c>
      <c r="N187" s="702" t="s">
        <v>3106</v>
      </c>
      <c r="O187" s="4"/>
      <c r="Q187" s="4"/>
    </row>
    <row r="188" spans="1:17">
      <c r="A188" s="702" t="s">
        <v>6961</v>
      </c>
      <c r="B188" s="702" t="s">
        <v>12900</v>
      </c>
      <c r="C188" s="4" t="s">
        <v>12901</v>
      </c>
      <c r="D188" s="705">
        <v>0</v>
      </c>
      <c r="E188" s="705">
        <v>0</v>
      </c>
      <c r="F188" s="705">
        <v>2348</v>
      </c>
      <c r="G188" s="48">
        <v>2368</v>
      </c>
      <c r="H188" s="48">
        <v>2155</v>
      </c>
      <c r="I188" s="48">
        <v>2221</v>
      </c>
      <c r="J188" s="48">
        <v>2166</v>
      </c>
      <c r="K188" s="48">
        <v>2230</v>
      </c>
      <c r="L188" s="48">
        <v>2209</v>
      </c>
      <c r="N188" s="702" t="s">
        <v>3106</v>
      </c>
      <c r="O188" s="4"/>
      <c r="Q188" s="4"/>
    </row>
    <row r="189" spans="1:17">
      <c r="A189" s="702" t="s">
        <v>6963</v>
      </c>
      <c r="B189" s="702" t="s">
        <v>8498</v>
      </c>
      <c r="C189" s="4" t="s">
        <v>12902</v>
      </c>
      <c r="D189" s="705">
        <v>0</v>
      </c>
      <c r="E189" s="705">
        <v>0</v>
      </c>
      <c r="F189" s="705">
        <v>2005</v>
      </c>
      <c r="G189" s="48">
        <v>1935</v>
      </c>
      <c r="H189" s="48">
        <v>1812</v>
      </c>
      <c r="I189" s="48">
        <v>1851</v>
      </c>
      <c r="J189" s="48">
        <v>1759</v>
      </c>
      <c r="K189" s="48">
        <v>1779</v>
      </c>
      <c r="L189" s="48">
        <v>1762</v>
      </c>
      <c r="N189" s="702" t="s">
        <v>3106</v>
      </c>
      <c r="O189" s="4"/>
      <c r="Q189" s="4"/>
    </row>
    <row r="190" spans="1:17">
      <c r="A190" s="702" t="s">
        <v>6965</v>
      </c>
      <c r="B190" s="702" t="s">
        <v>12903</v>
      </c>
      <c r="C190" s="4" t="s">
        <v>12904</v>
      </c>
      <c r="D190" s="705">
        <v>0</v>
      </c>
      <c r="E190" s="705">
        <v>0</v>
      </c>
      <c r="F190" s="705">
        <v>2424</v>
      </c>
      <c r="G190" s="48">
        <v>2432</v>
      </c>
      <c r="H190" s="48">
        <v>2290</v>
      </c>
      <c r="I190" s="48">
        <v>2312</v>
      </c>
      <c r="J190" s="48">
        <v>2219</v>
      </c>
      <c r="K190" s="48">
        <v>2308</v>
      </c>
      <c r="L190" s="48">
        <v>2309</v>
      </c>
      <c r="N190" s="702" t="s">
        <v>3106</v>
      </c>
      <c r="O190" s="4"/>
      <c r="Q190" s="4"/>
    </row>
    <row r="191" spans="1:17">
      <c r="A191" s="702" t="s">
        <v>6997</v>
      </c>
      <c r="B191" s="702" t="s">
        <v>12905</v>
      </c>
      <c r="C191" s="4" t="s">
        <v>12906</v>
      </c>
      <c r="D191" s="705">
        <v>0</v>
      </c>
      <c r="E191" s="705">
        <v>0</v>
      </c>
      <c r="F191" s="705">
        <v>2093</v>
      </c>
      <c r="G191" s="48">
        <v>2088</v>
      </c>
      <c r="H191" s="48">
        <v>1863</v>
      </c>
      <c r="I191" s="48">
        <v>1920</v>
      </c>
      <c r="J191" s="48">
        <v>1777</v>
      </c>
      <c r="K191" s="48">
        <v>1888</v>
      </c>
      <c r="L191" s="48">
        <v>1847</v>
      </c>
      <c r="N191" s="702" t="s">
        <v>3106</v>
      </c>
      <c r="O191" s="4"/>
      <c r="Q191" s="4"/>
    </row>
    <row r="192" spans="1:17">
      <c r="A192" s="702" t="s">
        <v>6999</v>
      </c>
      <c r="B192" s="702" t="s">
        <v>8499</v>
      </c>
      <c r="C192" s="4" t="s">
        <v>12907</v>
      </c>
      <c r="D192" s="705">
        <v>0</v>
      </c>
      <c r="E192" s="705">
        <v>0</v>
      </c>
      <c r="F192" s="705">
        <v>2240</v>
      </c>
      <c r="G192" s="48">
        <v>2247</v>
      </c>
      <c r="H192" s="48">
        <v>2102</v>
      </c>
      <c r="I192" s="48">
        <v>2165</v>
      </c>
      <c r="J192" s="48">
        <v>2117</v>
      </c>
      <c r="K192" s="48">
        <v>2148</v>
      </c>
      <c r="L192" s="48">
        <v>2137</v>
      </c>
      <c r="N192" s="702" t="s">
        <v>3106</v>
      </c>
      <c r="O192" s="4"/>
      <c r="Q192" s="4"/>
    </row>
    <row r="193" spans="1:17">
      <c r="A193" s="702" t="s">
        <v>7001</v>
      </c>
      <c r="B193" s="702" t="s">
        <v>8500</v>
      </c>
      <c r="C193" s="4" t="s">
        <v>12908</v>
      </c>
      <c r="D193" s="705">
        <v>0</v>
      </c>
      <c r="E193" s="705">
        <v>0</v>
      </c>
      <c r="F193" s="705">
        <v>2368</v>
      </c>
      <c r="G193" s="48">
        <v>2381</v>
      </c>
      <c r="H193" s="48">
        <v>2228</v>
      </c>
      <c r="I193" s="48">
        <v>2309</v>
      </c>
      <c r="J193" s="48">
        <v>2286</v>
      </c>
      <c r="K193" s="48">
        <v>2308</v>
      </c>
      <c r="L193" s="48">
        <v>2326</v>
      </c>
      <c r="N193" s="702" t="s">
        <v>3106</v>
      </c>
      <c r="O193" s="4"/>
      <c r="Q193" s="4"/>
    </row>
    <row r="194" spans="1:17">
      <c r="A194" s="702" t="s">
        <v>7003</v>
      </c>
      <c r="B194" s="702" t="s">
        <v>12909</v>
      </c>
      <c r="C194" s="4" t="s">
        <v>12910</v>
      </c>
      <c r="D194" s="705">
        <v>0</v>
      </c>
      <c r="E194" s="705">
        <v>0</v>
      </c>
      <c r="F194" s="705">
        <v>2443</v>
      </c>
      <c r="G194" s="48">
        <v>2383</v>
      </c>
      <c r="H194" s="48">
        <v>2381</v>
      </c>
      <c r="I194" s="48">
        <v>2399</v>
      </c>
      <c r="J194" s="48">
        <v>2344</v>
      </c>
      <c r="K194" s="48">
        <v>2411</v>
      </c>
      <c r="L194" s="48">
        <v>2449</v>
      </c>
      <c r="N194" s="702" t="s">
        <v>3106</v>
      </c>
      <c r="O194" s="4"/>
      <c r="Q194" s="4"/>
    </row>
    <row r="195" spans="1:17">
      <c r="A195" s="702" t="s">
        <v>7005</v>
      </c>
      <c r="B195" s="702" t="s">
        <v>12911</v>
      </c>
      <c r="C195" s="4" t="s">
        <v>12912</v>
      </c>
      <c r="D195" s="705">
        <v>0</v>
      </c>
      <c r="E195" s="705">
        <v>0</v>
      </c>
      <c r="F195" s="705">
        <v>2147</v>
      </c>
      <c r="G195" s="48">
        <v>2158</v>
      </c>
      <c r="H195" s="48">
        <v>2087</v>
      </c>
      <c r="I195" s="48">
        <v>2088</v>
      </c>
      <c r="J195" s="48">
        <v>2022</v>
      </c>
      <c r="K195" s="48">
        <v>2056</v>
      </c>
      <c r="L195" s="48">
        <v>2041</v>
      </c>
      <c r="N195" s="702" t="s">
        <v>3106</v>
      </c>
      <c r="O195" s="4"/>
      <c r="Q195" s="4"/>
    </row>
    <row r="196" spans="1:17">
      <c r="A196" s="702" t="s">
        <v>7007</v>
      </c>
      <c r="B196" s="702" t="s">
        <v>12913</v>
      </c>
      <c r="C196" s="4" t="s">
        <v>12914</v>
      </c>
      <c r="D196" s="705">
        <v>0</v>
      </c>
      <c r="E196" s="705">
        <v>0</v>
      </c>
      <c r="F196" s="705">
        <v>2188</v>
      </c>
      <c r="G196" s="48">
        <v>2213</v>
      </c>
      <c r="H196" s="48">
        <v>2058</v>
      </c>
      <c r="I196" s="48">
        <v>2125</v>
      </c>
      <c r="J196" s="48">
        <v>2015</v>
      </c>
      <c r="K196" s="48">
        <v>2093</v>
      </c>
      <c r="L196" s="48">
        <v>2050</v>
      </c>
      <c r="N196" s="702" t="s">
        <v>3106</v>
      </c>
      <c r="O196" s="4"/>
      <c r="Q196" s="4"/>
    </row>
    <row r="197" spans="1:17">
      <c r="A197" s="702" t="s">
        <v>7009</v>
      </c>
      <c r="B197" s="702" t="s">
        <v>8568</v>
      </c>
      <c r="C197" s="4" t="s">
        <v>12915</v>
      </c>
      <c r="D197" s="705">
        <v>0</v>
      </c>
      <c r="E197" s="705">
        <v>0</v>
      </c>
      <c r="F197" s="705">
        <v>2239</v>
      </c>
      <c r="G197" s="48">
        <v>2222</v>
      </c>
      <c r="H197" s="48">
        <v>2015</v>
      </c>
      <c r="I197" s="48">
        <v>2070</v>
      </c>
      <c r="J197" s="48">
        <v>2041</v>
      </c>
      <c r="K197" s="48">
        <v>2050</v>
      </c>
      <c r="L197" s="48">
        <v>2034</v>
      </c>
      <c r="N197" s="702" t="s">
        <v>3106</v>
      </c>
      <c r="O197" s="4"/>
      <c r="Q197" s="4"/>
    </row>
    <row r="198" spans="1:17">
      <c r="A198" s="702" t="s">
        <v>7011</v>
      </c>
      <c r="B198" s="702" t="s">
        <v>8501</v>
      </c>
      <c r="C198" s="4" t="s">
        <v>12916</v>
      </c>
      <c r="D198" s="705">
        <v>0</v>
      </c>
      <c r="E198" s="705">
        <v>0</v>
      </c>
      <c r="F198" s="705">
        <v>2301</v>
      </c>
      <c r="G198" s="48">
        <v>2255</v>
      </c>
      <c r="H198" s="48">
        <v>1967</v>
      </c>
      <c r="I198" s="48">
        <v>2086</v>
      </c>
      <c r="J198" s="48">
        <v>1951</v>
      </c>
      <c r="K198" s="48">
        <v>1975</v>
      </c>
      <c r="L198" s="48">
        <v>1934</v>
      </c>
      <c r="N198" s="702" t="s">
        <v>3106</v>
      </c>
      <c r="O198" s="4"/>
      <c r="Q198" s="4"/>
    </row>
    <row r="199" spans="1:17">
      <c r="A199" s="702" t="s">
        <v>7013</v>
      </c>
      <c r="B199" s="702" t="s">
        <v>8502</v>
      </c>
      <c r="C199" s="4" t="s">
        <v>12917</v>
      </c>
      <c r="D199" s="705">
        <v>0</v>
      </c>
      <c r="E199" s="705">
        <v>0</v>
      </c>
      <c r="F199" s="705">
        <v>2165</v>
      </c>
      <c r="G199" s="48">
        <v>2160</v>
      </c>
      <c r="H199" s="48">
        <v>2077</v>
      </c>
      <c r="I199" s="48">
        <v>2118</v>
      </c>
      <c r="J199" s="48">
        <v>2073</v>
      </c>
      <c r="K199" s="48">
        <v>2157</v>
      </c>
      <c r="L199" s="48">
        <v>2174</v>
      </c>
      <c r="N199" s="702" t="s">
        <v>3106</v>
      </c>
      <c r="O199" s="4"/>
      <c r="Q199" s="4"/>
    </row>
    <row r="200" spans="1:17">
      <c r="A200" s="702" t="s">
        <v>7015</v>
      </c>
      <c r="B200" s="702" t="s">
        <v>12918</v>
      </c>
      <c r="C200" s="4" t="s">
        <v>12919</v>
      </c>
      <c r="D200" s="705">
        <v>0</v>
      </c>
      <c r="E200" s="705">
        <v>0</v>
      </c>
      <c r="F200" s="705">
        <v>2221</v>
      </c>
      <c r="G200" s="48">
        <v>2208</v>
      </c>
      <c r="H200" s="48">
        <v>2175</v>
      </c>
      <c r="I200" s="48">
        <v>2200</v>
      </c>
      <c r="J200" s="48">
        <v>2113</v>
      </c>
      <c r="K200" s="48">
        <v>2170</v>
      </c>
      <c r="L200" s="48">
        <v>2149</v>
      </c>
      <c r="N200" s="702" t="s">
        <v>3106</v>
      </c>
      <c r="O200" s="4"/>
      <c r="Q200" s="4"/>
    </row>
    <row r="201" spans="1:17">
      <c r="A201" s="702" t="s">
        <v>7017</v>
      </c>
      <c r="B201" s="702" t="s">
        <v>7605</v>
      </c>
      <c r="C201" s="4" t="s">
        <v>12920</v>
      </c>
      <c r="D201" s="705">
        <v>0</v>
      </c>
      <c r="E201" s="705">
        <v>0</v>
      </c>
      <c r="F201" s="705">
        <v>2424</v>
      </c>
      <c r="G201" s="48">
        <v>2409</v>
      </c>
      <c r="H201" s="48">
        <v>2287</v>
      </c>
      <c r="I201" s="48">
        <v>2323</v>
      </c>
      <c r="J201" s="48">
        <v>2245</v>
      </c>
      <c r="K201" s="48">
        <v>2257</v>
      </c>
      <c r="L201" s="48">
        <v>2248</v>
      </c>
      <c r="N201" s="702" t="s">
        <v>3106</v>
      </c>
      <c r="O201" s="4"/>
      <c r="Q201" s="4"/>
    </row>
    <row r="202" spans="1:17">
      <c r="A202" s="702" t="s">
        <v>7019</v>
      </c>
      <c r="B202" s="702" t="s">
        <v>12921</v>
      </c>
      <c r="C202" s="4" t="s">
        <v>12922</v>
      </c>
      <c r="D202" s="705">
        <v>0</v>
      </c>
      <c r="E202" s="705">
        <v>0</v>
      </c>
      <c r="F202" s="705">
        <v>2411</v>
      </c>
      <c r="G202" s="48">
        <v>2429</v>
      </c>
      <c r="H202" s="48">
        <v>2287</v>
      </c>
      <c r="I202" s="48">
        <v>2380</v>
      </c>
      <c r="J202" s="48">
        <v>2258</v>
      </c>
      <c r="K202" s="48">
        <v>2363</v>
      </c>
      <c r="L202" s="48">
        <v>2352</v>
      </c>
      <c r="N202" s="702" t="s">
        <v>3106</v>
      </c>
      <c r="O202" s="4"/>
      <c r="Q202" s="4"/>
    </row>
    <row r="203" spans="1:17">
      <c r="A203" s="702" t="s">
        <v>7021</v>
      </c>
      <c r="B203" s="702" t="s">
        <v>12923</v>
      </c>
      <c r="C203" s="4" t="s">
        <v>12924</v>
      </c>
      <c r="D203" s="705">
        <v>0</v>
      </c>
      <c r="E203" s="705">
        <v>0</v>
      </c>
      <c r="F203" s="705">
        <v>2191</v>
      </c>
      <c r="G203" s="48">
        <v>2238</v>
      </c>
      <c r="H203" s="48">
        <v>2275</v>
      </c>
      <c r="I203" s="48">
        <v>2405</v>
      </c>
      <c r="J203" s="48">
        <v>2452</v>
      </c>
      <c r="K203" s="48">
        <v>2694</v>
      </c>
      <c r="L203" s="48">
        <v>2659</v>
      </c>
      <c r="N203" s="702" t="s">
        <v>3106</v>
      </c>
      <c r="O203" s="4"/>
      <c r="Q203" s="4"/>
    </row>
    <row r="204" spans="1:17">
      <c r="A204" s="712">
        <v>19</v>
      </c>
      <c r="B204" s="702" t="s">
        <v>8503</v>
      </c>
      <c r="C204" s="4" t="s">
        <v>12925</v>
      </c>
      <c r="D204" s="705">
        <v>0</v>
      </c>
      <c r="E204" s="705">
        <v>0</v>
      </c>
      <c r="F204" s="705">
        <v>2250</v>
      </c>
      <c r="G204" s="48">
        <v>2233</v>
      </c>
      <c r="H204" s="48">
        <v>2161</v>
      </c>
      <c r="I204" s="48">
        <v>2170</v>
      </c>
      <c r="J204" s="48">
        <v>2076</v>
      </c>
      <c r="K204" s="48">
        <v>2139</v>
      </c>
      <c r="L204" s="48">
        <v>2120</v>
      </c>
      <c r="N204" s="702" t="s">
        <v>3106</v>
      </c>
      <c r="O204" s="4"/>
      <c r="Q204" s="4"/>
    </row>
    <row r="205" spans="1:17">
      <c r="A205" s="702" t="s">
        <v>7025</v>
      </c>
      <c r="B205" s="702" t="s">
        <v>12926</v>
      </c>
      <c r="C205" s="4" t="s">
        <v>12927</v>
      </c>
      <c r="D205" s="705">
        <v>0</v>
      </c>
      <c r="E205" s="705">
        <v>0</v>
      </c>
      <c r="F205" s="705">
        <v>2321</v>
      </c>
      <c r="G205" s="48">
        <v>2328</v>
      </c>
      <c r="H205" s="48">
        <v>2177</v>
      </c>
      <c r="I205" s="48">
        <v>2218</v>
      </c>
      <c r="J205" s="48">
        <v>2089</v>
      </c>
      <c r="K205" s="48">
        <v>2130</v>
      </c>
      <c r="L205" s="48">
        <v>2144</v>
      </c>
      <c r="N205" s="702" t="s">
        <v>3106</v>
      </c>
      <c r="O205" s="4"/>
      <c r="Q205" s="4"/>
    </row>
    <row r="206" spans="1:17">
      <c r="A206" s="702" t="s">
        <v>7570</v>
      </c>
      <c r="B206" s="702" t="s">
        <v>12928</v>
      </c>
      <c r="C206" s="4" t="s">
        <v>12929</v>
      </c>
      <c r="D206" s="705">
        <v>0</v>
      </c>
      <c r="E206" s="705">
        <v>0</v>
      </c>
      <c r="F206" s="705">
        <v>2058</v>
      </c>
      <c r="G206" s="48">
        <v>2010</v>
      </c>
      <c r="H206" s="48">
        <v>1756</v>
      </c>
      <c r="I206" s="48">
        <v>1812</v>
      </c>
      <c r="J206" s="48">
        <v>1681</v>
      </c>
      <c r="K206" s="48">
        <v>1717</v>
      </c>
      <c r="L206" s="48">
        <v>1639</v>
      </c>
      <c r="N206" s="702" t="s">
        <v>3106</v>
      </c>
      <c r="O206" s="4"/>
      <c r="Q206" s="4"/>
    </row>
    <row r="207" spans="1:17">
      <c r="A207" s="702" t="s">
        <v>7572</v>
      </c>
      <c r="B207" s="702" t="s">
        <v>12930</v>
      </c>
      <c r="C207" s="4" t="s">
        <v>12931</v>
      </c>
      <c r="D207" s="705">
        <v>0</v>
      </c>
      <c r="E207" s="705">
        <v>0</v>
      </c>
      <c r="F207" s="705">
        <v>2520</v>
      </c>
      <c r="G207" s="48">
        <v>2477</v>
      </c>
      <c r="H207" s="48">
        <v>2337</v>
      </c>
      <c r="I207" s="48">
        <v>2455</v>
      </c>
      <c r="J207" s="48">
        <v>2369</v>
      </c>
      <c r="K207" s="48">
        <v>2462</v>
      </c>
      <c r="L207" s="48">
        <v>2488</v>
      </c>
      <c r="N207" s="702" t="s">
        <v>3106</v>
      </c>
      <c r="O207" s="4"/>
      <c r="Q207" s="4"/>
    </row>
    <row r="208" spans="1:17">
      <c r="A208" s="702" t="s">
        <v>7573</v>
      </c>
      <c r="B208" s="702" t="s">
        <v>8504</v>
      </c>
      <c r="C208" s="4" t="s">
        <v>12932</v>
      </c>
      <c r="D208" s="705">
        <v>0</v>
      </c>
      <c r="E208" s="705">
        <v>0</v>
      </c>
      <c r="F208" s="705">
        <v>2066</v>
      </c>
      <c r="G208" s="48">
        <v>2043</v>
      </c>
      <c r="H208" s="48">
        <v>1951</v>
      </c>
      <c r="I208" s="48">
        <v>1948</v>
      </c>
      <c r="J208" s="48">
        <v>1821</v>
      </c>
      <c r="K208" s="48">
        <v>1906</v>
      </c>
      <c r="L208" s="48">
        <v>1871</v>
      </c>
      <c r="N208" s="702" t="s">
        <v>3106</v>
      </c>
      <c r="O208" s="4"/>
      <c r="Q208" s="4"/>
    </row>
    <row r="209" spans="1:17">
      <c r="A209" s="702" t="s">
        <v>5798</v>
      </c>
      <c r="B209" s="702" t="s">
        <v>12933</v>
      </c>
      <c r="C209" s="4" t="s">
        <v>12934</v>
      </c>
      <c r="D209" s="705">
        <v>0</v>
      </c>
      <c r="E209" s="705">
        <v>0</v>
      </c>
      <c r="F209" s="705">
        <v>1923</v>
      </c>
      <c r="G209" s="48">
        <v>1924</v>
      </c>
      <c r="H209" s="48">
        <v>1842</v>
      </c>
      <c r="I209" s="48">
        <v>1872</v>
      </c>
      <c r="J209" s="48">
        <v>1836</v>
      </c>
      <c r="K209" s="48">
        <v>1889</v>
      </c>
      <c r="L209" s="48">
        <v>1911</v>
      </c>
      <c r="N209" s="702" t="s">
        <v>3106</v>
      </c>
      <c r="O209" s="4"/>
      <c r="Q209" s="4"/>
    </row>
    <row r="210" spans="1:17">
      <c r="A210" s="702" t="s">
        <v>5799</v>
      </c>
      <c r="B210" s="702" t="s">
        <v>12935</v>
      </c>
      <c r="C210" s="4" t="s">
        <v>12936</v>
      </c>
      <c r="D210" s="705">
        <v>0</v>
      </c>
      <c r="E210" s="705">
        <v>0</v>
      </c>
      <c r="F210" s="705">
        <v>2489</v>
      </c>
      <c r="G210" s="48">
        <v>2496</v>
      </c>
      <c r="H210" s="48">
        <v>2309</v>
      </c>
      <c r="I210" s="48">
        <v>2370</v>
      </c>
      <c r="J210" s="48">
        <v>2294</v>
      </c>
      <c r="K210" s="48">
        <v>2373</v>
      </c>
      <c r="L210" s="48">
        <v>2377</v>
      </c>
      <c r="N210" s="702" t="s">
        <v>3106</v>
      </c>
      <c r="O210" s="4"/>
      <c r="Q210" s="4"/>
    </row>
    <row r="211" spans="1:17">
      <c r="A211" s="702" t="s">
        <v>5801</v>
      </c>
      <c r="B211" s="702" t="s">
        <v>12937</v>
      </c>
      <c r="C211" s="4" t="s">
        <v>12938</v>
      </c>
      <c r="D211" s="705">
        <v>0</v>
      </c>
      <c r="E211" s="705">
        <v>0</v>
      </c>
      <c r="F211" s="705">
        <v>2408</v>
      </c>
      <c r="G211" s="48">
        <v>2398</v>
      </c>
      <c r="H211" s="48">
        <v>2255</v>
      </c>
      <c r="I211" s="48">
        <v>2281</v>
      </c>
      <c r="J211" s="48">
        <v>2219</v>
      </c>
      <c r="K211" s="48">
        <v>2268</v>
      </c>
      <c r="L211" s="48">
        <v>2239</v>
      </c>
      <c r="N211" s="702" t="s">
        <v>3106</v>
      </c>
      <c r="O211" s="4"/>
      <c r="Q211" s="4"/>
    </row>
    <row r="212" spans="1:17">
      <c r="A212" s="702" t="s">
        <v>5927</v>
      </c>
      <c r="B212" s="702" t="s">
        <v>12939</v>
      </c>
      <c r="C212" s="4" t="s">
        <v>12940</v>
      </c>
      <c r="D212" s="705">
        <v>0</v>
      </c>
      <c r="E212" s="705">
        <v>0</v>
      </c>
      <c r="F212" s="705">
        <v>2234</v>
      </c>
      <c r="G212" s="48">
        <v>2186</v>
      </c>
      <c r="H212" s="48">
        <v>2021</v>
      </c>
      <c r="I212" s="48">
        <v>2085</v>
      </c>
      <c r="J212" s="48">
        <v>2010</v>
      </c>
      <c r="K212" s="48">
        <v>2066</v>
      </c>
      <c r="L212" s="48">
        <v>2090</v>
      </c>
      <c r="N212" s="702" t="s">
        <v>3106</v>
      </c>
      <c r="O212" s="4"/>
      <c r="Q212" s="4"/>
    </row>
    <row r="213" spans="1:17">
      <c r="A213" s="702" t="s">
        <v>5929</v>
      </c>
      <c r="B213" s="702" t="s">
        <v>8505</v>
      </c>
      <c r="C213" s="4" t="s">
        <v>12941</v>
      </c>
      <c r="D213" s="705">
        <v>0</v>
      </c>
      <c r="E213" s="705">
        <v>0</v>
      </c>
      <c r="F213" s="705">
        <v>1549</v>
      </c>
      <c r="G213" s="48">
        <v>1551</v>
      </c>
      <c r="H213" s="48">
        <v>1502</v>
      </c>
      <c r="I213" s="48">
        <v>1483</v>
      </c>
      <c r="J213" s="48">
        <v>1302</v>
      </c>
      <c r="K213" s="48">
        <v>1376</v>
      </c>
      <c r="L213" s="48">
        <v>1400</v>
      </c>
      <c r="N213" s="702" t="s">
        <v>3106</v>
      </c>
      <c r="O213" s="4"/>
      <c r="Q213" s="4"/>
    </row>
    <row r="214" spans="1:17">
      <c r="A214" s="398" t="s">
        <v>5931</v>
      </c>
      <c r="B214" s="702" t="s">
        <v>12942</v>
      </c>
      <c r="C214" s="4" t="s">
        <v>12943</v>
      </c>
      <c r="D214" s="705">
        <v>0</v>
      </c>
      <c r="E214" s="705">
        <v>0</v>
      </c>
      <c r="F214" s="705">
        <v>2122</v>
      </c>
      <c r="G214" s="48">
        <v>2156</v>
      </c>
      <c r="H214" s="48">
        <v>2053</v>
      </c>
      <c r="I214" s="48">
        <v>2034</v>
      </c>
      <c r="J214" s="48">
        <v>1932</v>
      </c>
      <c r="K214" s="48">
        <v>2030</v>
      </c>
      <c r="L214" s="48">
        <v>1989</v>
      </c>
      <c r="N214" s="702" t="s">
        <v>3106</v>
      </c>
      <c r="O214" s="4"/>
      <c r="Q214" s="4"/>
    </row>
    <row r="215" spans="1:17">
      <c r="A215" s="398" t="s">
        <v>5933</v>
      </c>
      <c r="B215" s="702" t="s">
        <v>12944</v>
      </c>
      <c r="C215" s="4" t="s">
        <v>12945</v>
      </c>
      <c r="D215" s="705">
        <v>0</v>
      </c>
      <c r="E215" s="705">
        <v>0</v>
      </c>
      <c r="F215" s="705">
        <v>2161</v>
      </c>
      <c r="G215" s="48">
        <v>2189</v>
      </c>
      <c r="H215" s="48">
        <v>1978</v>
      </c>
      <c r="I215" s="48">
        <v>2064</v>
      </c>
      <c r="J215" s="48">
        <v>1989</v>
      </c>
      <c r="K215" s="48">
        <v>1959</v>
      </c>
      <c r="L215" s="48">
        <v>1977</v>
      </c>
      <c r="N215" s="702" t="s">
        <v>3106</v>
      </c>
      <c r="O215" s="4"/>
      <c r="Q215" s="4"/>
    </row>
    <row r="216" spans="1:17">
      <c r="A216" s="398" t="s">
        <v>7897</v>
      </c>
      <c r="B216" s="702" t="s">
        <v>12946</v>
      </c>
      <c r="C216" s="4" t="s">
        <v>12947</v>
      </c>
      <c r="D216" s="705">
        <v>0</v>
      </c>
      <c r="E216" s="705">
        <v>0</v>
      </c>
      <c r="F216" s="705">
        <v>2104</v>
      </c>
      <c r="G216" s="48">
        <v>2130</v>
      </c>
      <c r="H216" s="48">
        <v>2044</v>
      </c>
      <c r="I216" s="48">
        <v>2044</v>
      </c>
      <c r="J216" s="48">
        <v>1939</v>
      </c>
      <c r="K216" s="48">
        <v>1969</v>
      </c>
      <c r="L216" s="48">
        <v>1955</v>
      </c>
      <c r="N216" s="702" t="s">
        <v>3106</v>
      </c>
      <c r="O216" s="4"/>
      <c r="Q216" s="4"/>
    </row>
    <row r="217" spans="1:17">
      <c r="A217" s="398" t="s">
        <v>7898</v>
      </c>
      <c r="B217" s="702" t="s">
        <v>99</v>
      </c>
      <c r="C217" s="4" t="s">
        <v>12948</v>
      </c>
      <c r="D217" s="705">
        <v>0</v>
      </c>
      <c r="E217" s="705">
        <v>0</v>
      </c>
      <c r="F217" s="705">
        <v>1778</v>
      </c>
      <c r="G217" s="48">
        <v>1846</v>
      </c>
      <c r="H217" s="48">
        <v>1790</v>
      </c>
      <c r="I217" s="48">
        <v>1847</v>
      </c>
      <c r="J217" s="48">
        <v>1827</v>
      </c>
      <c r="K217" s="48">
        <v>1939</v>
      </c>
      <c r="L217" s="48">
        <v>1972</v>
      </c>
      <c r="N217" s="702" t="s">
        <v>3106</v>
      </c>
      <c r="O217" s="4"/>
      <c r="Q217" s="4"/>
    </row>
    <row r="218" spans="1:17">
      <c r="A218" s="398" t="s">
        <v>7899</v>
      </c>
      <c r="B218" s="702" t="s">
        <v>12949</v>
      </c>
      <c r="C218" s="4" t="s">
        <v>12950</v>
      </c>
      <c r="D218" s="705">
        <v>0</v>
      </c>
      <c r="E218" s="705">
        <v>0</v>
      </c>
      <c r="F218" s="705">
        <v>2403</v>
      </c>
      <c r="G218" s="48">
        <v>2446</v>
      </c>
      <c r="H218" s="48">
        <v>2453</v>
      </c>
      <c r="I218" s="48">
        <v>2511</v>
      </c>
      <c r="J218" s="48">
        <v>2470</v>
      </c>
      <c r="K218" s="48">
        <v>2618</v>
      </c>
      <c r="L218" s="48">
        <v>2691</v>
      </c>
      <c r="N218" s="702" t="s">
        <v>3106</v>
      </c>
      <c r="O218" s="4"/>
      <c r="Q218" s="4"/>
    </row>
    <row r="219" spans="1:17">
      <c r="A219" s="398" t="s">
        <v>7901</v>
      </c>
      <c r="B219" s="702" t="s">
        <v>7027</v>
      </c>
      <c r="C219" s="4" t="s">
        <v>12951</v>
      </c>
      <c r="D219" s="705">
        <v>0</v>
      </c>
      <c r="E219" s="705">
        <v>0</v>
      </c>
      <c r="F219" s="705">
        <v>2399</v>
      </c>
      <c r="G219" s="48">
        <v>2400</v>
      </c>
      <c r="H219" s="48">
        <v>2262</v>
      </c>
      <c r="I219" s="48">
        <v>2327</v>
      </c>
      <c r="J219" s="48">
        <v>2187</v>
      </c>
      <c r="K219" s="48">
        <v>2245</v>
      </c>
      <c r="L219" s="48">
        <v>2278</v>
      </c>
      <c r="N219" s="702" t="s">
        <v>3106</v>
      </c>
      <c r="O219" s="4"/>
      <c r="Q219" s="4"/>
    </row>
    <row r="220" spans="1:17">
      <c r="A220" s="398" t="s">
        <v>3125</v>
      </c>
      <c r="B220" s="702" t="s">
        <v>4956</v>
      </c>
      <c r="C220" s="4" t="s">
        <v>12952</v>
      </c>
      <c r="D220" s="705">
        <v>0</v>
      </c>
      <c r="E220" s="705">
        <v>0</v>
      </c>
      <c r="F220" s="705">
        <v>1783</v>
      </c>
      <c r="G220" s="48">
        <v>1815</v>
      </c>
      <c r="H220" s="48">
        <v>1665</v>
      </c>
      <c r="I220" s="48">
        <v>1676</v>
      </c>
      <c r="J220" s="48">
        <v>1565</v>
      </c>
      <c r="K220" s="48">
        <v>1580</v>
      </c>
      <c r="L220" s="48">
        <v>1607</v>
      </c>
      <c r="N220" s="702" t="s">
        <v>3106</v>
      </c>
      <c r="O220" s="4"/>
      <c r="Q220" s="4"/>
    </row>
    <row r="221" spans="1:17">
      <c r="A221" s="398" t="s">
        <v>3127</v>
      </c>
      <c r="B221" s="702" t="s">
        <v>12953</v>
      </c>
      <c r="C221" s="4" t="s">
        <v>12954</v>
      </c>
      <c r="D221" s="705">
        <v>0</v>
      </c>
      <c r="E221" s="705">
        <v>0</v>
      </c>
      <c r="F221" s="705">
        <v>2567</v>
      </c>
      <c r="G221" s="48">
        <v>2571</v>
      </c>
      <c r="H221" s="48">
        <v>2552</v>
      </c>
      <c r="I221" s="48">
        <v>2523</v>
      </c>
      <c r="J221" s="48">
        <v>2397</v>
      </c>
      <c r="K221" s="48">
        <v>2501</v>
      </c>
      <c r="L221" s="48">
        <v>2447</v>
      </c>
      <c r="N221" s="702" t="s">
        <v>3106</v>
      </c>
      <c r="O221" s="4"/>
      <c r="Q221" s="4"/>
    </row>
    <row r="222" spans="1:17">
      <c r="D222" s="707"/>
      <c r="E222" s="707"/>
      <c r="F222" s="707"/>
      <c r="G222" s="707"/>
      <c r="H222" s="707"/>
      <c r="I222" s="707"/>
      <c r="J222" s="707"/>
      <c r="K222" s="707"/>
      <c r="L222" s="707"/>
    </row>
    <row r="223" spans="1:17">
      <c r="A223" s="702" t="s">
        <v>3106</v>
      </c>
      <c r="D223" s="705">
        <f t="shared" ref="D223:E223" si="123">SUM(D186:D221)</f>
        <v>80247</v>
      </c>
      <c r="E223" s="705">
        <f t="shared" si="123"/>
        <v>79849</v>
      </c>
      <c r="F223" s="705">
        <f t="shared" ref="F223:K223" si="124">SUM(F186:F221)</f>
        <v>79748</v>
      </c>
      <c r="G223" s="705">
        <f t="shared" si="124"/>
        <v>79714</v>
      </c>
      <c r="H223" s="705">
        <f t="shared" si="124"/>
        <v>75412</v>
      </c>
      <c r="I223" s="705">
        <f t="shared" si="124"/>
        <v>77022</v>
      </c>
      <c r="J223" s="705">
        <f t="shared" si="124"/>
        <v>74066</v>
      </c>
      <c r="K223" s="705">
        <f t="shared" si="124"/>
        <v>76353</v>
      </c>
      <c r="L223" s="705">
        <f t="shared" ref="L223" si="125">SUM(L186:L221)</f>
        <v>76181</v>
      </c>
    </row>
    <row r="224" spans="1:17">
      <c r="A224" s="702"/>
      <c r="D224" s="705"/>
      <c r="E224" s="705"/>
      <c r="F224" s="705"/>
      <c r="G224" s="705"/>
      <c r="H224" s="705"/>
      <c r="I224" s="705"/>
      <c r="J224" s="705"/>
      <c r="K224" s="705"/>
      <c r="L224" s="705"/>
    </row>
    <row r="225" spans="1:17">
      <c r="A225" s="702" t="s">
        <v>12955</v>
      </c>
      <c r="D225" s="705"/>
      <c r="E225" s="705"/>
      <c r="F225" s="705"/>
      <c r="G225" s="705"/>
      <c r="H225" s="705"/>
      <c r="I225" s="705"/>
      <c r="J225" s="705"/>
      <c r="K225" s="705"/>
      <c r="L225" s="705"/>
    </row>
    <row r="226" spans="1:17">
      <c r="A226" s="702"/>
      <c r="B226" s="702"/>
      <c r="D226" s="711"/>
      <c r="E226" s="711"/>
      <c r="F226" s="711"/>
      <c r="G226" s="711"/>
      <c r="H226" s="711"/>
      <c r="I226" s="711"/>
      <c r="J226" s="711"/>
      <c r="K226" s="711"/>
      <c r="L226" s="711"/>
    </row>
    <row r="227" spans="1:17">
      <c r="A227" s="702"/>
      <c r="B227" s="702"/>
      <c r="D227" s="711"/>
      <c r="E227" s="711"/>
      <c r="F227" s="711"/>
      <c r="G227" s="711"/>
      <c r="H227" s="711"/>
      <c r="I227" s="711"/>
      <c r="J227" s="711"/>
      <c r="K227" s="711"/>
      <c r="L227" s="711"/>
    </row>
    <row r="228" spans="1:17">
      <c r="E228" s="42" t="s">
        <v>2303</v>
      </c>
      <c r="F228" s="42"/>
      <c r="G228" s="42"/>
      <c r="H228" s="42"/>
      <c r="I228" s="42"/>
      <c r="J228" s="42"/>
      <c r="K228" s="42"/>
      <c r="L228" s="42"/>
      <c r="M228" s="109"/>
      <c r="N228" s="109" t="s">
        <v>13319</v>
      </c>
    </row>
    <row r="229" spans="1:17">
      <c r="D229" s="703">
        <v>2010</v>
      </c>
      <c r="E229" s="703">
        <v>2011</v>
      </c>
      <c r="F229" s="703">
        <v>2012</v>
      </c>
      <c r="G229" s="703">
        <v>2013</v>
      </c>
      <c r="H229" s="703">
        <v>2014</v>
      </c>
      <c r="I229" s="703">
        <v>2015</v>
      </c>
      <c r="J229" s="703">
        <v>2016</v>
      </c>
      <c r="K229" s="703">
        <v>2017</v>
      </c>
      <c r="L229" s="703">
        <v>2018</v>
      </c>
      <c r="M229" s="109"/>
      <c r="N229" s="112" t="s">
        <v>2304</v>
      </c>
    </row>
    <row r="230" spans="1:17">
      <c r="A230" s="702" t="s">
        <v>4932</v>
      </c>
      <c r="D230" s="705">
        <f>SUM(D231:D241)+SUM(D243:D250)+SUM(D252:D254)+D256+D257</f>
        <v>84062</v>
      </c>
      <c r="E230" s="705">
        <f t="shared" ref="E230:I230" si="126">SUM(E231:E241)+SUM(E243:E250)+SUM(E252:E254)+E256+E257</f>
        <v>84788</v>
      </c>
      <c r="F230" s="705">
        <f t="shared" si="126"/>
        <v>85099</v>
      </c>
      <c r="G230" s="705">
        <f t="shared" si="126"/>
        <v>84985</v>
      </c>
      <c r="H230" s="705">
        <f t="shared" si="126"/>
        <v>85748</v>
      </c>
      <c r="I230" s="705">
        <f t="shared" si="126"/>
        <v>83432</v>
      </c>
      <c r="J230" s="705">
        <f t="shared" ref="J230:K230" si="127">SUM(J231:J241)+SUM(J243:J250)+SUM(J252:J254)+J256+J257</f>
        <v>82713</v>
      </c>
      <c r="K230" s="705">
        <f t="shared" si="127"/>
        <v>85751</v>
      </c>
      <c r="L230" s="705">
        <f t="shared" ref="L230" si="128">SUM(L231:L241)+SUM(L243:L250)+SUM(L252:L254)+L256+L257</f>
        <v>87110</v>
      </c>
    </row>
    <row r="231" spans="1:17">
      <c r="A231" s="702" t="s">
        <v>6957</v>
      </c>
      <c r="B231" s="702" t="s">
        <v>14345</v>
      </c>
      <c r="C231" s="4" t="s">
        <v>14346</v>
      </c>
      <c r="D231" s="705">
        <v>53078</v>
      </c>
      <c r="E231" s="705">
        <v>53541</v>
      </c>
      <c r="F231" s="705">
        <v>53720</v>
      </c>
      <c r="G231" s="705">
        <v>53802</v>
      </c>
      <c r="H231" s="48">
        <v>54396</v>
      </c>
      <c r="I231" s="48">
        <v>5152</v>
      </c>
      <c r="J231" s="48">
        <v>5015</v>
      </c>
      <c r="K231" s="48">
        <v>5149</v>
      </c>
      <c r="L231" s="48">
        <v>5221</v>
      </c>
      <c r="N231" s="702" t="s">
        <v>3107</v>
      </c>
      <c r="O231" s="4"/>
      <c r="Q231" s="4"/>
    </row>
    <row r="232" spans="1:17">
      <c r="A232" s="702" t="s">
        <v>6959</v>
      </c>
      <c r="B232" s="702" t="s">
        <v>14347</v>
      </c>
      <c r="C232" s="4" t="s">
        <v>14351</v>
      </c>
      <c r="D232" s="705">
        <v>0</v>
      </c>
      <c r="E232" s="705">
        <v>0</v>
      </c>
      <c r="F232" s="705">
        <v>0</v>
      </c>
      <c r="G232" s="705">
        <v>0</v>
      </c>
      <c r="H232" s="48">
        <v>0</v>
      </c>
      <c r="I232" s="48">
        <v>3755</v>
      </c>
      <c r="J232" s="48">
        <v>3663</v>
      </c>
      <c r="K232" s="48">
        <v>3721</v>
      </c>
      <c r="L232" s="48">
        <v>3779</v>
      </c>
      <c r="N232" s="702" t="s">
        <v>3107</v>
      </c>
      <c r="O232" s="4"/>
      <c r="Q232" s="4"/>
    </row>
    <row r="233" spans="1:17">
      <c r="A233" s="702" t="s">
        <v>6961</v>
      </c>
      <c r="B233" s="702" t="s">
        <v>4933</v>
      </c>
      <c r="C233" s="4" t="s">
        <v>14352</v>
      </c>
      <c r="D233" s="705">
        <v>0</v>
      </c>
      <c r="E233" s="705">
        <v>0</v>
      </c>
      <c r="F233" s="705">
        <v>0</v>
      </c>
      <c r="G233" s="705">
        <v>0</v>
      </c>
      <c r="H233" s="48">
        <v>0</v>
      </c>
      <c r="I233" s="48">
        <v>5656</v>
      </c>
      <c r="J233" s="48">
        <v>5714</v>
      </c>
      <c r="K233" s="48">
        <v>5902</v>
      </c>
      <c r="L233" s="48">
        <v>6042</v>
      </c>
      <c r="N233" s="702" t="s">
        <v>3107</v>
      </c>
      <c r="O233" s="4"/>
      <c r="Q233" s="4"/>
    </row>
    <row r="234" spans="1:17">
      <c r="A234" s="702" t="s">
        <v>6963</v>
      </c>
      <c r="B234" s="702" t="s">
        <v>14348</v>
      </c>
      <c r="C234" s="4" t="s">
        <v>14353</v>
      </c>
      <c r="D234" s="705">
        <v>30984</v>
      </c>
      <c r="E234" s="705">
        <v>31247</v>
      </c>
      <c r="F234" s="705">
        <v>31379</v>
      </c>
      <c r="G234" s="705">
        <v>31183</v>
      </c>
      <c r="H234" s="48">
        <v>31352</v>
      </c>
      <c r="I234" s="48">
        <v>2185</v>
      </c>
      <c r="J234" s="48">
        <v>2322</v>
      </c>
      <c r="K234" s="48">
        <v>2474</v>
      </c>
      <c r="L234" s="48">
        <v>2589</v>
      </c>
      <c r="N234" s="702" t="s">
        <v>3111</v>
      </c>
      <c r="O234" s="4"/>
      <c r="Q234" s="4"/>
    </row>
    <row r="235" spans="1:17">
      <c r="A235" s="702" t="s">
        <v>6965</v>
      </c>
      <c r="B235" s="702" t="s">
        <v>8121</v>
      </c>
      <c r="C235" s="4" t="s">
        <v>14354</v>
      </c>
      <c r="D235" s="705">
        <v>0</v>
      </c>
      <c r="E235" s="705">
        <v>0</v>
      </c>
      <c r="F235" s="705">
        <v>0</v>
      </c>
      <c r="G235" s="705">
        <v>0</v>
      </c>
      <c r="H235" s="48">
        <v>0</v>
      </c>
      <c r="I235" s="48">
        <v>2287</v>
      </c>
      <c r="J235" s="48">
        <v>2259</v>
      </c>
      <c r="K235" s="48">
        <v>2307</v>
      </c>
      <c r="L235" s="48">
        <v>2339</v>
      </c>
      <c r="N235" s="702" t="s">
        <v>3111</v>
      </c>
      <c r="O235" s="4"/>
      <c r="Q235" s="4"/>
    </row>
    <row r="236" spans="1:17">
      <c r="A236" s="702" t="s">
        <v>6997</v>
      </c>
      <c r="B236" s="702" t="s">
        <v>2854</v>
      </c>
      <c r="C236" s="4" t="s">
        <v>14355</v>
      </c>
      <c r="D236" s="705">
        <v>0</v>
      </c>
      <c r="E236" s="705">
        <v>0</v>
      </c>
      <c r="F236" s="705">
        <v>0</v>
      </c>
      <c r="G236" s="705">
        <v>0</v>
      </c>
      <c r="H236" s="48">
        <v>0</v>
      </c>
      <c r="I236" s="48">
        <v>3923</v>
      </c>
      <c r="J236" s="48">
        <v>3953</v>
      </c>
      <c r="K236" s="48">
        <v>4128</v>
      </c>
      <c r="L236" s="48">
        <v>4195</v>
      </c>
      <c r="N236" s="702" t="s">
        <v>3107</v>
      </c>
      <c r="O236" s="4"/>
      <c r="Q236" s="4"/>
    </row>
    <row r="237" spans="1:17">
      <c r="A237" s="702" t="s">
        <v>6999</v>
      </c>
      <c r="B237" s="702" t="s">
        <v>7588</v>
      </c>
      <c r="C237" s="4" t="s">
        <v>14356</v>
      </c>
      <c r="D237" s="705">
        <v>0</v>
      </c>
      <c r="E237" s="705">
        <v>0</v>
      </c>
      <c r="F237" s="705">
        <v>0</v>
      </c>
      <c r="G237" s="705">
        <v>0</v>
      </c>
      <c r="H237" s="48">
        <v>0</v>
      </c>
      <c r="I237" s="48">
        <v>2164</v>
      </c>
      <c r="J237" s="48">
        <v>2115</v>
      </c>
      <c r="K237" s="48">
        <v>2219</v>
      </c>
      <c r="L237" s="48">
        <v>2298</v>
      </c>
      <c r="N237" s="702" t="s">
        <v>3107</v>
      </c>
      <c r="O237" s="4"/>
      <c r="Q237" s="4"/>
    </row>
    <row r="238" spans="1:17">
      <c r="A238" s="702" t="s">
        <v>7001</v>
      </c>
      <c r="B238" s="702" t="s">
        <v>14349</v>
      </c>
      <c r="C238" s="4" t="s">
        <v>14357</v>
      </c>
      <c r="D238" s="705">
        <v>0</v>
      </c>
      <c r="E238" s="705">
        <v>0</v>
      </c>
      <c r="F238" s="705">
        <v>0</v>
      </c>
      <c r="G238" s="705">
        <v>0</v>
      </c>
      <c r="H238" s="48">
        <v>0</v>
      </c>
      <c r="I238" s="48">
        <v>4322</v>
      </c>
      <c r="J238" s="48">
        <v>4262</v>
      </c>
      <c r="K238" s="48">
        <v>4454</v>
      </c>
      <c r="L238" s="48">
        <v>4502</v>
      </c>
      <c r="N238" s="702" t="s">
        <v>3107</v>
      </c>
      <c r="O238" s="4"/>
      <c r="Q238" s="4"/>
    </row>
    <row r="239" spans="1:17">
      <c r="A239" s="702" t="s">
        <v>7003</v>
      </c>
      <c r="B239" s="702" t="s">
        <v>5526</v>
      </c>
      <c r="C239" s="4" t="s">
        <v>14358</v>
      </c>
      <c r="D239" s="705">
        <v>0</v>
      </c>
      <c r="E239" s="705">
        <v>0</v>
      </c>
      <c r="F239" s="705">
        <v>0</v>
      </c>
      <c r="G239" s="705">
        <v>0</v>
      </c>
      <c r="H239" s="48">
        <v>0</v>
      </c>
      <c r="I239" s="48">
        <v>6210</v>
      </c>
      <c r="J239" s="48">
        <v>6061</v>
      </c>
      <c r="K239" s="48">
        <v>6231</v>
      </c>
      <c r="L239" s="48">
        <v>6228</v>
      </c>
      <c r="N239" s="702" t="s">
        <v>3107</v>
      </c>
      <c r="O239" s="4"/>
      <c r="Q239" s="4"/>
    </row>
    <row r="240" spans="1:17">
      <c r="A240" s="702" t="s">
        <v>7005</v>
      </c>
      <c r="B240" s="702" t="s">
        <v>14350</v>
      </c>
      <c r="C240" s="4" t="s">
        <v>14359</v>
      </c>
      <c r="D240" s="705">
        <v>0</v>
      </c>
      <c r="E240" s="705">
        <v>0</v>
      </c>
      <c r="F240" s="705">
        <v>0</v>
      </c>
      <c r="G240" s="705">
        <v>0</v>
      </c>
      <c r="H240" s="48">
        <v>0</v>
      </c>
      <c r="I240" s="48">
        <v>1883</v>
      </c>
      <c r="J240" s="48">
        <v>1890</v>
      </c>
      <c r="K240" s="48">
        <v>1958</v>
      </c>
      <c r="L240" s="48">
        <v>1965</v>
      </c>
      <c r="N240" s="702" t="s">
        <v>3107</v>
      </c>
      <c r="O240" s="4"/>
      <c r="Q240" s="4"/>
    </row>
    <row r="241" spans="1:17" ht="15.75" thickBot="1">
      <c r="A241" s="702"/>
      <c r="B241" s="702"/>
      <c r="C241" s="4" t="s">
        <v>14359</v>
      </c>
      <c r="D241" s="708">
        <v>0</v>
      </c>
      <c r="E241" s="708">
        <v>0</v>
      </c>
      <c r="F241" s="708">
        <v>0</v>
      </c>
      <c r="G241" s="708">
        <v>0</v>
      </c>
      <c r="H241" s="159">
        <v>0</v>
      </c>
      <c r="I241" s="48">
        <v>434</v>
      </c>
      <c r="J241" s="48">
        <v>467</v>
      </c>
      <c r="K241" s="48">
        <v>483</v>
      </c>
      <c r="L241" s="48">
        <v>483</v>
      </c>
      <c r="N241" s="702" t="s">
        <v>3111</v>
      </c>
      <c r="O241" s="4"/>
      <c r="Q241" s="4"/>
    </row>
    <row r="242" spans="1:17" ht="15.75" thickBot="1">
      <c r="A242" s="702"/>
      <c r="B242" s="702"/>
      <c r="C242" s="4" t="s">
        <v>14359</v>
      </c>
      <c r="D242" s="908">
        <f>D240+D241</f>
        <v>0</v>
      </c>
      <c r="E242" s="908">
        <f t="shared" ref="E242:L242" si="129">E240+E241</f>
        <v>0</v>
      </c>
      <c r="F242" s="908">
        <f t="shared" si="129"/>
        <v>0</v>
      </c>
      <c r="G242" s="908">
        <f t="shared" si="129"/>
        <v>0</v>
      </c>
      <c r="H242" s="908">
        <f t="shared" si="129"/>
        <v>0</v>
      </c>
      <c r="I242" s="908">
        <f t="shared" si="129"/>
        <v>2317</v>
      </c>
      <c r="J242" s="908">
        <f t="shared" si="129"/>
        <v>2357</v>
      </c>
      <c r="K242" s="908">
        <f t="shared" si="129"/>
        <v>2441</v>
      </c>
      <c r="L242" s="908">
        <f t="shared" si="129"/>
        <v>2448</v>
      </c>
      <c r="N242" s="702"/>
      <c r="O242" s="4"/>
      <c r="Q242" s="4"/>
    </row>
    <row r="243" spans="1:17">
      <c r="A243" s="702" t="s">
        <v>7007</v>
      </c>
      <c r="B243" s="702" t="s">
        <v>14360</v>
      </c>
      <c r="C243" s="4" t="s">
        <v>14364</v>
      </c>
      <c r="D243" s="705">
        <v>0</v>
      </c>
      <c r="E243" s="705">
        <v>0</v>
      </c>
      <c r="F243" s="705">
        <v>0</v>
      </c>
      <c r="G243" s="705">
        <v>0</v>
      </c>
      <c r="H243" s="48">
        <v>0</v>
      </c>
      <c r="I243" s="48">
        <v>7647</v>
      </c>
      <c r="J243" s="48">
        <v>7426</v>
      </c>
      <c r="K243" s="48">
        <v>7722</v>
      </c>
      <c r="L243" s="48">
        <v>7864</v>
      </c>
      <c r="N243" s="702" t="s">
        <v>3111</v>
      </c>
      <c r="O243" s="4"/>
      <c r="Q243" s="4"/>
    </row>
    <row r="244" spans="1:17">
      <c r="A244" s="702" t="s">
        <v>7009</v>
      </c>
      <c r="B244" s="702" t="s">
        <v>14361</v>
      </c>
      <c r="C244" s="4" t="s">
        <v>14365</v>
      </c>
      <c r="D244" s="705">
        <v>0</v>
      </c>
      <c r="E244" s="705">
        <v>0</v>
      </c>
      <c r="F244" s="705">
        <v>0</v>
      </c>
      <c r="G244" s="705">
        <v>0</v>
      </c>
      <c r="H244" s="48">
        <v>0</v>
      </c>
      <c r="I244" s="48">
        <v>4630</v>
      </c>
      <c r="J244" s="48">
        <v>4631</v>
      </c>
      <c r="K244" s="48">
        <v>4843</v>
      </c>
      <c r="L244" s="48">
        <v>4885</v>
      </c>
      <c r="N244" s="702" t="s">
        <v>3107</v>
      </c>
      <c r="O244" s="4"/>
      <c r="Q244" s="4"/>
    </row>
    <row r="245" spans="1:17">
      <c r="A245" s="702" t="s">
        <v>7011</v>
      </c>
      <c r="B245" s="702" t="s">
        <v>14362</v>
      </c>
      <c r="C245" s="4" t="s">
        <v>14366</v>
      </c>
      <c r="D245" s="705">
        <v>0</v>
      </c>
      <c r="E245" s="705">
        <v>0</v>
      </c>
      <c r="F245" s="705">
        <v>0</v>
      </c>
      <c r="G245" s="705">
        <v>0</v>
      </c>
      <c r="H245" s="48">
        <v>0</v>
      </c>
      <c r="I245" s="48">
        <v>2042</v>
      </c>
      <c r="J245" s="48">
        <v>2133</v>
      </c>
      <c r="K245" s="48">
        <v>2269</v>
      </c>
      <c r="L245" s="48">
        <v>2341</v>
      </c>
      <c r="N245" s="702" t="s">
        <v>3111</v>
      </c>
      <c r="O245" s="4"/>
      <c r="Q245" s="4"/>
    </row>
    <row r="246" spans="1:17">
      <c r="A246" s="702" t="s">
        <v>7013</v>
      </c>
      <c r="B246" s="702" t="s">
        <v>5528</v>
      </c>
      <c r="C246" s="4" t="s">
        <v>14367</v>
      </c>
      <c r="D246" s="705">
        <v>0</v>
      </c>
      <c r="E246" s="705">
        <v>0</v>
      </c>
      <c r="F246" s="705">
        <v>0</v>
      </c>
      <c r="G246" s="705">
        <v>0</v>
      </c>
      <c r="H246" s="48">
        <v>0</v>
      </c>
      <c r="I246" s="48">
        <v>2222</v>
      </c>
      <c r="J246" s="48">
        <v>2218</v>
      </c>
      <c r="K246" s="48">
        <v>2263</v>
      </c>
      <c r="L246" s="48">
        <v>2266</v>
      </c>
      <c r="N246" s="702" t="s">
        <v>3107</v>
      </c>
      <c r="O246" s="4"/>
      <c r="Q246" s="4"/>
    </row>
    <row r="247" spans="1:17">
      <c r="A247" s="702" t="s">
        <v>7015</v>
      </c>
      <c r="B247" s="702" t="s">
        <v>6652</v>
      </c>
      <c r="C247" s="4" t="s">
        <v>14368</v>
      </c>
      <c r="D247" s="705">
        <v>0</v>
      </c>
      <c r="E247" s="705">
        <v>0</v>
      </c>
      <c r="F247" s="705">
        <v>0</v>
      </c>
      <c r="G247" s="705">
        <v>0</v>
      </c>
      <c r="H247" s="48">
        <v>0</v>
      </c>
      <c r="I247" s="48">
        <v>2329</v>
      </c>
      <c r="J247" s="48">
        <v>2285</v>
      </c>
      <c r="K247" s="48">
        <v>2357</v>
      </c>
      <c r="L247" s="48">
        <v>2391</v>
      </c>
      <c r="N247" s="702" t="s">
        <v>3107</v>
      </c>
      <c r="O247" s="4"/>
      <c r="Q247" s="4"/>
    </row>
    <row r="248" spans="1:17">
      <c r="A248" s="702" t="s">
        <v>7017</v>
      </c>
      <c r="B248" s="702" t="s">
        <v>6653</v>
      </c>
      <c r="C248" s="4" t="s">
        <v>14369</v>
      </c>
      <c r="D248" s="705">
        <v>0</v>
      </c>
      <c r="E248" s="705">
        <v>0</v>
      </c>
      <c r="F248" s="705">
        <v>0</v>
      </c>
      <c r="G248" s="705">
        <v>0</v>
      </c>
      <c r="H248" s="48">
        <v>0</v>
      </c>
      <c r="I248" s="48">
        <v>6511</v>
      </c>
      <c r="J248" s="48">
        <v>6303</v>
      </c>
      <c r="K248" s="48">
        <v>6540</v>
      </c>
      <c r="L248" s="48">
        <v>6687</v>
      </c>
      <c r="N248" s="702" t="s">
        <v>3111</v>
      </c>
      <c r="O248" s="4"/>
      <c r="Q248" s="4"/>
    </row>
    <row r="249" spans="1:17">
      <c r="A249" s="702" t="s">
        <v>7019</v>
      </c>
      <c r="B249" s="702" t="s">
        <v>14363</v>
      </c>
      <c r="C249" s="4" t="s">
        <v>14370</v>
      </c>
      <c r="D249" s="705">
        <v>0</v>
      </c>
      <c r="E249" s="705">
        <v>0</v>
      </c>
      <c r="F249" s="705">
        <v>0</v>
      </c>
      <c r="G249" s="705">
        <v>0</v>
      </c>
      <c r="H249" s="48">
        <v>0</v>
      </c>
      <c r="I249" s="48">
        <v>411</v>
      </c>
      <c r="J249" s="48">
        <v>408</v>
      </c>
      <c r="K249" s="48">
        <v>407</v>
      </c>
      <c r="L249" s="48">
        <v>417</v>
      </c>
      <c r="N249" s="702" t="s">
        <v>3107</v>
      </c>
      <c r="O249" s="4"/>
      <c r="Q249" s="4"/>
    </row>
    <row r="250" spans="1:17" ht="15.75" thickBot="1">
      <c r="B250" s="702"/>
      <c r="C250" s="4" t="s">
        <v>14370</v>
      </c>
      <c r="D250" s="708">
        <v>0</v>
      </c>
      <c r="E250" s="708">
        <v>0</v>
      </c>
      <c r="F250" s="708">
        <v>0</v>
      </c>
      <c r="G250" s="708">
        <v>0</v>
      </c>
      <c r="H250" s="159">
        <v>0</v>
      </c>
      <c r="I250" s="48">
        <v>4527</v>
      </c>
      <c r="J250" s="48">
        <v>4498</v>
      </c>
      <c r="K250" s="48">
        <v>4700</v>
      </c>
      <c r="L250" s="48">
        <v>4735</v>
      </c>
      <c r="N250" s="702" t="s">
        <v>3111</v>
      </c>
      <c r="O250" s="4"/>
      <c r="Q250" s="4"/>
    </row>
    <row r="251" spans="1:17" ht="15.75" thickBot="1">
      <c r="A251" s="702"/>
      <c r="B251" s="702"/>
      <c r="C251" s="4" t="s">
        <v>14370</v>
      </c>
      <c r="D251" s="908">
        <f>D249+D250</f>
        <v>0</v>
      </c>
      <c r="E251" s="908">
        <f t="shared" ref="E251" si="130">E249+E250</f>
        <v>0</v>
      </c>
      <c r="F251" s="908">
        <f t="shared" ref="F251" si="131">F249+F250</f>
        <v>0</v>
      </c>
      <c r="G251" s="908">
        <f t="shared" ref="G251" si="132">G249+G250</f>
        <v>0</v>
      </c>
      <c r="H251" s="908">
        <f t="shared" ref="H251" si="133">H249+H250</f>
        <v>0</v>
      </c>
      <c r="I251" s="908">
        <f t="shared" ref="I251:L251" si="134">I249+I250</f>
        <v>4938</v>
      </c>
      <c r="J251" s="908">
        <f t="shared" si="134"/>
        <v>4906</v>
      </c>
      <c r="K251" s="908">
        <f t="shared" si="134"/>
        <v>5107</v>
      </c>
      <c r="L251" s="908">
        <f t="shared" si="134"/>
        <v>5152</v>
      </c>
      <c r="N251" s="702"/>
      <c r="O251" s="4"/>
      <c r="Q251" s="4"/>
    </row>
    <row r="252" spans="1:17">
      <c r="A252" s="702" t="s">
        <v>7021</v>
      </c>
      <c r="B252" s="702" t="s">
        <v>14372</v>
      </c>
      <c r="C252" s="4" t="s">
        <v>14371</v>
      </c>
      <c r="D252" s="705">
        <v>0</v>
      </c>
      <c r="E252" s="705">
        <v>0</v>
      </c>
      <c r="F252" s="705">
        <v>0</v>
      </c>
      <c r="G252" s="705">
        <v>0</v>
      </c>
      <c r="H252" s="48">
        <v>0</v>
      </c>
      <c r="I252" s="48">
        <v>3799</v>
      </c>
      <c r="J252" s="48">
        <v>3852</v>
      </c>
      <c r="K252" s="48">
        <v>4085</v>
      </c>
      <c r="L252" s="48">
        <v>4238</v>
      </c>
      <c r="N252" s="702" t="s">
        <v>3111</v>
      </c>
      <c r="O252" s="4"/>
      <c r="Q252" s="4"/>
    </row>
    <row r="253" spans="1:17">
      <c r="A253" s="702" t="s">
        <v>7023</v>
      </c>
      <c r="B253" s="702" t="s">
        <v>14373</v>
      </c>
      <c r="C253" s="4" t="s">
        <v>14374</v>
      </c>
      <c r="D253" s="705">
        <v>0</v>
      </c>
      <c r="E253" s="705">
        <v>0</v>
      </c>
      <c r="F253" s="705">
        <v>0</v>
      </c>
      <c r="G253" s="705">
        <v>0</v>
      </c>
      <c r="H253" s="48">
        <v>0</v>
      </c>
      <c r="I253" s="48">
        <v>5636</v>
      </c>
      <c r="J253" s="48">
        <v>5601</v>
      </c>
      <c r="K253" s="48">
        <v>5707</v>
      </c>
      <c r="L253" s="48">
        <v>5800</v>
      </c>
      <c r="N253" s="702" t="s">
        <v>3107</v>
      </c>
      <c r="O253" s="4"/>
      <c r="Q253" s="4"/>
    </row>
    <row r="254" spans="1:17" ht="15.75" thickBot="1">
      <c r="B254" s="702"/>
      <c r="C254" s="4" t="s">
        <v>14374</v>
      </c>
      <c r="D254" s="708">
        <v>0</v>
      </c>
      <c r="E254" s="708">
        <v>0</v>
      </c>
      <c r="F254" s="708">
        <v>0</v>
      </c>
      <c r="G254" s="708">
        <v>0</v>
      </c>
      <c r="H254" s="159">
        <v>0</v>
      </c>
      <c r="I254" s="48">
        <v>924</v>
      </c>
      <c r="J254" s="48">
        <v>941</v>
      </c>
      <c r="K254" s="48">
        <v>970</v>
      </c>
      <c r="L254" s="48">
        <v>976</v>
      </c>
      <c r="N254" s="702" t="s">
        <v>3111</v>
      </c>
      <c r="O254" s="4"/>
      <c r="Q254" s="4"/>
    </row>
    <row r="255" spans="1:17" ht="15.75" thickBot="1">
      <c r="A255" s="702"/>
      <c r="B255" s="702"/>
      <c r="C255" s="4" t="s">
        <v>14374</v>
      </c>
      <c r="D255" s="908">
        <f>D253+D254</f>
        <v>0</v>
      </c>
      <c r="E255" s="908">
        <f t="shared" ref="E255" si="135">E253+E254</f>
        <v>0</v>
      </c>
      <c r="F255" s="908">
        <f t="shared" ref="F255" si="136">F253+F254</f>
        <v>0</v>
      </c>
      <c r="G255" s="908">
        <f t="shared" ref="G255" si="137">G253+G254</f>
        <v>0</v>
      </c>
      <c r="H255" s="908">
        <f t="shared" ref="H255" si="138">H253+H254</f>
        <v>0</v>
      </c>
      <c r="I255" s="908">
        <f t="shared" ref="I255:L255" si="139">I253+I254</f>
        <v>6560</v>
      </c>
      <c r="J255" s="908">
        <f t="shared" si="139"/>
        <v>6542</v>
      </c>
      <c r="K255" s="908">
        <f t="shared" si="139"/>
        <v>6677</v>
      </c>
      <c r="L255" s="908">
        <f t="shared" si="139"/>
        <v>6776</v>
      </c>
      <c r="N255" s="702"/>
      <c r="O255" s="4"/>
      <c r="Q255" s="4"/>
    </row>
    <row r="256" spans="1:17">
      <c r="A256" s="702" t="s">
        <v>7025</v>
      </c>
      <c r="B256" s="702" t="s">
        <v>6654</v>
      </c>
      <c r="C256" s="4" t="s">
        <v>14375</v>
      </c>
      <c r="D256" s="705">
        <v>0</v>
      </c>
      <c r="E256" s="705">
        <v>0</v>
      </c>
      <c r="F256" s="705">
        <v>0</v>
      </c>
      <c r="G256" s="705">
        <v>0</v>
      </c>
      <c r="H256" s="48">
        <v>0</v>
      </c>
      <c r="I256" s="48">
        <v>2455</v>
      </c>
      <c r="J256" s="48">
        <v>2433</v>
      </c>
      <c r="K256" s="48">
        <v>2522</v>
      </c>
      <c r="L256" s="48">
        <v>2507</v>
      </c>
      <c r="N256" s="702" t="s">
        <v>3107</v>
      </c>
      <c r="O256" s="4"/>
      <c r="Q256" s="4"/>
    </row>
    <row r="257" spans="1:17">
      <c r="A257" s="702" t="s">
        <v>7570</v>
      </c>
      <c r="B257" s="702" t="s">
        <v>6655</v>
      </c>
      <c r="C257" s="4" t="s">
        <v>14376</v>
      </c>
      <c r="D257" s="705">
        <v>0</v>
      </c>
      <c r="E257" s="705">
        <v>0</v>
      </c>
      <c r="F257" s="705">
        <v>0</v>
      </c>
      <c r="G257" s="705">
        <v>0</v>
      </c>
      <c r="H257" s="48">
        <v>0</v>
      </c>
      <c r="I257" s="48">
        <v>2328</v>
      </c>
      <c r="J257" s="48">
        <v>2263</v>
      </c>
      <c r="K257" s="48">
        <v>2340</v>
      </c>
      <c r="L257" s="48">
        <v>2362</v>
      </c>
      <c r="N257" s="702" t="s">
        <v>3107</v>
      </c>
      <c r="O257" s="4"/>
      <c r="Q257" s="4"/>
    </row>
    <row r="258" spans="1:17">
      <c r="D258" s="707"/>
      <c r="E258" s="707"/>
      <c r="F258" s="707"/>
      <c r="G258" s="707"/>
      <c r="H258" s="707"/>
      <c r="I258" s="707"/>
      <c r="J258" s="707"/>
      <c r="K258" s="707"/>
      <c r="L258" s="707"/>
      <c r="N258" s="702"/>
    </row>
    <row r="259" spans="1:17">
      <c r="A259" s="702" t="s">
        <v>6617</v>
      </c>
      <c r="D259" s="705">
        <f>SUM(D231:D233)+SUM(D236:D240)+D244+D246+D247+D249+D253+D256+D257</f>
        <v>53078</v>
      </c>
      <c r="E259" s="705">
        <f t="shared" ref="E259:I259" si="140">SUM(E231:E233)+SUM(E236:E240)+E244+E246+E247+E249+E253+E256+E257</f>
        <v>53541</v>
      </c>
      <c r="F259" s="705">
        <f t="shared" si="140"/>
        <v>53720</v>
      </c>
      <c r="G259" s="705">
        <f t="shared" si="140"/>
        <v>53802</v>
      </c>
      <c r="H259" s="705">
        <f t="shared" si="140"/>
        <v>54396</v>
      </c>
      <c r="I259" s="705">
        <f t="shared" si="140"/>
        <v>53076</v>
      </c>
      <c r="J259" s="705">
        <f t="shared" ref="J259:K259" si="141">SUM(J231:J233)+SUM(J236:J240)+J244+J246+J247+J249+J253+J256+J257</f>
        <v>52512</v>
      </c>
      <c r="K259" s="705">
        <f t="shared" si="141"/>
        <v>54201</v>
      </c>
      <c r="L259" s="705">
        <f t="shared" ref="L259" si="142">SUM(L231:L233)+SUM(L236:L240)+L244+L246+L247+L249+L253+L256+L257</f>
        <v>54858</v>
      </c>
    </row>
    <row r="260" spans="1:17">
      <c r="A260" s="702" t="s">
        <v>4800</v>
      </c>
      <c r="D260" s="705">
        <f>D234+D235+D241+D243+D245+D248+D250+D252+D254</f>
        <v>30984</v>
      </c>
      <c r="E260" s="705">
        <f t="shared" ref="E260:I260" si="143">E234+E235+E241+E243+E245+E248+E250+E252+E254</f>
        <v>31247</v>
      </c>
      <c r="F260" s="705">
        <f t="shared" si="143"/>
        <v>31379</v>
      </c>
      <c r="G260" s="705">
        <f t="shared" si="143"/>
        <v>31183</v>
      </c>
      <c r="H260" s="705">
        <f t="shared" si="143"/>
        <v>31352</v>
      </c>
      <c r="I260" s="705">
        <f t="shared" si="143"/>
        <v>30356</v>
      </c>
      <c r="J260" s="705">
        <f t="shared" ref="J260:K260" si="144">J234+J235+J241+J243+J245+J248+J250+J252+J254</f>
        <v>30201</v>
      </c>
      <c r="K260" s="705">
        <f t="shared" si="144"/>
        <v>31550</v>
      </c>
      <c r="L260" s="705">
        <f t="shared" ref="L260" si="145">L234+L235+L241+L243+L245+L248+L250+L252+L254</f>
        <v>32252</v>
      </c>
    </row>
    <row r="261" spans="1:17">
      <c r="A261" s="702"/>
      <c r="D261" s="705"/>
      <c r="E261" s="705"/>
      <c r="F261" s="705"/>
      <c r="G261" s="705"/>
      <c r="H261" s="705"/>
      <c r="I261" s="705"/>
      <c r="J261" s="705"/>
      <c r="K261" s="705"/>
      <c r="L261" s="705"/>
    </row>
    <row r="262" spans="1:17">
      <c r="A262" s="702" t="s">
        <v>6676</v>
      </c>
      <c r="D262" s="705"/>
      <c r="E262" s="705"/>
      <c r="F262" s="705"/>
      <c r="G262" s="705"/>
      <c r="H262" s="705"/>
      <c r="I262" s="705"/>
      <c r="J262" s="705"/>
      <c r="K262" s="705"/>
      <c r="L262" s="705"/>
    </row>
    <row r="263" spans="1:17">
      <c r="A263" s="702"/>
      <c r="B263" s="702"/>
      <c r="D263" s="711"/>
      <c r="E263" s="711"/>
      <c r="F263" s="711"/>
      <c r="G263" s="711"/>
      <c r="H263" s="711"/>
      <c r="I263" s="711"/>
      <c r="J263" s="711"/>
      <c r="K263" s="711"/>
      <c r="L263" s="711"/>
    </row>
    <row r="264" spans="1:17">
      <c r="A264" s="702"/>
      <c r="B264" s="702"/>
      <c r="D264" s="711"/>
      <c r="E264" s="711"/>
      <c r="F264" s="711"/>
      <c r="G264" s="711"/>
      <c r="H264" s="711"/>
      <c r="I264" s="711"/>
      <c r="J264" s="711"/>
      <c r="K264" s="711"/>
      <c r="L264" s="711"/>
    </row>
    <row r="265" spans="1:17">
      <c r="E265" s="42" t="s">
        <v>2303</v>
      </c>
      <c r="F265" s="42"/>
      <c r="G265" s="42"/>
      <c r="H265" s="42"/>
      <c r="I265" s="42"/>
      <c r="J265" s="42"/>
      <c r="K265" s="42"/>
      <c r="L265" s="42"/>
      <c r="M265" s="109"/>
      <c r="N265" s="109" t="s">
        <v>13319</v>
      </c>
    </row>
    <row r="266" spans="1:17">
      <c r="D266" s="703">
        <v>2010</v>
      </c>
      <c r="E266" s="703">
        <v>2011</v>
      </c>
      <c r="F266" s="703">
        <v>2012</v>
      </c>
      <c r="G266" s="703">
        <v>2013</v>
      </c>
      <c r="H266" s="703">
        <v>2014</v>
      </c>
      <c r="I266" s="703">
        <v>2015</v>
      </c>
      <c r="J266" s="703">
        <v>2016</v>
      </c>
      <c r="K266" s="703">
        <v>2017</v>
      </c>
      <c r="L266" s="703">
        <v>2018</v>
      </c>
      <c r="M266" s="109"/>
      <c r="N266" s="112" t="s">
        <v>2304</v>
      </c>
    </row>
    <row r="267" spans="1:17">
      <c r="A267" s="702" t="s">
        <v>6677</v>
      </c>
      <c r="D267" s="705">
        <f>SUM(D268:D277)+SUM(D279:D293)+D295+D296</f>
        <v>84531</v>
      </c>
      <c r="E267" s="705">
        <f t="shared" ref="E267:I267" si="146">SUM(E268:E277)+SUM(E279:E293)+E295+E296</f>
        <v>85408</v>
      </c>
      <c r="F267" s="705">
        <f t="shared" si="146"/>
        <v>85920</v>
      </c>
      <c r="G267" s="705">
        <f t="shared" si="146"/>
        <v>86681</v>
      </c>
      <c r="H267" s="705">
        <f t="shared" si="146"/>
        <v>86640</v>
      </c>
      <c r="I267" s="705">
        <f t="shared" si="146"/>
        <v>84302</v>
      </c>
      <c r="J267" s="705">
        <f t="shared" ref="J267:K267" si="147">SUM(J268:J277)+SUM(J279:J293)+J295+J296</f>
        <v>84249</v>
      </c>
      <c r="K267" s="705">
        <f t="shared" si="147"/>
        <v>85792</v>
      </c>
      <c r="L267" s="705">
        <f t="shared" ref="L267" si="148">SUM(L268:L277)+SUM(L279:L293)+L295+L296</f>
        <v>86523</v>
      </c>
    </row>
    <row r="268" spans="1:17">
      <c r="A268" s="702" t="s">
        <v>6957</v>
      </c>
      <c r="B268" s="702" t="s">
        <v>8199</v>
      </c>
      <c r="C268" s="4" t="s">
        <v>14034</v>
      </c>
      <c r="D268" s="705">
        <v>72774</v>
      </c>
      <c r="E268" s="705">
        <v>73430</v>
      </c>
      <c r="F268" s="705">
        <v>73785</v>
      </c>
      <c r="G268" s="30">
        <v>74324</v>
      </c>
      <c r="H268" s="30">
        <v>74197</v>
      </c>
      <c r="I268" s="30">
        <v>4110</v>
      </c>
      <c r="J268" s="30">
        <v>4091</v>
      </c>
      <c r="K268" s="30">
        <v>4152</v>
      </c>
      <c r="L268" s="30">
        <v>4194</v>
      </c>
      <c r="N268" s="702" t="s">
        <v>3110</v>
      </c>
      <c r="O268" s="4"/>
      <c r="Q268" s="4"/>
    </row>
    <row r="269" spans="1:17">
      <c r="A269" s="702" t="s">
        <v>6959</v>
      </c>
      <c r="B269" s="702" t="s">
        <v>6678</v>
      </c>
      <c r="C269" s="4" t="s">
        <v>14035</v>
      </c>
      <c r="D269" s="705">
        <v>11757</v>
      </c>
      <c r="E269" s="705">
        <v>11978</v>
      </c>
      <c r="F269" s="705">
        <v>12135</v>
      </c>
      <c r="G269" s="30">
        <v>12357</v>
      </c>
      <c r="H269" s="30">
        <v>12443</v>
      </c>
      <c r="I269" s="30">
        <v>3817</v>
      </c>
      <c r="J269" s="30">
        <v>3841</v>
      </c>
      <c r="K269" s="30">
        <v>3847</v>
      </c>
      <c r="L269" s="30">
        <v>3869</v>
      </c>
      <c r="N269" s="702" t="s">
        <v>3107</v>
      </c>
      <c r="O269" s="4"/>
      <c r="Q269" s="4"/>
    </row>
    <row r="270" spans="1:17">
      <c r="A270" s="702" t="s">
        <v>6961</v>
      </c>
      <c r="B270" s="702" t="s">
        <v>6666</v>
      </c>
      <c r="C270" s="4" t="s">
        <v>14036</v>
      </c>
      <c r="D270" s="705">
        <v>0</v>
      </c>
      <c r="E270" s="705">
        <v>0</v>
      </c>
      <c r="F270" s="705">
        <v>0</v>
      </c>
      <c r="G270" s="30">
        <v>0</v>
      </c>
      <c r="H270" s="30">
        <v>0</v>
      </c>
      <c r="I270" s="30">
        <v>3539</v>
      </c>
      <c r="J270" s="30">
        <v>3523</v>
      </c>
      <c r="K270" s="30">
        <v>3588</v>
      </c>
      <c r="L270" s="30">
        <v>3564</v>
      </c>
      <c r="N270" s="702" t="s">
        <v>3107</v>
      </c>
      <c r="O270" s="4"/>
      <c r="Q270" s="4"/>
    </row>
    <row r="271" spans="1:17">
      <c r="A271" s="702" t="s">
        <v>6963</v>
      </c>
      <c r="B271" s="702" t="s">
        <v>14001</v>
      </c>
      <c r="C271" s="4" t="s">
        <v>14037</v>
      </c>
      <c r="D271" s="705">
        <v>0</v>
      </c>
      <c r="E271" s="705">
        <v>0</v>
      </c>
      <c r="F271" s="705">
        <v>0</v>
      </c>
      <c r="G271" s="30">
        <v>0</v>
      </c>
      <c r="H271" s="30">
        <v>0</v>
      </c>
      <c r="I271" s="30">
        <v>1945</v>
      </c>
      <c r="J271" s="30">
        <v>1935</v>
      </c>
      <c r="K271" s="30">
        <v>2005</v>
      </c>
      <c r="L271" s="30">
        <v>2029</v>
      </c>
      <c r="N271" s="702" t="s">
        <v>3110</v>
      </c>
      <c r="O271" s="4"/>
      <c r="Q271" s="4"/>
    </row>
    <row r="272" spans="1:17">
      <c r="A272" s="702" t="s">
        <v>6965</v>
      </c>
      <c r="B272" s="702" t="s">
        <v>6667</v>
      </c>
      <c r="C272" s="4" t="s">
        <v>14038</v>
      </c>
      <c r="D272" s="705">
        <v>0</v>
      </c>
      <c r="E272" s="705">
        <v>0</v>
      </c>
      <c r="F272" s="705">
        <v>0</v>
      </c>
      <c r="G272" s="30">
        <v>0</v>
      </c>
      <c r="H272" s="30">
        <v>0</v>
      </c>
      <c r="I272" s="30">
        <v>3943</v>
      </c>
      <c r="J272" s="30">
        <v>3844</v>
      </c>
      <c r="K272" s="30">
        <v>3942</v>
      </c>
      <c r="L272" s="30">
        <v>3949</v>
      </c>
      <c r="N272" s="702" t="s">
        <v>3110</v>
      </c>
      <c r="O272" s="4"/>
      <c r="Q272" s="4"/>
    </row>
    <row r="273" spans="1:17">
      <c r="A273" s="702" t="s">
        <v>6997</v>
      </c>
      <c r="B273" s="702" t="s">
        <v>6668</v>
      </c>
      <c r="C273" s="4" t="s">
        <v>14039</v>
      </c>
      <c r="D273" s="705">
        <v>0</v>
      </c>
      <c r="E273" s="705">
        <v>0</v>
      </c>
      <c r="F273" s="705">
        <v>0</v>
      </c>
      <c r="G273" s="30">
        <v>0</v>
      </c>
      <c r="H273" s="30">
        <v>0</v>
      </c>
      <c r="I273" s="30">
        <v>5405</v>
      </c>
      <c r="J273" s="30">
        <v>5397</v>
      </c>
      <c r="K273" s="30">
        <v>5612</v>
      </c>
      <c r="L273" s="30">
        <v>5769</v>
      </c>
      <c r="N273" s="702" t="s">
        <v>3110</v>
      </c>
      <c r="O273" s="4"/>
      <c r="Q273" s="4"/>
    </row>
    <row r="274" spans="1:17">
      <c r="A274" s="702" t="s">
        <v>6999</v>
      </c>
      <c r="B274" s="702" t="s">
        <v>6669</v>
      </c>
      <c r="C274" s="4" t="s">
        <v>14040</v>
      </c>
      <c r="D274" s="705">
        <v>0</v>
      </c>
      <c r="E274" s="705">
        <v>0</v>
      </c>
      <c r="F274" s="705">
        <v>0</v>
      </c>
      <c r="G274" s="30">
        <v>0</v>
      </c>
      <c r="H274" s="30">
        <v>0</v>
      </c>
      <c r="I274" s="30">
        <v>1835</v>
      </c>
      <c r="J274" s="30">
        <v>1845</v>
      </c>
      <c r="K274" s="30">
        <v>1883</v>
      </c>
      <c r="L274" s="30">
        <v>1904</v>
      </c>
      <c r="N274" s="702" t="s">
        <v>3107</v>
      </c>
      <c r="O274" s="4"/>
      <c r="Q274" s="4"/>
    </row>
    <row r="275" spans="1:17">
      <c r="A275" s="702" t="s">
        <v>7001</v>
      </c>
      <c r="B275" s="702" t="s">
        <v>14000</v>
      </c>
      <c r="C275" s="4" t="s">
        <v>14041</v>
      </c>
      <c r="D275" s="705">
        <v>0</v>
      </c>
      <c r="E275" s="705">
        <v>0</v>
      </c>
      <c r="F275" s="705">
        <v>0</v>
      </c>
      <c r="G275" s="30">
        <v>0</v>
      </c>
      <c r="H275" s="30">
        <v>0</v>
      </c>
      <c r="I275" s="30">
        <v>2061</v>
      </c>
      <c r="J275" s="30">
        <v>2048</v>
      </c>
      <c r="K275" s="30">
        <v>2089</v>
      </c>
      <c r="L275" s="30">
        <v>2073</v>
      </c>
      <c r="N275" s="702" t="s">
        <v>3110</v>
      </c>
      <c r="O275" s="4"/>
      <c r="Q275" s="4"/>
    </row>
    <row r="276" spans="1:17">
      <c r="A276" s="702" t="s">
        <v>7003</v>
      </c>
      <c r="B276" s="702" t="s">
        <v>13999</v>
      </c>
      <c r="C276" s="4" t="s">
        <v>14042</v>
      </c>
      <c r="D276" s="705">
        <v>0</v>
      </c>
      <c r="E276" s="705">
        <v>0</v>
      </c>
      <c r="F276" s="705">
        <v>0</v>
      </c>
      <c r="G276" s="30">
        <v>0</v>
      </c>
      <c r="H276" s="30">
        <v>0</v>
      </c>
      <c r="I276" s="30">
        <v>1510</v>
      </c>
      <c r="J276" s="30">
        <v>1480</v>
      </c>
      <c r="K276" s="30">
        <v>1489</v>
      </c>
      <c r="L276" s="30">
        <v>1507</v>
      </c>
      <c r="N276" s="702" t="s">
        <v>3107</v>
      </c>
      <c r="O276" s="4"/>
      <c r="Q276" s="4"/>
    </row>
    <row r="277" spans="1:17" ht="15.75" thickBot="1">
      <c r="A277" s="702"/>
      <c r="B277" s="702"/>
      <c r="C277" s="4" t="s">
        <v>14042</v>
      </c>
      <c r="D277" s="708">
        <v>0</v>
      </c>
      <c r="E277" s="708">
        <v>0</v>
      </c>
      <c r="F277" s="708">
        <v>0</v>
      </c>
      <c r="G277" s="899">
        <v>0</v>
      </c>
      <c r="H277" s="899">
        <v>0</v>
      </c>
      <c r="I277" s="30">
        <v>741</v>
      </c>
      <c r="J277" s="30">
        <v>775</v>
      </c>
      <c r="K277" s="30">
        <v>789</v>
      </c>
      <c r="L277" s="30">
        <v>804</v>
      </c>
      <c r="N277" s="702" t="s">
        <v>3110</v>
      </c>
      <c r="O277" s="4"/>
      <c r="Q277" s="4"/>
    </row>
    <row r="278" spans="1:17" ht="15.75" thickBot="1">
      <c r="A278" s="702"/>
      <c r="B278" s="702"/>
      <c r="C278" s="4" t="s">
        <v>14042</v>
      </c>
      <c r="D278" s="908">
        <f>D276+D277</f>
        <v>0</v>
      </c>
      <c r="E278" s="908">
        <f t="shared" ref="E278:L278" si="149">E276+E277</f>
        <v>0</v>
      </c>
      <c r="F278" s="908">
        <f t="shared" si="149"/>
        <v>0</v>
      </c>
      <c r="G278" s="908">
        <f t="shared" si="149"/>
        <v>0</v>
      </c>
      <c r="H278" s="908">
        <f t="shared" si="149"/>
        <v>0</v>
      </c>
      <c r="I278" s="908">
        <f t="shared" si="149"/>
        <v>2251</v>
      </c>
      <c r="J278" s="908">
        <f t="shared" si="149"/>
        <v>2255</v>
      </c>
      <c r="K278" s="908">
        <f t="shared" si="149"/>
        <v>2278</v>
      </c>
      <c r="L278" s="908">
        <f t="shared" si="149"/>
        <v>2311</v>
      </c>
      <c r="N278" s="702"/>
      <c r="O278" s="4"/>
      <c r="Q278" s="4"/>
    </row>
    <row r="279" spans="1:17">
      <c r="A279" s="702" t="s">
        <v>7005</v>
      </c>
      <c r="B279" s="702" t="s">
        <v>13998</v>
      </c>
      <c r="C279" s="4" t="s">
        <v>14043</v>
      </c>
      <c r="D279" s="705">
        <v>0</v>
      </c>
      <c r="E279" s="705">
        <v>0</v>
      </c>
      <c r="F279" s="705">
        <v>0</v>
      </c>
      <c r="G279" s="31">
        <v>0</v>
      </c>
      <c r="H279" s="31">
        <v>0</v>
      </c>
      <c r="I279" s="30">
        <v>3005</v>
      </c>
      <c r="J279" s="30">
        <v>2973</v>
      </c>
      <c r="K279" s="30">
        <v>3011</v>
      </c>
      <c r="L279" s="30">
        <v>3038</v>
      </c>
      <c r="N279" s="702" t="s">
        <v>3110</v>
      </c>
      <c r="O279" s="4"/>
      <c r="Q279" s="4"/>
    </row>
    <row r="280" spans="1:17">
      <c r="A280" s="702" t="s">
        <v>7007</v>
      </c>
      <c r="B280" s="702" t="s">
        <v>13996</v>
      </c>
      <c r="C280" s="4" t="s">
        <v>14044</v>
      </c>
      <c r="D280" s="705">
        <v>0</v>
      </c>
      <c r="E280" s="705">
        <v>0</v>
      </c>
      <c r="F280" s="705">
        <v>0</v>
      </c>
      <c r="G280" s="31">
        <v>0</v>
      </c>
      <c r="H280" s="31">
        <v>0</v>
      </c>
      <c r="I280" s="30">
        <v>1862</v>
      </c>
      <c r="J280" s="30">
        <v>1871</v>
      </c>
      <c r="K280" s="30">
        <v>1880</v>
      </c>
      <c r="L280" s="30">
        <v>1888</v>
      </c>
      <c r="N280" s="702" t="s">
        <v>3110</v>
      </c>
      <c r="O280" s="4"/>
      <c r="Q280" s="4"/>
    </row>
    <row r="281" spans="1:17">
      <c r="A281" s="702" t="s">
        <v>7009</v>
      </c>
      <c r="B281" s="702" t="s">
        <v>13997</v>
      </c>
      <c r="C281" s="4" t="s">
        <v>14045</v>
      </c>
      <c r="D281" s="705">
        <v>0</v>
      </c>
      <c r="E281" s="705">
        <v>0</v>
      </c>
      <c r="F281" s="705">
        <v>0</v>
      </c>
      <c r="G281" s="30">
        <v>0</v>
      </c>
      <c r="H281" s="30">
        <v>0</v>
      </c>
      <c r="I281" s="30">
        <v>1849</v>
      </c>
      <c r="J281" s="30">
        <v>1859</v>
      </c>
      <c r="K281" s="30">
        <v>1907</v>
      </c>
      <c r="L281" s="30">
        <v>1888</v>
      </c>
      <c r="N281" s="702" t="s">
        <v>3110</v>
      </c>
      <c r="O281" s="4"/>
      <c r="Q281" s="4"/>
    </row>
    <row r="282" spans="1:17">
      <c r="A282" s="702" t="s">
        <v>7011</v>
      </c>
      <c r="B282" s="702" t="s">
        <v>6670</v>
      </c>
      <c r="C282" s="4" t="s">
        <v>14046</v>
      </c>
      <c r="D282" s="705">
        <v>0</v>
      </c>
      <c r="E282" s="705">
        <v>0</v>
      </c>
      <c r="F282" s="705">
        <v>0</v>
      </c>
      <c r="G282" s="30">
        <v>0</v>
      </c>
      <c r="H282" s="30">
        <v>0</v>
      </c>
      <c r="I282" s="30">
        <v>2010</v>
      </c>
      <c r="J282" s="30">
        <v>1996</v>
      </c>
      <c r="K282" s="30">
        <v>2027</v>
      </c>
      <c r="L282" s="30">
        <v>2010</v>
      </c>
      <c r="N282" s="702" t="s">
        <v>3110</v>
      </c>
      <c r="O282" s="4"/>
      <c r="Q282" s="4"/>
    </row>
    <row r="283" spans="1:17">
      <c r="A283" s="702" t="s">
        <v>7013</v>
      </c>
      <c r="B283" s="702" t="s">
        <v>13995</v>
      </c>
      <c r="C283" s="4" t="s">
        <v>14047</v>
      </c>
      <c r="D283" s="705">
        <v>0</v>
      </c>
      <c r="E283" s="705">
        <v>0</v>
      </c>
      <c r="F283" s="705">
        <v>0</v>
      </c>
      <c r="G283" s="30">
        <v>0</v>
      </c>
      <c r="H283" s="30">
        <v>0</v>
      </c>
      <c r="I283" s="31">
        <v>6517</v>
      </c>
      <c r="J283" s="31">
        <v>6509</v>
      </c>
      <c r="K283" s="31">
        <v>6527</v>
      </c>
      <c r="L283" s="31">
        <v>6565</v>
      </c>
      <c r="N283" s="702" t="s">
        <v>3110</v>
      </c>
      <c r="O283" s="4"/>
      <c r="Q283" s="4"/>
    </row>
    <row r="284" spans="1:17">
      <c r="A284" s="702" t="s">
        <v>7015</v>
      </c>
      <c r="B284" s="702" t="s">
        <v>6671</v>
      </c>
      <c r="C284" s="4" t="s">
        <v>14048</v>
      </c>
      <c r="D284" s="705">
        <v>0</v>
      </c>
      <c r="E284" s="705">
        <v>0</v>
      </c>
      <c r="F284" s="705">
        <v>0</v>
      </c>
      <c r="G284" s="30">
        <v>0</v>
      </c>
      <c r="H284" s="30">
        <v>0</v>
      </c>
      <c r="I284" s="31">
        <v>3685</v>
      </c>
      <c r="J284" s="31">
        <v>3712</v>
      </c>
      <c r="K284" s="31">
        <v>3780</v>
      </c>
      <c r="L284" s="31">
        <v>3797</v>
      </c>
      <c r="N284" s="702" t="s">
        <v>3110</v>
      </c>
      <c r="O284" s="4"/>
      <c r="Q284" s="4"/>
    </row>
    <row r="285" spans="1:17">
      <c r="A285" s="702" t="s">
        <v>7017</v>
      </c>
      <c r="B285" s="702" t="s">
        <v>3249</v>
      </c>
      <c r="C285" s="4" t="s">
        <v>14049</v>
      </c>
      <c r="D285" s="705">
        <v>0</v>
      </c>
      <c r="E285" s="705">
        <v>0</v>
      </c>
      <c r="F285" s="705">
        <v>0</v>
      </c>
      <c r="G285" s="31">
        <v>0</v>
      </c>
      <c r="H285" s="31">
        <v>0</v>
      </c>
      <c r="I285" s="31">
        <v>5619</v>
      </c>
      <c r="J285" s="31">
        <v>5704</v>
      </c>
      <c r="K285" s="31">
        <v>5960</v>
      </c>
      <c r="L285" s="31">
        <v>6211</v>
      </c>
      <c r="N285" s="702" t="s">
        <v>3110</v>
      </c>
      <c r="O285" s="4"/>
      <c r="Q285" s="4"/>
    </row>
    <row r="286" spans="1:17">
      <c r="A286" s="702" t="s">
        <v>7019</v>
      </c>
      <c r="B286" s="702" t="s">
        <v>3250</v>
      </c>
      <c r="C286" s="4" t="s">
        <v>14050</v>
      </c>
      <c r="D286" s="705">
        <v>0</v>
      </c>
      <c r="E286" s="705">
        <v>0</v>
      </c>
      <c r="F286" s="705">
        <v>0</v>
      </c>
      <c r="G286" s="31">
        <v>0</v>
      </c>
      <c r="H286" s="31">
        <v>0</v>
      </c>
      <c r="I286" s="31">
        <v>3824</v>
      </c>
      <c r="J286" s="31">
        <v>3862</v>
      </c>
      <c r="K286" s="31">
        <v>4017</v>
      </c>
      <c r="L286" s="31">
        <v>4004</v>
      </c>
      <c r="N286" s="702" t="s">
        <v>3110</v>
      </c>
      <c r="O286" s="4"/>
      <c r="Q286" s="4"/>
    </row>
    <row r="287" spans="1:17">
      <c r="A287" s="702" t="s">
        <v>7021</v>
      </c>
      <c r="B287" s="702" t="s">
        <v>4936</v>
      </c>
      <c r="C287" s="4" t="s">
        <v>14051</v>
      </c>
      <c r="D287" s="705">
        <v>0</v>
      </c>
      <c r="E287" s="705">
        <v>0</v>
      </c>
      <c r="F287" s="705">
        <v>0</v>
      </c>
      <c r="G287" s="31">
        <v>0</v>
      </c>
      <c r="H287" s="31">
        <v>0</v>
      </c>
      <c r="I287" s="31">
        <v>3489</v>
      </c>
      <c r="J287" s="31">
        <v>3400</v>
      </c>
      <c r="K287" s="31">
        <v>3444</v>
      </c>
      <c r="L287" s="31">
        <v>3450</v>
      </c>
      <c r="N287" s="702" t="s">
        <v>3110</v>
      </c>
      <c r="O287" s="4"/>
      <c r="Q287" s="4"/>
    </row>
    <row r="288" spans="1:17">
      <c r="A288" s="702" t="s">
        <v>7023</v>
      </c>
      <c r="B288" s="702" t="s">
        <v>13994</v>
      </c>
      <c r="C288" s="4" t="s">
        <v>14052</v>
      </c>
      <c r="D288" s="705">
        <v>0</v>
      </c>
      <c r="E288" s="705">
        <v>0</v>
      </c>
      <c r="F288" s="705">
        <v>0</v>
      </c>
      <c r="G288" s="30">
        <v>0</v>
      </c>
      <c r="H288" s="30">
        <v>0</v>
      </c>
      <c r="I288" s="31">
        <v>2202</v>
      </c>
      <c r="J288" s="31">
        <v>2186</v>
      </c>
      <c r="K288" s="31">
        <v>2269</v>
      </c>
      <c r="L288" s="31">
        <v>2328</v>
      </c>
      <c r="N288" s="702" t="s">
        <v>3110</v>
      </c>
      <c r="O288" s="4"/>
      <c r="Q288" s="4"/>
    </row>
    <row r="289" spans="1:17">
      <c r="A289" s="702" t="s">
        <v>7025</v>
      </c>
      <c r="B289" s="702" t="s">
        <v>13993</v>
      </c>
      <c r="C289" s="4" t="s">
        <v>14053</v>
      </c>
      <c r="D289" s="705">
        <v>0</v>
      </c>
      <c r="E289" s="705">
        <v>0</v>
      </c>
      <c r="F289" s="705">
        <v>0</v>
      </c>
      <c r="G289" s="31">
        <v>0</v>
      </c>
      <c r="H289" s="31">
        <v>0</v>
      </c>
      <c r="I289" s="31">
        <v>6497</v>
      </c>
      <c r="J289" s="31">
        <v>6464</v>
      </c>
      <c r="K289" s="31">
        <v>6488</v>
      </c>
      <c r="L289" s="31">
        <v>6437</v>
      </c>
      <c r="N289" s="702" t="s">
        <v>3110</v>
      </c>
      <c r="O289" s="4"/>
      <c r="Q289" s="4"/>
    </row>
    <row r="290" spans="1:17">
      <c r="A290" s="702" t="s">
        <v>7570</v>
      </c>
      <c r="B290" s="702" t="s">
        <v>4937</v>
      </c>
      <c r="C290" s="4" t="s">
        <v>14054</v>
      </c>
      <c r="D290" s="705">
        <v>0</v>
      </c>
      <c r="E290" s="705">
        <v>0</v>
      </c>
      <c r="F290" s="705">
        <v>0</v>
      </c>
      <c r="G290" s="31">
        <v>0</v>
      </c>
      <c r="H290" s="31">
        <v>0</v>
      </c>
      <c r="I290" s="31">
        <v>5567</v>
      </c>
      <c r="J290" s="31">
        <v>5540</v>
      </c>
      <c r="K290" s="31">
        <v>5740</v>
      </c>
      <c r="L290" s="31">
        <v>5777</v>
      </c>
      <c r="N290" s="702" t="s">
        <v>3110</v>
      </c>
      <c r="O290" s="4"/>
      <c r="Q290" s="4"/>
    </row>
    <row r="291" spans="1:17">
      <c r="A291" s="702" t="s">
        <v>7572</v>
      </c>
      <c r="B291" s="702" t="s">
        <v>13992</v>
      </c>
      <c r="C291" s="4" t="s">
        <v>14055</v>
      </c>
      <c r="D291" s="705">
        <v>0</v>
      </c>
      <c r="E291" s="705">
        <v>0</v>
      </c>
      <c r="F291" s="705">
        <v>0</v>
      </c>
      <c r="G291" s="31">
        <v>0</v>
      </c>
      <c r="H291" s="31">
        <v>0</v>
      </c>
      <c r="I291" s="31">
        <v>1290</v>
      </c>
      <c r="J291" s="31">
        <v>1474</v>
      </c>
      <c r="K291" s="31">
        <v>1244</v>
      </c>
      <c r="L291" s="31">
        <v>1322</v>
      </c>
      <c r="N291" s="702" t="s">
        <v>3110</v>
      </c>
      <c r="O291" s="4"/>
      <c r="Q291" s="4"/>
    </row>
    <row r="292" spans="1:17">
      <c r="A292" s="702" t="s">
        <v>7573</v>
      </c>
      <c r="B292" s="702" t="s">
        <v>4938</v>
      </c>
      <c r="C292" s="4" t="s">
        <v>14056</v>
      </c>
      <c r="D292" s="705">
        <v>0</v>
      </c>
      <c r="E292" s="705">
        <v>0</v>
      </c>
      <c r="F292" s="705">
        <v>0</v>
      </c>
      <c r="G292" s="30">
        <v>0</v>
      </c>
      <c r="H292" s="30">
        <v>0</v>
      </c>
      <c r="I292" s="30">
        <v>1691</v>
      </c>
      <c r="J292" s="30">
        <v>1663</v>
      </c>
      <c r="K292" s="30">
        <v>1703</v>
      </c>
      <c r="L292" s="30">
        <v>1728</v>
      </c>
      <c r="N292" s="702" t="s">
        <v>3107</v>
      </c>
      <c r="O292" s="4"/>
      <c r="Q292" s="4"/>
    </row>
    <row r="293" spans="1:17" ht="15.75" thickBot="1">
      <c r="A293" s="702"/>
      <c r="B293" s="702"/>
      <c r="C293" s="4" t="s">
        <v>14056</v>
      </c>
      <c r="D293" s="708">
        <v>0</v>
      </c>
      <c r="E293" s="708">
        <v>0</v>
      </c>
      <c r="F293" s="708">
        <v>0</v>
      </c>
      <c r="G293" s="899">
        <v>0</v>
      </c>
      <c r="H293" s="899">
        <v>0</v>
      </c>
      <c r="I293" s="31">
        <v>352</v>
      </c>
      <c r="J293" s="31">
        <v>356</v>
      </c>
      <c r="K293" s="31">
        <v>356</v>
      </c>
      <c r="L293" s="31">
        <v>355</v>
      </c>
      <c r="N293" s="702" t="s">
        <v>3110</v>
      </c>
      <c r="O293" s="4"/>
      <c r="Q293" s="4"/>
    </row>
    <row r="294" spans="1:17" ht="15.75" thickBot="1">
      <c r="A294" s="702"/>
      <c r="B294" s="702"/>
      <c r="C294" s="4" t="s">
        <v>14056</v>
      </c>
      <c r="D294" s="908">
        <f>D292+D293</f>
        <v>0</v>
      </c>
      <c r="E294" s="908">
        <f t="shared" ref="E294" si="150">E292+E293</f>
        <v>0</v>
      </c>
      <c r="F294" s="908">
        <f t="shared" ref="F294" si="151">F292+F293</f>
        <v>0</v>
      </c>
      <c r="G294" s="908">
        <f t="shared" ref="G294" si="152">G292+G293</f>
        <v>0</v>
      </c>
      <c r="H294" s="908">
        <f t="shared" ref="H294" si="153">H292+H293</f>
        <v>0</v>
      </c>
      <c r="I294" s="908">
        <f t="shared" ref="I294:L294" si="154">I292+I293</f>
        <v>2043</v>
      </c>
      <c r="J294" s="908">
        <f t="shared" si="154"/>
        <v>2019</v>
      </c>
      <c r="K294" s="908">
        <f t="shared" si="154"/>
        <v>2059</v>
      </c>
      <c r="L294" s="908">
        <f t="shared" si="154"/>
        <v>2083</v>
      </c>
      <c r="N294" s="702"/>
      <c r="O294" s="4"/>
      <c r="Q294" s="4"/>
    </row>
    <row r="295" spans="1:17">
      <c r="A295" s="702" t="s">
        <v>5798</v>
      </c>
      <c r="B295" s="702" t="s">
        <v>5335</v>
      </c>
      <c r="C295" s="4" t="s">
        <v>14057</v>
      </c>
      <c r="D295" s="705">
        <v>0</v>
      </c>
      <c r="E295" s="705">
        <v>0</v>
      </c>
      <c r="F295" s="705">
        <v>0</v>
      </c>
      <c r="G295" s="31">
        <v>0</v>
      </c>
      <c r="H295" s="31">
        <v>0</v>
      </c>
      <c r="I295" s="31">
        <v>1960</v>
      </c>
      <c r="J295" s="31">
        <v>1963</v>
      </c>
      <c r="K295" s="31">
        <v>2021</v>
      </c>
      <c r="L295" s="31">
        <v>2009</v>
      </c>
      <c r="N295" s="702" t="s">
        <v>3110</v>
      </c>
      <c r="O295" s="4"/>
      <c r="Q295" s="4"/>
    </row>
    <row r="296" spans="1:17">
      <c r="A296" s="702" t="s">
        <v>5799</v>
      </c>
      <c r="B296" s="702" t="s">
        <v>4939</v>
      </c>
      <c r="C296" s="4" t="s">
        <v>14058</v>
      </c>
      <c r="D296" s="705">
        <v>0</v>
      </c>
      <c r="E296" s="705">
        <v>0</v>
      </c>
      <c r="F296" s="705">
        <v>0</v>
      </c>
      <c r="G296" s="31">
        <v>0</v>
      </c>
      <c r="H296" s="31">
        <v>0</v>
      </c>
      <c r="I296" s="31">
        <v>3977</v>
      </c>
      <c r="J296" s="31">
        <v>3938</v>
      </c>
      <c r="K296" s="31">
        <v>4022</v>
      </c>
      <c r="L296" s="31">
        <v>4054</v>
      </c>
      <c r="N296" s="702" t="s">
        <v>3110</v>
      </c>
      <c r="O296" s="4"/>
      <c r="Q296" s="4"/>
    </row>
    <row r="297" spans="1:17" ht="15" customHeight="1">
      <c r="D297" s="707"/>
      <c r="E297" s="707"/>
      <c r="F297" s="707"/>
      <c r="G297" s="707"/>
      <c r="H297" s="707"/>
      <c r="I297" s="707"/>
      <c r="J297" s="707"/>
      <c r="K297" s="707"/>
      <c r="L297" s="707"/>
    </row>
    <row r="298" spans="1:17">
      <c r="A298" s="703" t="s">
        <v>6617</v>
      </c>
      <c r="D298" s="707">
        <f t="shared" ref="D298:H298" si="155">D269+D270+D274+D276+D292</f>
        <v>11757</v>
      </c>
      <c r="E298" s="707">
        <f t="shared" si="155"/>
        <v>11978</v>
      </c>
      <c r="F298" s="707">
        <f t="shared" si="155"/>
        <v>12135</v>
      </c>
      <c r="G298" s="707">
        <f t="shared" si="155"/>
        <v>12357</v>
      </c>
      <c r="H298" s="707">
        <f t="shared" si="155"/>
        <v>12443</v>
      </c>
      <c r="I298" s="707">
        <f>I269+I270+I274+I276+I292</f>
        <v>12392</v>
      </c>
      <c r="J298" s="707">
        <f>J269+J270+J274+J276+J292</f>
        <v>12352</v>
      </c>
      <c r="K298" s="707">
        <f>K269+K270+K274+K276+K292</f>
        <v>12510</v>
      </c>
      <c r="L298" s="707">
        <f>L269+L270+L274+L276+L292</f>
        <v>12572</v>
      </c>
    </row>
    <row r="299" spans="1:17" ht="15" customHeight="1">
      <c r="A299" s="702" t="s">
        <v>3110</v>
      </c>
      <c r="D299" s="705">
        <f t="shared" ref="D299:H299" si="156">D268+SUM(D271:D273)+D275+D277+SUM(D279:D291)+D293+D295+D296</f>
        <v>72774</v>
      </c>
      <c r="E299" s="705">
        <f t="shared" si="156"/>
        <v>73430</v>
      </c>
      <c r="F299" s="705">
        <f t="shared" si="156"/>
        <v>73785</v>
      </c>
      <c r="G299" s="705">
        <f t="shared" si="156"/>
        <v>74324</v>
      </c>
      <c r="H299" s="705">
        <f t="shared" si="156"/>
        <v>74197</v>
      </c>
      <c r="I299" s="705">
        <f>I268+SUM(I271:I273)+I275+I277+SUM(I279:I291)+I293+I295+I296</f>
        <v>71910</v>
      </c>
      <c r="J299" s="705">
        <f>J268+SUM(J271:J273)+J275+J277+SUM(J279:J291)+J293+J295+J296</f>
        <v>71897</v>
      </c>
      <c r="K299" s="705">
        <f>K268+SUM(K271:K273)+K275+K277+SUM(K279:K291)+K293+K295+K296</f>
        <v>73282</v>
      </c>
      <c r="L299" s="705">
        <f>L268+SUM(L271:L273)+L275+L277+SUM(L279:L291)+L293+L295+L296</f>
        <v>73951</v>
      </c>
      <c r="M299" s="705"/>
    </row>
    <row r="301" spans="1:17" ht="15" customHeight="1">
      <c r="A301" s="703" t="s">
        <v>14059</v>
      </c>
    </row>
  </sheetData>
  <sortState ref="O186:Q221">
    <sortCondition ref="O186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&amp;C&amp;"Times New Roman,Regular"&amp;8&amp;P of &amp;N</oddFooter>
  </headerFooter>
  <rowBreaks count="7" manualBreakCount="7">
    <brk id="47" max="16383" man="1"/>
    <brk id="80" max="16383" man="1"/>
    <brk id="115" max="16383" man="1"/>
    <brk id="147" max="16383" man="1"/>
    <brk id="182" max="16383" man="1"/>
    <brk id="227" max="16383" man="1"/>
    <brk id="264" max="16383" man="1"/>
  </rowBreaks>
  <ignoredErrors>
    <ignoredError sqref="D110:D111 D83:K83 D3:D12 E110:E111 E3:E12 F110:F111 F3:F12 D223:K223 D185:K185 G110:G111 G3:G12 D13:D43 E13:E43 F13:F43 G13:G43 H110:H111 H3:H12 H13:H43 D153:K153 D169:K169 D173:H173 D150:K150 D177:H178 I173:I178 D278:K278 D294:K294 D267:K267 D299:H299 I298:I299 I110:I111 D242:K242 D230:K230 D251:J251 D255:I255 F261 D260:H260 D259:H259 I259:I260 I3:I43 D50:K50 D75:I75 D133:K133 D142:I143 D118:K118 J75 J110:J111 J299 J142:J143 J173:J178 J255:J260 J3:J43 K110:K111 K142:K143 K298:K299 K75 K173 K177:K178 K251:K255 K259:K260 K3:K43 L3:L299" unlockedFormula="1"/>
    <ignoredError sqref="D76:K76" formulaRange="1" unlocked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11"/>
  <sheetViews>
    <sheetView showGridLines="0" zoomScaleNormal="100" workbookViewId="0"/>
  </sheetViews>
  <sheetFormatPr defaultColWidth="12.5703125" defaultRowHeight="15"/>
  <cols>
    <col min="1" max="1" width="4.85546875" style="125" customWidth="1"/>
    <col min="2" max="2" width="40.7109375" style="125" customWidth="1"/>
    <col min="3" max="3" width="11.5703125" style="125" customWidth="1"/>
    <col min="4" max="12" width="10" style="125" customWidth="1"/>
    <col min="13" max="13" width="2.28515625" style="125" customWidth="1"/>
    <col min="14" max="14" width="30.85546875" style="125" customWidth="1"/>
    <col min="15" max="16384" width="12.5703125" style="125"/>
  </cols>
  <sheetData>
    <row r="1" spans="1:14">
      <c r="A1" s="124" t="s">
        <v>8847</v>
      </c>
      <c r="D1" s="126">
        <v>2010</v>
      </c>
      <c r="E1" s="126">
        <v>2011</v>
      </c>
      <c r="F1" s="126">
        <v>2012</v>
      </c>
      <c r="G1" s="126">
        <v>2013</v>
      </c>
      <c r="H1" s="126">
        <v>2014</v>
      </c>
      <c r="I1" s="126">
        <v>2015</v>
      </c>
      <c r="J1" s="126">
        <v>2016</v>
      </c>
      <c r="K1" s="126">
        <v>2017</v>
      </c>
      <c r="L1" s="126">
        <v>2018</v>
      </c>
    </row>
    <row r="3" spans="1:14">
      <c r="A3" s="124" t="s">
        <v>6861</v>
      </c>
      <c r="D3" s="127">
        <f t="shared" ref="D3:I3" si="0">SUM(D5:D9)</f>
        <v>472328</v>
      </c>
      <c r="E3" s="127">
        <f t="shared" si="0"/>
        <v>475364</v>
      </c>
      <c r="F3" s="127">
        <f t="shared" si="0"/>
        <v>480083</v>
      </c>
      <c r="G3" s="127">
        <f t="shared" si="0"/>
        <v>481059</v>
      </c>
      <c r="H3" s="127">
        <f t="shared" si="0"/>
        <v>481250</v>
      </c>
      <c r="I3" s="127">
        <f t="shared" si="0"/>
        <v>471416</v>
      </c>
      <c r="J3" s="127">
        <f t="shared" ref="J3:K3" si="1">SUM(J5:J9)</f>
        <v>461334</v>
      </c>
      <c r="K3" s="127">
        <f t="shared" si="1"/>
        <v>476218</v>
      </c>
      <c r="L3" s="127">
        <f t="shared" ref="L3" si="2">SUM(L5:L9)</f>
        <v>471537</v>
      </c>
    </row>
    <row r="4" spans="1:14">
      <c r="D4" s="128"/>
      <c r="E4" s="128"/>
      <c r="F4" s="128"/>
      <c r="G4" s="128"/>
      <c r="H4" s="128"/>
      <c r="I4" s="128"/>
      <c r="J4" s="128"/>
      <c r="K4" s="128"/>
      <c r="L4" s="128"/>
    </row>
    <row r="5" spans="1:14">
      <c r="A5" s="124" t="s">
        <v>4940</v>
      </c>
      <c r="C5" s="124"/>
      <c r="D5" s="127">
        <f t="shared" ref="D5:I5" si="3">D41</f>
        <v>102067</v>
      </c>
      <c r="E5" s="127">
        <f t="shared" si="3"/>
        <v>101966</v>
      </c>
      <c r="F5" s="127">
        <f t="shared" si="3"/>
        <v>103835</v>
      </c>
      <c r="G5" s="127">
        <f t="shared" si="3"/>
        <v>105087</v>
      </c>
      <c r="H5" s="127">
        <f t="shared" si="3"/>
        <v>104811</v>
      </c>
      <c r="I5" s="127">
        <f t="shared" si="3"/>
        <v>102971</v>
      </c>
      <c r="J5" s="127">
        <f t="shared" ref="J5:K5" si="4">J41</f>
        <v>103843</v>
      </c>
      <c r="K5" s="127">
        <f t="shared" si="4"/>
        <v>108410</v>
      </c>
      <c r="L5" s="127">
        <f t="shared" ref="L5" si="5">L41</f>
        <v>103953</v>
      </c>
      <c r="N5" s="129"/>
    </row>
    <row r="6" spans="1:14">
      <c r="A6" s="124" t="s">
        <v>4941</v>
      </c>
      <c r="C6" s="124"/>
      <c r="D6" s="127">
        <f t="shared" ref="D6:I6" si="6">D73</f>
        <v>101565</v>
      </c>
      <c r="E6" s="127">
        <f t="shared" si="6"/>
        <v>103108</v>
      </c>
      <c r="F6" s="127">
        <f t="shared" si="6"/>
        <v>103309</v>
      </c>
      <c r="G6" s="127">
        <f t="shared" si="6"/>
        <v>102153</v>
      </c>
      <c r="H6" s="127">
        <f t="shared" si="6"/>
        <v>101952</v>
      </c>
      <c r="I6" s="127">
        <f t="shared" si="6"/>
        <v>91551</v>
      </c>
      <c r="J6" s="127">
        <f t="shared" ref="J6:K6" si="7">J73</f>
        <v>88712</v>
      </c>
      <c r="K6" s="127">
        <f t="shared" si="7"/>
        <v>92121</v>
      </c>
      <c r="L6" s="127">
        <f t="shared" ref="L6" si="8">L73</f>
        <v>91367</v>
      </c>
      <c r="N6" s="129"/>
    </row>
    <row r="7" spans="1:14">
      <c r="A7" s="124" t="s">
        <v>4942</v>
      </c>
      <c r="C7" s="124"/>
      <c r="D7" s="127">
        <f t="shared" ref="D7:I7" si="9">D107</f>
        <v>99930</v>
      </c>
      <c r="E7" s="127">
        <f t="shared" si="9"/>
        <v>100482</v>
      </c>
      <c r="F7" s="127">
        <f t="shared" si="9"/>
        <v>100930</v>
      </c>
      <c r="G7" s="127">
        <f t="shared" si="9"/>
        <v>101709</v>
      </c>
      <c r="H7" s="127">
        <f t="shared" si="9"/>
        <v>102398</v>
      </c>
      <c r="I7" s="127">
        <f t="shared" si="9"/>
        <v>104680</v>
      </c>
      <c r="J7" s="127">
        <f t="shared" ref="J7:K7" si="10">J107</f>
        <v>99880</v>
      </c>
      <c r="K7" s="127">
        <f t="shared" si="10"/>
        <v>102113</v>
      </c>
      <c r="L7" s="127">
        <f t="shared" ref="L7" si="11">L107</f>
        <v>101906</v>
      </c>
      <c r="N7" s="129"/>
    </row>
    <row r="8" spans="1:14">
      <c r="A8" s="124" t="s">
        <v>4943</v>
      </c>
      <c r="C8" s="124"/>
      <c r="D8" s="127">
        <f t="shared" ref="D8:I8" si="12">D141</f>
        <v>90625</v>
      </c>
      <c r="E8" s="127">
        <f t="shared" si="12"/>
        <v>91588</v>
      </c>
      <c r="F8" s="127">
        <f t="shared" si="12"/>
        <v>92688</v>
      </c>
      <c r="G8" s="127">
        <f t="shared" si="12"/>
        <v>92457</v>
      </c>
      <c r="H8" s="127">
        <f t="shared" si="12"/>
        <v>93022</v>
      </c>
      <c r="I8" s="127">
        <f t="shared" si="12"/>
        <v>95117</v>
      </c>
      <c r="J8" s="127">
        <f t="shared" ref="J8:K8" si="13">J141</f>
        <v>90444</v>
      </c>
      <c r="K8" s="127">
        <f t="shared" si="13"/>
        <v>92706</v>
      </c>
      <c r="L8" s="127">
        <f t="shared" ref="L8" si="14">L141</f>
        <v>93405</v>
      </c>
      <c r="N8" s="129"/>
    </row>
    <row r="9" spans="1:14">
      <c r="A9" s="124" t="s">
        <v>4928</v>
      </c>
      <c r="C9" s="124"/>
      <c r="D9" s="127">
        <f t="shared" ref="D9:I9" si="15">D179</f>
        <v>78141</v>
      </c>
      <c r="E9" s="127">
        <f t="shared" si="15"/>
        <v>78220</v>
      </c>
      <c r="F9" s="127">
        <f t="shared" si="15"/>
        <v>79321</v>
      </c>
      <c r="G9" s="127">
        <f t="shared" si="15"/>
        <v>79653</v>
      </c>
      <c r="H9" s="127">
        <f t="shared" si="15"/>
        <v>79067</v>
      </c>
      <c r="I9" s="127">
        <f t="shared" si="15"/>
        <v>77097</v>
      </c>
      <c r="J9" s="127">
        <f t="shared" ref="J9:K9" si="16">J179</f>
        <v>78455</v>
      </c>
      <c r="K9" s="127">
        <f t="shared" si="16"/>
        <v>80868</v>
      </c>
      <c r="L9" s="127">
        <f t="shared" ref="L9" si="17">L179</f>
        <v>80906</v>
      </c>
      <c r="N9" s="129"/>
    </row>
    <row r="11" spans="1:14">
      <c r="A11" s="124" t="s">
        <v>1173</v>
      </c>
      <c r="D11" s="127">
        <f t="shared" ref="D11:I11" si="18">D3/6</f>
        <v>78721.333333333328</v>
      </c>
      <c r="E11" s="127">
        <f t="shared" si="18"/>
        <v>79227.333333333328</v>
      </c>
      <c r="F11" s="127">
        <f t="shared" si="18"/>
        <v>80013.833333333328</v>
      </c>
      <c r="G11" s="127">
        <f t="shared" si="18"/>
        <v>80176.5</v>
      </c>
      <c r="H11" s="127">
        <f t="shared" si="18"/>
        <v>80208.333333333328</v>
      </c>
      <c r="I11" s="127">
        <f t="shared" si="18"/>
        <v>78569.333333333328</v>
      </c>
      <c r="J11" s="127">
        <f t="shared" ref="J11:K11" si="19">J3/6</f>
        <v>76889</v>
      </c>
      <c r="K11" s="127">
        <f t="shared" si="19"/>
        <v>79369.666666666672</v>
      </c>
      <c r="L11" s="127">
        <f t="shared" ref="L11" si="20">L3/6</f>
        <v>78589.5</v>
      </c>
    </row>
    <row r="12" spans="1:14">
      <c r="D12" s="128"/>
      <c r="E12" s="128"/>
      <c r="F12" s="128"/>
      <c r="G12" s="128"/>
      <c r="H12" s="128"/>
      <c r="I12" s="128"/>
      <c r="J12" s="128"/>
      <c r="K12" s="128"/>
      <c r="L12" s="128"/>
    </row>
    <row r="13" spans="1:14">
      <c r="A13" s="124" t="s">
        <v>4929</v>
      </c>
      <c r="D13" s="127">
        <f t="shared" ref="D13:I13" si="21">D63</f>
        <v>83933</v>
      </c>
      <c r="E13" s="127">
        <f t="shared" si="21"/>
        <v>84063</v>
      </c>
      <c r="F13" s="127">
        <f t="shared" si="21"/>
        <v>85313</v>
      </c>
      <c r="G13" s="127">
        <f t="shared" si="21"/>
        <v>86261</v>
      </c>
      <c r="H13" s="127">
        <f t="shared" si="21"/>
        <v>86032</v>
      </c>
      <c r="I13" s="127">
        <f t="shared" si="21"/>
        <v>84437</v>
      </c>
      <c r="J13" s="127">
        <f t="shared" ref="J13:K13" si="22">J63</f>
        <v>85398</v>
      </c>
      <c r="K13" s="127">
        <f t="shared" si="22"/>
        <v>89363</v>
      </c>
      <c r="L13" s="127">
        <f t="shared" ref="L13" si="23">L63</f>
        <v>85795</v>
      </c>
      <c r="N13" s="124" t="s">
        <v>4934</v>
      </c>
    </row>
    <row r="14" spans="1:14">
      <c r="D14" s="128"/>
      <c r="E14" s="128"/>
      <c r="F14" s="128"/>
      <c r="G14" s="128"/>
      <c r="H14" s="128"/>
      <c r="I14" s="128"/>
      <c r="J14" s="128"/>
      <c r="K14" s="128"/>
      <c r="L14" s="128"/>
    </row>
    <row r="15" spans="1:14">
      <c r="A15" s="124" t="s">
        <v>4935</v>
      </c>
      <c r="D15" s="128">
        <f t="shared" ref="D15:I15" si="24">D64</f>
        <v>4198</v>
      </c>
      <c r="E15" s="128">
        <f t="shared" si="24"/>
        <v>4181</v>
      </c>
      <c r="F15" s="128">
        <f t="shared" si="24"/>
        <v>4358</v>
      </c>
      <c r="G15" s="128">
        <f t="shared" si="24"/>
        <v>4336</v>
      </c>
      <c r="H15" s="128">
        <f t="shared" si="24"/>
        <v>4341</v>
      </c>
      <c r="I15" s="128">
        <f t="shared" si="24"/>
        <v>4324</v>
      </c>
      <c r="J15" s="128">
        <f t="shared" ref="J15:K15" si="25">J64</f>
        <v>4313</v>
      </c>
      <c r="K15" s="128">
        <f t="shared" si="25"/>
        <v>4463</v>
      </c>
      <c r="L15" s="128">
        <f t="shared" ref="L15" si="26">L64</f>
        <v>4287</v>
      </c>
      <c r="N15" s="124" t="s">
        <v>4934</v>
      </c>
    </row>
    <row r="16" spans="1:14" ht="15.75" thickBot="1">
      <c r="A16" s="124"/>
      <c r="D16" s="130">
        <f t="shared" ref="D16:I16" si="27">D133</f>
        <v>69340</v>
      </c>
      <c r="E16" s="130">
        <f t="shared" si="27"/>
        <v>69670</v>
      </c>
      <c r="F16" s="130">
        <f t="shared" si="27"/>
        <v>69901</v>
      </c>
      <c r="G16" s="130">
        <f t="shared" si="27"/>
        <v>70292</v>
      </c>
      <c r="H16" s="130">
        <f t="shared" si="27"/>
        <v>70642</v>
      </c>
      <c r="I16" s="130">
        <f t="shared" si="27"/>
        <v>72052</v>
      </c>
      <c r="J16" s="130">
        <f t="shared" ref="J16:K16" si="28">J133</f>
        <v>68369</v>
      </c>
      <c r="K16" s="130">
        <f t="shared" si="28"/>
        <v>69543</v>
      </c>
      <c r="L16" s="130">
        <f t="shared" ref="L16" si="29">L133</f>
        <v>69222</v>
      </c>
      <c r="N16" s="124" t="s">
        <v>8374</v>
      </c>
    </row>
    <row r="17" spans="1:14" ht="15.75" thickBot="1">
      <c r="A17" s="124"/>
      <c r="D17" s="130">
        <f t="shared" ref="D17:I17" si="30">D15+D16</f>
        <v>73538</v>
      </c>
      <c r="E17" s="130">
        <f t="shared" si="30"/>
        <v>73851</v>
      </c>
      <c r="F17" s="130">
        <f t="shared" si="30"/>
        <v>74259</v>
      </c>
      <c r="G17" s="130">
        <f t="shared" si="30"/>
        <v>74628</v>
      </c>
      <c r="H17" s="130">
        <f t="shared" si="30"/>
        <v>74983</v>
      </c>
      <c r="I17" s="130">
        <f t="shared" si="30"/>
        <v>76376</v>
      </c>
      <c r="J17" s="130">
        <f t="shared" ref="J17:K17" si="31">J15+J16</f>
        <v>72682</v>
      </c>
      <c r="K17" s="130">
        <f t="shared" si="31"/>
        <v>74006</v>
      </c>
      <c r="L17" s="130">
        <f t="shared" ref="L17" si="32">L15+L16</f>
        <v>73509</v>
      </c>
      <c r="N17" s="124"/>
    </row>
    <row r="18" spans="1:14">
      <c r="D18" s="128"/>
      <c r="E18" s="128"/>
      <c r="F18" s="128"/>
      <c r="G18" s="128"/>
      <c r="H18" s="128"/>
      <c r="I18" s="128"/>
      <c r="J18" s="128"/>
      <c r="K18" s="128"/>
      <c r="L18" s="128"/>
    </row>
    <row r="19" spans="1:14">
      <c r="A19" s="124" t="s">
        <v>8375</v>
      </c>
      <c r="D19" s="127">
        <f t="shared" ref="D19:I19" si="33">D99</f>
        <v>80113</v>
      </c>
      <c r="E19" s="127">
        <f t="shared" si="33"/>
        <v>81644</v>
      </c>
      <c r="F19" s="127">
        <f t="shared" si="33"/>
        <v>81848</v>
      </c>
      <c r="G19" s="127">
        <f t="shared" si="33"/>
        <v>80909</v>
      </c>
      <c r="H19" s="127">
        <f t="shared" si="33"/>
        <v>80818</v>
      </c>
      <c r="I19" s="127">
        <f t="shared" si="33"/>
        <v>72738</v>
      </c>
      <c r="J19" s="127">
        <f t="shared" ref="J19:K19" si="34">J99</f>
        <v>70293</v>
      </c>
      <c r="K19" s="127">
        <f t="shared" si="34"/>
        <v>73139</v>
      </c>
      <c r="L19" s="127">
        <f t="shared" ref="L19" si="35">L99</f>
        <v>72492</v>
      </c>
      <c r="N19" s="124" t="s">
        <v>8548</v>
      </c>
    </row>
    <row r="20" spans="1:14">
      <c r="D20" s="128"/>
      <c r="E20" s="128"/>
      <c r="F20" s="128"/>
      <c r="G20" s="128"/>
      <c r="H20" s="128"/>
      <c r="I20" s="128"/>
      <c r="J20" s="128"/>
      <c r="K20" s="128"/>
      <c r="L20" s="128"/>
    </row>
    <row r="21" spans="1:14">
      <c r="A21" s="124" t="s">
        <v>8549</v>
      </c>
      <c r="D21" s="127">
        <f t="shared" ref="D21:I21" si="36">D65</f>
        <v>13936</v>
      </c>
      <c r="E21" s="127">
        <f t="shared" si="36"/>
        <v>13722</v>
      </c>
      <c r="F21" s="127">
        <f t="shared" si="36"/>
        <v>14164</v>
      </c>
      <c r="G21" s="127">
        <f t="shared" si="36"/>
        <v>14490</v>
      </c>
      <c r="H21" s="127">
        <f t="shared" si="36"/>
        <v>14438</v>
      </c>
      <c r="I21" s="127">
        <f t="shared" si="36"/>
        <v>14210</v>
      </c>
      <c r="J21" s="127">
        <f t="shared" ref="J21:K21" si="37">J65</f>
        <v>14132</v>
      </c>
      <c r="K21" s="127">
        <f t="shared" si="37"/>
        <v>14584</v>
      </c>
      <c r="L21" s="127">
        <f t="shared" ref="L21" si="38">L65</f>
        <v>13871</v>
      </c>
      <c r="N21" s="124" t="s">
        <v>4934</v>
      </c>
    </row>
    <row r="22" spans="1:14">
      <c r="D22" s="127">
        <f t="shared" ref="D22:I22" si="39">D100</f>
        <v>21452</v>
      </c>
      <c r="E22" s="127">
        <f t="shared" si="39"/>
        <v>21464</v>
      </c>
      <c r="F22" s="127">
        <f t="shared" si="39"/>
        <v>21461</v>
      </c>
      <c r="G22" s="127">
        <f t="shared" si="39"/>
        <v>21244</v>
      </c>
      <c r="H22" s="127">
        <f t="shared" si="39"/>
        <v>21134</v>
      </c>
      <c r="I22" s="127">
        <f t="shared" si="39"/>
        <v>18813</v>
      </c>
      <c r="J22" s="127">
        <f t="shared" ref="J22:K22" si="40">J100</f>
        <v>18419</v>
      </c>
      <c r="K22" s="127">
        <f t="shared" si="40"/>
        <v>18982</v>
      </c>
      <c r="L22" s="127">
        <f t="shared" ref="L22" si="41">L100</f>
        <v>18875</v>
      </c>
      <c r="N22" s="124" t="s">
        <v>8548</v>
      </c>
    </row>
    <row r="23" spans="1:14" ht="15.75" thickBot="1">
      <c r="D23" s="130">
        <f t="shared" ref="D23:I23" si="42">D171</f>
        <v>42438</v>
      </c>
      <c r="E23" s="130">
        <f t="shared" si="42"/>
        <v>42625</v>
      </c>
      <c r="F23" s="130">
        <f t="shared" si="42"/>
        <v>43024</v>
      </c>
      <c r="G23" s="130">
        <f t="shared" si="42"/>
        <v>42786</v>
      </c>
      <c r="H23" s="130">
        <f t="shared" si="42"/>
        <v>42832</v>
      </c>
      <c r="I23" s="130">
        <f t="shared" si="42"/>
        <v>43654</v>
      </c>
      <c r="J23" s="130">
        <f t="shared" ref="J23:K23" si="43">J171</f>
        <v>41096</v>
      </c>
      <c r="K23" s="130">
        <f t="shared" si="43"/>
        <v>41640</v>
      </c>
      <c r="L23" s="130">
        <f t="shared" ref="L23" si="44">L171</f>
        <v>41502</v>
      </c>
      <c r="N23" s="124" t="s">
        <v>8550</v>
      </c>
    </row>
    <row r="24" spans="1:14" ht="15.75" thickBot="1">
      <c r="D24" s="130">
        <f t="shared" ref="D24:I24" si="45">SUM(D21:D23)</f>
        <v>77826</v>
      </c>
      <c r="E24" s="130">
        <f t="shared" si="45"/>
        <v>77811</v>
      </c>
      <c r="F24" s="130">
        <f t="shared" si="45"/>
        <v>78649</v>
      </c>
      <c r="G24" s="130">
        <f t="shared" si="45"/>
        <v>78520</v>
      </c>
      <c r="H24" s="130">
        <f t="shared" si="45"/>
        <v>78404</v>
      </c>
      <c r="I24" s="130">
        <f t="shared" si="45"/>
        <v>76677</v>
      </c>
      <c r="J24" s="130">
        <f t="shared" ref="J24:K24" si="46">SUM(J21:J23)</f>
        <v>73647</v>
      </c>
      <c r="K24" s="130">
        <f t="shared" si="46"/>
        <v>75206</v>
      </c>
      <c r="L24" s="130">
        <f t="shared" ref="L24" si="47">SUM(L21:L23)</f>
        <v>74248</v>
      </c>
    </row>
    <row r="25" spans="1:14">
      <c r="D25" s="128"/>
      <c r="E25" s="128"/>
      <c r="F25" s="128"/>
      <c r="G25" s="128"/>
      <c r="H25" s="128"/>
      <c r="I25" s="128"/>
      <c r="J25" s="128"/>
      <c r="K25" s="128"/>
      <c r="L25" s="128"/>
    </row>
    <row r="26" spans="1:14">
      <c r="A26" s="124" t="s">
        <v>8551</v>
      </c>
      <c r="D26" s="127">
        <f t="shared" ref="D26:I26" si="48">D134</f>
        <v>30590</v>
      </c>
      <c r="E26" s="127">
        <f t="shared" si="48"/>
        <v>30812</v>
      </c>
      <c r="F26" s="127">
        <f t="shared" si="48"/>
        <v>31029</v>
      </c>
      <c r="G26" s="127">
        <f t="shared" si="48"/>
        <v>31417</v>
      </c>
      <c r="H26" s="127">
        <f t="shared" si="48"/>
        <v>31756</v>
      </c>
      <c r="I26" s="127">
        <f t="shared" si="48"/>
        <v>32628</v>
      </c>
      <c r="J26" s="127">
        <f t="shared" ref="J26:K26" si="49">J134</f>
        <v>31511</v>
      </c>
      <c r="K26" s="127">
        <f t="shared" si="49"/>
        <v>32570</v>
      </c>
      <c r="L26" s="127">
        <f t="shared" ref="L26" si="50">L134</f>
        <v>32684</v>
      </c>
      <c r="N26" s="124" t="s">
        <v>8374</v>
      </c>
    </row>
    <row r="27" spans="1:14" ht="15.75" thickBot="1">
      <c r="D27" s="130">
        <f t="shared" ref="D27:I27" si="51">D172</f>
        <v>48187</v>
      </c>
      <c r="E27" s="130">
        <f t="shared" si="51"/>
        <v>48963</v>
      </c>
      <c r="F27" s="130">
        <f t="shared" si="51"/>
        <v>49664</v>
      </c>
      <c r="G27" s="130">
        <f t="shared" si="51"/>
        <v>49671</v>
      </c>
      <c r="H27" s="130">
        <f t="shared" si="51"/>
        <v>50190</v>
      </c>
      <c r="I27" s="130">
        <f t="shared" si="51"/>
        <v>51463</v>
      </c>
      <c r="J27" s="130">
        <f t="shared" ref="J27:K27" si="52">J172</f>
        <v>49348</v>
      </c>
      <c r="K27" s="130">
        <f t="shared" si="52"/>
        <v>51066</v>
      </c>
      <c r="L27" s="130">
        <f t="shared" ref="L27" si="53">L172</f>
        <v>51903</v>
      </c>
      <c r="N27" s="124" t="s">
        <v>8550</v>
      </c>
    </row>
    <row r="28" spans="1:14" ht="15.75" thickBot="1">
      <c r="D28" s="130">
        <f t="shared" ref="D28:I28" si="54">D26+D27</f>
        <v>78777</v>
      </c>
      <c r="E28" s="130">
        <f t="shared" si="54"/>
        <v>79775</v>
      </c>
      <c r="F28" s="130">
        <f t="shared" si="54"/>
        <v>80693</v>
      </c>
      <c r="G28" s="130">
        <f t="shared" si="54"/>
        <v>81088</v>
      </c>
      <c r="H28" s="130">
        <f t="shared" si="54"/>
        <v>81946</v>
      </c>
      <c r="I28" s="130">
        <f t="shared" si="54"/>
        <v>84091</v>
      </c>
      <c r="J28" s="130">
        <f t="shared" ref="J28:K28" si="55">J26+J27</f>
        <v>80859</v>
      </c>
      <c r="K28" s="130">
        <f t="shared" si="55"/>
        <v>83636</v>
      </c>
      <c r="L28" s="130">
        <f t="shared" ref="L28" si="56">L26+L27</f>
        <v>84587</v>
      </c>
    </row>
    <row r="29" spans="1:14">
      <c r="D29" s="128"/>
      <c r="E29" s="128"/>
      <c r="F29" s="128"/>
      <c r="G29" s="128"/>
      <c r="H29" s="128"/>
      <c r="I29" s="128"/>
      <c r="J29" s="128"/>
      <c r="K29" s="128"/>
      <c r="L29" s="128"/>
    </row>
    <row r="30" spans="1:14">
      <c r="A30" s="124" t="s">
        <v>8552</v>
      </c>
      <c r="D30" s="131">
        <f t="shared" ref="D30:I30" si="57">D208</f>
        <v>78141</v>
      </c>
      <c r="E30" s="131">
        <f t="shared" si="57"/>
        <v>78220</v>
      </c>
      <c r="F30" s="131">
        <f t="shared" si="57"/>
        <v>79321</v>
      </c>
      <c r="G30" s="131">
        <f t="shared" si="57"/>
        <v>79653</v>
      </c>
      <c r="H30" s="131">
        <f t="shared" si="57"/>
        <v>79067</v>
      </c>
      <c r="I30" s="131">
        <f t="shared" si="57"/>
        <v>77097</v>
      </c>
      <c r="J30" s="131">
        <f t="shared" ref="J30:K30" si="58">J208</f>
        <v>78455</v>
      </c>
      <c r="K30" s="131">
        <f t="shared" si="58"/>
        <v>80868</v>
      </c>
      <c r="L30" s="131">
        <f t="shared" ref="L30" si="59">L208</f>
        <v>80906</v>
      </c>
      <c r="N30" s="124" t="s">
        <v>5113</v>
      </c>
    </row>
    <row r="31" spans="1:14">
      <c r="D31" s="128"/>
      <c r="E31" s="128"/>
      <c r="F31" s="128"/>
      <c r="G31" s="128"/>
      <c r="H31" s="128"/>
      <c r="I31" s="128"/>
      <c r="J31" s="128"/>
      <c r="K31" s="128"/>
      <c r="L31" s="128"/>
    </row>
    <row r="32" spans="1:14">
      <c r="A32" s="124" t="s">
        <v>8697</v>
      </c>
      <c r="D32" s="127">
        <f t="shared" ref="D32:I32" si="60">D13+D17+D19+D24+D28+D30</f>
        <v>472328</v>
      </c>
      <c r="E32" s="127">
        <f t="shared" si="60"/>
        <v>475364</v>
      </c>
      <c r="F32" s="127">
        <f t="shared" si="60"/>
        <v>480083</v>
      </c>
      <c r="G32" s="127">
        <f t="shared" si="60"/>
        <v>481059</v>
      </c>
      <c r="H32" s="127">
        <f t="shared" si="60"/>
        <v>481250</v>
      </c>
      <c r="I32" s="127">
        <f t="shared" si="60"/>
        <v>471416</v>
      </c>
      <c r="J32" s="127">
        <f t="shared" ref="J32:K32" si="61">J13+J17+J19+J24+J28+J30</f>
        <v>461334</v>
      </c>
      <c r="K32" s="127">
        <f t="shared" si="61"/>
        <v>476218</v>
      </c>
      <c r="L32" s="127">
        <f t="shared" ref="L32" si="62">L13+L17+L19+L24+L28+L30</f>
        <v>471537</v>
      </c>
    </row>
    <row r="33" spans="1:17">
      <c r="D33" s="128"/>
      <c r="E33" s="128"/>
      <c r="F33" s="128"/>
      <c r="G33" s="128"/>
      <c r="H33" s="128"/>
      <c r="I33" s="128"/>
      <c r="J33" s="128"/>
      <c r="K33" s="128"/>
      <c r="L33" s="128"/>
    </row>
    <row r="34" spans="1:17">
      <c r="A34" s="124" t="s">
        <v>8698</v>
      </c>
      <c r="D34" s="127">
        <f t="shared" ref="D34:I34" si="63">MAX(D13,D17,D19,D24,D28,D30)-MIN(D13,D17,D24,D28,D30)</f>
        <v>10395</v>
      </c>
      <c r="E34" s="127">
        <f t="shared" si="63"/>
        <v>10212</v>
      </c>
      <c r="F34" s="127">
        <f t="shared" si="63"/>
        <v>11054</v>
      </c>
      <c r="G34" s="127">
        <f t="shared" si="63"/>
        <v>11633</v>
      </c>
      <c r="H34" s="127">
        <f t="shared" si="63"/>
        <v>11049</v>
      </c>
      <c r="I34" s="127">
        <f t="shared" si="63"/>
        <v>8061</v>
      </c>
      <c r="J34" s="127">
        <f t="shared" ref="J34:K34" si="64">MAX(J13,J17,J19,J24,J28,J30)-MIN(J13,J17,J24,J28,J30)</f>
        <v>12716</v>
      </c>
      <c r="K34" s="127">
        <f t="shared" si="64"/>
        <v>15357</v>
      </c>
      <c r="L34" s="127">
        <f t="shared" ref="L34" si="65">MAX(L13,L17,L19,L24,L28,L30)-MIN(L13,L17,L24,L28,L30)</f>
        <v>12286</v>
      </c>
    </row>
    <row r="35" spans="1:17">
      <c r="D35" s="128"/>
      <c r="E35" s="128"/>
      <c r="F35" s="128"/>
      <c r="G35" s="128"/>
      <c r="H35" s="128"/>
      <c r="I35" s="128"/>
      <c r="J35" s="128"/>
      <c r="K35" s="128"/>
      <c r="L35" s="128"/>
    </row>
    <row r="36" spans="1:17">
      <c r="A36" s="124" t="s">
        <v>8701</v>
      </c>
      <c r="D36" s="127">
        <f t="shared" ref="D36:I36" si="66">STDEVP(D13,D17,D19,D24,D28,D30)</f>
        <v>3085.0893378024275</v>
      </c>
      <c r="E36" s="127">
        <f t="shared" si="66"/>
        <v>3200.249191686311</v>
      </c>
      <c r="F36" s="127">
        <f t="shared" si="66"/>
        <v>3350.8082814283612</v>
      </c>
      <c r="G36" s="127">
        <f t="shared" si="66"/>
        <v>3468.7275644920092</v>
      </c>
      <c r="H36" s="127">
        <f t="shared" si="66"/>
        <v>3395.3065971851333</v>
      </c>
      <c r="I36" s="127">
        <f t="shared" si="66"/>
        <v>4271.6539601839895</v>
      </c>
      <c r="J36" s="127">
        <f t="shared" ref="J36:K36" si="67">STDEVP(J13,J17,J19,J24,J28,J30)</f>
        <v>5201.489626379479</v>
      </c>
      <c r="K36" s="127">
        <f t="shared" si="67"/>
        <v>5848.640316821984</v>
      </c>
      <c r="L36" s="127">
        <f t="shared" ref="L36" si="68">STDEVP(L13,L17,L19,L24,L28,L30)</f>
        <v>5402.0832015683236</v>
      </c>
    </row>
    <row r="37" spans="1:17">
      <c r="A37" s="124"/>
      <c r="D37" s="132"/>
      <c r="E37" s="132"/>
      <c r="F37" s="132"/>
      <c r="G37" s="132"/>
      <c r="H37" s="132"/>
      <c r="I37" s="132"/>
      <c r="J37" s="132"/>
      <c r="K37" s="132"/>
      <c r="L37" s="132"/>
    </row>
    <row r="38" spans="1:17">
      <c r="A38" s="124"/>
      <c r="D38" s="132"/>
      <c r="E38" s="132"/>
      <c r="F38" s="132"/>
      <c r="G38" s="132"/>
      <c r="H38" s="132"/>
      <c r="I38" s="132"/>
      <c r="J38" s="132"/>
      <c r="K38" s="132"/>
      <c r="L38" s="132"/>
    </row>
    <row r="39" spans="1:17">
      <c r="E39" s="42" t="s">
        <v>2303</v>
      </c>
      <c r="F39" s="42"/>
      <c r="G39" s="42"/>
      <c r="H39" s="42"/>
      <c r="I39" s="42"/>
      <c r="J39" s="42"/>
      <c r="K39" s="42"/>
      <c r="L39" s="42"/>
      <c r="M39" s="109"/>
      <c r="N39" s="109" t="s">
        <v>13319</v>
      </c>
    </row>
    <row r="40" spans="1:17">
      <c r="D40" s="110">
        <v>2010</v>
      </c>
      <c r="E40" s="110">
        <v>2011</v>
      </c>
      <c r="F40" s="110">
        <v>2012</v>
      </c>
      <c r="G40" s="110">
        <v>2013</v>
      </c>
      <c r="H40" s="110">
        <v>2014</v>
      </c>
      <c r="I40" s="110">
        <v>2015</v>
      </c>
      <c r="J40" s="110">
        <v>2016</v>
      </c>
      <c r="K40" s="110">
        <v>2017</v>
      </c>
      <c r="L40" s="110">
        <v>2018</v>
      </c>
      <c r="M40" s="109"/>
      <c r="N40" s="112" t="s">
        <v>2304</v>
      </c>
    </row>
    <row r="41" spans="1:17">
      <c r="A41" s="124" t="s">
        <v>8553</v>
      </c>
      <c r="C41" s="124"/>
      <c r="D41" s="127">
        <f>SUM(D42:D55)+SUM(D57:D60)</f>
        <v>102067</v>
      </c>
      <c r="E41" s="127">
        <f t="shared" ref="E41:K41" si="69">SUM(E42:E55)+SUM(E57:E60)</f>
        <v>101966</v>
      </c>
      <c r="F41" s="127">
        <f t="shared" si="69"/>
        <v>103835</v>
      </c>
      <c r="G41" s="127">
        <f t="shared" si="69"/>
        <v>105087</v>
      </c>
      <c r="H41" s="127">
        <f t="shared" si="69"/>
        <v>104811</v>
      </c>
      <c r="I41" s="127">
        <f t="shared" si="69"/>
        <v>102971</v>
      </c>
      <c r="J41" s="127">
        <f t="shared" si="69"/>
        <v>103843</v>
      </c>
      <c r="K41" s="127">
        <f t="shared" si="69"/>
        <v>108410</v>
      </c>
      <c r="L41" s="127">
        <f t="shared" ref="L41" si="70">SUM(L42:L55)+SUM(L57:L60)</f>
        <v>103953</v>
      </c>
    </row>
    <row r="42" spans="1:17">
      <c r="A42" s="124" t="s">
        <v>6957</v>
      </c>
      <c r="B42" s="124" t="s">
        <v>16050</v>
      </c>
      <c r="C42" s="4" t="s">
        <v>16480</v>
      </c>
      <c r="D42" s="127">
        <v>83933</v>
      </c>
      <c r="E42" s="127">
        <v>84063</v>
      </c>
      <c r="F42" s="127">
        <v>85313</v>
      </c>
      <c r="G42" s="30">
        <v>86261</v>
      </c>
      <c r="H42" s="30">
        <v>86032</v>
      </c>
      <c r="I42" s="30">
        <v>84437</v>
      </c>
      <c r="J42" s="30">
        <v>85398</v>
      </c>
      <c r="K42" s="30">
        <v>7227</v>
      </c>
      <c r="L42" s="30">
        <v>7108</v>
      </c>
      <c r="N42" s="124" t="s">
        <v>4929</v>
      </c>
      <c r="O42" s="4"/>
      <c r="Q42" s="4"/>
    </row>
    <row r="43" spans="1:17">
      <c r="A43" s="124" t="s">
        <v>6959</v>
      </c>
      <c r="B43" s="124" t="s">
        <v>16051</v>
      </c>
      <c r="C43" s="4" t="s">
        <v>16481</v>
      </c>
      <c r="D43" s="127">
        <v>0</v>
      </c>
      <c r="E43" s="127">
        <v>0</v>
      </c>
      <c r="F43" s="127">
        <v>0</v>
      </c>
      <c r="G43" s="30">
        <v>0</v>
      </c>
      <c r="H43" s="30">
        <v>0</v>
      </c>
      <c r="I43" s="30">
        <v>0</v>
      </c>
      <c r="J43" s="30">
        <v>0</v>
      </c>
      <c r="K43" s="30">
        <v>7312</v>
      </c>
      <c r="L43" s="30">
        <v>7413</v>
      </c>
      <c r="N43" s="124" t="s">
        <v>4929</v>
      </c>
      <c r="O43" s="4"/>
      <c r="Q43" s="4"/>
    </row>
    <row r="44" spans="1:17">
      <c r="A44" s="124" t="s">
        <v>6961</v>
      </c>
      <c r="B44" s="124" t="s">
        <v>16052</v>
      </c>
      <c r="C44" s="4" t="s">
        <v>16036</v>
      </c>
      <c r="D44" s="127">
        <v>0</v>
      </c>
      <c r="E44" s="127">
        <v>0</v>
      </c>
      <c r="F44" s="127">
        <v>0</v>
      </c>
      <c r="G44" s="30">
        <v>0</v>
      </c>
      <c r="H44" s="30">
        <v>0</v>
      </c>
      <c r="I44" s="30">
        <v>0</v>
      </c>
      <c r="J44" s="30">
        <v>0</v>
      </c>
      <c r="K44" s="30">
        <v>6901</v>
      </c>
      <c r="L44" s="30">
        <v>6350</v>
      </c>
      <c r="N44" s="124" t="s">
        <v>4929</v>
      </c>
      <c r="O44" s="4"/>
      <c r="Q44" s="4"/>
    </row>
    <row r="45" spans="1:17">
      <c r="A45" s="124" t="s">
        <v>6963</v>
      </c>
      <c r="B45" s="124" t="s">
        <v>16053</v>
      </c>
      <c r="C45" s="4" t="s">
        <v>16037</v>
      </c>
      <c r="D45" s="127">
        <v>0</v>
      </c>
      <c r="E45" s="127">
        <v>0</v>
      </c>
      <c r="F45" s="127">
        <v>0</v>
      </c>
      <c r="G45" s="30">
        <v>0</v>
      </c>
      <c r="H45" s="30">
        <v>0</v>
      </c>
      <c r="I45" s="30">
        <v>0</v>
      </c>
      <c r="J45" s="30">
        <v>0</v>
      </c>
      <c r="K45" s="30">
        <v>6887</v>
      </c>
      <c r="L45" s="30">
        <v>6209</v>
      </c>
      <c r="N45" s="124" t="s">
        <v>4929</v>
      </c>
      <c r="O45" s="4"/>
      <c r="Q45" s="4"/>
    </row>
    <row r="46" spans="1:17">
      <c r="A46" s="124" t="s">
        <v>6965</v>
      </c>
      <c r="B46" s="124" t="s">
        <v>8071</v>
      </c>
      <c r="C46" s="4" t="s">
        <v>16038</v>
      </c>
      <c r="D46" s="127">
        <v>0</v>
      </c>
      <c r="E46" s="127">
        <v>0</v>
      </c>
      <c r="F46" s="127">
        <v>0</v>
      </c>
      <c r="G46" s="30">
        <v>0</v>
      </c>
      <c r="H46" s="30">
        <v>0</v>
      </c>
      <c r="I46" s="30">
        <v>0</v>
      </c>
      <c r="J46" s="30">
        <v>0</v>
      </c>
      <c r="K46" s="30">
        <v>6050</v>
      </c>
      <c r="L46" s="30">
        <v>5690</v>
      </c>
      <c r="N46" s="124" t="s">
        <v>4929</v>
      </c>
      <c r="O46" s="4"/>
      <c r="Q46" s="4"/>
    </row>
    <row r="47" spans="1:17">
      <c r="A47" s="124" t="s">
        <v>6997</v>
      </c>
      <c r="B47" s="124" t="s">
        <v>8072</v>
      </c>
      <c r="C47" s="4" t="s">
        <v>16039</v>
      </c>
      <c r="D47" s="127">
        <v>0</v>
      </c>
      <c r="E47" s="127">
        <v>0</v>
      </c>
      <c r="F47" s="127">
        <v>0</v>
      </c>
      <c r="G47" s="30">
        <v>0</v>
      </c>
      <c r="H47" s="30">
        <v>0</v>
      </c>
      <c r="I47" s="30">
        <v>0</v>
      </c>
      <c r="J47" s="30">
        <v>0</v>
      </c>
      <c r="K47" s="30">
        <v>6540</v>
      </c>
      <c r="L47" s="30">
        <v>5886</v>
      </c>
      <c r="N47" s="124" t="s">
        <v>4929</v>
      </c>
      <c r="O47" s="4"/>
      <c r="Q47" s="4"/>
    </row>
    <row r="48" spans="1:17">
      <c r="A48" s="124" t="s">
        <v>6999</v>
      </c>
      <c r="B48" s="124" t="s">
        <v>8073</v>
      </c>
      <c r="C48" s="4" t="s">
        <v>16040</v>
      </c>
      <c r="D48" s="127">
        <v>0</v>
      </c>
      <c r="E48" s="127">
        <v>0</v>
      </c>
      <c r="F48" s="127">
        <v>0</v>
      </c>
      <c r="G48" s="30">
        <v>0</v>
      </c>
      <c r="H48" s="30">
        <v>0</v>
      </c>
      <c r="I48" s="30">
        <v>0</v>
      </c>
      <c r="J48" s="30">
        <v>0</v>
      </c>
      <c r="K48" s="30">
        <v>6327</v>
      </c>
      <c r="L48" s="30">
        <v>5925</v>
      </c>
      <c r="N48" s="124" t="s">
        <v>4929</v>
      </c>
      <c r="O48" s="4"/>
      <c r="Q48" s="4"/>
    </row>
    <row r="49" spans="1:17">
      <c r="A49" s="124" t="s">
        <v>7001</v>
      </c>
      <c r="B49" s="124" t="s">
        <v>16054</v>
      </c>
      <c r="C49" s="4" t="s">
        <v>16041</v>
      </c>
      <c r="D49" s="127">
        <v>0</v>
      </c>
      <c r="E49" s="127">
        <v>0</v>
      </c>
      <c r="F49" s="127">
        <v>0</v>
      </c>
      <c r="G49" s="30">
        <v>0</v>
      </c>
      <c r="H49" s="30">
        <v>0</v>
      </c>
      <c r="I49" s="30">
        <v>0</v>
      </c>
      <c r="J49" s="30">
        <v>0</v>
      </c>
      <c r="K49" s="30">
        <v>6102</v>
      </c>
      <c r="L49" s="30">
        <v>5880</v>
      </c>
      <c r="N49" s="124" t="s">
        <v>4929</v>
      </c>
      <c r="O49" s="4"/>
      <c r="Q49" s="4"/>
    </row>
    <row r="50" spans="1:17">
      <c r="A50" s="124" t="s">
        <v>7003</v>
      </c>
      <c r="B50" s="124" t="s">
        <v>16055</v>
      </c>
      <c r="C50" s="4" t="s">
        <v>16042</v>
      </c>
      <c r="D50" s="127">
        <v>0</v>
      </c>
      <c r="E50" s="127">
        <v>0</v>
      </c>
      <c r="F50" s="127">
        <v>0</v>
      </c>
      <c r="G50" s="30">
        <v>0</v>
      </c>
      <c r="H50" s="30">
        <v>0</v>
      </c>
      <c r="I50" s="30">
        <v>0</v>
      </c>
      <c r="J50" s="30">
        <v>0</v>
      </c>
      <c r="K50" s="30">
        <v>6733</v>
      </c>
      <c r="L50" s="30">
        <v>6774</v>
      </c>
      <c r="N50" s="124" t="s">
        <v>4929</v>
      </c>
      <c r="O50" s="4"/>
      <c r="Q50" s="4"/>
    </row>
    <row r="51" spans="1:17">
      <c r="A51" s="124" t="s">
        <v>7005</v>
      </c>
      <c r="B51" s="124" t="s">
        <v>8074</v>
      </c>
      <c r="C51" s="4" t="s">
        <v>16043</v>
      </c>
      <c r="D51" s="127">
        <v>0</v>
      </c>
      <c r="E51" s="127">
        <v>0</v>
      </c>
      <c r="F51" s="127">
        <v>0</v>
      </c>
      <c r="G51" s="30">
        <v>0</v>
      </c>
      <c r="H51" s="30">
        <v>0</v>
      </c>
      <c r="I51" s="30">
        <v>0</v>
      </c>
      <c r="J51" s="30">
        <v>0</v>
      </c>
      <c r="K51" s="30">
        <v>6758</v>
      </c>
      <c r="L51" s="30">
        <v>6422</v>
      </c>
      <c r="N51" s="124" t="s">
        <v>4929</v>
      </c>
      <c r="O51" s="4"/>
      <c r="Q51" s="4"/>
    </row>
    <row r="52" spans="1:17">
      <c r="A52" s="124" t="s">
        <v>7007</v>
      </c>
      <c r="B52" s="124" t="s">
        <v>16056</v>
      </c>
      <c r="C52" s="4" t="s">
        <v>16044</v>
      </c>
      <c r="D52" s="127">
        <v>0</v>
      </c>
      <c r="E52" s="127">
        <v>0</v>
      </c>
      <c r="F52" s="127">
        <v>0</v>
      </c>
      <c r="G52" s="30">
        <v>0</v>
      </c>
      <c r="H52" s="30">
        <v>0</v>
      </c>
      <c r="I52" s="30">
        <v>0</v>
      </c>
      <c r="J52" s="30">
        <v>0</v>
      </c>
      <c r="K52" s="30">
        <v>6759</v>
      </c>
      <c r="L52" s="30">
        <v>6570</v>
      </c>
      <c r="N52" s="124" t="s">
        <v>4929</v>
      </c>
      <c r="O52" s="4"/>
      <c r="Q52" s="4"/>
    </row>
    <row r="53" spans="1:17">
      <c r="A53" s="124" t="s">
        <v>7009</v>
      </c>
      <c r="B53" s="124" t="s">
        <v>8075</v>
      </c>
      <c r="C53" s="4" t="s">
        <v>16045</v>
      </c>
      <c r="D53" s="127">
        <v>0</v>
      </c>
      <c r="E53" s="127">
        <v>0</v>
      </c>
      <c r="F53" s="127">
        <v>0</v>
      </c>
      <c r="G53" s="30">
        <v>0</v>
      </c>
      <c r="H53" s="30">
        <v>0</v>
      </c>
      <c r="I53" s="30">
        <v>0</v>
      </c>
      <c r="J53" s="30">
        <v>0</v>
      </c>
      <c r="K53" s="30">
        <v>7575</v>
      </c>
      <c r="L53" s="30">
        <v>7414</v>
      </c>
      <c r="N53" s="124" t="s">
        <v>4929</v>
      </c>
      <c r="O53" s="4"/>
      <c r="Q53" s="4"/>
    </row>
    <row r="54" spans="1:17">
      <c r="A54" s="124" t="s">
        <v>7011</v>
      </c>
      <c r="B54" s="124" t="s">
        <v>16057</v>
      </c>
      <c r="C54" s="4" t="s">
        <v>16046</v>
      </c>
      <c r="D54" s="127">
        <v>0</v>
      </c>
      <c r="E54" s="127">
        <v>0</v>
      </c>
      <c r="F54" s="127">
        <v>0</v>
      </c>
      <c r="G54" s="30">
        <v>0</v>
      </c>
      <c r="H54" s="30">
        <v>0</v>
      </c>
      <c r="I54" s="30">
        <v>0</v>
      </c>
      <c r="J54" s="30">
        <v>0</v>
      </c>
      <c r="K54" s="30">
        <v>5476</v>
      </c>
      <c r="L54" s="30">
        <v>5492</v>
      </c>
      <c r="N54" s="124" t="s">
        <v>4929</v>
      </c>
      <c r="O54" s="4"/>
      <c r="Q54" s="4"/>
    </row>
    <row r="55" spans="1:17" ht="15.75" thickBot="1">
      <c r="A55" s="124"/>
      <c r="B55" s="124"/>
      <c r="C55" s="4" t="s">
        <v>16046</v>
      </c>
      <c r="D55" s="130">
        <v>0</v>
      </c>
      <c r="E55" s="130">
        <v>0</v>
      </c>
      <c r="F55" s="130">
        <v>0</v>
      </c>
      <c r="G55" s="899">
        <v>0</v>
      </c>
      <c r="H55" s="899">
        <v>0</v>
      </c>
      <c r="I55" s="899">
        <v>0</v>
      </c>
      <c r="J55" s="899">
        <v>0</v>
      </c>
      <c r="K55" s="30">
        <v>813</v>
      </c>
      <c r="L55" s="30">
        <v>783</v>
      </c>
      <c r="N55" s="124" t="s">
        <v>4935</v>
      </c>
      <c r="O55" s="4"/>
      <c r="Q55" s="4"/>
    </row>
    <row r="56" spans="1:17" ht="15.75" thickBot="1">
      <c r="A56" s="124"/>
      <c r="B56" s="124"/>
      <c r="C56" s="4" t="s">
        <v>16046</v>
      </c>
      <c r="D56" s="916">
        <f>D54+D55</f>
        <v>0</v>
      </c>
      <c r="E56" s="916">
        <f t="shared" ref="E56:L56" si="71">E54+E55</f>
        <v>0</v>
      </c>
      <c r="F56" s="916">
        <f t="shared" si="71"/>
        <v>0</v>
      </c>
      <c r="G56" s="916">
        <f t="shared" si="71"/>
        <v>0</v>
      </c>
      <c r="H56" s="916">
        <f t="shared" si="71"/>
        <v>0</v>
      </c>
      <c r="I56" s="916">
        <f t="shared" si="71"/>
        <v>0</v>
      </c>
      <c r="J56" s="916">
        <f t="shared" si="71"/>
        <v>0</v>
      </c>
      <c r="K56" s="916">
        <f t="shared" si="71"/>
        <v>6289</v>
      </c>
      <c r="L56" s="916">
        <f t="shared" si="71"/>
        <v>6275</v>
      </c>
      <c r="N56" s="124"/>
      <c r="O56" s="4"/>
      <c r="Q56" s="4"/>
    </row>
    <row r="57" spans="1:17">
      <c r="A57" s="124" t="s">
        <v>7013</v>
      </c>
      <c r="B57" s="124" t="s">
        <v>16058</v>
      </c>
      <c r="C57" s="4" t="s">
        <v>16047</v>
      </c>
      <c r="D57" s="127">
        <v>13936</v>
      </c>
      <c r="E57" s="127">
        <v>13722</v>
      </c>
      <c r="F57" s="127">
        <v>14164</v>
      </c>
      <c r="G57" s="30">
        <v>14490</v>
      </c>
      <c r="H57" s="30">
        <v>14438</v>
      </c>
      <c r="I57" s="30">
        <v>14210</v>
      </c>
      <c r="J57" s="30">
        <v>14132</v>
      </c>
      <c r="K57" s="31">
        <v>7427</v>
      </c>
      <c r="L57" s="31">
        <v>7031</v>
      </c>
      <c r="N57" s="124" t="s">
        <v>8549</v>
      </c>
      <c r="O57" s="4"/>
      <c r="Q57" s="4"/>
    </row>
    <row r="58" spans="1:17">
      <c r="A58" s="124" t="s">
        <v>7015</v>
      </c>
      <c r="B58" s="124" t="s">
        <v>16059</v>
      </c>
      <c r="C58" s="4" t="s">
        <v>16048</v>
      </c>
      <c r="D58" s="127">
        <v>0</v>
      </c>
      <c r="E58" s="127">
        <v>0</v>
      </c>
      <c r="F58" s="127">
        <v>0</v>
      </c>
      <c r="G58" s="30">
        <v>0</v>
      </c>
      <c r="H58" s="30">
        <v>0</v>
      </c>
      <c r="I58" s="30">
        <v>0</v>
      </c>
      <c r="J58" s="30">
        <v>0</v>
      </c>
      <c r="K58" s="31">
        <v>7157</v>
      </c>
      <c r="L58" s="31">
        <v>6840</v>
      </c>
      <c r="N58" s="124" t="s">
        <v>8549</v>
      </c>
      <c r="O58" s="4"/>
      <c r="Q58" s="4"/>
    </row>
    <row r="59" spans="1:17">
      <c r="A59" s="124" t="s">
        <v>7017</v>
      </c>
      <c r="B59" s="124" t="s">
        <v>16060</v>
      </c>
      <c r="C59" s="4" t="s">
        <v>16049</v>
      </c>
      <c r="D59" s="127">
        <v>0</v>
      </c>
      <c r="E59" s="127">
        <v>0</v>
      </c>
      <c r="F59" s="127">
        <v>0</v>
      </c>
      <c r="G59" s="31">
        <v>0</v>
      </c>
      <c r="H59" s="31">
        <v>0</v>
      </c>
      <c r="I59" s="31">
        <v>0</v>
      </c>
      <c r="J59" s="31">
        <v>0</v>
      </c>
      <c r="K59" s="30">
        <v>2716</v>
      </c>
      <c r="L59" s="30">
        <v>2662</v>
      </c>
      <c r="N59" s="124" t="s">
        <v>4929</v>
      </c>
      <c r="O59" s="4"/>
      <c r="Q59" s="4"/>
    </row>
    <row r="60" spans="1:17" ht="15.75" thickBot="1">
      <c r="A60" s="124"/>
      <c r="B60" s="124"/>
      <c r="C60" s="4" t="s">
        <v>16049</v>
      </c>
      <c r="D60" s="130">
        <v>4198</v>
      </c>
      <c r="E60" s="130">
        <v>4181</v>
      </c>
      <c r="F60" s="130">
        <v>4358</v>
      </c>
      <c r="G60" s="899">
        <v>4336</v>
      </c>
      <c r="H60" s="899">
        <v>4341</v>
      </c>
      <c r="I60" s="899">
        <v>4324</v>
      </c>
      <c r="J60" s="899">
        <v>4313</v>
      </c>
      <c r="K60" s="31">
        <v>3650</v>
      </c>
      <c r="L60" s="31">
        <v>3504</v>
      </c>
      <c r="N60" s="124" t="s">
        <v>4935</v>
      </c>
      <c r="O60" s="4"/>
      <c r="Q60" s="4"/>
    </row>
    <row r="61" spans="1:17" ht="15.75" thickBot="1">
      <c r="A61" s="124"/>
      <c r="B61" s="124"/>
      <c r="C61" s="4" t="s">
        <v>16049</v>
      </c>
      <c r="D61" s="916">
        <f>D59+D60</f>
        <v>4198</v>
      </c>
      <c r="E61" s="916">
        <f t="shared" ref="E61" si="72">E59+E60</f>
        <v>4181</v>
      </c>
      <c r="F61" s="916">
        <f t="shared" ref="F61" si="73">F59+F60</f>
        <v>4358</v>
      </c>
      <c r="G61" s="916">
        <f t="shared" ref="G61" si="74">G59+G60</f>
        <v>4336</v>
      </c>
      <c r="H61" s="916">
        <f t="shared" ref="H61" si="75">H59+H60</f>
        <v>4341</v>
      </c>
      <c r="I61" s="916">
        <f t="shared" ref="I61" si="76">I59+I60</f>
        <v>4324</v>
      </c>
      <c r="J61" s="916">
        <f t="shared" ref="J61" si="77">J59+J60</f>
        <v>4313</v>
      </c>
      <c r="K61" s="916">
        <f>K59+K60</f>
        <v>6366</v>
      </c>
      <c r="L61" s="916">
        <f>L59+L60</f>
        <v>6166</v>
      </c>
      <c r="N61" s="124"/>
      <c r="O61" s="4"/>
      <c r="Q61" s="4"/>
    </row>
    <row r="62" spans="1:17">
      <c r="A62" s="124"/>
      <c r="B62" s="124"/>
      <c r="C62" s="4"/>
      <c r="D62" s="127"/>
      <c r="E62" s="127"/>
      <c r="F62" s="127"/>
      <c r="G62" s="31"/>
      <c r="H62" s="31"/>
      <c r="I62" s="31"/>
      <c r="J62" s="31"/>
      <c r="K62" s="31"/>
      <c r="L62" s="31"/>
      <c r="N62" s="124"/>
      <c r="O62" s="4"/>
      <c r="Q62" s="4"/>
    </row>
    <row r="63" spans="1:17">
      <c r="A63" s="124" t="s">
        <v>4929</v>
      </c>
      <c r="D63" s="127">
        <f>SUM(D42:D54)+D59</f>
        <v>83933</v>
      </c>
      <c r="E63" s="127">
        <f t="shared" ref="E63:K63" si="78">SUM(E42:E54)+E59</f>
        <v>84063</v>
      </c>
      <c r="F63" s="127">
        <f t="shared" si="78"/>
        <v>85313</v>
      </c>
      <c r="G63" s="127">
        <f t="shared" si="78"/>
        <v>86261</v>
      </c>
      <c r="H63" s="127">
        <f t="shared" si="78"/>
        <v>86032</v>
      </c>
      <c r="I63" s="127">
        <f t="shared" si="78"/>
        <v>84437</v>
      </c>
      <c r="J63" s="127">
        <f t="shared" si="78"/>
        <v>85398</v>
      </c>
      <c r="K63" s="127">
        <f t="shared" si="78"/>
        <v>89363</v>
      </c>
      <c r="L63" s="127">
        <f t="shared" ref="L63" si="79">SUM(L42:L54)+L59</f>
        <v>85795</v>
      </c>
    </row>
    <row r="64" spans="1:17">
      <c r="A64" s="124" t="s">
        <v>6384</v>
      </c>
      <c r="D64" s="127">
        <f>D55+D60</f>
        <v>4198</v>
      </c>
      <c r="E64" s="127">
        <f t="shared" ref="E64:K64" si="80">E55+E60</f>
        <v>4181</v>
      </c>
      <c r="F64" s="127">
        <f t="shared" si="80"/>
        <v>4358</v>
      </c>
      <c r="G64" s="127">
        <f t="shared" si="80"/>
        <v>4336</v>
      </c>
      <c r="H64" s="127">
        <f t="shared" si="80"/>
        <v>4341</v>
      </c>
      <c r="I64" s="127">
        <f t="shared" si="80"/>
        <v>4324</v>
      </c>
      <c r="J64" s="127">
        <f t="shared" si="80"/>
        <v>4313</v>
      </c>
      <c r="K64" s="127">
        <f t="shared" si="80"/>
        <v>4463</v>
      </c>
      <c r="L64" s="127">
        <f t="shared" ref="L64" si="81">L55+L60</f>
        <v>4287</v>
      </c>
    </row>
    <row r="65" spans="1:17">
      <c r="A65" s="124" t="s">
        <v>6385</v>
      </c>
      <c r="D65" s="127">
        <f>D57+D58</f>
        <v>13936</v>
      </c>
      <c r="E65" s="127">
        <f t="shared" ref="E65:K65" si="82">E57+E58</f>
        <v>13722</v>
      </c>
      <c r="F65" s="127">
        <f t="shared" si="82"/>
        <v>14164</v>
      </c>
      <c r="G65" s="127">
        <f t="shared" si="82"/>
        <v>14490</v>
      </c>
      <c r="H65" s="127">
        <f t="shared" si="82"/>
        <v>14438</v>
      </c>
      <c r="I65" s="127">
        <f t="shared" si="82"/>
        <v>14210</v>
      </c>
      <c r="J65" s="127">
        <f t="shared" si="82"/>
        <v>14132</v>
      </c>
      <c r="K65" s="127">
        <f t="shared" si="82"/>
        <v>14584</v>
      </c>
      <c r="L65" s="127">
        <f t="shared" ref="L65" si="83">L57+L58</f>
        <v>13871</v>
      </c>
    </row>
    <row r="66" spans="1:17">
      <c r="A66" s="124"/>
    </row>
    <row r="67" spans="1:17">
      <c r="A67" s="124" t="s">
        <v>16482</v>
      </c>
      <c r="D67" s="127"/>
      <c r="E67" s="127"/>
      <c r="F67" s="127"/>
      <c r="G67" s="127"/>
      <c r="H67" s="127"/>
      <c r="I67" s="127"/>
      <c r="J67" s="127"/>
      <c r="K67" s="127"/>
      <c r="L67" s="127"/>
    </row>
    <row r="68" spans="1:17">
      <c r="A68" s="124" t="s">
        <v>16483</v>
      </c>
      <c r="B68" s="124"/>
      <c r="D68" s="133"/>
      <c r="E68" s="133"/>
      <c r="F68" s="133"/>
      <c r="G68" s="133"/>
      <c r="H68" s="133"/>
      <c r="I68" s="133"/>
      <c r="J68" s="133"/>
      <c r="K68" s="133"/>
      <c r="L68" s="133"/>
    </row>
    <row r="69" spans="1:17">
      <c r="A69" s="124"/>
      <c r="B69" s="124"/>
      <c r="D69" s="133"/>
      <c r="E69" s="133"/>
      <c r="F69" s="133"/>
      <c r="G69" s="133"/>
      <c r="H69" s="133"/>
      <c r="I69" s="133"/>
      <c r="J69" s="133"/>
      <c r="K69" s="133"/>
      <c r="L69" s="133"/>
    </row>
    <row r="70" spans="1:17">
      <c r="A70" s="124"/>
      <c r="B70" s="124"/>
      <c r="D70" s="133"/>
      <c r="E70" s="133"/>
      <c r="F70" s="133"/>
      <c r="G70" s="133"/>
      <c r="H70" s="133"/>
      <c r="I70" s="133"/>
      <c r="J70" s="133"/>
      <c r="K70" s="133"/>
      <c r="L70" s="133"/>
    </row>
    <row r="71" spans="1:17">
      <c r="E71" s="42" t="s">
        <v>2303</v>
      </c>
      <c r="F71" s="42"/>
      <c r="G71" s="42"/>
      <c r="H71" s="42"/>
      <c r="I71" s="42"/>
      <c r="J71" s="42"/>
      <c r="K71" s="42"/>
      <c r="L71" s="42"/>
      <c r="M71" s="109"/>
      <c r="N71" s="109" t="s">
        <v>13319</v>
      </c>
    </row>
    <row r="72" spans="1:17">
      <c r="D72" s="110">
        <v>2010</v>
      </c>
      <c r="E72" s="110">
        <v>2011</v>
      </c>
      <c r="F72" s="110">
        <v>2012</v>
      </c>
      <c r="G72" s="110">
        <v>2013</v>
      </c>
      <c r="H72" s="110">
        <v>2014</v>
      </c>
      <c r="I72" s="110">
        <v>2015</v>
      </c>
      <c r="J72" s="110">
        <v>2016</v>
      </c>
      <c r="K72" s="110">
        <v>2017</v>
      </c>
      <c r="L72" s="110">
        <v>2018</v>
      </c>
      <c r="M72" s="109"/>
      <c r="N72" s="112" t="s">
        <v>2304</v>
      </c>
    </row>
    <row r="73" spans="1:17">
      <c r="A73" s="124" t="s">
        <v>6386</v>
      </c>
      <c r="D73" s="127">
        <f t="shared" ref="D73:I73" si="84">SUM(D74:D97)</f>
        <v>101565</v>
      </c>
      <c r="E73" s="127">
        <f t="shared" si="84"/>
        <v>103108</v>
      </c>
      <c r="F73" s="127">
        <f t="shared" si="84"/>
        <v>103309</v>
      </c>
      <c r="G73" s="127">
        <f t="shared" si="84"/>
        <v>102153</v>
      </c>
      <c r="H73" s="127">
        <f t="shared" si="84"/>
        <v>101952</v>
      </c>
      <c r="I73" s="127">
        <f t="shared" si="84"/>
        <v>91551</v>
      </c>
      <c r="J73" s="127">
        <f t="shared" ref="J73:K73" si="85">SUM(J74:J97)</f>
        <v>88712</v>
      </c>
      <c r="K73" s="127">
        <f t="shared" si="85"/>
        <v>92121</v>
      </c>
      <c r="L73" s="127">
        <f t="shared" ref="L73" si="86">SUM(L74:L97)</f>
        <v>91367</v>
      </c>
    </row>
    <row r="74" spans="1:17">
      <c r="A74" s="124" t="s">
        <v>6957</v>
      </c>
      <c r="B74" s="124" t="s">
        <v>6387</v>
      </c>
      <c r="C74" s="4" t="s">
        <v>10983</v>
      </c>
      <c r="D74" s="127">
        <v>4774</v>
      </c>
      <c r="E74" s="127">
        <v>4782</v>
      </c>
      <c r="F74" s="127">
        <v>4768</v>
      </c>
      <c r="G74" s="30">
        <v>4849</v>
      </c>
      <c r="H74" s="30">
        <v>4819</v>
      </c>
      <c r="I74" s="30">
        <v>4752</v>
      </c>
      <c r="J74" s="30">
        <v>4614</v>
      </c>
      <c r="K74" s="30">
        <v>4624</v>
      </c>
      <c r="L74" s="30">
        <v>4564</v>
      </c>
      <c r="N74" s="124" t="s">
        <v>8375</v>
      </c>
      <c r="O74" s="4"/>
      <c r="Q74" s="4"/>
    </row>
    <row r="75" spans="1:17">
      <c r="A75" s="124" t="s">
        <v>6959</v>
      </c>
      <c r="B75" s="124" t="s">
        <v>6388</v>
      </c>
      <c r="C75" s="4" t="s">
        <v>10984</v>
      </c>
      <c r="D75" s="127">
        <v>3958</v>
      </c>
      <c r="E75" s="127">
        <v>4024</v>
      </c>
      <c r="F75" s="127">
        <v>4016</v>
      </c>
      <c r="G75" s="30">
        <v>4024</v>
      </c>
      <c r="H75" s="30">
        <v>4003</v>
      </c>
      <c r="I75" s="30">
        <v>4002</v>
      </c>
      <c r="J75" s="30">
        <v>3790</v>
      </c>
      <c r="K75" s="30">
        <v>3846</v>
      </c>
      <c r="L75" s="30">
        <v>3772</v>
      </c>
      <c r="N75" s="124" t="s">
        <v>8375</v>
      </c>
      <c r="O75" s="4"/>
      <c r="Q75" s="4"/>
    </row>
    <row r="76" spans="1:17">
      <c r="A76" s="124" t="s">
        <v>6961</v>
      </c>
      <c r="B76" s="124" t="s">
        <v>6389</v>
      </c>
      <c r="C76" s="4" t="s">
        <v>10985</v>
      </c>
      <c r="D76" s="131">
        <v>3936</v>
      </c>
      <c r="E76" s="131">
        <v>3875</v>
      </c>
      <c r="F76" s="131">
        <v>3935</v>
      </c>
      <c r="G76" s="30">
        <v>3927</v>
      </c>
      <c r="H76" s="30">
        <v>3664</v>
      </c>
      <c r="I76" s="30">
        <v>2322</v>
      </c>
      <c r="J76" s="30">
        <v>1926</v>
      </c>
      <c r="K76" s="30">
        <v>2753</v>
      </c>
      <c r="L76" s="30">
        <v>2835</v>
      </c>
      <c r="N76" s="124" t="s">
        <v>8375</v>
      </c>
      <c r="O76" s="4"/>
      <c r="Q76" s="4"/>
    </row>
    <row r="77" spans="1:17">
      <c r="A77" s="124" t="s">
        <v>6963</v>
      </c>
      <c r="B77" s="124" t="s">
        <v>2872</v>
      </c>
      <c r="C77" s="4" t="s">
        <v>10986</v>
      </c>
      <c r="D77" s="127">
        <v>4321</v>
      </c>
      <c r="E77" s="127">
        <v>4450</v>
      </c>
      <c r="F77" s="127">
        <v>4672</v>
      </c>
      <c r="G77" s="30">
        <v>4706</v>
      </c>
      <c r="H77" s="30">
        <v>4790</v>
      </c>
      <c r="I77" s="30">
        <v>3974</v>
      </c>
      <c r="J77" s="30">
        <v>3715</v>
      </c>
      <c r="K77" s="30">
        <v>3792</v>
      </c>
      <c r="L77" s="30">
        <v>3919</v>
      </c>
      <c r="N77" s="124" t="s">
        <v>8375</v>
      </c>
      <c r="O77" s="4"/>
      <c r="Q77" s="4"/>
    </row>
    <row r="78" spans="1:17">
      <c r="A78" s="124" t="s">
        <v>6965</v>
      </c>
      <c r="B78" s="124" t="s">
        <v>6390</v>
      </c>
      <c r="C78" s="4" t="s">
        <v>10987</v>
      </c>
      <c r="D78" s="127">
        <v>4040</v>
      </c>
      <c r="E78" s="127">
        <v>4051</v>
      </c>
      <c r="F78" s="127">
        <v>4070</v>
      </c>
      <c r="G78" s="30">
        <v>4121</v>
      </c>
      <c r="H78" s="30">
        <v>4145</v>
      </c>
      <c r="I78" s="30">
        <v>4088</v>
      </c>
      <c r="J78" s="30">
        <v>3937</v>
      </c>
      <c r="K78" s="30">
        <v>3975</v>
      </c>
      <c r="L78" s="30">
        <v>3957</v>
      </c>
      <c r="N78" s="124" t="s">
        <v>8375</v>
      </c>
      <c r="O78" s="4"/>
      <c r="Q78" s="4"/>
    </row>
    <row r="79" spans="1:17">
      <c r="A79" s="124" t="s">
        <v>6997</v>
      </c>
      <c r="B79" s="124" t="s">
        <v>6391</v>
      </c>
      <c r="C79" s="4" t="s">
        <v>10988</v>
      </c>
      <c r="D79" s="127">
        <v>4387</v>
      </c>
      <c r="E79" s="127">
        <v>4557</v>
      </c>
      <c r="F79" s="127">
        <v>4400</v>
      </c>
      <c r="G79" s="30">
        <v>4594</v>
      </c>
      <c r="H79" s="30">
        <v>4487</v>
      </c>
      <c r="I79" s="30">
        <v>4018</v>
      </c>
      <c r="J79" s="30">
        <v>3982</v>
      </c>
      <c r="K79" s="30">
        <v>4067</v>
      </c>
      <c r="L79" s="30">
        <v>4041</v>
      </c>
      <c r="N79" s="124" t="s">
        <v>8375</v>
      </c>
      <c r="O79" s="4"/>
      <c r="Q79" s="4"/>
    </row>
    <row r="80" spans="1:17">
      <c r="A80" s="124" t="s">
        <v>6999</v>
      </c>
      <c r="B80" s="124" t="s">
        <v>6392</v>
      </c>
      <c r="C80" s="4" t="s">
        <v>10989</v>
      </c>
      <c r="D80" s="127">
        <v>4010</v>
      </c>
      <c r="E80" s="127">
        <v>4102</v>
      </c>
      <c r="F80" s="127">
        <v>4189</v>
      </c>
      <c r="G80" s="30">
        <v>4167</v>
      </c>
      <c r="H80" s="30">
        <v>4144</v>
      </c>
      <c r="I80" s="30">
        <v>3948</v>
      </c>
      <c r="J80" s="30">
        <v>3843</v>
      </c>
      <c r="K80" s="30">
        <v>3962</v>
      </c>
      <c r="L80" s="30">
        <v>3866</v>
      </c>
      <c r="N80" s="124" t="s">
        <v>8375</v>
      </c>
      <c r="O80" s="4"/>
      <c r="Q80" s="4"/>
    </row>
    <row r="81" spans="1:17">
      <c r="A81" s="124" t="s">
        <v>7001</v>
      </c>
      <c r="B81" s="124" t="s">
        <v>6393</v>
      </c>
      <c r="C81" s="4" t="s">
        <v>10990</v>
      </c>
      <c r="D81" s="127">
        <v>4066</v>
      </c>
      <c r="E81" s="127">
        <v>4411</v>
      </c>
      <c r="F81" s="127">
        <v>4397</v>
      </c>
      <c r="G81" s="30">
        <v>4202</v>
      </c>
      <c r="H81" s="30">
        <v>4369</v>
      </c>
      <c r="I81" s="30">
        <v>3396</v>
      </c>
      <c r="J81" s="30">
        <v>3109</v>
      </c>
      <c r="K81" s="30">
        <v>3314</v>
      </c>
      <c r="L81" s="30">
        <v>3376</v>
      </c>
      <c r="N81" s="124" t="s">
        <v>8375</v>
      </c>
      <c r="O81" s="4"/>
      <c r="Q81" s="4"/>
    </row>
    <row r="82" spans="1:17">
      <c r="A82" s="124" t="s">
        <v>7003</v>
      </c>
      <c r="B82" s="124" t="s">
        <v>6394</v>
      </c>
      <c r="C82" s="4" t="s">
        <v>10991</v>
      </c>
      <c r="D82" s="127">
        <v>4218</v>
      </c>
      <c r="E82" s="127">
        <v>4245</v>
      </c>
      <c r="F82" s="127">
        <v>4250</v>
      </c>
      <c r="G82" s="30">
        <v>4176</v>
      </c>
      <c r="H82" s="30">
        <v>4085</v>
      </c>
      <c r="I82" s="30">
        <v>3775</v>
      </c>
      <c r="J82" s="30">
        <v>3717</v>
      </c>
      <c r="K82" s="30">
        <v>3844</v>
      </c>
      <c r="L82" s="30">
        <v>3747</v>
      </c>
      <c r="N82" s="124" t="s">
        <v>8375</v>
      </c>
      <c r="O82" s="4"/>
      <c r="Q82" s="4"/>
    </row>
    <row r="83" spans="1:17">
      <c r="A83" s="124" t="s">
        <v>7005</v>
      </c>
      <c r="B83" s="124" t="s">
        <v>6196</v>
      </c>
      <c r="C83" s="4" t="s">
        <v>10992</v>
      </c>
      <c r="D83" s="131">
        <v>3793</v>
      </c>
      <c r="E83" s="131">
        <v>3868</v>
      </c>
      <c r="F83" s="131">
        <v>3789</v>
      </c>
      <c r="G83" s="30">
        <v>3253</v>
      </c>
      <c r="H83" s="30">
        <v>3590</v>
      </c>
      <c r="I83" s="30">
        <v>1503</v>
      </c>
      <c r="J83" s="30">
        <v>1573</v>
      </c>
      <c r="K83" s="30">
        <v>2431</v>
      </c>
      <c r="L83" s="30">
        <v>2281</v>
      </c>
      <c r="N83" s="124" t="s">
        <v>8375</v>
      </c>
      <c r="O83" s="4"/>
      <c r="Q83" s="4"/>
    </row>
    <row r="84" spans="1:17">
      <c r="A84" s="124" t="s">
        <v>7007</v>
      </c>
      <c r="B84" s="124" t="s">
        <v>6395</v>
      </c>
      <c r="C84" s="4" t="s">
        <v>10993</v>
      </c>
      <c r="D84" s="127">
        <v>3943</v>
      </c>
      <c r="E84" s="127">
        <v>4060</v>
      </c>
      <c r="F84" s="127">
        <v>3948</v>
      </c>
      <c r="G84" s="30">
        <v>3815</v>
      </c>
      <c r="H84" s="30">
        <v>3726</v>
      </c>
      <c r="I84" s="30">
        <v>3604</v>
      </c>
      <c r="J84" s="30">
        <v>3645</v>
      </c>
      <c r="K84" s="30">
        <v>3653</v>
      </c>
      <c r="L84" s="30">
        <v>3601</v>
      </c>
      <c r="N84" s="124" t="s">
        <v>8375</v>
      </c>
      <c r="O84" s="4"/>
      <c r="Q84" s="4"/>
    </row>
    <row r="85" spans="1:17">
      <c r="A85" s="124" t="s">
        <v>7009</v>
      </c>
      <c r="B85" s="124" t="s">
        <v>6396</v>
      </c>
      <c r="C85" s="4" t="s">
        <v>10994</v>
      </c>
      <c r="D85" s="127">
        <v>4672</v>
      </c>
      <c r="E85" s="127">
        <v>4579</v>
      </c>
      <c r="F85" s="127">
        <v>4529</v>
      </c>
      <c r="G85" s="31">
        <v>4475</v>
      </c>
      <c r="H85" s="31">
        <v>4487</v>
      </c>
      <c r="I85" s="31">
        <v>4178</v>
      </c>
      <c r="J85" s="31">
        <v>4040</v>
      </c>
      <c r="K85" s="31">
        <v>4122</v>
      </c>
      <c r="L85" s="31">
        <v>4128</v>
      </c>
      <c r="N85" s="124" t="s">
        <v>8549</v>
      </c>
      <c r="O85" s="4"/>
      <c r="Q85" s="4"/>
    </row>
    <row r="86" spans="1:17">
      <c r="A86" s="124" t="s">
        <v>7011</v>
      </c>
      <c r="B86" s="124" t="s">
        <v>6397</v>
      </c>
      <c r="C86" s="4" t="s">
        <v>10995</v>
      </c>
      <c r="D86" s="127">
        <v>4342</v>
      </c>
      <c r="E86" s="127">
        <v>4288</v>
      </c>
      <c r="F86" s="127">
        <v>4467</v>
      </c>
      <c r="G86" s="30">
        <v>4560</v>
      </c>
      <c r="H86" s="30">
        <v>4471</v>
      </c>
      <c r="I86" s="30">
        <v>4393</v>
      </c>
      <c r="J86" s="30">
        <v>4305</v>
      </c>
      <c r="K86" s="30">
        <v>4382</v>
      </c>
      <c r="L86" s="30">
        <v>4260</v>
      </c>
      <c r="N86" s="124" t="s">
        <v>8375</v>
      </c>
      <c r="O86" s="4"/>
      <c r="Q86" s="4"/>
    </row>
    <row r="87" spans="1:17">
      <c r="A87" s="124" t="s">
        <v>7013</v>
      </c>
      <c r="B87" s="124" t="s">
        <v>6398</v>
      </c>
      <c r="C87" s="4" t="s">
        <v>10996</v>
      </c>
      <c r="D87" s="127">
        <v>4507</v>
      </c>
      <c r="E87" s="127">
        <v>4564</v>
      </c>
      <c r="F87" s="127">
        <v>4649</v>
      </c>
      <c r="G87" s="30">
        <v>4650</v>
      </c>
      <c r="H87" s="30">
        <v>4682</v>
      </c>
      <c r="I87" s="30">
        <v>4471</v>
      </c>
      <c r="J87" s="30">
        <v>4327</v>
      </c>
      <c r="K87" s="30">
        <v>4355</v>
      </c>
      <c r="L87" s="30">
        <v>4338</v>
      </c>
      <c r="N87" s="124" t="s">
        <v>8375</v>
      </c>
      <c r="O87" s="4"/>
      <c r="Q87" s="4"/>
    </row>
    <row r="88" spans="1:17">
      <c r="A88" s="124" t="s">
        <v>7015</v>
      </c>
      <c r="B88" s="124" t="s">
        <v>4011</v>
      </c>
      <c r="C88" s="4" t="s">
        <v>10997</v>
      </c>
      <c r="D88" s="127">
        <v>4425</v>
      </c>
      <c r="E88" s="127">
        <v>4456</v>
      </c>
      <c r="F88" s="127">
        <v>4440</v>
      </c>
      <c r="G88" s="30">
        <v>4380</v>
      </c>
      <c r="H88" s="30">
        <v>4371</v>
      </c>
      <c r="I88" s="30">
        <v>4320</v>
      </c>
      <c r="J88" s="30">
        <v>4232</v>
      </c>
      <c r="K88" s="30">
        <v>4274</v>
      </c>
      <c r="L88" s="30">
        <v>4236</v>
      </c>
      <c r="N88" s="124" t="s">
        <v>8375</v>
      </c>
      <c r="O88" s="4"/>
      <c r="Q88" s="4"/>
    </row>
    <row r="89" spans="1:17">
      <c r="A89" s="124" t="s">
        <v>7017</v>
      </c>
      <c r="B89" s="124" t="s">
        <v>7872</v>
      </c>
      <c r="C89" s="4" t="s">
        <v>10998</v>
      </c>
      <c r="D89" s="127">
        <v>4009</v>
      </c>
      <c r="E89" s="127">
        <v>3991</v>
      </c>
      <c r="F89" s="127">
        <v>3994</v>
      </c>
      <c r="G89" s="31">
        <v>4102</v>
      </c>
      <c r="H89" s="31">
        <v>4083</v>
      </c>
      <c r="I89" s="31">
        <v>2928</v>
      </c>
      <c r="J89" s="31">
        <v>2936</v>
      </c>
      <c r="K89" s="31">
        <v>3088</v>
      </c>
      <c r="L89" s="31">
        <v>3057</v>
      </c>
      <c r="N89" s="124" t="s">
        <v>8549</v>
      </c>
      <c r="O89" s="4"/>
      <c r="Q89" s="4"/>
    </row>
    <row r="90" spans="1:17">
      <c r="A90" s="124" t="s">
        <v>7019</v>
      </c>
      <c r="B90" s="124" t="s">
        <v>6399</v>
      </c>
      <c r="C90" s="4" t="s">
        <v>10999</v>
      </c>
      <c r="D90" s="127">
        <v>4212</v>
      </c>
      <c r="E90" s="127">
        <v>4195</v>
      </c>
      <c r="F90" s="127">
        <v>4195</v>
      </c>
      <c r="G90" s="30">
        <v>4257</v>
      </c>
      <c r="H90" s="30">
        <v>4210</v>
      </c>
      <c r="I90" s="30">
        <v>4174</v>
      </c>
      <c r="J90" s="30">
        <v>4081</v>
      </c>
      <c r="K90" s="30">
        <v>4053</v>
      </c>
      <c r="L90" s="30">
        <v>4075</v>
      </c>
      <c r="N90" s="124" t="s">
        <v>8375</v>
      </c>
      <c r="O90" s="4"/>
      <c r="Q90" s="4"/>
    </row>
    <row r="91" spans="1:17">
      <c r="A91" s="124" t="s">
        <v>7021</v>
      </c>
      <c r="B91" s="124" t="s">
        <v>8160</v>
      </c>
      <c r="C91" s="4" t="s">
        <v>11000</v>
      </c>
      <c r="D91" s="127">
        <v>4383</v>
      </c>
      <c r="E91" s="127">
        <v>4424</v>
      </c>
      <c r="F91" s="127">
        <v>4477</v>
      </c>
      <c r="G91" s="31">
        <v>4581</v>
      </c>
      <c r="H91" s="31">
        <v>4508</v>
      </c>
      <c r="I91" s="31">
        <v>4412</v>
      </c>
      <c r="J91" s="31">
        <v>4418</v>
      </c>
      <c r="K91" s="31">
        <v>4386</v>
      </c>
      <c r="L91" s="31">
        <v>4329</v>
      </c>
      <c r="N91" s="124" t="s">
        <v>8375</v>
      </c>
      <c r="O91" s="4"/>
      <c r="Q91" s="4"/>
    </row>
    <row r="92" spans="1:17">
      <c r="A92" s="124" t="s">
        <v>7023</v>
      </c>
      <c r="B92" s="124" t="s">
        <v>8161</v>
      </c>
      <c r="C92" s="4" t="s">
        <v>11001</v>
      </c>
      <c r="D92" s="127">
        <v>4000</v>
      </c>
      <c r="E92" s="127">
        <v>4138</v>
      </c>
      <c r="F92" s="127">
        <v>4260</v>
      </c>
      <c r="G92" s="31">
        <v>4273</v>
      </c>
      <c r="H92" s="31">
        <v>4356</v>
      </c>
      <c r="I92" s="31">
        <v>4341</v>
      </c>
      <c r="J92" s="31">
        <v>4235</v>
      </c>
      <c r="K92" s="31">
        <v>4342</v>
      </c>
      <c r="L92" s="31">
        <v>4304</v>
      </c>
      <c r="N92" s="124" t="s">
        <v>8375</v>
      </c>
      <c r="O92" s="4"/>
      <c r="Q92" s="4"/>
    </row>
    <row r="93" spans="1:17">
      <c r="A93" s="124" t="s">
        <v>7025</v>
      </c>
      <c r="B93" s="124" t="s">
        <v>1562</v>
      </c>
      <c r="C93" s="4" t="s">
        <v>11002</v>
      </c>
      <c r="D93" s="127">
        <v>4880</v>
      </c>
      <c r="E93" s="127">
        <v>4993</v>
      </c>
      <c r="F93" s="127">
        <v>4964</v>
      </c>
      <c r="G93" s="31">
        <v>4671</v>
      </c>
      <c r="H93" s="31">
        <v>4694</v>
      </c>
      <c r="I93" s="31">
        <v>4073</v>
      </c>
      <c r="J93" s="31">
        <v>3767</v>
      </c>
      <c r="K93" s="31">
        <v>3767</v>
      </c>
      <c r="L93" s="31">
        <v>3776</v>
      </c>
      <c r="N93" s="124" t="s">
        <v>8375</v>
      </c>
      <c r="O93" s="4"/>
      <c r="Q93" s="4"/>
    </row>
    <row r="94" spans="1:17">
      <c r="A94" s="124" t="s">
        <v>7570</v>
      </c>
      <c r="B94" s="124" t="s">
        <v>8162</v>
      </c>
      <c r="C94" s="4" t="s">
        <v>11003</v>
      </c>
      <c r="D94" s="127">
        <v>3847</v>
      </c>
      <c r="E94" s="127">
        <v>3872</v>
      </c>
      <c r="F94" s="127">
        <v>3900</v>
      </c>
      <c r="G94" s="31">
        <v>3672</v>
      </c>
      <c r="H94" s="31">
        <v>3653</v>
      </c>
      <c r="I94" s="31">
        <v>3029</v>
      </c>
      <c r="J94" s="31">
        <v>2965</v>
      </c>
      <c r="K94" s="31">
        <v>3139</v>
      </c>
      <c r="L94" s="31">
        <v>3083</v>
      </c>
      <c r="N94" s="124" t="s">
        <v>8549</v>
      </c>
      <c r="O94" s="4"/>
      <c r="Q94" s="4"/>
    </row>
    <row r="95" spans="1:17">
      <c r="A95" s="124" t="s">
        <v>7572</v>
      </c>
      <c r="B95" s="124" t="s">
        <v>8835</v>
      </c>
      <c r="C95" s="4" t="s">
        <v>11004</v>
      </c>
      <c r="D95" s="127">
        <v>3918</v>
      </c>
      <c r="E95" s="127">
        <v>4161</v>
      </c>
      <c r="F95" s="127">
        <v>3962</v>
      </c>
      <c r="G95" s="31">
        <v>3703</v>
      </c>
      <c r="H95" s="31">
        <v>3704</v>
      </c>
      <c r="I95" s="31">
        <v>3172</v>
      </c>
      <c r="J95" s="31">
        <v>3077</v>
      </c>
      <c r="K95" s="31">
        <v>3319</v>
      </c>
      <c r="L95" s="31">
        <v>3215</v>
      </c>
      <c r="N95" s="124" t="s">
        <v>8375</v>
      </c>
      <c r="O95" s="4"/>
      <c r="Q95" s="4"/>
    </row>
    <row r="96" spans="1:17">
      <c r="A96" s="124" t="s">
        <v>7573</v>
      </c>
      <c r="B96" s="124" t="s">
        <v>8163</v>
      </c>
      <c r="C96" s="4" t="s">
        <v>11005</v>
      </c>
      <c r="D96" s="127">
        <v>4589</v>
      </c>
      <c r="E96" s="127">
        <v>4681</v>
      </c>
      <c r="F96" s="127">
        <v>4675</v>
      </c>
      <c r="G96" s="31">
        <v>4607</v>
      </c>
      <c r="H96" s="31">
        <v>4533</v>
      </c>
      <c r="I96" s="31">
        <v>4318</v>
      </c>
      <c r="J96" s="31">
        <v>4197</v>
      </c>
      <c r="K96" s="31">
        <v>4322</v>
      </c>
      <c r="L96" s="31">
        <v>4312</v>
      </c>
      <c r="N96" s="124" t="s">
        <v>8549</v>
      </c>
      <c r="O96" s="4"/>
      <c r="Q96" s="4"/>
    </row>
    <row r="97" spans="1:17">
      <c r="A97" s="124" t="s">
        <v>5798</v>
      </c>
      <c r="B97" s="124" t="s">
        <v>8164</v>
      </c>
      <c r="C97" s="4" t="s">
        <v>11006</v>
      </c>
      <c r="D97" s="127">
        <v>4335</v>
      </c>
      <c r="E97" s="127">
        <v>4341</v>
      </c>
      <c r="F97" s="127">
        <v>4363</v>
      </c>
      <c r="G97" s="31">
        <v>4388</v>
      </c>
      <c r="H97" s="31">
        <v>4378</v>
      </c>
      <c r="I97" s="31">
        <v>4360</v>
      </c>
      <c r="J97" s="31">
        <v>4281</v>
      </c>
      <c r="K97" s="31">
        <v>4311</v>
      </c>
      <c r="L97" s="31">
        <v>4295</v>
      </c>
      <c r="N97" s="124" t="s">
        <v>8549</v>
      </c>
      <c r="O97" s="4"/>
      <c r="Q97" s="4"/>
    </row>
    <row r="98" spans="1:17">
      <c r="A98" s="124"/>
      <c r="D98" s="128"/>
      <c r="E98" s="128"/>
      <c r="F98" s="128"/>
      <c r="G98" s="128"/>
      <c r="H98" s="128"/>
      <c r="I98" s="128"/>
      <c r="J98" s="128"/>
      <c r="K98" s="128"/>
      <c r="L98" s="128"/>
    </row>
    <row r="99" spans="1:17">
      <c r="A99" s="124" t="s">
        <v>8375</v>
      </c>
      <c r="D99" s="127">
        <f t="shared" ref="D99:I99" si="87">SUM(D74:D84)+SUM(D86:D88)+SUM(D90:D93)+D95</f>
        <v>80113</v>
      </c>
      <c r="E99" s="127">
        <f t="shared" si="87"/>
        <v>81644</v>
      </c>
      <c r="F99" s="127">
        <f t="shared" si="87"/>
        <v>81848</v>
      </c>
      <c r="G99" s="127">
        <f t="shared" si="87"/>
        <v>80909</v>
      </c>
      <c r="H99" s="127">
        <f t="shared" si="87"/>
        <v>80818</v>
      </c>
      <c r="I99" s="127">
        <f t="shared" si="87"/>
        <v>72738</v>
      </c>
      <c r="J99" s="127">
        <f t="shared" ref="J99:K99" si="88">SUM(J74:J84)+SUM(J86:J88)+SUM(J90:J93)+J95</f>
        <v>70293</v>
      </c>
      <c r="K99" s="127">
        <f t="shared" si="88"/>
        <v>73139</v>
      </c>
      <c r="L99" s="127">
        <f t="shared" ref="L99" si="89">SUM(L74:L84)+SUM(L86:L88)+SUM(L90:L93)+L95</f>
        <v>72492</v>
      </c>
    </row>
    <row r="100" spans="1:17">
      <c r="A100" s="124" t="s">
        <v>6385</v>
      </c>
      <c r="D100" s="127">
        <f t="shared" ref="D100:I100" si="90">D85+D89+D94+D96+D97</f>
        <v>21452</v>
      </c>
      <c r="E100" s="127">
        <f t="shared" si="90"/>
        <v>21464</v>
      </c>
      <c r="F100" s="127">
        <f t="shared" si="90"/>
        <v>21461</v>
      </c>
      <c r="G100" s="127">
        <f t="shared" si="90"/>
        <v>21244</v>
      </c>
      <c r="H100" s="127">
        <f t="shared" si="90"/>
        <v>21134</v>
      </c>
      <c r="I100" s="127">
        <f t="shared" si="90"/>
        <v>18813</v>
      </c>
      <c r="J100" s="127">
        <f t="shared" ref="J100:K100" si="91">J85+J89+J94+J96+J97</f>
        <v>18419</v>
      </c>
      <c r="K100" s="127">
        <f t="shared" si="91"/>
        <v>18982</v>
      </c>
      <c r="L100" s="127">
        <f t="shared" ref="L100" si="92">L85+L89+L94+L96+L97</f>
        <v>18875</v>
      </c>
    </row>
    <row r="101" spans="1:17">
      <c r="A101" s="124"/>
      <c r="D101" s="127"/>
      <c r="E101" s="127"/>
      <c r="F101" s="127"/>
      <c r="G101" s="127"/>
      <c r="H101" s="127"/>
      <c r="I101" s="127"/>
      <c r="J101" s="127"/>
      <c r="K101" s="127"/>
      <c r="L101" s="127"/>
    </row>
    <row r="102" spans="1:17">
      <c r="A102" s="124" t="s">
        <v>8165</v>
      </c>
      <c r="D102" s="127"/>
      <c r="E102" s="127"/>
      <c r="F102" s="127"/>
      <c r="G102" s="127"/>
      <c r="H102" s="127"/>
      <c r="I102" s="127"/>
      <c r="J102" s="127"/>
      <c r="K102" s="127"/>
      <c r="L102" s="127"/>
    </row>
    <row r="103" spans="1:17">
      <c r="A103" s="124"/>
      <c r="B103" s="124"/>
      <c r="D103" s="133"/>
      <c r="E103" s="133"/>
      <c r="F103" s="133"/>
      <c r="G103" s="133"/>
      <c r="H103" s="133"/>
      <c r="I103" s="133"/>
      <c r="J103" s="133"/>
      <c r="K103" s="133"/>
      <c r="L103" s="133"/>
    </row>
    <row r="104" spans="1:17">
      <c r="A104" s="124"/>
      <c r="B104" s="124"/>
      <c r="D104" s="133"/>
      <c r="E104" s="133"/>
      <c r="F104" s="133"/>
      <c r="G104" s="133"/>
      <c r="H104" s="133"/>
      <c r="I104" s="133"/>
      <c r="J104" s="133"/>
      <c r="K104" s="133"/>
      <c r="L104" s="133"/>
    </row>
    <row r="105" spans="1:17">
      <c r="E105" s="42" t="s">
        <v>2303</v>
      </c>
      <c r="F105" s="42"/>
      <c r="G105" s="42"/>
      <c r="H105" s="42"/>
      <c r="I105" s="42"/>
      <c r="J105" s="42"/>
      <c r="K105" s="42"/>
      <c r="L105" s="42"/>
      <c r="M105" s="109"/>
      <c r="N105" s="109" t="s">
        <v>13319</v>
      </c>
    </row>
    <row r="106" spans="1:17">
      <c r="D106" s="110">
        <v>2010</v>
      </c>
      <c r="E106" s="110">
        <v>2011</v>
      </c>
      <c r="F106" s="110">
        <v>2012</v>
      </c>
      <c r="G106" s="110">
        <v>2013</v>
      </c>
      <c r="H106" s="110">
        <v>2014</v>
      </c>
      <c r="I106" s="110">
        <v>2015</v>
      </c>
      <c r="J106" s="110">
        <v>2016</v>
      </c>
      <c r="K106" s="110">
        <v>2017</v>
      </c>
      <c r="L106" s="110">
        <v>2018</v>
      </c>
      <c r="M106" s="109"/>
      <c r="N106" s="112" t="s">
        <v>2304</v>
      </c>
    </row>
    <row r="107" spans="1:17">
      <c r="A107" s="124" t="s">
        <v>8166</v>
      </c>
      <c r="D107" s="127">
        <f t="shared" ref="D107:J107" si="93">SUM(D108:D123)+SUM(D125:D130)</f>
        <v>99930</v>
      </c>
      <c r="E107" s="127">
        <f t="shared" si="93"/>
        <v>100482</v>
      </c>
      <c r="F107" s="127">
        <f t="shared" si="93"/>
        <v>100930</v>
      </c>
      <c r="G107" s="127">
        <f t="shared" si="93"/>
        <v>101709</v>
      </c>
      <c r="H107" s="127">
        <f t="shared" si="93"/>
        <v>102398</v>
      </c>
      <c r="I107" s="127">
        <f t="shared" si="93"/>
        <v>104680</v>
      </c>
      <c r="J107" s="127">
        <f t="shared" si="93"/>
        <v>99880</v>
      </c>
      <c r="K107" s="127">
        <f t="shared" ref="K107:L107" si="94">SUM(K108:K123)+SUM(K125:K130)</f>
        <v>102113</v>
      </c>
      <c r="L107" s="127">
        <f t="shared" si="94"/>
        <v>101906</v>
      </c>
    </row>
    <row r="108" spans="1:17">
      <c r="A108" s="124" t="s">
        <v>6957</v>
      </c>
      <c r="B108" s="124" t="s">
        <v>15302</v>
      </c>
      <c r="C108" s="4" t="s">
        <v>15303</v>
      </c>
      <c r="D108" s="127">
        <v>69340</v>
      </c>
      <c r="E108" s="127">
        <v>69670</v>
      </c>
      <c r="F108" s="127">
        <v>69901</v>
      </c>
      <c r="G108" s="48">
        <v>70292</v>
      </c>
      <c r="H108" s="48">
        <v>70642</v>
      </c>
      <c r="I108" s="30">
        <v>72052</v>
      </c>
      <c r="J108" s="30">
        <v>5716</v>
      </c>
      <c r="K108" s="30">
        <v>5858</v>
      </c>
      <c r="L108" s="30">
        <v>5787</v>
      </c>
      <c r="N108" s="124" t="s">
        <v>4935</v>
      </c>
      <c r="O108" s="4"/>
      <c r="Q108" s="4"/>
    </row>
    <row r="109" spans="1:17">
      <c r="A109" s="124" t="s">
        <v>6959</v>
      </c>
      <c r="B109" s="124" t="s">
        <v>6717</v>
      </c>
      <c r="C109" s="4" t="s">
        <v>15318</v>
      </c>
      <c r="D109" s="127">
        <v>0</v>
      </c>
      <c r="E109" s="127">
        <v>0</v>
      </c>
      <c r="F109" s="127">
        <v>0</v>
      </c>
      <c r="G109" s="48">
        <v>0</v>
      </c>
      <c r="H109" s="48">
        <v>0</v>
      </c>
      <c r="I109" s="30">
        <v>0</v>
      </c>
      <c r="J109" s="30">
        <v>2846</v>
      </c>
      <c r="K109" s="30">
        <v>2833</v>
      </c>
      <c r="L109" s="30">
        <v>2833</v>
      </c>
      <c r="N109" s="124" t="s">
        <v>4935</v>
      </c>
      <c r="O109" s="4"/>
      <c r="Q109" s="4"/>
    </row>
    <row r="110" spans="1:17">
      <c r="A110" s="124" t="s">
        <v>6961</v>
      </c>
      <c r="B110" s="124" t="s">
        <v>6718</v>
      </c>
      <c r="C110" s="4" t="s">
        <v>15319</v>
      </c>
      <c r="D110" s="127">
        <v>0</v>
      </c>
      <c r="E110" s="127">
        <v>0</v>
      </c>
      <c r="F110" s="127">
        <v>0</v>
      </c>
      <c r="G110" s="48">
        <v>0</v>
      </c>
      <c r="H110" s="48">
        <v>0</v>
      </c>
      <c r="I110" s="30">
        <v>0</v>
      </c>
      <c r="J110" s="30">
        <v>2643</v>
      </c>
      <c r="K110" s="30">
        <v>2689</v>
      </c>
      <c r="L110" s="30">
        <v>2654</v>
      </c>
      <c r="N110" s="124" t="s">
        <v>4935</v>
      </c>
      <c r="O110" s="4"/>
      <c r="Q110" s="4"/>
    </row>
    <row r="111" spans="1:17">
      <c r="A111" s="124" t="s">
        <v>6963</v>
      </c>
      <c r="B111" s="124" t="s">
        <v>6719</v>
      </c>
      <c r="C111" s="4" t="s">
        <v>15320</v>
      </c>
      <c r="D111" s="127">
        <v>0</v>
      </c>
      <c r="E111" s="127">
        <v>0</v>
      </c>
      <c r="F111" s="127">
        <v>0</v>
      </c>
      <c r="G111" s="48">
        <v>0</v>
      </c>
      <c r="H111" s="48">
        <v>0</v>
      </c>
      <c r="I111" s="31">
        <v>0</v>
      </c>
      <c r="J111" s="31">
        <v>6118</v>
      </c>
      <c r="K111" s="30">
        <v>6195</v>
      </c>
      <c r="L111" s="30">
        <v>6258</v>
      </c>
      <c r="N111" s="124" t="s">
        <v>4935</v>
      </c>
      <c r="O111" s="4"/>
      <c r="Q111" s="4"/>
    </row>
    <row r="112" spans="1:17">
      <c r="A112" s="124" t="s">
        <v>6965</v>
      </c>
      <c r="B112" s="124" t="s">
        <v>15304</v>
      </c>
      <c r="C112" s="4" t="s">
        <v>15321</v>
      </c>
      <c r="D112" s="127">
        <v>30590</v>
      </c>
      <c r="E112" s="127">
        <v>30812</v>
      </c>
      <c r="F112" s="127">
        <v>31029</v>
      </c>
      <c r="G112" s="48">
        <v>31417</v>
      </c>
      <c r="H112" s="48">
        <v>31756</v>
      </c>
      <c r="I112" s="31">
        <v>32628</v>
      </c>
      <c r="J112" s="30">
        <v>6597</v>
      </c>
      <c r="K112" s="31">
        <v>6722</v>
      </c>
      <c r="L112" s="31">
        <v>6625</v>
      </c>
      <c r="N112" s="124" t="s">
        <v>8551</v>
      </c>
      <c r="O112" s="4"/>
      <c r="Q112" s="4"/>
    </row>
    <row r="113" spans="1:17">
      <c r="A113" s="124" t="s">
        <v>6997</v>
      </c>
      <c r="B113" s="124" t="s">
        <v>15305</v>
      </c>
      <c r="C113" s="4" t="s">
        <v>15322</v>
      </c>
      <c r="D113" s="127">
        <v>0</v>
      </c>
      <c r="E113" s="127">
        <v>0</v>
      </c>
      <c r="F113" s="127">
        <v>0</v>
      </c>
      <c r="G113" s="48">
        <v>0</v>
      </c>
      <c r="H113" s="48">
        <v>0</v>
      </c>
      <c r="I113" s="30">
        <v>0</v>
      </c>
      <c r="J113" s="31">
        <v>6805</v>
      </c>
      <c r="K113" s="31">
        <v>6751</v>
      </c>
      <c r="L113" s="31">
        <v>6725</v>
      </c>
      <c r="N113" s="124" t="s">
        <v>8551</v>
      </c>
      <c r="O113" s="4"/>
      <c r="Q113" s="4"/>
    </row>
    <row r="114" spans="1:17">
      <c r="A114" s="124" t="s">
        <v>6999</v>
      </c>
      <c r="B114" s="124" t="s">
        <v>15306</v>
      </c>
      <c r="C114" s="4" t="s">
        <v>15323</v>
      </c>
      <c r="D114" s="127">
        <v>0</v>
      </c>
      <c r="E114" s="127">
        <v>0</v>
      </c>
      <c r="F114" s="127">
        <v>0</v>
      </c>
      <c r="G114" s="48">
        <v>0</v>
      </c>
      <c r="H114" s="48">
        <v>0</v>
      </c>
      <c r="I114" s="30">
        <v>0</v>
      </c>
      <c r="J114" s="31">
        <v>7104</v>
      </c>
      <c r="K114" s="31">
        <v>7309</v>
      </c>
      <c r="L114" s="31">
        <v>7406</v>
      </c>
      <c r="N114" s="124" t="s">
        <v>8551</v>
      </c>
      <c r="O114" s="4"/>
      <c r="Q114" s="4"/>
    </row>
    <row r="115" spans="1:17">
      <c r="A115" s="124" t="s">
        <v>7001</v>
      </c>
      <c r="B115" s="124" t="s">
        <v>15307</v>
      </c>
      <c r="C115" s="4" t="s">
        <v>15324</v>
      </c>
      <c r="D115" s="127">
        <v>0</v>
      </c>
      <c r="E115" s="127">
        <v>0</v>
      </c>
      <c r="F115" s="127">
        <v>0</v>
      </c>
      <c r="G115" s="48">
        <v>0</v>
      </c>
      <c r="H115" s="48">
        <v>0</v>
      </c>
      <c r="I115" s="30">
        <v>0</v>
      </c>
      <c r="J115" s="31">
        <v>4663</v>
      </c>
      <c r="K115" s="31">
        <v>5207</v>
      </c>
      <c r="L115" s="31">
        <v>5340</v>
      </c>
      <c r="N115" s="124" t="s">
        <v>8551</v>
      </c>
      <c r="O115" s="4"/>
      <c r="Q115" s="4"/>
    </row>
    <row r="116" spans="1:17">
      <c r="A116" s="124" t="s">
        <v>7003</v>
      </c>
      <c r="B116" s="124" t="s">
        <v>15308</v>
      </c>
      <c r="C116" s="4" t="s">
        <v>15325</v>
      </c>
      <c r="D116" s="127">
        <v>0</v>
      </c>
      <c r="E116" s="127">
        <v>0</v>
      </c>
      <c r="F116" s="127">
        <v>0</v>
      </c>
      <c r="G116" s="48">
        <v>0</v>
      </c>
      <c r="H116" s="48">
        <v>0</v>
      </c>
      <c r="I116" s="30">
        <v>0</v>
      </c>
      <c r="J116" s="30">
        <v>2688</v>
      </c>
      <c r="K116" s="30">
        <v>2728</v>
      </c>
      <c r="L116" s="30">
        <v>2725</v>
      </c>
      <c r="N116" s="124" t="s">
        <v>4935</v>
      </c>
      <c r="O116" s="4"/>
      <c r="Q116" s="4"/>
    </row>
    <row r="117" spans="1:17">
      <c r="A117" s="124" t="s">
        <v>7005</v>
      </c>
      <c r="B117" s="124" t="s">
        <v>15309</v>
      </c>
      <c r="C117" s="4" t="s">
        <v>15326</v>
      </c>
      <c r="D117" s="127">
        <v>0</v>
      </c>
      <c r="E117" s="127">
        <v>0</v>
      </c>
      <c r="F117" s="127">
        <v>0</v>
      </c>
      <c r="G117" s="48">
        <v>0</v>
      </c>
      <c r="H117" s="48">
        <v>0</v>
      </c>
      <c r="I117" s="30">
        <v>0</v>
      </c>
      <c r="J117" s="30">
        <v>2752</v>
      </c>
      <c r="K117" s="30">
        <v>2796</v>
      </c>
      <c r="L117" s="30">
        <v>2784</v>
      </c>
      <c r="N117" s="124" t="s">
        <v>4935</v>
      </c>
      <c r="O117" s="4"/>
      <c r="Q117" s="4"/>
    </row>
    <row r="118" spans="1:17">
      <c r="A118" s="124" t="s">
        <v>7007</v>
      </c>
      <c r="B118" s="124" t="s">
        <v>3306</v>
      </c>
      <c r="C118" s="4" t="s">
        <v>15327</v>
      </c>
      <c r="D118" s="127">
        <v>0</v>
      </c>
      <c r="E118" s="127">
        <v>0</v>
      </c>
      <c r="F118" s="127">
        <v>0</v>
      </c>
      <c r="G118" s="48">
        <v>0</v>
      </c>
      <c r="H118" s="48">
        <v>0</v>
      </c>
      <c r="I118" s="30">
        <v>0</v>
      </c>
      <c r="J118" s="30">
        <v>2991</v>
      </c>
      <c r="K118" s="30">
        <v>3045</v>
      </c>
      <c r="L118" s="30">
        <v>2981</v>
      </c>
      <c r="N118" s="124" t="s">
        <v>4935</v>
      </c>
      <c r="O118" s="4"/>
      <c r="Q118" s="4"/>
    </row>
    <row r="119" spans="1:17">
      <c r="A119" s="124" t="s">
        <v>7009</v>
      </c>
      <c r="B119" s="124" t="s">
        <v>15310</v>
      </c>
      <c r="C119" s="4" t="s">
        <v>15328</v>
      </c>
      <c r="D119" s="127">
        <v>0</v>
      </c>
      <c r="E119" s="127">
        <v>0</v>
      </c>
      <c r="F119" s="127">
        <v>0</v>
      </c>
      <c r="G119" s="48">
        <v>0</v>
      </c>
      <c r="H119" s="48">
        <v>0</v>
      </c>
      <c r="I119" s="30">
        <v>0</v>
      </c>
      <c r="J119" s="30">
        <v>3062</v>
      </c>
      <c r="K119" s="30">
        <v>3110</v>
      </c>
      <c r="L119" s="30">
        <v>3071</v>
      </c>
      <c r="N119" s="124" t="s">
        <v>4935</v>
      </c>
      <c r="O119" s="4"/>
      <c r="Q119" s="4"/>
    </row>
    <row r="120" spans="1:17">
      <c r="A120" s="124" t="s">
        <v>7011</v>
      </c>
      <c r="B120" s="124" t="s">
        <v>15311</v>
      </c>
      <c r="C120" s="4" t="s">
        <v>15329</v>
      </c>
      <c r="D120" s="127">
        <v>0</v>
      </c>
      <c r="E120" s="127">
        <v>0</v>
      </c>
      <c r="F120" s="127">
        <v>0</v>
      </c>
      <c r="G120" s="48">
        <v>0</v>
      </c>
      <c r="H120" s="48">
        <v>0</v>
      </c>
      <c r="I120" s="30">
        <v>0</v>
      </c>
      <c r="J120" s="30">
        <v>8318</v>
      </c>
      <c r="K120" s="30">
        <v>8465</v>
      </c>
      <c r="L120" s="30">
        <v>8373</v>
      </c>
      <c r="N120" s="124" t="s">
        <v>4935</v>
      </c>
      <c r="O120" s="4"/>
      <c r="Q120" s="4"/>
    </row>
    <row r="121" spans="1:17">
      <c r="A121" s="124" t="s">
        <v>7013</v>
      </c>
      <c r="B121" s="124" t="s">
        <v>15312</v>
      </c>
      <c r="C121" s="4" t="s">
        <v>15330</v>
      </c>
      <c r="D121" s="127">
        <v>0</v>
      </c>
      <c r="E121" s="127">
        <v>0</v>
      </c>
      <c r="F121" s="127">
        <v>0</v>
      </c>
      <c r="G121" s="48">
        <v>0</v>
      </c>
      <c r="H121" s="48">
        <v>0</v>
      </c>
      <c r="I121" s="30">
        <v>0</v>
      </c>
      <c r="J121" s="30">
        <v>2789</v>
      </c>
      <c r="K121" s="30">
        <v>2808</v>
      </c>
      <c r="L121" s="30">
        <v>2797</v>
      </c>
      <c r="N121" s="124" t="s">
        <v>4935</v>
      </c>
      <c r="O121" s="4"/>
      <c r="Q121" s="4"/>
    </row>
    <row r="122" spans="1:17">
      <c r="A122" s="124" t="s">
        <v>7015</v>
      </c>
      <c r="B122" s="124" t="s">
        <v>15313</v>
      </c>
      <c r="C122" s="4" t="s">
        <v>15331</v>
      </c>
      <c r="D122" s="127">
        <v>0</v>
      </c>
      <c r="E122" s="127">
        <v>0</v>
      </c>
      <c r="F122" s="127">
        <v>0</v>
      </c>
      <c r="G122" s="48">
        <v>0</v>
      </c>
      <c r="H122" s="48">
        <v>0</v>
      </c>
      <c r="I122" s="30">
        <v>0</v>
      </c>
      <c r="J122" s="30">
        <v>2163</v>
      </c>
      <c r="K122" s="30">
        <v>2185</v>
      </c>
      <c r="L122" s="30">
        <v>2149</v>
      </c>
      <c r="N122" s="124" t="s">
        <v>4935</v>
      </c>
      <c r="O122" s="4"/>
      <c r="Q122" s="4"/>
    </row>
    <row r="123" spans="1:17" ht="15.75" thickBot="1">
      <c r="A123" s="124"/>
      <c r="B123" s="124"/>
      <c r="C123" s="4" t="s">
        <v>15331</v>
      </c>
      <c r="D123" s="130">
        <v>0</v>
      </c>
      <c r="E123" s="130">
        <v>0</v>
      </c>
      <c r="F123" s="130">
        <v>0</v>
      </c>
      <c r="G123" s="159">
        <v>0</v>
      </c>
      <c r="H123" s="159">
        <v>0</v>
      </c>
      <c r="I123" s="899">
        <v>0</v>
      </c>
      <c r="J123" s="31">
        <v>717</v>
      </c>
      <c r="K123" s="31">
        <v>743</v>
      </c>
      <c r="L123" s="31">
        <v>739</v>
      </c>
      <c r="N123" s="124" t="s">
        <v>8551</v>
      </c>
      <c r="O123" s="4"/>
      <c r="Q123" s="4"/>
    </row>
    <row r="124" spans="1:17" ht="15.75" thickBot="1">
      <c r="A124" s="124"/>
      <c r="B124" s="124"/>
      <c r="C124" s="4" t="s">
        <v>15331</v>
      </c>
      <c r="D124" s="916">
        <f>D122+D123</f>
        <v>0</v>
      </c>
      <c r="E124" s="916">
        <f t="shared" ref="E124:L124" si="95">E122+E123</f>
        <v>0</v>
      </c>
      <c r="F124" s="916">
        <f t="shared" si="95"/>
        <v>0</v>
      </c>
      <c r="G124" s="916">
        <f t="shared" si="95"/>
        <v>0</v>
      </c>
      <c r="H124" s="916">
        <f t="shared" si="95"/>
        <v>0</v>
      </c>
      <c r="I124" s="916">
        <f t="shared" si="95"/>
        <v>0</v>
      </c>
      <c r="J124" s="916">
        <f t="shared" si="95"/>
        <v>2880</v>
      </c>
      <c r="K124" s="916">
        <f t="shared" si="95"/>
        <v>2928</v>
      </c>
      <c r="L124" s="916">
        <f t="shared" si="95"/>
        <v>2888</v>
      </c>
      <c r="N124" s="124"/>
      <c r="O124" s="4"/>
      <c r="Q124" s="4"/>
    </row>
    <row r="125" spans="1:17">
      <c r="A125" s="124" t="s">
        <v>7017</v>
      </c>
      <c r="B125" s="124" t="s">
        <v>4976</v>
      </c>
      <c r="C125" s="4" t="s">
        <v>15332</v>
      </c>
      <c r="D125" s="127">
        <v>0</v>
      </c>
      <c r="E125" s="127">
        <v>0</v>
      </c>
      <c r="F125" s="127">
        <v>0</v>
      </c>
      <c r="G125" s="48">
        <v>0</v>
      </c>
      <c r="H125" s="48">
        <v>0</v>
      </c>
      <c r="I125" s="30">
        <v>0</v>
      </c>
      <c r="J125" s="30">
        <v>5214</v>
      </c>
      <c r="K125" s="30">
        <v>5402</v>
      </c>
      <c r="L125" s="30">
        <v>5324</v>
      </c>
      <c r="N125" s="124" t="s">
        <v>4935</v>
      </c>
      <c r="O125" s="4"/>
      <c r="Q125" s="4"/>
    </row>
    <row r="126" spans="1:17">
      <c r="A126" s="124" t="s">
        <v>7019</v>
      </c>
      <c r="B126" s="124" t="s">
        <v>15314</v>
      </c>
      <c r="C126" s="4" t="s">
        <v>15333</v>
      </c>
      <c r="D126" s="127">
        <v>0</v>
      </c>
      <c r="E126" s="127">
        <v>0</v>
      </c>
      <c r="F126" s="127">
        <v>0</v>
      </c>
      <c r="G126" s="48">
        <v>0</v>
      </c>
      <c r="H126" s="48">
        <v>0</v>
      </c>
      <c r="I126" s="30">
        <v>0</v>
      </c>
      <c r="J126" s="30">
        <v>8847</v>
      </c>
      <c r="K126" s="30">
        <v>9017</v>
      </c>
      <c r="L126" s="30">
        <v>9172</v>
      </c>
      <c r="N126" s="124" t="s">
        <v>4935</v>
      </c>
      <c r="O126" s="4"/>
      <c r="Q126" s="4"/>
    </row>
    <row r="127" spans="1:17">
      <c r="A127" s="124" t="s">
        <v>7021</v>
      </c>
      <c r="B127" s="124" t="s">
        <v>15315</v>
      </c>
      <c r="C127" s="4" t="s">
        <v>15334</v>
      </c>
      <c r="D127" s="127">
        <v>0</v>
      </c>
      <c r="E127" s="127">
        <v>0</v>
      </c>
      <c r="F127" s="127">
        <v>0</v>
      </c>
      <c r="G127" s="48">
        <v>0</v>
      </c>
      <c r="H127" s="48">
        <v>0</v>
      </c>
      <c r="I127" s="30">
        <v>0</v>
      </c>
      <c r="J127" s="31">
        <v>5625</v>
      </c>
      <c r="K127" s="31">
        <v>5838</v>
      </c>
      <c r="L127" s="31">
        <v>5849</v>
      </c>
      <c r="N127" s="124" t="s">
        <v>8551</v>
      </c>
      <c r="O127" s="4"/>
      <c r="Q127" s="4"/>
    </row>
    <row r="128" spans="1:17">
      <c r="A128" s="124" t="s">
        <v>7023</v>
      </c>
      <c r="B128" s="124" t="s">
        <v>2673</v>
      </c>
      <c r="C128" s="4" t="s">
        <v>15335</v>
      </c>
      <c r="D128" s="127">
        <v>0</v>
      </c>
      <c r="E128" s="127">
        <v>0</v>
      </c>
      <c r="F128" s="127">
        <v>0</v>
      </c>
      <c r="G128" s="48">
        <v>0</v>
      </c>
      <c r="H128" s="48">
        <v>0</v>
      </c>
      <c r="I128" s="30">
        <v>0</v>
      </c>
      <c r="J128" s="30">
        <v>2955</v>
      </c>
      <c r="K128" s="30">
        <v>2994</v>
      </c>
      <c r="L128" s="30">
        <v>2940</v>
      </c>
      <c r="N128" s="124" t="s">
        <v>4935</v>
      </c>
      <c r="O128" s="4"/>
      <c r="Q128" s="4"/>
    </row>
    <row r="129" spans="1:17">
      <c r="A129" s="124" t="s">
        <v>7025</v>
      </c>
      <c r="B129" s="124" t="s">
        <v>4090</v>
      </c>
      <c r="C129" s="4" t="s">
        <v>15336</v>
      </c>
      <c r="D129" s="127">
        <v>0</v>
      </c>
      <c r="E129" s="127">
        <v>0</v>
      </c>
      <c r="F129" s="127">
        <v>0</v>
      </c>
      <c r="G129" s="48">
        <v>0</v>
      </c>
      <c r="H129" s="48">
        <v>0</v>
      </c>
      <c r="I129" s="30">
        <v>0</v>
      </c>
      <c r="J129" s="30">
        <v>3023</v>
      </c>
      <c r="K129" s="30">
        <v>3031</v>
      </c>
      <c r="L129" s="30">
        <v>2985</v>
      </c>
      <c r="N129" s="124" t="s">
        <v>4935</v>
      </c>
      <c r="O129" s="4"/>
      <c r="Q129" s="4"/>
    </row>
    <row r="130" spans="1:17">
      <c r="A130" s="124" t="s">
        <v>7570</v>
      </c>
      <c r="B130" s="124" t="s">
        <v>15316</v>
      </c>
      <c r="C130" s="4" t="s">
        <v>15337</v>
      </c>
      <c r="D130" s="127">
        <v>0</v>
      </c>
      <c r="E130" s="127">
        <v>0</v>
      </c>
      <c r="F130" s="127">
        <v>0</v>
      </c>
      <c r="G130" s="48">
        <v>0</v>
      </c>
      <c r="H130" s="48">
        <v>0</v>
      </c>
      <c r="I130" s="30">
        <v>0</v>
      </c>
      <c r="J130" s="31">
        <v>6244</v>
      </c>
      <c r="K130" s="31">
        <v>6387</v>
      </c>
      <c r="L130" s="31">
        <v>6389</v>
      </c>
      <c r="N130" s="124" t="s">
        <v>4935</v>
      </c>
      <c r="O130" s="4"/>
      <c r="Q130" s="4"/>
    </row>
    <row r="131" spans="1:17">
      <c r="A131" s="124"/>
      <c r="B131" s="124"/>
      <c r="C131" s="4"/>
      <c r="D131" s="127"/>
      <c r="E131" s="127"/>
      <c r="F131" s="127"/>
      <c r="G131" s="48"/>
      <c r="H131" s="48"/>
      <c r="I131" s="30"/>
      <c r="J131" s="30"/>
      <c r="K131" s="30"/>
      <c r="L131" s="30"/>
      <c r="N131" s="124"/>
      <c r="O131" s="4"/>
      <c r="Q131" s="4"/>
    </row>
    <row r="132" spans="1:17">
      <c r="D132" s="128"/>
      <c r="E132" s="128"/>
      <c r="F132" s="128"/>
      <c r="G132" s="128"/>
      <c r="H132" s="128"/>
      <c r="I132" s="128"/>
      <c r="J132" s="128"/>
      <c r="K132" s="128"/>
      <c r="L132" s="128"/>
    </row>
    <row r="133" spans="1:17">
      <c r="A133" s="124" t="s">
        <v>6384</v>
      </c>
      <c r="D133" s="127">
        <f t="shared" ref="D133:I133" si="96">SUM(D108:D111)+SUM(D116:D122)+D125+D126+SUM(D128:D130)</f>
        <v>69340</v>
      </c>
      <c r="E133" s="127">
        <f t="shared" si="96"/>
        <v>69670</v>
      </c>
      <c r="F133" s="127">
        <f t="shared" si="96"/>
        <v>69901</v>
      </c>
      <c r="G133" s="127">
        <f t="shared" si="96"/>
        <v>70292</v>
      </c>
      <c r="H133" s="127">
        <f t="shared" si="96"/>
        <v>70642</v>
      </c>
      <c r="I133" s="127">
        <f t="shared" si="96"/>
        <v>72052</v>
      </c>
      <c r="J133" s="127">
        <f>SUM(J108:J111)+SUM(J116:J122)+J125+J126+SUM(J128:J130)</f>
        <v>68369</v>
      </c>
      <c r="K133" s="127">
        <f>SUM(K108:K111)+SUM(K116:K122)+K125+K126+SUM(K128:K130)</f>
        <v>69543</v>
      </c>
      <c r="L133" s="127">
        <f>SUM(L108:L111)+SUM(L116:L122)+L125+L126+SUM(L128:L130)</f>
        <v>69222</v>
      </c>
    </row>
    <row r="134" spans="1:17">
      <c r="A134" s="124" t="s">
        <v>3287</v>
      </c>
      <c r="D134" s="127">
        <f t="shared" ref="D134:I134" si="97">SUM(D112:D115)+D123+D127</f>
        <v>30590</v>
      </c>
      <c r="E134" s="127">
        <f t="shared" si="97"/>
        <v>30812</v>
      </c>
      <c r="F134" s="127">
        <f t="shared" si="97"/>
        <v>31029</v>
      </c>
      <c r="G134" s="127">
        <f t="shared" si="97"/>
        <v>31417</v>
      </c>
      <c r="H134" s="127">
        <f t="shared" si="97"/>
        <v>31756</v>
      </c>
      <c r="I134" s="127">
        <f t="shared" si="97"/>
        <v>32628</v>
      </c>
      <c r="J134" s="127">
        <f>SUM(J112:J115)+J123+J127</f>
        <v>31511</v>
      </c>
      <c r="K134" s="127">
        <f>SUM(K112:K115)+K123+K127</f>
        <v>32570</v>
      </c>
      <c r="L134" s="127">
        <f>SUM(L112:L115)+L123+L127</f>
        <v>32684</v>
      </c>
    </row>
    <row r="135" spans="1:17">
      <c r="A135" s="124"/>
      <c r="D135" s="127"/>
      <c r="E135" s="127"/>
      <c r="F135" s="127"/>
      <c r="G135" s="127"/>
      <c r="H135" s="127"/>
      <c r="I135" s="127"/>
      <c r="J135" s="127"/>
      <c r="K135" s="127"/>
      <c r="L135" s="127"/>
    </row>
    <row r="136" spans="1:17">
      <c r="A136" s="124" t="s">
        <v>15317</v>
      </c>
      <c r="D136" s="127"/>
      <c r="E136" s="127"/>
      <c r="F136" s="127"/>
      <c r="G136" s="127"/>
      <c r="H136" s="127"/>
      <c r="I136" s="127"/>
      <c r="J136" s="127"/>
      <c r="K136" s="127"/>
      <c r="L136" s="127"/>
    </row>
    <row r="137" spans="1:17">
      <c r="A137" s="124"/>
      <c r="B137" s="124"/>
      <c r="D137" s="133"/>
      <c r="E137" s="133"/>
      <c r="F137" s="133"/>
      <c r="G137" s="133"/>
      <c r="H137" s="133"/>
      <c r="I137" s="133"/>
      <c r="J137" s="133"/>
      <c r="K137" s="133"/>
      <c r="L137" s="133"/>
    </row>
    <row r="138" spans="1:17">
      <c r="A138" s="124"/>
      <c r="B138" s="124"/>
      <c r="D138" s="133"/>
      <c r="E138" s="133"/>
      <c r="F138" s="133"/>
      <c r="G138" s="133"/>
      <c r="H138" s="133"/>
      <c r="I138" s="133"/>
      <c r="J138" s="133"/>
      <c r="K138" s="133"/>
      <c r="L138" s="133"/>
    </row>
    <row r="139" spans="1:17">
      <c r="E139" s="42" t="s">
        <v>2303</v>
      </c>
      <c r="F139" s="42"/>
      <c r="G139" s="42"/>
      <c r="H139" s="42"/>
      <c r="I139" s="42"/>
      <c r="J139" s="42"/>
      <c r="K139" s="42"/>
      <c r="L139" s="42"/>
      <c r="M139" s="109"/>
      <c r="N139" s="109" t="s">
        <v>13319</v>
      </c>
    </row>
    <row r="140" spans="1:17">
      <c r="D140" s="110">
        <v>2010</v>
      </c>
      <c r="E140" s="110">
        <v>2011</v>
      </c>
      <c r="F140" s="110">
        <v>2012</v>
      </c>
      <c r="G140" s="110">
        <v>2013</v>
      </c>
      <c r="H140" s="110">
        <v>2014</v>
      </c>
      <c r="I140" s="110">
        <v>2015</v>
      </c>
      <c r="J140" s="110">
        <v>2016</v>
      </c>
      <c r="K140" s="110">
        <v>2017</v>
      </c>
      <c r="L140" s="110">
        <v>2018</v>
      </c>
      <c r="M140" s="109"/>
      <c r="N140" s="112" t="s">
        <v>2304</v>
      </c>
    </row>
    <row r="141" spans="1:17">
      <c r="A141" s="124" t="s">
        <v>3288</v>
      </c>
      <c r="D141" s="127">
        <f>SUM(D142:D157)+SUM(D159:D164)+SUM(D166:D169)</f>
        <v>90625</v>
      </c>
      <c r="E141" s="127">
        <f t="shared" ref="E141:J141" si="98">SUM(E142:E157)+SUM(E159:E164)+SUM(E166:E169)</f>
        <v>91588</v>
      </c>
      <c r="F141" s="127">
        <f t="shared" si="98"/>
        <v>92688</v>
      </c>
      <c r="G141" s="127">
        <f t="shared" si="98"/>
        <v>92457</v>
      </c>
      <c r="H141" s="127">
        <f t="shared" si="98"/>
        <v>93022</v>
      </c>
      <c r="I141" s="127">
        <f t="shared" si="98"/>
        <v>95117</v>
      </c>
      <c r="J141" s="127">
        <f t="shared" si="98"/>
        <v>90444</v>
      </c>
      <c r="K141" s="127">
        <f t="shared" ref="K141:L141" si="99">SUM(K142:K157)+SUM(K159:K164)+SUM(K166:K169)</f>
        <v>92706</v>
      </c>
      <c r="L141" s="127">
        <f t="shared" si="99"/>
        <v>93405</v>
      </c>
    </row>
    <row r="142" spans="1:17">
      <c r="A142" s="124" t="s">
        <v>6957</v>
      </c>
      <c r="B142" s="124" t="s">
        <v>15339</v>
      </c>
      <c r="C142" s="4" t="s">
        <v>15338</v>
      </c>
      <c r="D142" s="127">
        <v>42438</v>
      </c>
      <c r="E142" s="127">
        <v>42625</v>
      </c>
      <c r="F142" s="127">
        <v>43024</v>
      </c>
      <c r="G142" s="48">
        <v>42786</v>
      </c>
      <c r="H142" s="48">
        <v>42832</v>
      </c>
      <c r="I142" s="30">
        <v>43654</v>
      </c>
      <c r="J142" s="30">
        <v>4333</v>
      </c>
      <c r="K142" s="30">
        <v>4456</v>
      </c>
      <c r="L142" s="30">
        <v>4369</v>
      </c>
      <c r="N142" s="124" t="s">
        <v>8549</v>
      </c>
      <c r="O142" s="4"/>
      <c r="Q142" s="4"/>
    </row>
    <row r="143" spans="1:17">
      <c r="A143" s="124" t="s">
        <v>6959</v>
      </c>
      <c r="B143" s="124" t="s">
        <v>3289</v>
      </c>
      <c r="C143" s="4" t="s">
        <v>15349</v>
      </c>
      <c r="D143" s="127">
        <v>0</v>
      </c>
      <c r="E143" s="127">
        <v>0</v>
      </c>
      <c r="F143" s="127">
        <v>0</v>
      </c>
      <c r="G143" s="48">
        <v>0</v>
      </c>
      <c r="H143" s="48">
        <v>0</v>
      </c>
      <c r="I143" s="30">
        <v>0</v>
      </c>
      <c r="J143" s="30">
        <v>5083</v>
      </c>
      <c r="K143" s="30">
        <v>5171</v>
      </c>
      <c r="L143" s="30">
        <v>5224</v>
      </c>
      <c r="N143" s="124" t="s">
        <v>8549</v>
      </c>
      <c r="O143" s="4"/>
      <c r="Q143" s="4"/>
    </row>
    <row r="144" spans="1:17">
      <c r="A144" s="124" t="s">
        <v>6961</v>
      </c>
      <c r="B144" s="124" t="s">
        <v>5762</v>
      </c>
      <c r="C144" s="4" t="s">
        <v>15350</v>
      </c>
      <c r="D144" s="127">
        <v>0</v>
      </c>
      <c r="E144" s="127">
        <v>0</v>
      </c>
      <c r="F144" s="127">
        <v>0</v>
      </c>
      <c r="G144" s="48">
        <v>0</v>
      </c>
      <c r="H144" s="48">
        <v>0</v>
      </c>
      <c r="I144" s="30">
        <v>0</v>
      </c>
      <c r="J144" s="30">
        <v>4545</v>
      </c>
      <c r="K144" s="30">
        <v>4607</v>
      </c>
      <c r="L144" s="30">
        <v>4581</v>
      </c>
      <c r="N144" s="124" t="s">
        <v>8549</v>
      </c>
      <c r="O144" s="4"/>
      <c r="Q144" s="4"/>
    </row>
    <row r="145" spans="1:17">
      <c r="A145" s="124" t="s">
        <v>6963</v>
      </c>
      <c r="B145" s="124" t="s">
        <v>5763</v>
      </c>
      <c r="C145" s="4" t="s">
        <v>15351</v>
      </c>
      <c r="D145" s="127">
        <v>0</v>
      </c>
      <c r="E145" s="127">
        <v>0</v>
      </c>
      <c r="F145" s="127">
        <v>0</v>
      </c>
      <c r="G145" s="48">
        <v>0</v>
      </c>
      <c r="H145" s="48">
        <v>0</v>
      </c>
      <c r="I145" s="30">
        <v>0</v>
      </c>
      <c r="J145" s="30">
        <v>4616</v>
      </c>
      <c r="K145" s="30">
        <v>4605</v>
      </c>
      <c r="L145" s="30">
        <v>4585</v>
      </c>
      <c r="N145" s="124" t="s">
        <v>8549</v>
      </c>
      <c r="O145" s="4"/>
      <c r="Q145" s="4"/>
    </row>
    <row r="146" spans="1:17">
      <c r="A146" s="124" t="s">
        <v>6965</v>
      </c>
      <c r="B146" s="124" t="s">
        <v>7613</v>
      </c>
      <c r="C146" s="4" t="s">
        <v>15352</v>
      </c>
      <c r="D146" s="127">
        <v>0</v>
      </c>
      <c r="E146" s="127">
        <v>0</v>
      </c>
      <c r="F146" s="127">
        <v>0</v>
      </c>
      <c r="G146" s="48">
        <v>0</v>
      </c>
      <c r="H146" s="48">
        <v>0</v>
      </c>
      <c r="I146" s="30">
        <v>0</v>
      </c>
      <c r="J146" s="30">
        <v>5178</v>
      </c>
      <c r="K146" s="30">
        <v>5209</v>
      </c>
      <c r="L146" s="30">
        <v>5121</v>
      </c>
      <c r="N146" s="124" t="s">
        <v>8549</v>
      </c>
      <c r="O146" s="4"/>
      <c r="Q146" s="4"/>
    </row>
    <row r="147" spans="1:17">
      <c r="A147" s="124" t="s">
        <v>6997</v>
      </c>
      <c r="B147" s="124" t="s">
        <v>15341</v>
      </c>
      <c r="C147" s="4" t="s">
        <v>15353</v>
      </c>
      <c r="D147" s="127">
        <v>48187</v>
      </c>
      <c r="E147" s="127">
        <v>48963</v>
      </c>
      <c r="F147" s="127">
        <v>49664</v>
      </c>
      <c r="G147" s="48">
        <v>49671</v>
      </c>
      <c r="H147" s="48">
        <v>50190</v>
      </c>
      <c r="I147" s="30">
        <v>51463</v>
      </c>
      <c r="J147" s="30">
        <v>4583</v>
      </c>
      <c r="K147" s="30">
        <v>4910</v>
      </c>
      <c r="L147" s="30">
        <v>5278</v>
      </c>
      <c r="N147" s="124" t="s">
        <v>8551</v>
      </c>
      <c r="O147" s="4"/>
      <c r="Q147" s="4"/>
    </row>
    <row r="148" spans="1:17">
      <c r="A148" s="124" t="s">
        <v>6999</v>
      </c>
      <c r="B148" s="124" t="s">
        <v>15342</v>
      </c>
      <c r="C148" s="4" t="s">
        <v>15354</v>
      </c>
      <c r="D148" s="127">
        <v>0</v>
      </c>
      <c r="E148" s="127">
        <v>0</v>
      </c>
      <c r="F148" s="127">
        <v>0</v>
      </c>
      <c r="G148" s="48">
        <v>0</v>
      </c>
      <c r="H148" s="48">
        <v>0</v>
      </c>
      <c r="I148" s="30">
        <v>0</v>
      </c>
      <c r="J148" s="30">
        <v>4240</v>
      </c>
      <c r="K148" s="30">
        <v>4371</v>
      </c>
      <c r="L148" s="30">
        <v>4428</v>
      </c>
      <c r="N148" s="124" t="s">
        <v>8549</v>
      </c>
      <c r="O148" s="4"/>
      <c r="Q148" s="4"/>
    </row>
    <row r="149" spans="1:17">
      <c r="A149" s="124" t="s">
        <v>7001</v>
      </c>
      <c r="B149" s="124" t="s">
        <v>15343</v>
      </c>
      <c r="C149" s="4" t="s">
        <v>15355</v>
      </c>
      <c r="D149" s="127">
        <v>0</v>
      </c>
      <c r="E149" s="127">
        <v>0</v>
      </c>
      <c r="F149" s="127">
        <v>0</v>
      </c>
      <c r="G149" s="48">
        <v>0</v>
      </c>
      <c r="H149" s="48">
        <v>0</v>
      </c>
      <c r="I149" s="30">
        <v>0</v>
      </c>
      <c r="J149" s="30">
        <v>4645</v>
      </c>
      <c r="K149" s="30">
        <v>4813</v>
      </c>
      <c r="L149" s="30">
        <v>4756</v>
      </c>
      <c r="N149" s="124" t="s">
        <v>8549</v>
      </c>
      <c r="O149" s="4"/>
      <c r="Q149" s="4"/>
    </row>
    <row r="150" spans="1:17">
      <c r="A150" s="124" t="s">
        <v>7003</v>
      </c>
      <c r="B150" s="124" t="s">
        <v>2798</v>
      </c>
      <c r="C150" s="4" t="s">
        <v>15356</v>
      </c>
      <c r="D150" s="127">
        <v>0</v>
      </c>
      <c r="E150" s="127">
        <v>0</v>
      </c>
      <c r="F150" s="127">
        <v>0</v>
      </c>
      <c r="G150" s="48">
        <v>0</v>
      </c>
      <c r="H150" s="48">
        <v>0</v>
      </c>
      <c r="I150" s="30">
        <v>0</v>
      </c>
      <c r="J150" s="30">
        <v>2274</v>
      </c>
      <c r="K150" s="30">
        <v>2350</v>
      </c>
      <c r="L150" s="30">
        <v>2375</v>
      </c>
      <c r="N150" s="124" t="s">
        <v>8551</v>
      </c>
      <c r="O150" s="4"/>
      <c r="Q150" s="4"/>
    </row>
    <row r="151" spans="1:17">
      <c r="A151" s="124" t="s">
        <v>7005</v>
      </c>
      <c r="B151" s="124" t="s">
        <v>15344</v>
      </c>
      <c r="C151" s="4" t="s">
        <v>15357</v>
      </c>
      <c r="D151" s="127">
        <v>0</v>
      </c>
      <c r="E151" s="127">
        <v>0</v>
      </c>
      <c r="F151" s="127">
        <v>0</v>
      </c>
      <c r="G151" s="48">
        <v>0</v>
      </c>
      <c r="H151" s="48">
        <v>0</v>
      </c>
      <c r="I151" s="30">
        <v>0</v>
      </c>
      <c r="J151" s="30">
        <v>5362</v>
      </c>
      <c r="K151" s="30">
        <v>5541</v>
      </c>
      <c r="L151" s="30">
        <v>5502</v>
      </c>
      <c r="N151" s="124" t="s">
        <v>8551</v>
      </c>
      <c r="O151" s="4"/>
      <c r="Q151" s="4"/>
    </row>
    <row r="152" spans="1:17">
      <c r="A152" s="124" t="s">
        <v>7007</v>
      </c>
      <c r="B152" s="124" t="s">
        <v>15345</v>
      </c>
      <c r="C152" s="4" t="s">
        <v>15358</v>
      </c>
      <c r="D152" s="127">
        <v>0</v>
      </c>
      <c r="E152" s="127">
        <v>0</v>
      </c>
      <c r="F152" s="127">
        <v>0</v>
      </c>
      <c r="G152" s="48">
        <v>0</v>
      </c>
      <c r="H152" s="48">
        <v>0</v>
      </c>
      <c r="I152" s="30">
        <v>0</v>
      </c>
      <c r="J152" s="30">
        <v>3998</v>
      </c>
      <c r="K152" s="30">
        <v>4111</v>
      </c>
      <c r="L152" s="30">
        <v>4164</v>
      </c>
      <c r="N152" s="124" t="s">
        <v>8551</v>
      </c>
      <c r="O152" s="4"/>
      <c r="Q152" s="4"/>
    </row>
    <row r="153" spans="1:17">
      <c r="A153" s="124" t="s">
        <v>7009</v>
      </c>
      <c r="B153" s="124" t="s">
        <v>7614</v>
      </c>
      <c r="C153" s="4" t="s">
        <v>15359</v>
      </c>
      <c r="D153" s="127">
        <v>0</v>
      </c>
      <c r="E153" s="127">
        <v>0</v>
      </c>
      <c r="F153" s="127">
        <v>0</v>
      </c>
      <c r="G153" s="48">
        <v>0</v>
      </c>
      <c r="H153" s="48">
        <v>0</v>
      </c>
      <c r="I153" s="30">
        <v>0</v>
      </c>
      <c r="J153" s="30">
        <v>2151</v>
      </c>
      <c r="K153" s="30">
        <v>2172</v>
      </c>
      <c r="L153" s="30">
        <v>2189</v>
      </c>
      <c r="N153" s="124" t="s">
        <v>8551</v>
      </c>
      <c r="O153" s="4"/>
      <c r="Q153" s="4"/>
    </row>
    <row r="154" spans="1:17">
      <c r="A154" s="124" t="s">
        <v>7011</v>
      </c>
      <c r="B154" s="124" t="s">
        <v>15346</v>
      </c>
      <c r="C154" s="4" t="s">
        <v>15360</v>
      </c>
      <c r="D154" s="127">
        <v>0</v>
      </c>
      <c r="E154" s="127">
        <v>0</v>
      </c>
      <c r="F154" s="127">
        <v>0</v>
      </c>
      <c r="G154" s="48">
        <v>0</v>
      </c>
      <c r="H154" s="48">
        <v>0</v>
      </c>
      <c r="I154" s="30">
        <v>0</v>
      </c>
      <c r="J154" s="30">
        <v>5081</v>
      </c>
      <c r="K154" s="30">
        <v>4971</v>
      </c>
      <c r="L154" s="30">
        <v>4967</v>
      </c>
      <c r="N154" s="124" t="s">
        <v>8549</v>
      </c>
      <c r="O154" s="4"/>
      <c r="Q154" s="4"/>
    </row>
    <row r="155" spans="1:17">
      <c r="A155" s="124" t="s">
        <v>7013</v>
      </c>
      <c r="B155" s="124" t="s">
        <v>15347</v>
      </c>
      <c r="C155" s="4" t="s">
        <v>15361</v>
      </c>
      <c r="D155" s="127">
        <v>0</v>
      </c>
      <c r="E155" s="127">
        <v>0</v>
      </c>
      <c r="F155" s="127">
        <v>0</v>
      </c>
      <c r="G155" s="48">
        <v>0</v>
      </c>
      <c r="H155" s="48">
        <v>0</v>
      </c>
      <c r="I155" s="30">
        <v>0</v>
      </c>
      <c r="J155" s="31">
        <v>2555</v>
      </c>
      <c r="K155" s="31">
        <v>2685</v>
      </c>
      <c r="L155" s="31">
        <v>2833</v>
      </c>
      <c r="N155" s="124" t="s">
        <v>8551</v>
      </c>
      <c r="O155" s="4"/>
      <c r="Q155" s="4"/>
    </row>
    <row r="156" spans="1:17">
      <c r="A156" s="124" t="s">
        <v>7015</v>
      </c>
      <c r="B156" s="124" t="s">
        <v>15348</v>
      </c>
      <c r="C156" s="4" t="s">
        <v>15362</v>
      </c>
      <c r="D156" s="127">
        <v>0</v>
      </c>
      <c r="E156" s="127">
        <v>0</v>
      </c>
      <c r="F156" s="127">
        <v>0</v>
      </c>
      <c r="G156" s="48">
        <v>0</v>
      </c>
      <c r="H156" s="48">
        <v>0</v>
      </c>
      <c r="I156" s="31">
        <v>0</v>
      </c>
      <c r="J156" s="31">
        <v>0</v>
      </c>
      <c r="K156" s="31">
        <v>0</v>
      </c>
      <c r="L156" s="31">
        <v>0</v>
      </c>
      <c r="N156" s="124" t="s">
        <v>8549</v>
      </c>
      <c r="O156" s="4"/>
      <c r="Q156" s="4"/>
    </row>
    <row r="157" spans="1:17" ht="15.75" thickBot="1">
      <c r="A157" s="124"/>
      <c r="B157" s="124"/>
      <c r="C157" s="4" t="s">
        <v>15362</v>
      </c>
      <c r="D157" s="130">
        <v>0</v>
      </c>
      <c r="E157" s="130">
        <v>0</v>
      </c>
      <c r="F157" s="130">
        <v>0</v>
      </c>
      <c r="G157" s="159">
        <v>0</v>
      </c>
      <c r="H157" s="159">
        <v>0</v>
      </c>
      <c r="I157" s="905">
        <v>0</v>
      </c>
      <c r="J157" s="31">
        <v>2158</v>
      </c>
      <c r="K157" s="31">
        <v>2302</v>
      </c>
      <c r="L157" s="31">
        <v>2382</v>
      </c>
      <c r="N157" s="124" t="s">
        <v>8551</v>
      </c>
      <c r="O157" s="4"/>
      <c r="Q157" s="4"/>
    </row>
    <row r="158" spans="1:17" ht="15.75" thickBot="1">
      <c r="A158" s="124"/>
      <c r="B158" s="124"/>
      <c r="C158" s="4" t="s">
        <v>15362</v>
      </c>
      <c r="D158" s="916">
        <f>D156+D157</f>
        <v>0</v>
      </c>
      <c r="E158" s="916">
        <f t="shared" ref="E158:L158" si="100">E156+E157</f>
        <v>0</v>
      </c>
      <c r="F158" s="916">
        <f t="shared" si="100"/>
        <v>0</v>
      </c>
      <c r="G158" s="916">
        <f t="shared" si="100"/>
        <v>0</v>
      </c>
      <c r="H158" s="916">
        <f t="shared" si="100"/>
        <v>0</v>
      </c>
      <c r="I158" s="916">
        <f t="shared" si="100"/>
        <v>0</v>
      </c>
      <c r="J158" s="916">
        <f t="shared" si="100"/>
        <v>2158</v>
      </c>
      <c r="K158" s="916">
        <f t="shared" si="100"/>
        <v>2302</v>
      </c>
      <c r="L158" s="916">
        <f t="shared" si="100"/>
        <v>2382</v>
      </c>
      <c r="N158" s="124"/>
      <c r="O158" s="4"/>
      <c r="Q158" s="4"/>
    </row>
    <row r="159" spans="1:17">
      <c r="A159" s="124" t="s">
        <v>7017</v>
      </c>
      <c r="B159" s="124" t="s">
        <v>8438</v>
      </c>
      <c r="C159" s="4" t="s">
        <v>15363</v>
      </c>
      <c r="D159" s="127">
        <v>0</v>
      </c>
      <c r="E159" s="127">
        <v>0</v>
      </c>
      <c r="F159" s="127">
        <v>0</v>
      </c>
      <c r="G159" s="48">
        <v>0</v>
      </c>
      <c r="H159" s="48">
        <v>0</v>
      </c>
      <c r="I159" s="31">
        <v>0</v>
      </c>
      <c r="J159" s="31">
        <v>2355</v>
      </c>
      <c r="K159" s="31">
        <v>2418</v>
      </c>
      <c r="L159" s="31">
        <v>2446</v>
      </c>
      <c r="N159" s="124" t="s">
        <v>8551</v>
      </c>
      <c r="O159" s="4"/>
      <c r="Q159" s="4"/>
    </row>
    <row r="160" spans="1:17">
      <c r="A160" s="124" t="s">
        <v>7019</v>
      </c>
      <c r="B160" s="124" t="s">
        <v>1990</v>
      </c>
      <c r="C160" s="4" t="s">
        <v>15364</v>
      </c>
      <c r="D160" s="127">
        <v>0</v>
      </c>
      <c r="E160" s="127">
        <v>0</v>
      </c>
      <c r="F160" s="127">
        <v>0</v>
      </c>
      <c r="G160" s="48">
        <v>0</v>
      </c>
      <c r="H160" s="48">
        <v>0</v>
      </c>
      <c r="I160" s="31">
        <v>0</v>
      </c>
      <c r="J160" s="31">
        <v>2654</v>
      </c>
      <c r="K160" s="31">
        <v>2754</v>
      </c>
      <c r="L160" s="31">
        <v>2773</v>
      </c>
      <c r="N160" s="124" t="s">
        <v>8551</v>
      </c>
      <c r="O160" s="4"/>
      <c r="Q160" s="4"/>
    </row>
    <row r="161" spans="1:17">
      <c r="A161" s="124" t="s">
        <v>7021</v>
      </c>
      <c r="B161" s="124" t="s">
        <v>15365</v>
      </c>
      <c r="C161" s="4" t="s">
        <v>15367</v>
      </c>
      <c r="D161" s="127">
        <v>0</v>
      </c>
      <c r="E161" s="127">
        <v>0</v>
      </c>
      <c r="F161" s="127">
        <v>0</v>
      </c>
      <c r="G161" s="48">
        <v>0</v>
      </c>
      <c r="H161" s="48">
        <v>0</v>
      </c>
      <c r="I161" s="30">
        <v>0</v>
      </c>
      <c r="J161" s="31">
        <v>2444</v>
      </c>
      <c r="K161" s="31">
        <v>2623</v>
      </c>
      <c r="L161" s="31">
        <v>2748</v>
      </c>
      <c r="N161" s="124" t="s">
        <v>8551</v>
      </c>
      <c r="O161" s="4"/>
      <c r="Q161" s="4"/>
    </row>
    <row r="162" spans="1:17">
      <c r="A162" s="124" t="s">
        <v>7023</v>
      </c>
      <c r="B162" s="124" t="s">
        <v>15366</v>
      </c>
      <c r="C162" s="4" t="s">
        <v>15368</v>
      </c>
      <c r="D162" s="127">
        <v>0</v>
      </c>
      <c r="E162" s="127">
        <v>0</v>
      </c>
      <c r="F162" s="127">
        <v>0</v>
      </c>
      <c r="G162" s="48">
        <v>0</v>
      </c>
      <c r="H162" s="48">
        <v>0</v>
      </c>
      <c r="I162" s="31">
        <v>0</v>
      </c>
      <c r="J162" s="31">
        <v>2086</v>
      </c>
      <c r="K162" s="31">
        <v>2158</v>
      </c>
      <c r="L162" s="31">
        <v>2263</v>
      </c>
      <c r="N162" s="124" t="s">
        <v>8551</v>
      </c>
      <c r="O162" s="4"/>
      <c r="Q162" s="4"/>
    </row>
    <row r="163" spans="1:17">
      <c r="A163" s="124" t="s">
        <v>7025</v>
      </c>
      <c r="B163" s="124" t="s">
        <v>8212</v>
      </c>
      <c r="C163" s="4" t="s">
        <v>15369</v>
      </c>
      <c r="D163" s="127">
        <v>0</v>
      </c>
      <c r="E163" s="127">
        <v>0</v>
      </c>
      <c r="F163" s="127">
        <v>0</v>
      </c>
      <c r="G163" s="48">
        <v>0</v>
      </c>
      <c r="H163" s="48">
        <v>0</v>
      </c>
      <c r="I163" s="31">
        <v>0</v>
      </c>
      <c r="J163" s="30">
        <v>795</v>
      </c>
      <c r="K163" s="30">
        <v>802</v>
      </c>
      <c r="L163" s="30">
        <v>823</v>
      </c>
      <c r="N163" s="124" t="s">
        <v>8549</v>
      </c>
      <c r="O163" s="4"/>
      <c r="Q163" s="4"/>
    </row>
    <row r="164" spans="1:17" ht="15.75" thickBot="1">
      <c r="A164" s="124"/>
      <c r="B164" s="124"/>
      <c r="C164" s="4" t="s">
        <v>15369</v>
      </c>
      <c r="D164" s="127">
        <v>0</v>
      </c>
      <c r="E164" s="127">
        <v>0</v>
      </c>
      <c r="F164" s="127">
        <v>0</v>
      </c>
      <c r="G164" s="48">
        <v>0</v>
      </c>
      <c r="H164" s="48">
        <v>0</v>
      </c>
      <c r="I164" s="31">
        <v>0</v>
      </c>
      <c r="J164" s="31">
        <v>1739</v>
      </c>
      <c r="K164" s="31">
        <v>1773</v>
      </c>
      <c r="L164" s="31">
        <v>1749</v>
      </c>
      <c r="N164" s="124" t="s">
        <v>8551</v>
      </c>
      <c r="O164" s="4"/>
      <c r="Q164" s="4"/>
    </row>
    <row r="165" spans="1:17" ht="15.75" thickBot="1">
      <c r="A165" s="124"/>
      <c r="B165" s="124"/>
      <c r="C165" s="4" t="s">
        <v>15369</v>
      </c>
      <c r="D165" s="916">
        <f>D163+D164</f>
        <v>0</v>
      </c>
      <c r="E165" s="916">
        <f t="shared" ref="E165" si="101">E163+E164</f>
        <v>0</v>
      </c>
      <c r="F165" s="916">
        <f t="shared" ref="F165" si="102">F163+F164</f>
        <v>0</v>
      </c>
      <c r="G165" s="916">
        <f t="shared" ref="G165" si="103">G163+G164</f>
        <v>0</v>
      </c>
      <c r="H165" s="916">
        <f t="shared" ref="H165" si="104">H163+H164</f>
        <v>0</v>
      </c>
      <c r="I165" s="916">
        <f t="shared" ref="I165" si="105">I163+I164</f>
        <v>0</v>
      </c>
      <c r="J165" s="916">
        <f t="shared" ref="J165:L165" si="106">J163+J164</f>
        <v>2534</v>
      </c>
      <c r="K165" s="916">
        <f t="shared" si="106"/>
        <v>2575</v>
      </c>
      <c r="L165" s="916">
        <f t="shared" si="106"/>
        <v>2572</v>
      </c>
      <c r="N165" s="124"/>
      <c r="O165" s="4"/>
      <c r="Q165" s="4"/>
    </row>
    <row r="166" spans="1:17">
      <c r="A166" s="124" t="s">
        <v>7570</v>
      </c>
      <c r="B166" s="124" t="s">
        <v>15372</v>
      </c>
      <c r="C166" s="4" t="s">
        <v>15370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31">
        <v>5138</v>
      </c>
      <c r="K166" s="31">
        <v>5190</v>
      </c>
      <c r="L166" s="31">
        <v>5130</v>
      </c>
      <c r="N166" s="124" t="s">
        <v>8551</v>
      </c>
      <c r="O166" s="4"/>
      <c r="Q166" s="4"/>
    </row>
    <row r="167" spans="1:17">
      <c r="A167" s="124" t="s">
        <v>7572</v>
      </c>
      <c r="B167" s="124" t="s">
        <v>7612</v>
      </c>
      <c r="C167" s="4" t="s">
        <v>15371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31">
        <v>4764</v>
      </c>
      <c r="K167" s="31">
        <v>4937</v>
      </c>
      <c r="L167" s="31">
        <v>4924</v>
      </c>
      <c r="N167" s="124" t="s">
        <v>8551</v>
      </c>
      <c r="O167" s="4"/>
      <c r="Q167" s="4"/>
    </row>
    <row r="168" spans="1:17">
      <c r="A168" s="124" t="s">
        <v>7573</v>
      </c>
      <c r="B168" s="124" t="s">
        <v>15373</v>
      </c>
      <c r="C168" s="4" t="s">
        <v>15374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31">
        <v>5087</v>
      </c>
      <c r="K168" s="31">
        <v>5142</v>
      </c>
      <c r="L168" s="31">
        <v>5147</v>
      </c>
      <c r="N168" s="124" t="s">
        <v>8551</v>
      </c>
      <c r="O168" s="4"/>
      <c r="Q168" s="4"/>
    </row>
    <row r="169" spans="1:17">
      <c r="A169" s="124" t="s">
        <v>5798</v>
      </c>
      <c r="B169" s="124" t="s">
        <v>5802</v>
      </c>
      <c r="C169" s="4" t="s">
        <v>15375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30">
        <v>2580</v>
      </c>
      <c r="K169" s="30">
        <v>2635</v>
      </c>
      <c r="L169" s="30">
        <v>2648</v>
      </c>
      <c r="N169" s="124" t="s">
        <v>8549</v>
      </c>
      <c r="O169" s="4"/>
      <c r="Q169" s="4"/>
    </row>
    <row r="170" spans="1:17">
      <c r="D170" s="128"/>
      <c r="E170" s="128"/>
      <c r="F170" s="128"/>
      <c r="G170" s="128"/>
      <c r="H170" s="128"/>
      <c r="I170" s="128"/>
      <c r="J170" s="128"/>
      <c r="K170" s="128"/>
      <c r="L170" s="128"/>
    </row>
    <row r="171" spans="1:17">
      <c r="A171" s="124" t="s">
        <v>6385</v>
      </c>
      <c r="D171" s="127">
        <f>SUM(D142:D146)+D148+D149+D154+D156+D163+D169</f>
        <v>42438</v>
      </c>
      <c r="E171" s="127">
        <f t="shared" ref="E171:I171" si="107">SUM(E142:E146)+E148+E149+E154+E156+E163+E169</f>
        <v>42625</v>
      </c>
      <c r="F171" s="127">
        <f t="shared" si="107"/>
        <v>43024</v>
      </c>
      <c r="G171" s="127">
        <f t="shared" si="107"/>
        <v>42786</v>
      </c>
      <c r="H171" s="127">
        <f t="shared" si="107"/>
        <v>42832</v>
      </c>
      <c r="I171" s="127">
        <f t="shared" si="107"/>
        <v>43654</v>
      </c>
      <c r="J171" s="127">
        <f>SUM(J142:J146)+J148+J149+J154+J156+J163+J169</f>
        <v>41096</v>
      </c>
      <c r="K171" s="127">
        <f>SUM(K142:K146)+K148+K149+K154+K156+K163+K169</f>
        <v>41640</v>
      </c>
      <c r="L171" s="127">
        <f>SUM(L142:L146)+L148+L149+L154+L156+L163+L169</f>
        <v>41502</v>
      </c>
    </row>
    <row r="172" spans="1:17">
      <c r="A172" s="124" t="s">
        <v>3287</v>
      </c>
      <c r="D172" s="127">
        <f>D147+SUM(D150:D153)+D155+D157+SUM(D159:D162)+D164+SUM(D166:D168)</f>
        <v>48187</v>
      </c>
      <c r="E172" s="127">
        <f t="shared" ref="E172:J172" si="108">E147+SUM(E150:E153)+E155+E157+SUM(E159:E162)+E164+SUM(E166:E168)</f>
        <v>48963</v>
      </c>
      <c r="F172" s="127">
        <f t="shared" si="108"/>
        <v>49664</v>
      </c>
      <c r="G172" s="127">
        <f t="shared" si="108"/>
        <v>49671</v>
      </c>
      <c r="H172" s="127">
        <f t="shared" si="108"/>
        <v>50190</v>
      </c>
      <c r="I172" s="127">
        <f t="shared" si="108"/>
        <v>51463</v>
      </c>
      <c r="J172" s="127">
        <f t="shared" si="108"/>
        <v>49348</v>
      </c>
      <c r="K172" s="127">
        <f t="shared" ref="K172:L172" si="109">K147+SUM(K150:K153)+K155+K157+SUM(K159:K162)+K164+SUM(K166:K168)</f>
        <v>51066</v>
      </c>
      <c r="L172" s="127">
        <f t="shared" si="109"/>
        <v>51903</v>
      </c>
    </row>
    <row r="173" spans="1:17">
      <c r="A173" s="124"/>
      <c r="D173" s="127"/>
      <c r="E173" s="127"/>
      <c r="F173" s="127"/>
      <c r="G173" s="127"/>
      <c r="H173" s="127"/>
      <c r="I173" s="127"/>
      <c r="J173" s="127"/>
      <c r="K173" s="127"/>
      <c r="L173" s="127"/>
    </row>
    <row r="174" spans="1:17">
      <c r="A174" s="124" t="s">
        <v>15340</v>
      </c>
      <c r="D174" s="127"/>
      <c r="E174" s="127"/>
      <c r="F174" s="127"/>
      <c r="G174" s="127"/>
      <c r="H174" s="127"/>
      <c r="I174" s="127"/>
      <c r="J174" s="127"/>
      <c r="K174" s="127"/>
      <c r="L174" s="127"/>
    </row>
    <row r="175" spans="1:17">
      <c r="A175" s="124"/>
      <c r="B175" s="124"/>
      <c r="D175" s="133"/>
      <c r="E175" s="133"/>
      <c r="F175" s="133"/>
      <c r="G175" s="133"/>
      <c r="H175" s="133"/>
      <c r="I175" s="133"/>
      <c r="J175" s="133"/>
      <c r="K175" s="133"/>
      <c r="L175" s="133"/>
    </row>
    <row r="176" spans="1:17">
      <c r="A176" s="124"/>
      <c r="B176" s="124"/>
      <c r="D176" s="133"/>
      <c r="E176" s="133"/>
      <c r="F176" s="133"/>
      <c r="G176" s="133"/>
      <c r="H176" s="133"/>
      <c r="I176" s="133"/>
      <c r="J176" s="133"/>
      <c r="K176" s="133"/>
      <c r="L176" s="133"/>
    </row>
    <row r="177" spans="1:17">
      <c r="E177" s="42" t="s">
        <v>2303</v>
      </c>
      <c r="F177" s="42"/>
      <c r="G177" s="42"/>
      <c r="H177" s="42"/>
      <c r="I177" s="42"/>
      <c r="J177" s="42"/>
      <c r="K177" s="42"/>
      <c r="L177" s="42"/>
      <c r="M177" s="109"/>
      <c r="N177" s="109" t="s">
        <v>13319</v>
      </c>
    </row>
    <row r="178" spans="1:17">
      <c r="D178" s="110">
        <v>2010</v>
      </c>
      <c r="E178" s="110">
        <v>2011</v>
      </c>
      <c r="F178" s="110">
        <v>2012</v>
      </c>
      <c r="G178" s="110">
        <v>2013</v>
      </c>
      <c r="H178" s="110">
        <v>2014</v>
      </c>
      <c r="I178" s="110">
        <v>2015</v>
      </c>
      <c r="J178" s="110">
        <v>2016</v>
      </c>
      <c r="K178" s="110">
        <v>2017</v>
      </c>
      <c r="L178" s="110">
        <v>2018</v>
      </c>
      <c r="M178" s="109"/>
      <c r="N178" s="112" t="s">
        <v>2304</v>
      </c>
    </row>
    <row r="179" spans="1:17">
      <c r="A179" s="124" t="s">
        <v>5791</v>
      </c>
      <c r="D179" s="127">
        <f t="shared" ref="D179:I179" si="110">SUM(D180:D206)</f>
        <v>78141</v>
      </c>
      <c r="E179" s="127">
        <f t="shared" si="110"/>
        <v>78220</v>
      </c>
      <c r="F179" s="127">
        <f t="shared" si="110"/>
        <v>79321</v>
      </c>
      <c r="G179" s="127">
        <f t="shared" si="110"/>
        <v>79653</v>
      </c>
      <c r="H179" s="127">
        <f t="shared" si="110"/>
        <v>79067</v>
      </c>
      <c r="I179" s="127">
        <f t="shared" si="110"/>
        <v>77097</v>
      </c>
      <c r="J179" s="127">
        <f t="shared" ref="J179:K179" si="111">SUM(J180:J206)</f>
        <v>78455</v>
      </c>
      <c r="K179" s="127">
        <f t="shared" si="111"/>
        <v>80868</v>
      </c>
      <c r="L179" s="127">
        <f t="shared" ref="L179" si="112">SUM(L180:L206)</f>
        <v>80906</v>
      </c>
      <c r="P179" s="72"/>
    </row>
    <row r="180" spans="1:17">
      <c r="A180" s="124" t="s">
        <v>6957</v>
      </c>
      <c r="B180" s="124" t="s">
        <v>5792</v>
      </c>
      <c r="C180" s="4" t="s">
        <v>11007</v>
      </c>
      <c r="D180" s="127">
        <v>1426</v>
      </c>
      <c r="E180" s="127">
        <v>1453</v>
      </c>
      <c r="F180" s="127">
        <v>1448</v>
      </c>
      <c r="G180" s="30">
        <v>1448</v>
      </c>
      <c r="H180" s="30">
        <v>1445</v>
      </c>
      <c r="I180" s="30">
        <v>1361</v>
      </c>
      <c r="J180" s="30">
        <v>1367</v>
      </c>
      <c r="K180" s="30">
        <v>1433</v>
      </c>
      <c r="L180" s="30">
        <v>1410</v>
      </c>
      <c r="N180" s="124" t="s">
        <v>8552</v>
      </c>
      <c r="P180" s="72"/>
      <c r="Q180" s="4"/>
    </row>
    <row r="181" spans="1:17">
      <c r="A181" s="124" t="s">
        <v>6959</v>
      </c>
      <c r="B181" s="124" t="s">
        <v>5793</v>
      </c>
      <c r="C181" s="4" t="s">
        <v>11008</v>
      </c>
      <c r="D181" s="127">
        <v>1621</v>
      </c>
      <c r="E181" s="127">
        <v>1617</v>
      </c>
      <c r="F181" s="127">
        <v>1684</v>
      </c>
      <c r="G181" s="30">
        <v>1712</v>
      </c>
      <c r="H181" s="30">
        <v>1739</v>
      </c>
      <c r="I181" s="30">
        <v>1735</v>
      </c>
      <c r="J181" s="30">
        <v>1713</v>
      </c>
      <c r="K181" s="30">
        <v>1732</v>
      </c>
      <c r="L181" s="30">
        <v>1723</v>
      </c>
      <c r="N181" s="124" t="s">
        <v>8552</v>
      </c>
      <c r="P181" s="72"/>
      <c r="Q181" s="4"/>
    </row>
    <row r="182" spans="1:17">
      <c r="A182" s="124" t="s">
        <v>6961</v>
      </c>
      <c r="B182" s="124" t="s">
        <v>5786</v>
      </c>
      <c r="C182" s="4" t="s">
        <v>11009</v>
      </c>
      <c r="D182" s="127">
        <v>2926</v>
      </c>
      <c r="E182" s="127">
        <v>2904</v>
      </c>
      <c r="F182" s="127">
        <v>2910</v>
      </c>
      <c r="G182" s="30">
        <v>2900</v>
      </c>
      <c r="H182" s="30">
        <v>2913</v>
      </c>
      <c r="I182" s="30">
        <v>2858</v>
      </c>
      <c r="J182" s="30">
        <v>2877</v>
      </c>
      <c r="K182" s="30">
        <v>2918</v>
      </c>
      <c r="L182" s="30">
        <v>3008</v>
      </c>
      <c r="N182" s="124" t="s">
        <v>8552</v>
      </c>
      <c r="P182" s="72"/>
      <c r="Q182" s="4"/>
    </row>
    <row r="183" spans="1:17">
      <c r="A183" s="124" t="s">
        <v>6963</v>
      </c>
      <c r="B183" s="124" t="s">
        <v>5787</v>
      </c>
      <c r="C183" s="72" t="s">
        <v>13440</v>
      </c>
      <c r="D183" s="127">
        <v>1516</v>
      </c>
      <c r="E183" s="127">
        <v>1543</v>
      </c>
      <c r="F183" s="127">
        <v>1579</v>
      </c>
      <c r="G183" s="30">
        <v>1594</v>
      </c>
      <c r="H183" s="30">
        <v>1586</v>
      </c>
      <c r="I183" s="30">
        <v>1563</v>
      </c>
      <c r="J183" s="30">
        <v>1549</v>
      </c>
      <c r="K183" s="30">
        <v>1559</v>
      </c>
      <c r="L183" s="30">
        <v>1552</v>
      </c>
      <c r="N183" s="124" t="s">
        <v>8552</v>
      </c>
      <c r="O183" s="4"/>
      <c r="Q183" s="4"/>
    </row>
    <row r="184" spans="1:17">
      <c r="A184" s="124" t="s">
        <v>6965</v>
      </c>
      <c r="B184" s="124" t="s">
        <v>5788</v>
      </c>
      <c r="C184" s="72" t="s">
        <v>13439</v>
      </c>
      <c r="D184" s="127">
        <v>1421</v>
      </c>
      <c r="E184" s="127">
        <v>1414</v>
      </c>
      <c r="F184" s="127">
        <v>1462</v>
      </c>
      <c r="G184" s="30">
        <v>1452</v>
      </c>
      <c r="H184" s="30">
        <v>1465</v>
      </c>
      <c r="I184" s="30">
        <v>1433</v>
      </c>
      <c r="J184" s="30">
        <v>1467</v>
      </c>
      <c r="K184" s="30">
        <v>1491</v>
      </c>
      <c r="L184" s="30">
        <v>1514</v>
      </c>
      <c r="N184" s="124" t="s">
        <v>8552</v>
      </c>
      <c r="O184" s="4"/>
      <c r="Q184" s="4"/>
    </row>
    <row r="185" spans="1:17">
      <c r="A185" s="124" t="s">
        <v>6997</v>
      </c>
      <c r="B185" s="124" t="s">
        <v>5789</v>
      </c>
      <c r="C185" s="4" t="s">
        <v>11010</v>
      </c>
      <c r="D185" s="127">
        <v>3712</v>
      </c>
      <c r="E185" s="127">
        <v>3668</v>
      </c>
      <c r="F185" s="127">
        <v>3631</v>
      </c>
      <c r="G185" s="30">
        <v>3616</v>
      </c>
      <c r="H185" s="30">
        <v>3782</v>
      </c>
      <c r="I185" s="30">
        <v>3641</v>
      </c>
      <c r="J185" s="30">
        <v>3806</v>
      </c>
      <c r="K185" s="30">
        <v>3933</v>
      </c>
      <c r="L185" s="30">
        <v>3922</v>
      </c>
      <c r="N185" s="124" t="s">
        <v>8552</v>
      </c>
      <c r="O185" s="4"/>
      <c r="Q185" s="4"/>
    </row>
    <row r="186" spans="1:17">
      <c r="A186" s="124" t="s">
        <v>6999</v>
      </c>
      <c r="B186" s="124" t="s">
        <v>5790</v>
      </c>
      <c r="C186" s="72" t="s">
        <v>13441</v>
      </c>
      <c r="D186" s="127">
        <v>3041</v>
      </c>
      <c r="E186" s="127">
        <v>3127</v>
      </c>
      <c r="F186" s="127">
        <v>3481</v>
      </c>
      <c r="G186" s="30">
        <v>3472</v>
      </c>
      <c r="H186" s="30">
        <v>3215</v>
      </c>
      <c r="I186" s="30">
        <v>3039</v>
      </c>
      <c r="J186" s="30">
        <v>3260</v>
      </c>
      <c r="K186" s="30">
        <v>3553</v>
      </c>
      <c r="L186" s="30">
        <v>3705</v>
      </c>
      <c r="N186" s="124" t="s">
        <v>8552</v>
      </c>
      <c r="O186" s="4"/>
      <c r="Q186" s="4"/>
    </row>
    <row r="187" spans="1:17">
      <c r="A187" s="124" t="s">
        <v>7001</v>
      </c>
      <c r="B187" s="124" t="s">
        <v>4063</v>
      </c>
      <c r="C187" s="4" t="s">
        <v>11011</v>
      </c>
      <c r="D187" s="127">
        <v>3064</v>
      </c>
      <c r="E187" s="127">
        <v>3171</v>
      </c>
      <c r="F187" s="127">
        <v>3095</v>
      </c>
      <c r="G187" s="30">
        <v>3025</v>
      </c>
      <c r="H187" s="30">
        <v>2993</v>
      </c>
      <c r="I187" s="30">
        <v>2912</v>
      </c>
      <c r="J187" s="30">
        <v>3295</v>
      </c>
      <c r="K187" s="30">
        <v>3481</v>
      </c>
      <c r="L187" s="30">
        <v>3527</v>
      </c>
      <c r="N187" s="124" t="s">
        <v>8552</v>
      </c>
      <c r="O187" s="4"/>
      <c r="Q187" s="4"/>
    </row>
    <row r="188" spans="1:17">
      <c r="A188" s="124" t="s">
        <v>7003</v>
      </c>
      <c r="B188" s="124" t="s">
        <v>5808</v>
      </c>
      <c r="C188" s="4" t="s">
        <v>15877</v>
      </c>
      <c r="D188" s="127">
        <v>1559</v>
      </c>
      <c r="E188" s="127">
        <v>1581</v>
      </c>
      <c r="F188" s="127">
        <v>1574</v>
      </c>
      <c r="G188" s="30">
        <v>1567</v>
      </c>
      <c r="H188" s="30">
        <v>1531</v>
      </c>
      <c r="I188" s="30">
        <v>1510</v>
      </c>
      <c r="J188" s="30">
        <v>1533</v>
      </c>
      <c r="K188" s="30">
        <v>1577</v>
      </c>
      <c r="L188" s="30">
        <v>1570</v>
      </c>
      <c r="N188" s="124" t="s">
        <v>8552</v>
      </c>
      <c r="O188" s="4"/>
      <c r="Q188" s="4"/>
    </row>
    <row r="189" spans="1:17">
      <c r="A189" s="124" t="s">
        <v>7005</v>
      </c>
      <c r="B189" s="124" t="s">
        <v>5809</v>
      </c>
      <c r="C189" s="4" t="s">
        <v>15878</v>
      </c>
      <c r="D189" s="127">
        <v>3004</v>
      </c>
      <c r="E189" s="127">
        <v>2966</v>
      </c>
      <c r="F189" s="127">
        <v>3005</v>
      </c>
      <c r="G189" s="30">
        <v>3032</v>
      </c>
      <c r="H189" s="30">
        <v>3041</v>
      </c>
      <c r="I189" s="30">
        <v>2981</v>
      </c>
      <c r="J189" s="30">
        <v>2955</v>
      </c>
      <c r="K189" s="30">
        <v>3015</v>
      </c>
      <c r="L189" s="30">
        <v>3000</v>
      </c>
      <c r="N189" s="124" t="s">
        <v>8552</v>
      </c>
      <c r="O189" s="4"/>
      <c r="Q189" s="4"/>
    </row>
    <row r="190" spans="1:17">
      <c r="A190" s="124" t="s">
        <v>7007</v>
      </c>
      <c r="B190" s="124" t="s">
        <v>5810</v>
      </c>
      <c r="C190" s="4" t="s">
        <v>11012</v>
      </c>
      <c r="D190" s="127">
        <v>4834</v>
      </c>
      <c r="E190" s="127">
        <v>4617</v>
      </c>
      <c r="F190" s="127">
        <v>4591</v>
      </c>
      <c r="G190" s="30">
        <v>4622</v>
      </c>
      <c r="H190" s="30">
        <v>4547</v>
      </c>
      <c r="I190" s="30">
        <v>4405</v>
      </c>
      <c r="J190" s="30">
        <v>4640</v>
      </c>
      <c r="K190" s="30">
        <v>4805</v>
      </c>
      <c r="L190" s="30">
        <v>4887</v>
      </c>
      <c r="N190" s="124" t="s">
        <v>8552</v>
      </c>
      <c r="O190" s="4"/>
      <c r="Q190" s="4"/>
    </row>
    <row r="191" spans="1:17">
      <c r="A191" s="124" t="s">
        <v>7009</v>
      </c>
      <c r="B191" s="124" t="s">
        <v>8486</v>
      </c>
      <c r="C191" s="4" t="s">
        <v>11013</v>
      </c>
      <c r="D191" s="127">
        <v>1646</v>
      </c>
      <c r="E191" s="127">
        <v>1675</v>
      </c>
      <c r="F191" s="127">
        <v>1698</v>
      </c>
      <c r="G191" s="30">
        <v>1677</v>
      </c>
      <c r="H191" s="30">
        <v>1681</v>
      </c>
      <c r="I191" s="30">
        <v>1664</v>
      </c>
      <c r="J191" s="30">
        <v>1667</v>
      </c>
      <c r="K191" s="30">
        <v>1726</v>
      </c>
      <c r="L191" s="30">
        <v>1710</v>
      </c>
      <c r="N191" s="124" t="s">
        <v>8552</v>
      </c>
      <c r="O191" s="4"/>
      <c r="Q191" s="4"/>
    </row>
    <row r="192" spans="1:17">
      <c r="A192" s="124" t="s">
        <v>7011</v>
      </c>
      <c r="B192" s="124" t="s">
        <v>8487</v>
      </c>
      <c r="C192" s="4" t="s">
        <v>11014</v>
      </c>
      <c r="D192" s="127">
        <v>4558</v>
      </c>
      <c r="E192" s="127">
        <v>4553</v>
      </c>
      <c r="F192" s="127">
        <v>4668</v>
      </c>
      <c r="G192" s="30">
        <v>4743</v>
      </c>
      <c r="H192" s="30">
        <v>4808</v>
      </c>
      <c r="I192" s="30">
        <v>4775</v>
      </c>
      <c r="J192" s="30">
        <v>4706</v>
      </c>
      <c r="K192" s="30">
        <v>4767</v>
      </c>
      <c r="L192" s="30">
        <v>4700</v>
      </c>
      <c r="N192" s="124" t="s">
        <v>8552</v>
      </c>
      <c r="O192" s="4"/>
      <c r="Q192" s="4"/>
    </row>
    <row r="193" spans="1:17">
      <c r="A193" s="124" t="s">
        <v>7013</v>
      </c>
      <c r="B193" s="124" t="s">
        <v>8488</v>
      </c>
      <c r="C193" s="4" t="s">
        <v>11015</v>
      </c>
      <c r="D193" s="127">
        <v>3367</v>
      </c>
      <c r="E193" s="127">
        <v>3308</v>
      </c>
      <c r="F193" s="127">
        <v>3362</v>
      </c>
      <c r="G193" s="30">
        <v>3376</v>
      </c>
      <c r="H193" s="30">
        <v>3348</v>
      </c>
      <c r="I193" s="30">
        <v>3357</v>
      </c>
      <c r="J193" s="30">
        <v>3378</v>
      </c>
      <c r="K193" s="30">
        <v>3436</v>
      </c>
      <c r="L193" s="30">
        <v>3401</v>
      </c>
      <c r="N193" s="124" t="s">
        <v>8552</v>
      </c>
      <c r="O193" s="4"/>
      <c r="Q193" s="4"/>
    </row>
    <row r="194" spans="1:17">
      <c r="A194" s="124" t="s">
        <v>7015</v>
      </c>
      <c r="B194" s="124" t="s">
        <v>7600</v>
      </c>
      <c r="C194" s="4" t="s">
        <v>15879</v>
      </c>
      <c r="D194" s="127">
        <v>3141</v>
      </c>
      <c r="E194" s="127">
        <v>3089</v>
      </c>
      <c r="F194" s="127">
        <v>3126</v>
      </c>
      <c r="G194" s="30">
        <v>3119</v>
      </c>
      <c r="H194" s="30">
        <v>3107</v>
      </c>
      <c r="I194" s="30">
        <v>3008</v>
      </c>
      <c r="J194" s="30">
        <v>3107</v>
      </c>
      <c r="K194" s="30">
        <v>3209</v>
      </c>
      <c r="L194" s="30">
        <v>3236</v>
      </c>
      <c r="N194" s="124" t="s">
        <v>8552</v>
      </c>
      <c r="O194" s="4"/>
      <c r="Q194" s="4"/>
    </row>
    <row r="195" spans="1:17">
      <c r="A195" s="124" t="s">
        <v>7017</v>
      </c>
      <c r="B195" s="124" t="s">
        <v>7601</v>
      </c>
      <c r="C195" s="4" t="s">
        <v>11016</v>
      </c>
      <c r="D195" s="127">
        <v>3185</v>
      </c>
      <c r="E195" s="127">
        <v>3130</v>
      </c>
      <c r="F195" s="127">
        <v>3208</v>
      </c>
      <c r="G195" s="31">
        <v>3267</v>
      </c>
      <c r="H195" s="31">
        <v>3235</v>
      </c>
      <c r="I195" s="31">
        <v>3153</v>
      </c>
      <c r="J195" s="31">
        <v>3115</v>
      </c>
      <c r="K195" s="31">
        <v>3215</v>
      </c>
      <c r="L195" s="31">
        <v>3189</v>
      </c>
      <c r="N195" s="124" t="s">
        <v>8552</v>
      </c>
      <c r="O195" s="4"/>
      <c r="Q195" s="4"/>
    </row>
    <row r="196" spans="1:17">
      <c r="A196" s="124" t="s">
        <v>7019</v>
      </c>
      <c r="B196" s="124" t="s">
        <v>3187</v>
      </c>
      <c r="C196" s="4" t="s">
        <v>11017</v>
      </c>
      <c r="D196" s="127">
        <v>1618</v>
      </c>
      <c r="E196" s="127">
        <v>1627</v>
      </c>
      <c r="F196" s="127">
        <v>1626</v>
      </c>
      <c r="G196" s="31">
        <v>1685</v>
      </c>
      <c r="H196" s="31">
        <v>1657</v>
      </c>
      <c r="I196" s="31">
        <v>1646</v>
      </c>
      <c r="J196" s="31">
        <v>1645</v>
      </c>
      <c r="K196" s="31">
        <v>1710</v>
      </c>
      <c r="L196" s="31">
        <v>1717</v>
      </c>
      <c r="N196" s="124" t="s">
        <v>8552</v>
      </c>
      <c r="O196" s="4"/>
      <c r="Q196" s="4"/>
    </row>
    <row r="197" spans="1:17">
      <c r="A197" s="124" t="s">
        <v>7021</v>
      </c>
      <c r="B197" s="124" t="s">
        <v>3188</v>
      </c>
      <c r="C197" s="4" t="s">
        <v>11018</v>
      </c>
      <c r="D197" s="127">
        <v>1566</v>
      </c>
      <c r="E197" s="127">
        <v>1489</v>
      </c>
      <c r="F197" s="127">
        <v>1585</v>
      </c>
      <c r="G197" s="31">
        <v>1595</v>
      </c>
      <c r="H197" s="31">
        <v>1553</v>
      </c>
      <c r="I197" s="31">
        <v>1466</v>
      </c>
      <c r="J197" s="31">
        <v>1506</v>
      </c>
      <c r="K197" s="31">
        <v>1564</v>
      </c>
      <c r="L197" s="31">
        <v>1541</v>
      </c>
      <c r="N197" s="124" t="s">
        <v>8552</v>
      </c>
      <c r="O197" s="4"/>
      <c r="Q197" s="4"/>
    </row>
    <row r="198" spans="1:17">
      <c r="A198" s="124" t="s">
        <v>7023</v>
      </c>
      <c r="B198" s="124" t="s">
        <v>3189</v>
      </c>
      <c r="C198" s="4" t="s">
        <v>11019</v>
      </c>
      <c r="D198" s="127">
        <v>3254</v>
      </c>
      <c r="E198" s="127">
        <v>3243</v>
      </c>
      <c r="F198" s="127">
        <v>3256</v>
      </c>
      <c r="G198" s="31">
        <v>3272</v>
      </c>
      <c r="H198" s="31">
        <v>3310</v>
      </c>
      <c r="I198" s="31">
        <v>3289</v>
      </c>
      <c r="J198" s="31">
        <v>3280</v>
      </c>
      <c r="K198" s="31">
        <v>3356</v>
      </c>
      <c r="L198" s="31">
        <v>3343</v>
      </c>
      <c r="N198" s="124" t="s">
        <v>8552</v>
      </c>
      <c r="O198" s="4"/>
      <c r="Q198" s="4"/>
    </row>
    <row r="199" spans="1:17">
      <c r="A199" s="124" t="s">
        <v>7025</v>
      </c>
      <c r="B199" s="124" t="s">
        <v>3190</v>
      </c>
      <c r="C199" s="4" t="s">
        <v>11020</v>
      </c>
      <c r="D199" s="127">
        <v>3213</v>
      </c>
      <c r="E199" s="127">
        <v>3158</v>
      </c>
      <c r="F199" s="127">
        <v>3168</v>
      </c>
      <c r="G199" s="31">
        <v>3226</v>
      </c>
      <c r="H199" s="31">
        <v>3123</v>
      </c>
      <c r="I199" s="31">
        <v>3077</v>
      </c>
      <c r="J199" s="31">
        <v>3111</v>
      </c>
      <c r="K199" s="31">
        <v>3189</v>
      </c>
      <c r="L199" s="31">
        <v>3204</v>
      </c>
      <c r="N199" s="124" t="s">
        <v>8552</v>
      </c>
      <c r="O199" s="4"/>
      <c r="Q199" s="4"/>
    </row>
    <row r="200" spans="1:17">
      <c r="A200" s="124" t="s">
        <v>7570</v>
      </c>
      <c r="B200" s="124" t="s">
        <v>3191</v>
      </c>
      <c r="C200" s="4" t="s">
        <v>11021</v>
      </c>
      <c r="D200" s="127">
        <v>1566</v>
      </c>
      <c r="E200" s="127">
        <v>1564</v>
      </c>
      <c r="F200" s="127">
        <v>1553</v>
      </c>
      <c r="G200" s="31">
        <v>1568</v>
      </c>
      <c r="H200" s="31">
        <v>1579</v>
      </c>
      <c r="I200" s="31">
        <v>1569</v>
      </c>
      <c r="J200" s="31">
        <v>1556</v>
      </c>
      <c r="K200" s="31">
        <v>1579</v>
      </c>
      <c r="L200" s="31">
        <v>1568</v>
      </c>
      <c r="N200" s="124" t="s">
        <v>8552</v>
      </c>
      <c r="O200" s="4"/>
      <c r="Q200" s="4"/>
    </row>
    <row r="201" spans="1:17">
      <c r="A201" s="124" t="s">
        <v>7572</v>
      </c>
      <c r="B201" s="124" t="s">
        <v>3192</v>
      </c>
      <c r="C201" s="4" t="s">
        <v>11022</v>
      </c>
      <c r="D201" s="127">
        <v>3597</v>
      </c>
      <c r="E201" s="127">
        <v>3820</v>
      </c>
      <c r="F201" s="127">
        <v>3897</v>
      </c>
      <c r="G201" s="31">
        <v>3936</v>
      </c>
      <c r="H201" s="31">
        <v>3760</v>
      </c>
      <c r="I201" s="31">
        <v>3575</v>
      </c>
      <c r="J201" s="31">
        <v>3654</v>
      </c>
      <c r="K201" s="31">
        <v>3717</v>
      </c>
      <c r="L201" s="31">
        <v>3653</v>
      </c>
      <c r="N201" s="124" t="s">
        <v>8552</v>
      </c>
      <c r="O201" s="4"/>
      <c r="Q201" s="4"/>
    </row>
    <row r="202" spans="1:17">
      <c r="A202" s="124" t="s">
        <v>7573</v>
      </c>
      <c r="B202" s="124" t="s">
        <v>3193</v>
      </c>
      <c r="C202" s="4" t="s">
        <v>11023</v>
      </c>
      <c r="D202" s="127">
        <v>5563</v>
      </c>
      <c r="E202" s="127">
        <v>5647</v>
      </c>
      <c r="F202" s="127">
        <v>5684</v>
      </c>
      <c r="G202" s="31">
        <v>5720</v>
      </c>
      <c r="H202" s="31">
        <v>5628</v>
      </c>
      <c r="I202" s="31">
        <v>5435</v>
      </c>
      <c r="J202" s="31">
        <v>5541</v>
      </c>
      <c r="K202" s="31">
        <v>5756</v>
      </c>
      <c r="L202" s="31">
        <v>5671</v>
      </c>
      <c r="N202" s="124" t="s">
        <v>8552</v>
      </c>
      <c r="O202" s="4"/>
      <c r="Q202" s="4"/>
    </row>
    <row r="203" spans="1:17">
      <c r="A203" s="124" t="s">
        <v>5798</v>
      </c>
      <c r="B203" s="124" t="s">
        <v>3194</v>
      </c>
      <c r="C203" s="4" t="s">
        <v>11024</v>
      </c>
      <c r="D203" s="127">
        <v>3115</v>
      </c>
      <c r="E203" s="127">
        <v>3110</v>
      </c>
      <c r="F203" s="127">
        <v>3155</v>
      </c>
      <c r="G203" s="31">
        <v>3154</v>
      </c>
      <c r="H203" s="31">
        <v>3132</v>
      </c>
      <c r="I203" s="31">
        <v>3117</v>
      </c>
      <c r="J203" s="31">
        <v>3114</v>
      </c>
      <c r="K203" s="31">
        <v>3137</v>
      </c>
      <c r="L203" s="31">
        <v>3087</v>
      </c>
      <c r="N203" s="124" t="s">
        <v>8552</v>
      </c>
      <c r="O203" s="4"/>
      <c r="Q203" s="4"/>
    </row>
    <row r="204" spans="1:17">
      <c r="A204" s="124" t="s">
        <v>5799</v>
      </c>
      <c r="B204" s="124" t="s">
        <v>3195</v>
      </c>
      <c r="C204" s="4" t="s">
        <v>11025</v>
      </c>
      <c r="D204" s="127">
        <v>4496</v>
      </c>
      <c r="E204" s="127">
        <v>4585</v>
      </c>
      <c r="F204" s="127">
        <v>4600</v>
      </c>
      <c r="G204" s="31">
        <v>4513</v>
      </c>
      <c r="H204" s="31">
        <v>4546</v>
      </c>
      <c r="I204" s="31">
        <v>4350</v>
      </c>
      <c r="J204" s="31">
        <v>4522</v>
      </c>
      <c r="K204" s="31">
        <v>4707</v>
      </c>
      <c r="L204" s="31">
        <v>4636</v>
      </c>
      <c r="N204" s="124" t="s">
        <v>8552</v>
      </c>
      <c r="O204" s="4"/>
      <c r="Q204" s="4"/>
    </row>
    <row r="205" spans="1:17">
      <c r="A205" s="124" t="s">
        <v>5801</v>
      </c>
      <c r="B205" s="124" t="s">
        <v>3196</v>
      </c>
      <c r="C205" s="4" t="s">
        <v>11026</v>
      </c>
      <c r="D205" s="127">
        <v>3127</v>
      </c>
      <c r="E205" s="127">
        <v>3121</v>
      </c>
      <c r="F205" s="127">
        <v>3135</v>
      </c>
      <c r="G205" s="31">
        <v>3189</v>
      </c>
      <c r="H205" s="31">
        <v>3122</v>
      </c>
      <c r="I205" s="31">
        <v>3040</v>
      </c>
      <c r="J205" s="31">
        <v>2994</v>
      </c>
      <c r="K205" s="31">
        <v>3151</v>
      </c>
      <c r="L205" s="31">
        <v>3252</v>
      </c>
      <c r="N205" s="124" t="s">
        <v>8552</v>
      </c>
      <c r="O205" s="4"/>
      <c r="Q205" s="4"/>
    </row>
    <row r="206" spans="1:17">
      <c r="A206" s="124" t="s">
        <v>5927</v>
      </c>
      <c r="B206" s="124" t="s">
        <v>4878</v>
      </c>
      <c r="C206" s="4" t="s">
        <v>11027</v>
      </c>
      <c r="D206" s="127">
        <v>3005</v>
      </c>
      <c r="E206" s="127">
        <v>3040</v>
      </c>
      <c r="F206" s="127">
        <v>3140</v>
      </c>
      <c r="G206" s="31">
        <v>3173</v>
      </c>
      <c r="H206" s="31">
        <v>3221</v>
      </c>
      <c r="I206" s="31">
        <v>3138</v>
      </c>
      <c r="J206" s="31">
        <v>3097</v>
      </c>
      <c r="K206" s="31">
        <v>3152</v>
      </c>
      <c r="L206" s="31">
        <v>3180</v>
      </c>
      <c r="N206" s="124" t="s">
        <v>8552</v>
      </c>
      <c r="O206" s="4"/>
      <c r="Q206" s="4"/>
    </row>
    <row r="207" spans="1:17">
      <c r="D207" s="128"/>
      <c r="E207" s="128"/>
      <c r="F207" s="128"/>
      <c r="G207" s="128"/>
      <c r="H207" s="128"/>
      <c r="I207" s="128"/>
      <c r="J207" s="128"/>
      <c r="K207" s="128"/>
      <c r="L207" s="128"/>
    </row>
    <row r="208" spans="1:17">
      <c r="A208" s="124" t="s">
        <v>8552</v>
      </c>
      <c r="D208" s="127">
        <f t="shared" ref="D208:L208" si="113">SUM(D180:D206)</f>
        <v>78141</v>
      </c>
      <c r="E208" s="127">
        <f t="shared" si="113"/>
        <v>78220</v>
      </c>
      <c r="F208" s="127">
        <f t="shared" si="113"/>
        <v>79321</v>
      </c>
      <c r="G208" s="127">
        <f t="shared" si="113"/>
        <v>79653</v>
      </c>
      <c r="H208" s="127">
        <f t="shared" si="113"/>
        <v>79067</v>
      </c>
      <c r="I208" s="127">
        <f t="shared" si="113"/>
        <v>77097</v>
      </c>
      <c r="J208" s="127">
        <f t="shared" si="113"/>
        <v>78455</v>
      </c>
      <c r="K208" s="127">
        <f t="shared" si="113"/>
        <v>80868</v>
      </c>
      <c r="L208" s="127">
        <f t="shared" si="113"/>
        <v>80906</v>
      </c>
    </row>
    <row r="210" spans="1:1">
      <c r="A210" s="125" t="s">
        <v>13327</v>
      </c>
    </row>
    <row r="211" spans="1:1">
      <c r="A211" s="125" t="s">
        <v>13409</v>
      </c>
    </row>
  </sheetData>
  <sortState ref="O180:Q206">
    <sortCondition ref="O180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57" orientation="portrait" horizontalDpi="300" verticalDpi="300" r:id="rId1"/>
  <headerFooter alignWithMargins="0">
    <oddFooter>&amp;C&amp;8&amp;P of &amp;N</oddFooter>
  </headerFooter>
  <ignoredErrors>
    <ignoredError sqref="D208:K208 D179:E179 D73:E73 D99:E100 F70:F73 F99:F106 F135:F138 F173:F179 F140 G73:K73 G179:K179 D3:H36 I3:I40 D124:K124 D107:K107 D158:K158 D141:K141 D165:K165 D56:K56 D61:K61 D41:K41 G99:K100 D133:K134 D171:K172 J3:K36 F66:F68 D64:K65 L3:L208" unlocked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4"/>
  <sheetViews>
    <sheetView showGridLines="0" zoomScaleNormal="100" workbookViewId="0"/>
  </sheetViews>
  <sheetFormatPr defaultColWidth="12.5703125" defaultRowHeight="15"/>
  <cols>
    <col min="1" max="1" width="5" style="73" customWidth="1"/>
    <col min="2" max="2" width="40.7109375" style="73" customWidth="1"/>
    <col min="3" max="3" width="11.5703125" style="73" customWidth="1"/>
    <col min="4" max="12" width="10" style="73" customWidth="1"/>
    <col min="13" max="13" width="2.28515625" style="73" customWidth="1"/>
    <col min="14" max="14" width="31.5703125" style="73" customWidth="1"/>
    <col min="15" max="15" width="12.5703125" style="73"/>
    <col min="16" max="16" width="12.5703125" style="74"/>
    <col min="17" max="16384" width="12.5703125" style="73"/>
  </cols>
  <sheetData>
    <row r="1" spans="1:16" s="53" customFormat="1">
      <c r="A1" s="54" t="s">
        <v>8847</v>
      </c>
      <c r="D1" s="807">
        <v>2010</v>
      </c>
      <c r="E1" s="807">
        <v>2011</v>
      </c>
      <c r="F1" s="807">
        <v>2012</v>
      </c>
      <c r="G1" s="807">
        <v>2013</v>
      </c>
      <c r="H1" s="807">
        <v>2014</v>
      </c>
      <c r="I1" s="807">
        <v>2015</v>
      </c>
      <c r="J1" s="807">
        <v>2016</v>
      </c>
      <c r="K1" s="807">
        <v>2017</v>
      </c>
      <c r="L1" s="807">
        <v>2018</v>
      </c>
      <c r="P1" s="52"/>
    </row>
    <row r="2" spans="1:16" s="53" customFormat="1">
      <c r="P2" s="52"/>
    </row>
    <row r="3" spans="1:16" s="53" customFormat="1">
      <c r="A3" s="51" t="s">
        <v>4879</v>
      </c>
      <c r="D3" s="56">
        <f t="shared" ref="D3:I3" si="0">SUM(D17:D30)</f>
        <v>139920</v>
      </c>
      <c r="E3" s="56">
        <f t="shared" si="0"/>
        <v>143745</v>
      </c>
      <c r="F3" s="56">
        <f t="shared" si="0"/>
        <v>144921</v>
      </c>
      <c r="G3" s="56">
        <f t="shared" si="0"/>
        <v>143647</v>
      </c>
      <c r="H3" s="56">
        <f t="shared" si="0"/>
        <v>142892</v>
      </c>
      <c r="I3" s="56">
        <f t="shared" si="0"/>
        <v>141701</v>
      </c>
      <c r="J3" s="56">
        <f t="shared" ref="J3:K3" si="1">SUM(J17:J30)</f>
        <v>134892</v>
      </c>
      <c r="K3" s="56">
        <f t="shared" si="1"/>
        <v>139620</v>
      </c>
      <c r="L3" s="56">
        <f t="shared" ref="L3" si="2">SUM(L17:L30)</f>
        <v>142014</v>
      </c>
      <c r="P3" s="52"/>
    </row>
    <row r="4" spans="1:16" s="53" customFormat="1">
      <c r="B4" s="51"/>
      <c r="C4" s="51"/>
      <c r="D4" s="56"/>
      <c r="E4" s="56"/>
      <c r="F4" s="56"/>
      <c r="G4" s="56"/>
      <c r="H4" s="56"/>
      <c r="I4" s="56"/>
      <c r="J4" s="56"/>
      <c r="K4" s="56"/>
      <c r="L4" s="56"/>
      <c r="N4" s="59"/>
      <c r="P4" s="52"/>
    </row>
    <row r="5" spans="1:16" s="53" customFormat="1">
      <c r="A5" s="51" t="s">
        <v>3520</v>
      </c>
      <c r="D5" s="56">
        <f t="shared" ref="D5:I5" si="3">D3/2</f>
        <v>69960</v>
      </c>
      <c r="E5" s="56">
        <f t="shared" si="3"/>
        <v>71872.5</v>
      </c>
      <c r="F5" s="56">
        <f t="shared" si="3"/>
        <v>72460.5</v>
      </c>
      <c r="G5" s="56">
        <f t="shared" si="3"/>
        <v>71823.5</v>
      </c>
      <c r="H5" s="56">
        <f t="shared" si="3"/>
        <v>71446</v>
      </c>
      <c r="I5" s="56">
        <f t="shared" si="3"/>
        <v>70850.5</v>
      </c>
      <c r="J5" s="56">
        <f t="shared" ref="J5:K5" si="4">J3/2</f>
        <v>67446</v>
      </c>
      <c r="K5" s="56">
        <f t="shared" si="4"/>
        <v>69810</v>
      </c>
      <c r="L5" s="56">
        <f t="shared" ref="L5" si="5">L3/2</f>
        <v>71007</v>
      </c>
      <c r="P5" s="52"/>
    </row>
    <row r="6" spans="1:16" s="53" customFormat="1">
      <c r="D6" s="58"/>
      <c r="E6" s="58"/>
      <c r="F6" s="58"/>
      <c r="G6" s="58"/>
      <c r="H6" s="58"/>
      <c r="I6" s="58"/>
      <c r="J6" s="58"/>
      <c r="K6" s="58"/>
      <c r="L6" s="58"/>
      <c r="P6" s="52"/>
    </row>
    <row r="7" spans="1:16" s="53" customFormat="1">
      <c r="A7" s="51" t="s">
        <v>4880</v>
      </c>
      <c r="D7" s="56">
        <f t="shared" ref="D7:I7" si="6">D17+D20+D21+D22+D25+D27+D28</f>
        <v>70464</v>
      </c>
      <c r="E7" s="56">
        <f t="shared" si="6"/>
        <v>71798</v>
      </c>
      <c r="F7" s="56">
        <f t="shared" si="6"/>
        <v>72474</v>
      </c>
      <c r="G7" s="56">
        <f t="shared" si="6"/>
        <v>72724</v>
      </c>
      <c r="H7" s="56">
        <f t="shared" si="6"/>
        <v>72330</v>
      </c>
      <c r="I7" s="56">
        <f t="shared" si="6"/>
        <v>72909</v>
      </c>
      <c r="J7" s="56">
        <f t="shared" ref="J7:K7" si="7">J17+J20+J21+J22+J25+J27+J28</f>
        <v>70315</v>
      </c>
      <c r="K7" s="56">
        <f t="shared" si="7"/>
        <v>70879</v>
      </c>
      <c r="L7" s="56">
        <f t="shared" ref="L7" si="8">L17+L20+L21+L22+L25+L27+L28</f>
        <v>70748</v>
      </c>
      <c r="N7" s="51" t="s">
        <v>4881</v>
      </c>
      <c r="P7" s="52"/>
    </row>
    <row r="8" spans="1:16" s="53" customFormat="1">
      <c r="D8" s="58"/>
      <c r="E8" s="58"/>
      <c r="F8" s="58"/>
      <c r="G8" s="58"/>
      <c r="H8" s="58"/>
      <c r="I8" s="58"/>
      <c r="J8" s="58"/>
      <c r="K8" s="58"/>
      <c r="L8" s="58"/>
      <c r="P8" s="52"/>
    </row>
    <row r="9" spans="1:16" s="53" customFormat="1">
      <c r="A9" s="51" t="s">
        <v>4882</v>
      </c>
      <c r="D9" s="56">
        <f t="shared" ref="D9:I9" si="9">D18+D19+D23+D24+D26+D29+D30</f>
        <v>69456</v>
      </c>
      <c r="E9" s="56">
        <f t="shared" si="9"/>
        <v>71947</v>
      </c>
      <c r="F9" s="56">
        <f t="shared" si="9"/>
        <v>72447</v>
      </c>
      <c r="G9" s="56">
        <f t="shared" si="9"/>
        <v>70923</v>
      </c>
      <c r="H9" s="56">
        <f t="shared" si="9"/>
        <v>70562</v>
      </c>
      <c r="I9" s="56">
        <f t="shared" si="9"/>
        <v>68792</v>
      </c>
      <c r="J9" s="56">
        <f t="shared" ref="J9:K9" si="10">J18+J19+J23+J24+J26+J29+J30</f>
        <v>64577</v>
      </c>
      <c r="K9" s="56">
        <f t="shared" si="10"/>
        <v>68741</v>
      </c>
      <c r="L9" s="56">
        <f t="shared" ref="L9" si="11">L18+L19+L23+L24+L26+L29+L30</f>
        <v>71266</v>
      </c>
      <c r="N9" s="51" t="s">
        <v>4881</v>
      </c>
      <c r="P9" s="52"/>
    </row>
    <row r="10" spans="1:16" s="53" customFormat="1">
      <c r="D10" s="58"/>
      <c r="E10" s="58"/>
      <c r="F10" s="58"/>
      <c r="G10" s="58"/>
      <c r="H10" s="58"/>
      <c r="I10" s="58"/>
      <c r="J10" s="58"/>
      <c r="K10" s="58"/>
      <c r="L10" s="58"/>
      <c r="P10" s="52"/>
    </row>
    <row r="11" spans="1:16" s="53" customFormat="1">
      <c r="A11" s="51" t="s">
        <v>8697</v>
      </c>
      <c r="D11" s="56">
        <f t="shared" ref="D11:I11" si="12">D7+D9</f>
        <v>139920</v>
      </c>
      <c r="E11" s="56">
        <f t="shared" si="12"/>
        <v>143745</v>
      </c>
      <c r="F11" s="56">
        <f t="shared" si="12"/>
        <v>144921</v>
      </c>
      <c r="G11" s="56">
        <f t="shared" si="12"/>
        <v>143647</v>
      </c>
      <c r="H11" s="56">
        <f t="shared" si="12"/>
        <v>142892</v>
      </c>
      <c r="I11" s="56">
        <f t="shared" si="12"/>
        <v>141701</v>
      </c>
      <c r="J11" s="56">
        <f t="shared" ref="J11:K11" si="13">J7+J9</f>
        <v>134892</v>
      </c>
      <c r="K11" s="56">
        <f t="shared" si="13"/>
        <v>139620</v>
      </c>
      <c r="L11" s="56">
        <f t="shared" ref="L11" si="14">L7+L9</f>
        <v>142014</v>
      </c>
      <c r="P11" s="52"/>
    </row>
    <row r="12" spans="1:16" s="53" customFormat="1">
      <c r="D12" s="58"/>
      <c r="E12" s="58"/>
      <c r="F12" s="58"/>
      <c r="G12" s="58"/>
      <c r="H12" s="58"/>
      <c r="I12" s="58"/>
      <c r="J12" s="58"/>
      <c r="K12" s="58"/>
      <c r="L12" s="58"/>
      <c r="P12" s="52"/>
    </row>
    <row r="13" spans="1:16" s="53" customFormat="1">
      <c r="A13" s="51" t="s">
        <v>8698</v>
      </c>
      <c r="D13" s="56">
        <f t="shared" ref="D13:I13" si="15">MAX(D7,D9)-MINA(D7,D9)</f>
        <v>1008</v>
      </c>
      <c r="E13" s="56">
        <f t="shared" si="15"/>
        <v>149</v>
      </c>
      <c r="F13" s="56">
        <f t="shared" si="15"/>
        <v>27</v>
      </c>
      <c r="G13" s="56">
        <f t="shared" si="15"/>
        <v>1801</v>
      </c>
      <c r="H13" s="56">
        <f t="shared" si="15"/>
        <v>1768</v>
      </c>
      <c r="I13" s="56">
        <f t="shared" si="15"/>
        <v>4117</v>
      </c>
      <c r="J13" s="56">
        <f t="shared" ref="J13:K13" si="16">MAX(J7,J9)-MINA(J7,J9)</f>
        <v>5738</v>
      </c>
      <c r="K13" s="56">
        <f t="shared" si="16"/>
        <v>2138</v>
      </c>
      <c r="L13" s="56">
        <f t="shared" ref="L13" si="17">MAX(L7,L9)-MINA(L7,L9)</f>
        <v>518</v>
      </c>
      <c r="P13" s="52"/>
    </row>
    <row r="14" spans="1:16" s="53" customFormat="1">
      <c r="D14" s="58"/>
      <c r="E14" s="58"/>
      <c r="F14" s="58"/>
      <c r="G14" s="58"/>
      <c r="H14" s="58"/>
      <c r="I14" s="58"/>
      <c r="J14" s="58"/>
      <c r="K14" s="58"/>
      <c r="L14" s="58"/>
      <c r="P14" s="52"/>
    </row>
    <row r="15" spans="1:16" s="53" customFormat="1">
      <c r="A15" s="51" t="s">
        <v>8701</v>
      </c>
      <c r="D15" s="56">
        <f t="shared" ref="D15:I15" si="18">STDEVP(D7,D9)</f>
        <v>504</v>
      </c>
      <c r="E15" s="56">
        <f t="shared" si="18"/>
        <v>74.5</v>
      </c>
      <c r="F15" s="56">
        <f t="shared" si="18"/>
        <v>13.5</v>
      </c>
      <c r="G15" s="56">
        <f t="shared" si="18"/>
        <v>900.5</v>
      </c>
      <c r="H15" s="56">
        <f t="shared" si="18"/>
        <v>884</v>
      </c>
      <c r="I15" s="56">
        <f t="shared" si="18"/>
        <v>2058.5</v>
      </c>
      <c r="J15" s="56">
        <f t="shared" ref="J15:K15" si="19">STDEVP(J7,J9)</f>
        <v>2869</v>
      </c>
      <c r="K15" s="56">
        <f t="shared" si="19"/>
        <v>1069</v>
      </c>
      <c r="L15" s="56">
        <f t="shared" ref="L15" si="20">STDEVP(L7,L9)</f>
        <v>259</v>
      </c>
      <c r="P15" s="52"/>
    </row>
    <row r="16" spans="1:16" s="53" customFormat="1">
      <c r="P16" s="52"/>
    </row>
    <row r="17" spans="1:17" s="53" customFormat="1">
      <c r="A17" s="51" t="s">
        <v>6957</v>
      </c>
      <c r="B17" s="51" t="s">
        <v>4883</v>
      </c>
      <c r="C17" s="4" t="s">
        <v>9996</v>
      </c>
      <c r="D17" s="58">
        <v>10875</v>
      </c>
      <c r="E17" s="58">
        <v>11117</v>
      </c>
      <c r="F17" s="58">
        <v>11255</v>
      </c>
      <c r="G17" s="30">
        <v>11322</v>
      </c>
      <c r="H17" s="30">
        <v>11194</v>
      </c>
      <c r="I17" s="30">
        <v>11223</v>
      </c>
      <c r="J17" s="30">
        <v>10812</v>
      </c>
      <c r="K17" s="30">
        <v>10859</v>
      </c>
      <c r="L17" s="30">
        <v>10880</v>
      </c>
      <c r="N17" s="51" t="s">
        <v>4880</v>
      </c>
      <c r="O17" s="4"/>
      <c r="Q17" s="4"/>
    </row>
    <row r="18" spans="1:17" s="53" customFormat="1">
      <c r="A18" s="51" t="s">
        <v>6959</v>
      </c>
      <c r="B18" s="51" t="s">
        <v>4884</v>
      </c>
      <c r="C18" s="4" t="s">
        <v>9997</v>
      </c>
      <c r="D18" s="58">
        <v>10700</v>
      </c>
      <c r="E18" s="58">
        <v>10823</v>
      </c>
      <c r="F18" s="58">
        <v>11731</v>
      </c>
      <c r="G18" s="30">
        <v>11665</v>
      </c>
      <c r="H18" s="30">
        <v>10720</v>
      </c>
      <c r="I18" s="30">
        <v>10661</v>
      </c>
      <c r="J18" s="30">
        <v>9429</v>
      </c>
      <c r="K18" s="30">
        <v>10427</v>
      </c>
      <c r="L18" s="30">
        <v>11186</v>
      </c>
      <c r="N18" s="51" t="s">
        <v>4882</v>
      </c>
      <c r="O18" s="4"/>
      <c r="Q18" s="4"/>
    </row>
    <row r="19" spans="1:17" s="53" customFormat="1">
      <c r="A19" s="51" t="s">
        <v>6961</v>
      </c>
      <c r="B19" s="51" t="s">
        <v>8489</v>
      </c>
      <c r="C19" s="4" t="s">
        <v>9998</v>
      </c>
      <c r="D19" s="808">
        <v>11321</v>
      </c>
      <c r="E19" s="808">
        <v>11754</v>
      </c>
      <c r="F19" s="808">
        <v>11316</v>
      </c>
      <c r="G19" s="30">
        <v>10658</v>
      </c>
      <c r="H19" s="30">
        <v>11751</v>
      </c>
      <c r="I19" s="30">
        <v>10681</v>
      </c>
      <c r="J19" s="30">
        <v>10213</v>
      </c>
      <c r="K19" s="30">
        <v>11422</v>
      </c>
      <c r="L19" s="30">
        <v>11983</v>
      </c>
      <c r="N19" s="51" t="s">
        <v>4882</v>
      </c>
      <c r="O19" s="4"/>
      <c r="Q19" s="4"/>
    </row>
    <row r="20" spans="1:17" s="53" customFormat="1">
      <c r="A20" s="51" t="s">
        <v>6963</v>
      </c>
      <c r="B20" s="51" t="s">
        <v>8490</v>
      </c>
      <c r="C20" s="4" t="s">
        <v>9999</v>
      </c>
      <c r="D20" s="58">
        <v>9943</v>
      </c>
      <c r="E20" s="58">
        <v>10098</v>
      </c>
      <c r="F20" s="58">
        <v>10054</v>
      </c>
      <c r="G20" s="30">
        <v>10067</v>
      </c>
      <c r="H20" s="30">
        <v>9973</v>
      </c>
      <c r="I20" s="30">
        <v>10026</v>
      </c>
      <c r="J20" s="30">
        <v>9693</v>
      </c>
      <c r="K20" s="30">
        <v>9770</v>
      </c>
      <c r="L20" s="30">
        <v>9687</v>
      </c>
      <c r="N20" s="51" t="s">
        <v>4880</v>
      </c>
      <c r="O20" s="4"/>
      <c r="Q20" s="4"/>
    </row>
    <row r="21" spans="1:17" s="53" customFormat="1">
      <c r="A21" s="51" t="s">
        <v>6965</v>
      </c>
      <c r="B21" s="51" t="s">
        <v>8491</v>
      </c>
      <c r="C21" s="4" t="s">
        <v>10000</v>
      </c>
      <c r="D21" s="58">
        <v>9848</v>
      </c>
      <c r="E21" s="58">
        <v>10002</v>
      </c>
      <c r="F21" s="58">
        <v>10203</v>
      </c>
      <c r="G21" s="30">
        <v>10258</v>
      </c>
      <c r="H21" s="30">
        <v>10315</v>
      </c>
      <c r="I21" s="30">
        <v>10479</v>
      </c>
      <c r="J21" s="30">
        <v>10171</v>
      </c>
      <c r="K21" s="30">
        <v>10146</v>
      </c>
      <c r="L21" s="30">
        <v>10160</v>
      </c>
      <c r="N21" s="51" t="s">
        <v>4880</v>
      </c>
      <c r="O21" s="4"/>
      <c r="Q21" s="4"/>
    </row>
    <row r="22" spans="1:17" s="53" customFormat="1">
      <c r="A22" s="51" t="s">
        <v>6997</v>
      </c>
      <c r="B22" s="51" t="s">
        <v>8492</v>
      </c>
      <c r="C22" s="4" t="s">
        <v>10001</v>
      </c>
      <c r="D22" s="58">
        <v>10184</v>
      </c>
      <c r="E22" s="58">
        <v>10267</v>
      </c>
      <c r="F22" s="58">
        <v>10280</v>
      </c>
      <c r="G22" s="30">
        <v>10327</v>
      </c>
      <c r="H22" s="30">
        <v>10282</v>
      </c>
      <c r="I22" s="30">
        <v>10302</v>
      </c>
      <c r="J22" s="30">
        <v>10064</v>
      </c>
      <c r="K22" s="30">
        <v>10309</v>
      </c>
      <c r="L22" s="30">
        <v>10401</v>
      </c>
      <c r="N22" s="51" t="s">
        <v>4880</v>
      </c>
      <c r="O22" s="4"/>
      <c r="Q22" s="4"/>
    </row>
    <row r="23" spans="1:17" s="53" customFormat="1">
      <c r="A23" s="51" t="s">
        <v>6999</v>
      </c>
      <c r="B23" s="51" t="s">
        <v>8493</v>
      </c>
      <c r="C23" s="4" t="s">
        <v>10002</v>
      </c>
      <c r="D23" s="58">
        <v>8981</v>
      </c>
      <c r="E23" s="58">
        <v>9440</v>
      </c>
      <c r="F23" s="58">
        <v>9374</v>
      </c>
      <c r="G23" s="30">
        <v>9488</v>
      </c>
      <c r="H23" s="30">
        <v>9369</v>
      </c>
      <c r="I23" s="30">
        <v>9370</v>
      </c>
      <c r="J23" s="30">
        <v>8914</v>
      </c>
      <c r="K23" s="30">
        <v>9000</v>
      </c>
      <c r="L23" s="30">
        <v>9195</v>
      </c>
      <c r="N23" s="51" t="s">
        <v>4882</v>
      </c>
      <c r="O23" s="4"/>
      <c r="Q23" s="4"/>
    </row>
    <row r="24" spans="1:17" s="53" customFormat="1">
      <c r="A24" s="51" t="s">
        <v>7001</v>
      </c>
      <c r="B24" s="51" t="s">
        <v>8376</v>
      </c>
      <c r="C24" s="4" t="s">
        <v>10003</v>
      </c>
      <c r="D24" s="58">
        <v>10002</v>
      </c>
      <c r="E24" s="58">
        <v>10384</v>
      </c>
      <c r="F24" s="58">
        <v>10472</v>
      </c>
      <c r="G24" s="30">
        <v>10396</v>
      </c>
      <c r="H24" s="30">
        <v>10059</v>
      </c>
      <c r="I24" s="30">
        <v>10111</v>
      </c>
      <c r="J24" s="30">
        <v>9477</v>
      </c>
      <c r="K24" s="30">
        <v>9541</v>
      </c>
      <c r="L24" s="30">
        <v>9683</v>
      </c>
      <c r="N24" s="51" t="s">
        <v>4882</v>
      </c>
      <c r="O24" s="4"/>
      <c r="Q24" s="4"/>
    </row>
    <row r="25" spans="1:17" s="53" customFormat="1">
      <c r="A25" s="51" t="s">
        <v>7003</v>
      </c>
      <c r="B25" s="51" t="s">
        <v>8377</v>
      </c>
      <c r="C25" s="4" t="s">
        <v>10004</v>
      </c>
      <c r="D25" s="58">
        <v>9963</v>
      </c>
      <c r="E25" s="58">
        <v>10227</v>
      </c>
      <c r="F25" s="58">
        <v>10322</v>
      </c>
      <c r="G25" s="30">
        <v>10419</v>
      </c>
      <c r="H25" s="30">
        <v>10351</v>
      </c>
      <c r="I25" s="30">
        <v>10403</v>
      </c>
      <c r="J25" s="30">
        <v>9951</v>
      </c>
      <c r="K25" s="30">
        <v>10098</v>
      </c>
      <c r="L25" s="30">
        <v>10080</v>
      </c>
      <c r="N25" s="51" t="s">
        <v>4880</v>
      </c>
      <c r="O25" s="4"/>
      <c r="Q25" s="4"/>
    </row>
    <row r="26" spans="1:17" s="53" customFormat="1">
      <c r="A26" s="51" t="s">
        <v>7005</v>
      </c>
      <c r="B26" s="51" t="s">
        <v>7893</v>
      </c>
      <c r="C26" s="4" t="s">
        <v>10005</v>
      </c>
      <c r="D26" s="58">
        <v>10037</v>
      </c>
      <c r="E26" s="58">
        <v>10183</v>
      </c>
      <c r="F26" s="58">
        <v>10137</v>
      </c>
      <c r="G26" s="30">
        <v>10144</v>
      </c>
      <c r="H26" s="30">
        <v>10518</v>
      </c>
      <c r="I26" s="30">
        <v>10226</v>
      </c>
      <c r="J26" s="30">
        <v>9792</v>
      </c>
      <c r="K26" s="30">
        <v>10162</v>
      </c>
      <c r="L26" s="30">
        <v>10442</v>
      </c>
      <c r="N26" s="51" t="s">
        <v>4882</v>
      </c>
      <c r="O26" s="4"/>
      <c r="Q26" s="4"/>
    </row>
    <row r="27" spans="1:17" s="53" customFormat="1">
      <c r="A27" s="51" t="s">
        <v>7007</v>
      </c>
      <c r="B27" s="51" t="s">
        <v>6034</v>
      </c>
      <c r="C27" s="4" t="s">
        <v>10006</v>
      </c>
      <c r="D27" s="58">
        <v>9888</v>
      </c>
      <c r="E27" s="58">
        <v>10095</v>
      </c>
      <c r="F27" s="58">
        <v>10310</v>
      </c>
      <c r="G27" s="30">
        <v>10275</v>
      </c>
      <c r="H27" s="30">
        <v>10035</v>
      </c>
      <c r="I27" s="30">
        <v>10090</v>
      </c>
      <c r="J27" s="30">
        <v>9676</v>
      </c>
      <c r="K27" s="30">
        <v>9667</v>
      </c>
      <c r="L27" s="30">
        <v>9578</v>
      </c>
      <c r="N27" s="51" t="s">
        <v>4880</v>
      </c>
      <c r="O27" s="4"/>
      <c r="Q27" s="4"/>
    </row>
    <row r="28" spans="1:17" s="53" customFormat="1">
      <c r="A28" s="51" t="s">
        <v>7009</v>
      </c>
      <c r="B28" s="51" t="s">
        <v>8378</v>
      </c>
      <c r="C28" s="4" t="s">
        <v>10007</v>
      </c>
      <c r="D28" s="58">
        <v>9763</v>
      </c>
      <c r="E28" s="58">
        <v>9992</v>
      </c>
      <c r="F28" s="58">
        <v>10050</v>
      </c>
      <c r="G28" s="30">
        <v>10056</v>
      </c>
      <c r="H28" s="30">
        <v>10180</v>
      </c>
      <c r="I28" s="30">
        <v>10386</v>
      </c>
      <c r="J28" s="30">
        <v>9948</v>
      </c>
      <c r="K28" s="30">
        <v>10030</v>
      </c>
      <c r="L28" s="30">
        <v>9962</v>
      </c>
      <c r="N28" s="51" t="s">
        <v>4880</v>
      </c>
      <c r="O28" s="4"/>
      <c r="Q28" s="4"/>
    </row>
    <row r="29" spans="1:17" s="53" customFormat="1">
      <c r="A29" s="51" t="s">
        <v>7011</v>
      </c>
      <c r="B29" s="51" t="s">
        <v>8379</v>
      </c>
      <c r="C29" s="4" t="s">
        <v>10008</v>
      </c>
      <c r="D29" s="58">
        <v>8182</v>
      </c>
      <c r="E29" s="58">
        <v>8631</v>
      </c>
      <c r="F29" s="58">
        <v>8865</v>
      </c>
      <c r="G29" s="30">
        <v>8739</v>
      </c>
      <c r="H29" s="30">
        <v>8492</v>
      </c>
      <c r="I29" s="30">
        <v>8566</v>
      </c>
      <c r="J29" s="30">
        <v>8042</v>
      </c>
      <c r="K29" s="30">
        <v>8352</v>
      </c>
      <c r="L29" s="30">
        <v>8553</v>
      </c>
      <c r="N29" s="51" t="s">
        <v>4882</v>
      </c>
      <c r="O29" s="4"/>
      <c r="Q29" s="4"/>
    </row>
    <row r="30" spans="1:17" s="53" customFormat="1">
      <c r="A30" s="50">
        <v>14</v>
      </c>
      <c r="B30" s="51" t="s">
        <v>4101</v>
      </c>
      <c r="C30" s="4" t="s">
        <v>10009</v>
      </c>
      <c r="D30" s="58">
        <v>10233</v>
      </c>
      <c r="E30" s="58">
        <v>10732</v>
      </c>
      <c r="F30" s="58">
        <v>10552</v>
      </c>
      <c r="G30" s="30">
        <v>9833</v>
      </c>
      <c r="H30" s="30">
        <v>9653</v>
      </c>
      <c r="I30" s="30">
        <v>9177</v>
      </c>
      <c r="J30" s="30">
        <v>8710</v>
      </c>
      <c r="K30" s="30">
        <v>9837</v>
      </c>
      <c r="L30" s="30">
        <v>10224</v>
      </c>
      <c r="N30" s="51" t="s">
        <v>4882</v>
      </c>
      <c r="O30" s="4"/>
      <c r="Q30" s="4"/>
    </row>
    <row r="31" spans="1:17" s="53" customFormat="1">
      <c r="D31" s="58"/>
      <c r="E31" s="58"/>
      <c r="F31" s="58"/>
      <c r="G31" s="58"/>
      <c r="H31" s="58"/>
      <c r="I31" s="58"/>
      <c r="J31" s="58"/>
      <c r="K31" s="58"/>
      <c r="L31" s="58"/>
      <c r="P31" s="52"/>
    </row>
    <row r="32" spans="1:17" s="53" customFormat="1">
      <c r="A32" s="51" t="s">
        <v>8380</v>
      </c>
      <c r="P32" s="52"/>
    </row>
    <row r="33" spans="1:16" s="53" customFormat="1">
      <c r="A33" s="51"/>
      <c r="P33" s="52"/>
    </row>
    <row r="34" spans="1:16" s="53" customFormat="1">
      <c r="A34" s="51"/>
      <c r="P34" s="52"/>
    </row>
  </sheetData>
  <sortState ref="O17:Q30">
    <sortCondition ref="O1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5 H3:H4 H5:H15 I3:I15 J3:J15 K3:K15 L3:L15" unlockedFormula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59"/>
  <sheetViews>
    <sheetView showGridLines="0" zoomScaleNormal="100" workbookViewId="0"/>
  </sheetViews>
  <sheetFormatPr defaultColWidth="12.5703125" defaultRowHeight="15"/>
  <cols>
    <col min="1" max="1" width="4.85546875" style="260" customWidth="1"/>
    <col min="2" max="2" width="40.7109375" style="260" customWidth="1"/>
    <col min="3" max="3" width="11.5703125" style="260" customWidth="1"/>
    <col min="4" max="12" width="10" style="260" customWidth="1"/>
    <col min="13" max="13" width="2.28515625" style="260" customWidth="1"/>
    <col min="14" max="14" width="34.42578125" style="260" customWidth="1"/>
    <col min="15" max="16384" width="12.5703125" style="260"/>
  </cols>
  <sheetData>
    <row r="1" spans="1:14">
      <c r="A1" s="259" t="s">
        <v>7342</v>
      </c>
      <c r="D1" s="261">
        <v>2010</v>
      </c>
      <c r="E1" s="261">
        <v>2011</v>
      </c>
      <c r="F1" s="261">
        <v>2012</v>
      </c>
      <c r="G1" s="261">
        <v>2013</v>
      </c>
      <c r="H1" s="261">
        <v>2014</v>
      </c>
      <c r="I1" s="261">
        <v>2015</v>
      </c>
      <c r="J1" s="261">
        <v>2016</v>
      </c>
      <c r="K1" s="261">
        <v>2017</v>
      </c>
      <c r="L1" s="261">
        <v>2018</v>
      </c>
    </row>
    <row r="3" spans="1:14">
      <c r="A3" s="259" t="s">
        <v>8381</v>
      </c>
      <c r="D3" s="262">
        <f t="shared" ref="D3:I3" si="0">SUM(D27:D45)+SUM(D46:D47)</f>
        <v>190563</v>
      </c>
      <c r="E3" s="262">
        <f t="shared" si="0"/>
        <v>192926</v>
      </c>
      <c r="F3" s="262">
        <f t="shared" si="0"/>
        <v>196397</v>
      </c>
      <c r="G3" s="262">
        <f t="shared" si="0"/>
        <v>195759</v>
      </c>
      <c r="H3" s="262">
        <f t="shared" si="0"/>
        <v>198615</v>
      </c>
      <c r="I3" s="262">
        <f t="shared" si="0"/>
        <v>194814</v>
      </c>
      <c r="J3" s="262">
        <f t="shared" ref="J3:K3" si="1">SUM(J27:J45)+SUM(J46:J47)</f>
        <v>178020</v>
      </c>
      <c r="K3" s="262">
        <f t="shared" si="1"/>
        <v>187423</v>
      </c>
      <c r="L3" s="262">
        <f t="shared" ref="L3" si="2">SUM(L27:L45)+SUM(L46:L47)</f>
        <v>194621</v>
      </c>
    </row>
    <row r="5" spans="1:14">
      <c r="A5" s="259" t="s">
        <v>6952</v>
      </c>
      <c r="D5" s="262">
        <f t="shared" ref="D5:K5" si="3">D3/3</f>
        <v>63521</v>
      </c>
      <c r="E5" s="262">
        <f t="shared" si="3"/>
        <v>64308.666666666664</v>
      </c>
      <c r="F5" s="262">
        <f t="shared" si="3"/>
        <v>65465.666666666664</v>
      </c>
      <c r="G5" s="262">
        <f t="shared" si="3"/>
        <v>65253</v>
      </c>
      <c r="H5" s="262">
        <f t="shared" si="3"/>
        <v>66205</v>
      </c>
      <c r="I5" s="262">
        <f t="shared" si="3"/>
        <v>64938</v>
      </c>
      <c r="J5" s="262">
        <f t="shared" si="3"/>
        <v>59340</v>
      </c>
      <c r="K5" s="262">
        <f t="shared" si="3"/>
        <v>62474.333333333336</v>
      </c>
      <c r="L5" s="262">
        <f t="shared" ref="L5" si="4">L3/3</f>
        <v>64873.666666666664</v>
      </c>
    </row>
    <row r="6" spans="1:14">
      <c r="D6" s="263"/>
      <c r="E6" s="263"/>
      <c r="F6" s="263"/>
      <c r="G6" s="263"/>
      <c r="H6" s="263"/>
      <c r="I6" s="263"/>
      <c r="J6" s="263"/>
      <c r="K6" s="263"/>
      <c r="L6" s="263"/>
    </row>
    <row r="7" spans="1:14">
      <c r="A7" s="259" t="s">
        <v>8382</v>
      </c>
      <c r="D7" s="262">
        <f t="shared" ref="D7:K7" si="5">D31+D41</f>
        <v>16493</v>
      </c>
      <c r="E7" s="262">
        <f t="shared" si="5"/>
        <v>16475</v>
      </c>
      <c r="F7" s="262">
        <f t="shared" si="5"/>
        <v>16792</v>
      </c>
      <c r="G7" s="262">
        <f t="shared" si="5"/>
        <v>16786</v>
      </c>
      <c r="H7" s="262">
        <f t="shared" si="5"/>
        <v>16983</v>
      </c>
      <c r="I7" s="262">
        <f t="shared" si="5"/>
        <v>16566</v>
      </c>
      <c r="J7" s="262">
        <f t="shared" si="5"/>
        <v>15580</v>
      </c>
      <c r="K7" s="262">
        <f t="shared" si="5"/>
        <v>16174</v>
      </c>
      <c r="L7" s="262">
        <f t="shared" ref="L7" si="6">L31+L41</f>
        <v>16860</v>
      </c>
      <c r="N7" s="259" t="s">
        <v>8383</v>
      </c>
    </row>
    <row r="8" spans="1:14" ht="15.75" thickBot="1">
      <c r="D8" s="264">
        <f>'WALTHAM FOREST'!D8</f>
        <v>48311</v>
      </c>
      <c r="E8" s="264">
        <f>'WALTHAM FOREST'!E8</f>
        <v>48295</v>
      </c>
      <c r="F8" s="264">
        <f>'WALTHAM FOREST'!F8</f>
        <v>48641</v>
      </c>
      <c r="G8" s="264">
        <f>'WALTHAM FOREST'!G8</f>
        <v>48699</v>
      </c>
      <c r="H8" s="264">
        <f>'WALTHAM FOREST'!H8</f>
        <v>49063</v>
      </c>
      <c r="I8" s="264">
        <f>'WALTHAM FOREST'!I8</f>
        <v>48518</v>
      </c>
      <c r="J8" s="264">
        <f>'WALTHAM FOREST'!J8</f>
        <v>47671</v>
      </c>
      <c r="K8" s="264">
        <f>'WALTHAM FOREST'!K8</f>
        <v>47917</v>
      </c>
      <c r="L8" s="264">
        <f>'WALTHAM FOREST'!L8</f>
        <v>48448</v>
      </c>
      <c r="N8" s="259" t="s">
        <v>8384</v>
      </c>
    </row>
    <row r="9" spans="1:14" ht="15.75" thickBot="1">
      <c r="D9" s="264">
        <f t="shared" ref="D9:K9" si="7">D7+D8</f>
        <v>64804</v>
      </c>
      <c r="E9" s="264">
        <f t="shared" si="7"/>
        <v>64770</v>
      </c>
      <c r="F9" s="264">
        <f t="shared" si="7"/>
        <v>65433</v>
      </c>
      <c r="G9" s="264">
        <f t="shared" si="7"/>
        <v>65485</v>
      </c>
      <c r="H9" s="264">
        <f t="shared" si="7"/>
        <v>66046</v>
      </c>
      <c r="I9" s="264">
        <f t="shared" si="7"/>
        <v>65084</v>
      </c>
      <c r="J9" s="264">
        <f t="shared" si="7"/>
        <v>63251</v>
      </c>
      <c r="K9" s="264">
        <f t="shared" si="7"/>
        <v>64091</v>
      </c>
      <c r="L9" s="264">
        <f t="shared" ref="L9" si="8">L7+L8</f>
        <v>65308</v>
      </c>
    </row>
    <row r="10" spans="1:14">
      <c r="D10" s="21"/>
      <c r="E10" s="21"/>
      <c r="F10" s="21"/>
      <c r="G10" s="21"/>
      <c r="H10" s="21"/>
      <c r="I10" s="21"/>
      <c r="J10" s="21"/>
      <c r="K10" s="21"/>
      <c r="L10" s="21"/>
      <c r="M10" s="20"/>
      <c r="N10" s="20"/>
    </row>
    <row r="11" spans="1:14">
      <c r="A11" s="259" t="s">
        <v>8385</v>
      </c>
      <c r="D11" s="262">
        <f t="shared" ref="D11:I11" si="9">SUM(D27:D29)+D32+D35+D36+D38+D43</f>
        <v>72281</v>
      </c>
      <c r="E11" s="262">
        <f t="shared" si="9"/>
        <v>72702</v>
      </c>
      <c r="F11" s="262">
        <f t="shared" si="9"/>
        <v>73513</v>
      </c>
      <c r="G11" s="262">
        <f t="shared" si="9"/>
        <v>73360</v>
      </c>
      <c r="H11" s="262">
        <f t="shared" si="9"/>
        <v>74271</v>
      </c>
      <c r="I11" s="262">
        <f t="shared" si="9"/>
        <v>72947</v>
      </c>
      <c r="J11" s="262">
        <f t="shared" ref="J11:K11" si="10">SUM(J27:J29)+J32+J35+J36+J38+J43</f>
        <v>67980</v>
      </c>
      <c r="K11" s="262">
        <f t="shared" si="10"/>
        <v>71090</v>
      </c>
      <c r="L11" s="262">
        <f t="shared" ref="L11" si="11">SUM(L27:L29)+L32+L35+L36+L38+L43</f>
        <v>73538</v>
      </c>
      <c r="N11" s="259" t="s">
        <v>8383</v>
      </c>
    </row>
    <row r="12" spans="1:14">
      <c r="D12" s="263"/>
      <c r="E12" s="263"/>
      <c r="F12" s="263"/>
      <c r="G12" s="263"/>
      <c r="H12" s="263"/>
      <c r="I12" s="263"/>
      <c r="J12" s="263"/>
      <c r="K12" s="263"/>
      <c r="L12" s="263"/>
    </row>
    <row r="13" spans="1:14">
      <c r="A13" s="259" t="s">
        <v>8386</v>
      </c>
      <c r="D13" s="262">
        <f t="shared" ref="D13:K13" si="12">D30+D33+D34+D37+D39+D40+D42+D44+D46</f>
        <v>84599</v>
      </c>
      <c r="E13" s="262">
        <f t="shared" si="12"/>
        <v>86401</v>
      </c>
      <c r="F13" s="262">
        <f t="shared" si="12"/>
        <v>88563</v>
      </c>
      <c r="G13" s="262">
        <f t="shared" si="12"/>
        <v>88125</v>
      </c>
      <c r="H13" s="262">
        <f t="shared" si="12"/>
        <v>89668</v>
      </c>
      <c r="I13" s="262">
        <f t="shared" si="12"/>
        <v>88135</v>
      </c>
      <c r="J13" s="262">
        <f t="shared" si="12"/>
        <v>78212</v>
      </c>
      <c r="K13" s="262">
        <f t="shared" si="12"/>
        <v>82975</v>
      </c>
      <c r="L13" s="262">
        <f t="shared" ref="L13" si="13">L30+L33+L34+L37+L39+L40+L42+L44+L46</f>
        <v>86396</v>
      </c>
      <c r="N13" s="259" t="s">
        <v>8383</v>
      </c>
    </row>
    <row r="14" spans="1:14">
      <c r="D14" s="263"/>
      <c r="E14" s="263"/>
      <c r="F14" s="263"/>
      <c r="G14" s="263"/>
      <c r="H14" s="263"/>
      <c r="I14" s="263"/>
      <c r="J14" s="263"/>
      <c r="K14" s="263"/>
      <c r="L14" s="263"/>
    </row>
    <row r="15" spans="1:14">
      <c r="A15" s="259" t="s">
        <v>8387</v>
      </c>
      <c r="D15" s="262">
        <f t="shared" ref="D15:K15" si="14">D45+D47</f>
        <v>17190</v>
      </c>
      <c r="E15" s="262">
        <f t="shared" si="14"/>
        <v>17348</v>
      </c>
      <c r="F15" s="262">
        <f t="shared" si="14"/>
        <v>17529</v>
      </c>
      <c r="G15" s="262">
        <f t="shared" si="14"/>
        <v>17488</v>
      </c>
      <c r="H15" s="262">
        <f t="shared" si="14"/>
        <v>17693</v>
      </c>
      <c r="I15" s="262">
        <f t="shared" si="14"/>
        <v>17166</v>
      </c>
      <c r="J15" s="262">
        <f t="shared" si="14"/>
        <v>16248</v>
      </c>
      <c r="K15" s="262">
        <f t="shared" si="14"/>
        <v>17184</v>
      </c>
      <c r="L15" s="262">
        <f t="shared" ref="L15" si="15">L45+L47</f>
        <v>17827</v>
      </c>
      <c r="N15" s="259" t="s">
        <v>8383</v>
      </c>
    </row>
    <row r="16" spans="1:14" ht="15.75" thickBot="1">
      <c r="D16" s="264">
        <f>'WALTHAM FOREST'!D12</f>
        <v>44912</v>
      </c>
      <c r="E16" s="264">
        <f>'WALTHAM FOREST'!E12</f>
        <v>45673</v>
      </c>
      <c r="F16" s="264">
        <f>'WALTHAM FOREST'!F12</f>
        <v>45901</v>
      </c>
      <c r="G16" s="264">
        <f>'WALTHAM FOREST'!G12</f>
        <v>45866</v>
      </c>
      <c r="H16" s="264">
        <f>'WALTHAM FOREST'!H12</f>
        <v>45783</v>
      </c>
      <c r="I16" s="264">
        <f>'WALTHAM FOREST'!I12</f>
        <v>43969</v>
      </c>
      <c r="J16" s="264">
        <f>'WALTHAM FOREST'!J12</f>
        <v>43902</v>
      </c>
      <c r="K16" s="264">
        <f>'WALTHAM FOREST'!K12</f>
        <v>45012</v>
      </c>
      <c r="L16" s="264">
        <f>'WALTHAM FOREST'!L12</f>
        <v>45875</v>
      </c>
      <c r="N16" s="259" t="s">
        <v>8384</v>
      </c>
    </row>
    <row r="17" spans="1:18" ht="15.75" thickBot="1">
      <c r="D17" s="264">
        <f t="shared" ref="D17:K17" si="16">D15+D16</f>
        <v>62102</v>
      </c>
      <c r="E17" s="264">
        <f t="shared" si="16"/>
        <v>63021</v>
      </c>
      <c r="F17" s="264">
        <f t="shared" si="16"/>
        <v>63430</v>
      </c>
      <c r="G17" s="264">
        <f t="shared" si="16"/>
        <v>63354</v>
      </c>
      <c r="H17" s="264">
        <f t="shared" si="16"/>
        <v>63476</v>
      </c>
      <c r="I17" s="264">
        <f t="shared" si="16"/>
        <v>61135</v>
      </c>
      <c r="J17" s="264">
        <f t="shared" si="16"/>
        <v>60150</v>
      </c>
      <c r="K17" s="264">
        <f t="shared" si="16"/>
        <v>62196</v>
      </c>
      <c r="L17" s="264">
        <f t="shared" ref="L17" si="17">L15+L16</f>
        <v>63702</v>
      </c>
    </row>
    <row r="18" spans="1:18">
      <c r="D18" s="263"/>
      <c r="E18" s="263"/>
      <c r="F18" s="263"/>
      <c r="G18" s="263"/>
      <c r="H18" s="263"/>
      <c r="I18" s="263"/>
      <c r="J18" s="263"/>
      <c r="K18" s="263"/>
      <c r="L18" s="263"/>
    </row>
    <row r="19" spans="1:18">
      <c r="A19" s="259" t="s">
        <v>8388</v>
      </c>
      <c r="D19" s="262">
        <f>'WALTHAM FOREST'!D15</f>
        <v>64293</v>
      </c>
      <c r="E19" s="262">
        <f>'WALTHAM FOREST'!E15</f>
        <v>64482</v>
      </c>
      <c r="F19" s="262">
        <f>'WALTHAM FOREST'!F15</f>
        <v>65096</v>
      </c>
      <c r="G19" s="262">
        <f>'WALTHAM FOREST'!G15</f>
        <v>65195</v>
      </c>
      <c r="H19" s="262">
        <f>'WALTHAM FOREST'!H15</f>
        <v>65724</v>
      </c>
      <c r="I19" s="262">
        <f>'WALTHAM FOREST'!I15</f>
        <v>64403</v>
      </c>
      <c r="J19" s="262">
        <f>'WALTHAM FOREST'!J15</f>
        <v>63959</v>
      </c>
      <c r="K19" s="262">
        <f>'WALTHAM FOREST'!K15</f>
        <v>65095</v>
      </c>
      <c r="L19" s="262">
        <f>'WALTHAM FOREST'!L15</f>
        <v>66553</v>
      </c>
      <c r="N19" s="259" t="s">
        <v>8384</v>
      </c>
    </row>
    <row r="20" spans="1:18" s="20" customFormat="1">
      <c r="D20" s="21"/>
      <c r="E20" s="21"/>
      <c r="F20" s="21"/>
      <c r="G20" s="21"/>
      <c r="H20" s="21"/>
      <c r="I20" s="21"/>
      <c r="J20" s="21"/>
      <c r="K20" s="21"/>
      <c r="L20" s="21"/>
    </row>
    <row r="21" spans="1:18">
      <c r="A21" s="259" t="s">
        <v>8697</v>
      </c>
      <c r="D21" s="262">
        <f t="shared" ref="D21:K21" si="18">D7+D11+D13+D15</f>
        <v>190563</v>
      </c>
      <c r="E21" s="262">
        <f t="shared" si="18"/>
        <v>192926</v>
      </c>
      <c r="F21" s="262">
        <f t="shared" si="18"/>
        <v>196397</v>
      </c>
      <c r="G21" s="262">
        <f t="shared" si="18"/>
        <v>195759</v>
      </c>
      <c r="H21" s="262">
        <f t="shared" si="18"/>
        <v>198615</v>
      </c>
      <c r="I21" s="262">
        <f t="shared" si="18"/>
        <v>194814</v>
      </c>
      <c r="J21" s="262">
        <f t="shared" si="18"/>
        <v>178020</v>
      </c>
      <c r="K21" s="262">
        <f t="shared" si="18"/>
        <v>187423</v>
      </c>
      <c r="L21" s="262">
        <f t="shared" ref="L21" si="19">L7+L11+L13+L15</f>
        <v>194621</v>
      </c>
    </row>
    <row r="22" spans="1:18">
      <c r="D22" s="263"/>
      <c r="E22" s="263"/>
      <c r="F22" s="263"/>
      <c r="G22" s="263"/>
      <c r="H22" s="263"/>
      <c r="I22" s="263"/>
      <c r="J22" s="263"/>
      <c r="K22" s="263"/>
      <c r="L22" s="263"/>
    </row>
    <row r="23" spans="1:18">
      <c r="A23" s="259" t="s">
        <v>8698</v>
      </c>
      <c r="D23" s="262">
        <f t="shared" ref="D23:K23" si="20">MAXA(D9,D11,D13,D17,D19)-MINA(D9,D11,D13,D17,D19)</f>
        <v>22497</v>
      </c>
      <c r="E23" s="262">
        <f t="shared" si="20"/>
        <v>23380</v>
      </c>
      <c r="F23" s="262">
        <f t="shared" si="20"/>
        <v>25133</v>
      </c>
      <c r="G23" s="262">
        <f t="shared" si="20"/>
        <v>24771</v>
      </c>
      <c r="H23" s="262">
        <f t="shared" si="20"/>
        <v>26192</v>
      </c>
      <c r="I23" s="262">
        <f t="shared" si="20"/>
        <v>27000</v>
      </c>
      <c r="J23" s="262">
        <f t="shared" si="20"/>
        <v>18062</v>
      </c>
      <c r="K23" s="262">
        <f t="shared" si="20"/>
        <v>20779</v>
      </c>
      <c r="L23" s="262">
        <f t="shared" ref="L23" si="21">MAXA(L9,L11,L13,L17,L19)-MINA(L9,L11,L13,L17,L19)</f>
        <v>22694</v>
      </c>
    </row>
    <row r="24" spans="1:18">
      <c r="D24" s="263"/>
      <c r="E24" s="263"/>
      <c r="F24" s="263"/>
      <c r="G24" s="263"/>
      <c r="H24" s="263"/>
      <c r="I24" s="263"/>
      <c r="J24" s="263"/>
      <c r="K24" s="263"/>
      <c r="L24" s="263"/>
    </row>
    <row r="25" spans="1:18">
      <c r="A25" s="259" t="s">
        <v>8701</v>
      </c>
      <c r="D25" s="262">
        <f t="shared" ref="D25:K25" si="22">STDEVP(D9,D11,D13,D17,D19)</f>
        <v>8240.6599590081369</v>
      </c>
      <c r="E25" s="262">
        <f t="shared" si="22"/>
        <v>8745.5428053380419</v>
      </c>
      <c r="F25" s="262">
        <f t="shared" si="22"/>
        <v>9356.4255781788797</v>
      </c>
      <c r="G25" s="262">
        <f t="shared" si="22"/>
        <v>9179.9337557522722</v>
      </c>
      <c r="H25" s="262">
        <f t="shared" si="22"/>
        <v>9640.328708088744</v>
      </c>
      <c r="I25" s="262">
        <f t="shared" si="22"/>
        <v>9706.327841155995</v>
      </c>
      <c r="J25" s="262">
        <f t="shared" si="22"/>
        <v>6268.5753596810173</v>
      </c>
      <c r="K25" s="262">
        <f t="shared" si="22"/>
        <v>7553.4162496184463</v>
      </c>
      <c r="L25" s="262">
        <f t="shared" ref="L25" si="23">STDEVP(L9,L11,L13,L17,L19)</f>
        <v>8353.0154459332825</v>
      </c>
    </row>
    <row r="26" spans="1:18">
      <c r="D26" s="263"/>
      <c r="E26" s="263"/>
      <c r="F26" s="263"/>
      <c r="G26" s="263"/>
      <c r="H26" s="263"/>
      <c r="I26" s="263"/>
      <c r="J26" s="263"/>
      <c r="K26" s="263"/>
      <c r="L26" s="263"/>
    </row>
    <row r="27" spans="1:18">
      <c r="A27" s="259" t="s">
        <v>6957</v>
      </c>
      <c r="B27" s="259" t="s">
        <v>8389</v>
      </c>
      <c r="C27" s="4" t="s">
        <v>16642</v>
      </c>
      <c r="D27" s="265">
        <v>9807</v>
      </c>
      <c r="E27" s="265">
        <v>9944</v>
      </c>
      <c r="F27" s="265">
        <v>9916</v>
      </c>
      <c r="G27" s="265">
        <v>9875</v>
      </c>
      <c r="H27" s="48">
        <v>10103</v>
      </c>
      <c r="I27" s="48">
        <v>10183</v>
      </c>
      <c r="J27" s="48">
        <v>9277</v>
      </c>
      <c r="K27" s="48">
        <v>9608</v>
      </c>
      <c r="L27" s="48">
        <v>9942</v>
      </c>
      <c r="N27" s="259" t="s">
        <v>8385</v>
      </c>
      <c r="P27" s="4"/>
      <c r="R27" s="4"/>
    </row>
    <row r="28" spans="1:18">
      <c r="A28" s="259" t="s">
        <v>6959</v>
      </c>
      <c r="B28" s="259" t="s">
        <v>8390</v>
      </c>
      <c r="C28" s="4" t="s">
        <v>16643</v>
      </c>
      <c r="D28" s="265">
        <v>9162</v>
      </c>
      <c r="E28" s="265">
        <v>9205</v>
      </c>
      <c r="F28" s="265">
        <v>9392</v>
      </c>
      <c r="G28" s="265">
        <v>9345</v>
      </c>
      <c r="H28" s="48">
        <v>9509</v>
      </c>
      <c r="I28" s="48">
        <v>9196</v>
      </c>
      <c r="J28" s="48">
        <v>8609</v>
      </c>
      <c r="K28" s="48">
        <v>9004</v>
      </c>
      <c r="L28" s="48">
        <v>9198</v>
      </c>
      <c r="N28" s="259" t="s">
        <v>8385</v>
      </c>
      <c r="P28" s="4"/>
      <c r="R28" s="4"/>
    </row>
    <row r="29" spans="1:18">
      <c r="A29" s="259" t="s">
        <v>6961</v>
      </c>
      <c r="B29" s="259" t="s">
        <v>2854</v>
      </c>
      <c r="C29" s="4" t="s">
        <v>16644</v>
      </c>
      <c r="D29" s="266">
        <v>8293</v>
      </c>
      <c r="E29" s="266">
        <v>8377</v>
      </c>
      <c r="F29" s="266">
        <v>8409</v>
      </c>
      <c r="G29" s="266">
        <v>8442</v>
      </c>
      <c r="H29" s="48">
        <v>8525</v>
      </c>
      <c r="I29" s="48">
        <v>8229</v>
      </c>
      <c r="J29" s="48">
        <v>7854</v>
      </c>
      <c r="K29" s="48">
        <v>8178</v>
      </c>
      <c r="L29" s="48">
        <v>8400</v>
      </c>
      <c r="N29" s="259" t="s">
        <v>8385</v>
      </c>
      <c r="P29" s="4"/>
      <c r="R29" s="4"/>
    </row>
    <row r="30" spans="1:18">
      <c r="A30" s="259" t="s">
        <v>6963</v>
      </c>
      <c r="B30" s="259" t="s">
        <v>8391</v>
      </c>
      <c r="C30" s="4" t="s">
        <v>16645</v>
      </c>
      <c r="D30" s="265">
        <v>9720</v>
      </c>
      <c r="E30" s="265">
        <v>9683</v>
      </c>
      <c r="F30" s="265">
        <v>9814</v>
      </c>
      <c r="G30" s="265">
        <v>9711</v>
      </c>
      <c r="H30" s="48">
        <v>10065</v>
      </c>
      <c r="I30" s="48">
        <v>9895</v>
      </c>
      <c r="J30" s="48">
        <v>9131</v>
      </c>
      <c r="K30" s="48">
        <v>9608</v>
      </c>
      <c r="L30" s="48">
        <v>9986</v>
      </c>
      <c r="N30" s="259" t="s">
        <v>8386</v>
      </c>
      <c r="P30" s="4"/>
      <c r="R30" s="4"/>
    </row>
    <row r="31" spans="1:18">
      <c r="A31" s="259" t="s">
        <v>6965</v>
      </c>
      <c r="B31" s="259" t="s">
        <v>16646</v>
      </c>
      <c r="C31" s="4" t="s">
        <v>16647</v>
      </c>
      <c r="D31" s="265">
        <v>8135</v>
      </c>
      <c r="E31" s="265">
        <v>8260</v>
      </c>
      <c r="F31" s="265">
        <v>8492</v>
      </c>
      <c r="G31" s="265">
        <v>8529</v>
      </c>
      <c r="H31" s="48">
        <v>8664</v>
      </c>
      <c r="I31" s="48">
        <v>8497</v>
      </c>
      <c r="J31" s="48">
        <v>7855</v>
      </c>
      <c r="K31" s="48">
        <v>8232</v>
      </c>
      <c r="L31" s="48">
        <v>8550</v>
      </c>
      <c r="N31" s="259" t="s">
        <v>8392</v>
      </c>
      <c r="P31" s="4"/>
      <c r="R31" s="4"/>
    </row>
    <row r="32" spans="1:18">
      <c r="A32" s="259" t="s">
        <v>6997</v>
      </c>
      <c r="B32" s="259" t="s">
        <v>8393</v>
      </c>
      <c r="C32" s="4" t="s">
        <v>16648</v>
      </c>
      <c r="D32" s="265">
        <v>9769</v>
      </c>
      <c r="E32" s="265">
        <v>9883</v>
      </c>
      <c r="F32" s="265">
        <v>10146</v>
      </c>
      <c r="G32" s="265">
        <v>10165</v>
      </c>
      <c r="H32" s="48">
        <v>10219</v>
      </c>
      <c r="I32" s="48">
        <v>10217</v>
      </c>
      <c r="J32" s="48">
        <v>9446</v>
      </c>
      <c r="K32" s="48">
        <v>9824</v>
      </c>
      <c r="L32" s="48">
        <v>10218</v>
      </c>
      <c r="N32" s="259" t="s">
        <v>8385</v>
      </c>
      <c r="P32" s="4"/>
      <c r="R32" s="4"/>
    </row>
    <row r="33" spans="1:18">
      <c r="A33" s="259" t="s">
        <v>6999</v>
      </c>
      <c r="B33" s="259" t="s">
        <v>8394</v>
      </c>
      <c r="C33" s="4" t="s">
        <v>16649</v>
      </c>
      <c r="D33" s="265">
        <v>8757</v>
      </c>
      <c r="E33" s="265">
        <v>9241</v>
      </c>
      <c r="F33" s="265">
        <v>9397</v>
      </c>
      <c r="G33" s="265">
        <v>9457</v>
      </c>
      <c r="H33" s="48">
        <v>9707</v>
      </c>
      <c r="I33" s="48">
        <v>9636</v>
      </c>
      <c r="J33" s="48">
        <v>8051</v>
      </c>
      <c r="K33" s="48">
        <v>8663</v>
      </c>
      <c r="L33" s="48">
        <v>8936</v>
      </c>
      <c r="N33" s="259" t="s">
        <v>8386</v>
      </c>
      <c r="P33" s="4"/>
      <c r="R33" s="4"/>
    </row>
    <row r="34" spans="1:18">
      <c r="A34" s="259" t="s">
        <v>7001</v>
      </c>
      <c r="B34" s="259" t="s">
        <v>8395</v>
      </c>
      <c r="C34" s="4" t="s">
        <v>16650</v>
      </c>
      <c r="D34" s="265">
        <v>8938</v>
      </c>
      <c r="E34" s="265">
        <v>9015</v>
      </c>
      <c r="F34" s="265">
        <v>9258</v>
      </c>
      <c r="G34" s="265">
        <v>9180</v>
      </c>
      <c r="H34" s="48">
        <v>9281</v>
      </c>
      <c r="I34" s="48">
        <v>9202</v>
      </c>
      <c r="J34" s="48">
        <v>8354</v>
      </c>
      <c r="K34" s="48">
        <v>8894</v>
      </c>
      <c r="L34" s="48">
        <v>9221</v>
      </c>
      <c r="N34" s="259" t="s">
        <v>8386</v>
      </c>
      <c r="P34" s="4"/>
      <c r="R34" s="4"/>
    </row>
    <row r="35" spans="1:18">
      <c r="A35" s="259" t="s">
        <v>7003</v>
      </c>
      <c r="B35" s="259" t="s">
        <v>8396</v>
      </c>
      <c r="C35" s="4" t="s">
        <v>16651</v>
      </c>
      <c r="D35" s="266">
        <v>9045</v>
      </c>
      <c r="E35" s="266">
        <v>9013</v>
      </c>
      <c r="F35" s="266">
        <v>9086</v>
      </c>
      <c r="G35" s="266">
        <v>9139</v>
      </c>
      <c r="H35" s="48">
        <v>9225</v>
      </c>
      <c r="I35" s="48">
        <v>9160</v>
      </c>
      <c r="J35" s="48">
        <v>8328</v>
      </c>
      <c r="K35" s="48">
        <v>8720</v>
      </c>
      <c r="L35" s="48">
        <v>8966</v>
      </c>
      <c r="N35" s="259" t="s">
        <v>8385</v>
      </c>
      <c r="P35" s="4"/>
      <c r="R35" s="4"/>
    </row>
    <row r="36" spans="1:18">
      <c r="A36" s="259" t="s">
        <v>7005</v>
      </c>
      <c r="B36" s="259" t="s">
        <v>8397</v>
      </c>
      <c r="C36" s="4" t="s">
        <v>16652</v>
      </c>
      <c r="D36" s="265">
        <v>9202</v>
      </c>
      <c r="E36" s="265">
        <v>9175</v>
      </c>
      <c r="F36" s="265">
        <v>9332</v>
      </c>
      <c r="G36" s="265">
        <v>9344</v>
      </c>
      <c r="H36" s="48">
        <v>9466</v>
      </c>
      <c r="I36" s="48">
        <v>9123</v>
      </c>
      <c r="J36" s="48">
        <v>8623</v>
      </c>
      <c r="K36" s="48">
        <v>9073</v>
      </c>
      <c r="L36" s="48">
        <v>9331</v>
      </c>
      <c r="N36" s="259" t="s">
        <v>8385</v>
      </c>
      <c r="P36" s="4"/>
      <c r="R36" s="4"/>
    </row>
    <row r="37" spans="1:18">
      <c r="A37" s="259" t="s">
        <v>7007</v>
      </c>
      <c r="B37" s="259" t="s">
        <v>6618</v>
      </c>
      <c r="C37" s="4" t="s">
        <v>16653</v>
      </c>
      <c r="D37" s="265">
        <v>8749</v>
      </c>
      <c r="E37" s="265">
        <v>8842</v>
      </c>
      <c r="F37" s="265">
        <v>9123</v>
      </c>
      <c r="G37" s="265">
        <v>9105</v>
      </c>
      <c r="H37" s="48">
        <v>9268</v>
      </c>
      <c r="I37" s="48">
        <v>8999</v>
      </c>
      <c r="J37" s="48">
        <v>8017</v>
      </c>
      <c r="K37" s="48">
        <v>8464</v>
      </c>
      <c r="L37" s="48">
        <v>8815</v>
      </c>
      <c r="N37" s="259" t="s">
        <v>8386</v>
      </c>
      <c r="P37" s="4"/>
      <c r="R37" s="4"/>
    </row>
    <row r="38" spans="1:18">
      <c r="A38" s="259" t="s">
        <v>7009</v>
      </c>
      <c r="B38" s="259" t="s">
        <v>6619</v>
      </c>
      <c r="C38" s="4" t="s">
        <v>16654</v>
      </c>
      <c r="D38" s="265">
        <v>8770</v>
      </c>
      <c r="E38" s="265">
        <v>8844</v>
      </c>
      <c r="F38" s="265">
        <v>8855</v>
      </c>
      <c r="G38" s="265">
        <v>8789</v>
      </c>
      <c r="H38" s="48">
        <v>8912</v>
      </c>
      <c r="I38" s="48">
        <v>8620</v>
      </c>
      <c r="J38" s="48">
        <v>8154</v>
      </c>
      <c r="K38" s="48">
        <v>8509</v>
      </c>
      <c r="L38" s="48">
        <v>8967</v>
      </c>
      <c r="N38" s="259" t="s">
        <v>8385</v>
      </c>
      <c r="P38" s="4"/>
      <c r="R38" s="4"/>
    </row>
    <row r="39" spans="1:18">
      <c r="A39" s="259" t="s">
        <v>7011</v>
      </c>
      <c r="B39" s="259" t="s">
        <v>6620</v>
      </c>
      <c r="C39" s="4" t="s">
        <v>16655</v>
      </c>
      <c r="D39" s="265">
        <v>9861</v>
      </c>
      <c r="E39" s="265">
        <v>10071</v>
      </c>
      <c r="F39" s="265">
        <v>10261</v>
      </c>
      <c r="G39" s="265">
        <v>10169</v>
      </c>
      <c r="H39" s="48">
        <v>10305</v>
      </c>
      <c r="I39" s="48">
        <v>10259</v>
      </c>
      <c r="J39" s="48">
        <v>8841</v>
      </c>
      <c r="K39" s="48">
        <v>9440</v>
      </c>
      <c r="L39" s="48">
        <v>9760</v>
      </c>
      <c r="N39" s="259" t="s">
        <v>8386</v>
      </c>
      <c r="P39" s="4"/>
      <c r="R39" s="4"/>
    </row>
    <row r="40" spans="1:18">
      <c r="A40" s="259" t="s">
        <v>7013</v>
      </c>
      <c r="B40" s="259" t="s">
        <v>6780</v>
      </c>
      <c r="C40" s="4" t="s">
        <v>16656</v>
      </c>
      <c r="D40" s="265">
        <v>9430</v>
      </c>
      <c r="E40" s="265">
        <v>9537</v>
      </c>
      <c r="F40" s="265">
        <v>9757</v>
      </c>
      <c r="G40" s="265">
        <v>9778</v>
      </c>
      <c r="H40" s="48">
        <v>9851</v>
      </c>
      <c r="I40" s="48">
        <v>9680</v>
      </c>
      <c r="J40" s="48">
        <v>8883</v>
      </c>
      <c r="K40" s="48">
        <v>9410</v>
      </c>
      <c r="L40" s="48">
        <v>9781</v>
      </c>
      <c r="N40" s="259" t="s">
        <v>8386</v>
      </c>
      <c r="P40" s="4"/>
      <c r="R40" s="4"/>
    </row>
    <row r="41" spans="1:18">
      <c r="A41" s="259" t="s">
        <v>7015</v>
      </c>
      <c r="B41" s="259" t="s">
        <v>6621</v>
      </c>
      <c r="C41" s="4" t="s">
        <v>16657</v>
      </c>
      <c r="D41" s="265">
        <v>8358</v>
      </c>
      <c r="E41" s="265">
        <v>8215</v>
      </c>
      <c r="F41" s="265">
        <v>8300</v>
      </c>
      <c r="G41" s="265">
        <v>8257</v>
      </c>
      <c r="H41" s="48">
        <v>8319</v>
      </c>
      <c r="I41" s="48">
        <v>8069</v>
      </c>
      <c r="J41" s="48">
        <v>7725</v>
      </c>
      <c r="K41" s="48">
        <v>7942</v>
      </c>
      <c r="L41" s="48">
        <v>8310</v>
      </c>
      <c r="N41" s="259" t="s">
        <v>8392</v>
      </c>
      <c r="P41" s="4"/>
      <c r="R41" s="4"/>
    </row>
    <row r="42" spans="1:18">
      <c r="A42" s="259" t="s">
        <v>7017</v>
      </c>
      <c r="B42" s="259" t="s">
        <v>6622</v>
      </c>
      <c r="C42" s="4" t="s">
        <v>16658</v>
      </c>
      <c r="D42" s="265">
        <v>10675</v>
      </c>
      <c r="E42" s="265">
        <v>10927</v>
      </c>
      <c r="F42" s="265">
        <v>11255</v>
      </c>
      <c r="G42" s="265">
        <v>11257</v>
      </c>
      <c r="H42" s="48">
        <v>11384</v>
      </c>
      <c r="I42" s="48">
        <v>11415</v>
      </c>
      <c r="J42" s="48">
        <v>10171</v>
      </c>
      <c r="K42" s="48">
        <v>10690</v>
      </c>
      <c r="L42" s="48">
        <v>11241</v>
      </c>
      <c r="N42" s="259" t="s">
        <v>8386</v>
      </c>
      <c r="P42" s="4"/>
      <c r="R42" s="4"/>
    </row>
    <row r="43" spans="1:18">
      <c r="A43" s="259" t="s">
        <v>7019</v>
      </c>
      <c r="B43" s="260" t="s">
        <v>16659</v>
      </c>
      <c r="C43" s="4" t="s">
        <v>16660</v>
      </c>
      <c r="D43" s="265">
        <v>8233</v>
      </c>
      <c r="E43" s="265">
        <v>8261</v>
      </c>
      <c r="F43" s="265">
        <v>8377</v>
      </c>
      <c r="G43" s="265">
        <v>8261</v>
      </c>
      <c r="H43" s="48">
        <v>8312</v>
      </c>
      <c r="I43" s="48">
        <v>8219</v>
      </c>
      <c r="J43" s="48">
        <v>7689</v>
      </c>
      <c r="K43" s="48">
        <v>8174</v>
      </c>
      <c r="L43" s="48">
        <v>8516</v>
      </c>
      <c r="N43" s="259" t="s">
        <v>8385</v>
      </c>
      <c r="P43" s="4"/>
      <c r="R43" s="4"/>
    </row>
    <row r="44" spans="1:18">
      <c r="A44" s="259" t="s">
        <v>7021</v>
      </c>
      <c r="B44" s="259" t="s">
        <v>6623</v>
      </c>
      <c r="C44" s="4" t="s">
        <v>16661</v>
      </c>
      <c r="D44" s="265">
        <v>9611</v>
      </c>
      <c r="E44" s="265">
        <v>9882</v>
      </c>
      <c r="F44" s="265">
        <v>10200</v>
      </c>
      <c r="G44" s="265">
        <v>10304</v>
      </c>
      <c r="H44" s="48">
        <v>10377</v>
      </c>
      <c r="I44" s="48">
        <v>10176</v>
      </c>
      <c r="J44" s="48">
        <v>8873</v>
      </c>
      <c r="K44" s="48">
        <v>9332</v>
      </c>
      <c r="L44" s="48">
        <v>9714</v>
      </c>
      <c r="N44" s="259" t="s">
        <v>8386</v>
      </c>
      <c r="P44" s="4"/>
      <c r="R44" s="4"/>
    </row>
    <row r="45" spans="1:18">
      <c r="A45" s="259" t="s">
        <v>7023</v>
      </c>
      <c r="B45" s="259" t="s">
        <v>16662</v>
      </c>
      <c r="C45" s="4" t="s">
        <v>16663</v>
      </c>
      <c r="D45" s="266">
        <v>8686</v>
      </c>
      <c r="E45" s="266">
        <v>8771</v>
      </c>
      <c r="F45" s="266">
        <v>8872</v>
      </c>
      <c r="G45" s="266">
        <v>8838</v>
      </c>
      <c r="H45" s="48">
        <v>8949</v>
      </c>
      <c r="I45" s="48">
        <v>8445</v>
      </c>
      <c r="J45" s="48">
        <v>8105</v>
      </c>
      <c r="K45" s="48">
        <v>8644</v>
      </c>
      <c r="L45" s="48">
        <v>8982</v>
      </c>
      <c r="N45" s="259" t="s">
        <v>5993</v>
      </c>
      <c r="P45" s="4"/>
      <c r="R45" s="4"/>
    </row>
    <row r="46" spans="1:18">
      <c r="A46" s="259" t="s">
        <v>7025</v>
      </c>
      <c r="B46" s="259" t="s">
        <v>5994</v>
      </c>
      <c r="C46" s="4" t="s">
        <v>16664</v>
      </c>
      <c r="D46" s="265">
        <v>8858</v>
      </c>
      <c r="E46" s="265">
        <v>9203</v>
      </c>
      <c r="F46" s="265">
        <v>9498</v>
      </c>
      <c r="G46" s="265">
        <v>9164</v>
      </c>
      <c r="H46" s="48">
        <v>9430</v>
      </c>
      <c r="I46" s="48">
        <v>8873</v>
      </c>
      <c r="J46" s="48">
        <v>7891</v>
      </c>
      <c r="K46" s="48">
        <v>8474</v>
      </c>
      <c r="L46" s="48">
        <v>8942</v>
      </c>
      <c r="N46" s="259" t="s">
        <v>8386</v>
      </c>
      <c r="P46" s="4"/>
      <c r="R46" s="4"/>
    </row>
    <row r="47" spans="1:18">
      <c r="A47" s="259" t="s">
        <v>7570</v>
      </c>
      <c r="B47" s="259" t="s">
        <v>16665</v>
      </c>
      <c r="C47" s="4" t="s">
        <v>16666</v>
      </c>
      <c r="D47" s="266">
        <v>8504</v>
      </c>
      <c r="E47" s="266">
        <v>8577</v>
      </c>
      <c r="F47" s="266">
        <v>8657</v>
      </c>
      <c r="G47" s="266">
        <v>8650</v>
      </c>
      <c r="H47" s="48">
        <v>8744</v>
      </c>
      <c r="I47" s="48">
        <v>8721</v>
      </c>
      <c r="J47" s="48">
        <v>8143</v>
      </c>
      <c r="K47" s="48">
        <v>8540</v>
      </c>
      <c r="L47" s="48">
        <v>8845</v>
      </c>
      <c r="N47" s="259" t="s">
        <v>5993</v>
      </c>
      <c r="P47" s="4"/>
      <c r="R47" s="4"/>
    </row>
    <row r="48" spans="1:18">
      <c r="A48" s="259"/>
      <c r="B48" s="259"/>
      <c r="C48" s="4"/>
      <c r="N48" s="259"/>
      <c r="P48" s="4"/>
      <c r="R48" s="4"/>
    </row>
    <row r="49" spans="1:18">
      <c r="A49" s="259" t="s">
        <v>16667</v>
      </c>
      <c r="B49" s="259"/>
      <c r="C49" s="4"/>
      <c r="N49" s="259"/>
      <c r="P49" s="4"/>
      <c r="R49" s="4"/>
    </row>
    <row r="50" spans="1:18">
      <c r="A50" s="259" t="s">
        <v>7674</v>
      </c>
      <c r="B50" s="259"/>
      <c r="C50" s="4"/>
      <c r="N50" s="259"/>
      <c r="P50" s="4"/>
      <c r="R50" s="4"/>
    </row>
    <row r="51" spans="1:18">
      <c r="A51" s="259"/>
      <c r="B51" s="259"/>
      <c r="C51" s="4"/>
      <c r="N51" s="259"/>
      <c r="P51" s="4"/>
      <c r="R51" s="4"/>
    </row>
    <row r="52" spans="1:18">
      <c r="A52" s="259"/>
      <c r="B52" s="259"/>
      <c r="C52" s="4"/>
      <c r="N52" s="259"/>
      <c r="P52" s="4"/>
      <c r="R52" s="4"/>
    </row>
    <row r="53" spans="1:18">
      <c r="A53" s="259"/>
      <c r="B53" s="259"/>
      <c r="C53" s="4"/>
      <c r="N53" s="259"/>
      <c r="P53" s="4"/>
      <c r="R53" s="4"/>
    </row>
    <row r="54" spans="1:18">
      <c r="A54" s="259"/>
      <c r="B54" s="259"/>
      <c r="C54" s="4"/>
      <c r="N54" s="259"/>
      <c r="P54" s="4"/>
      <c r="R54" s="4"/>
    </row>
    <row r="55" spans="1:18">
      <c r="A55" s="259"/>
      <c r="B55" s="259"/>
      <c r="C55" s="4"/>
      <c r="N55" s="259"/>
      <c r="P55" s="4"/>
      <c r="R55" s="4"/>
    </row>
    <row r="56" spans="1:18">
      <c r="A56" s="259"/>
      <c r="B56" s="259"/>
      <c r="C56" s="4"/>
      <c r="N56" s="259"/>
      <c r="P56" s="4"/>
      <c r="R56" s="4"/>
    </row>
    <row r="57" spans="1:18">
      <c r="A57" s="932"/>
      <c r="B57" s="259"/>
      <c r="C57" s="4"/>
      <c r="N57" s="259"/>
      <c r="P57" s="4"/>
      <c r="R57" s="4"/>
    </row>
    <row r="58" spans="1:18">
      <c r="A58" s="932"/>
      <c r="B58" s="259"/>
      <c r="C58" s="4"/>
      <c r="N58" s="259"/>
      <c r="P58" s="4"/>
      <c r="R58" s="4"/>
    </row>
    <row r="59" spans="1:18">
      <c r="A59" s="932"/>
      <c r="B59" s="259"/>
      <c r="C59" s="4"/>
      <c r="N59" s="259"/>
      <c r="P59" s="4"/>
      <c r="R59" s="4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L25" unlockedFormula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1"/>
  <sheetViews>
    <sheetView showGridLines="0" zoomScaleNormal="100" workbookViewId="0"/>
  </sheetViews>
  <sheetFormatPr defaultColWidth="12.5703125" defaultRowHeight="15"/>
  <cols>
    <col min="1" max="1" width="4.85546875" style="212" customWidth="1"/>
    <col min="2" max="2" width="46.140625" style="212" customWidth="1"/>
    <col min="3" max="3" width="11.5703125" style="212" customWidth="1"/>
    <col min="4" max="12" width="10" style="212" customWidth="1"/>
    <col min="13" max="13" width="2.28515625" style="212" customWidth="1"/>
    <col min="14" max="14" width="29.28515625" style="212" customWidth="1"/>
    <col min="15" max="16384" width="12.5703125" style="212"/>
  </cols>
  <sheetData>
    <row r="1" spans="1:14">
      <c r="A1" s="211" t="s">
        <v>7342</v>
      </c>
      <c r="D1" s="213">
        <v>2010</v>
      </c>
      <c r="E1" s="213">
        <v>2011</v>
      </c>
      <c r="F1" s="213">
        <v>2012</v>
      </c>
      <c r="G1" s="213">
        <v>2013</v>
      </c>
      <c r="H1" s="213">
        <v>2014</v>
      </c>
      <c r="I1" s="213">
        <v>2015</v>
      </c>
      <c r="J1" s="213">
        <v>2016</v>
      </c>
      <c r="K1" s="213">
        <v>2017</v>
      </c>
      <c r="L1" s="213">
        <v>2018</v>
      </c>
    </row>
    <row r="3" spans="1:14">
      <c r="A3" s="211" t="s">
        <v>1804</v>
      </c>
      <c r="D3" s="214">
        <f t="shared" ref="D3:I3" si="0">SUM(D21:D38)</f>
        <v>127288</v>
      </c>
      <c r="E3" s="214">
        <f t="shared" si="0"/>
        <v>128846</v>
      </c>
      <c r="F3" s="214">
        <f t="shared" si="0"/>
        <v>129227</v>
      </c>
      <c r="G3" s="214">
        <f t="shared" si="0"/>
        <v>129425</v>
      </c>
      <c r="H3" s="214">
        <f t="shared" si="0"/>
        <v>129237</v>
      </c>
      <c r="I3" s="214">
        <f t="shared" si="0"/>
        <v>125317</v>
      </c>
      <c r="J3" s="214">
        <f t="shared" ref="J3:K3" si="1">SUM(J21:J38)</f>
        <v>126524</v>
      </c>
      <c r="K3" s="214">
        <f t="shared" si="1"/>
        <v>131056</v>
      </c>
      <c r="L3" s="214">
        <f t="shared" ref="L3" si="2">SUM(L21:L38)</f>
        <v>132173</v>
      </c>
    </row>
    <row r="5" spans="1:14">
      <c r="A5" s="211" t="s">
        <v>7343</v>
      </c>
      <c r="D5" s="214">
        <f t="shared" ref="D5:I5" si="3">D3/2</f>
        <v>63644</v>
      </c>
      <c r="E5" s="214">
        <f t="shared" si="3"/>
        <v>64423</v>
      </c>
      <c r="F5" s="214">
        <f t="shared" si="3"/>
        <v>64613.5</v>
      </c>
      <c r="G5" s="214">
        <f t="shared" si="3"/>
        <v>64712.5</v>
      </c>
      <c r="H5" s="214">
        <f t="shared" si="3"/>
        <v>64618.5</v>
      </c>
      <c r="I5" s="214">
        <f t="shared" si="3"/>
        <v>62658.5</v>
      </c>
      <c r="J5" s="214">
        <f t="shared" ref="J5:K5" si="4">J3/2</f>
        <v>63262</v>
      </c>
      <c r="K5" s="214">
        <f t="shared" si="4"/>
        <v>65528</v>
      </c>
      <c r="L5" s="214">
        <f t="shared" ref="L5" si="5">L3/2</f>
        <v>66086.5</v>
      </c>
    </row>
    <row r="6" spans="1:14">
      <c r="D6" s="215"/>
      <c r="E6" s="215"/>
      <c r="F6" s="215"/>
      <c r="G6" s="215"/>
      <c r="H6" s="215"/>
      <c r="I6" s="215"/>
      <c r="J6" s="215"/>
      <c r="K6" s="215"/>
      <c r="L6" s="215"/>
    </row>
    <row r="7" spans="1:14">
      <c r="A7" s="211" t="s">
        <v>1790</v>
      </c>
      <c r="D7" s="214">
        <f>KINGSTON!D9</f>
        <v>26874</v>
      </c>
      <c r="E7" s="214">
        <f>KINGSTON!E9</f>
        <v>26976</v>
      </c>
      <c r="F7" s="214">
        <f>KINGSTON!F9</f>
        <v>27491</v>
      </c>
      <c r="G7" s="214">
        <f>KINGSTON!G9</f>
        <v>27487</v>
      </c>
      <c r="H7" s="214">
        <f>KINGSTON!H9</f>
        <v>27474</v>
      </c>
      <c r="I7" s="214">
        <f>KINGSTON!I9</f>
        <v>26389</v>
      </c>
      <c r="J7" s="214">
        <f>KINGSTON!J9</f>
        <v>26463</v>
      </c>
      <c r="K7" s="214">
        <f>KINGSTON!K9</f>
        <v>27567</v>
      </c>
      <c r="L7" s="214">
        <f>KINGSTON!L9</f>
        <v>27354</v>
      </c>
      <c r="N7" s="211" t="s">
        <v>1789</v>
      </c>
    </row>
    <row r="8" spans="1:14" ht="15.75" thickBot="1">
      <c r="D8" s="216">
        <f t="shared" ref="D8:I8" si="6">D21+D22+D24+SUM(D29:D31)+D33</f>
        <v>48621</v>
      </c>
      <c r="E8" s="216">
        <f t="shared" si="6"/>
        <v>49674</v>
      </c>
      <c r="F8" s="216">
        <f t="shared" si="6"/>
        <v>49287</v>
      </c>
      <c r="G8" s="216">
        <f t="shared" si="6"/>
        <v>49375</v>
      </c>
      <c r="H8" s="216">
        <f t="shared" si="6"/>
        <v>48919</v>
      </c>
      <c r="I8" s="216">
        <f t="shared" si="6"/>
        <v>47668</v>
      </c>
      <c r="J8" s="216">
        <f t="shared" ref="J8:K8" si="7">J21+J22+J24+SUM(J29:J31)+J33</f>
        <v>48277</v>
      </c>
      <c r="K8" s="216">
        <f t="shared" si="7"/>
        <v>50367</v>
      </c>
      <c r="L8" s="216">
        <f t="shared" ref="L8" si="8">L21+L22+L24+SUM(L29:L31)+L33</f>
        <v>50753</v>
      </c>
      <c r="M8" s="267"/>
      <c r="N8" s="211" t="s">
        <v>1791</v>
      </c>
    </row>
    <row r="9" spans="1:14" ht="15.75" thickBot="1">
      <c r="D9" s="216">
        <f t="shared" ref="D9:I9" si="9">D7+D8</f>
        <v>75495</v>
      </c>
      <c r="E9" s="216">
        <f t="shared" si="9"/>
        <v>76650</v>
      </c>
      <c r="F9" s="216">
        <f t="shared" si="9"/>
        <v>76778</v>
      </c>
      <c r="G9" s="216">
        <f t="shared" si="9"/>
        <v>76862</v>
      </c>
      <c r="H9" s="216">
        <f t="shared" si="9"/>
        <v>76393</v>
      </c>
      <c r="I9" s="216">
        <f t="shared" si="9"/>
        <v>74057</v>
      </c>
      <c r="J9" s="216">
        <f t="shared" ref="J9:K9" si="10">J7+J8</f>
        <v>74740</v>
      </c>
      <c r="K9" s="216">
        <f t="shared" si="10"/>
        <v>77934</v>
      </c>
      <c r="L9" s="216">
        <f t="shared" ref="L9" si="11">L7+L8</f>
        <v>78107</v>
      </c>
    </row>
    <row r="10" spans="1:14">
      <c r="D10" s="215"/>
      <c r="E10" s="215"/>
      <c r="F10" s="215"/>
      <c r="G10" s="215"/>
      <c r="H10" s="215"/>
      <c r="I10" s="215"/>
      <c r="J10" s="215"/>
      <c r="K10" s="215"/>
      <c r="L10" s="215"/>
    </row>
    <row r="11" spans="1:14">
      <c r="A11" s="211" t="s">
        <v>1792</v>
      </c>
      <c r="D11" s="214">
        <f t="shared" ref="D11:I11" si="12">D23+SUM(D25:D28)+D32+SUM(D34:D38)</f>
        <v>78667</v>
      </c>
      <c r="E11" s="214">
        <f t="shared" si="12"/>
        <v>79172</v>
      </c>
      <c r="F11" s="214">
        <f t="shared" si="12"/>
        <v>79940</v>
      </c>
      <c r="G11" s="214">
        <f t="shared" si="12"/>
        <v>80050</v>
      </c>
      <c r="H11" s="214">
        <f t="shared" si="12"/>
        <v>80318</v>
      </c>
      <c r="I11" s="214">
        <f t="shared" si="12"/>
        <v>77649</v>
      </c>
      <c r="J11" s="214">
        <f t="shared" ref="J11:K11" si="13">J23+SUM(J25:J28)+J32+SUM(J34:J38)</f>
        <v>78247</v>
      </c>
      <c r="K11" s="214">
        <f t="shared" si="13"/>
        <v>80689</v>
      </c>
      <c r="L11" s="214">
        <f t="shared" ref="L11" si="14">L23+SUM(L25:L28)+L32+SUM(L34:L38)</f>
        <v>81420</v>
      </c>
      <c r="N11" s="211" t="s">
        <v>1791</v>
      </c>
    </row>
    <row r="12" spans="1:14">
      <c r="D12" s="215"/>
      <c r="E12" s="215"/>
      <c r="F12" s="215"/>
      <c r="G12" s="215"/>
      <c r="H12" s="215"/>
      <c r="I12" s="215"/>
      <c r="J12" s="215"/>
      <c r="K12" s="215"/>
      <c r="L12" s="215"/>
    </row>
    <row r="13" spans="1:14">
      <c r="A13" s="211" t="s">
        <v>1788</v>
      </c>
      <c r="D13" s="214">
        <f>KINGSTON!D7</f>
        <v>80229</v>
      </c>
      <c r="E13" s="214">
        <f>KINGSTON!E7</f>
        <v>80639</v>
      </c>
      <c r="F13" s="214">
        <f>KINGSTON!F7</f>
        <v>81735</v>
      </c>
      <c r="G13" s="214">
        <f>KINGSTON!G7</f>
        <v>81293</v>
      </c>
      <c r="H13" s="214">
        <f>KINGSTON!H7</f>
        <v>81792</v>
      </c>
      <c r="I13" s="214">
        <f>KINGSTON!I7</f>
        <v>77932</v>
      </c>
      <c r="J13" s="214">
        <f>KINGSTON!J7</f>
        <v>77995</v>
      </c>
      <c r="K13" s="214">
        <f>KINGSTON!K7</f>
        <v>80379</v>
      </c>
      <c r="L13" s="214">
        <f>KINGSTON!L7</f>
        <v>79885</v>
      </c>
      <c r="N13" s="211" t="s">
        <v>1789</v>
      </c>
    </row>
    <row r="14" spans="1:14">
      <c r="D14" s="215"/>
      <c r="E14" s="215"/>
      <c r="F14" s="215"/>
      <c r="G14" s="215"/>
      <c r="H14" s="215"/>
      <c r="I14" s="215"/>
      <c r="J14" s="215"/>
      <c r="K14" s="215"/>
      <c r="L14" s="215"/>
    </row>
    <row r="15" spans="1:14">
      <c r="A15" s="211" t="s">
        <v>8697</v>
      </c>
      <c r="D15" s="214">
        <f t="shared" ref="D15:I15" si="15">D8+D11</f>
        <v>127288</v>
      </c>
      <c r="E15" s="214">
        <f t="shared" si="15"/>
        <v>128846</v>
      </c>
      <c r="F15" s="214">
        <f t="shared" si="15"/>
        <v>129227</v>
      </c>
      <c r="G15" s="214">
        <f t="shared" si="15"/>
        <v>129425</v>
      </c>
      <c r="H15" s="214">
        <f t="shared" si="15"/>
        <v>129237</v>
      </c>
      <c r="I15" s="214">
        <f t="shared" si="15"/>
        <v>125317</v>
      </c>
      <c r="J15" s="214">
        <f t="shared" ref="J15:K15" si="16">J8+J11</f>
        <v>126524</v>
      </c>
      <c r="K15" s="214">
        <f t="shared" si="16"/>
        <v>131056</v>
      </c>
      <c r="L15" s="214">
        <f t="shared" ref="L15" si="17">L8+L11</f>
        <v>132173</v>
      </c>
    </row>
    <row r="16" spans="1:14">
      <c r="D16" s="215"/>
      <c r="E16" s="215"/>
      <c r="F16" s="215"/>
      <c r="G16" s="215"/>
      <c r="H16" s="215"/>
      <c r="I16" s="215"/>
      <c r="J16" s="215"/>
      <c r="K16" s="215"/>
      <c r="L16" s="215"/>
    </row>
    <row r="17" spans="1:18">
      <c r="A17" s="211" t="s">
        <v>8698</v>
      </c>
      <c r="D17" s="214">
        <f t="shared" ref="D17:I17" si="18">MAX(D9,D11,D13)-MIN(D9,D11,D13)</f>
        <v>4734</v>
      </c>
      <c r="E17" s="214">
        <f t="shared" si="18"/>
        <v>3989</v>
      </c>
      <c r="F17" s="214">
        <f t="shared" si="18"/>
        <v>4957</v>
      </c>
      <c r="G17" s="214">
        <f t="shared" si="18"/>
        <v>4431</v>
      </c>
      <c r="H17" s="214">
        <f t="shared" si="18"/>
        <v>5399</v>
      </c>
      <c r="I17" s="214">
        <f t="shared" si="18"/>
        <v>3875</v>
      </c>
      <c r="J17" s="214">
        <f t="shared" ref="J17:K17" si="19">MAX(J9,J11,J13)-MIN(J9,J11,J13)</f>
        <v>3507</v>
      </c>
      <c r="K17" s="214">
        <f t="shared" si="19"/>
        <v>2755</v>
      </c>
      <c r="L17" s="214">
        <f t="shared" ref="L17" si="20">MAX(L9,L11,L13)-MIN(L9,L11,L13)</f>
        <v>3313</v>
      </c>
    </row>
    <row r="18" spans="1:18">
      <c r="D18" s="215"/>
      <c r="E18" s="215"/>
      <c r="F18" s="215"/>
      <c r="G18" s="215"/>
      <c r="H18" s="215"/>
      <c r="I18" s="215"/>
      <c r="J18" s="215"/>
      <c r="K18" s="215"/>
      <c r="L18" s="215"/>
    </row>
    <row r="19" spans="1:18">
      <c r="A19" s="211" t="s">
        <v>8701</v>
      </c>
      <c r="D19" s="214">
        <f t="shared" ref="D19:I19" si="21">STDEVP(D9,D11,D13)</f>
        <v>1969.5511050885571</v>
      </c>
      <c r="E19" s="214">
        <f t="shared" si="21"/>
        <v>1647.3781863582171</v>
      </c>
      <c r="F19" s="214">
        <f t="shared" si="21"/>
        <v>2049.1764741530251</v>
      </c>
      <c r="G19" s="214">
        <f t="shared" si="21"/>
        <v>1866.1354601302542</v>
      </c>
      <c r="H19" s="214">
        <f t="shared" si="21"/>
        <v>2278.5839169683145</v>
      </c>
      <c r="I19" s="214">
        <f t="shared" si="21"/>
        <v>1763.7768188369714</v>
      </c>
      <c r="J19" s="214">
        <f t="shared" ref="J19:K19" si="22">STDEVP(J9,J11,J13)</f>
        <v>1597.1355609340117</v>
      </c>
      <c r="K19" s="214">
        <f t="shared" si="22"/>
        <v>1232.1683687259988</v>
      </c>
      <c r="L19" s="214">
        <f t="shared" ref="L19" si="23">STDEVP(L9,L11,L13)</f>
        <v>1353.7387734222089</v>
      </c>
    </row>
    <row r="20" spans="1:18">
      <c r="D20" s="215"/>
      <c r="E20" s="215"/>
      <c r="F20" s="215"/>
      <c r="G20" s="215"/>
      <c r="H20" s="215"/>
      <c r="I20" s="215"/>
      <c r="J20" s="215"/>
      <c r="K20" s="215"/>
      <c r="L20" s="215"/>
    </row>
    <row r="21" spans="1:18">
      <c r="A21" s="211" t="s">
        <v>6957</v>
      </c>
      <c r="B21" s="211" t="s">
        <v>1805</v>
      </c>
      <c r="C21" s="4" t="s">
        <v>8881</v>
      </c>
      <c r="D21" s="217">
        <v>6598</v>
      </c>
      <c r="E21" s="217">
        <v>6763</v>
      </c>
      <c r="F21" s="217">
        <v>6694</v>
      </c>
      <c r="G21" s="217">
        <v>6750</v>
      </c>
      <c r="H21" s="48">
        <v>6637</v>
      </c>
      <c r="I21" s="909">
        <v>6465</v>
      </c>
      <c r="J21" s="48">
        <v>6460</v>
      </c>
      <c r="K21" s="30">
        <v>6796</v>
      </c>
      <c r="L21" s="30">
        <v>6812</v>
      </c>
      <c r="N21" s="211" t="s">
        <v>1790</v>
      </c>
      <c r="P21" s="4"/>
      <c r="R21" s="4"/>
    </row>
    <row r="22" spans="1:18">
      <c r="A22" s="211" t="s">
        <v>6959</v>
      </c>
      <c r="B22" s="211" t="s">
        <v>1044</v>
      </c>
      <c r="C22" s="4" t="s">
        <v>8882</v>
      </c>
      <c r="D22" s="217">
        <v>6774</v>
      </c>
      <c r="E22" s="217">
        <v>6969</v>
      </c>
      <c r="F22" s="217">
        <v>6944</v>
      </c>
      <c r="G22" s="217">
        <v>6953</v>
      </c>
      <c r="H22" s="48">
        <v>6907</v>
      </c>
      <c r="I22" s="909">
        <v>6715</v>
      </c>
      <c r="J22" s="48">
        <v>6812</v>
      </c>
      <c r="K22" s="30">
        <v>7095</v>
      </c>
      <c r="L22" s="30">
        <v>7097</v>
      </c>
      <c r="N22" s="211" t="s">
        <v>1790</v>
      </c>
      <c r="P22" s="4"/>
      <c r="R22" s="4"/>
    </row>
    <row r="23" spans="1:18">
      <c r="A23" s="211" t="s">
        <v>6961</v>
      </c>
      <c r="B23" s="211" t="s">
        <v>1045</v>
      </c>
      <c r="C23" s="4" t="s">
        <v>8883</v>
      </c>
      <c r="D23" s="217">
        <v>7135</v>
      </c>
      <c r="E23" s="217">
        <v>7089</v>
      </c>
      <c r="F23" s="217">
        <v>7222</v>
      </c>
      <c r="G23" s="217">
        <v>7265</v>
      </c>
      <c r="H23" s="48">
        <v>7334</v>
      </c>
      <c r="I23" s="909">
        <v>7198</v>
      </c>
      <c r="J23" s="48">
        <v>7304</v>
      </c>
      <c r="K23" s="30">
        <v>7461</v>
      </c>
      <c r="L23" s="30">
        <v>7468</v>
      </c>
      <c r="N23" s="211" t="s">
        <v>1792</v>
      </c>
      <c r="P23" s="4"/>
      <c r="R23" s="4"/>
    </row>
    <row r="24" spans="1:18">
      <c r="A24" s="211" t="s">
        <v>6963</v>
      </c>
      <c r="B24" s="211" t="s">
        <v>1046</v>
      </c>
      <c r="C24" s="4" t="s">
        <v>8884</v>
      </c>
      <c r="D24" s="217">
        <v>6509</v>
      </c>
      <c r="E24" s="217">
        <v>6613</v>
      </c>
      <c r="F24" s="217">
        <v>6620</v>
      </c>
      <c r="G24" s="217">
        <v>6524</v>
      </c>
      <c r="H24" s="48">
        <v>6370</v>
      </c>
      <c r="I24" s="909">
        <v>6308</v>
      </c>
      <c r="J24" s="48">
        <v>6409</v>
      </c>
      <c r="K24" s="30">
        <v>6551</v>
      </c>
      <c r="L24" s="30">
        <v>6535</v>
      </c>
      <c r="N24" s="211" t="s">
        <v>1790</v>
      </c>
      <c r="P24" s="4"/>
      <c r="R24" s="4"/>
    </row>
    <row r="25" spans="1:18">
      <c r="A25" s="211" t="s">
        <v>6965</v>
      </c>
      <c r="B25" s="211" t="s">
        <v>2460</v>
      </c>
      <c r="C25" s="4" t="s">
        <v>8885</v>
      </c>
      <c r="D25" s="217">
        <v>7232</v>
      </c>
      <c r="E25" s="217">
        <v>7286</v>
      </c>
      <c r="F25" s="217">
        <v>7389</v>
      </c>
      <c r="G25" s="217">
        <v>7392</v>
      </c>
      <c r="H25" s="48">
        <v>7396</v>
      </c>
      <c r="I25" s="909">
        <v>7183</v>
      </c>
      <c r="J25" s="48">
        <v>7332</v>
      </c>
      <c r="K25" s="30">
        <v>7579</v>
      </c>
      <c r="L25" s="30">
        <v>7602</v>
      </c>
      <c r="N25" s="211" t="s">
        <v>1792</v>
      </c>
      <c r="P25" s="4"/>
      <c r="R25" s="4"/>
    </row>
    <row r="26" spans="1:18">
      <c r="A26" s="211" t="s">
        <v>6997</v>
      </c>
      <c r="B26" s="211" t="s">
        <v>1911</v>
      </c>
      <c r="C26" s="4" t="s">
        <v>8886</v>
      </c>
      <c r="D26" s="217">
        <v>6807</v>
      </c>
      <c r="E26" s="217">
        <v>6833</v>
      </c>
      <c r="F26" s="217">
        <v>6927</v>
      </c>
      <c r="G26" s="217">
        <v>6921</v>
      </c>
      <c r="H26" s="48">
        <v>6861</v>
      </c>
      <c r="I26" s="909">
        <v>6699</v>
      </c>
      <c r="J26" s="48">
        <v>6727</v>
      </c>
      <c r="K26" s="30">
        <v>6879</v>
      </c>
      <c r="L26" s="30">
        <v>6888</v>
      </c>
      <c r="N26" s="211" t="s">
        <v>1792</v>
      </c>
      <c r="P26" s="4"/>
      <c r="R26" s="4"/>
    </row>
    <row r="27" spans="1:18">
      <c r="A27" s="211" t="s">
        <v>6999</v>
      </c>
      <c r="B27" s="211" t="s">
        <v>1912</v>
      </c>
      <c r="C27" s="4" t="s">
        <v>8887</v>
      </c>
      <c r="D27" s="217">
        <v>7085</v>
      </c>
      <c r="E27" s="217">
        <v>7287</v>
      </c>
      <c r="F27" s="217">
        <v>7338</v>
      </c>
      <c r="G27" s="217">
        <v>7483</v>
      </c>
      <c r="H27" s="48">
        <v>7611</v>
      </c>
      <c r="I27" s="909">
        <v>7282</v>
      </c>
      <c r="J27" s="48">
        <v>7401</v>
      </c>
      <c r="K27" s="30">
        <v>7618</v>
      </c>
      <c r="L27" s="30">
        <v>7708</v>
      </c>
      <c r="N27" s="211" t="s">
        <v>1792</v>
      </c>
      <c r="P27" s="4"/>
      <c r="R27" s="4"/>
    </row>
    <row r="28" spans="1:18">
      <c r="A28" s="211" t="s">
        <v>7001</v>
      </c>
      <c r="B28" s="211" t="s">
        <v>8188</v>
      </c>
      <c r="C28" s="4" t="s">
        <v>8888</v>
      </c>
      <c r="D28" s="217">
        <v>7198</v>
      </c>
      <c r="E28" s="217">
        <v>7240</v>
      </c>
      <c r="F28" s="217">
        <v>7310</v>
      </c>
      <c r="G28" s="217">
        <v>7274</v>
      </c>
      <c r="H28" s="48">
        <v>7297</v>
      </c>
      <c r="I28" s="909">
        <v>7208</v>
      </c>
      <c r="J28" s="48">
        <v>7062</v>
      </c>
      <c r="K28" s="30">
        <v>7218</v>
      </c>
      <c r="L28" s="30">
        <v>7252</v>
      </c>
      <c r="N28" s="211" t="s">
        <v>1792</v>
      </c>
      <c r="P28" s="4"/>
      <c r="R28" s="4"/>
    </row>
    <row r="29" spans="1:18">
      <c r="A29" s="211" t="s">
        <v>7003</v>
      </c>
      <c r="B29" s="211" t="s">
        <v>1913</v>
      </c>
      <c r="C29" s="4" t="s">
        <v>8889</v>
      </c>
      <c r="D29" s="217">
        <v>7425</v>
      </c>
      <c r="E29" s="217">
        <v>7583</v>
      </c>
      <c r="F29" s="217">
        <v>7471</v>
      </c>
      <c r="G29" s="217">
        <v>7480</v>
      </c>
      <c r="H29" s="48">
        <v>7428</v>
      </c>
      <c r="I29" s="909">
        <v>7297</v>
      </c>
      <c r="J29" s="48">
        <v>7373</v>
      </c>
      <c r="K29" s="30">
        <v>7771</v>
      </c>
      <c r="L29" s="30">
        <v>7854</v>
      </c>
      <c r="N29" s="211" t="s">
        <v>1790</v>
      </c>
      <c r="P29" s="4"/>
      <c r="R29" s="4"/>
    </row>
    <row r="30" spans="1:18">
      <c r="A30" s="211" t="s">
        <v>7005</v>
      </c>
      <c r="B30" s="211" t="s">
        <v>1914</v>
      </c>
      <c r="C30" s="4" t="s">
        <v>8890</v>
      </c>
      <c r="D30" s="217">
        <v>7271</v>
      </c>
      <c r="E30" s="217">
        <v>7458</v>
      </c>
      <c r="F30" s="217">
        <v>7357</v>
      </c>
      <c r="G30" s="217">
        <v>7366</v>
      </c>
      <c r="H30" s="48">
        <v>7415</v>
      </c>
      <c r="I30" s="909">
        <v>7151</v>
      </c>
      <c r="J30" s="48">
        <v>7255</v>
      </c>
      <c r="K30" s="30">
        <v>7488</v>
      </c>
      <c r="L30" s="30">
        <v>7506</v>
      </c>
      <c r="N30" s="211" t="s">
        <v>1790</v>
      </c>
      <c r="P30" s="4"/>
      <c r="R30" s="4"/>
    </row>
    <row r="31" spans="1:18">
      <c r="A31" s="211" t="s">
        <v>7007</v>
      </c>
      <c r="B31" s="211" t="s">
        <v>1915</v>
      </c>
      <c r="C31" s="4" t="s">
        <v>8891</v>
      </c>
      <c r="D31" s="217">
        <v>7154</v>
      </c>
      <c r="E31" s="217">
        <v>7250</v>
      </c>
      <c r="F31" s="217">
        <v>7198</v>
      </c>
      <c r="G31" s="217">
        <v>7268</v>
      </c>
      <c r="H31" s="48">
        <v>7200</v>
      </c>
      <c r="I31" s="909">
        <v>7061</v>
      </c>
      <c r="J31" s="48">
        <v>7120</v>
      </c>
      <c r="K31" s="30">
        <v>7476</v>
      </c>
      <c r="L31" s="30">
        <v>7613</v>
      </c>
      <c r="N31" s="211" t="s">
        <v>1790</v>
      </c>
      <c r="P31" s="4"/>
      <c r="R31" s="4"/>
    </row>
    <row r="32" spans="1:18">
      <c r="A32" s="211" t="s">
        <v>7009</v>
      </c>
      <c r="B32" s="211" t="s">
        <v>1916</v>
      </c>
      <c r="C32" s="4" t="s">
        <v>8892</v>
      </c>
      <c r="D32" s="217">
        <v>7620</v>
      </c>
      <c r="E32" s="217">
        <v>7554</v>
      </c>
      <c r="F32" s="217">
        <v>7518</v>
      </c>
      <c r="G32" s="217">
        <v>7647</v>
      </c>
      <c r="H32" s="48">
        <v>7668</v>
      </c>
      <c r="I32" s="909">
        <v>7440</v>
      </c>
      <c r="J32" s="48">
        <v>7509</v>
      </c>
      <c r="K32" s="30">
        <v>7865</v>
      </c>
      <c r="L32" s="30">
        <v>8065</v>
      </c>
      <c r="N32" s="211" t="s">
        <v>1792</v>
      </c>
      <c r="P32" s="4"/>
      <c r="R32" s="4"/>
    </row>
    <row r="33" spans="1:18">
      <c r="A33" s="211" t="s">
        <v>7011</v>
      </c>
      <c r="B33" s="211" t="s">
        <v>1917</v>
      </c>
      <c r="C33" s="4" t="s">
        <v>8893</v>
      </c>
      <c r="D33" s="217">
        <v>6890</v>
      </c>
      <c r="E33" s="217">
        <v>7038</v>
      </c>
      <c r="F33" s="217">
        <v>7003</v>
      </c>
      <c r="G33" s="217">
        <v>7034</v>
      </c>
      <c r="H33" s="48">
        <v>6962</v>
      </c>
      <c r="I33" s="909">
        <v>6671</v>
      </c>
      <c r="J33" s="48">
        <v>6848</v>
      </c>
      <c r="K33" s="30">
        <v>7190</v>
      </c>
      <c r="L33" s="30">
        <v>7336</v>
      </c>
      <c r="N33" s="211" t="s">
        <v>1790</v>
      </c>
      <c r="P33" s="4"/>
      <c r="R33" s="4"/>
    </row>
    <row r="34" spans="1:18">
      <c r="A34" s="211" t="s">
        <v>7013</v>
      </c>
      <c r="B34" s="211" t="s">
        <v>1918</v>
      </c>
      <c r="C34" s="4" t="s">
        <v>8894</v>
      </c>
      <c r="D34" s="217">
        <v>7393</v>
      </c>
      <c r="E34" s="217">
        <v>7331</v>
      </c>
      <c r="F34" s="217">
        <v>7402</v>
      </c>
      <c r="G34" s="217">
        <v>7441</v>
      </c>
      <c r="H34" s="48">
        <v>7433</v>
      </c>
      <c r="I34" s="909">
        <v>6654</v>
      </c>
      <c r="J34" s="48">
        <v>6780</v>
      </c>
      <c r="K34" s="30">
        <v>7053</v>
      </c>
      <c r="L34" s="30">
        <v>7074</v>
      </c>
      <c r="N34" s="211" t="s">
        <v>1792</v>
      </c>
      <c r="P34" s="4"/>
      <c r="R34" s="4"/>
    </row>
    <row r="35" spans="1:18">
      <c r="A35" s="211" t="s">
        <v>7015</v>
      </c>
      <c r="B35" s="211" t="s">
        <v>1919</v>
      </c>
      <c r="C35" s="4" t="s">
        <v>8895</v>
      </c>
      <c r="D35" s="217">
        <v>7342</v>
      </c>
      <c r="E35" s="217">
        <v>7435</v>
      </c>
      <c r="F35" s="217">
        <v>7523</v>
      </c>
      <c r="G35" s="217">
        <v>7458</v>
      </c>
      <c r="H35" s="48">
        <v>7503</v>
      </c>
      <c r="I35" s="909">
        <v>7280</v>
      </c>
      <c r="J35" s="48">
        <v>7346</v>
      </c>
      <c r="K35" s="30">
        <v>7596</v>
      </c>
      <c r="L35" s="30">
        <v>7672</v>
      </c>
      <c r="N35" s="211" t="s">
        <v>1792</v>
      </c>
      <c r="P35" s="4"/>
      <c r="R35" s="4"/>
    </row>
    <row r="36" spans="1:18">
      <c r="A36" s="211" t="s">
        <v>7017</v>
      </c>
      <c r="B36" s="211" t="s">
        <v>1920</v>
      </c>
      <c r="C36" s="4" t="s">
        <v>8896</v>
      </c>
      <c r="D36" s="217">
        <v>6838</v>
      </c>
      <c r="E36" s="217">
        <v>6910</v>
      </c>
      <c r="F36" s="217">
        <v>7000</v>
      </c>
      <c r="G36" s="217">
        <v>6848</v>
      </c>
      <c r="H36" s="48">
        <v>6857</v>
      </c>
      <c r="I36" s="909">
        <v>6615</v>
      </c>
      <c r="J36" s="48">
        <v>6720</v>
      </c>
      <c r="K36" s="31">
        <v>7023</v>
      </c>
      <c r="L36" s="31">
        <v>7153</v>
      </c>
      <c r="N36" s="211" t="s">
        <v>1792</v>
      </c>
      <c r="P36" s="4"/>
      <c r="R36" s="4"/>
    </row>
    <row r="37" spans="1:18">
      <c r="A37" s="211" t="s">
        <v>7019</v>
      </c>
      <c r="B37" s="211" t="s">
        <v>1921</v>
      </c>
      <c r="C37" s="4" t="s">
        <v>8897</v>
      </c>
      <c r="D37" s="217">
        <v>7280</v>
      </c>
      <c r="E37" s="217">
        <v>7321</v>
      </c>
      <c r="F37" s="217">
        <v>7412</v>
      </c>
      <c r="G37" s="217">
        <v>7433</v>
      </c>
      <c r="H37" s="48">
        <v>7449</v>
      </c>
      <c r="I37" s="909">
        <v>7264</v>
      </c>
      <c r="J37" s="48">
        <v>7267</v>
      </c>
      <c r="K37" s="31">
        <v>7483</v>
      </c>
      <c r="L37" s="31">
        <v>7614</v>
      </c>
      <c r="N37" s="211" t="s">
        <v>1792</v>
      </c>
      <c r="P37" s="4"/>
      <c r="R37" s="4"/>
    </row>
    <row r="38" spans="1:18">
      <c r="A38" s="211" t="s">
        <v>7021</v>
      </c>
      <c r="B38" s="211" t="s">
        <v>1922</v>
      </c>
      <c r="C38" s="4" t="s">
        <v>8898</v>
      </c>
      <c r="D38" s="217">
        <v>6737</v>
      </c>
      <c r="E38" s="217">
        <v>6886</v>
      </c>
      <c r="F38" s="217">
        <v>6899</v>
      </c>
      <c r="G38" s="217">
        <v>6888</v>
      </c>
      <c r="H38" s="48">
        <v>6909</v>
      </c>
      <c r="I38" s="909">
        <v>6826</v>
      </c>
      <c r="J38" s="48">
        <v>6799</v>
      </c>
      <c r="K38" s="31">
        <v>6914</v>
      </c>
      <c r="L38" s="31">
        <v>6924</v>
      </c>
      <c r="N38" s="211" t="s">
        <v>1792</v>
      </c>
      <c r="P38" s="4"/>
      <c r="R38" s="4"/>
    </row>
    <row r="39" spans="1:18">
      <c r="J39" s="48"/>
      <c r="K39" s="48"/>
      <c r="L39" s="48"/>
    </row>
    <row r="40" spans="1:18">
      <c r="A40" s="211" t="s">
        <v>2020</v>
      </c>
      <c r="J40" s="48"/>
      <c r="K40" s="48"/>
      <c r="L40" s="48"/>
    </row>
    <row r="41" spans="1:18">
      <c r="A41" s="212" t="s">
        <v>2021</v>
      </c>
    </row>
  </sheetData>
  <sortState ref="O21:Q38">
    <sortCondition ref="O21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9 E5:E19 F5:F19 G5:G19 H3:H4 H5:H19 I3:I19 J3:J19 K3:K19 L3:L19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44"/>
  <sheetViews>
    <sheetView showGridLines="0" zoomScaleNormal="100" workbookViewId="0"/>
  </sheetViews>
  <sheetFormatPr defaultColWidth="12.5703125" defaultRowHeight="15"/>
  <cols>
    <col min="1" max="1" width="4.85546875" style="34" customWidth="1"/>
    <col min="2" max="2" width="45.7109375" style="34" customWidth="1"/>
    <col min="3" max="3" width="11.5703125" style="34" customWidth="1"/>
    <col min="4" max="12" width="10" style="34" customWidth="1"/>
    <col min="13" max="13" width="2.28515625" style="34" customWidth="1"/>
    <col min="14" max="14" width="29.85546875" style="34" customWidth="1"/>
    <col min="15" max="16384" width="12.5703125" style="34"/>
  </cols>
  <sheetData>
    <row r="1" spans="1:12">
      <c r="A1" s="33" t="s">
        <v>8847</v>
      </c>
      <c r="D1" s="35">
        <v>2010</v>
      </c>
      <c r="E1" s="35">
        <v>2011</v>
      </c>
      <c r="F1" s="35">
        <v>2012</v>
      </c>
      <c r="G1" s="35">
        <v>2013</v>
      </c>
      <c r="H1" s="35">
        <v>2014</v>
      </c>
      <c r="I1" s="35">
        <v>2015</v>
      </c>
      <c r="J1" s="35">
        <v>2016</v>
      </c>
      <c r="K1" s="35">
        <v>2017</v>
      </c>
      <c r="L1" s="35">
        <v>2018</v>
      </c>
    </row>
    <row r="3" spans="1:12">
      <c r="A3" s="33" t="s">
        <v>4088</v>
      </c>
      <c r="C3" s="33"/>
      <c r="D3" s="36">
        <f t="shared" ref="D3:I3" si="0">D59</f>
        <v>81831</v>
      </c>
      <c r="E3" s="36">
        <f t="shared" si="0"/>
        <v>82764</v>
      </c>
      <c r="F3" s="36">
        <f t="shared" si="0"/>
        <v>82926</v>
      </c>
      <c r="G3" s="36">
        <f t="shared" si="0"/>
        <v>83644</v>
      </c>
      <c r="H3" s="36">
        <f t="shared" si="0"/>
        <v>84240</v>
      </c>
      <c r="I3" s="36">
        <f t="shared" si="0"/>
        <v>81494</v>
      </c>
      <c r="J3" s="36">
        <f t="shared" ref="J3:K3" si="1">J59</f>
        <v>82150</v>
      </c>
      <c r="K3" s="36">
        <f t="shared" si="1"/>
        <v>84176</v>
      </c>
      <c r="L3" s="36">
        <f t="shared" ref="L3" si="2">L59</f>
        <v>85182</v>
      </c>
    </row>
    <row r="4" spans="1:12">
      <c r="A4" s="33" t="s">
        <v>4089</v>
      </c>
      <c r="C4" s="33"/>
      <c r="D4" s="36">
        <f t="shared" ref="D4:I4" si="3">D87</f>
        <v>104169</v>
      </c>
      <c r="E4" s="36">
        <f t="shared" si="3"/>
        <v>109451</v>
      </c>
      <c r="F4" s="36">
        <f t="shared" si="3"/>
        <v>111680</v>
      </c>
      <c r="G4" s="36">
        <f t="shared" si="3"/>
        <v>109811</v>
      </c>
      <c r="H4" s="36">
        <f t="shared" si="3"/>
        <v>110047</v>
      </c>
      <c r="I4" s="36">
        <f t="shared" si="3"/>
        <v>99868</v>
      </c>
      <c r="J4" s="36">
        <f t="shared" ref="J4:K4" si="4">J87</f>
        <v>95878</v>
      </c>
      <c r="K4" s="36">
        <f t="shared" si="4"/>
        <v>101011</v>
      </c>
      <c r="L4" s="36">
        <f t="shared" ref="L4" si="5">L87</f>
        <v>102641</v>
      </c>
    </row>
    <row r="5" spans="1:12">
      <c r="A5" s="33" t="s">
        <v>5811</v>
      </c>
      <c r="C5" s="33"/>
      <c r="D5" s="36">
        <f t="shared" ref="D5:I5" si="6">D113</f>
        <v>82005</v>
      </c>
      <c r="E5" s="36">
        <f t="shared" si="6"/>
        <v>84908</v>
      </c>
      <c r="F5" s="36">
        <f t="shared" si="6"/>
        <v>85694</v>
      </c>
      <c r="G5" s="36">
        <f t="shared" si="6"/>
        <v>87024</v>
      </c>
      <c r="H5" s="36">
        <f t="shared" si="6"/>
        <v>88433</v>
      </c>
      <c r="I5" s="36">
        <f t="shared" si="6"/>
        <v>87772</v>
      </c>
      <c r="J5" s="36">
        <f t="shared" ref="J5:K5" si="7">J113</f>
        <v>80072</v>
      </c>
      <c r="K5" s="36">
        <f t="shared" si="7"/>
        <v>84478</v>
      </c>
      <c r="L5" s="36">
        <f t="shared" ref="L5" si="8">L113</f>
        <v>84311</v>
      </c>
    </row>
    <row r="6" spans="1:12">
      <c r="A6" s="33" t="s">
        <v>5812</v>
      </c>
      <c r="C6" s="33"/>
      <c r="D6" s="36">
        <f t="shared" ref="D6:I6" si="9">D138</f>
        <v>113835</v>
      </c>
      <c r="E6" s="36">
        <f t="shared" si="9"/>
        <v>113065</v>
      </c>
      <c r="F6" s="36">
        <f t="shared" si="9"/>
        <v>111375</v>
      </c>
      <c r="G6" s="36">
        <f t="shared" si="9"/>
        <v>114661</v>
      </c>
      <c r="H6" s="36">
        <f t="shared" si="9"/>
        <v>113985</v>
      </c>
      <c r="I6" s="36">
        <f t="shared" si="9"/>
        <v>112436</v>
      </c>
      <c r="J6" s="36">
        <f t="shared" ref="J6:K6" si="10">J138</f>
        <v>114469</v>
      </c>
      <c r="K6" s="36">
        <f t="shared" si="10"/>
        <v>118152</v>
      </c>
      <c r="L6" s="36">
        <f t="shared" ref="L6" si="11">L138</f>
        <v>118317</v>
      </c>
    </row>
    <row r="7" spans="1:12">
      <c r="A7" s="33" t="s">
        <v>5813</v>
      </c>
      <c r="C7" s="33"/>
      <c r="D7" s="36">
        <f t="shared" ref="D7:I7" si="12">D179</f>
        <v>97888</v>
      </c>
      <c r="E7" s="36">
        <f t="shared" si="12"/>
        <v>100820</v>
      </c>
      <c r="F7" s="36">
        <f t="shared" si="12"/>
        <v>102251</v>
      </c>
      <c r="G7" s="36">
        <f t="shared" si="12"/>
        <v>102413</v>
      </c>
      <c r="H7" s="36">
        <f t="shared" si="12"/>
        <v>101745</v>
      </c>
      <c r="I7" s="36">
        <f t="shared" si="12"/>
        <v>99418</v>
      </c>
      <c r="J7" s="36">
        <f t="shared" ref="J7:K7" si="13">J179</f>
        <v>97048</v>
      </c>
      <c r="K7" s="36">
        <f t="shared" si="13"/>
        <v>102100</v>
      </c>
      <c r="L7" s="36">
        <f t="shared" ref="L7" si="14">L179</f>
        <v>103106</v>
      </c>
    </row>
    <row r="8" spans="1:12" ht="15.75" thickBot="1">
      <c r="A8" s="33" t="s">
        <v>5814</v>
      </c>
      <c r="C8" s="33"/>
      <c r="D8" s="37">
        <f t="shared" ref="D8:I8" si="15">D212</f>
        <v>118450</v>
      </c>
      <c r="E8" s="37">
        <f t="shared" si="15"/>
        <v>117640</v>
      </c>
      <c r="F8" s="37">
        <f t="shared" si="15"/>
        <v>118427</v>
      </c>
      <c r="G8" s="37">
        <f t="shared" si="15"/>
        <v>118694</v>
      </c>
      <c r="H8" s="37">
        <f t="shared" si="15"/>
        <v>119191</v>
      </c>
      <c r="I8" s="37">
        <f t="shared" si="15"/>
        <v>117037</v>
      </c>
      <c r="J8" s="37">
        <f t="shared" ref="J8:K8" si="16">J212</f>
        <v>118059</v>
      </c>
      <c r="K8" s="37">
        <f t="shared" si="16"/>
        <v>121681</v>
      </c>
      <c r="L8" s="37">
        <f t="shared" ref="L8" si="17">L212</f>
        <v>120451</v>
      </c>
    </row>
    <row r="9" spans="1:12" ht="15.75" thickBot="1">
      <c r="A9" s="33"/>
      <c r="D9" s="37">
        <f t="shared" ref="D9:I9" si="18">SUM(D3:D8)</f>
        <v>598178</v>
      </c>
      <c r="E9" s="37">
        <f t="shared" si="18"/>
        <v>608648</v>
      </c>
      <c r="F9" s="37">
        <f t="shared" si="18"/>
        <v>612353</v>
      </c>
      <c r="G9" s="37">
        <f t="shared" si="18"/>
        <v>616247</v>
      </c>
      <c r="H9" s="37">
        <f t="shared" si="18"/>
        <v>617641</v>
      </c>
      <c r="I9" s="37">
        <f t="shared" si="18"/>
        <v>598025</v>
      </c>
      <c r="J9" s="37">
        <f t="shared" ref="J9:K9" si="19">SUM(J3:J8)</f>
        <v>587676</v>
      </c>
      <c r="K9" s="37">
        <f t="shared" si="19"/>
        <v>611598</v>
      </c>
      <c r="L9" s="37">
        <f t="shared" ref="L9" si="20">SUM(L3:L8)</f>
        <v>614008</v>
      </c>
    </row>
    <row r="10" spans="1:12" s="20" customFormat="1"/>
    <row r="11" spans="1:12">
      <c r="A11" s="33" t="s">
        <v>8534</v>
      </c>
      <c r="D11" s="36">
        <f t="shared" ref="D11:I11" si="21">D3/1</f>
        <v>81831</v>
      </c>
      <c r="E11" s="36">
        <f t="shared" si="21"/>
        <v>82764</v>
      </c>
      <c r="F11" s="36">
        <f t="shared" si="21"/>
        <v>82926</v>
      </c>
      <c r="G11" s="36">
        <f t="shared" si="21"/>
        <v>83644</v>
      </c>
      <c r="H11" s="36">
        <f t="shared" si="21"/>
        <v>84240</v>
      </c>
      <c r="I11" s="36">
        <f t="shared" si="21"/>
        <v>81494</v>
      </c>
      <c r="J11" s="36">
        <f t="shared" ref="J11:K12" si="22">J3/1</f>
        <v>82150</v>
      </c>
      <c r="K11" s="36">
        <f t="shared" si="22"/>
        <v>84176</v>
      </c>
      <c r="L11" s="36">
        <f t="shared" ref="L11" si="23">L3/1</f>
        <v>85182</v>
      </c>
    </row>
    <row r="12" spans="1:12">
      <c r="A12" s="33" t="s">
        <v>8535</v>
      </c>
      <c r="D12" s="36">
        <f>D4/1</f>
        <v>104169</v>
      </c>
      <c r="E12" s="36">
        <f t="shared" ref="E12:I12" si="24">E4/1</f>
        <v>109451</v>
      </c>
      <c r="F12" s="36">
        <f t="shared" si="24"/>
        <v>111680</v>
      </c>
      <c r="G12" s="36">
        <f t="shared" si="24"/>
        <v>109811</v>
      </c>
      <c r="H12" s="36">
        <f t="shared" si="24"/>
        <v>110047</v>
      </c>
      <c r="I12" s="36">
        <f t="shared" si="24"/>
        <v>99868</v>
      </c>
      <c r="J12" s="36">
        <f t="shared" si="22"/>
        <v>95878</v>
      </c>
      <c r="K12" s="36">
        <f t="shared" si="22"/>
        <v>101011</v>
      </c>
      <c r="L12" s="36">
        <f t="shared" ref="L12" si="25">L4/1</f>
        <v>102641</v>
      </c>
    </row>
    <row r="13" spans="1:12">
      <c r="A13" s="33" t="s">
        <v>8536</v>
      </c>
      <c r="D13" s="36">
        <f>D5/1</f>
        <v>82005</v>
      </c>
      <c r="E13" s="36">
        <f t="shared" ref="E13:J13" si="26">E5/1</f>
        <v>84908</v>
      </c>
      <c r="F13" s="36">
        <f t="shared" si="26"/>
        <v>85694</v>
      </c>
      <c r="G13" s="36">
        <f t="shared" si="26"/>
        <v>87024</v>
      </c>
      <c r="H13" s="36">
        <f t="shared" si="26"/>
        <v>88433</v>
      </c>
      <c r="I13" s="36">
        <f t="shared" si="26"/>
        <v>87772</v>
      </c>
      <c r="J13" s="36">
        <f t="shared" si="26"/>
        <v>80072</v>
      </c>
      <c r="K13" s="36">
        <f t="shared" ref="K13:L13" si="27">K5/1</f>
        <v>84478</v>
      </c>
      <c r="L13" s="36">
        <f t="shared" si="27"/>
        <v>84311</v>
      </c>
    </row>
    <row r="14" spans="1:12">
      <c r="A14" s="33" t="s">
        <v>8537</v>
      </c>
      <c r="D14" s="36">
        <f t="shared" ref="D14:J14" si="28">D6/2</f>
        <v>56917.5</v>
      </c>
      <c r="E14" s="36">
        <f t="shared" si="28"/>
        <v>56532.5</v>
      </c>
      <c r="F14" s="36">
        <f t="shared" si="28"/>
        <v>55687.5</v>
      </c>
      <c r="G14" s="36">
        <f t="shared" si="28"/>
        <v>57330.5</v>
      </c>
      <c r="H14" s="36">
        <f t="shared" si="28"/>
        <v>56992.5</v>
      </c>
      <c r="I14" s="36">
        <f t="shared" si="28"/>
        <v>56218</v>
      </c>
      <c r="J14" s="36">
        <f t="shared" si="28"/>
        <v>57234.5</v>
      </c>
      <c r="K14" s="36">
        <f t="shared" ref="K14:L14" si="29">K6/2</f>
        <v>59076</v>
      </c>
      <c r="L14" s="36">
        <f t="shared" si="29"/>
        <v>59158.5</v>
      </c>
    </row>
    <row r="15" spans="1:12">
      <c r="A15" s="33" t="s">
        <v>8538</v>
      </c>
      <c r="D15" s="36">
        <f t="shared" ref="D15:J15" si="30">D7/1</f>
        <v>97888</v>
      </c>
      <c r="E15" s="36">
        <f t="shared" si="30"/>
        <v>100820</v>
      </c>
      <c r="F15" s="36">
        <f t="shared" si="30"/>
        <v>102251</v>
      </c>
      <c r="G15" s="36">
        <f t="shared" si="30"/>
        <v>102413</v>
      </c>
      <c r="H15" s="36">
        <f t="shared" si="30"/>
        <v>101745</v>
      </c>
      <c r="I15" s="36">
        <f t="shared" si="30"/>
        <v>99418</v>
      </c>
      <c r="J15" s="36">
        <f t="shared" si="30"/>
        <v>97048</v>
      </c>
      <c r="K15" s="36">
        <f t="shared" ref="K15:L15" si="31">K7/1</f>
        <v>102100</v>
      </c>
      <c r="L15" s="36">
        <f t="shared" si="31"/>
        <v>103106</v>
      </c>
    </row>
    <row r="16" spans="1:12">
      <c r="A16" s="33" t="s">
        <v>7688</v>
      </c>
      <c r="D16" s="36">
        <f t="shared" ref="D16:J16" si="32">D8/2</f>
        <v>59225</v>
      </c>
      <c r="E16" s="36">
        <f t="shared" si="32"/>
        <v>58820</v>
      </c>
      <c r="F16" s="36">
        <f t="shared" si="32"/>
        <v>59213.5</v>
      </c>
      <c r="G16" s="36">
        <f t="shared" si="32"/>
        <v>59347</v>
      </c>
      <c r="H16" s="36">
        <f t="shared" si="32"/>
        <v>59595.5</v>
      </c>
      <c r="I16" s="36">
        <f t="shared" si="32"/>
        <v>58518.5</v>
      </c>
      <c r="J16" s="36">
        <f t="shared" si="32"/>
        <v>59029.5</v>
      </c>
      <c r="K16" s="36">
        <f t="shared" ref="K16:L16" si="33">K8/2</f>
        <v>60840.5</v>
      </c>
      <c r="L16" s="36">
        <f t="shared" si="33"/>
        <v>60225.5</v>
      </c>
    </row>
    <row r="17" spans="1:14">
      <c r="A17" s="33" t="s">
        <v>7689</v>
      </c>
      <c r="D17" s="36">
        <f t="shared" ref="D17:J17" si="34">D9/8</f>
        <v>74772.25</v>
      </c>
      <c r="E17" s="36">
        <f t="shared" si="34"/>
        <v>76081</v>
      </c>
      <c r="F17" s="36">
        <f t="shared" si="34"/>
        <v>76544.125</v>
      </c>
      <c r="G17" s="36">
        <f t="shared" si="34"/>
        <v>77030.875</v>
      </c>
      <c r="H17" s="36">
        <f t="shared" si="34"/>
        <v>77205.125</v>
      </c>
      <c r="I17" s="36">
        <f t="shared" si="34"/>
        <v>74753.125</v>
      </c>
      <c r="J17" s="36">
        <f t="shared" si="34"/>
        <v>73459.5</v>
      </c>
      <c r="K17" s="36">
        <f t="shared" ref="K17:L17" si="35">K9/8</f>
        <v>76449.75</v>
      </c>
      <c r="L17" s="36">
        <f t="shared" si="35"/>
        <v>76751</v>
      </c>
    </row>
    <row r="18" spans="1:14">
      <c r="A18" s="33"/>
      <c r="D18" s="38"/>
      <c r="E18" s="38"/>
      <c r="F18" s="38"/>
      <c r="G18" s="38"/>
      <c r="H18" s="38"/>
      <c r="I18" s="38"/>
      <c r="J18" s="38"/>
      <c r="K18" s="38"/>
      <c r="L18" s="38"/>
    </row>
    <row r="19" spans="1:14">
      <c r="A19" s="33" t="s">
        <v>7690</v>
      </c>
      <c r="D19" s="36">
        <f t="shared" ref="D19:I19" si="36">D79</f>
        <v>62098</v>
      </c>
      <c r="E19" s="36">
        <f t="shared" si="36"/>
        <v>62766</v>
      </c>
      <c r="F19" s="36">
        <f t="shared" si="36"/>
        <v>62710</v>
      </c>
      <c r="G19" s="36">
        <f t="shared" si="36"/>
        <v>63187</v>
      </c>
      <c r="H19" s="36">
        <f t="shared" si="36"/>
        <v>63718</v>
      </c>
      <c r="I19" s="36">
        <f t="shared" si="36"/>
        <v>61594</v>
      </c>
      <c r="J19" s="36">
        <f t="shared" ref="J19:K19" si="37">J79</f>
        <v>62101</v>
      </c>
      <c r="K19" s="36">
        <f t="shared" si="37"/>
        <v>63456</v>
      </c>
      <c r="L19" s="36">
        <f t="shared" ref="L19" si="38">L79</f>
        <v>63967</v>
      </c>
      <c r="N19" s="33" t="s">
        <v>7691</v>
      </c>
    </row>
    <row r="20" spans="1:14" ht="15.75" thickBot="1">
      <c r="D20" s="37">
        <f t="shared" ref="D20:I20" si="39">D239</f>
        <v>14849</v>
      </c>
      <c r="E20" s="37">
        <f t="shared" si="39"/>
        <v>14724</v>
      </c>
      <c r="F20" s="37">
        <f t="shared" si="39"/>
        <v>14735</v>
      </c>
      <c r="G20" s="37">
        <f t="shared" si="39"/>
        <v>14791</v>
      </c>
      <c r="H20" s="37">
        <f t="shared" si="39"/>
        <v>14867</v>
      </c>
      <c r="I20" s="37">
        <f t="shared" si="39"/>
        <v>14693</v>
      </c>
      <c r="J20" s="37">
        <f t="shared" ref="J20:K20" si="40">J239</f>
        <v>14816</v>
      </c>
      <c r="K20" s="37">
        <f t="shared" si="40"/>
        <v>15041</v>
      </c>
      <c r="L20" s="37">
        <f t="shared" ref="L20" si="41">L239</f>
        <v>14742</v>
      </c>
      <c r="N20" s="33" t="s">
        <v>7692</v>
      </c>
    </row>
    <row r="21" spans="1:14" ht="15.75" thickBot="1">
      <c r="D21" s="37">
        <f t="shared" ref="D21:I21" si="42">SUM(D19:D20)</f>
        <v>76947</v>
      </c>
      <c r="E21" s="37">
        <f t="shared" si="42"/>
        <v>77490</v>
      </c>
      <c r="F21" s="37">
        <f t="shared" si="42"/>
        <v>77445</v>
      </c>
      <c r="G21" s="37">
        <f t="shared" si="42"/>
        <v>77978</v>
      </c>
      <c r="H21" s="37">
        <f t="shared" si="42"/>
        <v>78585</v>
      </c>
      <c r="I21" s="37">
        <f t="shared" si="42"/>
        <v>76287</v>
      </c>
      <c r="J21" s="37">
        <f t="shared" ref="J21:K21" si="43">SUM(J19:J20)</f>
        <v>76917</v>
      </c>
      <c r="K21" s="37">
        <f t="shared" si="43"/>
        <v>78497</v>
      </c>
      <c r="L21" s="37">
        <f t="shared" ref="L21" si="44">SUM(L19:L20)</f>
        <v>78709</v>
      </c>
    </row>
    <row r="22" spans="1:14">
      <c r="D22" s="39"/>
      <c r="E22" s="39"/>
      <c r="F22" s="39"/>
      <c r="G22" s="39"/>
      <c r="H22" s="39"/>
      <c r="I22" s="39"/>
      <c r="J22" s="39"/>
      <c r="K22" s="39"/>
      <c r="L22" s="39"/>
    </row>
    <row r="23" spans="1:14">
      <c r="A23" s="33" t="s">
        <v>7693</v>
      </c>
      <c r="D23" s="36">
        <f t="shared" ref="D23:I23" si="45">D204</f>
        <v>52248</v>
      </c>
      <c r="E23" s="36">
        <f t="shared" si="45"/>
        <v>53766</v>
      </c>
      <c r="F23" s="36">
        <f t="shared" si="45"/>
        <v>54579</v>
      </c>
      <c r="G23" s="36">
        <f t="shared" si="45"/>
        <v>54805</v>
      </c>
      <c r="H23" s="36">
        <f t="shared" si="45"/>
        <v>54041</v>
      </c>
      <c r="I23" s="36">
        <f t="shared" si="45"/>
        <v>53095</v>
      </c>
      <c r="J23" s="36">
        <f t="shared" ref="J23:K23" si="46">J204</f>
        <v>51667</v>
      </c>
      <c r="K23" s="36">
        <f t="shared" si="46"/>
        <v>54275</v>
      </c>
      <c r="L23" s="36">
        <f t="shared" ref="L23" si="47">L204</f>
        <v>54817</v>
      </c>
      <c r="N23" s="33" t="s">
        <v>7694</v>
      </c>
    </row>
    <row r="24" spans="1:14" ht="15.75" thickBot="1">
      <c r="D24" s="37">
        <f t="shared" ref="D24:I24" si="48">D240</f>
        <v>20320</v>
      </c>
      <c r="E24" s="37">
        <f t="shared" si="48"/>
        <v>20262</v>
      </c>
      <c r="F24" s="37">
        <f t="shared" si="48"/>
        <v>20297</v>
      </c>
      <c r="G24" s="37">
        <f t="shared" si="48"/>
        <v>20394</v>
      </c>
      <c r="H24" s="37">
        <f t="shared" si="48"/>
        <v>20273</v>
      </c>
      <c r="I24" s="37">
        <f t="shared" si="48"/>
        <v>20014</v>
      </c>
      <c r="J24" s="37">
        <f t="shared" ref="J24:K24" si="49">J240</f>
        <v>20167</v>
      </c>
      <c r="K24" s="37">
        <f t="shared" si="49"/>
        <v>20568</v>
      </c>
      <c r="L24" s="37">
        <f t="shared" ref="L24" si="50">L240</f>
        <v>20134</v>
      </c>
      <c r="N24" s="33" t="s">
        <v>7692</v>
      </c>
    </row>
    <row r="25" spans="1:14" ht="15.75" thickBot="1">
      <c r="D25" s="37">
        <f t="shared" ref="D25:I25" si="51">D23+D24</f>
        <v>72568</v>
      </c>
      <c r="E25" s="37">
        <f t="shared" si="51"/>
        <v>74028</v>
      </c>
      <c r="F25" s="37">
        <f t="shared" si="51"/>
        <v>74876</v>
      </c>
      <c r="G25" s="37">
        <f t="shared" si="51"/>
        <v>75199</v>
      </c>
      <c r="H25" s="37">
        <f t="shared" si="51"/>
        <v>74314</v>
      </c>
      <c r="I25" s="37">
        <f t="shared" si="51"/>
        <v>73109</v>
      </c>
      <c r="J25" s="37">
        <f t="shared" ref="J25:K25" si="52">J23+J24</f>
        <v>71834</v>
      </c>
      <c r="K25" s="37">
        <f t="shared" si="52"/>
        <v>74843</v>
      </c>
      <c r="L25" s="37">
        <f t="shared" ref="L25" si="53">L23+L24</f>
        <v>74951</v>
      </c>
    </row>
    <row r="26" spans="1:14">
      <c r="D26" s="39"/>
      <c r="E26" s="39"/>
      <c r="F26" s="39"/>
      <c r="G26" s="39"/>
      <c r="H26" s="39"/>
      <c r="I26" s="39"/>
      <c r="J26" s="39"/>
      <c r="K26" s="39"/>
      <c r="L26" s="39"/>
    </row>
    <row r="27" spans="1:14">
      <c r="A27" s="33" t="s">
        <v>7695</v>
      </c>
      <c r="D27" s="36">
        <f t="shared" ref="D27:I27" si="54">D170</f>
        <v>78468</v>
      </c>
      <c r="E27" s="36">
        <f t="shared" si="54"/>
        <v>77898</v>
      </c>
      <c r="F27" s="36">
        <f t="shared" si="54"/>
        <v>77293</v>
      </c>
      <c r="G27" s="36">
        <f t="shared" si="54"/>
        <v>79351</v>
      </c>
      <c r="H27" s="36">
        <f t="shared" si="54"/>
        <v>78760</v>
      </c>
      <c r="I27" s="36">
        <f t="shared" si="54"/>
        <v>77463</v>
      </c>
      <c r="J27" s="36">
        <f t="shared" ref="J27:K27" si="55">J170</f>
        <v>78963</v>
      </c>
      <c r="K27" s="36">
        <f t="shared" si="55"/>
        <v>81818</v>
      </c>
      <c r="L27" s="36">
        <f t="shared" ref="L27" si="56">L170</f>
        <v>82034</v>
      </c>
      <c r="N27" s="33" t="s">
        <v>7696</v>
      </c>
    </row>
    <row r="28" spans="1:14">
      <c r="D28" s="39"/>
      <c r="E28" s="39"/>
      <c r="F28" s="39"/>
      <c r="G28" s="39"/>
      <c r="H28" s="39"/>
      <c r="I28" s="39"/>
      <c r="J28" s="39"/>
      <c r="K28" s="39"/>
      <c r="L28" s="39"/>
    </row>
    <row r="29" spans="1:14">
      <c r="A29" s="33" t="s">
        <v>7697</v>
      </c>
      <c r="D29" s="36">
        <f t="shared" ref="D29:I29" si="57">D105</f>
        <v>57166</v>
      </c>
      <c r="E29" s="36">
        <f t="shared" si="57"/>
        <v>60611</v>
      </c>
      <c r="F29" s="36">
        <f t="shared" si="57"/>
        <v>61952</v>
      </c>
      <c r="G29" s="36">
        <f t="shared" si="57"/>
        <v>60516</v>
      </c>
      <c r="H29" s="36">
        <f t="shared" si="57"/>
        <v>60652</v>
      </c>
      <c r="I29" s="36">
        <f t="shared" si="57"/>
        <v>53295</v>
      </c>
      <c r="J29" s="36">
        <f t="shared" ref="J29:K29" si="58">J105</f>
        <v>50599</v>
      </c>
      <c r="K29" s="36">
        <f t="shared" si="58"/>
        <v>53696</v>
      </c>
      <c r="L29" s="36">
        <f t="shared" ref="L29" si="59">L105</f>
        <v>54617</v>
      </c>
      <c r="N29" s="33" t="s">
        <v>7698</v>
      </c>
    </row>
    <row r="30" spans="1:14" ht="15.75" thickBot="1">
      <c r="D30" s="37">
        <f t="shared" ref="D30:I30" si="60">D241</f>
        <v>17689</v>
      </c>
      <c r="E30" s="37">
        <f t="shared" si="60"/>
        <v>17559</v>
      </c>
      <c r="F30" s="37">
        <f t="shared" si="60"/>
        <v>17688</v>
      </c>
      <c r="G30" s="37">
        <f t="shared" si="60"/>
        <v>17206</v>
      </c>
      <c r="H30" s="37">
        <f t="shared" si="60"/>
        <v>17314</v>
      </c>
      <c r="I30" s="37">
        <f t="shared" si="60"/>
        <v>17066</v>
      </c>
      <c r="J30" s="37">
        <f t="shared" ref="J30:K30" si="61">J241</f>
        <v>17247</v>
      </c>
      <c r="K30" s="37">
        <f t="shared" si="61"/>
        <v>17904</v>
      </c>
      <c r="L30" s="37">
        <f t="shared" ref="L30" si="62">L241</f>
        <v>18030</v>
      </c>
      <c r="N30" s="33" t="s">
        <v>7692</v>
      </c>
    </row>
    <row r="31" spans="1:14" ht="15.75" thickBot="1">
      <c r="D31" s="37">
        <f t="shared" ref="D31:I31" si="63">D29+D30</f>
        <v>74855</v>
      </c>
      <c r="E31" s="37">
        <f t="shared" si="63"/>
        <v>78170</v>
      </c>
      <c r="F31" s="37">
        <f t="shared" si="63"/>
        <v>79640</v>
      </c>
      <c r="G31" s="37">
        <f t="shared" si="63"/>
        <v>77722</v>
      </c>
      <c r="H31" s="37">
        <f t="shared" si="63"/>
        <v>77966</v>
      </c>
      <c r="I31" s="37">
        <f t="shared" si="63"/>
        <v>70361</v>
      </c>
      <c r="J31" s="37">
        <f t="shared" ref="J31:K31" si="64">J29+J30</f>
        <v>67846</v>
      </c>
      <c r="K31" s="37">
        <f t="shared" si="64"/>
        <v>71600</v>
      </c>
      <c r="L31" s="37">
        <f t="shared" ref="L31" si="65">L29+L30</f>
        <v>72647</v>
      </c>
    </row>
    <row r="32" spans="1:14">
      <c r="D32" s="39"/>
      <c r="E32" s="39"/>
      <c r="F32" s="39"/>
      <c r="G32" s="39"/>
      <c r="H32" s="39"/>
      <c r="I32" s="39"/>
      <c r="J32" s="39"/>
      <c r="K32" s="39"/>
      <c r="L32" s="39"/>
    </row>
    <row r="33" spans="1:14">
      <c r="A33" s="33" t="s">
        <v>7699</v>
      </c>
      <c r="D33" s="40">
        <f t="shared" ref="D33:I33" si="66">D106</f>
        <v>47003</v>
      </c>
      <c r="E33" s="40">
        <f t="shared" si="66"/>
        <v>48840</v>
      </c>
      <c r="F33" s="40">
        <f t="shared" si="66"/>
        <v>49728</v>
      </c>
      <c r="G33" s="40">
        <f t="shared" si="66"/>
        <v>49295</v>
      </c>
      <c r="H33" s="40">
        <f t="shared" si="66"/>
        <v>49395</v>
      </c>
      <c r="I33" s="40">
        <f t="shared" si="66"/>
        <v>46573</v>
      </c>
      <c r="J33" s="40">
        <f t="shared" ref="J33:K33" si="67">J106</f>
        <v>45279</v>
      </c>
      <c r="K33" s="40">
        <f t="shared" si="67"/>
        <v>47315</v>
      </c>
      <c r="L33" s="40">
        <f t="shared" ref="L33" si="68">L106</f>
        <v>48024</v>
      </c>
      <c r="N33" s="33" t="s">
        <v>7698</v>
      </c>
    </row>
    <row r="34" spans="1:14" ht="15.75" thickBot="1">
      <c r="D34" s="37">
        <f t="shared" ref="D34:I34" si="69">D171</f>
        <v>24581</v>
      </c>
      <c r="E34" s="37">
        <f t="shared" si="69"/>
        <v>24376</v>
      </c>
      <c r="F34" s="37">
        <f t="shared" si="69"/>
        <v>23420</v>
      </c>
      <c r="G34" s="37">
        <f t="shared" si="69"/>
        <v>24342</v>
      </c>
      <c r="H34" s="37">
        <f t="shared" si="69"/>
        <v>24325</v>
      </c>
      <c r="I34" s="37">
        <f t="shared" si="69"/>
        <v>24108</v>
      </c>
      <c r="J34" s="37">
        <f t="shared" ref="J34:K34" si="70">J171</f>
        <v>24430</v>
      </c>
      <c r="K34" s="37">
        <f t="shared" si="70"/>
        <v>24957</v>
      </c>
      <c r="L34" s="37">
        <f t="shared" ref="L34" si="71">L171</f>
        <v>24982</v>
      </c>
      <c r="N34" s="33" t="s">
        <v>7696</v>
      </c>
    </row>
    <row r="35" spans="1:14" ht="15.75" thickBot="1">
      <c r="D35" s="37">
        <f t="shared" ref="D35:I35" si="72">D33+D34</f>
        <v>71584</v>
      </c>
      <c r="E35" s="37">
        <f t="shared" si="72"/>
        <v>73216</v>
      </c>
      <c r="F35" s="37">
        <f t="shared" si="72"/>
        <v>73148</v>
      </c>
      <c r="G35" s="37">
        <f t="shared" si="72"/>
        <v>73637</v>
      </c>
      <c r="H35" s="37">
        <f t="shared" si="72"/>
        <v>73720</v>
      </c>
      <c r="I35" s="37">
        <f t="shared" si="72"/>
        <v>70681</v>
      </c>
      <c r="J35" s="37">
        <f t="shared" ref="J35:K35" si="73">J33+J34</f>
        <v>69709</v>
      </c>
      <c r="K35" s="37">
        <f t="shared" si="73"/>
        <v>72272</v>
      </c>
      <c r="L35" s="37">
        <f t="shared" ref="L35" si="74">L33+L34</f>
        <v>73006</v>
      </c>
    </row>
    <row r="36" spans="1:14">
      <c r="D36" s="39"/>
      <c r="E36" s="39"/>
      <c r="F36" s="39"/>
      <c r="G36" s="39"/>
      <c r="H36" s="39"/>
      <c r="I36" s="39"/>
      <c r="J36" s="39"/>
      <c r="K36" s="39"/>
      <c r="L36" s="39"/>
    </row>
    <row r="37" spans="1:14">
      <c r="A37" s="33" t="s">
        <v>7700</v>
      </c>
      <c r="D37" s="36">
        <f t="shared" ref="D37:I37" si="75">D130</f>
        <v>78477</v>
      </c>
      <c r="E37" s="36">
        <f t="shared" si="75"/>
        <v>81327</v>
      </c>
      <c r="F37" s="36">
        <f t="shared" si="75"/>
        <v>81937</v>
      </c>
      <c r="G37" s="36">
        <f t="shared" si="75"/>
        <v>83197</v>
      </c>
      <c r="H37" s="36">
        <f t="shared" si="75"/>
        <v>84564</v>
      </c>
      <c r="I37" s="36">
        <f t="shared" si="75"/>
        <v>83990</v>
      </c>
      <c r="J37" s="36">
        <f t="shared" ref="J37:K37" si="76">J130</f>
        <v>76668</v>
      </c>
      <c r="K37" s="36">
        <f t="shared" si="76"/>
        <v>80827</v>
      </c>
      <c r="L37" s="36">
        <f t="shared" ref="L37" si="77">L130</f>
        <v>80679</v>
      </c>
      <c r="N37" s="33" t="s">
        <v>7701</v>
      </c>
    </row>
    <row r="38" spans="1:14">
      <c r="D38" s="39"/>
      <c r="E38" s="39"/>
      <c r="F38" s="39"/>
      <c r="G38" s="39"/>
      <c r="H38" s="39"/>
      <c r="I38" s="39"/>
      <c r="J38" s="39"/>
      <c r="K38" s="39"/>
      <c r="L38" s="39"/>
    </row>
    <row r="39" spans="1:14">
      <c r="A39" s="33" t="s">
        <v>7713</v>
      </c>
      <c r="D39" s="36">
        <f t="shared" ref="D39:I39" si="78">D80</f>
        <v>19733</v>
      </c>
      <c r="E39" s="36">
        <f t="shared" si="78"/>
        <v>19998</v>
      </c>
      <c r="F39" s="36">
        <f t="shared" si="78"/>
        <v>20216</v>
      </c>
      <c r="G39" s="36">
        <f t="shared" si="78"/>
        <v>20457</v>
      </c>
      <c r="H39" s="36">
        <f t="shared" si="78"/>
        <v>20522</v>
      </c>
      <c r="I39" s="36">
        <f t="shared" si="78"/>
        <v>19900</v>
      </c>
      <c r="J39" s="36">
        <f t="shared" ref="J39:K39" si="79">J80</f>
        <v>20049</v>
      </c>
      <c r="K39" s="36">
        <f t="shared" si="79"/>
        <v>20720</v>
      </c>
      <c r="L39" s="36">
        <f t="shared" ref="L39" si="80">L80</f>
        <v>21215</v>
      </c>
      <c r="N39" s="33" t="s">
        <v>7691</v>
      </c>
    </row>
    <row r="40" spans="1:14">
      <c r="D40" s="36">
        <f t="shared" ref="D40:I40" si="81">D131</f>
        <v>3528</v>
      </c>
      <c r="E40" s="36">
        <f t="shared" si="81"/>
        <v>3581</v>
      </c>
      <c r="F40" s="36">
        <f t="shared" si="81"/>
        <v>3757</v>
      </c>
      <c r="G40" s="36">
        <f t="shared" si="81"/>
        <v>3827</v>
      </c>
      <c r="H40" s="36">
        <f t="shared" si="81"/>
        <v>3869</v>
      </c>
      <c r="I40" s="36">
        <f t="shared" si="81"/>
        <v>3782</v>
      </c>
      <c r="J40" s="36">
        <f t="shared" ref="J40:K40" si="82">J131</f>
        <v>3404</v>
      </c>
      <c r="K40" s="36">
        <f t="shared" si="82"/>
        <v>3651</v>
      </c>
      <c r="L40" s="36">
        <f t="shared" ref="L40" si="83">L131</f>
        <v>3632</v>
      </c>
      <c r="N40" s="33" t="s">
        <v>7701</v>
      </c>
    </row>
    <row r="41" spans="1:14" ht="15.75" thickBot="1">
      <c r="D41" s="37">
        <f t="shared" ref="D41:I41" si="84">D205</f>
        <v>45640</v>
      </c>
      <c r="E41" s="37">
        <f t="shared" si="84"/>
        <v>47054</v>
      </c>
      <c r="F41" s="37">
        <f t="shared" si="84"/>
        <v>47672</v>
      </c>
      <c r="G41" s="37">
        <f t="shared" si="84"/>
        <v>47608</v>
      </c>
      <c r="H41" s="37">
        <f t="shared" si="84"/>
        <v>47704</v>
      </c>
      <c r="I41" s="37">
        <f t="shared" si="84"/>
        <v>46323</v>
      </c>
      <c r="J41" s="37">
        <f t="shared" ref="J41:K41" si="85">J205</f>
        <v>45381</v>
      </c>
      <c r="K41" s="37">
        <f t="shared" si="85"/>
        <v>47825</v>
      </c>
      <c r="L41" s="37">
        <f t="shared" ref="L41" si="86">L205</f>
        <v>48289</v>
      </c>
      <c r="N41" s="33" t="s">
        <v>7694</v>
      </c>
    </row>
    <row r="42" spans="1:14" ht="15.75" thickBot="1">
      <c r="D42" s="37">
        <f t="shared" ref="D42:I42" si="87">SUM(D39:D41)</f>
        <v>68901</v>
      </c>
      <c r="E42" s="37">
        <f t="shared" si="87"/>
        <v>70633</v>
      </c>
      <c r="F42" s="37">
        <f t="shared" si="87"/>
        <v>71645</v>
      </c>
      <c r="G42" s="37">
        <f t="shared" si="87"/>
        <v>71892</v>
      </c>
      <c r="H42" s="37">
        <f t="shared" si="87"/>
        <v>72095</v>
      </c>
      <c r="I42" s="37">
        <f t="shared" si="87"/>
        <v>70005</v>
      </c>
      <c r="J42" s="37">
        <f t="shared" ref="J42:K42" si="88">SUM(J39:J41)</f>
        <v>68834</v>
      </c>
      <c r="K42" s="37">
        <f t="shared" si="88"/>
        <v>72196</v>
      </c>
      <c r="L42" s="37">
        <f t="shared" ref="L42" si="89">SUM(L39:L41)</f>
        <v>73136</v>
      </c>
    </row>
    <row r="43" spans="1:14">
      <c r="D43" s="39"/>
      <c r="E43" s="39"/>
      <c r="F43" s="39"/>
      <c r="G43" s="39"/>
      <c r="H43" s="39"/>
      <c r="I43" s="39"/>
      <c r="J43" s="39"/>
      <c r="K43" s="39"/>
      <c r="L43" s="39"/>
    </row>
    <row r="44" spans="1:14">
      <c r="A44" s="33" t="s">
        <v>7714</v>
      </c>
      <c r="D44" s="36">
        <f t="shared" ref="D44:I44" si="90">D172</f>
        <v>10786</v>
      </c>
      <c r="E44" s="36">
        <f t="shared" si="90"/>
        <v>10791</v>
      </c>
      <c r="F44" s="36">
        <f t="shared" si="90"/>
        <v>10662</v>
      </c>
      <c r="G44" s="36">
        <f t="shared" si="90"/>
        <v>10968</v>
      </c>
      <c r="H44" s="36">
        <f t="shared" si="90"/>
        <v>10900</v>
      </c>
      <c r="I44" s="36">
        <f t="shared" si="90"/>
        <v>10865</v>
      </c>
      <c r="J44" s="36">
        <f t="shared" ref="J44:K44" si="91">J172</f>
        <v>11076</v>
      </c>
      <c r="K44" s="36">
        <f t="shared" si="91"/>
        <v>11377</v>
      </c>
      <c r="L44" s="36">
        <f t="shared" ref="L44" si="92">L172</f>
        <v>11301</v>
      </c>
      <c r="N44" s="33" t="s">
        <v>7696</v>
      </c>
    </row>
    <row r="45" spans="1:14" ht="15.75" thickBot="1">
      <c r="D45" s="37">
        <f t="shared" ref="D45:I45" si="93">D242</f>
        <v>65592</v>
      </c>
      <c r="E45" s="37">
        <f t="shared" si="93"/>
        <v>65095</v>
      </c>
      <c r="F45" s="37">
        <f t="shared" si="93"/>
        <v>65707</v>
      </c>
      <c r="G45" s="37">
        <f t="shared" si="93"/>
        <v>66303</v>
      </c>
      <c r="H45" s="37">
        <f t="shared" si="93"/>
        <v>66737</v>
      </c>
      <c r="I45" s="37">
        <f t="shared" si="93"/>
        <v>65264</v>
      </c>
      <c r="J45" s="37">
        <f t="shared" ref="J45:K45" si="94">J242</f>
        <v>65829</v>
      </c>
      <c r="K45" s="37">
        <f t="shared" si="94"/>
        <v>68168</v>
      </c>
      <c r="L45" s="37">
        <f t="shared" ref="L45" si="95">L242</f>
        <v>67545</v>
      </c>
      <c r="N45" s="33" t="s">
        <v>7692</v>
      </c>
    </row>
    <row r="46" spans="1:14" ht="15.75" thickBot="1">
      <c r="D46" s="37">
        <f t="shared" ref="D46:I46" si="96">D44+D45</f>
        <v>76378</v>
      </c>
      <c r="E46" s="37">
        <f t="shared" si="96"/>
        <v>75886</v>
      </c>
      <c r="F46" s="37">
        <f t="shared" si="96"/>
        <v>76369</v>
      </c>
      <c r="G46" s="37">
        <f t="shared" si="96"/>
        <v>77271</v>
      </c>
      <c r="H46" s="37">
        <f t="shared" si="96"/>
        <v>77637</v>
      </c>
      <c r="I46" s="37">
        <f t="shared" si="96"/>
        <v>76129</v>
      </c>
      <c r="J46" s="37">
        <f t="shared" ref="J46:K46" si="97">J44+J45</f>
        <v>76905</v>
      </c>
      <c r="K46" s="37">
        <f t="shared" si="97"/>
        <v>79545</v>
      </c>
      <c r="L46" s="37">
        <f t="shared" ref="L46" si="98">L44+L45</f>
        <v>78846</v>
      </c>
    </row>
    <row r="47" spans="1:14">
      <c r="D47" s="39"/>
      <c r="E47" s="39"/>
      <c r="F47" s="39"/>
      <c r="G47" s="39"/>
      <c r="H47" s="39"/>
      <c r="I47" s="39"/>
      <c r="J47" s="39"/>
      <c r="K47" s="39"/>
      <c r="L47" s="39"/>
    </row>
    <row r="48" spans="1:14">
      <c r="A48" s="33" t="s">
        <v>8697</v>
      </c>
      <c r="D48" s="36">
        <f t="shared" ref="D48:I48" si="99">D21+D25+D27+D31+D35+D37+D42+D46</f>
        <v>598178</v>
      </c>
      <c r="E48" s="36">
        <f t="shared" si="99"/>
        <v>608648</v>
      </c>
      <c r="F48" s="36">
        <f t="shared" si="99"/>
        <v>612353</v>
      </c>
      <c r="G48" s="36">
        <f t="shared" si="99"/>
        <v>616247</v>
      </c>
      <c r="H48" s="36">
        <f t="shared" si="99"/>
        <v>617641</v>
      </c>
      <c r="I48" s="36">
        <f t="shared" si="99"/>
        <v>598025</v>
      </c>
      <c r="J48" s="36">
        <f t="shared" ref="J48:K48" si="100">J21+J25+J27+J31+J35+J37+J42+J46</f>
        <v>587676</v>
      </c>
      <c r="K48" s="36">
        <f t="shared" si="100"/>
        <v>611598</v>
      </c>
      <c r="L48" s="36">
        <f t="shared" ref="L48" si="101">L21+L25+L27+L31+L35+L37+L42+L46</f>
        <v>614008</v>
      </c>
    </row>
    <row r="49" spans="1:17">
      <c r="D49" s="39"/>
      <c r="E49" s="39"/>
      <c r="F49" s="39"/>
      <c r="G49" s="39"/>
      <c r="H49" s="39"/>
      <c r="I49" s="39"/>
      <c r="J49" s="39"/>
      <c r="K49" s="39"/>
      <c r="L49" s="39"/>
    </row>
    <row r="50" spans="1:17">
      <c r="A50" s="33" t="s">
        <v>8698</v>
      </c>
      <c r="D50" s="36">
        <f t="shared" ref="D50:I50" si="102">MAX(D21,D25,D27,D31,D35,D37,D42,D46)-MIN(D21,D25,D27,D31,D35,D37,D42,D46)</f>
        <v>9576</v>
      </c>
      <c r="E50" s="36">
        <f t="shared" si="102"/>
        <v>10694</v>
      </c>
      <c r="F50" s="36">
        <f t="shared" si="102"/>
        <v>10292</v>
      </c>
      <c r="G50" s="36">
        <f t="shared" si="102"/>
        <v>11305</v>
      </c>
      <c r="H50" s="36">
        <f t="shared" si="102"/>
        <v>12469</v>
      </c>
      <c r="I50" s="36">
        <f t="shared" si="102"/>
        <v>13985</v>
      </c>
      <c r="J50" s="36">
        <f t="shared" ref="J50:K50" si="103">MAX(J21,J25,J27,J31,J35,J37,J42,J46)-MIN(J21,J25,J27,J31,J35,J37,J42,J46)</f>
        <v>11117</v>
      </c>
      <c r="K50" s="36">
        <f t="shared" si="103"/>
        <v>10218</v>
      </c>
      <c r="L50" s="36">
        <f t="shared" ref="L50" si="104">MAX(L21,L25,L27,L31,L35,L37,L42,L46)-MIN(L21,L25,L27,L31,L35,L37,L42,L46)</f>
        <v>9387</v>
      </c>
    </row>
    <row r="51" spans="1:17">
      <c r="D51" s="39"/>
      <c r="E51" s="39"/>
      <c r="F51" s="39"/>
      <c r="G51" s="39"/>
      <c r="H51" s="39"/>
      <c r="I51" s="39"/>
      <c r="J51" s="39"/>
      <c r="K51" s="39"/>
      <c r="L51" s="39"/>
    </row>
    <row r="52" spans="1:17">
      <c r="A52" s="33" t="s">
        <v>8701</v>
      </c>
      <c r="D52" s="36">
        <f t="shared" ref="D52:I52" si="105">STDEVP(D21,D25,D27,D31,D35,D37,D42,D46)</f>
        <v>3244.1060305575711</v>
      </c>
      <c r="E52" s="36">
        <f t="shared" si="105"/>
        <v>3148.6697588029137</v>
      </c>
      <c r="F52" s="36">
        <f t="shared" si="105"/>
        <v>3130.2622269348299</v>
      </c>
      <c r="G52" s="36">
        <f t="shared" si="105"/>
        <v>3280.9797864929005</v>
      </c>
      <c r="H52" s="36">
        <f t="shared" si="105"/>
        <v>3637.6203910489339</v>
      </c>
      <c r="I52" s="36">
        <f t="shared" si="105"/>
        <v>4444.5175339259267</v>
      </c>
      <c r="J52" s="36">
        <f t="shared" ref="J52:K52" si="106">STDEVP(J21,J25,J27,J31,J35,J37,J42,J46)</f>
        <v>4093.0412592594275</v>
      </c>
      <c r="K52" s="36">
        <f t="shared" si="106"/>
        <v>3927.4663509061411</v>
      </c>
      <c r="L52" s="36">
        <f t="shared" ref="L52" si="107">STDEVP(L21,L25,L27,L31,L35,L37,L42,L46)</f>
        <v>3513.1561308885775</v>
      </c>
    </row>
    <row r="53" spans="1:17">
      <c r="A53" s="33"/>
      <c r="D53" s="36"/>
      <c r="E53" s="36"/>
      <c r="F53" s="36"/>
      <c r="G53" s="36"/>
      <c r="H53" s="36"/>
      <c r="I53" s="36"/>
      <c r="J53" s="36"/>
      <c r="K53" s="36"/>
      <c r="L53" s="36"/>
    </row>
    <row r="54" spans="1:17">
      <c r="A54" s="33" t="s">
        <v>7715</v>
      </c>
      <c r="D54" s="38"/>
      <c r="E54" s="38"/>
      <c r="F54" s="38"/>
      <c r="G54" s="38"/>
      <c r="H54" s="38"/>
      <c r="I54" s="38"/>
      <c r="J54" s="38"/>
      <c r="K54" s="38"/>
      <c r="L54" s="38"/>
    </row>
    <row r="55" spans="1:17">
      <c r="A55" s="41"/>
    </row>
    <row r="56" spans="1:17">
      <c r="A56" s="33"/>
    </row>
    <row r="57" spans="1:17">
      <c r="E57" s="42" t="s">
        <v>2303</v>
      </c>
      <c r="F57" s="42"/>
      <c r="G57" s="42"/>
      <c r="H57" s="42"/>
      <c r="I57" s="42"/>
      <c r="J57" s="42"/>
      <c r="K57" s="42"/>
      <c r="L57" s="42"/>
      <c r="M57" s="43"/>
      <c r="N57" s="25" t="s">
        <v>13319</v>
      </c>
    </row>
    <row r="58" spans="1:17">
      <c r="D58" s="42">
        <v>2010</v>
      </c>
      <c r="E58" s="42">
        <v>2011</v>
      </c>
      <c r="F58" s="42">
        <v>2012</v>
      </c>
      <c r="G58" s="42">
        <v>2013</v>
      </c>
      <c r="H58" s="42">
        <v>2014</v>
      </c>
      <c r="I58" s="42">
        <v>2015</v>
      </c>
      <c r="J58" s="42">
        <v>2016</v>
      </c>
      <c r="K58" s="42">
        <v>2017</v>
      </c>
      <c r="L58" s="42">
        <v>2018</v>
      </c>
      <c r="N58" s="44" t="s">
        <v>2304</v>
      </c>
    </row>
    <row r="59" spans="1:17">
      <c r="A59" s="33" t="s">
        <v>4088</v>
      </c>
      <c r="C59" s="33"/>
      <c r="D59" s="36">
        <f t="shared" ref="D59:I59" si="108">SUM(D60:D77)</f>
        <v>81831</v>
      </c>
      <c r="E59" s="36">
        <f t="shared" si="108"/>
        <v>82764</v>
      </c>
      <c r="F59" s="36">
        <f t="shared" si="108"/>
        <v>82926</v>
      </c>
      <c r="G59" s="36">
        <f t="shared" si="108"/>
        <v>83644</v>
      </c>
      <c r="H59" s="36">
        <f t="shared" si="108"/>
        <v>84240</v>
      </c>
      <c r="I59" s="36">
        <f t="shared" si="108"/>
        <v>81494</v>
      </c>
      <c r="J59" s="36">
        <f t="shared" ref="J59:K59" si="109">SUM(J60:J77)</f>
        <v>82150</v>
      </c>
      <c r="K59" s="36">
        <f t="shared" si="109"/>
        <v>84176</v>
      </c>
      <c r="L59" s="36">
        <f t="shared" ref="L59" si="110">SUM(L60:L77)</f>
        <v>85182</v>
      </c>
    </row>
    <row r="60" spans="1:17">
      <c r="A60" s="33" t="s">
        <v>6957</v>
      </c>
      <c r="B60" s="33" t="s">
        <v>7716</v>
      </c>
      <c r="C60" s="4" t="s">
        <v>9863</v>
      </c>
      <c r="D60" s="36">
        <v>3999</v>
      </c>
      <c r="E60" s="36">
        <v>4034</v>
      </c>
      <c r="F60" s="36">
        <v>4049</v>
      </c>
      <c r="G60" s="30">
        <v>4081</v>
      </c>
      <c r="H60" s="30">
        <v>4098</v>
      </c>
      <c r="I60" s="30">
        <v>3937</v>
      </c>
      <c r="J60" s="30">
        <v>3967</v>
      </c>
      <c r="K60" s="30">
        <v>4041</v>
      </c>
      <c r="L60" s="30">
        <v>4051</v>
      </c>
      <c r="N60" s="33" t="s">
        <v>7713</v>
      </c>
      <c r="O60" s="4"/>
      <c r="Q60" s="4"/>
    </row>
    <row r="61" spans="1:17">
      <c r="A61" s="33" t="s">
        <v>6959</v>
      </c>
      <c r="B61" s="33" t="s">
        <v>7717</v>
      </c>
      <c r="C61" s="4" t="s">
        <v>9864</v>
      </c>
      <c r="D61" s="36">
        <v>6227</v>
      </c>
      <c r="E61" s="36">
        <v>6355</v>
      </c>
      <c r="F61" s="36">
        <v>6513</v>
      </c>
      <c r="G61" s="31">
        <v>6576</v>
      </c>
      <c r="H61" s="31">
        <v>6595</v>
      </c>
      <c r="I61" s="31">
        <v>6404</v>
      </c>
      <c r="J61" s="31">
        <v>6444</v>
      </c>
      <c r="K61" s="31">
        <v>6755</v>
      </c>
      <c r="L61" s="31">
        <v>7123</v>
      </c>
      <c r="N61" s="33" t="s">
        <v>7713</v>
      </c>
      <c r="O61" s="4"/>
      <c r="Q61" s="4"/>
    </row>
    <row r="62" spans="1:17">
      <c r="A62" s="33" t="s">
        <v>6961</v>
      </c>
      <c r="B62" s="33" t="s">
        <v>8577</v>
      </c>
      <c r="C62" s="4" t="s">
        <v>9865</v>
      </c>
      <c r="D62" s="36">
        <v>4255</v>
      </c>
      <c r="E62" s="36">
        <v>4278</v>
      </c>
      <c r="F62" s="36">
        <v>4251</v>
      </c>
      <c r="G62" s="30">
        <v>4259</v>
      </c>
      <c r="H62" s="30">
        <v>4288</v>
      </c>
      <c r="I62" s="30">
        <v>4135</v>
      </c>
      <c r="J62" s="30">
        <v>4110</v>
      </c>
      <c r="K62" s="30">
        <v>4211</v>
      </c>
      <c r="L62" s="30">
        <v>4283</v>
      </c>
      <c r="N62" s="33" t="s">
        <v>7690</v>
      </c>
      <c r="O62" s="4"/>
      <c r="Q62" s="4"/>
    </row>
    <row r="63" spans="1:17">
      <c r="A63" s="33" t="s">
        <v>6963</v>
      </c>
      <c r="B63" s="33" t="s">
        <v>8578</v>
      </c>
      <c r="C63" s="4" t="s">
        <v>9866</v>
      </c>
      <c r="D63" s="36">
        <v>3901</v>
      </c>
      <c r="E63" s="36">
        <v>3893</v>
      </c>
      <c r="F63" s="36">
        <v>3897</v>
      </c>
      <c r="G63" s="30">
        <v>3878</v>
      </c>
      <c r="H63" s="30">
        <v>3922</v>
      </c>
      <c r="I63" s="30">
        <v>3798</v>
      </c>
      <c r="J63" s="30">
        <v>3797</v>
      </c>
      <c r="K63" s="30">
        <v>3881</v>
      </c>
      <c r="L63" s="30">
        <v>3890</v>
      </c>
      <c r="N63" s="33" t="s">
        <v>7690</v>
      </c>
      <c r="O63" s="4"/>
      <c r="Q63" s="4"/>
    </row>
    <row r="64" spans="1:17">
      <c r="A64" s="33" t="s">
        <v>6965</v>
      </c>
      <c r="B64" s="33" t="s">
        <v>8579</v>
      </c>
      <c r="C64" s="4" t="s">
        <v>9867</v>
      </c>
      <c r="D64" s="36">
        <v>4580</v>
      </c>
      <c r="E64" s="36">
        <v>4638</v>
      </c>
      <c r="F64" s="36">
        <v>3925</v>
      </c>
      <c r="G64" s="30">
        <v>3977</v>
      </c>
      <c r="H64" s="30">
        <v>3948</v>
      </c>
      <c r="I64" s="30">
        <v>3868</v>
      </c>
      <c r="J64" s="30">
        <v>3852</v>
      </c>
      <c r="K64" s="30">
        <v>3847</v>
      </c>
      <c r="L64" s="30">
        <v>3838</v>
      </c>
      <c r="N64" s="33" t="s">
        <v>7690</v>
      </c>
      <c r="O64" s="4"/>
      <c r="Q64" s="4"/>
    </row>
    <row r="65" spans="1:17">
      <c r="A65" s="33" t="s">
        <v>6997</v>
      </c>
      <c r="B65" s="33" t="s">
        <v>8580</v>
      </c>
      <c r="C65" s="4" t="s">
        <v>9868</v>
      </c>
      <c r="D65" s="36">
        <v>5675</v>
      </c>
      <c r="E65" s="36">
        <v>5704</v>
      </c>
      <c r="F65" s="36">
        <v>5770</v>
      </c>
      <c r="G65" s="30">
        <v>5785</v>
      </c>
      <c r="H65" s="30">
        <v>5735</v>
      </c>
      <c r="I65" s="30">
        <v>5519</v>
      </c>
      <c r="J65" s="30">
        <v>5575</v>
      </c>
      <c r="K65" s="30">
        <v>5601</v>
      </c>
      <c r="L65" s="30">
        <v>5620</v>
      </c>
      <c r="N65" s="33" t="s">
        <v>7690</v>
      </c>
      <c r="O65" s="4"/>
      <c r="Q65" s="4"/>
    </row>
    <row r="66" spans="1:17">
      <c r="A66" s="33" t="s">
        <v>6999</v>
      </c>
      <c r="B66" s="33" t="s">
        <v>8581</v>
      </c>
      <c r="C66" s="4" t="s">
        <v>9869</v>
      </c>
      <c r="D66" s="36">
        <v>3851</v>
      </c>
      <c r="E66" s="36">
        <v>3849</v>
      </c>
      <c r="F66" s="36">
        <v>3853</v>
      </c>
      <c r="G66" s="30">
        <v>3853</v>
      </c>
      <c r="H66" s="30">
        <v>3965</v>
      </c>
      <c r="I66" s="30">
        <v>3823</v>
      </c>
      <c r="J66" s="30">
        <v>3932</v>
      </c>
      <c r="K66" s="30">
        <v>4040</v>
      </c>
      <c r="L66" s="30">
        <v>4037</v>
      </c>
      <c r="N66" s="33" t="s">
        <v>7690</v>
      </c>
      <c r="O66" s="4"/>
      <c r="Q66" s="4"/>
    </row>
    <row r="67" spans="1:17">
      <c r="A67" s="33" t="s">
        <v>7001</v>
      </c>
      <c r="B67" s="33" t="s">
        <v>8582</v>
      </c>
      <c r="C67" s="4" t="s">
        <v>9870</v>
      </c>
      <c r="D67" s="36">
        <v>3623</v>
      </c>
      <c r="E67" s="36">
        <v>3947</v>
      </c>
      <c r="F67" s="36">
        <v>4099</v>
      </c>
      <c r="G67" s="30">
        <v>4452</v>
      </c>
      <c r="H67" s="30">
        <v>4883</v>
      </c>
      <c r="I67" s="30">
        <v>4831</v>
      </c>
      <c r="J67" s="30">
        <v>4928</v>
      </c>
      <c r="K67" s="30">
        <v>5175</v>
      </c>
      <c r="L67" s="30">
        <v>5240</v>
      </c>
      <c r="N67" s="33" t="s">
        <v>7690</v>
      </c>
      <c r="O67" s="4"/>
      <c r="Q67" s="4"/>
    </row>
    <row r="68" spans="1:17">
      <c r="A68" s="33" t="s">
        <v>7003</v>
      </c>
      <c r="B68" s="33" t="s">
        <v>7667</v>
      </c>
      <c r="C68" s="4" t="s">
        <v>9871</v>
      </c>
      <c r="D68" s="36">
        <v>3761</v>
      </c>
      <c r="E68" s="36">
        <v>3759</v>
      </c>
      <c r="F68" s="36">
        <v>3761</v>
      </c>
      <c r="G68" s="30">
        <v>3779</v>
      </c>
      <c r="H68" s="30">
        <v>3767</v>
      </c>
      <c r="I68" s="30">
        <v>3617</v>
      </c>
      <c r="J68" s="30">
        <v>3577</v>
      </c>
      <c r="K68" s="30">
        <v>3660</v>
      </c>
      <c r="L68" s="30">
        <v>3661</v>
      </c>
      <c r="N68" s="33" t="s">
        <v>7690</v>
      </c>
      <c r="O68" s="4"/>
      <c r="Q68" s="4"/>
    </row>
    <row r="69" spans="1:17">
      <c r="A69" s="33" t="s">
        <v>7005</v>
      </c>
      <c r="B69" s="33" t="s">
        <v>7668</v>
      </c>
      <c r="C69" s="4" t="s">
        <v>9872</v>
      </c>
      <c r="D69" s="36">
        <v>5992</v>
      </c>
      <c r="E69" s="36">
        <v>5981</v>
      </c>
      <c r="F69" s="36">
        <v>6035</v>
      </c>
      <c r="G69" s="30">
        <v>6019</v>
      </c>
      <c r="H69" s="30">
        <v>6022</v>
      </c>
      <c r="I69" s="30">
        <v>5830</v>
      </c>
      <c r="J69" s="30">
        <v>5778</v>
      </c>
      <c r="K69" s="30">
        <v>5853</v>
      </c>
      <c r="L69" s="30">
        <v>5846</v>
      </c>
      <c r="N69" s="33" t="s">
        <v>7690</v>
      </c>
      <c r="O69" s="4"/>
      <c r="Q69" s="4"/>
    </row>
    <row r="70" spans="1:17">
      <c r="A70" s="33" t="s">
        <v>7007</v>
      </c>
      <c r="B70" s="33" t="s">
        <v>7669</v>
      </c>
      <c r="C70" s="4" t="s">
        <v>9873</v>
      </c>
      <c r="D70" s="36">
        <v>5586</v>
      </c>
      <c r="E70" s="36">
        <v>5725</v>
      </c>
      <c r="F70" s="36">
        <v>5853</v>
      </c>
      <c r="G70" s="30">
        <v>5967</v>
      </c>
      <c r="H70" s="30">
        <v>6090</v>
      </c>
      <c r="I70" s="30">
        <v>5943</v>
      </c>
      <c r="J70" s="30">
        <v>6112</v>
      </c>
      <c r="K70" s="30">
        <v>6251</v>
      </c>
      <c r="L70" s="30">
        <v>6322</v>
      </c>
      <c r="N70" s="33" t="s">
        <v>7690</v>
      </c>
      <c r="O70" s="4"/>
      <c r="Q70" s="4"/>
    </row>
    <row r="71" spans="1:17">
      <c r="A71" s="33" t="s">
        <v>7009</v>
      </c>
      <c r="B71" s="33" t="s">
        <v>7670</v>
      </c>
      <c r="C71" s="4" t="s">
        <v>9874</v>
      </c>
      <c r="D71" s="36">
        <v>4076</v>
      </c>
      <c r="E71" s="36">
        <v>4174</v>
      </c>
      <c r="F71" s="36">
        <v>4214</v>
      </c>
      <c r="G71" s="30">
        <v>4185</v>
      </c>
      <c r="H71" s="30">
        <v>4085</v>
      </c>
      <c r="I71" s="30">
        <v>3835</v>
      </c>
      <c r="J71" s="30">
        <v>3995</v>
      </c>
      <c r="K71" s="30">
        <v>4111</v>
      </c>
      <c r="L71" s="30">
        <v>4131</v>
      </c>
      <c r="N71" s="33" t="s">
        <v>7690</v>
      </c>
      <c r="O71" s="4"/>
      <c r="Q71" s="4"/>
    </row>
    <row r="72" spans="1:17">
      <c r="A72" s="33" t="s">
        <v>7011</v>
      </c>
      <c r="B72" s="33" t="s">
        <v>7671</v>
      </c>
      <c r="C72" s="4" t="s">
        <v>9875</v>
      </c>
      <c r="D72" s="36">
        <v>3954</v>
      </c>
      <c r="E72" s="36">
        <v>3993</v>
      </c>
      <c r="F72" s="36">
        <v>4118</v>
      </c>
      <c r="G72" s="30">
        <v>4169</v>
      </c>
      <c r="H72" s="30">
        <v>4127</v>
      </c>
      <c r="I72" s="30">
        <v>3945</v>
      </c>
      <c r="J72" s="30">
        <v>3974</v>
      </c>
      <c r="K72" s="30">
        <v>4092</v>
      </c>
      <c r="L72" s="30">
        <v>4131</v>
      </c>
      <c r="N72" s="33" t="s">
        <v>7690</v>
      </c>
      <c r="O72" s="4"/>
      <c r="Q72" s="4"/>
    </row>
    <row r="73" spans="1:17">
      <c r="A73" s="33" t="s">
        <v>7013</v>
      </c>
      <c r="B73" s="33" t="s">
        <v>7814</v>
      </c>
      <c r="C73" s="4" t="s">
        <v>9876</v>
      </c>
      <c r="D73" s="36">
        <v>3921</v>
      </c>
      <c r="E73" s="36">
        <v>3887</v>
      </c>
      <c r="F73" s="36">
        <v>3896</v>
      </c>
      <c r="G73" s="30">
        <v>3853</v>
      </c>
      <c r="H73" s="30">
        <v>3905</v>
      </c>
      <c r="I73" s="30">
        <v>3802</v>
      </c>
      <c r="J73" s="30">
        <v>3814</v>
      </c>
      <c r="K73" s="30">
        <v>3877</v>
      </c>
      <c r="L73" s="30">
        <v>3880</v>
      </c>
      <c r="N73" s="33" t="s">
        <v>7690</v>
      </c>
      <c r="O73" s="4"/>
      <c r="Q73" s="4"/>
    </row>
    <row r="74" spans="1:17">
      <c r="A74" s="33" t="s">
        <v>7015</v>
      </c>
      <c r="B74" s="33" t="s">
        <v>7815</v>
      </c>
      <c r="C74" s="4" t="s">
        <v>9877</v>
      </c>
      <c r="D74" s="36">
        <v>5569</v>
      </c>
      <c r="E74" s="36">
        <v>5550</v>
      </c>
      <c r="F74" s="36">
        <v>5623</v>
      </c>
      <c r="G74" s="30">
        <v>5591</v>
      </c>
      <c r="H74" s="30">
        <v>5594</v>
      </c>
      <c r="I74" s="30">
        <v>5389</v>
      </c>
      <c r="J74" s="30">
        <v>5454</v>
      </c>
      <c r="K74" s="30">
        <v>5520</v>
      </c>
      <c r="L74" s="30">
        <v>5551</v>
      </c>
      <c r="N74" s="33" t="s">
        <v>7690</v>
      </c>
      <c r="O74" s="4"/>
      <c r="Q74" s="4"/>
    </row>
    <row r="75" spans="1:17">
      <c r="A75" s="33" t="s">
        <v>7017</v>
      </c>
      <c r="B75" s="33" t="s">
        <v>7816</v>
      </c>
      <c r="C75" s="4" t="s">
        <v>9878</v>
      </c>
      <c r="D75" s="36">
        <v>5646</v>
      </c>
      <c r="E75" s="36">
        <v>5705</v>
      </c>
      <c r="F75" s="36">
        <v>5760</v>
      </c>
      <c r="G75" s="31">
        <v>5855</v>
      </c>
      <c r="H75" s="31">
        <v>5869</v>
      </c>
      <c r="I75" s="31">
        <v>5697</v>
      </c>
      <c r="J75" s="31">
        <v>5755</v>
      </c>
      <c r="K75" s="31">
        <v>5927</v>
      </c>
      <c r="L75" s="31">
        <v>5958</v>
      </c>
      <c r="N75" s="33" t="s">
        <v>7713</v>
      </c>
      <c r="O75" s="4"/>
      <c r="Q75" s="4"/>
    </row>
    <row r="76" spans="1:17">
      <c r="A76" s="33" t="s">
        <v>7019</v>
      </c>
      <c r="B76" s="33" t="s">
        <v>5989</v>
      </c>
      <c r="C76" s="4" t="s">
        <v>9879</v>
      </c>
      <c r="D76" s="36">
        <v>3354</v>
      </c>
      <c r="E76" s="36">
        <v>3388</v>
      </c>
      <c r="F76" s="36">
        <v>3415</v>
      </c>
      <c r="G76" s="30">
        <v>3420</v>
      </c>
      <c r="H76" s="30">
        <v>3387</v>
      </c>
      <c r="I76" s="30">
        <v>3259</v>
      </c>
      <c r="J76" s="30">
        <v>3203</v>
      </c>
      <c r="K76" s="30">
        <v>3337</v>
      </c>
      <c r="L76" s="30">
        <v>3537</v>
      </c>
      <c r="N76" s="33" t="s">
        <v>7690</v>
      </c>
      <c r="O76" s="4"/>
      <c r="Q76" s="4"/>
    </row>
    <row r="77" spans="1:17">
      <c r="A77" s="33" t="s">
        <v>7021</v>
      </c>
      <c r="B77" s="33" t="s">
        <v>5990</v>
      </c>
      <c r="C77" s="4" t="s">
        <v>9880</v>
      </c>
      <c r="D77" s="36">
        <v>3861</v>
      </c>
      <c r="E77" s="36">
        <v>3904</v>
      </c>
      <c r="F77" s="36">
        <v>3894</v>
      </c>
      <c r="G77" s="31">
        <v>3945</v>
      </c>
      <c r="H77" s="31">
        <v>3960</v>
      </c>
      <c r="I77" s="31">
        <v>3862</v>
      </c>
      <c r="J77" s="31">
        <v>3883</v>
      </c>
      <c r="K77" s="31">
        <v>3997</v>
      </c>
      <c r="L77" s="31">
        <v>4083</v>
      </c>
      <c r="N77" s="33" t="s">
        <v>7713</v>
      </c>
      <c r="O77" s="4"/>
      <c r="Q77" s="4"/>
    </row>
    <row r="78" spans="1:17">
      <c r="D78" s="40"/>
      <c r="E78" s="40"/>
      <c r="F78" s="40"/>
      <c r="G78" s="40"/>
      <c r="H78" s="40"/>
      <c r="I78" s="40"/>
      <c r="J78" s="40"/>
      <c r="K78" s="40"/>
      <c r="L78" s="40"/>
      <c r="N78" s="33"/>
    </row>
    <row r="79" spans="1:17">
      <c r="A79" s="33" t="s">
        <v>5991</v>
      </c>
      <c r="D79" s="36">
        <f t="shared" ref="D79:I79" si="111">SUM(D62:D74)+D76</f>
        <v>62098</v>
      </c>
      <c r="E79" s="36">
        <f t="shared" si="111"/>
        <v>62766</v>
      </c>
      <c r="F79" s="36">
        <f t="shared" si="111"/>
        <v>62710</v>
      </c>
      <c r="G79" s="36">
        <f t="shared" si="111"/>
        <v>63187</v>
      </c>
      <c r="H79" s="36">
        <f t="shared" si="111"/>
        <v>63718</v>
      </c>
      <c r="I79" s="36">
        <f t="shared" si="111"/>
        <v>61594</v>
      </c>
      <c r="J79" s="36">
        <f t="shared" ref="J79:K79" si="112">SUM(J62:J74)+J76</f>
        <v>62101</v>
      </c>
      <c r="K79" s="36">
        <f t="shared" si="112"/>
        <v>63456</v>
      </c>
      <c r="L79" s="36">
        <f t="shared" ref="L79" si="113">SUM(L62:L74)+L76</f>
        <v>63967</v>
      </c>
    </row>
    <row r="80" spans="1:17">
      <c r="A80" s="33" t="s">
        <v>5992</v>
      </c>
      <c r="D80" s="36">
        <f t="shared" ref="D80:I80" si="114">D60+D61+D75+D77</f>
        <v>19733</v>
      </c>
      <c r="E80" s="36">
        <f t="shared" si="114"/>
        <v>19998</v>
      </c>
      <c r="F80" s="36">
        <f t="shared" si="114"/>
        <v>20216</v>
      </c>
      <c r="G80" s="36">
        <f t="shared" si="114"/>
        <v>20457</v>
      </c>
      <c r="H80" s="36">
        <f t="shared" si="114"/>
        <v>20522</v>
      </c>
      <c r="I80" s="36">
        <f t="shared" si="114"/>
        <v>19900</v>
      </c>
      <c r="J80" s="36">
        <f t="shared" ref="J80:K80" si="115">J60+J61+J75+J77</f>
        <v>20049</v>
      </c>
      <c r="K80" s="36">
        <f t="shared" si="115"/>
        <v>20720</v>
      </c>
      <c r="L80" s="36">
        <f t="shared" ref="L80" si="116">L60+L61+L75+L77</f>
        <v>21215</v>
      </c>
    </row>
    <row r="82" spans="1:17">
      <c r="A82" s="33" t="s">
        <v>2422</v>
      </c>
    </row>
    <row r="83" spans="1:17">
      <c r="A83" s="33"/>
    </row>
    <row r="84" spans="1:17">
      <c r="A84" s="33"/>
    </row>
    <row r="85" spans="1:17">
      <c r="E85" s="42" t="s">
        <v>2303</v>
      </c>
      <c r="F85" s="42"/>
      <c r="G85" s="42"/>
      <c r="H85" s="42"/>
      <c r="I85" s="42"/>
      <c r="J85" s="42"/>
      <c r="K85" s="42"/>
      <c r="L85" s="42"/>
      <c r="M85" s="43"/>
      <c r="N85" s="25" t="s">
        <v>13319</v>
      </c>
    </row>
    <row r="86" spans="1:17">
      <c r="D86" s="42">
        <v>2010</v>
      </c>
      <c r="E86" s="42">
        <v>2011</v>
      </c>
      <c r="F86" s="42">
        <v>2012</v>
      </c>
      <c r="G86" s="42">
        <v>2013</v>
      </c>
      <c r="H86" s="42">
        <v>2014</v>
      </c>
      <c r="I86" s="42">
        <v>2015</v>
      </c>
      <c r="J86" s="42">
        <v>2016</v>
      </c>
      <c r="K86" s="42">
        <v>2017</v>
      </c>
      <c r="L86" s="42">
        <v>2018</v>
      </c>
      <c r="N86" s="44" t="s">
        <v>2304</v>
      </c>
    </row>
    <row r="87" spans="1:17">
      <c r="A87" s="33" t="s">
        <v>4089</v>
      </c>
      <c r="D87" s="45">
        <f t="shared" ref="D87:I87" si="117">SUM(D88:D103)</f>
        <v>104169</v>
      </c>
      <c r="E87" s="45">
        <f t="shared" si="117"/>
        <v>109451</v>
      </c>
      <c r="F87" s="45">
        <f t="shared" si="117"/>
        <v>111680</v>
      </c>
      <c r="G87" s="45">
        <f t="shared" si="117"/>
        <v>109811</v>
      </c>
      <c r="H87" s="45">
        <f t="shared" si="117"/>
        <v>110047</v>
      </c>
      <c r="I87" s="45">
        <f t="shared" si="117"/>
        <v>99868</v>
      </c>
      <c r="J87" s="45">
        <f t="shared" ref="J87:K87" si="118">SUM(J88:J103)</f>
        <v>95878</v>
      </c>
      <c r="K87" s="45">
        <f t="shared" si="118"/>
        <v>101011</v>
      </c>
      <c r="L87" s="45">
        <f t="shared" ref="L87" si="119">SUM(L88:L103)</f>
        <v>102641</v>
      </c>
    </row>
    <row r="88" spans="1:17">
      <c r="A88" s="33" t="s">
        <v>6957</v>
      </c>
      <c r="B88" s="33" t="s">
        <v>8199</v>
      </c>
      <c r="C88" s="4" t="s">
        <v>9911</v>
      </c>
      <c r="D88" s="36">
        <v>7045</v>
      </c>
      <c r="E88" s="36">
        <v>8103</v>
      </c>
      <c r="F88" s="36">
        <v>8751</v>
      </c>
      <c r="G88" s="36">
        <v>8515</v>
      </c>
      <c r="H88" s="30">
        <v>8397</v>
      </c>
      <c r="I88" s="30">
        <v>7062</v>
      </c>
      <c r="J88" s="30">
        <v>6707</v>
      </c>
      <c r="K88" s="30">
        <v>7309</v>
      </c>
      <c r="L88" s="30">
        <v>7536</v>
      </c>
      <c r="N88" s="33" t="s">
        <v>7697</v>
      </c>
      <c r="O88" s="4"/>
      <c r="Q88" s="4"/>
    </row>
    <row r="89" spans="1:17">
      <c r="A89" s="33" t="s">
        <v>6959</v>
      </c>
      <c r="B89" s="33" t="s">
        <v>2423</v>
      </c>
      <c r="C89" s="4" t="s">
        <v>9912</v>
      </c>
      <c r="D89" s="40">
        <v>5948</v>
      </c>
      <c r="E89" s="40">
        <v>6333</v>
      </c>
      <c r="F89" s="40">
        <v>6553</v>
      </c>
      <c r="G89" s="40">
        <v>6483</v>
      </c>
      <c r="H89" s="30">
        <v>6761</v>
      </c>
      <c r="I89" s="30">
        <v>6043</v>
      </c>
      <c r="J89" s="30">
        <v>5780</v>
      </c>
      <c r="K89" s="30">
        <v>6090</v>
      </c>
      <c r="L89" s="30">
        <v>6229</v>
      </c>
      <c r="N89" s="33" t="s">
        <v>7699</v>
      </c>
      <c r="O89" s="4"/>
      <c r="Q89" s="4"/>
    </row>
    <row r="90" spans="1:17">
      <c r="A90" s="33" t="s">
        <v>6961</v>
      </c>
      <c r="B90" s="33" t="s">
        <v>2424</v>
      </c>
      <c r="C90" s="4" t="s">
        <v>9913</v>
      </c>
      <c r="D90" s="36">
        <v>6726</v>
      </c>
      <c r="E90" s="36">
        <v>7033</v>
      </c>
      <c r="F90" s="36">
        <v>7174</v>
      </c>
      <c r="G90" s="36">
        <v>7097</v>
      </c>
      <c r="H90" s="30">
        <v>7115</v>
      </c>
      <c r="I90" s="30">
        <v>6620</v>
      </c>
      <c r="J90" s="30">
        <v>6592</v>
      </c>
      <c r="K90" s="30">
        <v>6874</v>
      </c>
      <c r="L90" s="30">
        <v>6908</v>
      </c>
      <c r="N90" s="33" t="s">
        <v>7697</v>
      </c>
      <c r="O90" s="4"/>
      <c r="Q90" s="4"/>
    </row>
    <row r="91" spans="1:17">
      <c r="A91" s="33" t="s">
        <v>6963</v>
      </c>
      <c r="B91" s="33" t="s">
        <v>2425</v>
      </c>
      <c r="C91" s="4" t="s">
        <v>9914</v>
      </c>
      <c r="D91" s="36">
        <v>6965</v>
      </c>
      <c r="E91" s="36">
        <v>7589</v>
      </c>
      <c r="F91" s="36">
        <v>7707</v>
      </c>
      <c r="G91" s="36">
        <v>7695</v>
      </c>
      <c r="H91" s="30">
        <v>8019</v>
      </c>
      <c r="I91" s="30">
        <v>7104</v>
      </c>
      <c r="J91" s="30">
        <v>5476</v>
      </c>
      <c r="K91" s="30">
        <v>5733</v>
      </c>
      <c r="L91" s="30">
        <v>6038</v>
      </c>
      <c r="N91" s="33" t="s">
        <v>7697</v>
      </c>
      <c r="O91" s="4"/>
      <c r="Q91" s="4"/>
    </row>
    <row r="92" spans="1:17">
      <c r="A92" s="33" t="s">
        <v>6965</v>
      </c>
      <c r="B92" s="33" t="s">
        <v>2426</v>
      </c>
      <c r="C92" s="4" t="s">
        <v>9915</v>
      </c>
      <c r="D92" s="36">
        <v>5885</v>
      </c>
      <c r="E92" s="36">
        <v>6312</v>
      </c>
      <c r="F92" s="36">
        <v>6426</v>
      </c>
      <c r="G92" s="36">
        <v>6203</v>
      </c>
      <c r="H92" s="30">
        <v>6375</v>
      </c>
      <c r="I92" s="30">
        <v>5375</v>
      </c>
      <c r="J92" s="30">
        <v>5262</v>
      </c>
      <c r="K92" s="30">
        <v>5628</v>
      </c>
      <c r="L92" s="30">
        <v>5715</v>
      </c>
      <c r="N92" s="33" t="s">
        <v>7697</v>
      </c>
      <c r="O92" s="4"/>
      <c r="Q92" s="4"/>
    </row>
    <row r="93" spans="1:17">
      <c r="A93" s="33" t="s">
        <v>6997</v>
      </c>
      <c r="B93" s="33" t="s">
        <v>2427</v>
      </c>
      <c r="C93" s="4" t="s">
        <v>9916</v>
      </c>
      <c r="D93" s="36">
        <v>7159</v>
      </c>
      <c r="E93" s="36">
        <v>7371</v>
      </c>
      <c r="F93" s="36">
        <v>7306</v>
      </c>
      <c r="G93" s="36">
        <v>7246</v>
      </c>
      <c r="H93" s="30">
        <v>7151</v>
      </c>
      <c r="I93" s="30">
        <v>6825</v>
      </c>
      <c r="J93" s="30">
        <v>6601</v>
      </c>
      <c r="K93" s="30">
        <v>6858</v>
      </c>
      <c r="L93" s="30">
        <v>6942</v>
      </c>
      <c r="N93" s="33" t="s">
        <v>7699</v>
      </c>
      <c r="O93" s="4"/>
      <c r="Q93" s="4"/>
    </row>
    <row r="94" spans="1:17">
      <c r="A94" s="33" t="s">
        <v>6999</v>
      </c>
      <c r="B94" s="33" t="s">
        <v>2439</v>
      </c>
      <c r="C94" s="4" t="s">
        <v>9917</v>
      </c>
      <c r="D94" s="36">
        <v>2483</v>
      </c>
      <c r="E94" s="36">
        <v>2511</v>
      </c>
      <c r="F94" s="36">
        <v>2506</v>
      </c>
      <c r="G94" s="36">
        <v>2484</v>
      </c>
      <c r="H94" s="30">
        <v>2496</v>
      </c>
      <c r="I94" s="30">
        <v>2477</v>
      </c>
      <c r="J94" s="30">
        <v>2392</v>
      </c>
      <c r="K94" s="30">
        <v>2463</v>
      </c>
      <c r="L94" s="30">
        <v>2449</v>
      </c>
      <c r="N94" s="33" t="s">
        <v>7697</v>
      </c>
      <c r="O94" s="4"/>
      <c r="Q94" s="4"/>
    </row>
    <row r="95" spans="1:17">
      <c r="A95" s="33" t="s">
        <v>7001</v>
      </c>
      <c r="B95" s="33" t="s">
        <v>2440</v>
      </c>
      <c r="C95" s="4" t="s">
        <v>9918</v>
      </c>
      <c r="D95" s="36">
        <v>6745</v>
      </c>
      <c r="E95" s="36">
        <v>7114</v>
      </c>
      <c r="F95" s="36">
        <v>7297</v>
      </c>
      <c r="G95" s="36">
        <v>7161</v>
      </c>
      <c r="H95" s="30">
        <v>7019</v>
      </c>
      <c r="I95" s="30">
        <v>6443</v>
      </c>
      <c r="J95" s="30">
        <v>6208</v>
      </c>
      <c r="K95" s="30">
        <v>6604</v>
      </c>
      <c r="L95" s="30">
        <v>6633</v>
      </c>
      <c r="N95" s="33" t="s">
        <v>7699</v>
      </c>
      <c r="O95" s="4"/>
      <c r="Q95" s="4"/>
    </row>
    <row r="96" spans="1:17">
      <c r="A96" s="33" t="s">
        <v>7003</v>
      </c>
      <c r="B96" s="33" t="s">
        <v>2441</v>
      </c>
      <c r="C96" s="4" t="s">
        <v>9919</v>
      </c>
      <c r="D96" s="36">
        <v>6730</v>
      </c>
      <c r="E96" s="36">
        <v>6950</v>
      </c>
      <c r="F96" s="36">
        <v>7155</v>
      </c>
      <c r="G96" s="36">
        <v>7062</v>
      </c>
      <c r="H96" s="30">
        <v>7047</v>
      </c>
      <c r="I96" s="30">
        <v>6669</v>
      </c>
      <c r="J96" s="30">
        <v>6568</v>
      </c>
      <c r="K96" s="30">
        <v>6869</v>
      </c>
      <c r="L96" s="30">
        <v>6997</v>
      </c>
      <c r="N96" s="33" t="s">
        <v>7699</v>
      </c>
      <c r="O96" s="4"/>
      <c r="Q96" s="4"/>
    </row>
    <row r="97" spans="1:17">
      <c r="A97" s="33" t="s">
        <v>7005</v>
      </c>
      <c r="B97" s="33" t="s">
        <v>2442</v>
      </c>
      <c r="C97" s="4" t="s">
        <v>9920</v>
      </c>
      <c r="D97" s="36">
        <v>6917</v>
      </c>
      <c r="E97" s="36">
        <v>7192</v>
      </c>
      <c r="F97" s="36">
        <v>7282</v>
      </c>
      <c r="G97" s="36">
        <v>6913</v>
      </c>
      <c r="H97" s="30">
        <v>6739</v>
      </c>
      <c r="I97" s="30">
        <v>5571</v>
      </c>
      <c r="J97" s="30">
        <v>5587</v>
      </c>
      <c r="K97" s="30">
        <v>6126</v>
      </c>
      <c r="L97" s="30">
        <v>6220</v>
      </c>
      <c r="N97" s="33" t="s">
        <v>7697</v>
      </c>
      <c r="O97" s="4"/>
      <c r="Q97" s="4"/>
    </row>
    <row r="98" spans="1:17">
      <c r="A98" s="33" t="s">
        <v>7007</v>
      </c>
      <c r="B98" s="33" t="s">
        <v>2443</v>
      </c>
      <c r="C98" s="4" t="s">
        <v>9921</v>
      </c>
      <c r="D98" s="36">
        <v>7288</v>
      </c>
      <c r="E98" s="36">
        <v>7463</v>
      </c>
      <c r="F98" s="36">
        <v>7515</v>
      </c>
      <c r="G98" s="36">
        <v>7481</v>
      </c>
      <c r="H98" s="30">
        <v>7441</v>
      </c>
      <c r="I98" s="30">
        <v>7296</v>
      </c>
      <c r="J98" s="30">
        <v>7122</v>
      </c>
      <c r="K98" s="30">
        <v>7304</v>
      </c>
      <c r="L98" s="30">
        <v>7296</v>
      </c>
      <c r="N98" s="33" t="s">
        <v>7697</v>
      </c>
      <c r="O98" s="4"/>
      <c r="Q98" s="4"/>
    </row>
    <row r="99" spans="1:17">
      <c r="A99" s="33" t="s">
        <v>7009</v>
      </c>
      <c r="B99" s="33" t="s">
        <v>2444</v>
      </c>
      <c r="C99" s="4" t="s">
        <v>9922</v>
      </c>
      <c r="D99" s="36">
        <v>6731</v>
      </c>
      <c r="E99" s="36">
        <v>7086</v>
      </c>
      <c r="F99" s="36">
        <v>7309</v>
      </c>
      <c r="G99" s="36">
        <v>6834</v>
      </c>
      <c r="H99" s="30">
        <v>6799</v>
      </c>
      <c r="I99" s="30">
        <v>4610</v>
      </c>
      <c r="J99" s="30">
        <v>4492</v>
      </c>
      <c r="K99" s="30">
        <v>5050</v>
      </c>
      <c r="L99" s="30">
        <v>5306</v>
      </c>
      <c r="N99" s="33" t="s">
        <v>7697</v>
      </c>
      <c r="O99" s="4"/>
      <c r="Q99" s="4"/>
    </row>
    <row r="100" spans="1:17">
      <c r="A100" s="33" t="s">
        <v>7011</v>
      </c>
      <c r="B100" s="33" t="s">
        <v>2445</v>
      </c>
      <c r="C100" s="4" t="s">
        <v>9923</v>
      </c>
      <c r="D100" s="36">
        <v>6042</v>
      </c>
      <c r="E100" s="36">
        <v>6254</v>
      </c>
      <c r="F100" s="36">
        <v>6311</v>
      </c>
      <c r="G100" s="36">
        <v>6265</v>
      </c>
      <c r="H100" s="30">
        <v>6307</v>
      </c>
      <c r="I100" s="30">
        <v>6165</v>
      </c>
      <c r="J100" s="30">
        <v>6022</v>
      </c>
      <c r="K100" s="30">
        <v>6194</v>
      </c>
      <c r="L100" s="30">
        <v>6214</v>
      </c>
      <c r="N100" s="33" t="s">
        <v>7699</v>
      </c>
      <c r="O100" s="4"/>
      <c r="Q100" s="4"/>
    </row>
    <row r="101" spans="1:17">
      <c r="A101" s="33" t="s">
        <v>7013</v>
      </c>
      <c r="B101" s="33" t="s">
        <v>8212</v>
      </c>
      <c r="C101" s="4" t="s">
        <v>9924</v>
      </c>
      <c r="D101" s="36">
        <v>7126</v>
      </c>
      <c r="E101" s="36">
        <v>7322</v>
      </c>
      <c r="F101" s="36">
        <v>7282</v>
      </c>
      <c r="G101" s="36">
        <v>7294</v>
      </c>
      <c r="H101" s="30">
        <v>7271</v>
      </c>
      <c r="I101" s="30">
        <v>7180</v>
      </c>
      <c r="J101" s="30">
        <v>6969</v>
      </c>
      <c r="K101" s="30">
        <v>7209</v>
      </c>
      <c r="L101" s="30">
        <v>7149</v>
      </c>
      <c r="N101" s="33" t="s">
        <v>7697</v>
      </c>
      <c r="O101" s="4"/>
      <c r="Q101" s="4"/>
    </row>
    <row r="102" spans="1:17">
      <c r="A102" s="33" t="s">
        <v>7015</v>
      </c>
      <c r="B102" s="33" t="s">
        <v>4120</v>
      </c>
      <c r="C102" s="4" t="s">
        <v>9925</v>
      </c>
      <c r="D102" s="36">
        <v>7037</v>
      </c>
      <c r="E102" s="36">
        <v>7162</v>
      </c>
      <c r="F102" s="36">
        <v>7178</v>
      </c>
      <c r="G102" s="36">
        <v>7118</v>
      </c>
      <c r="H102" s="30">
        <v>7084</v>
      </c>
      <c r="I102" s="30">
        <v>6866</v>
      </c>
      <c r="J102" s="30">
        <v>6763</v>
      </c>
      <c r="K102" s="30">
        <v>7005</v>
      </c>
      <c r="L102" s="30">
        <v>7032</v>
      </c>
      <c r="N102" s="33" t="s">
        <v>7699</v>
      </c>
      <c r="O102" s="4"/>
      <c r="Q102" s="4"/>
    </row>
    <row r="103" spans="1:17">
      <c r="A103" s="46">
        <v>16</v>
      </c>
      <c r="B103" s="33" t="s">
        <v>4121</v>
      </c>
      <c r="C103" s="4" t="s">
        <v>9926</v>
      </c>
      <c r="D103" s="40">
        <v>7342</v>
      </c>
      <c r="E103" s="40">
        <v>7656</v>
      </c>
      <c r="F103" s="40">
        <v>7928</v>
      </c>
      <c r="G103" s="40">
        <v>7960</v>
      </c>
      <c r="H103" s="31">
        <v>8026</v>
      </c>
      <c r="I103" s="31">
        <v>7562</v>
      </c>
      <c r="J103" s="31">
        <v>7337</v>
      </c>
      <c r="K103" s="31">
        <v>7695</v>
      </c>
      <c r="L103" s="31">
        <v>7977</v>
      </c>
      <c r="N103" s="33" t="s">
        <v>7699</v>
      </c>
      <c r="O103" s="4"/>
      <c r="Q103" s="4"/>
    </row>
    <row r="104" spans="1:17">
      <c r="D104" s="39"/>
      <c r="E104" s="39"/>
      <c r="F104" s="39"/>
      <c r="G104" s="39"/>
      <c r="H104" s="39"/>
      <c r="I104" s="39"/>
      <c r="J104" s="39"/>
      <c r="K104" s="39"/>
      <c r="L104" s="39"/>
    </row>
    <row r="105" spans="1:17">
      <c r="A105" s="33" t="s">
        <v>4122</v>
      </c>
      <c r="D105" s="36">
        <f t="shared" ref="D105:I105" si="120">D88+SUM(D90:D92)+D94+SUM(D97:D99)+D101</f>
        <v>57166</v>
      </c>
      <c r="E105" s="36">
        <f t="shared" si="120"/>
        <v>60611</v>
      </c>
      <c r="F105" s="36">
        <f t="shared" si="120"/>
        <v>61952</v>
      </c>
      <c r="G105" s="36">
        <f t="shared" si="120"/>
        <v>60516</v>
      </c>
      <c r="H105" s="36">
        <f t="shared" si="120"/>
        <v>60652</v>
      </c>
      <c r="I105" s="36">
        <f t="shared" si="120"/>
        <v>53295</v>
      </c>
      <c r="J105" s="36">
        <f t="shared" ref="J105:K105" si="121">J88+SUM(J90:J92)+J94+SUM(J97:J99)+J101</f>
        <v>50599</v>
      </c>
      <c r="K105" s="36">
        <f t="shared" si="121"/>
        <v>53696</v>
      </c>
      <c r="L105" s="36">
        <f t="shared" ref="L105" si="122">L88+SUM(L90:L92)+L94+SUM(L97:L99)+L101</f>
        <v>54617</v>
      </c>
    </row>
    <row r="106" spans="1:17">
      <c r="A106" s="33" t="s">
        <v>4123</v>
      </c>
      <c r="D106" s="36">
        <f t="shared" ref="D106:I106" si="123">D89+D93+D95+D96+D100+D102+D103</f>
        <v>47003</v>
      </c>
      <c r="E106" s="36">
        <f t="shared" si="123"/>
        <v>48840</v>
      </c>
      <c r="F106" s="36">
        <f t="shared" si="123"/>
        <v>49728</v>
      </c>
      <c r="G106" s="36">
        <f t="shared" si="123"/>
        <v>49295</v>
      </c>
      <c r="H106" s="36">
        <f t="shared" si="123"/>
        <v>49395</v>
      </c>
      <c r="I106" s="36">
        <f t="shared" si="123"/>
        <v>46573</v>
      </c>
      <c r="J106" s="36">
        <f t="shared" ref="J106:K106" si="124">J89+J93+J95+J96+J100+J102+J103</f>
        <v>45279</v>
      </c>
      <c r="K106" s="36">
        <f t="shared" si="124"/>
        <v>47315</v>
      </c>
      <c r="L106" s="36">
        <f t="shared" ref="L106" si="125">L89+L93+L95+L96+L100+L102+L103</f>
        <v>48024</v>
      </c>
    </row>
    <row r="107" spans="1:17">
      <c r="A107" s="33"/>
      <c r="B107" s="33"/>
      <c r="D107" s="47"/>
      <c r="E107" s="47"/>
      <c r="F107" s="47"/>
      <c r="G107" s="47"/>
      <c r="H107" s="47"/>
      <c r="I107" s="47"/>
      <c r="J107" s="47"/>
      <c r="K107" s="47"/>
      <c r="L107" s="47"/>
    </row>
    <row r="108" spans="1:17">
      <c r="A108" s="33" t="s">
        <v>4124</v>
      </c>
      <c r="B108" s="33"/>
      <c r="D108" s="47"/>
      <c r="E108" s="47"/>
      <c r="F108" s="47"/>
      <c r="G108" s="47"/>
      <c r="H108" s="47"/>
      <c r="I108" s="47"/>
      <c r="J108" s="47"/>
      <c r="K108" s="47"/>
      <c r="L108" s="47"/>
    </row>
    <row r="109" spans="1:17">
      <c r="A109" s="33"/>
      <c r="B109" s="33"/>
      <c r="D109" s="47"/>
      <c r="E109" s="47"/>
      <c r="F109" s="47"/>
      <c r="G109" s="47"/>
      <c r="H109" s="47"/>
      <c r="I109" s="47"/>
      <c r="J109" s="47"/>
      <c r="K109" s="47"/>
      <c r="L109" s="47"/>
    </row>
    <row r="110" spans="1:17">
      <c r="A110" s="33"/>
      <c r="B110" s="33"/>
      <c r="D110" s="47"/>
      <c r="E110" s="47"/>
      <c r="F110" s="47"/>
      <c r="G110" s="47"/>
      <c r="H110" s="47"/>
      <c r="I110" s="47"/>
      <c r="J110" s="47"/>
      <c r="K110" s="47"/>
      <c r="L110" s="47"/>
    </row>
    <row r="111" spans="1:17">
      <c r="E111" s="42" t="s">
        <v>2303</v>
      </c>
      <c r="F111" s="42"/>
      <c r="G111" s="42"/>
      <c r="H111" s="42"/>
      <c r="I111" s="42"/>
      <c r="J111" s="42"/>
      <c r="K111" s="42"/>
      <c r="L111" s="42"/>
      <c r="M111" s="43"/>
      <c r="N111" s="25" t="s">
        <v>13319</v>
      </c>
    </row>
    <row r="112" spans="1:17">
      <c r="D112" s="42">
        <v>2010</v>
      </c>
      <c r="E112" s="42">
        <v>2011</v>
      </c>
      <c r="F112" s="42">
        <v>2012</v>
      </c>
      <c r="G112" s="42">
        <v>2013</v>
      </c>
      <c r="H112" s="42">
        <v>2014</v>
      </c>
      <c r="I112" s="42">
        <v>2015</v>
      </c>
      <c r="J112" s="42">
        <v>2016</v>
      </c>
      <c r="K112" s="42">
        <v>2017</v>
      </c>
      <c r="L112" s="42">
        <v>2018</v>
      </c>
      <c r="N112" s="44" t="s">
        <v>2304</v>
      </c>
    </row>
    <row r="113" spans="1:17">
      <c r="A113" s="33" t="s">
        <v>5811</v>
      </c>
      <c r="D113" s="45">
        <f t="shared" ref="D113:I113" si="126">SUM(D114:D128)</f>
        <v>82005</v>
      </c>
      <c r="E113" s="45">
        <f t="shared" si="126"/>
        <v>84908</v>
      </c>
      <c r="F113" s="45">
        <f t="shared" si="126"/>
        <v>85694</v>
      </c>
      <c r="G113" s="45">
        <f t="shared" si="126"/>
        <v>87024</v>
      </c>
      <c r="H113" s="45">
        <f t="shared" si="126"/>
        <v>88433</v>
      </c>
      <c r="I113" s="45">
        <f t="shared" si="126"/>
        <v>87772</v>
      </c>
      <c r="J113" s="45">
        <f t="shared" ref="J113:K113" si="127">SUM(J114:J128)</f>
        <v>80072</v>
      </c>
      <c r="K113" s="45">
        <f t="shared" si="127"/>
        <v>84478</v>
      </c>
      <c r="L113" s="45">
        <f t="shared" ref="L113" si="128">SUM(L114:L128)</f>
        <v>84311</v>
      </c>
    </row>
    <row r="114" spans="1:17">
      <c r="A114" s="33" t="s">
        <v>6957</v>
      </c>
      <c r="B114" s="33" t="s">
        <v>4125</v>
      </c>
      <c r="C114" s="72" t="s">
        <v>13413</v>
      </c>
      <c r="D114" s="36">
        <v>78477</v>
      </c>
      <c r="E114" s="36">
        <v>81327</v>
      </c>
      <c r="F114" s="36">
        <v>81937</v>
      </c>
      <c r="G114" s="48">
        <v>83197</v>
      </c>
      <c r="H114" s="48">
        <v>6180</v>
      </c>
      <c r="I114" s="48">
        <v>5902</v>
      </c>
      <c r="J114" s="48">
        <v>5428</v>
      </c>
      <c r="K114" s="48">
        <v>6040</v>
      </c>
      <c r="L114" s="48">
        <v>5738</v>
      </c>
      <c r="N114" s="33" t="s">
        <v>7700</v>
      </c>
      <c r="P114" s="72"/>
      <c r="Q114" s="4"/>
    </row>
    <row r="115" spans="1:17">
      <c r="A115" s="33" t="s">
        <v>6959</v>
      </c>
      <c r="B115" s="33" t="s">
        <v>13320</v>
      </c>
      <c r="C115" s="72" t="s">
        <v>13414</v>
      </c>
      <c r="D115" s="36">
        <v>0</v>
      </c>
      <c r="E115" s="36">
        <v>0</v>
      </c>
      <c r="F115" s="36">
        <v>0</v>
      </c>
      <c r="G115" s="48">
        <v>0</v>
      </c>
      <c r="H115" s="48">
        <v>6042</v>
      </c>
      <c r="I115" s="48">
        <v>6185</v>
      </c>
      <c r="J115" s="48">
        <v>5538</v>
      </c>
      <c r="K115" s="48">
        <v>5743</v>
      </c>
      <c r="L115" s="48">
        <v>6063</v>
      </c>
      <c r="N115" s="33" t="s">
        <v>7700</v>
      </c>
      <c r="P115" s="72"/>
      <c r="Q115" s="4"/>
    </row>
    <row r="116" spans="1:17">
      <c r="A116" s="33" t="s">
        <v>6961</v>
      </c>
      <c r="B116" s="33" t="s">
        <v>7725</v>
      </c>
      <c r="C116" s="72" t="s">
        <v>13415</v>
      </c>
      <c r="D116" s="36">
        <v>0</v>
      </c>
      <c r="E116" s="36">
        <v>0</v>
      </c>
      <c r="F116" s="36">
        <v>0</v>
      </c>
      <c r="G116" s="48">
        <v>0</v>
      </c>
      <c r="H116" s="48">
        <v>5713</v>
      </c>
      <c r="I116" s="48">
        <v>5791</v>
      </c>
      <c r="J116" s="48">
        <v>5045</v>
      </c>
      <c r="K116" s="48">
        <v>5529</v>
      </c>
      <c r="L116" s="48">
        <v>5478</v>
      </c>
      <c r="N116" s="33" t="s">
        <v>7700</v>
      </c>
      <c r="P116" s="72"/>
      <c r="Q116" s="4"/>
    </row>
    <row r="117" spans="1:17">
      <c r="A117" s="33" t="s">
        <v>6963</v>
      </c>
      <c r="B117" s="33" t="s">
        <v>5886</v>
      </c>
      <c r="C117" s="72" t="s">
        <v>13416</v>
      </c>
      <c r="D117" s="36">
        <v>0</v>
      </c>
      <c r="E117" s="36">
        <v>0</v>
      </c>
      <c r="F117" s="36">
        <v>0</v>
      </c>
      <c r="G117" s="48">
        <v>0</v>
      </c>
      <c r="H117" s="48">
        <v>6192</v>
      </c>
      <c r="I117" s="48">
        <v>6157</v>
      </c>
      <c r="J117" s="48">
        <v>5351</v>
      </c>
      <c r="K117" s="48">
        <v>5540</v>
      </c>
      <c r="L117" s="48">
        <v>5636</v>
      </c>
      <c r="N117" s="33" t="s">
        <v>7700</v>
      </c>
      <c r="P117" s="72"/>
      <c r="Q117" s="4"/>
    </row>
    <row r="118" spans="1:17">
      <c r="A118" s="33" t="s">
        <v>6965</v>
      </c>
      <c r="B118" s="33" t="s">
        <v>5887</v>
      </c>
      <c r="C118" s="72" t="s">
        <v>13417</v>
      </c>
      <c r="D118" s="36">
        <v>0</v>
      </c>
      <c r="E118" s="36">
        <v>0</v>
      </c>
      <c r="F118" s="36">
        <v>0</v>
      </c>
      <c r="G118" s="48">
        <v>0</v>
      </c>
      <c r="H118" s="48">
        <v>6645</v>
      </c>
      <c r="I118" s="48">
        <v>6512</v>
      </c>
      <c r="J118" s="48">
        <v>6195</v>
      </c>
      <c r="K118" s="48">
        <v>6485</v>
      </c>
      <c r="L118" s="48">
        <v>6337</v>
      </c>
      <c r="N118" s="33" t="s">
        <v>7700</v>
      </c>
      <c r="P118" s="72"/>
      <c r="Q118" s="4"/>
    </row>
    <row r="119" spans="1:17">
      <c r="A119" s="33" t="s">
        <v>6997</v>
      </c>
      <c r="B119" s="33" t="s">
        <v>5888</v>
      </c>
      <c r="C119" s="72" t="s">
        <v>13418</v>
      </c>
      <c r="D119" s="40">
        <v>0</v>
      </c>
      <c r="E119" s="40">
        <v>0</v>
      </c>
      <c r="F119" s="40">
        <v>0</v>
      </c>
      <c r="G119" s="48">
        <v>0</v>
      </c>
      <c r="H119" s="48">
        <v>6870</v>
      </c>
      <c r="I119" s="48">
        <v>6772</v>
      </c>
      <c r="J119" s="48">
        <v>6182</v>
      </c>
      <c r="K119" s="48">
        <v>6490</v>
      </c>
      <c r="L119" s="48">
        <v>6480</v>
      </c>
      <c r="N119" s="33" t="s">
        <v>7700</v>
      </c>
      <c r="P119" s="72"/>
      <c r="Q119" s="4"/>
    </row>
    <row r="120" spans="1:17">
      <c r="A120" s="33" t="s">
        <v>6999</v>
      </c>
      <c r="B120" s="33" t="s">
        <v>5889</v>
      </c>
      <c r="C120" s="72" t="s">
        <v>13419</v>
      </c>
      <c r="D120" s="36">
        <v>3528</v>
      </c>
      <c r="E120" s="36">
        <v>3581</v>
      </c>
      <c r="F120" s="36">
        <v>3757</v>
      </c>
      <c r="G120" s="48">
        <v>3827</v>
      </c>
      <c r="H120" s="48">
        <v>3869</v>
      </c>
      <c r="I120" s="48">
        <v>3782</v>
      </c>
      <c r="J120" s="48">
        <v>3404</v>
      </c>
      <c r="K120" s="48">
        <v>3651</v>
      </c>
      <c r="L120" s="48">
        <v>3632</v>
      </c>
      <c r="N120" s="33" t="s">
        <v>7713</v>
      </c>
      <c r="P120" s="72"/>
      <c r="Q120" s="4"/>
    </row>
    <row r="121" spans="1:17">
      <c r="A121" s="33" t="s">
        <v>7001</v>
      </c>
      <c r="B121" s="33" t="s">
        <v>13321</v>
      </c>
      <c r="C121" s="72" t="s">
        <v>13420</v>
      </c>
      <c r="D121" s="48">
        <v>0</v>
      </c>
      <c r="E121" s="48">
        <v>0</v>
      </c>
      <c r="F121" s="48">
        <v>0</v>
      </c>
      <c r="G121" s="48">
        <v>0</v>
      </c>
      <c r="H121" s="48">
        <v>5705</v>
      </c>
      <c r="I121" s="48">
        <v>5706</v>
      </c>
      <c r="J121" s="48">
        <v>5028</v>
      </c>
      <c r="K121" s="48">
        <v>5263</v>
      </c>
      <c r="L121" s="48">
        <v>5185</v>
      </c>
      <c r="N121" s="33" t="s">
        <v>7700</v>
      </c>
      <c r="P121" s="72"/>
      <c r="Q121" s="4"/>
    </row>
    <row r="122" spans="1:17">
      <c r="A122" s="33" t="s">
        <v>7003</v>
      </c>
      <c r="B122" s="33" t="s">
        <v>5890</v>
      </c>
      <c r="C122" s="72" t="s">
        <v>13421</v>
      </c>
      <c r="D122" s="48">
        <v>0</v>
      </c>
      <c r="E122" s="48">
        <v>0</v>
      </c>
      <c r="F122" s="48">
        <v>0</v>
      </c>
      <c r="G122" s="48">
        <v>0</v>
      </c>
      <c r="H122" s="48">
        <v>6094</v>
      </c>
      <c r="I122" s="48">
        <v>6077</v>
      </c>
      <c r="J122" s="48">
        <v>5423</v>
      </c>
      <c r="K122" s="48">
        <v>5681</v>
      </c>
      <c r="L122" s="48">
        <v>5671</v>
      </c>
      <c r="N122" s="33" t="s">
        <v>7700</v>
      </c>
      <c r="P122" s="72"/>
      <c r="Q122" s="4"/>
    </row>
    <row r="123" spans="1:17">
      <c r="A123" s="33" t="s">
        <v>7005</v>
      </c>
      <c r="B123" s="33" t="s">
        <v>5891</v>
      </c>
      <c r="C123" s="72" t="s">
        <v>13422</v>
      </c>
      <c r="D123" s="36">
        <v>0</v>
      </c>
      <c r="E123" s="36">
        <v>0</v>
      </c>
      <c r="F123" s="36">
        <v>0</v>
      </c>
      <c r="G123" s="48">
        <v>0</v>
      </c>
      <c r="H123" s="48">
        <v>2307</v>
      </c>
      <c r="I123" s="48">
        <v>2282</v>
      </c>
      <c r="J123" s="48">
        <v>2142</v>
      </c>
      <c r="K123" s="48">
        <v>2229</v>
      </c>
      <c r="L123" s="48">
        <v>2230</v>
      </c>
      <c r="N123" s="33" t="s">
        <v>7700</v>
      </c>
      <c r="P123" s="72"/>
      <c r="Q123" s="4"/>
    </row>
    <row r="124" spans="1:17">
      <c r="A124" s="33" t="s">
        <v>7007</v>
      </c>
      <c r="B124" s="33" t="s">
        <v>13322</v>
      </c>
      <c r="C124" s="72" t="s">
        <v>13423</v>
      </c>
      <c r="D124" s="36">
        <v>0</v>
      </c>
      <c r="E124" s="36">
        <v>0</v>
      </c>
      <c r="F124" s="36">
        <v>0</v>
      </c>
      <c r="G124" s="48">
        <v>0</v>
      </c>
      <c r="H124" s="48">
        <v>6842</v>
      </c>
      <c r="I124" s="48">
        <v>6769</v>
      </c>
      <c r="J124" s="48">
        <v>6167</v>
      </c>
      <c r="K124" s="48">
        <v>6474</v>
      </c>
      <c r="L124" s="48">
        <v>6375</v>
      </c>
      <c r="N124" s="33" t="s">
        <v>7700</v>
      </c>
      <c r="P124" s="72"/>
      <c r="Q124" s="4"/>
    </row>
    <row r="125" spans="1:17">
      <c r="A125" s="33" t="s">
        <v>7009</v>
      </c>
      <c r="B125" s="33" t="s">
        <v>13323</v>
      </c>
      <c r="C125" s="72" t="s">
        <v>13424</v>
      </c>
      <c r="D125" s="36">
        <v>0</v>
      </c>
      <c r="E125" s="36">
        <v>0</v>
      </c>
      <c r="F125" s="36">
        <v>0</v>
      </c>
      <c r="G125" s="48">
        <v>0</v>
      </c>
      <c r="H125" s="48">
        <v>6634</v>
      </c>
      <c r="I125" s="48">
        <v>6669</v>
      </c>
      <c r="J125" s="48">
        <v>6208</v>
      </c>
      <c r="K125" s="48">
        <v>6425</v>
      </c>
      <c r="L125" s="48">
        <v>6456</v>
      </c>
      <c r="N125" s="33" t="s">
        <v>7700</v>
      </c>
      <c r="P125" s="72"/>
      <c r="Q125" s="4"/>
    </row>
    <row r="126" spans="1:17">
      <c r="A126" s="33" t="s">
        <v>7011</v>
      </c>
      <c r="B126" s="33" t="s">
        <v>5838</v>
      </c>
      <c r="C126" s="72" t="s">
        <v>13425</v>
      </c>
      <c r="D126" s="36">
        <v>0</v>
      </c>
      <c r="E126" s="36">
        <v>0</v>
      </c>
      <c r="F126" s="36">
        <v>0</v>
      </c>
      <c r="G126" s="48">
        <v>0</v>
      </c>
      <c r="H126" s="48">
        <v>6729</v>
      </c>
      <c r="I126" s="48">
        <v>6664</v>
      </c>
      <c r="J126" s="48">
        <v>6301</v>
      </c>
      <c r="K126" s="48">
        <v>6550</v>
      </c>
      <c r="L126" s="48">
        <v>6505</v>
      </c>
      <c r="N126" s="33" t="s">
        <v>7700</v>
      </c>
      <c r="P126" s="72"/>
      <c r="Q126" s="4"/>
    </row>
    <row r="127" spans="1:17">
      <c r="A127" s="33" t="s">
        <v>7013</v>
      </c>
      <c r="B127" s="33" t="s">
        <v>5839</v>
      </c>
      <c r="C127" s="72" t="s">
        <v>13426</v>
      </c>
      <c r="D127" s="36">
        <v>0</v>
      </c>
      <c r="E127" s="36">
        <v>0</v>
      </c>
      <c r="F127" s="36">
        <v>0</v>
      </c>
      <c r="G127" s="48">
        <v>0</v>
      </c>
      <c r="H127" s="48">
        <v>6077</v>
      </c>
      <c r="I127" s="48">
        <v>6048</v>
      </c>
      <c r="J127" s="48">
        <v>5803</v>
      </c>
      <c r="K127" s="48">
        <v>6340</v>
      </c>
      <c r="L127" s="48">
        <v>6476</v>
      </c>
      <c r="N127" s="33" t="s">
        <v>7700</v>
      </c>
      <c r="P127" s="72"/>
      <c r="Q127" s="4"/>
    </row>
    <row r="128" spans="1:17">
      <c r="A128" s="33" t="s">
        <v>7015</v>
      </c>
      <c r="B128" s="33" t="s">
        <v>5840</v>
      </c>
      <c r="C128" s="72" t="s">
        <v>13427</v>
      </c>
      <c r="D128" s="39">
        <v>0</v>
      </c>
      <c r="E128" s="39">
        <v>0</v>
      </c>
      <c r="F128" s="39">
        <v>0</v>
      </c>
      <c r="G128" s="48">
        <v>0</v>
      </c>
      <c r="H128" s="48">
        <v>6534</v>
      </c>
      <c r="I128" s="48">
        <v>6456</v>
      </c>
      <c r="J128" s="48">
        <v>5857</v>
      </c>
      <c r="K128" s="48">
        <v>6038</v>
      </c>
      <c r="L128" s="48">
        <v>6049</v>
      </c>
      <c r="N128" s="33" t="s">
        <v>7700</v>
      </c>
      <c r="P128" s="72"/>
      <c r="Q128" s="4"/>
    </row>
    <row r="130" spans="1:17">
      <c r="A130" s="33" t="s">
        <v>7700</v>
      </c>
      <c r="D130" s="36">
        <f t="shared" ref="D130:I130" si="129">SUM(D114:D119)+SUM(D121:D128)</f>
        <v>78477</v>
      </c>
      <c r="E130" s="36">
        <f t="shared" si="129"/>
        <v>81327</v>
      </c>
      <c r="F130" s="36">
        <f t="shared" si="129"/>
        <v>81937</v>
      </c>
      <c r="G130" s="36">
        <f t="shared" si="129"/>
        <v>83197</v>
      </c>
      <c r="H130" s="36">
        <f t="shared" si="129"/>
        <v>84564</v>
      </c>
      <c r="I130" s="36">
        <f t="shared" si="129"/>
        <v>83990</v>
      </c>
      <c r="J130" s="36">
        <f t="shared" ref="J130:K130" si="130">SUM(J114:J119)+SUM(J121:J128)</f>
        <v>76668</v>
      </c>
      <c r="K130" s="36">
        <f t="shared" si="130"/>
        <v>80827</v>
      </c>
      <c r="L130" s="36">
        <f t="shared" ref="L130" si="131">SUM(L114:L119)+SUM(L121:L128)</f>
        <v>80679</v>
      </c>
    </row>
    <row r="131" spans="1:17">
      <c r="A131" s="33" t="s">
        <v>5992</v>
      </c>
      <c r="D131" s="36">
        <f t="shared" ref="D131:I131" si="132">D120</f>
        <v>3528</v>
      </c>
      <c r="E131" s="36">
        <f t="shared" si="132"/>
        <v>3581</v>
      </c>
      <c r="F131" s="36">
        <f t="shared" si="132"/>
        <v>3757</v>
      </c>
      <c r="G131" s="36">
        <f t="shared" si="132"/>
        <v>3827</v>
      </c>
      <c r="H131" s="36">
        <f t="shared" si="132"/>
        <v>3869</v>
      </c>
      <c r="I131" s="36">
        <f t="shared" si="132"/>
        <v>3782</v>
      </c>
      <c r="J131" s="36">
        <f t="shared" ref="J131:K131" si="133">J120</f>
        <v>3404</v>
      </c>
      <c r="K131" s="36">
        <f t="shared" si="133"/>
        <v>3651</v>
      </c>
      <c r="L131" s="36">
        <f t="shared" ref="L131" si="134">L120</f>
        <v>3632</v>
      </c>
    </row>
    <row r="133" spans="1:17">
      <c r="A133" s="33" t="s">
        <v>13324</v>
      </c>
    </row>
    <row r="134" spans="1:17">
      <c r="A134" s="33"/>
    </row>
    <row r="135" spans="1:17">
      <c r="A135" s="33"/>
    </row>
    <row r="136" spans="1:17">
      <c r="E136" s="42" t="s">
        <v>2303</v>
      </c>
      <c r="F136" s="42"/>
      <c r="G136" s="42"/>
      <c r="H136" s="42"/>
      <c r="I136" s="42"/>
      <c r="J136" s="42"/>
      <c r="K136" s="42"/>
      <c r="L136" s="42"/>
      <c r="M136" s="43"/>
      <c r="N136" s="25" t="s">
        <v>13319</v>
      </c>
    </row>
    <row r="137" spans="1:17">
      <c r="D137" s="42">
        <v>2010</v>
      </c>
      <c r="E137" s="42">
        <v>2011</v>
      </c>
      <c r="F137" s="42">
        <v>2012</v>
      </c>
      <c r="G137" s="42">
        <v>2013</v>
      </c>
      <c r="H137" s="42">
        <v>2014</v>
      </c>
      <c r="I137" s="42">
        <v>2015</v>
      </c>
      <c r="J137" s="42">
        <v>2016</v>
      </c>
      <c r="K137" s="42">
        <v>2017</v>
      </c>
      <c r="L137" s="42">
        <v>2018</v>
      </c>
      <c r="N137" s="44" t="s">
        <v>2304</v>
      </c>
    </row>
    <row r="138" spans="1:17">
      <c r="A138" s="33" t="s">
        <v>5812</v>
      </c>
      <c r="D138" s="36">
        <f t="shared" ref="D138:I138" si="135">SUM(D139:D161)+SUM(D162:D168)</f>
        <v>113835</v>
      </c>
      <c r="E138" s="36">
        <f t="shared" si="135"/>
        <v>113065</v>
      </c>
      <c r="F138" s="36">
        <f t="shared" si="135"/>
        <v>111375</v>
      </c>
      <c r="G138" s="36">
        <f t="shared" si="135"/>
        <v>114661</v>
      </c>
      <c r="H138" s="36">
        <f t="shared" si="135"/>
        <v>113985</v>
      </c>
      <c r="I138" s="36">
        <f t="shared" si="135"/>
        <v>112436</v>
      </c>
      <c r="J138" s="36">
        <f t="shared" ref="J138:K138" si="136">SUM(J139:J161)+SUM(J162:J168)</f>
        <v>114469</v>
      </c>
      <c r="K138" s="36">
        <f t="shared" si="136"/>
        <v>118152</v>
      </c>
      <c r="L138" s="36">
        <f t="shared" ref="L138" si="137">SUM(L139:L161)+SUM(L162:L168)</f>
        <v>118317</v>
      </c>
    </row>
    <row r="139" spans="1:17">
      <c r="A139" s="33" t="s">
        <v>6957</v>
      </c>
      <c r="B139" s="33" t="s">
        <v>5841</v>
      </c>
      <c r="C139" s="4" t="s">
        <v>9881</v>
      </c>
      <c r="D139" s="36">
        <v>2204</v>
      </c>
      <c r="E139" s="36">
        <v>2197</v>
      </c>
      <c r="F139" s="36">
        <v>2052</v>
      </c>
      <c r="G139" s="30">
        <v>2146</v>
      </c>
      <c r="H139" s="30">
        <v>2171</v>
      </c>
      <c r="I139" s="30">
        <v>2142</v>
      </c>
      <c r="J139" s="30">
        <v>2170</v>
      </c>
      <c r="K139" s="30">
        <v>2310</v>
      </c>
      <c r="L139" s="30">
        <v>2303</v>
      </c>
      <c r="N139" s="33" t="s">
        <v>7695</v>
      </c>
      <c r="O139" s="4"/>
      <c r="Q139" s="4"/>
    </row>
    <row r="140" spans="1:17">
      <c r="A140" s="33" t="s">
        <v>6959</v>
      </c>
      <c r="B140" s="33" t="s">
        <v>6764</v>
      </c>
      <c r="C140" s="4" t="s">
        <v>9882</v>
      </c>
      <c r="D140" s="36">
        <v>2397</v>
      </c>
      <c r="E140" s="36">
        <v>2422</v>
      </c>
      <c r="F140" s="36">
        <v>2349</v>
      </c>
      <c r="G140" s="30">
        <v>2453</v>
      </c>
      <c r="H140" s="30">
        <v>2435</v>
      </c>
      <c r="I140" s="30">
        <v>2420</v>
      </c>
      <c r="J140" s="30">
        <v>2459</v>
      </c>
      <c r="K140" s="30">
        <v>2538</v>
      </c>
      <c r="L140" s="30">
        <v>2535</v>
      </c>
      <c r="N140" s="33" t="s">
        <v>7695</v>
      </c>
      <c r="O140" s="4"/>
      <c r="Q140" s="4"/>
    </row>
    <row r="141" spans="1:17">
      <c r="A141" s="33" t="s">
        <v>6961</v>
      </c>
      <c r="B141" s="33" t="s">
        <v>5842</v>
      </c>
      <c r="C141" s="4" t="s">
        <v>9883</v>
      </c>
      <c r="D141" s="36">
        <v>5959</v>
      </c>
      <c r="E141" s="36">
        <v>5868</v>
      </c>
      <c r="F141" s="36">
        <v>5691</v>
      </c>
      <c r="G141" s="31">
        <v>5969</v>
      </c>
      <c r="H141" s="31">
        <v>5986</v>
      </c>
      <c r="I141" s="31">
        <v>5975</v>
      </c>
      <c r="J141" s="31">
        <v>6085</v>
      </c>
      <c r="K141" s="31">
        <v>6196</v>
      </c>
      <c r="L141" s="31">
        <v>6165</v>
      </c>
      <c r="N141" s="33" t="s">
        <v>7699</v>
      </c>
      <c r="O141" s="4"/>
      <c r="Q141" s="4"/>
    </row>
    <row r="142" spans="1:17">
      <c r="A142" s="33" t="s">
        <v>6963</v>
      </c>
      <c r="B142" s="33" t="s">
        <v>5843</v>
      </c>
      <c r="C142" s="4" t="s">
        <v>9884</v>
      </c>
      <c r="D142" s="36">
        <v>4570</v>
      </c>
      <c r="E142" s="36">
        <v>4550</v>
      </c>
      <c r="F142" s="36">
        <v>4406</v>
      </c>
      <c r="G142" s="30">
        <v>4640</v>
      </c>
      <c r="H142" s="30">
        <v>4688</v>
      </c>
      <c r="I142" s="30">
        <v>4711</v>
      </c>
      <c r="J142" s="30">
        <v>4767</v>
      </c>
      <c r="K142" s="30">
        <v>4938</v>
      </c>
      <c r="L142" s="30">
        <v>4891</v>
      </c>
      <c r="N142" s="33" t="s">
        <v>7695</v>
      </c>
      <c r="O142" s="4"/>
      <c r="Q142" s="4"/>
    </row>
    <row r="143" spans="1:17">
      <c r="A143" s="33" t="s">
        <v>6965</v>
      </c>
      <c r="B143" s="33" t="s">
        <v>5844</v>
      </c>
      <c r="C143" s="4" t="s">
        <v>9885</v>
      </c>
      <c r="D143" s="36">
        <v>4417</v>
      </c>
      <c r="E143" s="36">
        <v>4446</v>
      </c>
      <c r="F143" s="36">
        <v>4412</v>
      </c>
      <c r="G143" s="31">
        <v>4516</v>
      </c>
      <c r="H143" s="31">
        <v>4493</v>
      </c>
      <c r="I143" s="31">
        <v>4440</v>
      </c>
      <c r="J143" s="31">
        <v>4497</v>
      </c>
      <c r="K143" s="31">
        <v>4635</v>
      </c>
      <c r="L143" s="31">
        <v>4587</v>
      </c>
      <c r="N143" s="33" t="s">
        <v>7714</v>
      </c>
      <c r="O143" s="4"/>
      <c r="Q143" s="4"/>
    </row>
    <row r="144" spans="1:17">
      <c r="A144" s="33" t="s">
        <v>6997</v>
      </c>
      <c r="B144" s="33" t="s">
        <v>5845</v>
      </c>
      <c r="C144" s="4" t="s">
        <v>9886</v>
      </c>
      <c r="D144" s="36">
        <v>6848</v>
      </c>
      <c r="E144" s="36">
        <v>6737</v>
      </c>
      <c r="F144" s="36">
        <v>6443</v>
      </c>
      <c r="G144" s="31">
        <v>6645</v>
      </c>
      <c r="H144" s="31">
        <v>6647</v>
      </c>
      <c r="I144" s="31">
        <v>6544</v>
      </c>
      <c r="J144" s="31">
        <v>6596</v>
      </c>
      <c r="K144" s="31">
        <v>6714</v>
      </c>
      <c r="L144" s="31">
        <v>6718</v>
      </c>
      <c r="N144" s="33" t="s">
        <v>7699</v>
      </c>
      <c r="O144" s="4"/>
      <c r="Q144" s="4"/>
    </row>
    <row r="145" spans="1:17">
      <c r="A145" s="33" t="s">
        <v>6999</v>
      </c>
      <c r="B145" s="33" t="s">
        <v>5846</v>
      </c>
      <c r="C145" s="4" t="s">
        <v>9887</v>
      </c>
      <c r="D145" s="36">
        <v>1907</v>
      </c>
      <c r="E145" s="36">
        <v>1892</v>
      </c>
      <c r="F145" s="36">
        <v>1851</v>
      </c>
      <c r="G145" s="30">
        <v>1955</v>
      </c>
      <c r="H145" s="30">
        <v>1910</v>
      </c>
      <c r="I145" s="30">
        <v>1827</v>
      </c>
      <c r="J145" s="30">
        <v>1790</v>
      </c>
      <c r="K145" s="30">
        <v>1934</v>
      </c>
      <c r="L145" s="30">
        <v>1938</v>
      </c>
      <c r="N145" s="33" t="s">
        <v>7695</v>
      </c>
      <c r="O145" s="4"/>
      <c r="Q145" s="4"/>
    </row>
    <row r="146" spans="1:17">
      <c r="A146" s="33" t="s">
        <v>7001</v>
      </c>
      <c r="B146" s="33" t="s">
        <v>5847</v>
      </c>
      <c r="C146" s="4" t="s">
        <v>9888</v>
      </c>
      <c r="D146" s="36">
        <v>4656</v>
      </c>
      <c r="E146" s="36">
        <v>4657</v>
      </c>
      <c r="F146" s="36">
        <v>4704</v>
      </c>
      <c r="G146" s="30">
        <v>4767</v>
      </c>
      <c r="H146" s="30">
        <v>4577</v>
      </c>
      <c r="I146" s="30">
        <v>4395</v>
      </c>
      <c r="J146" s="30">
        <v>4461</v>
      </c>
      <c r="K146" s="30">
        <v>4598</v>
      </c>
      <c r="L146" s="30">
        <v>4663</v>
      </c>
      <c r="N146" s="33" t="s">
        <v>7695</v>
      </c>
      <c r="O146" s="4"/>
      <c r="Q146" s="4"/>
    </row>
    <row r="147" spans="1:17">
      <c r="A147" s="33" t="s">
        <v>7003</v>
      </c>
      <c r="B147" s="33" t="s">
        <v>5848</v>
      </c>
      <c r="C147" s="4" t="s">
        <v>9889</v>
      </c>
      <c r="D147" s="36">
        <v>2235</v>
      </c>
      <c r="E147" s="36">
        <v>2270</v>
      </c>
      <c r="F147" s="36">
        <v>2212</v>
      </c>
      <c r="G147" s="30">
        <v>2309</v>
      </c>
      <c r="H147" s="30">
        <v>2335</v>
      </c>
      <c r="I147" s="30">
        <v>2329</v>
      </c>
      <c r="J147" s="30">
        <v>2344</v>
      </c>
      <c r="K147" s="30">
        <v>2376</v>
      </c>
      <c r="L147" s="30">
        <v>2356</v>
      </c>
      <c r="N147" s="33" t="s">
        <v>7695</v>
      </c>
      <c r="O147" s="4"/>
      <c r="Q147" s="4"/>
    </row>
    <row r="148" spans="1:17">
      <c r="A148" s="33" t="s">
        <v>7005</v>
      </c>
      <c r="B148" s="33" t="s">
        <v>4113</v>
      </c>
      <c r="C148" s="4" t="s">
        <v>9890</v>
      </c>
      <c r="D148" s="36">
        <v>2172</v>
      </c>
      <c r="E148" s="36">
        <v>2250</v>
      </c>
      <c r="F148" s="36">
        <v>2157</v>
      </c>
      <c r="G148" s="30">
        <v>2297</v>
      </c>
      <c r="H148" s="30">
        <v>2328</v>
      </c>
      <c r="I148" s="30">
        <v>2331</v>
      </c>
      <c r="J148" s="30">
        <v>2346</v>
      </c>
      <c r="K148" s="30">
        <v>2390</v>
      </c>
      <c r="L148" s="30">
        <v>2419</v>
      </c>
      <c r="N148" s="33" t="s">
        <v>7695</v>
      </c>
      <c r="O148" s="4"/>
      <c r="Q148" s="4"/>
    </row>
    <row r="149" spans="1:17">
      <c r="A149" s="33" t="s">
        <v>7007</v>
      </c>
      <c r="B149" s="33" t="s">
        <v>4114</v>
      </c>
      <c r="C149" s="4" t="s">
        <v>9891</v>
      </c>
      <c r="D149" s="36">
        <v>2276</v>
      </c>
      <c r="E149" s="36">
        <v>2296</v>
      </c>
      <c r="F149" s="36">
        <v>2287</v>
      </c>
      <c r="G149" s="30">
        <v>2406</v>
      </c>
      <c r="H149" s="30">
        <v>2363</v>
      </c>
      <c r="I149" s="30">
        <v>2361</v>
      </c>
      <c r="J149" s="30">
        <v>2415</v>
      </c>
      <c r="K149" s="30">
        <v>2497</v>
      </c>
      <c r="L149" s="30">
        <v>2523</v>
      </c>
      <c r="N149" s="33" t="s">
        <v>7695</v>
      </c>
      <c r="O149" s="4"/>
      <c r="Q149" s="4"/>
    </row>
    <row r="150" spans="1:17">
      <c r="A150" s="33" t="s">
        <v>7009</v>
      </c>
      <c r="B150" s="33" t="s">
        <v>4115</v>
      </c>
      <c r="C150" s="4" t="s">
        <v>9892</v>
      </c>
      <c r="D150" s="36">
        <v>4884</v>
      </c>
      <c r="E150" s="36">
        <v>4768</v>
      </c>
      <c r="F150" s="36">
        <v>4800</v>
      </c>
      <c r="G150" s="30">
        <v>4852</v>
      </c>
      <c r="H150" s="30">
        <v>4812</v>
      </c>
      <c r="I150" s="30">
        <v>4757</v>
      </c>
      <c r="J150" s="30">
        <v>4839</v>
      </c>
      <c r="K150" s="30">
        <v>4940</v>
      </c>
      <c r="L150" s="30">
        <v>4915</v>
      </c>
      <c r="N150" s="33" t="s">
        <v>7695</v>
      </c>
      <c r="O150" s="4"/>
      <c r="Q150" s="4"/>
    </row>
    <row r="151" spans="1:17">
      <c r="A151" s="33" t="s">
        <v>7011</v>
      </c>
      <c r="B151" s="33" t="s">
        <v>4116</v>
      </c>
      <c r="C151" s="4" t="s">
        <v>9893</v>
      </c>
      <c r="D151" s="36">
        <v>4119</v>
      </c>
      <c r="E151" s="36">
        <v>4104</v>
      </c>
      <c r="F151" s="36">
        <v>4183</v>
      </c>
      <c r="G151" s="30">
        <v>4225</v>
      </c>
      <c r="H151" s="30">
        <v>4214</v>
      </c>
      <c r="I151" s="30">
        <v>4182</v>
      </c>
      <c r="J151" s="30">
        <v>4493</v>
      </c>
      <c r="K151" s="30">
        <v>4787</v>
      </c>
      <c r="L151" s="30">
        <v>4923</v>
      </c>
      <c r="N151" s="33" t="s">
        <v>7695</v>
      </c>
      <c r="O151" s="4"/>
      <c r="Q151" s="4"/>
    </row>
    <row r="152" spans="1:17">
      <c r="A152" s="33" t="s">
        <v>7013</v>
      </c>
      <c r="B152" s="33" t="s">
        <v>7726</v>
      </c>
      <c r="C152" s="4" t="s">
        <v>9894</v>
      </c>
      <c r="D152" s="36">
        <v>4422</v>
      </c>
      <c r="E152" s="36">
        <v>4314</v>
      </c>
      <c r="F152" s="36">
        <v>4186</v>
      </c>
      <c r="G152" s="30">
        <v>4381</v>
      </c>
      <c r="H152" s="30">
        <v>4354</v>
      </c>
      <c r="I152" s="30">
        <v>4231</v>
      </c>
      <c r="J152" s="30">
        <v>4271</v>
      </c>
      <c r="K152" s="30">
        <v>4455</v>
      </c>
      <c r="L152" s="30">
        <v>4454</v>
      </c>
      <c r="N152" s="33" t="s">
        <v>7695</v>
      </c>
      <c r="O152" s="4"/>
      <c r="Q152" s="4"/>
    </row>
    <row r="153" spans="1:17">
      <c r="A153" s="33" t="s">
        <v>7015</v>
      </c>
      <c r="B153" s="33" t="s">
        <v>7727</v>
      </c>
      <c r="C153" s="4" t="s">
        <v>9895</v>
      </c>
      <c r="D153" s="36">
        <v>3976</v>
      </c>
      <c r="E153" s="36">
        <v>3968</v>
      </c>
      <c r="F153" s="36">
        <v>3916</v>
      </c>
      <c r="G153" s="30">
        <v>3990</v>
      </c>
      <c r="H153" s="30">
        <v>3953</v>
      </c>
      <c r="I153" s="30">
        <v>3908</v>
      </c>
      <c r="J153" s="30">
        <v>3947</v>
      </c>
      <c r="K153" s="30">
        <v>4118</v>
      </c>
      <c r="L153" s="30">
        <v>4097</v>
      </c>
      <c r="N153" s="33" t="s">
        <v>7695</v>
      </c>
      <c r="O153" s="4"/>
      <c r="Q153" s="4"/>
    </row>
    <row r="154" spans="1:17">
      <c r="A154" s="33" t="s">
        <v>7017</v>
      </c>
      <c r="B154" s="33" t="s">
        <v>7728</v>
      </c>
      <c r="C154" s="4" t="s">
        <v>9896</v>
      </c>
      <c r="D154" s="36">
        <v>4370</v>
      </c>
      <c r="E154" s="36">
        <v>4349</v>
      </c>
      <c r="F154" s="36">
        <v>4311</v>
      </c>
      <c r="G154" s="30">
        <v>4373</v>
      </c>
      <c r="H154" s="30">
        <v>4311</v>
      </c>
      <c r="I154" s="30">
        <v>4152</v>
      </c>
      <c r="J154" s="30">
        <v>4232</v>
      </c>
      <c r="K154" s="30">
        <v>4347</v>
      </c>
      <c r="L154" s="30">
        <v>4359</v>
      </c>
      <c r="N154" s="33" t="s">
        <v>7695</v>
      </c>
      <c r="O154" s="4"/>
      <c r="Q154" s="4"/>
    </row>
    <row r="155" spans="1:17">
      <c r="A155" s="33" t="s">
        <v>7019</v>
      </c>
      <c r="B155" s="33" t="s">
        <v>7729</v>
      </c>
      <c r="C155" s="4" t="s">
        <v>9897</v>
      </c>
      <c r="D155" s="36">
        <v>4183</v>
      </c>
      <c r="E155" s="36">
        <v>4180</v>
      </c>
      <c r="F155" s="36">
        <v>4111</v>
      </c>
      <c r="G155" s="31">
        <v>4269</v>
      </c>
      <c r="H155" s="31">
        <v>4234</v>
      </c>
      <c r="I155" s="31">
        <v>4256</v>
      </c>
      <c r="J155" s="31">
        <v>4364</v>
      </c>
      <c r="K155" s="31">
        <v>4481</v>
      </c>
      <c r="L155" s="31">
        <v>4471</v>
      </c>
      <c r="N155" s="33" t="s">
        <v>7714</v>
      </c>
      <c r="O155" s="4"/>
      <c r="Q155" s="4"/>
    </row>
    <row r="156" spans="1:17">
      <c r="A156" s="33" t="s">
        <v>7021</v>
      </c>
      <c r="B156" s="33" t="s">
        <v>7739</v>
      </c>
      <c r="C156" s="4" t="s">
        <v>9898</v>
      </c>
      <c r="D156" s="36">
        <v>3974</v>
      </c>
      <c r="E156" s="36">
        <v>3894</v>
      </c>
      <c r="F156" s="36">
        <v>3931</v>
      </c>
      <c r="G156" s="30">
        <v>3994</v>
      </c>
      <c r="H156" s="30">
        <v>3952</v>
      </c>
      <c r="I156" s="30">
        <v>3820</v>
      </c>
      <c r="J156" s="30">
        <v>3926</v>
      </c>
      <c r="K156" s="30">
        <v>4053</v>
      </c>
      <c r="L156" s="30">
        <v>4062</v>
      </c>
      <c r="N156" s="33" t="s">
        <v>7695</v>
      </c>
      <c r="O156" s="4"/>
      <c r="Q156" s="4"/>
    </row>
    <row r="157" spans="1:17">
      <c r="A157" s="33" t="s">
        <v>7023</v>
      </c>
      <c r="B157" s="33" t="s">
        <v>7740</v>
      </c>
      <c r="C157" s="4" t="s">
        <v>9899</v>
      </c>
      <c r="D157" s="36">
        <v>2203</v>
      </c>
      <c r="E157" s="36">
        <v>2237</v>
      </c>
      <c r="F157" s="36">
        <v>2219</v>
      </c>
      <c r="G157" s="31">
        <v>2261</v>
      </c>
      <c r="H157" s="31">
        <v>2214</v>
      </c>
      <c r="I157" s="31">
        <v>2177</v>
      </c>
      <c r="J157" s="31">
        <v>2249</v>
      </c>
      <c r="K157" s="31">
        <v>2364</v>
      </c>
      <c r="L157" s="31">
        <v>2376</v>
      </c>
      <c r="N157" s="33" t="s">
        <v>7699</v>
      </c>
      <c r="O157" s="4"/>
      <c r="Q157" s="4"/>
    </row>
    <row r="158" spans="1:17">
      <c r="A158" s="33" t="s">
        <v>7025</v>
      </c>
      <c r="B158" s="33" t="s">
        <v>7741</v>
      </c>
      <c r="C158" s="4" t="s">
        <v>9900</v>
      </c>
      <c r="D158" s="36">
        <v>5191</v>
      </c>
      <c r="E158" s="36">
        <v>5197</v>
      </c>
      <c r="F158" s="36">
        <v>4993</v>
      </c>
      <c r="G158" s="31">
        <v>5179</v>
      </c>
      <c r="H158" s="31">
        <v>5183</v>
      </c>
      <c r="I158" s="31">
        <v>5157</v>
      </c>
      <c r="J158" s="31">
        <v>5136</v>
      </c>
      <c r="K158" s="31">
        <v>5239</v>
      </c>
      <c r="L158" s="31">
        <v>5236</v>
      </c>
      <c r="N158" s="33" t="s">
        <v>7699</v>
      </c>
      <c r="O158" s="4"/>
      <c r="Q158" s="4"/>
    </row>
    <row r="159" spans="1:17">
      <c r="A159" s="33" t="s">
        <v>7570</v>
      </c>
      <c r="B159" s="33" t="s">
        <v>7742</v>
      </c>
      <c r="C159" s="4" t="s">
        <v>9901</v>
      </c>
      <c r="D159" s="36">
        <v>4357</v>
      </c>
      <c r="E159" s="36">
        <v>4240</v>
      </c>
      <c r="F159" s="36">
        <v>4353</v>
      </c>
      <c r="G159" s="31">
        <v>4495</v>
      </c>
      <c r="H159" s="31">
        <v>4449</v>
      </c>
      <c r="I159" s="31">
        <v>4374</v>
      </c>
      <c r="J159" s="31">
        <v>4416</v>
      </c>
      <c r="K159" s="31">
        <v>4581</v>
      </c>
      <c r="L159" s="31">
        <v>4579</v>
      </c>
      <c r="N159" s="33" t="s">
        <v>7695</v>
      </c>
      <c r="O159" s="4"/>
      <c r="Q159" s="4"/>
    </row>
    <row r="160" spans="1:17">
      <c r="A160" s="33" t="s">
        <v>7572</v>
      </c>
      <c r="B160" s="33" t="s">
        <v>5922</v>
      </c>
      <c r="C160" s="4" t="s">
        <v>9902</v>
      </c>
      <c r="D160" s="36">
        <v>4153</v>
      </c>
      <c r="E160" s="36">
        <v>4160</v>
      </c>
      <c r="F160" s="36">
        <v>4072</v>
      </c>
      <c r="G160" s="30">
        <v>4214</v>
      </c>
      <c r="H160" s="30">
        <v>4138</v>
      </c>
      <c r="I160" s="30">
        <v>4075</v>
      </c>
      <c r="J160" s="30">
        <v>4136</v>
      </c>
      <c r="K160" s="30">
        <v>4311</v>
      </c>
      <c r="L160" s="30">
        <v>4324</v>
      </c>
      <c r="N160" s="33" t="s">
        <v>7695</v>
      </c>
      <c r="O160" s="4"/>
      <c r="Q160" s="4"/>
    </row>
    <row r="161" spans="1:17">
      <c r="A161" s="33" t="s">
        <v>7573</v>
      </c>
      <c r="B161" s="33" t="s">
        <v>5923</v>
      </c>
      <c r="C161" s="4" t="s">
        <v>9903</v>
      </c>
      <c r="D161" s="40">
        <v>2186</v>
      </c>
      <c r="E161" s="40">
        <v>2165</v>
      </c>
      <c r="F161" s="40">
        <v>2139</v>
      </c>
      <c r="G161" s="31">
        <v>2183</v>
      </c>
      <c r="H161" s="31">
        <v>2173</v>
      </c>
      <c r="I161" s="31">
        <v>2169</v>
      </c>
      <c r="J161" s="31">
        <v>2215</v>
      </c>
      <c r="K161" s="31">
        <v>2261</v>
      </c>
      <c r="L161" s="31">
        <v>2243</v>
      </c>
      <c r="N161" s="33" t="s">
        <v>7714</v>
      </c>
      <c r="O161" s="4"/>
      <c r="Q161" s="4"/>
    </row>
    <row r="162" spans="1:17">
      <c r="A162" s="33" t="s">
        <v>5798</v>
      </c>
      <c r="B162" s="33" t="s">
        <v>5924</v>
      </c>
      <c r="C162" s="4" t="s">
        <v>9904</v>
      </c>
      <c r="D162" s="36">
        <v>4561</v>
      </c>
      <c r="E162" s="36">
        <v>4506</v>
      </c>
      <c r="F162" s="36">
        <v>4430</v>
      </c>
      <c r="G162" s="31">
        <v>4497</v>
      </c>
      <c r="H162" s="31">
        <v>4472</v>
      </c>
      <c r="I162" s="31">
        <v>4375</v>
      </c>
      <c r="J162" s="31">
        <v>4450</v>
      </c>
      <c r="K162" s="31">
        <v>4588</v>
      </c>
      <c r="L162" s="31">
        <v>4519</v>
      </c>
      <c r="N162" s="33" t="s">
        <v>7695</v>
      </c>
      <c r="O162" s="4"/>
      <c r="Q162" s="4"/>
    </row>
    <row r="163" spans="1:17">
      <c r="A163" s="33" t="s">
        <v>5799</v>
      </c>
      <c r="B163" s="33" t="s">
        <v>5925</v>
      </c>
      <c r="C163" s="4" t="s">
        <v>9905</v>
      </c>
      <c r="D163" s="36">
        <v>4133</v>
      </c>
      <c r="E163" s="36">
        <v>4182</v>
      </c>
      <c r="F163" s="36">
        <v>4150</v>
      </c>
      <c r="G163" s="31">
        <v>4224</v>
      </c>
      <c r="H163" s="31">
        <v>4227</v>
      </c>
      <c r="I163" s="31">
        <v>4187</v>
      </c>
      <c r="J163" s="31">
        <v>4139</v>
      </c>
      <c r="K163" s="31">
        <v>4218</v>
      </c>
      <c r="L163" s="31">
        <v>4238</v>
      </c>
      <c r="N163" s="33" t="s">
        <v>7695</v>
      </c>
      <c r="O163" s="4"/>
      <c r="Q163" s="4"/>
    </row>
    <row r="164" spans="1:17">
      <c r="A164" s="33" t="s">
        <v>5801</v>
      </c>
      <c r="B164" s="33" t="s">
        <v>5926</v>
      </c>
      <c r="C164" s="4" t="s">
        <v>9906</v>
      </c>
      <c r="D164" s="36">
        <v>4987</v>
      </c>
      <c r="E164" s="36">
        <v>4949</v>
      </c>
      <c r="F164" s="36">
        <v>4929</v>
      </c>
      <c r="G164" s="31">
        <v>4976</v>
      </c>
      <c r="H164" s="31">
        <v>4961</v>
      </c>
      <c r="I164" s="31">
        <v>4917</v>
      </c>
      <c r="J164" s="31">
        <v>5038</v>
      </c>
      <c r="K164" s="31">
        <v>5087</v>
      </c>
      <c r="L164" s="31">
        <v>5114</v>
      </c>
      <c r="N164" s="33" t="s">
        <v>7695</v>
      </c>
      <c r="O164" s="4"/>
      <c r="Q164" s="4"/>
    </row>
    <row r="165" spans="1:17">
      <c r="A165" s="33" t="s">
        <v>5927</v>
      </c>
      <c r="B165" s="33" t="s">
        <v>5928</v>
      </c>
      <c r="C165" s="4" t="s">
        <v>9907</v>
      </c>
      <c r="D165" s="36">
        <v>4847</v>
      </c>
      <c r="E165" s="36">
        <v>4800</v>
      </c>
      <c r="F165" s="36">
        <v>4739</v>
      </c>
      <c r="G165" s="31">
        <v>4839</v>
      </c>
      <c r="H165" s="31">
        <v>4799</v>
      </c>
      <c r="I165" s="31">
        <v>4742</v>
      </c>
      <c r="J165" s="31">
        <v>4827</v>
      </c>
      <c r="K165" s="31">
        <v>4900</v>
      </c>
      <c r="L165" s="31">
        <v>4900</v>
      </c>
      <c r="N165" s="33" t="s">
        <v>7695</v>
      </c>
      <c r="O165" s="4"/>
      <c r="Q165" s="4"/>
    </row>
    <row r="166" spans="1:17">
      <c r="A166" s="33" t="s">
        <v>5929</v>
      </c>
      <c r="B166" s="33" t="s">
        <v>5930</v>
      </c>
      <c r="C166" s="4" t="s">
        <v>9908</v>
      </c>
      <c r="D166" s="36">
        <v>2187</v>
      </c>
      <c r="E166" s="36">
        <v>2156</v>
      </c>
      <c r="F166" s="36">
        <v>1920</v>
      </c>
      <c r="G166" s="31">
        <v>2097</v>
      </c>
      <c r="H166" s="31">
        <v>2098</v>
      </c>
      <c r="I166" s="31">
        <v>2063</v>
      </c>
      <c r="J166" s="31">
        <v>2172</v>
      </c>
      <c r="K166" s="31">
        <v>2238</v>
      </c>
      <c r="L166" s="31">
        <v>2288</v>
      </c>
      <c r="N166" s="33" t="s">
        <v>7699</v>
      </c>
      <c r="O166" s="4"/>
      <c r="Q166" s="4"/>
    </row>
    <row r="167" spans="1:17">
      <c r="A167" s="33" t="s">
        <v>5931</v>
      </c>
      <c r="B167" s="33" t="s">
        <v>5932</v>
      </c>
      <c r="C167" s="4" t="s">
        <v>9909</v>
      </c>
      <c r="D167" s="36">
        <v>3268</v>
      </c>
      <c r="E167" s="36">
        <v>3130</v>
      </c>
      <c r="F167" s="36">
        <v>3275</v>
      </c>
      <c r="G167" s="31">
        <v>3318</v>
      </c>
      <c r="H167" s="31">
        <v>3311</v>
      </c>
      <c r="I167" s="31">
        <v>3227</v>
      </c>
      <c r="J167" s="31">
        <v>3497</v>
      </c>
      <c r="K167" s="31">
        <v>3852</v>
      </c>
      <c r="L167" s="31">
        <v>3922</v>
      </c>
      <c r="N167" s="33" t="s">
        <v>7695</v>
      </c>
      <c r="O167" s="4"/>
      <c r="Q167" s="4"/>
    </row>
    <row r="168" spans="1:17">
      <c r="A168" s="33" t="s">
        <v>5933</v>
      </c>
      <c r="B168" s="33" t="s">
        <v>5934</v>
      </c>
      <c r="C168" s="4" t="s">
        <v>9910</v>
      </c>
      <c r="D168" s="36">
        <v>2193</v>
      </c>
      <c r="E168" s="36">
        <v>2181</v>
      </c>
      <c r="F168" s="36">
        <v>2154</v>
      </c>
      <c r="G168" s="31">
        <v>2191</v>
      </c>
      <c r="H168" s="31">
        <v>2197</v>
      </c>
      <c r="I168" s="31">
        <v>2192</v>
      </c>
      <c r="J168" s="31">
        <v>2192</v>
      </c>
      <c r="K168" s="31">
        <v>2206</v>
      </c>
      <c r="L168" s="31">
        <v>2199</v>
      </c>
      <c r="N168" s="33" t="s">
        <v>7699</v>
      </c>
      <c r="O168" s="4"/>
      <c r="Q168" s="4"/>
    </row>
    <row r="169" spans="1:17">
      <c r="D169" s="39"/>
      <c r="E169" s="39"/>
      <c r="F169" s="39"/>
      <c r="G169" s="39"/>
      <c r="H169" s="39"/>
      <c r="I169" s="39"/>
      <c r="J169" s="39"/>
      <c r="K169" s="39"/>
      <c r="L169" s="39"/>
    </row>
    <row r="170" spans="1:17">
      <c r="A170" s="33" t="s">
        <v>7695</v>
      </c>
      <c r="D170" s="36">
        <f t="shared" ref="D170:I170" si="138">D139+D140+D142+SUM(D145:D154)+D156+D159+D160+SUM(D162:D165)+D167</f>
        <v>78468</v>
      </c>
      <c r="E170" s="36">
        <f t="shared" si="138"/>
        <v>77898</v>
      </c>
      <c r="F170" s="36">
        <f t="shared" si="138"/>
        <v>77293</v>
      </c>
      <c r="G170" s="36">
        <f t="shared" si="138"/>
        <v>79351</v>
      </c>
      <c r="H170" s="36">
        <f t="shared" si="138"/>
        <v>78760</v>
      </c>
      <c r="I170" s="36">
        <f t="shared" si="138"/>
        <v>77463</v>
      </c>
      <c r="J170" s="36">
        <f t="shared" ref="J170:K170" si="139">J139+J140+J142+SUM(J145:J154)+J156+J159+J160+SUM(J162:J165)+J167</f>
        <v>78963</v>
      </c>
      <c r="K170" s="36">
        <f t="shared" si="139"/>
        <v>81818</v>
      </c>
      <c r="L170" s="36">
        <f t="shared" ref="L170" si="140">L139+L140+L142+SUM(L145:L154)+L156+L159+L160+SUM(L162:L165)+L167</f>
        <v>82034</v>
      </c>
    </row>
    <row r="171" spans="1:17">
      <c r="A171" s="33" t="s">
        <v>4123</v>
      </c>
      <c r="D171" s="36">
        <f t="shared" ref="D171:I171" si="141">D141+D144+D157+D158+D166+D168</f>
        <v>24581</v>
      </c>
      <c r="E171" s="36">
        <f t="shared" si="141"/>
        <v>24376</v>
      </c>
      <c r="F171" s="36">
        <f t="shared" si="141"/>
        <v>23420</v>
      </c>
      <c r="G171" s="36">
        <f t="shared" si="141"/>
        <v>24342</v>
      </c>
      <c r="H171" s="36">
        <f t="shared" si="141"/>
        <v>24325</v>
      </c>
      <c r="I171" s="36">
        <f t="shared" si="141"/>
        <v>24108</v>
      </c>
      <c r="J171" s="36">
        <f t="shared" ref="J171:K171" si="142">J141+J144+J157+J158+J166+J168</f>
        <v>24430</v>
      </c>
      <c r="K171" s="36">
        <f t="shared" si="142"/>
        <v>24957</v>
      </c>
      <c r="L171" s="36">
        <f t="shared" ref="L171" si="143">L141+L144+L157+L158+L166+L168</f>
        <v>24982</v>
      </c>
    </row>
    <row r="172" spans="1:17">
      <c r="A172" s="33" t="s">
        <v>5935</v>
      </c>
      <c r="D172" s="36">
        <f t="shared" ref="D172:I172" si="144">D143+D155+D161</f>
        <v>10786</v>
      </c>
      <c r="E172" s="36">
        <f t="shared" si="144"/>
        <v>10791</v>
      </c>
      <c r="F172" s="36">
        <f t="shared" si="144"/>
        <v>10662</v>
      </c>
      <c r="G172" s="36">
        <f t="shared" si="144"/>
        <v>10968</v>
      </c>
      <c r="H172" s="36">
        <f t="shared" si="144"/>
        <v>10900</v>
      </c>
      <c r="I172" s="36">
        <f t="shared" si="144"/>
        <v>10865</v>
      </c>
      <c r="J172" s="36">
        <f t="shared" ref="J172:K172" si="145">J143+J155+J161</f>
        <v>11076</v>
      </c>
      <c r="K172" s="36">
        <f t="shared" si="145"/>
        <v>11377</v>
      </c>
      <c r="L172" s="36">
        <f t="shared" ref="L172" si="146">L143+L155+L161</f>
        <v>11301</v>
      </c>
    </row>
    <row r="174" spans="1:17">
      <c r="A174" s="33" t="s">
        <v>5936</v>
      </c>
    </row>
    <row r="175" spans="1:17">
      <c r="A175" s="33"/>
    </row>
    <row r="176" spans="1:17">
      <c r="A176" s="33"/>
    </row>
    <row r="177" spans="1:17">
      <c r="E177" s="42" t="s">
        <v>2303</v>
      </c>
      <c r="F177" s="42"/>
      <c r="G177" s="42"/>
      <c r="H177" s="42"/>
      <c r="I177" s="42"/>
      <c r="J177" s="42"/>
      <c r="K177" s="42"/>
      <c r="L177" s="42"/>
      <c r="M177" s="43"/>
      <c r="N177" s="25" t="s">
        <v>13319</v>
      </c>
    </row>
    <row r="178" spans="1:17">
      <c r="D178" s="42">
        <v>2010</v>
      </c>
      <c r="E178" s="42">
        <v>2011</v>
      </c>
      <c r="F178" s="42">
        <v>2012</v>
      </c>
      <c r="G178" s="42">
        <v>2013</v>
      </c>
      <c r="H178" s="42">
        <v>2014</v>
      </c>
      <c r="I178" s="42">
        <v>2015</v>
      </c>
      <c r="J178" s="42">
        <v>2016</v>
      </c>
      <c r="K178" s="42">
        <v>2017</v>
      </c>
      <c r="L178" s="42">
        <v>2018</v>
      </c>
      <c r="N178" s="44" t="s">
        <v>2304</v>
      </c>
    </row>
    <row r="179" spans="1:17">
      <c r="A179" s="33" t="s">
        <v>5813</v>
      </c>
      <c r="D179" s="36">
        <f t="shared" ref="D179:I179" si="147">SUM(D180:D202)</f>
        <v>97888</v>
      </c>
      <c r="E179" s="36">
        <f t="shared" si="147"/>
        <v>100820</v>
      </c>
      <c r="F179" s="36">
        <f t="shared" si="147"/>
        <v>102251</v>
      </c>
      <c r="G179" s="36">
        <f t="shared" si="147"/>
        <v>102413</v>
      </c>
      <c r="H179" s="36">
        <f t="shared" si="147"/>
        <v>101745</v>
      </c>
      <c r="I179" s="36">
        <f t="shared" si="147"/>
        <v>99418</v>
      </c>
      <c r="J179" s="36">
        <f t="shared" ref="J179:K179" si="148">SUM(J180:J202)</f>
        <v>97048</v>
      </c>
      <c r="K179" s="36">
        <f t="shared" si="148"/>
        <v>102100</v>
      </c>
      <c r="L179" s="36">
        <f t="shared" ref="L179" si="149">SUM(L180:L202)</f>
        <v>103106</v>
      </c>
    </row>
    <row r="180" spans="1:17">
      <c r="A180" s="33" t="s">
        <v>6957</v>
      </c>
      <c r="B180" s="33" t="s">
        <v>5937</v>
      </c>
      <c r="C180" s="4" t="s">
        <v>9927</v>
      </c>
      <c r="D180" s="36">
        <v>3772</v>
      </c>
      <c r="E180" s="36">
        <v>3906</v>
      </c>
      <c r="F180" s="36">
        <v>3838</v>
      </c>
      <c r="G180" s="36">
        <v>3811</v>
      </c>
      <c r="H180" s="48">
        <v>3858</v>
      </c>
      <c r="I180" s="48">
        <v>3775</v>
      </c>
      <c r="J180" s="48">
        <v>3643</v>
      </c>
      <c r="K180" s="48">
        <v>3822</v>
      </c>
      <c r="L180" s="48">
        <v>3873</v>
      </c>
      <c r="N180" s="33" t="s">
        <v>7713</v>
      </c>
      <c r="O180" s="4"/>
      <c r="Q180" s="4"/>
    </row>
    <row r="181" spans="1:17">
      <c r="A181" s="33" t="s">
        <v>6959</v>
      </c>
      <c r="B181" s="33" t="s">
        <v>5938</v>
      </c>
      <c r="C181" s="4" t="s">
        <v>9928</v>
      </c>
      <c r="D181" s="36">
        <v>5488</v>
      </c>
      <c r="E181" s="36">
        <v>5532</v>
      </c>
      <c r="F181" s="36">
        <v>5577</v>
      </c>
      <c r="G181" s="36">
        <v>5601</v>
      </c>
      <c r="H181" s="48">
        <v>5527</v>
      </c>
      <c r="I181" s="48">
        <v>4972</v>
      </c>
      <c r="J181" s="48">
        <v>5233</v>
      </c>
      <c r="K181" s="48">
        <v>5184</v>
      </c>
      <c r="L181" s="48">
        <v>5739</v>
      </c>
      <c r="N181" s="33" t="s">
        <v>7693</v>
      </c>
      <c r="O181" s="4"/>
      <c r="Q181" s="4"/>
    </row>
    <row r="182" spans="1:17">
      <c r="A182" s="33" t="s">
        <v>6961</v>
      </c>
      <c r="B182" s="33" t="s">
        <v>5916</v>
      </c>
      <c r="C182" s="4" t="s">
        <v>9929</v>
      </c>
      <c r="D182" s="36">
        <v>5005</v>
      </c>
      <c r="E182" s="36">
        <v>5150</v>
      </c>
      <c r="F182" s="36">
        <v>5213</v>
      </c>
      <c r="G182" s="36">
        <v>5208</v>
      </c>
      <c r="H182" s="48">
        <v>5041</v>
      </c>
      <c r="I182" s="48">
        <v>5451</v>
      </c>
      <c r="J182" s="48">
        <v>4983</v>
      </c>
      <c r="K182" s="48">
        <v>5621</v>
      </c>
      <c r="L182" s="48">
        <v>5247</v>
      </c>
      <c r="N182" s="33" t="s">
        <v>7693</v>
      </c>
      <c r="O182" s="4"/>
      <c r="Q182" s="4"/>
    </row>
    <row r="183" spans="1:17">
      <c r="A183" s="33" t="s">
        <v>6963</v>
      </c>
      <c r="B183" s="33" t="s">
        <v>5917</v>
      </c>
      <c r="C183" s="4" t="s">
        <v>9930</v>
      </c>
      <c r="D183" s="36">
        <v>5036</v>
      </c>
      <c r="E183" s="36">
        <v>5244</v>
      </c>
      <c r="F183" s="36">
        <v>5377</v>
      </c>
      <c r="G183" s="36">
        <v>5381</v>
      </c>
      <c r="H183" s="48">
        <v>5285</v>
      </c>
      <c r="I183" s="48">
        <v>5194</v>
      </c>
      <c r="J183" s="48">
        <v>4962</v>
      </c>
      <c r="K183" s="48">
        <v>5190</v>
      </c>
      <c r="L183" s="48">
        <v>5241</v>
      </c>
      <c r="N183" s="33" t="s">
        <v>7693</v>
      </c>
      <c r="O183" s="4"/>
      <c r="Q183" s="4"/>
    </row>
    <row r="184" spans="1:17">
      <c r="A184" s="33" t="s">
        <v>6965</v>
      </c>
      <c r="B184" s="33" t="s">
        <v>5918</v>
      </c>
      <c r="C184" s="4" t="s">
        <v>9931</v>
      </c>
      <c r="D184" s="36">
        <v>5292</v>
      </c>
      <c r="E184" s="36">
        <v>5438</v>
      </c>
      <c r="F184" s="36">
        <v>5594</v>
      </c>
      <c r="G184" s="36">
        <v>5596</v>
      </c>
      <c r="H184" s="48">
        <v>5490</v>
      </c>
      <c r="I184" s="48">
        <v>5406</v>
      </c>
      <c r="J184" s="48">
        <v>5299</v>
      </c>
      <c r="K184" s="48">
        <v>5526</v>
      </c>
      <c r="L184" s="48">
        <v>5511</v>
      </c>
      <c r="N184" s="33" t="s">
        <v>7693</v>
      </c>
      <c r="O184" s="4"/>
      <c r="Q184" s="4"/>
    </row>
    <row r="185" spans="1:17">
      <c r="A185" s="33" t="s">
        <v>6997</v>
      </c>
      <c r="B185" s="33" t="s">
        <v>5919</v>
      </c>
      <c r="C185" s="4" t="s">
        <v>9932</v>
      </c>
      <c r="D185" s="36">
        <v>4426</v>
      </c>
      <c r="E185" s="36">
        <v>4570</v>
      </c>
      <c r="F185" s="36">
        <v>4707</v>
      </c>
      <c r="G185" s="36">
        <v>4664</v>
      </c>
      <c r="H185" s="48">
        <v>4595</v>
      </c>
      <c r="I185" s="48">
        <v>4439</v>
      </c>
      <c r="J185" s="48">
        <v>4418</v>
      </c>
      <c r="K185" s="48">
        <v>4775</v>
      </c>
      <c r="L185" s="48">
        <v>4781</v>
      </c>
      <c r="N185" s="33" t="s">
        <v>7713</v>
      </c>
      <c r="O185" s="4"/>
      <c r="Q185" s="4"/>
    </row>
    <row r="186" spans="1:17">
      <c r="A186" s="33" t="s">
        <v>6999</v>
      </c>
      <c r="B186" s="33" t="s">
        <v>5920</v>
      </c>
      <c r="C186" s="4" t="s">
        <v>9933</v>
      </c>
      <c r="D186" s="36">
        <v>3377</v>
      </c>
      <c r="E186" s="36">
        <v>3488</v>
      </c>
      <c r="F186" s="36">
        <v>3658</v>
      </c>
      <c r="G186" s="36">
        <v>3629</v>
      </c>
      <c r="H186" s="48">
        <v>3694</v>
      </c>
      <c r="I186" s="48">
        <v>3625</v>
      </c>
      <c r="J186" s="48">
        <v>3465</v>
      </c>
      <c r="K186" s="48">
        <v>3694</v>
      </c>
      <c r="L186" s="48">
        <v>3697</v>
      </c>
      <c r="N186" s="33" t="s">
        <v>7713</v>
      </c>
      <c r="O186" s="4"/>
      <c r="Q186" s="4"/>
    </row>
    <row r="187" spans="1:17">
      <c r="A187" s="33" t="s">
        <v>7001</v>
      </c>
      <c r="B187" s="33" t="s">
        <v>5948</v>
      </c>
      <c r="C187" s="4" t="s">
        <v>9934</v>
      </c>
      <c r="D187" s="36">
        <v>5036</v>
      </c>
      <c r="E187" s="36">
        <v>5463</v>
      </c>
      <c r="F187" s="36">
        <v>5729</v>
      </c>
      <c r="G187" s="36">
        <v>5709</v>
      </c>
      <c r="H187" s="48">
        <v>5611</v>
      </c>
      <c r="I187" s="48">
        <v>5500</v>
      </c>
      <c r="J187" s="48">
        <v>5341</v>
      </c>
      <c r="K187" s="48">
        <v>5546</v>
      </c>
      <c r="L187" s="48">
        <v>5595</v>
      </c>
      <c r="N187" s="33" t="s">
        <v>7713</v>
      </c>
      <c r="O187" s="4"/>
      <c r="Q187" s="4"/>
    </row>
    <row r="188" spans="1:17">
      <c r="A188" s="33" t="s">
        <v>7003</v>
      </c>
      <c r="B188" s="33" t="s">
        <v>5949</v>
      </c>
      <c r="C188" s="4" t="s">
        <v>9935</v>
      </c>
      <c r="D188" s="36">
        <v>3355</v>
      </c>
      <c r="E188" s="36">
        <v>3634</v>
      </c>
      <c r="F188" s="36">
        <v>3662</v>
      </c>
      <c r="G188" s="36">
        <v>3687</v>
      </c>
      <c r="H188" s="48">
        <v>3550</v>
      </c>
      <c r="I188" s="48">
        <v>3475</v>
      </c>
      <c r="J188" s="48">
        <v>3406</v>
      </c>
      <c r="K188" s="48">
        <v>3598</v>
      </c>
      <c r="L188" s="48">
        <v>3558</v>
      </c>
      <c r="N188" s="33" t="s">
        <v>7713</v>
      </c>
      <c r="O188" s="4"/>
      <c r="Q188" s="4"/>
    </row>
    <row r="189" spans="1:17">
      <c r="A189" s="33" t="s">
        <v>7005</v>
      </c>
      <c r="B189" s="33" t="s">
        <v>5950</v>
      </c>
      <c r="C189" s="4" t="s">
        <v>9936</v>
      </c>
      <c r="D189" s="36">
        <v>5702</v>
      </c>
      <c r="E189" s="36">
        <v>5708</v>
      </c>
      <c r="F189" s="36">
        <v>5669</v>
      </c>
      <c r="G189" s="36">
        <v>5695</v>
      </c>
      <c r="H189" s="48">
        <v>5579</v>
      </c>
      <c r="I189" s="48">
        <v>5469</v>
      </c>
      <c r="J189" s="48">
        <v>5313</v>
      </c>
      <c r="K189" s="48">
        <v>5493</v>
      </c>
      <c r="L189" s="48">
        <v>5520</v>
      </c>
      <c r="N189" s="33" t="s">
        <v>7693</v>
      </c>
      <c r="O189" s="4"/>
      <c r="Q189" s="4"/>
    </row>
    <row r="190" spans="1:17">
      <c r="A190" s="33" t="s">
        <v>7007</v>
      </c>
      <c r="B190" s="33" t="s">
        <v>7781</v>
      </c>
      <c r="C190" s="4" t="s">
        <v>9937</v>
      </c>
      <c r="D190" s="36">
        <v>3449</v>
      </c>
      <c r="E190" s="36">
        <v>3536</v>
      </c>
      <c r="F190" s="36">
        <v>3530</v>
      </c>
      <c r="G190" s="36">
        <v>3401</v>
      </c>
      <c r="H190" s="48">
        <v>3545</v>
      </c>
      <c r="I190" s="48">
        <v>3459</v>
      </c>
      <c r="J190" s="48">
        <v>3368</v>
      </c>
      <c r="K190" s="48">
        <v>3485</v>
      </c>
      <c r="L190" s="48">
        <v>3575</v>
      </c>
      <c r="N190" s="33" t="s">
        <v>7713</v>
      </c>
      <c r="O190" s="4"/>
      <c r="Q190" s="4"/>
    </row>
    <row r="191" spans="1:17">
      <c r="A191" s="33" t="s">
        <v>7009</v>
      </c>
      <c r="B191" s="33" t="s">
        <v>7782</v>
      </c>
      <c r="C191" s="4" t="s">
        <v>9938</v>
      </c>
      <c r="D191" s="36">
        <v>1440</v>
      </c>
      <c r="E191" s="36">
        <v>1448</v>
      </c>
      <c r="F191" s="36">
        <v>1544</v>
      </c>
      <c r="G191" s="36">
        <v>1562</v>
      </c>
      <c r="H191" s="48">
        <v>1548</v>
      </c>
      <c r="I191" s="48">
        <v>1270</v>
      </c>
      <c r="J191" s="48">
        <v>1227</v>
      </c>
      <c r="K191" s="48">
        <v>1306</v>
      </c>
      <c r="L191" s="48">
        <v>1349</v>
      </c>
      <c r="N191" s="33" t="s">
        <v>7713</v>
      </c>
      <c r="O191" s="4"/>
      <c r="Q191" s="4"/>
    </row>
    <row r="192" spans="1:17">
      <c r="A192" s="33" t="s">
        <v>7011</v>
      </c>
      <c r="B192" s="33" t="s">
        <v>7783</v>
      </c>
      <c r="C192" s="4" t="s">
        <v>9939</v>
      </c>
      <c r="D192" s="36">
        <v>1748</v>
      </c>
      <c r="E192" s="36">
        <v>1755</v>
      </c>
      <c r="F192" s="36">
        <v>1792</v>
      </c>
      <c r="G192" s="36">
        <v>1813</v>
      </c>
      <c r="H192" s="48">
        <v>1808</v>
      </c>
      <c r="I192" s="48">
        <v>1767</v>
      </c>
      <c r="J192" s="48">
        <v>1711</v>
      </c>
      <c r="K192" s="48">
        <v>1769</v>
      </c>
      <c r="L192" s="48">
        <v>1772</v>
      </c>
      <c r="N192" s="33" t="s">
        <v>7713</v>
      </c>
      <c r="O192" s="4"/>
      <c r="Q192" s="4"/>
    </row>
    <row r="193" spans="1:17">
      <c r="A193" s="33" t="s">
        <v>7013</v>
      </c>
      <c r="B193" s="33" t="s">
        <v>7784</v>
      </c>
      <c r="C193" s="4" t="s">
        <v>9940</v>
      </c>
      <c r="D193" s="36">
        <v>5045</v>
      </c>
      <c r="E193" s="36">
        <v>5344</v>
      </c>
      <c r="F193" s="36">
        <v>5399</v>
      </c>
      <c r="G193" s="36">
        <v>5360</v>
      </c>
      <c r="H193" s="48">
        <v>5354</v>
      </c>
      <c r="I193" s="48">
        <v>5251</v>
      </c>
      <c r="J193" s="48">
        <v>5144</v>
      </c>
      <c r="K193" s="48">
        <v>5392</v>
      </c>
      <c r="L193" s="48">
        <v>5382</v>
      </c>
      <c r="N193" s="33" t="s">
        <v>7693</v>
      </c>
      <c r="O193" s="4"/>
      <c r="Q193" s="4"/>
    </row>
    <row r="194" spans="1:17">
      <c r="A194" s="33" t="s">
        <v>7015</v>
      </c>
      <c r="B194" s="33" t="s">
        <v>7785</v>
      </c>
      <c r="C194" s="4" t="s">
        <v>9941</v>
      </c>
      <c r="D194" s="36">
        <v>3680</v>
      </c>
      <c r="E194" s="36">
        <v>3650</v>
      </c>
      <c r="F194" s="36">
        <v>3802</v>
      </c>
      <c r="G194" s="36">
        <v>3938</v>
      </c>
      <c r="H194" s="48">
        <v>3963</v>
      </c>
      <c r="I194" s="48">
        <v>3858</v>
      </c>
      <c r="J194" s="48">
        <v>3723</v>
      </c>
      <c r="K194" s="48">
        <v>3903</v>
      </c>
      <c r="L194" s="48">
        <v>3916</v>
      </c>
      <c r="N194" s="33" t="s">
        <v>7713</v>
      </c>
      <c r="O194" s="4"/>
      <c r="Q194" s="4"/>
    </row>
    <row r="195" spans="1:17">
      <c r="A195" s="33" t="s">
        <v>7017</v>
      </c>
      <c r="B195" s="33" t="s">
        <v>7837</v>
      </c>
      <c r="C195" s="4" t="s">
        <v>9942</v>
      </c>
      <c r="D195" s="36">
        <v>4379</v>
      </c>
      <c r="E195" s="36">
        <v>4378</v>
      </c>
      <c r="F195" s="36">
        <v>4513</v>
      </c>
      <c r="G195" s="36">
        <v>4588</v>
      </c>
      <c r="H195" s="48">
        <v>4566</v>
      </c>
      <c r="I195" s="48">
        <v>4441</v>
      </c>
      <c r="J195" s="48">
        <v>4387</v>
      </c>
      <c r="K195" s="48">
        <v>4660</v>
      </c>
      <c r="L195" s="48">
        <v>4686</v>
      </c>
      <c r="N195" s="33" t="s">
        <v>7693</v>
      </c>
      <c r="O195" s="4"/>
      <c r="Q195" s="4"/>
    </row>
    <row r="196" spans="1:17">
      <c r="A196" s="33" t="s">
        <v>7019</v>
      </c>
      <c r="B196" s="33" t="s">
        <v>7838</v>
      </c>
      <c r="C196" s="4" t="s">
        <v>9943</v>
      </c>
      <c r="D196" s="36">
        <v>5176</v>
      </c>
      <c r="E196" s="36">
        <v>5386</v>
      </c>
      <c r="F196" s="36">
        <v>5476</v>
      </c>
      <c r="G196" s="36">
        <v>5524</v>
      </c>
      <c r="H196" s="48">
        <v>5487</v>
      </c>
      <c r="I196" s="48">
        <v>5353</v>
      </c>
      <c r="J196" s="48">
        <v>5295</v>
      </c>
      <c r="K196" s="48">
        <v>5635</v>
      </c>
      <c r="L196" s="48">
        <v>5787</v>
      </c>
      <c r="N196" s="33" t="s">
        <v>7693</v>
      </c>
      <c r="O196" s="4"/>
      <c r="Q196" s="4"/>
    </row>
    <row r="197" spans="1:17">
      <c r="A197" s="33" t="s">
        <v>7021</v>
      </c>
      <c r="B197" s="33" t="s">
        <v>7839</v>
      </c>
      <c r="C197" s="4" t="s">
        <v>9944</v>
      </c>
      <c r="D197" s="36">
        <v>3710</v>
      </c>
      <c r="E197" s="36">
        <v>3817</v>
      </c>
      <c r="F197" s="36">
        <v>3788</v>
      </c>
      <c r="G197" s="36">
        <v>3663</v>
      </c>
      <c r="H197" s="48">
        <v>3739</v>
      </c>
      <c r="I197" s="48">
        <v>3610</v>
      </c>
      <c r="J197" s="48">
        <v>3573</v>
      </c>
      <c r="K197" s="48">
        <v>3741</v>
      </c>
      <c r="L197" s="48">
        <v>3813</v>
      </c>
      <c r="N197" s="33" t="s">
        <v>7713</v>
      </c>
      <c r="O197" s="4"/>
      <c r="Q197" s="4"/>
    </row>
    <row r="198" spans="1:17">
      <c r="A198" s="33" t="s">
        <v>7023</v>
      </c>
      <c r="B198" s="33" t="s">
        <v>1828</v>
      </c>
      <c r="C198" s="4" t="s">
        <v>9945</v>
      </c>
      <c r="D198" s="36">
        <v>5793</v>
      </c>
      <c r="E198" s="36">
        <v>6140</v>
      </c>
      <c r="F198" s="36">
        <v>6283</v>
      </c>
      <c r="G198" s="36">
        <v>6386</v>
      </c>
      <c r="H198" s="48">
        <v>6385</v>
      </c>
      <c r="I198" s="48">
        <v>6287</v>
      </c>
      <c r="J198" s="48">
        <v>5946</v>
      </c>
      <c r="K198" s="48">
        <v>6224</v>
      </c>
      <c r="L198" s="48">
        <v>6304</v>
      </c>
      <c r="N198" s="33" t="s">
        <v>7693</v>
      </c>
      <c r="O198" s="4"/>
      <c r="Q198" s="4"/>
    </row>
    <row r="199" spans="1:17">
      <c r="A199" s="33" t="s">
        <v>7025</v>
      </c>
      <c r="B199" s="33" t="s">
        <v>2442</v>
      </c>
      <c r="C199" s="4" t="s">
        <v>9946</v>
      </c>
      <c r="D199" s="36">
        <v>3496</v>
      </c>
      <c r="E199" s="36">
        <v>3561</v>
      </c>
      <c r="F199" s="36">
        <v>3536</v>
      </c>
      <c r="G199" s="36">
        <v>3551</v>
      </c>
      <c r="H199" s="48">
        <v>3634</v>
      </c>
      <c r="I199" s="48">
        <v>3527</v>
      </c>
      <c r="J199" s="48">
        <v>3536</v>
      </c>
      <c r="K199" s="48">
        <v>3721</v>
      </c>
      <c r="L199" s="48">
        <v>3761</v>
      </c>
      <c r="N199" s="33" t="s">
        <v>7713</v>
      </c>
      <c r="O199" s="4"/>
      <c r="Q199" s="4"/>
    </row>
    <row r="200" spans="1:17">
      <c r="A200" s="33" t="s">
        <v>7570</v>
      </c>
      <c r="B200" s="33" t="s">
        <v>7840</v>
      </c>
      <c r="C200" s="4" t="s">
        <v>9947</v>
      </c>
      <c r="D200" s="36">
        <v>5332</v>
      </c>
      <c r="E200" s="36">
        <v>5446</v>
      </c>
      <c r="F200" s="36">
        <v>5478</v>
      </c>
      <c r="G200" s="36">
        <v>5466</v>
      </c>
      <c r="H200" s="48">
        <v>5327</v>
      </c>
      <c r="I200" s="48">
        <v>5271</v>
      </c>
      <c r="J200" s="48">
        <v>5105</v>
      </c>
      <c r="K200" s="48">
        <v>5350</v>
      </c>
      <c r="L200" s="48">
        <v>5400</v>
      </c>
      <c r="N200" s="33" t="s">
        <v>7693</v>
      </c>
      <c r="O200" s="4"/>
      <c r="Q200" s="4"/>
    </row>
    <row r="201" spans="1:17">
      <c r="A201" s="49">
        <v>22</v>
      </c>
      <c r="B201" s="33" t="s">
        <v>7841</v>
      </c>
      <c r="C201" s="4" t="s">
        <v>9948</v>
      </c>
      <c r="D201" s="36">
        <v>3511</v>
      </c>
      <c r="E201" s="36">
        <v>3569</v>
      </c>
      <c r="F201" s="36">
        <v>3581</v>
      </c>
      <c r="G201" s="36">
        <v>3594</v>
      </c>
      <c r="H201" s="48">
        <v>3632</v>
      </c>
      <c r="I201" s="48">
        <v>4473</v>
      </c>
      <c r="J201" s="48">
        <v>3489</v>
      </c>
      <c r="K201" s="48">
        <v>4756</v>
      </c>
      <c r="L201" s="48">
        <v>3763</v>
      </c>
      <c r="N201" s="33" t="s">
        <v>7713</v>
      </c>
      <c r="O201" s="4"/>
      <c r="Q201" s="4"/>
    </row>
    <row r="202" spans="1:17">
      <c r="A202" s="49">
        <v>23</v>
      </c>
      <c r="B202" s="33" t="s">
        <v>7842</v>
      </c>
      <c r="C202" s="4" t="s">
        <v>9949</v>
      </c>
      <c r="D202" s="36">
        <v>4640</v>
      </c>
      <c r="E202" s="36">
        <v>4657</v>
      </c>
      <c r="F202" s="36">
        <v>4505</v>
      </c>
      <c r="G202" s="36">
        <v>4586</v>
      </c>
      <c r="H202" s="48">
        <v>4527</v>
      </c>
      <c r="I202" s="48">
        <v>3545</v>
      </c>
      <c r="J202" s="48">
        <v>4481</v>
      </c>
      <c r="K202" s="48">
        <v>3709</v>
      </c>
      <c r="L202" s="48">
        <v>4836</v>
      </c>
      <c r="N202" s="33" t="s">
        <v>7713</v>
      </c>
      <c r="O202" s="4"/>
      <c r="Q202" s="4"/>
    </row>
    <row r="203" spans="1:17">
      <c r="D203" s="39"/>
      <c r="E203" s="39"/>
      <c r="F203" s="39"/>
      <c r="G203" s="39"/>
      <c r="H203" s="39"/>
      <c r="I203" s="39"/>
      <c r="J203" s="39"/>
      <c r="K203" s="39"/>
      <c r="L203" s="39"/>
    </row>
    <row r="204" spans="1:17">
      <c r="A204" s="33" t="s">
        <v>7843</v>
      </c>
      <c r="D204" s="36">
        <f t="shared" ref="D204:I204" si="150">SUM(D181:D184)+D189+D193+D195+D196+D198+D200</f>
        <v>52248</v>
      </c>
      <c r="E204" s="36">
        <f t="shared" si="150"/>
        <v>53766</v>
      </c>
      <c r="F204" s="36">
        <f t="shared" si="150"/>
        <v>54579</v>
      </c>
      <c r="G204" s="36">
        <f t="shared" si="150"/>
        <v>54805</v>
      </c>
      <c r="H204" s="36">
        <f t="shared" si="150"/>
        <v>54041</v>
      </c>
      <c r="I204" s="36">
        <f t="shared" si="150"/>
        <v>53095</v>
      </c>
      <c r="J204" s="36">
        <f t="shared" ref="J204:K204" si="151">SUM(J181:J184)+J189+J193+J195+J196+J198+J200</f>
        <v>51667</v>
      </c>
      <c r="K204" s="36">
        <f t="shared" si="151"/>
        <v>54275</v>
      </c>
      <c r="L204" s="36">
        <f t="shared" ref="L204" si="152">SUM(L181:L184)+L189+L193+L195+L196+L198+L200</f>
        <v>54817</v>
      </c>
    </row>
    <row r="205" spans="1:17">
      <c r="A205" s="33" t="s">
        <v>5992</v>
      </c>
      <c r="D205" s="36">
        <f t="shared" ref="D205:I205" si="153">D180+SUM(D185:D188)+SUM(D190:D192)+D194+D197+D199+D201+D202</f>
        <v>45640</v>
      </c>
      <c r="E205" s="36">
        <f t="shared" si="153"/>
        <v>47054</v>
      </c>
      <c r="F205" s="36">
        <f t="shared" si="153"/>
        <v>47672</v>
      </c>
      <c r="G205" s="36">
        <f t="shared" si="153"/>
        <v>47608</v>
      </c>
      <c r="H205" s="36">
        <f t="shared" si="153"/>
        <v>47704</v>
      </c>
      <c r="I205" s="36">
        <f t="shared" si="153"/>
        <v>46323</v>
      </c>
      <c r="J205" s="36">
        <f t="shared" ref="J205:K205" si="154">J180+SUM(J185:J188)+SUM(J190:J192)+J194+J197+J199+J201+J202</f>
        <v>45381</v>
      </c>
      <c r="K205" s="36">
        <f t="shared" si="154"/>
        <v>47825</v>
      </c>
      <c r="L205" s="36">
        <f t="shared" ref="L205" si="155">L180+SUM(L185:L188)+SUM(L190:L192)+L194+L197+L199+L201+L202</f>
        <v>48289</v>
      </c>
    </row>
    <row r="206" spans="1:17">
      <c r="A206" s="33"/>
      <c r="B206" s="33"/>
      <c r="D206" s="47"/>
      <c r="E206" s="47"/>
      <c r="F206" s="47"/>
      <c r="G206" s="47"/>
      <c r="H206" s="47"/>
      <c r="I206" s="47"/>
      <c r="J206" s="47"/>
      <c r="K206" s="47"/>
      <c r="L206" s="47"/>
    </row>
    <row r="207" spans="1:17">
      <c r="A207" s="33" t="s">
        <v>7759</v>
      </c>
      <c r="B207" s="33"/>
      <c r="D207" s="47"/>
      <c r="E207" s="47"/>
      <c r="F207" s="47"/>
      <c r="G207" s="47"/>
      <c r="H207" s="47"/>
      <c r="I207" s="47"/>
      <c r="J207" s="47"/>
      <c r="K207" s="47"/>
      <c r="L207" s="47"/>
    </row>
    <row r="208" spans="1:17">
      <c r="A208" s="33"/>
      <c r="B208" s="33"/>
      <c r="D208" s="47"/>
      <c r="E208" s="47"/>
      <c r="F208" s="47"/>
      <c r="G208" s="47"/>
      <c r="H208" s="47"/>
      <c r="I208" s="47"/>
      <c r="J208" s="47"/>
      <c r="K208" s="47"/>
      <c r="L208" s="47"/>
    </row>
    <row r="209" spans="1:17">
      <c r="A209" s="33"/>
      <c r="B209" s="33"/>
      <c r="D209" s="47"/>
      <c r="E209" s="47"/>
      <c r="F209" s="47"/>
      <c r="G209" s="47"/>
      <c r="H209" s="47"/>
      <c r="I209" s="47"/>
      <c r="J209" s="47"/>
      <c r="K209" s="47"/>
      <c r="L209" s="47"/>
    </row>
    <row r="210" spans="1:17">
      <c r="E210" s="42" t="s">
        <v>2303</v>
      </c>
      <c r="F210" s="42"/>
      <c r="G210" s="42"/>
      <c r="H210" s="42"/>
      <c r="I210" s="42"/>
      <c r="J210" s="42"/>
      <c r="K210" s="42"/>
      <c r="L210" s="42"/>
      <c r="M210" s="43"/>
      <c r="N210" s="25" t="s">
        <v>13319</v>
      </c>
    </row>
    <row r="211" spans="1:17">
      <c r="D211" s="42">
        <v>2010</v>
      </c>
      <c r="E211" s="42">
        <v>2011</v>
      </c>
      <c r="F211" s="42">
        <v>2012</v>
      </c>
      <c r="G211" s="42">
        <v>2013</v>
      </c>
      <c r="H211" s="42">
        <v>2014</v>
      </c>
      <c r="I211" s="42">
        <v>2015</v>
      </c>
      <c r="J211" s="42">
        <v>2016</v>
      </c>
      <c r="K211" s="42">
        <v>2017</v>
      </c>
      <c r="L211" s="42">
        <v>2018</v>
      </c>
      <c r="N211" s="44" t="s">
        <v>2304</v>
      </c>
    </row>
    <row r="212" spans="1:17">
      <c r="A212" s="33" t="s">
        <v>5814</v>
      </c>
      <c r="D212" s="36">
        <f t="shared" ref="D212:I212" si="156">SUM(D213:D237)</f>
        <v>118450</v>
      </c>
      <c r="E212" s="36">
        <f t="shared" si="156"/>
        <v>117640</v>
      </c>
      <c r="F212" s="36">
        <f t="shared" si="156"/>
        <v>118427</v>
      </c>
      <c r="G212" s="36">
        <f t="shared" si="156"/>
        <v>118694</v>
      </c>
      <c r="H212" s="36">
        <f t="shared" si="156"/>
        <v>119191</v>
      </c>
      <c r="I212" s="36">
        <f t="shared" si="156"/>
        <v>117037</v>
      </c>
      <c r="J212" s="36">
        <f t="shared" ref="J212:K212" si="157">SUM(J213:J237)</f>
        <v>118059</v>
      </c>
      <c r="K212" s="36">
        <f t="shared" si="157"/>
        <v>121681</v>
      </c>
      <c r="L212" s="36">
        <f t="shared" ref="L212" si="158">SUM(L213:L237)</f>
        <v>120451</v>
      </c>
    </row>
    <row r="213" spans="1:17">
      <c r="A213" s="49">
        <v>1</v>
      </c>
      <c r="B213" s="33" t="s">
        <v>7760</v>
      </c>
      <c r="C213" s="4" t="s">
        <v>9950</v>
      </c>
      <c r="D213" s="36">
        <v>2057</v>
      </c>
      <c r="E213" s="36">
        <v>2072</v>
      </c>
      <c r="F213" s="36">
        <v>2093</v>
      </c>
      <c r="G213" s="48">
        <v>2092</v>
      </c>
      <c r="H213" s="48">
        <v>2044</v>
      </c>
      <c r="I213" s="30">
        <v>1941</v>
      </c>
      <c r="J213" s="30">
        <v>1927</v>
      </c>
      <c r="K213" s="30">
        <v>2021</v>
      </c>
      <c r="L213" s="30">
        <v>1954</v>
      </c>
      <c r="N213" s="33" t="s">
        <v>7714</v>
      </c>
      <c r="O213" s="4"/>
      <c r="Q213" s="4"/>
    </row>
    <row r="214" spans="1:17">
      <c r="A214" s="49">
        <v>2</v>
      </c>
      <c r="B214" s="33" t="s">
        <v>7761</v>
      </c>
      <c r="C214" s="4" t="s">
        <v>9951</v>
      </c>
      <c r="D214" s="36">
        <v>2576</v>
      </c>
      <c r="E214" s="36">
        <v>2581</v>
      </c>
      <c r="F214" s="36">
        <v>2569</v>
      </c>
      <c r="G214" s="48">
        <v>2584</v>
      </c>
      <c r="H214" s="48">
        <v>2608</v>
      </c>
      <c r="I214" s="30">
        <v>2575</v>
      </c>
      <c r="J214" s="30">
        <v>2544</v>
      </c>
      <c r="K214" s="30">
        <v>2580</v>
      </c>
      <c r="L214" s="30">
        <v>2654</v>
      </c>
      <c r="N214" s="33" t="s">
        <v>7714</v>
      </c>
      <c r="O214" s="4"/>
      <c r="Q214" s="4"/>
    </row>
    <row r="215" spans="1:17">
      <c r="A215" s="49">
        <v>3</v>
      </c>
      <c r="B215" s="33" t="s">
        <v>7762</v>
      </c>
      <c r="C215" s="4" t="s">
        <v>9952</v>
      </c>
      <c r="D215" s="36">
        <v>6516</v>
      </c>
      <c r="E215" s="36">
        <v>6464</v>
      </c>
      <c r="F215" s="36">
        <v>6478</v>
      </c>
      <c r="G215" s="48">
        <v>6423</v>
      </c>
      <c r="H215" s="48">
        <v>6511</v>
      </c>
      <c r="I215" s="30">
        <v>6409</v>
      </c>
      <c r="J215" s="30">
        <v>6491</v>
      </c>
      <c r="K215" s="30">
        <v>6794</v>
      </c>
      <c r="L215" s="30">
        <v>6772</v>
      </c>
      <c r="N215" s="33" t="s">
        <v>7697</v>
      </c>
      <c r="O215" s="4"/>
      <c r="Q215" s="4"/>
    </row>
    <row r="216" spans="1:17">
      <c r="A216" s="49">
        <v>4</v>
      </c>
      <c r="B216" s="33" t="s">
        <v>7763</v>
      </c>
      <c r="C216" s="4" t="s">
        <v>9953</v>
      </c>
      <c r="D216" s="36">
        <v>2297</v>
      </c>
      <c r="E216" s="36">
        <v>2272</v>
      </c>
      <c r="F216" s="36">
        <v>2303</v>
      </c>
      <c r="G216" s="48">
        <v>2369</v>
      </c>
      <c r="H216" s="48">
        <v>2335</v>
      </c>
      <c r="I216" s="30">
        <v>2302</v>
      </c>
      <c r="J216" s="30">
        <v>2334</v>
      </c>
      <c r="K216" s="30">
        <v>2358</v>
      </c>
      <c r="L216" s="30">
        <v>2327</v>
      </c>
      <c r="N216" s="33" t="s">
        <v>7693</v>
      </c>
      <c r="O216" s="4"/>
      <c r="Q216" s="4"/>
    </row>
    <row r="217" spans="1:17">
      <c r="A217" s="49">
        <v>5</v>
      </c>
      <c r="B217" s="33" t="s">
        <v>7764</v>
      </c>
      <c r="C217" s="4" t="s">
        <v>9954</v>
      </c>
      <c r="D217" s="36">
        <v>4546</v>
      </c>
      <c r="E217" s="36">
        <v>4457</v>
      </c>
      <c r="F217" s="36">
        <v>4444</v>
      </c>
      <c r="G217" s="48">
        <v>4459</v>
      </c>
      <c r="H217" s="48">
        <v>4441</v>
      </c>
      <c r="I217" s="30">
        <v>4378</v>
      </c>
      <c r="J217" s="30">
        <v>4381</v>
      </c>
      <c r="K217" s="30">
        <v>4447</v>
      </c>
      <c r="L217" s="30">
        <v>4347</v>
      </c>
      <c r="N217" s="33" t="s">
        <v>7693</v>
      </c>
      <c r="O217" s="4"/>
      <c r="Q217" s="4"/>
    </row>
    <row r="218" spans="1:17">
      <c r="A218" s="49">
        <v>6</v>
      </c>
      <c r="B218" s="33" t="s">
        <v>6909</v>
      </c>
      <c r="C218" s="4" t="s">
        <v>9955</v>
      </c>
      <c r="D218" s="36">
        <v>6309</v>
      </c>
      <c r="E218" s="36">
        <v>6250</v>
      </c>
      <c r="F218" s="36">
        <v>6295</v>
      </c>
      <c r="G218" s="48">
        <v>6326</v>
      </c>
      <c r="H218" s="48">
        <v>6453</v>
      </c>
      <c r="I218" s="30">
        <v>6414</v>
      </c>
      <c r="J218" s="30">
        <v>6466</v>
      </c>
      <c r="K218" s="30">
        <v>6639</v>
      </c>
      <c r="L218" s="30">
        <v>6499</v>
      </c>
      <c r="N218" s="33" t="s">
        <v>7714</v>
      </c>
      <c r="O218" s="4"/>
      <c r="Q218" s="4"/>
    </row>
    <row r="219" spans="1:17">
      <c r="A219" s="49">
        <v>7</v>
      </c>
      <c r="B219" s="33" t="s">
        <v>6910</v>
      </c>
      <c r="C219" s="4" t="s">
        <v>9956</v>
      </c>
      <c r="D219" s="36">
        <v>6704</v>
      </c>
      <c r="E219" s="36">
        <v>6650</v>
      </c>
      <c r="F219" s="36">
        <v>6654</v>
      </c>
      <c r="G219" s="48">
        <v>6705</v>
      </c>
      <c r="H219" s="48">
        <v>6878</v>
      </c>
      <c r="I219" s="31">
        <v>6838</v>
      </c>
      <c r="J219" s="31">
        <v>6819</v>
      </c>
      <c r="K219" s="31">
        <v>7111</v>
      </c>
      <c r="L219" s="31">
        <v>6968</v>
      </c>
      <c r="N219" s="33" t="s">
        <v>7714</v>
      </c>
      <c r="O219" s="4"/>
      <c r="Q219" s="4"/>
    </row>
    <row r="220" spans="1:17">
      <c r="A220" s="49">
        <v>8</v>
      </c>
      <c r="B220" s="33" t="s">
        <v>6911</v>
      </c>
      <c r="C220" s="4" t="s">
        <v>9957</v>
      </c>
      <c r="D220" s="36">
        <v>4265</v>
      </c>
      <c r="E220" s="36">
        <v>4258</v>
      </c>
      <c r="F220" s="36">
        <v>4254</v>
      </c>
      <c r="G220" s="48">
        <v>4239</v>
      </c>
      <c r="H220" s="48">
        <v>4265</v>
      </c>
      <c r="I220" s="30">
        <v>4258</v>
      </c>
      <c r="J220" s="30">
        <v>4302</v>
      </c>
      <c r="K220" s="30">
        <v>4351</v>
      </c>
      <c r="L220" s="30">
        <v>4293</v>
      </c>
      <c r="N220" s="33" t="s">
        <v>7690</v>
      </c>
      <c r="O220" s="4"/>
      <c r="Q220" s="4"/>
    </row>
    <row r="221" spans="1:17">
      <c r="A221" s="49">
        <v>9</v>
      </c>
      <c r="B221" s="33" t="s">
        <v>6912</v>
      </c>
      <c r="C221" s="4" t="s">
        <v>9958</v>
      </c>
      <c r="D221" s="36">
        <v>4468</v>
      </c>
      <c r="E221" s="36">
        <v>4397</v>
      </c>
      <c r="F221" s="36">
        <v>4383</v>
      </c>
      <c r="G221" s="48">
        <v>4426</v>
      </c>
      <c r="H221" s="48">
        <v>4482</v>
      </c>
      <c r="I221" s="30">
        <v>4367</v>
      </c>
      <c r="J221" s="30">
        <v>4341</v>
      </c>
      <c r="K221" s="30">
        <v>4421</v>
      </c>
      <c r="L221" s="30">
        <v>4331</v>
      </c>
      <c r="N221" s="33" t="s">
        <v>7690</v>
      </c>
      <c r="O221" s="4"/>
      <c r="Q221" s="4"/>
    </row>
    <row r="222" spans="1:17">
      <c r="A222" s="49">
        <v>10</v>
      </c>
      <c r="B222" s="33" t="s">
        <v>6913</v>
      </c>
      <c r="C222" s="4" t="s">
        <v>9959</v>
      </c>
      <c r="D222" s="36">
        <v>6964</v>
      </c>
      <c r="E222" s="36">
        <v>6868</v>
      </c>
      <c r="F222" s="36">
        <v>6881</v>
      </c>
      <c r="G222" s="48">
        <v>6918</v>
      </c>
      <c r="H222" s="48">
        <v>6863</v>
      </c>
      <c r="I222" s="31">
        <v>6754</v>
      </c>
      <c r="J222" s="31">
        <v>6678</v>
      </c>
      <c r="K222" s="31">
        <v>6850</v>
      </c>
      <c r="L222" s="31">
        <v>6649</v>
      </c>
      <c r="N222" s="33" t="s">
        <v>7714</v>
      </c>
      <c r="O222" s="4"/>
      <c r="Q222" s="4"/>
    </row>
    <row r="223" spans="1:17">
      <c r="A223" s="49">
        <v>11</v>
      </c>
      <c r="B223" s="33" t="s">
        <v>6914</v>
      </c>
      <c r="C223" s="4" t="s">
        <v>9960</v>
      </c>
      <c r="D223" s="36">
        <v>6590</v>
      </c>
      <c r="E223" s="36">
        <v>6522</v>
      </c>
      <c r="F223" s="36">
        <v>6563</v>
      </c>
      <c r="G223" s="48">
        <v>6356</v>
      </c>
      <c r="H223" s="48">
        <v>6320</v>
      </c>
      <c r="I223" s="31">
        <v>6304</v>
      </c>
      <c r="J223" s="31">
        <v>6267</v>
      </c>
      <c r="K223" s="31">
        <v>6456</v>
      </c>
      <c r="L223" s="31">
        <v>6342</v>
      </c>
      <c r="N223" s="33" t="s">
        <v>7714</v>
      </c>
      <c r="O223" s="4"/>
      <c r="Q223" s="4"/>
    </row>
    <row r="224" spans="1:17">
      <c r="A224" s="49">
        <v>12</v>
      </c>
      <c r="B224" s="33" t="s">
        <v>6915</v>
      </c>
      <c r="C224" s="4" t="s">
        <v>9961</v>
      </c>
      <c r="D224" s="36">
        <v>2146</v>
      </c>
      <c r="E224" s="36">
        <v>2153</v>
      </c>
      <c r="F224" s="36">
        <v>2152</v>
      </c>
      <c r="G224" s="48">
        <v>2148</v>
      </c>
      <c r="H224" s="48">
        <v>2182</v>
      </c>
      <c r="I224" s="30">
        <v>2173</v>
      </c>
      <c r="J224" s="30">
        <v>2185</v>
      </c>
      <c r="K224" s="30">
        <v>2269</v>
      </c>
      <c r="L224" s="30">
        <v>2218</v>
      </c>
      <c r="N224" s="33" t="s">
        <v>7693</v>
      </c>
      <c r="O224" s="4"/>
      <c r="Q224" s="4"/>
    </row>
    <row r="225" spans="1:17">
      <c r="A225" s="49">
        <v>13</v>
      </c>
      <c r="B225" s="33" t="s">
        <v>6916</v>
      </c>
      <c r="C225" s="4" t="s">
        <v>9962</v>
      </c>
      <c r="D225" s="36">
        <v>6619</v>
      </c>
      <c r="E225" s="36">
        <v>6581</v>
      </c>
      <c r="F225" s="36">
        <v>6816</v>
      </c>
      <c r="G225" s="48">
        <v>6805</v>
      </c>
      <c r="H225" s="48">
        <v>6832</v>
      </c>
      <c r="I225" s="30">
        <v>6755</v>
      </c>
      <c r="J225" s="30">
        <v>6784</v>
      </c>
      <c r="K225" s="30">
        <v>7025</v>
      </c>
      <c r="L225" s="30">
        <v>7001</v>
      </c>
      <c r="N225" s="33" t="s">
        <v>7697</v>
      </c>
      <c r="O225" s="4"/>
      <c r="Q225" s="4"/>
    </row>
    <row r="226" spans="1:17">
      <c r="A226" s="49">
        <v>14</v>
      </c>
      <c r="B226" s="33" t="s">
        <v>6917</v>
      </c>
      <c r="C226" s="4" t="s">
        <v>9963</v>
      </c>
      <c r="D226" s="36">
        <v>7348</v>
      </c>
      <c r="E226" s="36">
        <v>6861</v>
      </c>
      <c r="F226" s="36">
        <v>6915</v>
      </c>
      <c r="G226" s="48">
        <v>7472</v>
      </c>
      <c r="H226" s="48">
        <v>7342</v>
      </c>
      <c r="I226" s="31">
        <v>6615</v>
      </c>
      <c r="J226" s="31">
        <v>6570</v>
      </c>
      <c r="K226" s="31">
        <v>7002</v>
      </c>
      <c r="L226" s="31">
        <v>6605</v>
      </c>
      <c r="N226" s="33" t="s">
        <v>7714</v>
      </c>
      <c r="O226" s="4"/>
      <c r="Q226" s="4"/>
    </row>
    <row r="227" spans="1:17">
      <c r="A227" s="49">
        <v>15</v>
      </c>
      <c r="B227" s="33" t="s">
        <v>6918</v>
      </c>
      <c r="C227" s="4" t="s">
        <v>9964</v>
      </c>
      <c r="D227" s="36">
        <v>6630</v>
      </c>
      <c r="E227" s="36">
        <v>6638</v>
      </c>
      <c r="F227" s="36">
        <v>6716</v>
      </c>
      <c r="G227" s="48">
        <v>6729</v>
      </c>
      <c r="H227" s="48">
        <v>6857</v>
      </c>
      <c r="I227" s="31">
        <v>6731</v>
      </c>
      <c r="J227" s="31">
        <v>6915</v>
      </c>
      <c r="K227" s="31">
        <v>7169</v>
      </c>
      <c r="L227" s="31">
        <v>7209</v>
      </c>
      <c r="N227" s="33" t="s">
        <v>7714</v>
      </c>
      <c r="O227" s="4"/>
      <c r="Q227" s="4"/>
    </row>
    <row r="228" spans="1:17">
      <c r="A228" s="49">
        <v>16</v>
      </c>
      <c r="B228" s="33" t="s">
        <v>7770</v>
      </c>
      <c r="C228" s="4" t="s">
        <v>9965</v>
      </c>
      <c r="D228" s="36">
        <v>4325</v>
      </c>
      <c r="E228" s="36">
        <v>4330</v>
      </c>
      <c r="F228" s="36">
        <v>4348</v>
      </c>
      <c r="G228" s="48">
        <v>4371</v>
      </c>
      <c r="H228" s="48">
        <v>4328</v>
      </c>
      <c r="I228" s="30">
        <v>4274</v>
      </c>
      <c r="J228" s="30">
        <v>4275</v>
      </c>
      <c r="K228" s="30">
        <v>4403</v>
      </c>
      <c r="L228" s="30">
        <v>4251</v>
      </c>
      <c r="N228" s="33" t="s">
        <v>7693</v>
      </c>
      <c r="O228" s="4"/>
      <c r="Q228" s="4"/>
    </row>
    <row r="229" spans="1:17">
      <c r="A229" s="49">
        <v>17</v>
      </c>
      <c r="B229" s="33" t="s">
        <v>7798</v>
      </c>
      <c r="C229" s="4" t="s">
        <v>9966</v>
      </c>
      <c r="D229" s="36">
        <v>2256</v>
      </c>
      <c r="E229" s="36">
        <v>2248</v>
      </c>
      <c r="F229" s="36">
        <v>2348</v>
      </c>
      <c r="G229" s="48">
        <v>2386</v>
      </c>
      <c r="H229" s="48">
        <v>2373</v>
      </c>
      <c r="I229" s="31">
        <v>2318</v>
      </c>
      <c r="J229" s="31">
        <v>2371</v>
      </c>
      <c r="K229" s="31">
        <v>2374</v>
      </c>
      <c r="L229" s="31">
        <v>2300</v>
      </c>
      <c r="N229" s="33" t="s">
        <v>7714</v>
      </c>
      <c r="O229" s="4"/>
      <c r="Q229" s="4"/>
    </row>
    <row r="230" spans="1:17">
      <c r="A230" s="49">
        <v>18</v>
      </c>
      <c r="B230" s="33" t="s">
        <v>7799</v>
      </c>
      <c r="C230" s="4" t="s">
        <v>9967</v>
      </c>
      <c r="D230" s="36">
        <v>4943</v>
      </c>
      <c r="E230" s="36">
        <v>5066</v>
      </c>
      <c r="F230" s="36">
        <v>5119</v>
      </c>
      <c r="G230" s="48">
        <v>5125</v>
      </c>
      <c r="H230" s="48">
        <v>5319</v>
      </c>
      <c r="I230" s="31">
        <v>5366</v>
      </c>
      <c r="J230" s="31">
        <v>5515</v>
      </c>
      <c r="K230" s="31">
        <v>5748</v>
      </c>
      <c r="L230" s="31">
        <v>6072</v>
      </c>
      <c r="N230" s="33" t="s">
        <v>7714</v>
      </c>
      <c r="O230" s="4"/>
      <c r="Q230" s="4"/>
    </row>
    <row r="231" spans="1:17">
      <c r="A231" s="49">
        <v>19</v>
      </c>
      <c r="B231" s="33" t="s">
        <v>7800</v>
      </c>
      <c r="C231" s="4" t="s">
        <v>9968</v>
      </c>
      <c r="D231" s="36">
        <v>2526</v>
      </c>
      <c r="E231" s="36">
        <v>2566</v>
      </c>
      <c r="F231" s="36">
        <v>2546</v>
      </c>
      <c r="G231" s="48">
        <v>2560</v>
      </c>
      <c r="H231" s="48">
        <v>2522</v>
      </c>
      <c r="I231" s="30">
        <v>2528</v>
      </c>
      <c r="J231" s="30">
        <v>2541</v>
      </c>
      <c r="K231" s="30">
        <v>2572</v>
      </c>
      <c r="L231" s="30">
        <v>2536</v>
      </c>
      <c r="N231" s="33" t="s">
        <v>7693</v>
      </c>
      <c r="O231" s="4"/>
      <c r="Q231" s="4"/>
    </row>
    <row r="232" spans="1:17">
      <c r="A232" s="49">
        <v>20</v>
      </c>
      <c r="B232" s="33" t="s">
        <v>7801</v>
      </c>
      <c r="C232" s="4" t="s">
        <v>9969</v>
      </c>
      <c r="D232" s="36">
        <v>4554</v>
      </c>
      <c r="E232" s="36">
        <v>4514</v>
      </c>
      <c r="F232" s="36">
        <v>4394</v>
      </c>
      <c r="G232" s="48">
        <v>3978</v>
      </c>
      <c r="H232" s="48">
        <v>3971</v>
      </c>
      <c r="I232" s="30">
        <v>3902</v>
      </c>
      <c r="J232" s="30">
        <v>3972</v>
      </c>
      <c r="K232" s="30">
        <v>4085</v>
      </c>
      <c r="L232" s="30">
        <v>4257</v>
      </c>
      <c r="N232" s="33" t="s">
        <v>7697</v>
      </c>
      <c r="O232" s="4"/>
      <c r="Q232" s="4"/>
    </row>
    <row r="233" spans="1:17">
      <c r="A233" s="49">
        <v>21</v>
      </c>
      <c r="B233" s="33" t="s">
        <v>7802</v>
      </c>
      <c r="C233" s="4" t="s">
        <v>9970</v>
      </c>
      <c r="D233" s="36">
        <v>2216</v>
      </c>
      <c r="E233" s="36">
        <v>2247</v>
      </c>
      <c r="F233" s="36">
        <v>2264</v>
      </c>
      <c r="G233" s="48">
        <v>2283</v>
      </c>
      <c r="H233" s="48">
        <v>2302</v>
      </c>
      <c r="I233" s="31">
        <v>2225</v>
      </c>
      <c r="J233" s="31">
        <v>2270</v>
      </c>
      <c r="K233" s="31">
        <v>2252</v>
      </c>
      <c r="L233" s="31">
        <v>2294</v>
      </c>
      <c r="N233" s="33" t="s">
        <v>7714</v>
      </c>
      <c r="O233" s="4"/>
      <c r="Q233" s="4"/>
    </row>
    <row r="234" spans="1:17">
      <c r="A234" s="49">
        <v>22</v>
      </c>
      <c r="B234" s="33" t="s">
        <v>7803</v>
      </c>
      <c r="C234" s="4" t="s">
        <v>9971</v>
      </c>
      <c r="D234" s="36">
        <v>4480</v>
      </c>
      <c r="E234" s="36">
        <v>4484</v>
      </c>
      <c r="F234" s="36">
        <v>4504</v>
      </c>
      <c r="G234" s="48">
        <v>4487</v>
      </c>
      <c r="H234" s="48">
        <v>4465</v>
      </c>
      <c r="I234" s="30">
        <v>4359</v>
      </c>
      <c r="J234" s="30">
        <v>4451</v>
      </c>
      <c r="K234" s="30">
        <v>4519</v>
      </c>
      <c r="L234" s="30">
        <v>4455</v>
      </c>
      <c r="N234" s="33" t="s">
        <v>7693</v>
      </c>
      <c r="O234" s="4"/>
      <c r="Q234" s="4"/>
    </row>
    <row r="235" spans="1:17">
      <c r="A235" s="49">
        <v>23</v>
      </c>
      <c r="B235" s="33" t="s">
        <v>7804</v>
      </c>
      <c r="C235" s="4" t="s">
        <v>9972</v>
      </c>
      <c r="D235" s="39">
        <v>4123</v>
      </c>
      <c r="E235" s="39">
        <v>4151</v>
      </c>
      <c r="F235" s="39">
        <v>4185</v>
      </c>
      <c r="G235" s="48">
        <v>4173</v>
      </c>
      <c r="H235" s="48">
        <v>4131</v>
      </c>
      <c r="I235" s="31">
        <v>4066</v>
      </c>
      <c r="J235" s="31">
        <v>4290</v>
      </c>
      <c r="K235" s="31">
        <v>4701</v>
      </c>
      <c r="L235" s="31">
        <v>4804</v>
      </c>
      <c r="N235" s="33" t="s">
        <v>7714</v>
      </c>
      <c r="O235" s="4"/>
      <c r="Q235" s="4"/>
    </row>
    <row r="236" spans="1:17">
      <c r="A236" s="49">
        <v>24</v>
      </c>
      <c r="B236" s="33" t="s">
        <v>7805</v>
      </c>
      <c r="C236" s="4" t="s">
        <v>9973</v>
      </c>
      <c r="D236" s="39">
        <v>6876</v>
      </c>
      <c r="E236" s="39">
        <v>6941</v>
      </c>
      <c r="F236" s="39">
        <v>7105</v>
      </c>
      <c r="G236" s="48">
        <v>7154</v>
      </c>
      <c r="H236" s="48">
        <v>7247</v>
      </c>
      <c r="I236" s="31">
        <v>7117</v>
      </c>
      <c r="J236" s="31">
        <v>7197</v>
      </c>
      <c r="K236" s="31">
        <v>7265</v>
      </c>
      <c r="L236" s="31">
        <v>7195</v>
      </c>
      <c r="N236" s="33" t="s">
        <v>7714</v>
      </c>
      <c r="O236" s="4"/>
      <c r="Q236" s="4"/>
    </row>
    <row r="237" spans="1:17">
      <c r="A237" s="46">
        <v>25</v>
      </c>
      <c r="B237" s="33" t="s">
        <v>7806</v>
      </c>
      <c r="C237" s="4" t="s">
        <v>9974</v>
      </c>
      <c r="D237" s="39">
        <v>6116</v>
      </c>
      <c r="E237" s="39">
        <v>6069</v>
      </c>
      <c r="F237" s="39">
        <v>6098</v>
      </c>
      <c r="G237" s="48">
        <v>6126</v>
      </c>
      <c r="H237" s="48">
        <v>6120</v>
      </c>
      <c r="I237" s="30">
        <v>6068</v>
      </c>
      <c r="J237" s="30">
        <v>6173</v>
      </c>
      <c r="K237" s="30">
        <v>6269</v>
      </c>
      <c r="L237" s="30">
        <v>6118</v>
      </c>
      <c r="N237" s="33" t="s">
        <v>7690</v>
      </c>
      <c r="O237" s="4"/>
      <c r="Q237" s="4"/>
    </row>
    <row r="238" spans="1:17">
      <c r="D238" s="39"/>
      <c r="E238" s="39"/>
      <c r="F238" s="39"/>
      <c r="G238" s="39"/>
      <c r="H238" s="39"/>
      <c r="I238" s="39"/>
      <c r="J238" s="39"/>
      <c r="K238" s="39"/>
      <c r="L238" s="39"/>
    </row>
    <row r="239" spans="1:17">
      <c r="A239" s="33" t="s">
        <v>5991</v>
      </c>
      <c r="D239" s="36">
        <f t="shared" ref="D239:I239" si="159">D220+D221+D237</f>
        <v>14849</v>
      </c>
      <c r="E239" s="36">
        <f t="shared" si="159"/>
        <v>14724</v>
      </c>
      <c r="F239" s="36">
        <f t="shared" si="159"/>
        <v>14735</v>
      </c>
      <c r="G239" s="36">
        <f t="shared" si="159"/>
        <v>14791</v>
      </c>
      <c r="H239" s="36">
        <f t="shared" si="159"/>
        <v>14867</v>
      </c>
      <c r="I239" s="36">
        <f t="shared" si="159"/>
        <v>14693</v>
      </c>
      <c r="J239" s="36">
        <f t="shared" ref="J239:K239" si="160">J220+J221+J237</f>
        <v>14816</v>
      </c>
      <c r="K239" s="36">
        <f t="shared" si="160"/>
        <v>15041</v>
      </c>
      <c r="L239" s="36">
        <f t="shared" ref="L239" si="161">L220+L221+L237</f>
        <v>14742</v>
      </c>
    </row>
    <row r="240" spans="1:17">
      <c r="A240" s="33" t="s">
        <v>7843</v>
      </c>
      <c r="D240" s="36">
        <f t="shared" ref="D240:I240" si="162">D216+D217+D224+D228+D231+D234</f>
        <v>20320</v>
      </c>
      <c r="E240" s="36">
        <f t="shared" si="162"/>
        <v>20262</v>
      </c>
      <c r="F240" s="36">
        <f t="shared" si="162"/>
        <v>20297</v>
      </c>
      <c r="G240" s="36">
        <f t="shared" si="162"/>
        <v>20394</v>
      </c>
      <c r="H240" s="36">
        <f t="shared" si="162"/>
        <v>20273</v>
      </c>
      <c r="I240" s="36">
        <f t="shared" si="162"/>
        <v>20014</v>
      </c>
      <c r="J240" s="36">
        <f t="shared" ref="J240:K240" si="163">J216+J217+J224+J228+J231+J234</f>
        <v>20167</v>
      </c>
      <c r="K240" s="36">
        <f t="shared" si="163"/>
        <v>20568</v>
      </c>
      <c r="L240" s="36">
        <f t="shared" ref="L240" si="164">L216+L217+L224+L228+L231+L234</f>
        <v>20134</v>
      </c>
    </row>
    <row r="241" spans="1:12">
      <c r="A241" s="33" t="s">
        <v>4122</v>
      </c>
      <c r="D241" s="36">
        <f t="shared" ref="D241:I241" si="165">D215+D225+D232</f>
        <v>17689</v>
      </c>
      <c r="E241" s="36">
        <f t="shared" si="165"/>
        <v>17559</v>
      </c>
      <c r="F241" s="36">
        <f t="shared" si="165"/>
        <v>17688</v>
      </c>
      <c r="G241" s="36">
        <f t="shared" si="165"/>
        <v>17206</v>
      </c>
      <c r="H241" s="36">
        <f t="shared" si="165"/>
        <v>17314</v>
      </c>
      <c r="I241" s="36">
        <f t="shared" si="165"/>
        <v>17066</v>
      </c>
      <c r="J241" s="36">
        <f t="shared" ref="J241:K241" si="166">J215+J225+J232</f>
        <v>17247</v>
      </c>
      <c r="K241" s="36">
        <f t="shared" si="166"/>
        <v>17904</v>
      </c>
      <c r="L241" s="36">
        <f t="shared" ref="L241" si="167">L215+L225+L232</f>
        <v>18030</v>
      </c>
    </row>
    <row r="242" spans="1:12">
      <c r="A242" s="33" t="s">
        <v>5935</v>
      </c>
      <c r="D242" s="36">
        <f t="shared" ref="D242:I242" si="168">D213+D214+D218+D219+D222+D223+D226+D227+D229+D230+D233+D235+D236</f>
        <v>65592</v>
      </c>
      <c r="E242" s="36">
        <f t="shared" si="168"/>
        <v>65095</v>
      </c>
      <c r="F242" s="36">
        <f t="shared" si="168"/>
        <v>65707</v>
      </c>
      <c r="G242" s="36">
        <f t="shared" si="168"/>
        <v>66303</v>
      </c>
      <c r="H242" s="36">
        <f t="shared" si="168"/>
        <v>66737</v>
      </c>
      <c r="I242" s="36">
        <f t="shared" si="168"/>
        <v>65264</v>
      </c>
      <c r="J242" s="36">
        <f t="shared" ref="J242:K242" si="169">J213+J214+J218+J219+J222+J223+J226+J227+J229+J230+J233+J235+J236</f>
        <v>65829</v>
      </c>
      <c r="K242" s="36">
        <f t="shared" si="169"/>
        <v>68168</v>
      </c>
      <c r="L242" s="36">
        <f t="shared" ref="L242" si="170">L213+L214+L218+L219+L222+L223+L226+L227+L229+L230+L233+L235+L236</f>
        <v>67545</v>
      </c>
    </row>
    <row r="244" spans="1:12">
      <c r="A244" s="33" t="s">
        <v>6281</v>
      </c>
    </row>
  </sheetData>
  <sortState ref="O180:Q202">
    <sortCondition ref="O180:O202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2" orientation="portrait" horizontalDpi="300" verticalDpi="300" r:id="rId1"/>
  <headerFooter alignWithMargins="0">
    <oddFooter>&amp;C&amp;8&amp;P of &amp;N</oddFooter>
  </headerFooter>
  <ignoredErrors>
    <ignoredError sqref="D79:D80 D59:E59 D212:E212 D239:D242 D170:D172 D138:E138 D87:E87 D105:D106 D130:D131 D113:E113 D204:D205 D179:E179 D3:D10 E170:E172 E79:E80 E105:E106 E130:E131 E204:E205 E239:E242 E3:E10 F239:F242 F204:F212 F170:F179 F130:F138 F105:F113 F79:F87 F3:F10 G204:G205 G179:K179 G170:G172 G138:K138 G79:G80 G59:K59 G212:K212 G239:G242 G87:K87 G105:G106 G113:K113 G130:G131 G3:G10 D11 E11 F11 G11 H79:H80 H170 H171:H172 H239:H242 H130:H131 H105:H106 H204:H205 H3:H10 D16:D52 E16:E52 F16:F59 G16:G52 H16:H52 H11 I239:I242 I170:I172 I105:I106 I79:I80 I130:I131 I204:I205 I3:I11 I16:I52 J79:J80 J170:J172 J204:J205 J239:J242 J105:J106 J130:J131 J3:J11 J16:J52 D12:J12 K239:K242 K79:K80 K105:K106 K130:K131 K170:K172 K204:K205 K3:K52 L3:L242" unlockedFormula="1"/>
    <ignoredError sqref="D13:D14 E13:F14 G13:G14 H13:H14 H15 G15 F15 E15 D15 I13:I15 J13:J15" formula="1" unlockedFormula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148"/>
  <sheetViews>
    <sheetView showGridLines="0" zoomScaleNormal="100" workbookViewId="0"/>
  </sheetViews>
  <sheetFormatPr defaultColWidth="12.5703125" defaultRowHeight="15"/>
  <cols>
    <col min="1" max="1" width="4.85546875" style="118" customWidth="1"/>
    <col min="2" max="2" width="43.5703125" style="118" customWidth="1"/>
    <col min="3" max="3" width="11.5703125" style="118" customWidth="1"/>
    <col min="4" max="12" width="10.140625" style="118" customWidth="1"/>
    <col min="13" max="13" width="2.28515625" style="118" customWidth="1"/>
    <col min="14" max="14" width="28" style="118" customWidth="1"/>
    <col min="15" max="16384" width="12.5703125" style="118"/>
  </cols>
  <sheetData>
    <row r="1" spans="1:14">
      <c r="A1" s="117" t="s">
        <v>8847</v>
      </c>
      <c r="D1" s="119">
        <v>2010</v>
      </c>
      <c r="E1" s="119">
        <v>2011</v>
      </c>
      <c r="F1" s="119">
        <v>2012</v>
      </c>
      <c r="G1" s="119">
        <v>2013</v>
      </c>
      <c r="H1" s="119">
        <v>2014</v>
      </c>
      <c r="I1" s="119">
        <v>2015</v>
      </c>
      <c r="J1" s="119">
        <v>2016</v>
      </c>
      <c r="K1" s="119">
        <v>2017</v>
      </c>
      <c r="L1" s="119">
        <v>2018</v>
      </c>
    </row>
    <row r="3" spans="1:14">
      <c r="A3" s="117" t="s">
        <v>4613</v>
      </c>
      <c r="C3" s="117"/>
      <c r="D3" s="120">
        <f t="shared" ref="D3:I3" si="0">D35</f>
        <v>230844</v>
      </c>
      <c r="E3" s="120">
        <f t="shared" si="0"/>
        <v>228607</v>
      </c>
      <c r="F3" s="120">
        <f t="shared" si="0"/>
        <v>227169</v>
      </c>
      <c r="G3" s="120">
        <f t="shared" si="0"/>
        <v>234601</v>
      </c>
      <c r="H3" s="120">
        <f t="shared" si="0"/>
        <v>223081</v>
      </c>
      <c r="I3" s="120">
        <f t="shared" si="0"/>
        <v>228191</v>
      </c>
      <c r="J3" s="120">
        <f t="shared" ref="J3:K3" si="1">J35</f>
        <v>229810</v>
      </c>
      <c r="K3" s="120">
        <f t="shared" si="1"/>
        <v>238443</v>
      </c>
      <c r="L3" s="120">
        <f t="shared" ref="L3" si="2">L35</f>
        <v>237626</v>
      </c>
    </row>
    <row r="4" spans="1:14" ht="15.75" thickBot="1">
      <c r="A4" s="117" t="s">
        <v>4614</v>
      </c>
      <c r="C4" s="117"/>
      <c r="D4" s="121">
        <f t="shared" ref="D4:I4" si="3">D111</f>
        <v>119968</v>
      </c>
      <c r="E4" s="121">
        <f t="shared" si="3"/>
        <v>121292</v>
      </c>
      <c r="F4" s="121">
        <f t="shared" si="3"/>
        <v>122136</v>
      </c>
      <c r="G4" s="121">
        <f t="shared" si="3"/>
        <v>123225</v>
      </c>
      <c r="H4" s="121">
        <f t="shared" si="3"/>
        <v>122619</v>
      </c>
      <c r="I4" s="121">
        <f t="shared" si="3"/>
        <v>119972</v>
      </c>
      <c r="J4" s="121">
        <f t="shared" ref="J4:K4" si="4">J111</f>
        <v>119097</v>
      </c>
      <c r="K4" s="121">
        <f t="shared" si="4"/>
        <v>121615</v>
      </c>
      <c r="L4" s="121">
        <f t="shared" ref="L4" si="5">L111</f>
        <v>122961</v>
      </c>
    </row>
    <row r="5" spans="1:14" ht="15.75" thickBot="1">
      <c r="A5" s="117"/>
      <c r="D5" s="121">
        <f t="shared" ref="D5:I5" si="6">D3+D4</f>
        <v>350812</v>
      </c>
      <c r="E5" s="121">
        <f t="shared" si="6"/>
        <v>349899</v>
      </c>
      <c r="F5" s="121">
        <f t="shared" si="6"/>
        <v>349305</v>
      </c>
      <c r="G5" s="121">
        <f t="shared" si="6"/>
        <v>357826</v>
      </c>
      <c r="H5" s="121">
        <f t="shared" si="6"/>
        <v>345700</v>
      </c>
      <c r="I5" s="121">
        <f t="shared" si="6"/>
        <v>348163</v>
      </c>
      <c r="J5" s="121">
        <f t="shared" ref="J5:K5" si="7">J3+J4</f>
        <v>348907</v>
      </c>
      <c r="K5" s="121">
        <f t="shared" si="7"/>
        <v>360058</v>
      </c>
      <c r="L5" s="121">
        <f t="shared" ref="L5" si="8">L3+L4</f>
        <v>360587</v>
      </c>
    </row>
    <row r="6" spans="1:14">
      <c r="A6" s="117"/>
      <c r="D6" s="120"/>
      <c r="E6" s="120"/>
      <c r="F6" s="120"/>
      <c r="G6" s="120"/>
      <c r="H6" s="120"/>
      <c r="I6" s="120"/>
      <c r="J6" s="120"/>
      <c r="K6" s="120"/>
      <c r="L6" s="120"/>
    </row>
    <row r="7" spans="1:14">
      <c r="A7" s="117" t="s">
        <v>8167</v>
      </c>
      <c r="D7" s="120">
        <f t="shared" ref="D7:I7" si="9">D3/3</f>
        <v>76948</v>
      </c>
      <c r="E7" s="120">
        <f t="shared" si="9"/>
        <v>76202.333333333328</v>
      </c>
      <c r="F7" s="120">
        <f t="shared" si="9"/>
        <v>75723</v>
      </c>
      <c r="G7" s="120">
        <f t="shared" si="9"/>
        <v>78200.333333333328</v>
      </c>
      <c r="H7" s="120">
        <f t="shared" si="9"/>
        <v>74360.333333333328</v>
      </c>
      <c r="I7" s="120">
        <f t="shared" si="9"/>
        <v>76063.666666666672</v>
      </c>
      <c r="J7" s="120">
        <f t="shared" ref="J7:K7" si="10">J3/3</f>
        <v>76603.333333333328</v>
      </c>
      <c r="K7" s="120">
        <f t="shared" si="10"/>
        <v>79481</v>
      </c>
      <c r="L7" s="120">
        <f t="shared" ref="L7" si="11">L3/3</f>
        <v>79208.666666666672</v>
      </c>
    </row>
    <row r="8" spans="1:14">
      <c r="A8" s="117" t="s">
        <v>8168</v>
      </c>
      <c r="D8" s="120">
        <f t="shared" ref="D8:I8" si="12">D4/2</f>
        <v>59984</v>
      </c>
      <c r="E8" s="120">
        <f t="shared" si="12"/>
        <v>60646</v>
      </c>
      <c r="F8" s="120">
        <f t="shared" si="12"/>
        <v>61068</v>
      </c>
      <c r="G8" s="120">
        <f t="shared" si="12"/>
        <v>61612.5</v>
      </c>
      <c r="H8" s="120">
        <f t="shared" si="12"/>
        <v>61309.5</v>
      </c>
      <c r="I8" s="120">
        <f t="shared" si="12"/>
        <v>59986</v>
      </c>
      <c r="J8" s="120">
        <f t="shared" ref="J8:K8" si="13">J4/2</f>
        <v>59548.5</v>
      </c>
      <c r="K8" s="120">
        <f t="shared" si="13"/>
        <v>60807.5</v>
      </c>
      <c r="L8" s="120">
        <f t="shared" ref="L8" si="14">L4/2</f>
        <v>61480.5</v>
      </c>
    </row>
    <row r="9" spans="1:14">
      <c r="A9" s="117" t="s">
        <v>8169</v>
      </c>
      <c r="D9" s="120">
        <f t="shared" ref="D9:I9" si="15">D5/5</f>
        <v>70162.399999999994</v>
      </c>
      <c r="E9" s="120">
        <f t="shared" si="15"/>
        <v>69979.8</v>
      </c>
      <c r="F9" s="120">
        <f t="shared" si="15"/>
        <v>69861</v>
      </c>
      <c r="G9" s="120">
        <f t="shared" si="15"/>
        <v>71565.2</v>
      </c>
      <c r="H9" s="120">
        <f t="shared" si="15"/>
        <v>69140</v>
      </c>
      <c r="I9" s="120">
        <f t="shared" si="15"/>
        <v>69632.600000000006</v>
      </c>
      <c r="J9" s="120">
        <f t="shared" ref="J9:K9" si="16">J5/5</f>
        <v>69781.399999999994</v>
      </c>
      <c r="K9" s="120">
        <f t="shared" si="16"/>
        <v>72011.600000000006</v>
      </c>
      <c r="L9" s="120">
        <f t="shared" ref="L9" si="17">L5/5</f>
        <v>72117.399999999994</v>
      </c>
    </row>
    <row r="10" spans="1:14">
      <c r="D10" s="122"/>
      <c r="E10" s="122"/>
      <c r="F10" s="122"/>
      <c r="G10" s="122"/>
      <c r="H10" s="122"/>
      <c r="I10" s="122"/>
      <c r="J10" s="122"/>
      <c r="K10" s="122"/>
      <c r="L10" s="122"/>
    </row>
    <row r="11" spans="1:14">
      <c r="A11" s="117" t="s">
        <v>8170</v>
      </c>
      <c r="D11" s="120">
        <f t="shared" ref="D11:I11" si="18">D100</f>
        <v>66285</v>
      </c>
      <c r="E11" s="120">
        <f t="shared" si="18"/>
        <v>66199</v>
      </c>
      <c r="F11" s="120">
        <f t="shared" si="18"/>
        <v>65184</v>
      </c>
      <c r="G11" s="120">
        <f t="shared" si="18"/>
        <v>67320</v>
      </c>
      <c r="H11" s="120">
        <f t="shared" si="18"/>
        <v>63633</v>
      </c>
      <c r="I11" s="120">
        <f t="shared" si="18"/>
        <v>65208</v>
      </c>
      <c r="J11" s="120">
        <f t="shared" ref="J11:K11" si="19">J100</f>
        <v>65787</v>
      </c>
      <c r="K11" s="120">
        <f t="shared" si="19"/>
        <v>67975</v>
      </c>
      <c r="L11" s="120">
        <f t="shared" ref="L11" si="20">L100</f>
        <v>67403</v>
      </c>
      <c r="N11" s="117" t="s">
        <v>8171</v>
      </c>
    </row>
    <row r="12" spans="1:14">
      <c r="D12" s="122"/>
      <c r="E12" s="122"/>
      <c r="F12" s="122"/>
      <c r="G12" s="122"/>
      <c r="H12" s="122"/>
      <c r="I12" s="122"/>
      <c r="J12" s="122"/>
      <c r="K12" s="122"/>
      <c r="L12" s="122"/>
    </row>
    <row r="13" spans="1:14">
      <c r="A13" s="117" t="s">
        <v>8172</v>
      </c>
      <c r="D13" s="120">
        <f t="shared" ref="D13:I13" si="21">D101</f>
        <v>78611</v>
      </c>
      <c r="E13" s="120">
        <f t="shared" si="21"/>
        <v>77673</v>
      </c>
      <c r="F13" s="120">
        <f t="shared" si="21"/>
        <v>76696</v>
      </c>
      <c r="G13" s="120">
        <f t="shared" si="21"/>
        <v>79068</v>
      </c>
      <c r="H13" s="120">
        <f t="shared" si="21"/>
        <v>76317</v>
      </c>
      <c r="I13" s="120">
        <f t="shared" si="21"/>
        <v>77602</v>
      </c>
      <c r="J13" s="120">
        <f t="shared" ref="J13:K13" si="22">J101</f>
        <v>77768</v>
      </c>
      <c r="K13" s="120">
        <f t="shared" si="22"/>
        <v>80507</v>
      </c>
      <c r="L13" s="120">
        <f t="shared" ref="L13" si="23">L101</f>
        <v>79954</v>
      </c>
      <c r="N13" s="117" t="s">
        <v>8171</v>
      </c>
    </row>
    <row r="14" spans="1:14">
      <c r="D14" s="122"/>
      <c r="E14" s="122"/>
      <c r="F14" s="122"/>
      <c r="G14" s="122"/>
      <c r="H14" s="122"/>
      <c r="I14" s="122"/>
      <c r="J14" s="122"/>
      <c r="K14" s="122"/>
      <c r="L14" s="122"/>
    </row>
    <row r="15" spans="1:14">
      <c r="A15" s="117" t="s">
        <v>8173</v>
      </c>
      <c r="D15" s="120">
        <f t="shared" ref="D15:I15" si="24">D102</f>
        <v>75076</v>
      </c>
      <c r="E15" s="120">
        <f t="shared" si="24"/>
        <v>73978</v>
      </c>
      <c r="F15" s="120">
        <f t="shared" si="24"/>
        <v>74750</v>
      </c>
      <c r="G15" s="120">
        <f t="shared" si="24"/>
        <v>77266</v>
      </c>
      <c r="H15" s="120">
        <f t="shared" si="24"/>
        <v>73169</v>
      </c>
      <c r="I15" s="120">
        <f t="shared" si="24"/>
        <v>74881</v>
      </c>
      <c r="J15" s="120">
        <f t="shared" ref="J15:K15" si="25">J102</f>
        <v>75528</v>
      </c>
      <c r="K15" s="120">
        <f t="shared" si="25"/>
        <v>78641</v>
      </c>
      <c r="L15" s="120">
        <f t="shared" ref="L15" si="26">L102</f>
        <v>78625</v>
      </c>
      <c r="N15" s="117" t="s">
        <v>8171</v>
      </c>
    </row>
    <row r="16" spans="1:14">
      <c r="D16" s="122"/>
      <c r="E16" s="122"/>
      <c r="F16" s="122"/>
      <c r="G16" s="122"/>
      <c r="H16" s="122"/>
      <c r="I16" s="122"/>
      <c r="J16" s="122"/>
      <c r="K16" s="122"/>
      <c r="L16" s="122"/>
    </row>
    <row r="17" spans="1:14">
      <c r="A17" s="117" t="s">
        <v>8174</v>
      </c>
      <c r="D17" s="120">
        <f t="shared" ref="D17:I17" si="27">D145</f>
        <v>65363</v>
      </c>
      <c r="E17" s="120">
        <f t="shared" si="27"/>
        <v>65938</v>
      </c>
      <c r="F17" s="120">
        <f t="shared" si="27"/>
        <v>66470</v>
      </c>
      <c r="G17" s="120">
        <f t="shared" si="27"/>
        <v>67173</v>
      </c>
      <c r="H17" s="120">
        <f t="shared" si="27"/>
        <v>67041</v>
      </c>
      <c r="I17" s="120">
        <f t="shared" si="27"/>
        <v>65289</v>
      </c>
      <c r="J17" s="120">
        <f t="shared" ref="J17:K17" si="28">J145</f>
        <v>64816</v>
      </c>
      <c r="K17" s="120">
        <f t="shared" si="28"/>
        <v>66157</v>
      </c>
      <c r="L17" s="120">
        <f t="shared" ref="L17" si="29">L145</f>
        <v>66579</v>
      </c>
      <c r="N17" s="117" t="s">
        <v>8175</v>
      </c>
    </row>
    <row r="18" spans="1:14">
      <c r="D18" s="122"/>
      <c r="E18" s="122"/>
      <c r="F18" s="122"/>
      <c r="G18" s="122"/>
      <c r="H18" s="122"/>
      <c r="I18" s="122"/>
      <c r="J18" s="122"/>
      <c r="K18" s="122"/>
      <c r="L18" s="122"/>
    </row>
    <row r="19" spans="1:14">
      <c r="A19" s="117" t="s">
        <v>8176</v>
      </c>
      <c r="D19" s="120">
        <f t="shared" ref="D19:I19" si="30">D103</f>
        <v>10872</v>
      </c>
      <c r="E19" s="120">
        <f t="shared" si="30"/>
        <v>10757</v>
      </c>
      <c r="F19" s="120">
        <f t="shared" si="30"/>
        <v>10539</v>
      </c>
      <c r="G19" s="120">
        <f t="shared" si="30"/>
        <v>10947</v>
      </c>
      <c r="H19" s="120">
        <f t="shared" si="30"/>
        <v>9962</v>
      </c>
      <c r="I19" s="120">
        <f t="shared" si="30"/>
        <v>10500</v>
      </c>
      <c r="J19" s="120">
        <f t="shared" ref="J19:K19" si="31">J103</f>
        <v>10727</v>
      </c>
      <c r="K19" s="120">
        <f t="shared" si="31"/>
        <v>11320</v>
      </c>
      <c r="L19" s="120">
        <f t="shared" ref="L19" si="32">L103</f>
        <v>11644</v>
      </c>
      <c r="N19" s="117" t="s">
        <v>8171</v>
      </c>
    </row>
    <row r="20" spans="1:14" ht="15.75" thickBot="1">
      <c r="D20" s="121">
        <f t="shared" ref="D20:I20" si="33">D146</f>
        <v>54605</v>
      </c>
      <c r="E20" s="121">
        <f t="shared" si="33"/>
        <v>55354</v>
      </c>
      <c r="F20" s="121">
        <f t="shared" si="33"/>
        <v>55666</v>
      </c>
      <c r="G20" s="121">
        <f t="shared" si="33"/>
        <v>56052</v>
      </c>
      <c r="H20" s="121">
        <f t="shared" si="33"/>
        <v>55578</v>
      </c>
      <c r="I20" s="121">
        <f t="shared" si="33"/>
        <v>54683</v>
      </c>
      <c r="J20" s="121">
        <f t="shared" ref="J20:K20" si="34">J146</f>
        <v>54281</v>
      </c>
      <c r="K20" s="121">
        <f t="shared" si="34"/>
        <v>55458</v>
      </c>
      <c r="L20" s="121">
        <f t="shared" ref="L20" si="35">L146</f>
        <v>56382</v>
      </c>
      <c r="N20" s="117" t="s">
        <v>8175</v>
      </c>
    </row>
    <row r="21" spans="1:14" ht="15.75" thickBot="1">
      <c r="D21" s="121">
        <f t="shared" ref="D21:I21" si="36">SUM(D19:D20)</f>
        <v>65477</v>
      </c>
      <c r="E21" s="121">
        <f t="shared" si="36"/>
        <v>66111</v>
      </c>
      <c r="F21" s="121">
        <f t="shared" si="36"/>
        <v>66205</v>
      </c>
      <c r="G21" s="121">
        <f t="shared" si="36"/>
        <v>66999</v>
      </c>
      <c r="H21" s="121">
        <f t="shared" si="36"/>
        <v>65540</v>
      </c>
      <c r="I21" s="121">
        <f t="shared" si="36"/>
        <v>65183</v>
      </c>
      <c r="J21" s="121">
        <f t="shared" ref="J21:K21" si="37">SUM(J19:J20)</f>
        <v>65008</v>
      </c>
      <c r="K21" s="121">
        <f t="shared" si="37"/>
        <v>66778</v>
      </c>
      <c r="L21" s="121">
        <f t="shared" ref="L21" si="38">SUM(L19:L20)</f>
        <v>68026</v>
      </c>
    </row>
    <row r="22" spans="1:14">
      <c r="D22" s="122"/>
      <c r="E22" s="122"/>
      <c r="F22" s="122"/>
      <c r="G22" s="122"/>
      <c r="H22" s="122"/>
      <c r="I22" s="122"/>
      <c r="J22" s="122"/>
      <c r="K22" s="122"/>
      <c r="L22" s="122"/>
    </row>
    <row r="23" spans="1:14">
      <c r="A23" s="117" t="s">
        <v>8697</v>
      </c>
      <c r="D23" s="120">
        <f t="shared" ref="D23:I23" si="39">D11+D13+D15+D17+D21</f>
        <v>350812</v>
      </c>
      <c r="E23" s="120">
        <f t="shared" si="39"/>
        <v>349899</v>
      </c>
      <c r="F23" s="120">
        <f t="shared" si="39"/>
        <v>349305</v>
      </c>
      <c r="G23" s="120">
        <f t="shared" si="39"/>
        <v>357826</v>
      </c>
      <c r="H23" s="120">
        <f t="shared" si="39"/>
        <v>345700</v>
      </c>
      <c r="I23" s="120">
        <f t="shared" si="39"/>
        <v>348163</v>
      </c>
      <c r="J23" s="120">
        <f t="shared" ref="J23:K23" si="40">J11+J13+J15+J17+J21</f>
        <v>348907</v>
      </c>
      <c r="K23" s="120">
        <f t="shared" si="40"/>
        <v>360058</v>
      </c>
      <c r="L23" s="120">
        <f t="shared" ref="L23" si="41">L11+L13+L15+L17+L21</f>
        <v>360587</v>
      </c>
    </row>
    <row r="24" spans="1:14">
      <c r="D24" s="122"/>
      <c r="E24" s="122"/>
      <c r="F24" s="122"/>
      <c r="G24" s="122"/>
      <c r="H24" s="122"/>
      <c r="I24" s="122"/>
      <c r="J24" s="122"/>
      <c r="K24" s="122"/>
      <c r="L24" s="122"/>
    </row>
    <row r="25" spans="1:14">
      <c r="A25" s="117" t="s">
        <v>8698</v>
      </c>
      <c r="D25" s="120">
        <f t="shared" ref="D25:I25" si="42">MAX(D11,D13,D15,D17,D21)-MIN(D11,D13,D15,D17,D21)</f>
        <v>13248</v>
      </c>
      <c r="E25" s="120">
        <f t="shared" si="42"/>
        <v>11735</v>
      </c>
      <c r="F25" s="120">
        <f t="shared" si="42"/>
        <v>11512</v>
      </c>
      <c r="G25" s="120">
        <f t="shared" si="42"/>
        <v>12069</v>
      </c>
      <c r="H25" s="120">
        <f t="shared" si="42"/>
        <v>12684</v>
      </c>
      <c r="I25" s="120">
        <f t="shared" si="42"/>
        <v>12419</v>
      </c>
      <c r="J25" s="120">
        <f t="shared" ref="J25:K25" si="43">MAX(J11,J13,J15,J17,J21)-MIN(J11,J13,J15,J17,J21)</f>
        <v>12952</v>
      </c>
      <c r="K25" s="120">
        <f t="shared" si="43"/>
        <v>14350</v>
      </c>
      <c r="L25" s="120">
        <f t="shared" ref="L25" si="44">MAX(L11,L13,L15,L17,L21)-MIN(L11,L13,L15,L17,L21)</f>
        <v>13375</v>
      </c>
    </row>
    <row r="26" spans="1:14">
      <c r="D26" s="122"/>
      <c r="E26" s="122"/>
      <c r="F26" s="122"/>
      <c r="G26" s="122"/>
      <c r="H26" s="122"/>
      <c r="I26" s="122"/>
      <c r="J26" s="122"/>
      <c r="K26" s="122"/>
      <c r="L26" s="122"/>
    </row>
    <row r="27" spans="1:14">
      <c r="A27" s="117" t="s">
        <v>8701</v>
      </c>
      <c r="D27" s="120">
        <f t="shared" ref="D27:I27" si="45">STDEVP(D11,D13,D15,D17,D21)</f>
        <v>5577.521872659936</v>
      </c>
      <c r="E27" s="120">
        <f t="shared" si="45"/>
        <v>4914.6543886625441</v>
      </c>
      <c r="F27" s="120">
        <f t="shared" si="45"/>
        <v>4844.7722753499984</v>
      </c>
      <c r="G27" s="120">
        <f t="shared" si="45"/>
        <v>5421.3366396120437</v>
      </c>
      <c r="H27" s="120">
        <f t="shared" si="45"/>
        <v>4804.8937553290398</v>
      </c>
      <c r="I27" s="120">
        <f t="shared" si="45"/>
        <v>5464.4290680728946</v>
      </c>
      <c r="J27" s="120">
        <f t="shared" ref="J27:K27" si="46">STDEVP(J11,J13,J15,J17,J21)</f>
        <v>5660.4764322449037</v>
      </c>
      <c r="K27" s="120">
        <f t="shared" si="46"/>
        <v>6230.2779263849861</v>
      </c>
      <c r="L27" s="120">
        <f t="shared" ref="L27" si="47">STDEVP(L11,L13,L15,L17,L21)</f>
        <v>5888.9753472059974</v>
      </c>
    </row>
    <row r="28" spans="1:14">
      <c r="A28" s="117"/>
      <c r="D28" s="120"/>
      <c r="E28" s="120"/>
      <c r="F28" s="120"/>
      <c r="G28" s="120"/>
      <c r="H28" s="120"/>
      <c r="I28" s="120"/>
      <c r="J28" s="120"/>
      <c r="K28" s="120"/>
      <c r="L28" s="120"/>
    </row>
    <row r="29" spans="1:14">
      <c r="A29" s="118" t="s">
        <v>8185</v>
      </c>
      <c r="D29" s="20"/>
      <c r="E29" s="20"/>
      <c r="F29" s="20"/>
      <c r="G29" s="20"/>
      <c r="H29" s="20"/>
      <c r="I29" s="20"/>
      <c r="J29" s="20"/>
      <c r="K29" s="20"/>
      <c r="L29" s="20"/>
      <c r="N29" s="20"/>
    </row>
    <row r="30" spans="1:14">
      <c r="A30" s="118" t="s">
        <v>8186</v>
      </c>
      <c r="D30" s="20"/>
      <c r="E30" s="20"/>
      <c r="F30" s="20"/>
      <c r="G30" s="20"/>
      <c r="H30" s="20"/>
      <c r="I30" s="20"/>
      <c r="J30" s="20"/>
      <c r="K30" s="20"/>
      <c r="L30" s="20"/>
    </row>
    <row r="31" spans="1:14">
      <c r="D31" s="20"/>
      <c r="E31" s="20"/>
      <c r="F31" s="20"/>
      <c r="G31" s="20"/>
      <c r="H31" s="20"/>
      <c r="I31" s="20"/>
      <c r="J31" s="20"/>
      <c r="K31" s="20"/>
      <c r="L31" s="20"/>
    </row>
    <row r="32" spans="1:14">
      <c r="D32" s="20"/>
      <c r="E32" s="20"/>
      <c r="F32" s="20"/>
      <c r="G32" s="20"/>
      <c r="H32" s="20"/>
      <c r="I32" s="20"/>
      <c r="J32" s="20"/>
      <c r="K32" s="20"/>
      <c r="L32" s="20"/>
    </row>
    <row r="33" spans="1:17">
      <c r="E33" s="110" t="s">
        <v>2303</v>
      </c>
      <c r="F33" s="110"/>
      <c r="G33" s="110"/>
      <c r="H33" s="110"/>
      <c r="I33" s="110"/>
      <c r="J33" s="110"/>
      <c r="K33" s="110"/>
      <c r="L33" s="110"/>
      <c r="M33" s="109"/>
      <c r="N33" s="109" t="s">
        <v>13319</v>
      </c>
    </row>
    <row r="34" spans="1:17">
      <c r="D34" s="110">
        <v>2010</v>
      </c>
      <c r="E34" s="110">
        <v>2011</v>
      </c>
      <c r="F34" s="110">
        <v>2012</v>
      </c>
      <c r="G34" s="110">
        <v>2013</v>
      </c>
      <c r="H34" s="110">
        <v>2014</v>
      </c>
      <c r="I34" s="110">
        <v>2015</v>
      </c>
      <c r="J34" s="110">
        <v>2016</v>
      </c>
      <c r="K34" s="110">
        <v>2017</v>
      </c>
      <c r="L34" s="110">
        <v>2018</v>
      </c>
      <c r="N34" s="112" t="s">
        <v>2304</v>
      </c>
    </row>
    <row r="35" spans="1:17">
      <c r="A35" s="117" t="s">
        <v>4613</v>
      </c>
      <c r="C35" s="117"/>
      <c r="D35" s="120">
        <f t="shared" ref="D35:I35" si="48">SUM(D36:D98)</f>
        <v>230844</v>
      </c>
      <c r="E35" s="120">
        <f t="shared" si="48"/>
        <v>228607</v>
      </c>
      <c r="F35" s="120">
        <f t="shared" si="48"/>
        <v>227169</v>
      </c>
      <c r="G35" s="120">
        <f t="shared" si="48"/>
        <v>234601</v>
      </c>
      <c r="H35" s="120">
        <f t="shared" si="48"/>
        <v>223081</v>
      </c>
      <c r="I35" s="120">
        <f t="shared" si="48"/>
        <v>228191</v>
      </c>
      <c r="J35" s="120">
        <f t="shared" ref="J35:K35" si="49">SUM(J36:J98)</f>
        <v>229810</v>
      </c>
      <c r="K35" s="120">
        <f t="shared" si="49"/>
        <v>238443</v>
      </c>
      <c r="L35" s="120">
        <f t="shared" ref="L35" si="50">SUM(L36:L98)</f>
        <v>237626</v>
      </c>
    </row>
    <row r="36" spans="1:17">
      <c r="A36" s="117" t="s">
        <v>6957</v>
      </c>
      <c r="B36" s="117" t="s">
        <v>8199</v>
      </c>
      <c r="C36" s="4" t="s">
        <v>9785</v>
      </c>
      <c r="D36" s="120">
        <v>2961</v>
      </c>
      <c r="E36" s="120">
        <v>2964</v>
      </c>
      <c r="F36" s="120">
        <v>2947</v>
      </c>
      <c r="G36" s="31">
        <v>2998</v>
      </c>
      <c r="H36" s="31">
        <v>2650</v>
      </c>
      <c r="I36" s="31">
        <v>2813</v>
      </c>
      <c r="J36" s="31">
        <v>2971</v>
      </c>
      <c r="K36" s="31">
        <v>3177</v>
      </c>
      <c r="L36" s="31">
        <v>3258</v>
      </c>
      <c r="N36" s="117" t="s">
        <v>8173</v>
      </c>
      <c r="O36" s="4"/>
      <c r="Q36" s="4"/>
    </row>
    <row r="37" spans="1:17">
      <c r="A37" s="117" t="s">
        <v>6959</v>
      </c>
      <c r="B37" s="117" t="s">
        <v>6294</v>
      </c>
      <c r="C37" s="4" t="s">
        <v>9786</v>
      </c>
      <c r="D37" s="120">
        <v>3716</v>
      </c>
      <c r="E37" s="120">
        <v>3616</v>
      </c>
      <c r="F37" s="120">
        <v>3570</v>
      </c>
      <c r="G37" s="31">
        <v>3686</v>
      </c>
      <c r="H37" s="31">
        <v>3374</v>
      </c>
      <c r="I37" s="31">
        <v>3523</v>
      </c>
      <c r="J37" s="31">
        <v>3549</v>
      </c>
      <c r="K37" s="31">
        <v>3650</v>
      </c>
      <c r="L37" s="31">
        <v>3637</v>
      </c>
      <c r="N37" s="117" t="s">
        <v>8176</v>
      </c>
      <c r="O37" s="4"/>
      <c r="Q37" s="4"/>
    </row>
    <row r="38" spans="1:17">
      <c r="A38" s="117" t="s">
        <v>6961</v>
      </c>
      <c r="B38" s="117" t="s">
        <v>6295</v>
      </c>
      <c r="C38" s="4" t="s">
        <v>9787</v>
      </c>
      <c r="D38" s="120">
        <v>3327</v>
      </c>
      <c r="E38" s="120">
        <v>3299</v>
      </c>
      <c r="F38" s="120">
        <v>3226</v>
      </c>
      <c r="G38" s="30">
        <v>3385</v>
      </c>
      <c r="H38" s="30">
        <v>3319</v>
      </c>
      <c r="I38" s="30">
        <v>3343</v>
      </c>
      <c r="J38" s="30">
        <v>3338</v>
      </c>
      <c r="K38" s="30">
        <v>3438</v>
      </c>
      <c r="L38" s="30">
        <v>3428</v>
      </c>
      <c r="N38" s="117" t="s">
        <v>8170</v>
      </c>
      <c r="O38" s="4"/>
      <c r="Q38" s="4"/>
    </row>
    <row r="39" spans="1:17">
      <c r="A39" s="117" t="s">
        <v>6963</v>
      </c>
      <c r="B39" s="117" t="s">
        <v>6296</v>
      </c>
      <c r="C39" s="4" t="s">
        <v>9788</v>
      </c>
      <c r="D39" s="120">
        <v>3459</v>
      </c>
      <c r="E39" s="120">
        <v>3435</v>
      </c>
      <c r="F39" s="120">
        <v>3443</v>
      </c>
      <c r="G39" s="31">
        <v>3490</v>
      </c>
      <c r="H39" s="31">
        <v>3448</v>
      </c>
      <c r="I39" s="31">
        <v>3423</v>
      </c>
      <c r="J39" s="31">
        <v>3339</v>
      </c>
      <c r="K39" s="31">
        <v>3409</v>
      </c>
      <c r="L39" s="31">
        <v>3564</v>
      </c>
      <c r="N39" s="117" t="s">
        <v>8173</v>
      </c>
      <c r="O39" s="4"/>
      <c r="Q39" s="4"/>
    </row>
    <row r="40" spans="1:17">
      <c r="A40" s="117" t="s">
        <v>6965</v>
      </c>
      <c r="B40" s="117" t="s">
        <v>6297</v>
      </c>
      <c r="C40" s="4" t="s">
        <v>9789</v>
      </c>
      <c r="D40" s="120">
        <v>2762</v>
      </c>
      <c r="E40" s="120">
        <v>2645</v>
      </c>
      <c r="F40" s="120">
        <v>2823</v>
      </c>
      <c r="G40" s="31">
        <v>2843</v>
      </c>
      <c r="H40" s="31">
        <v>2554</v>
      </c>
      <c r="I40" s="31">
        <v>2743</v>
      </c>
      <c r="J40" s="31">
        <v>2782</v>
      </c>
      <c r="K40" s="31">
        <v>3019</v>
      </c>
      <c r="L40" s="31">
        <v>3102</v>
      </c>
      <c r="N40" s="117" t="s">
        <v>8173</v>
      </c>
      <c r="O40" s="4"/>
      <c r="Q40" s="4"/>
    </row>
    <row r="41" spans="1:17">
      <c r="A41" s="117" t="s">
        <v>6997</v>
      </c>
      <c r="B41" s="117" t="s">
        <v>6298</v>
      </c>
      <c r="C41" s="4" t="s">
        <v>9790</v>
      </c>
      <c r="D41" s="120">
        <v>9676</v>
      </c>
      <c r="E41" s="120">
        <v>9498</v>
      </c>
      <c r="F41" s="120">
        <v>9384</v>
      </c>
      <c r="G41" s="31">
        <v>9727</v>
      </c>
      <c r="H41" s="31">
        <v>9703</v>
      </c>
      <c r="I41" s="31">
        <v>9682</v>
      </c>
      <c r="J41" s="31">
        <v>9640</v>
      </c>
      <c r="K41" s="31">
        <v>9770</v>
      </c>
      <c r="L41" s="31">
        <v>9659</v>
      </c>
      <c r="N41" s="117" t="s">
        <v>8173</v>
      </c>
      <c r="O41" s="4"/>
      <c r="Q41" s="4"/>
    </row>
    <row r="42" spans="1:17">
      <c r="A42" s="117" t="s">
        <v>6999</v>
      </c>
      <c r="B42" s="117" t="s">
        <v>3033</v>
      </c>
      <c r="C42" s="4" t="s">
        <v>9791</v>
      </c>
      <c r="D42" s="120">
        <v>3200</v>
      </c>
      <c r="E42" s="120">
        <v>3225</v>
      </c>
      <c r="F42" s="120">
        <v>3337</v>
      </c>
      <c r="G42" s="31">
        <v>3388</v>
      </c>
      <c r="H42" s="31">
        <v>3210</v>
      </c>
      <c r="I42" s="31">
        <v>3256</v>
      </c>
      <c r="J42" s="31">
        <v>3270</v>
      </c>
      <c r="K42" s="31">
        <v>3382</v>
      </c>
      <c r="L42" s="31">
        <v>3361</v>
      </c>
      <c r="N42" s="117" t="s">
        <v>8173</v>
      </c>
      <c r="O42" s="4"/>
      <c r="Q42" s="4"/>
    </row>
    <row r="43" spans="1:17">
      <c r="A43" s="117" t="s">
        <v>7001</v>
      </c>
      <c r="B43" s="117" t="s">
        <v>6299</v>
      </c>
      <c r="C43" s="4" t="s">
        <v>9792</v>
      </c>
      <c r="D43" s="120">
        <v>2869</v>
      </c>
      <c r="E43" s="120">
        <v>2837</v>
      </c>
      <c r="F43" s="120">
        <v>2786</v>
      </c>
      <c r="G43" s="30">
        <v>2856</v>
      </c>
      <c r="H43" s="30">
        <v>2585</v>
      </c>
      <c r="I43" s="30">
        <v>2698</v>
      </c>
      <c r="J43" s="30">
        <v>2747</v>
      </c>
      <c r="K43" s="30">
        <v>2880</v>
      </c>
      <c r="L43" s="30">
        <v>2866</v>
      </c>
      <c r="N43" s="117" t="s">
        <v>8170</v>
      </c>
      <c r="O43" s="4"/>
      <c r="Q43" s="4"/>
    </row>
    <row r="44" spans="1:17">
      <c r="A44" s="117" t="s">
        <v>7003</v>
      </c>
      <c r="B44" s="117" t="s">
        <v>6300</v>
      </c>
      <c r="C44" s="4" t="s">
        <v>9793</v>
      </c>
      <c r="D44" s="120">
        <v>2823</v>
      </c>
      <c r="E44" s="120">
        <v>2779</v>
      </c>
      <c r="F44" s="120">
        <v>2874</v>
      </c>
      <c r="G44" s="31">
        <v>2955</v>
      </c>
      <c r="H44" s="31">
        <v>2840</v>
      </c>
      <c r="I44" s="31">
        <v>2880</v>
      </c>
      <c r="J44" s="31">
        <v>2882</v>
      </c>
      <c r="K44" s="31">
        <v>3013</v>
      </c>
      <c r="L44" s="31">
        <v>3050</v>
      </c>
      <c r="N44" s="117" t="s">
        <v>8173</v>
      </c>
      <c r="O44" s="4"/>
      <c r="Q44" s="4"/>
    </row>
    <row r="45" spans="1:17">
      <c r="A45" s="117" t="s">
        <v>7005</v>
      </c>
      <c r="B45" s="117" t="s">
        <v>6301</v>
      </c>
      <c r="C45" s="4" t="s">
        <v>9794</v>
      </c>
      <c r="D45" s="120">
        <v>5359</v>
      </c>
      <c r="E45" s="120">
        <v>5253</v>
      </c>
      <c r="F45" s="120">
        <v>5158</v>
      </c>
      <c r="G45" s="30">
        <v>5387</v>
      </c>
      <c r="H45" s="30">
        <v>5272</v>
      </c>
      <c r="I45" s="30">
        <v>5354</v>
      </c>
      <c r="J45" s="30">
        <v>5322</v>
      </c>
      <c r="K45" s="30">
        <v>5544</v>
      </c>
      <c r="L45" s="30">
        <v>5448</v>
      </c>
      <c r="N45" s="117" t="s">
        <v>8170</v>
      </c>
      <c r="O45" s="4"/>
      <c r="Q45" s="4"/>
    </row>
    <row r="46" spans="1:17">
      <c r="A46" s="117" t="s">
        <v>7007</v>
      </c>
      <c r="B46" s="117" t="s">
        <v>6302</v>
      </c>
      <c r="C46" s="4" t="s">
        <v>9795</v>
      </c>
      <c r="D46" s="120">
        <v>5200</v>
      </c>
      <c r="E46" s="120">
        <v>5292</v>
      </c>
      <c r="F46" s="120">
        <v>5341</v>
      </c>
      <c r="G46" s="30">
        <v>5577</v>
      </c>
      <c r="H46" s="30">
        <v>5554</v>
      </c>
      <c r="I46" s="30">
        <v>5553</v>
      </c>
      <c r="J46" s="30">
        <v>5433</v>
      </c>
      <c r="K46" s="30">
        <v>5611</v>
      </c>
      <c r="L46" s="30">
        <v>5539</v>
      </c>
      <c r="N46" s="117" t="s">
        <v>8170</v>
      </c>
      <c r="O46" s="4"/>
    </row>
    <row r="47" spans="1:17">
      <c r="A47" s="117" t="s">
        <v>7009</v>
      </c>
      <c r="B47" s="117" t="s">
        <v>6303</v>
      </c>
      <c r="C47" s="4" t="s">
        <v>9796</v>
      </c>
      <c r="D47" s="120">
        <v>3666</v>
      </c>
      <c r="E47" s="120">
        <v>3634</v>
      </c>
      <c r="F47" s="120">
        <v>3647</v>
      </c>
      <c r="G47" s="30">
        <v>3686</v>
      </c>
      <c r="H47" s="30">
        <v>3569</v>
      </c>
      <c r="I47" s="30">
        <v>3616</v>
      </c>
      <c r="J47" s="30">
        <v>3545</v>
      </c>
      <c r="K47" s="30">
        <v>3650</v>
      </c>
      <c r="L47" s="30">
        <v>3664</v>
      </c>
      <c r="N47" s="117" t="s">
        <v>8170</v>
      </c>
      <c r="O47" s="4"/>
    </row>
    <row r="48" spans="1:17">
      <c r="A48" s="117" t="s">
        <v>7011</v>
      </c>
      <c r="B48" s="117" t="s">
        <v>6304</v>
      </c>
      <c r="C48" s="4" t="s">
        <v>9797</v>
      </c>
      <c r="D48" s="120">
        <v>3074</v>
      </c>
      <c r="E48" s="120">
        <v>3033</v>
      </c>
      <c r="F48" s="120">
        <v>2976</v>
      </c>
      <c r="G48" s="30">
        <v>3040</v>
      </c>
      <c r="H48" s="30">
        <v>2832</v>
      </c>
      <c r="I48" s="30">
        <v>2948</v>
      </c>
      <c r="J48" s="30">
        <v>3015</v>
      </c>
      <c r="K48" s="30">
        <v>3118</v>
      </c>
      <c r="L48" s="30">
        <v>3107</v>
      </c>
      <c r="N48" s="117" t="s">
        <v>8170</v>
      </c>
      <c r="O48" s="4"/>
    </row>
    <row r="49" spans="1:17">
      <c r="A49" s="117" t="s">
        <v>7013</v>
      </c>
      <c r="B49" s="117" t="s">
        <v>6305</v>
      </c>
      <c r="C49" s="4" t="s">
        <v>9798</v>
      </c>
      <c r="D49" s="120">
        <v>3206</v>
      </c>
      <c r="E49" s="120">
        <v>3189</v>
      </c>
      <c r="F49" s="120">
        <v>3219</v>
      </c>
      <c r="G49" s="31">
        <v>3316</v>
      </c>
      <c r="H49" s="31">
        <v>3171</v>
      </c>
      <c r="I49" s="31">
        <v>3288</v>
      </c>
      <c r="J49" s="31">
        <v>3430</v>
      </c>
      <c r="K49" s="31">
        <v>3725</v>
      </c>
      <c r="L49" s="31">
        <v>3678</v>
      </c>
      <c r="N49" s="117" t="s">
        <v>8173</v>
      </c>
      <c r="O49" s="4"/>
      <c r="Q49" s="4"/>
    </row>
    <row r="50" spans="1:17">
      <c r="A50" s="117" t="s">
        <v>7015</v>
      </c>
      <c r="B50" s="117" t="s">
        <v>6306</v>
      </c>
      <c r="C50" s="4" t="s">
        <v>9799</v>
      </c>
      <c r="D50" s="120">
        <v>3184</v>
      </c>
      <c r="E50" s="120">
        <v>3198</v>
      </c>
      <c r="F50" s="120">
        <v>3316</v>
      </c>
      <c r="G50" s="31">
        <v>3351</v>
      </c>
      <c r="H50" s="31">
        <v>2802</v>
      </c>
      <c r="I50" s="31">
        <v>3076</v>
      </c>
      <c r="J50" s="31">
        <v>3149</v>
      </c>
      <c r="K50" s="31">
        <v>3321</v>
      </c>
      <c r="L50" s="31">
        <v>3300</v>
      </c>
      <c r="N50" s="117" t="s">
        <v>8173</v>
      </c>
      <c r="O50" s="4"/>
      <c r="Q50" s="4"/>
    </row>
    <row r="51" spans="1:17">
      <c r="A51" s="117" t="s">
        <v>7017</v>
      </c>
      <c r="B51" s="117" t="s">
        <v>6307</v>
      </c>
      <c r="C51" s="4" t="s">
        <v>9800</v>
      </c>
      <c r="D51" s="120">
        <v>3100</v>
      </c>
      <c r="E51" s="120">
        <v>3044</v>
      </c>
      <c r="F51" s="120">
        <v>3095</v>
      </c>
      <c r="G51" s="31">
        <v>3169</v>
      </c>
      <c r="H51" s="31">
        <v>2872</v>
      </c>
      <c r="I51" s="31">
        <v>2996</v>
      </c>
      <c r="J51" s="31">
        <v>3135</v>
      </c>
      <c r="K51" s="31">
        <v>3280</v>
      </c>
      <c r="L51" s="31">
        <v>3252</v>
      </c>
      <c r="N51" s="117" t="s">
        <v>8172</v>
      </c>
      <c r="O51" s="4"/>
      <c r="Q51" s="4"/>
    </row>
    <row r="52" spans="1:17">
      <c r="A52" s="117" t="s">
        <v>7019</v>
      </c>
      <c r="B52" s="117" t="s">
        <v>6308</v>
      </c>
      <c r="C52" s="4" t="s">
        <v>9801</v>
      </c>
      <c r="D52" s="120">
        <v>2370</v>
      </c>
      <c r="E52" s="120">
        <v>2397</v>
      </c>
      <c r="F52" s="120">
        <v>2321</v>
      </c>
      <c r="G52" s="30">
        <v>2372</v>
      </c>
      <c r="H52" s="30">
        <v>2192</v>
      </c>
      <c r="I52" s="30">
        <v>2292</v>
      </c>
      <c r="J52" s="30">
        <v>2302</v>
      </c>
      <c r="K52" s="30">
        <v>2374</v>
      </c>
      <c r="L52" s="30">
        <v>2360</v>
      </c>
      <c r="N52" s="117" t="s">
        <v>8170</v>
      </c>
      <c r="O52" s="4"/>
    </row>
    <row r="53" spans="1:17">
      <c r="A53" s="117" t="s">
        <v>7021</v>
      </c>
      <c r="B53" s="117" t="s">
        <v>6309</v>
      </c>
      <c r="C53" s="4" t="s">
        <v>9802</v>
      </c>
      <c r="D53" s="120">
        <v>6892</v>
      </c>
      <c r="E53" s="120">
        <v>6933</v>
      </c>
      <c r="F53" s="120">
        <v>6832</v>
      </c>
      <c r="G53" s="30">
        <v>7132</v>
      </c>
      <c r="H53" s="30">
        <v>6872</v>
      </c>
      <c r="I53" s="30">
        <v>6996</v>
      </c>
      <c r="J53" s="30">
        <v>7141</v>
      </c>
      <c r="K53" s="30">
        <v>7315</v>
      </c>
      <c r="L53" s="30">
        <v>7225</v>
      </c>
      <c r="N53" s="117" t="s">
        <v>8170</v>
      </c>
      <c r="O53" s="4"/>
    </row>
    <row r="54" spans="1:17">
      <c r="A54" s="117" t="s">
        <v>7023</v>
      </c>
      <c r="B54" s="117" t="s">
        <v>6310</v>
      </c>
      <c r="C54" s="4" t="s">
        <v>9803</v>
      </c>
      <c r="D54" s="120">
        <v>3586</v>
      </c>
      <c r="E54" s="120">
        <v>3566</v>
      </c>
      <c r="F54" s="120">
        <v>3483</v>
      </c>
      <c r="G54" s="30">
        <v>3597</v>
      </c>
      <c r="H54" s="30">
        <v>3400</v>
      </c>
      <c r="I54" s="30">
        <v>3498</v>
      </c>
      <c r="J54" s="30">
        <v>3477</v>
      </c>
      <c r="K54" s="30">
        <v>3589</v>
      </c>
      <c r="L54" s="30">
        <v>3555</v>
      </c>
      <c r="N54" s="117" t="s">
        <v>8170</v>
      </c>
      <c r="O54" s="4"/>
    </row>
    <row r="55" spans="1:17">
      <c r="A55" s="117" t="s">
        <v>7025</v>
      </c>
      <c r="B55" s="117" t="s">
        <v>6311</v>
      </c>
      <c r="C55" s="4" t="s">
        <v>9804</v>
      </c>
      <c r="D55" s="120">
        <v>5525</v>
      </c>
      <c r="E55" s="120">
        <v>5509</v>
      </c>
      <c r="F55" s="120">
        <v>5439</v>
      </c>
      <c r="G55" s="30">
        <v>5583</v>
      </c>
      <c r="H55" s="30">
        <v>5198</v>
      </c>
      <c r="I55" s="30">
        <v>5447</v>
      </c>
      <c r="J55" s="30">
        <v>5614</v>
      </c>
      <c r="K55" s="30">
        <v>5876</v>
      </c>
      <c r="L55" s="30">
        <v>5828</v>
      </c>
      <c r="N55" s="117" t="s">
        <v>8170</v>
      </c>
      <c r="O55" s="4"/>
    </row>
    <row r="56" spans="1:17">
      <c r="A56" s="123">
        <v>21</v>
      </c>
      <c r="B56" s="117" t="s">
        <v>6312</v>
      </c>
      <c r="C56" s="4" t="s">
        <v>9805</v>
      </c>
      <c r="D56" s="120">
        <v>3092</v>
      </c>
      <c r="E56" s="120">
        <v>3093</v>
      </c>
      <c r="F56" s="120">
        <v>3019</v>
      </c>
      <c r="G56" s="30">
        <v>3063</v>
      </c>
      <c r="H56" s="30">
        <v>2870</v>
      </c>
      <c r="I56" s="30">
        <v>2999</v>
      </c>
      <c r="J56" s="30">
        <v>3014</v>
      </c>
      <c r="K56" s="30">
        <v>3082</v>
      </c>
      <c r="L56" s="30">
        <v>3084</v>
      </c>
      <c r="N56" s="117" t="s">
        <v>8170</v>
      </c>
      <c r="O56" s="4"/>
      <c r="Q56" s="4"/>
    </row>
    <row r="57" spans="1:17">
      <c r="A57" s="113">
        <v>22</v>
      </c>
      <c r="B57" s="117" t="s">
        <v>6313</v>
      </c>
      <c r="C57" s="4" t="s">
        <v>9806</v>
      </c>
      <c r="D57" s="120">
        <v>3065</v>
      </c>
      <c r="E57" s="120">
        <v>2993</v>
      </c>
      <c r="F57" s="120">
        <v>2987</v>
      </c>
      <c r="G57" s="31">
        <v>3119</v>
      </c>
      <c r="H57" s="31">
        <v>3013</v>
      </c>
      <c r="I57" s="31">
        <v>3041</v>
      </c>
      <c r="J57" s="31">
        <v>3030</v>
      </c>
      <c r="K57" s="31">
        <v>3178</v>
      </c>
      <c r="L57" s="31">
        <v>3132</v>
      </c>
      <c r="N57" s="117" t="s">
        <v>8173</v>
      </c>
      <c r="O57" s="4"/>
      <c r="Q57" s="4"/>
    </row>
    <row r="58" spans="1:17">
      <c r="A58" s="113">
        <v>23</v>
      </c>
      <c r="B58" s="117" t="s">
        <v>6314</v>
      </c>
      <c r="C58" s="4" t="s">
        <v>9807</v>
      </c>
      <c r="D58" s="120">
        <v>3026</v>
      </c>
      <c r="E58" s="120">
        <v>3050</v>
      </c>
      <c r="F58" s="120">
        <v>2966</v>
      </c>
      <c r="G58" s="30">
        <v>3048</v>
      </c>
      <c r="H58" s="30">
        <v>2841</v>
      </c>
      <c r="I58" s="30">
        <v>2921</v>
      </c>
      <c r="J58" s="30">
        <v>2991</v>
      </c>
      <c r="K58" s="30">
        <v>3061</v>
      </c>
      <c r="L58" s="30">
        <v>3019</v>
      </c>
      <c r="N58" s="117" t="s">
        <v>8170</v>
      </c>
      <c r="O58" s="4"/>
      <c r="Q58" s="4"/>
    </row>
    <row r="59" spans="1:17">
      <c r="A59" s="113">
        <v>24</v>
      </c>
      <c r="B59" s="117" t="s">
        <v>6315</v>
      </c>
      <c r="C59" s="4" t="s">
        <v>9808</v>
      </c>
      <c r="D59" s="120">
        <v>2903</v>
      </c>
      <c r="E59" s="120">
        <v>2855</v>
      </c>
      <c r="F59" s="120">
        <v>2755</v>
      </c>
      <c r="G59" s="31">
        <v>2899</v>
      </c>
      <c r="H59" s="31">
        <v>2919</v>
      </c>
      <c r="I59" s="31">
        <v>2991</v>
      </c>
      <c r="J59" s="31">
        <v>3060</v>
      </c>
      <c r="K59" s="31">
        <v>3157</v>
      </c>
      <c r="L59" s="31">
        <v>3157</v>
      </c>
      <c r="N59" s="117" t="s">
        <v>8172</v>
      </c>
      <c r="O59" s="4"/>
      <c r="Q59" s="4"/>
    </row>
    <row r="60" spans="1:17">
      <c r="A60" s="113">
        <v>25</v>
      </c>
      <c r="B60" s="117" t="s">
        <v>6316</v>
      </c>
      <c r="C60" s="4" t="s">
        <v>9809</v>
      </c>
      <c r="D60" s="120">
        <v>3472</v>
      </c>
      <c r="E60" s="120">
        <v>3377</v>
      </c>
      <c r="F60" s="120">
        <v>3253</v>
      </c>
      <c r="G60" s="31">
        <v>3383</v>
      </c>
      <c r="H60" s="31">
        <v>3254</v>
      </c>
      <c r="I60" s="31">
        <v>3289</v>
      </c>
      <c r="J60" s="31">
        <v>3265</v>
      </c>
      <c r="K60" s="31">
        <v>3338</v>
      </c>
      <c r="L60" s="31">
        <v>3294</v>
      </c>
      <c r="N60" s="117" t="s">
        <v>8173</v>
      </c>
      <c r="O60" s="4"/>
      <c r="Q60" s="4"/>
    </row>
    <row r="61" spans="1:17">
      <c r="A61" s="113">
        <v>26</v>
      </c>
      <c r="B61" s="117" t="s">
        <v>6317</v>
      </c>
      <c r="C61" s="4" t="s">
        <v>9810</v>
      </c>
      <c r="D61" s="120">
        <v>2831</v>
      </c>
      <c r="E61" s="120">
        <v>2720</v>
      </c>
      <c r="F61" s="120">
        <v>2635</v>
      </c>
      <c r="G61" s="30">
        <v>2788</v>
      </c>
      <c r="H61" s="30">
        <v>2416</v>
      </c>
      <c r="I61" s="30">
        <v>2520</v>
      </c>
      <c r="J61" s="30">
        <v>2574</v>
      </c>
      <c r="K61" s="30">
        <v>2684</v>
      </c>
      <c r="L61" s="30">
        <v>2733</v>
      </c>
      <c r="N61" s="117" t="s">
        <v>8170</v>
      </c>
      <c r="O61" s="4"/>
      <c r="Q61" s="4"/>
    </row>
    <row r="62" spans="1:17">
      <c r="A62" s="113">
        <v>27</v>
      </c>
      <c r="B62" s="117" t="s">
        <v>6318</v>
      </c>
      <c r="C62" s="4" t="s">
        <v>9811</v>
      </c>
      <c r="D62" s="120">
        <v>2790</v>
      </c>
      <c r="E62" s="120">
        <v>2817</v>
      </c>
      <c r="F62" s="120">
        <v>2800</v>
      </c>
      <c r="G62" s="31">
        <v>2897</v>
      </c>
      <c r="H62" s="31">
        <v>2650</v>
      </c>
      <c r="I62" s="31">
        <v>2788</v>
      </c>
      <c r="J62" s="31">
        <v>2780</v>
      </c>
      <c r="K62" s="31">
        <v>2902</v>
      </c>
      <c r="L62" s="31">
        <v>2962</v>
      </c>
      <c r="N62" s="117" t="s">
        <v>8172</v>
      </c>
      <c r="O62" s="4"/>
      <c r="Q62" s="4"/>
    </row>
    <row r="63" spans="1:17">
      <c r="A63" s="113">
        <v>28</v>
      </c>
      <c r="B63" s="117" t="s">
        <v>6319</v>
      </c>
      <c r="C63" s="4" t="s">
        <v>9812</v>
      </c>
      <c r="D63" s="120">
        <v>3202</v>
      </c>
      <c r="E63" s="120">
        <v>3228</v>
      </c>
      <c r="F63" s="120">
        <v>3140</v>
      </c>
      <c r="G63" s="31">
        <v>3259</v>
      </c>
      <c r="H63" s="31">
        <v>3138</v>
      </c>
      <c r="I63" s="31">
        <v>3254</v>
      </c>
      <c r="J63" s="31">
        <v>3291</v>
      </c>
      <c r="K63" s="31">
        <v>3416</v>
      </c>
      <c r="L63" s="31">
        <v>3393</v>
      </c>
      <c r="N63" s="117" t="s">
        <v>8172</v>
      </c>
      <c r="O63" s="4"/>
      <c r="Q63" s="4"/>
    </row>
    <row r="64" spans="1:17">
      <c r="A64" s="113">
        <v>29</v>
      </c>
      <c r="B64" s="117" t="s">
        <v>6320</v>
      </c>
      <c r="C64" s="4" t="s">
        <v>9813</v>
      </c>
      <c r="D64" s="120">
        <v>3160</v>
      </c>
      <c r="E64" s="120">
        <v>3066</v>
      </c>
      <c r="F64" s="120">
        <v>3095</v>
      </c>
      <c r="G64" s="31">
        <v>3154</v>
      </c>
      <c r="H64" s="31">
        <v>2950</v>
      </c>
      <c r="I64" s="31">
        <v>3075</v>
      </c>
      <c r="J64" s="31">
        <v>3108</v>
      </c>
      <c r="K64" s="31">
        <v>3224</v>
      </c>
      <c r="L64" s="31">
        <v>3199</v>
      </c>
      <c r="N64" s="117" t="s">
        <v>8173</v>
      </c>
      <c r="O64" s="4"/>
      <c r="Q64" s="4"/>
    </row>
    <row r="65" spans="1:17">
      <c r="A65" s="113">
        <v>30</v>
      </c>
      <c r="B65" s="117" t="s">
        <v>6321</v>
      </c>
      <c r="C65" s="4" t="s">
        <v>9814</v>
      </c>
      <c r="D65" s="120">
        <v>3090</v>
      </c>
      <c r="E65" s="120">
        <v>3031</v>
      </c>
      <c r="F65" s="120">
        <v>2977</v>
      </c>
      <c r="G65" s="31">
        <v>3069</v>
      </c>
      <c r="H65" s="31">
        <v>2849</v>
      </c>
      <c r="I65" s="31">
        <v>3050</v>
      </c>
      <c r="J65" s="31">
        <v>3081</v>
      </c>
      <c r="K65" s="31">
        <v>3197</v>
      </c>
      <c r="L65" s="31">
        <v>3121</v>
      </c>
      <c r="N65" s="117" t="s">
        <v>8173</v>
      </c>
      <c r="O65" s="4"/>
      <c r="Q65" s="4"/>
    </row>
    <row r="66" spans="1:17">
      <c r="A66" s="113">
        <v>31</v>
      </c>
      <c r="B66" s="117" t="s">
        <v>6322</v>
      </c>
      <c r="C66" s="4" t="s">
        <v>9815</v>
      </c>
      <c r="D66" s="120">
        <v>3022</v>
      </c>
      <c r="E66" s="120">
        <v>3038</v>
      </c>
      <c r="F66" s="120">
        <v>3095</v>
      </c>
      <c r="G66" s="30">
        <v>3199</v>
      </c>
      <c r="H66" s="30">
        <v>2948</v>
      </c>
      <c r="I66" s="30">
        <v>2942</v>
      </c>
      <c r="J66" s="30">
        <v>2935</v>
      </c>
      <c r="K66" s="30">
        <v>3088</v>
      </c>
      <c r="L66" s="30">
        <v>3026</v>
      </c>
      <c r="N66" s="117" t="s">
        <v>8170</v>
      </c>
      <c r="O66" s="4"/>
      <c r="Q66" s="4"/>
    </row>
    <row r="67" spans="1:17">
      <c r="A67" s="113">
        <v>32</v>
      </c>
      <c r="B67" s="117" t="s">
        <v>3272</v>
      </c>
      <c r="C67" s="4" t="s">
        <v>9816</v>
      </c>
      <c r="D67" s="120">
        <v>2943</v>
      </c>
      <c r="E67" s="120">
        <v>3030</v>
      </c>
      <c r="F67" s="120">
        <v>2958</v>
      </c>
      <c r="G67" s="30">
        <v>2967</v>
      </c>
      <c r="H67" s="30">
        <v>2776</v>
      </c>
      <c r="I67" s="30">
        <v>2872</v>
      </c>
      <c r="J67" s="30">
        <v>2942</v>
      </c>
      <c r="K67" s="30">
        <v>3075</v>
      </c>
      <c r="L67" s="30">
        <v>3006</v>
      </c>
      <c r="N67" s="117" t="s">
        <v>8170</v>
      </c>
      <c r="O67" s="4"/>
      <c r="Q67" s="4"/>
    </row>
    <row r="68" spans="1:17">
      <c r="A68" s="114">
        <v>33</v>
      </c>
      <c r="B68" s="117" t="s">
        <v>6323</v>
      </c>
      <c r="C68" s="4" t="s">
        <v>9817</v>
      </c>
      <c r="D68" s="120">
        <v>2991</v>
      </c>
      <c r="E68" s="120">
        <v>3051</v>
      </c>
      <c r="F68" s="120">
        <v>3024</v>
      </c>
      <c r="G68" s="31">
        <v>3134</v>
      </c>
      <c r="H68" s="31">
        <v>2831</v>
      </c>
      <c r="I68" s="31">
        <v>2924</v>
      </c>
      <c r="J68" s="31">
        <v>3047</v>
      </c>
      <c r="K68" s="31">
        <v>3147</v>
      </c>
      <c r="L68" s="31">
        <v>3124</v>
      </c>
      <c r="N68" s="117" t="s">
        <v>8170</v>
      </c>
      <c r="O68" s="4"/>
      <c r="Q68" s="4"/>
    </row>
    <row r="69" spans="1:17">
      <c r="A69" s="113">
        <v>34</v>
      </c>
      <c r="B69" s="117" t="s">
        <v>6324</v>
      </c>
      <c r="C69" s="4" t="s">
        <v>9818</v>
      </c>
      <c r="D69" s="120">
        <v>3476</v>
      </c>
      <c r="E69" s="120">
        <v>3497</v>
      </c>
      <c r="F69" s="120">
        <v>3493</v>
      </c>
      <c r="G69" s="31">
        <v>3567</v>
      </c>
      <c r="H69" s="31">
        <v>3569</v>
      </c>
      <c r="I69" s="31">
        <v>3562</v>
      </c>
      <c r="J69" s="31">
        <v>3589</v>
      </c>
      <c r="K69" s="31">
        <v>3730</v>
      </c>
      <c r="L69" s="31">
        <v>3697</v>
      </c>
      <c r="N69" s="117" t="s">
        <v>8172</v>
      </c>
      <c r="O69" s="4"/>
      <c r="Q69" s="4"/>
    </row>
    <row r="70" spans="1:17">
      <c r="A70" s="113">
        <v>35</v>
      </c>
      <c r="B70" s="117" t="s">
        <v>6325</v>
      </c>
      <c r="C70" s="4" t="s">
        <v>9819</v>
      </c>
      <c r="D70" s="120">
        <v>6631</v>
      </c>
      <c r="E70" s="120">
        <v>6562</v>
      </c>
      <c r="F70" s="120">
        <v>6434</v>
      </c>
      <c r="G70" s="31">
        <v>6589</v>
      </c>
      <c r="H70" s="31">
        <v>6365</v>
      </c>
      <c r="I70" s="31">
        <v>6493</v>
      </c>
      <c r="J70" s="31">
        <v>6500</v>
      </c>
      <c r="K70" s="31">
        <v>6683</v>
      </c>
      <c r="L70" s="31">
        <v>6569</v>
      </c>
      <c r="N70" s="117" t="s">
        <v>8172</v>
      </c>
      <c r="O70" s="4"/>
      <c r="Q70" s="4"/>
    </row>
    <row r="71" spans="1:17">
      <c r="A71" s="113">
        <v>36</v>
      </c>
      <c r="B71" s="117" t="s">
        <v>6326</v>
      </c>
      <c r="C71" s="4" t="s">
        <v>9820</v>
      </c>
      <c r="D71" s="120">
        <v>3111</v>
      </c>
      <c r="E71" s="120">
        <v>2980</v>
      </c>
      <c r="F71" s="120">
        <v>3102</v>
      </c>
      <c r="G71" s="31">
        <v>3196</v>
      </c>
      <c r="H71" s="31">
        <v>2937</v>
      </c>
      <c r="I71" s="31">
        <v>3171</v>
      </c>
      <c r="J71" s="31">
        <v>3002</v>
      </c>
      <c r="K71" s="31">
        <v>3071</v>
      </c>
      <c r="L71" s="31">
        <v>3097</v>
      </c>
      <c r="N71" s="117" t="s">
        <v>8173</v>
      </c>
      <c r="O71" s="4"/>
      <c r="Q71" s="4"/>
    </row>
    <row r="72" spans="1:17">
      <c r="A72" s="113">
        <v>37</v>
      </c>
      <c r="B72" s="117" t="s">
        <v>12502</v>
      </c>
      <c r="C72" s="4" t="s">
        <v>9821</v>
      </c>
      <c r="D72" s="120">
        <v>3089</v>
      </c>
      <c r="E72" s="120">
        <v>3020</v>
      </c>
      <c r="F72" s="120">
        <v>3005</v>
      </c>
      <c r="G72" s="31">
        <v>3181</v>
      </c>
      <c r="H72" s="31">
        <v>3172</v>
      </c>
      <c r="I72" s="31">
        <v>2951</v>
      </c>
      <c r="J72" s="31">
        <v>3143</v>
      </c>
      <c r="K72" s="31">
        <v>3238</v>
      </c>
      <c r="L72" s="31">
        <v>3217</v>
      </c>
      <c r="N72" s="117" t="s">
        <v>8173</v>
      </c>
      <c r="O72" s="4"/>
      <c r="Q72" s="4"/>
    </row>
    <row r="73" spans="1:17">
      <c r="A73" s="113">
        <v>38</v>
      </c>
      <c r="B73" s="117" t="s">
        <v>6327</v>
      </c>
      <c r="C73" s="4" t="s">
        <v>9822</v>
      </c>
      <c r="D73" s="120">
        <v>3298</v>
      </c>
      <c r="E73" s="120">
        <v>3338</v>
      </c>
      <c r="F73" s="120">
        <v>3319</v>
      </c>
      <c r="G73" s="31">
        <v>3368</v>
      </c>
      <c r="H73" s="31">
        <v>2963</v>
      </c>
      <c r="I73" s="31">
        <v>3089</v>
      </c>
      <c r="J73" s="31">
        <v>3108</v>
      </c>
      <c r="K73" s="31">
        <v>3268</v>
      </c>
      <c r="L73" s="31">
        <v>3230</v>
      </c>
      <c r="N73" s="117" t="s">
        <v>8173</v>
      </c>
      <c r="O73" s="4"/>
      <c r="Q73" s="4"/>
    </row>
    <row r="74" spans="1:17">
      <c r="A74" s="113">
        <v>39</v>
      </c>
      <c r="B74" s="117" t="s">
        <v>6328</v>
      </c>
      <c r="C74" s="4" t="s">
        <v>9823</v>
      </c>
      <c r="D74" s="120">
        <v>3507</v>
      </c>
      <c r="E74" s="120">
        <v>3457</v>
      </c>
      <c r="F74" s="120">
        <v>3347</v>
      </c>
      <c r="G74" s="31">
        <v>3446</v>
      </c>
      <c r="H74" s="31">
        <v>3340</v>
      </c>
      <c r="I74" s="31">
        <v>3408</v>
      </c>
      <c r="J74" s="31">
        <v>3406</v>
      </c>
      <c r="K74" s="31">
        <v>3455</v>
      </c>
      <c r="L74" s="31">
        <v>3415</v>
      </c>
      <c r="N74" s="117" t="s">
        <v>8170</v>
      </c>
      <c r="O74" s="4"/>
      <c r="Q74" s="4"/>
    </row>
    <row r="75" spans="1:17">
      <c r="A75" s="113">
        <v>40</v>
      </c>
      <c r="B75" s="117" t="s">
        <v>6329</v>
      </c>
      <c r="C75" s="72" t="s">
        <v>13444</v>
      </c>
      <c r="D75" s="120">
        <v>6849</v>
      </c>
      <c r="E75" s="120">
        <v>6734</v>
      </c>
      <c r="F75" s="120">
        <v>6720</v>
      </c>
      <c r="G75" s="31">
        <v>6833</v>
      </c>
      <c r="H75" s="31">
        <v>6820</v>
      </c>
      <c r="I75" s="31">
        <v>6737</v>
      </c>
      <c r="J75" s="31">
        <v>6665</v>
      </c>
      <c r="K75" s="31">
        <v>6817</v>
      </c>
      <c r="L75" s="31">
        <v>6634</v>
      </c>
      <c r="N75" s="117" t="s">
        <v>8172</v>
      </c>
      <c r="O75" s="4"/>
      <c r="Q75" s="4"/>
    </row>
    <row r="76" spans="1:17">
      <c r="A76" s="113">
        <v>41</v>
      </c>
      <c r="B76" s="117" t="s">
        <v>6330</v>
      </c>
      <c r="C76" s="72" t="s">
        <v>13445</v>
      </c>
      <c r="D76" s="120">
        <v>3234</v>
      </c>
      <c r="E76" s="120">
        <v>3209</v>
      </c>
      <c r="F76" s="120">
        <v>3128</v>
      </c>
      <c r="G76" s="31">
        <v>3285</v>
      </c>
      <c r="H76" s="31">
        <v>3057</v>
      </c>
      <c r="I76" s="31">
        <v>3101</v>
      </c>
      <c r="J76" s="31">
        <v>3082</v>
      </c>
      <c r="K76" s="31">
        <v>3217</v>
      </c>
      <c r="L76" s="31">
        <v>3169</v>
      </c>
      <c r="N76" s="117" t="s">
        <v>8172</v>
      </c>
      <c r="O76" s="4"/>
      <c r="Q76" s="72"/>
    </row>
    <row r="77" spans="1:17">
      <c r="A77" s="113">
        <v>42</v>
      </c>
      <c r="B77" s="117" t="s">
        <v>6331</v>
      </c>
      <c r="C77" s="72" t="s">
        <v>13446</v>
      </c>
      <c r="D77" s="120">
        <v>2912</v>
      </c>
      <c r="E77" s="120">
        <v>2909</v>
      </c>
      <c r="F77" s="120">
        <v>2810</v>
      </c>
      <c r="G77" s="31">
        <v>2810</v>
      </c>
      <c r="H77" s="31">
        <v>2709</v>
      </c>
      <c r="I77" s="31">
        <v>2714</v>
      </c>
      <c r="J77" s="31">
        <v>2599</v>
      </c>
      <c r="K77" s="31">
        <v>2699</v>
      </c>
      <c r="L77" s="31">
        <v>2607</v>
      </c>
      <c r="N77" s="117" t="s">
        <v>8172</v>
      </c>
      <c r="O77" s="4"/>
      <c r="Q77" s="72"/>
    </row>
    <row r="78" spans="1:17">
      <c r="A78" s="113">
        <v>43</v>
      </c>
      <c r="B78" s="117" t="s">
        <v>6332</v>
      </c>
      <c r="C78" s="4" t="s">
        <v>9824</v>
      </c>
      <c r="D78" s="120">
        <v>3209</v>
      </c>
      <c r="E78" s="120">
        <v>3129</v>
      </c>
      <c r="F78" s="120">
        <v>3196</v>
      </c>
      <c r="G78" s="31">
        <v>3340</v>
      </c>
      <c r="H78" s="31">
        <v>3239</v>
      </c>
      <c r="I78" s="31">
        <v>3240</v>
      </c>
      <c r="J78" s="31">
        <v>3399</v>
      </c>
      <c r="K78" s="31">
        <v>3560</v>
      </c>
      <c r="L78" s="31">
        <v>3503</v>
      </c>
      <c r="N78" s="117" t="s">
        <v>8173</v>
      </c>
      <c r="O78" s="4"/>
      <c r="Q78" s="4"/>
    </row>
    <row r="79" spans="1:17">
      <c r="A79" s="113">
        <v>44</v>
      </c>
      <c r="B79" s="117" t="s">
        <v>6333</v>
      </c>
      <c r="C79" s="4" t="s">
        <v>9825</v>
      </c>
      <c r="D79" s="120">
        <v>3303</v>
      </c>
      <c r="E79" s="120">
        <v>3172</v>
      </c>
      <c r="F79" s="120">
        <v>3172</v>
      </c>
      <c r="G79" s="31">
        <v>3306</v>
      </c>
      <c r="H79" s="31">
        <v>3195</v>
      </c>
      <c r="I79" s="31">
        <v>3281</v>
      </c>
      <c r="J79" s="31">
        <v>3347</v>
      </c>
      <c r="K79" s="31">
        <v>3503</v>
      </c>
      <c r="L79" s="31">
        <v>3408</v>
      </c>
      <c r="N79" s="117" t="s">
        <v>8172</v>
      </c>
      <c r="O79" s="4"/>
      <c r="Q79" s="72"/>
    </row>
    <row r="80" spans="1:17">
      <c r="A80" s="113">
        <v>45</v>
      </c>
      <c r="B80" s="117" t="s">
        <v>12506</v>
      </c>
      <c r="C80" s="4" t="s">
        <v>9826</v>
      </c>
      <c r="D80" s="120">
        <v>2650</v>
      </c>
      <c r="E80" s="120">
        <v>2698</v>
      </c>
      <c r="F80" s="120">
        <v>2722</v>
      </c>
      <c r="G80" s="31">
        <v>2927</v>
      </c>
      <c r="H80" s="31">
        <v>2628</v>
      </c>
      <c r="I80" s="31">
        <v>2742</v>
      </c>
      <c r="J80" s="31">
        <v>2807</v>
      </c>
      <c r="K80" s="31">
        <v>3031</v>
      </c>
      <c r="L80" s="31">
        <v>3009</v>
      </c>
      <c r="N80" s="117" t="s">
        <v>8173</v>
      </c>
      <c r="O80" s="4"/>
      <c r="Q80" s="4"/>
    </row>
    <row r="81" spans="1:17">
      <c r="A81" s="113">
        <v>46</v>
      </c>
      <c r="B81" s="117" t="s">
        <v>8077</v>
      </c>
      <c r="C81" s="4" t="s">
        <v>9827</v>
      </c>
      <c r="D81" s="120">
        <v>3112</v>
      </c>
      <c r="E81" s="120">
        <v>3115</v>
      </c>
      <c r="F81" s="120">
        <v>3145</v>
      </c>
      <c r="G81" s="31">
        <v>3313</v>
      </c>
      <c r="H81" s="31">
        <v>3203</v>
      </c>
      <c r="I81" s="31">
        <v>3264</v>
      </c>
      <c r="J81" s="31">
        <v>3296</v>
      </c>
      <c r="K81" s="31">
        <v>3569</v>
      </c>
      <c r="L81" s="31">
        <v>3685</v>
      </c>
      <c r="N81" s="117" t="s">
        <v>8173</v>
      </c>
      <c r="O81" s="4"/>
      <c r="Q81" s="4"/>
    </row>
    <row r="82" spans="1:17">
      <c r="A82" s="113">
        <v>47</v>
      </c>
      <c r="B82" s="117" t="s">
        <v>8078</v>
      </c>
      <c r="C82" s="72" t="s">
        <v>13447</v>
      </c>
      <c r="D82" s="120">
        <v>2919</v>
      </c>
      <c r="E82" s="120">
        <v>2872</v>
      </c>
      <c r="F82" s="120">
        <v>2858</v>
      </c>
      <c r="G82" s="31">
        <v>3004</v>
      </c>
      <c r="H82" s="31">
        <v>2971</v>
      </c>
      <c r="I82" s="31">
        <v>3010</v>
      </c>
      <c r="J82" s="31">
        <v>2992</v>
      </c>
      <c r="K82" s="31">
        <v>3102</v>
      </c>
      <c r="L82" s="31">
        <v>3156</v>
      </c>
      <c r="N82" s="117" t="s">
        <v>8172</v>
      </c>
      <c r="O82" s="4"/>
      <c r="Q82" s="72"/>
    </row>
    <row r="83" spans="1:17">
      <c r="A83" s="113">
        <v>48</v>
      </c>
      <c r="B83" s="117" t="s">
        <v>1618</v>
      </c>
      <c r="C83" s="4" t="s">
        <v>9828</v>
      </c>
      <c r="D83" s="120">
        <v>3460</v>
      </c>
      <c r="E83" s="120">
        <v>3397</v>
      </c>
      <c r="F83" s="120">
        <v>3374</v>
      </c>
      <c r="G83" s="31">
        <v>3480</v>
      </c>
      <c r="H83" s="31">
        <v>3387</v>
      </c>
      <c r="I83" s="31">
        <v>3381</v>
      </c>
      <c r="J83" s="31">
        <v>3428</v>
      </c>
      <c r="K83" s="31">
        <v>3505</v>
      </c>
      <c r="L83" s="31">
        <v>3505</v>
      </c>
      <c r="N83" s="117" t="s">
        <v>8172</v>
      </c>
      <c r="O83" s="4"/>
      <c r="Q83" s="72"/>
    </row>
    <row r="84" spans="1:17">
      <c r="A84" s="113">
        <v>49</v>
      </c>
      <c r="B84" s="117" t="s">
        <v>8083</v>
      </c>
      <c r="C84" s="72" t="s">
        <v>13448</v>
      </c>
      <c r="D84" s="120">
        <v>3228</v>
      </c>
      <c r="E84" s="120">
        <v>3187</v>
      </c>
      <c r="F84" s="120">
        <v>3263</v>
      </c>
      <c r="G84" s="31">
        <v>3289</v>
      </c>
      <c r="H84" s="31">
        <v>3158</v>
      </c>
      <c r="I84" s="31">
        <v>3194</v>
      </c>
      <c r="J84" s="31">
        <v>3186</v>
      </c>
      <c r="K84" s="31">
        <v>3320</v>
      </c>
      <c r="L84" s="31">
        <v>3304</v>
      </c>
      <c r="N84" s="117" t="s">
        <v>8172</v>
      </c>
      <c r="O84" s="4"/>
      <c r="Q84" s="72"/>
    </row>
    <row r="85" spans="1:17">
      <c r="A85" s="113">
        <v>50</v>
      </c>
      <c r="B85" s="117" t="s">
        <v>12837</v>
      </c>
      <c r="C85" s="72" t="s">
        <v>13443</v>
      </c>
      <c r="D85" s="120">
        <v>5602</v>
      </c>
      <c r="E85" s="120">
        <v>5547</v>
      </c>
      <c r="F85" s="120">
        <v>5425</v>
      </c>
      <c r="G85" s="31">
        <v>5569</v>
      </c>
      <c r="H85" s="31">
        <v>5465</v>
      </c>
      <c r="I85" s="31">
        <v>5548</v>
      </c>
      <c r="J85" s="31">
        <v>5457</v>
      </c>
      <c r="K85" s="31">
        <v>5613</v>
      </c>
      <c r="L85" s="31">
        <v>5517</v>
      </c>
      <c r="N85" s="117" t="s">
        <v>8172</v>
      </c>
      <c r="O85" s="4"/>
      <c r="Q85" s="4"/>
    </row>
    <row r="86" spans="1:17">
      <c r="A86" s="113">
        <v>51</v>
      </c>
      <c r="B86" s="117" t="s">
        <v>8079</v>
      </c>
      <c r="C86" s="4" t="s">
        <v>9829</v>
      </c>
      <c r="D86" s="120">
        <v>3244</v>
      </c>
      <c r="E86" s="120">
        <v>3185</v>
      </c>
      <c r="F86" s="120">
        <v>3182</v>
      </c>
      <c r="G86" s="31">
        <v>3309</v>
      </c>
      <c r="H86" s="31">
        <v>3028</v>
      </c>
      <c r="I86" s="31">
        <v>3207</v>
      </c>
      <c r="J86" s="31">
        <v>3262</v>
      </c>
      <c r="K86" s="31">
        <v>3363</v>
      </c>
      <c r="L86" s="31">
        <v>3356</v>
      </c>
      <c r="N86" s="117" t="s">
        <v>8173</v>
      </c>
      <c r="O86" s="4"/>
      <c r="Q86" s="4"/>
    </row>
    <row r="87" spans="1:17">
      <c r="A87" s="114">
        <v>52</v>
      </c>
      <c r="B87" s="117" t="s">
        <v>8080</v>
      </c>
      <c r="C87" s="4" t="s">
        <v>9830</v>
      </c>
      <c r="D87" s="120">
        <v>3456</v>
      </c>
      <c r="E87" s="120">
        <v>3432</v>
      </c>
      <c r="F87" s="120">
        <v>3304</v>
      </c>
      <c r="G87" s="31">
        <v>3491</v>
      </c>
      <c r="H87" s="31">
        <v>3304</v>
      </c>
      <c r="I87" s="31">
        <v>3348</v>
      </c>
      <c r="J87" s="31">
        <v>3383</v>
      </c>
      <c r="K87" s="31">
        <v>3477</v>
      </c>
      <c r="L87" s="31">
        <v>3472</v>
      </c>
      <c r="N87" s="117" t="s">
        <v>8172</v>
      </c>
      <c r="O87" s="4"/>
      <c r="Q87" s="72"/>
    </row>
    <row r="88" spans="1:17">
      <c r="A88" s="114">
        <v>53</v>
      </c>
      <c r="B88" s="117" t="s">
        <v>8081</v>
      </c>
      <c r="C88" s="4" t="s">
        <v>9831</v>
      </c>
      <c r="D88" s="120">
        <v>3679</v>
      </c>
      <c r="E88" s="120">
        <v>3657</v>
      </c>
      <c r="F88" s="120">
        <v>3567</v>
      </c>
      <c r="G88" s="31">
        <v>3703</v>
      </c>
      <c r="H88" s="31">
        <v>3361</v>
      </c>
      <c r="I88" s="31">
        <v>3519</v>
      </c>
      <c r="J88" s="31">
        <v>3533</v>
      </c>
      <c r="K88" s="31">
        <v>3686</v>
      </c>
      <c r="L88" s="31">
        <v>3964</v>
      </c>
      <c r="N88" s="117" t="s">
        <v>8176</v>
      </c>
      <c r="O88" s="4"/>
      <c r="Q88" s="4"/>
    </row>
    <row r="89" spans="1:17">
      <c r="A89" s="113">
        <v>54</v>
      </c>
      <c r="B89" s="117" t="s">
        <v>8082</v>
      </c>
      <c r="C89" s="4" t="s">
        <v>9832</v>
      </c>
      <c r="D89" s="120">
        <v>3477</v>
      </c>
      <c r="E89" s="120">
        <v>3484</v>
      </c>
      <c r="F89" s="120">
        <v>3402</v>
      </c>
      <c r="G89" s="31">
        <v>3558</v>
      </c>
      <c r="H89" s="31">
        <v>3227</v>
      </c>
      <c r="I89" s="31">
        <v>3458</v>
      </c>
      <c r="J89" s="31">
        <v>3645</v>
      </c>
      <c r="K89" s="31">
        <v>3984</v>
      </c>
      <c r="L89" s="31">
        <v>4043</v>
      </c>
      <c r="N89" s="117" t="s">
        <v>8176</v>
      </c>
      <c r="O89" s="4"/>
      <c r="Q89" s="4"/>
    </row>
    <row r="90" spans="1:17">
      <c r="A90" s="113">
        <v>55</v>
      </c>
      <c r="B90" s="117" t="s">
        <v>8084</v>
      </c>
      <c r="C90" s="4" t="s">
        <v>9833</v>
      </c>
      <c r="D90" s="120">
        <v>2935</v>
      </c>
      <c r="E90" s="120">
        <v>2962</v>
      </c>
      <c r="F90" s="120">
        <v>3103</v>
      </c>
      <c r="G90" s="31">
        <v>3131</v>
      </c>
      <c r="H90" s="31">
        <v>3008</v>
      </c>
      <c r="I90" s="31">
        <v>3071</v>
      </c>
      <c r="J90" s="31">
        <v>3012</v>
      </c>
      <c r="K90" s="31">
        <v>3087</v>
      </c>
      <c r="L90" s="31">
        <v>3112</v>
      </c>
      <c r="N90" s="117" t="s">
        <v>8173</v>
      </c>
      <c r="O90" s="4"/>
      <c r="Q90" s="4"/>
    </row>
    <row r="91" spans="1:17">
      <c r="A91" s="113">
        <v>56</v>
      </c>
      <c r="B91" s="117" t="s">
        <v>8085</v>
      </c>
      <c r="C91" s="4" t="s">
        <v>9834</v>
      </c>
      <c r="D91" s="120">
        <v>3406</v>
      </c>
      <c r="E91" s="120">
        <v>3370</v>
      </c>
      <c r="F91" s="120">
        <v>3509</v>
      </c>
      <c r="G91" s="31">
        <v>3550</v>
      </c>
      <c r="H91" s="31">
        <v>3427</v>
      </c>
      <c r="I91" s="31">
        <v>3444</v>
      </c>
      <c r="J91" s="31">
        <v>3567</v>
      </c>
      <c r="K91" s="31">
        <v>3656</v>
      </c>
      <c r="L91" s="31">
        <v>3647</v>
      </c>
      <c r="N91" s="117" t="s">
        <v>8173</v>
      </c>
      <c r="O91" s="4"/>
      <c r="Q91" s="4"/>
    </row>
    <row r="92" spans="1:17">
      <c r="A92" s="113">
        <v>57</v>
      </c>
      <c r="B92" s="117" t="s">
        <v>8086</v>
      </c>
      <c r="C92" s="4" t="s">
        <v>9835</v>
      </c>
      <c r="D92" s="120">
        <v>3413</v>
      </c>
      <c r="E92" s="120">
        <v>3326</v>
      </c>
      <c r="F92" s="120">
        <v>3330</v>
      </c>
      <c r="G92" s="31">
        <v>3429</v>
      </c>
      <c r="H92" s="31">
        <v>3243</v>
      </c>
      <c r="I92" s="31">
        <v>3413</v>
      </c>
      <c r="J92" s="31">
        <v>3500</v>
      </c>
      <c r="K92" s="31">
        <v>3635</v>
      </c>
      <c r="L92" s="31">
        <v>3700</v>
      </c>
      <c r="N92" s="117" t="s">
        <v>8172</v>
      </c>
      <c r="O92" s="4"/>
      <c r="Q92" s="4"/>
    </row>
    <row r="93" spans="1:17">
      <c r="A93" s="113">
        <v>58</v>
      </c>
      <c r="B93" s="117" t="s">
        <v>8087</v>
      </c>
      <c r="C93" s="4" t="s">
        <v>9836</v>
      </c>
      <c r="D93" s="120">
        <v>2964</v>
      </c>
      <c r="E93" s="120">
        <v>2781</v>
      </c>
      <c r="F93" s="120">
        <v>2812</v>
      </c>
      <c r="G93" s="31">
        <v>3158</v>
      </c>
      <c r="H93" s="31">
        <v>3120</v>
      </c>
      <c r="I93" s="31">
        <v>3086</v>
      </c>
      <c r="J93" s="31">
        <v>2985</v>
      </c>
      <c r="K93" s="31">
        <v>3045</v>
      </c>
      <c r="L93" s="31">
        <v>3051</v>
      </c>
      <c r="N93" s="117" t="s">
        <v>8173</v>
      </c>
      <c r="O93" s="4"/>
      <c r="Q93" s="4"/>
    </row>
    <row r="94" spans="1:17">
      <c r="A94" s="113">
        <v>59</v>
      </c>
      <c r="B94" s="117" t="s">
        <v>8088</v>
      </c>
      <c r="C94" s="4" t="s">
        <v>9837</v>
      </c>
      <c r="D94" s="120">
        <v>6288</v>
      </c>
      <c r="E94" s="120">
        <v>6250</v>
      </c>
      <c r="F94" s="120">
        <v>6200</v>
      </c>
      <c r="G94" s="31">
        <v>6421</v>
      </c>
      <c r="H94" s="31">
        <v>6203</v>
      </c>
      <c r="I94" s="31">
        <v>6313</v>
      </c>
      <c r="J94" s="31">
        <v>6233</v>
      </c>
      <c r="K94" s="31">
        <v>6535</v>
      </c>
      <c r="L94" s="31">
        <v>6537</v>
      </c>
      <c r="N94" s="117" t="s">
        <v>8172</v>
      </c>
      <c r="O94" s="4"/>
      <c r="Q94" s="4"/>
    </row>
    <row r="95" spans="1:17">
      <c r="A95" s="113">
        <v>60</v>
      </c>
      <c r="B95" s="117" t="s">
        <v>8089</v>
      </c>
      <c r="C95" s="4" t="s">
        <v>9838</v>
      </c>
      <c r="D95" s="120">
        <v>5453</v>
      </c>
      <c r="E95" s="120">
        <v>5345</v>
      </c>
      <c r="F95" s="120">
        <v>5194</v>
      </c>
      <c r="G95" s="31">
        <v>5367</v>
      </c>
      <c r="H95" s="31">
        <v>5123</v>
      </c>
      <c r="I95" s="31">
        <v>5190</v>
      </c>
      <c r="J95" s="31">
        <v>5232</v>
      </c>
      <c r="K95" s="31">
        <v>5467</v>
      </c>
      <c r="L95" s="31">
        <v>5498</v>
      </c>
      <c r="N95" s="117" t="s">
        <v>8172</v>
      </c>
      <c r="O95" s="4"/>
      <c r="Q95" s="4"/>
    </row>
    <row r="96" spans="1:17">
      <c r="A96" s="113">
        <v>61</v>
      </c>
      <c r="B96" s="117" t="s">
        <v>8090</v>
      </c>
      <c r="C96" s="4" t="s">
        <v>9839</v>
      </c>
      <c r="D96" s="120">
        <v>3247</v>
      </c>
      <c r="E96" s="120">
        <v>3152</v>
      </c>
      <c r="F96" s="120">
        <v>3137</v>
      </c>
      <c r="G96" s="31">
        <v>3211</v>
      </c>
      <c r="H96" s="31">
        <v>3078</v>
      </c>
      <c r="I96" s="31">
        <v>3140</v>
      </c>
      <c r="J96" s="31">
        <v>3146</v>
      </c>
      <c r="K96" s="31">
        <v>3176</v>
      </c>
      <c r="L96" s="31">
        <v>3127</v>
      </c>
      <c r="N96" s="117" t="s">
        <v>8172</v>
      </c>
      <c r="O96" s="4"/>
      <c r="Q96" s="4"/>
    </row>
    <row r="97" spans="1:17">
      <c r="A97" s="113">
        <v>62</v>
      </c>
      <c r="B97" s="117" t="s">
        <v>8091</v>
      </c>
      <c r="C97" s="72" t="s">
        <v>13442</v>
      </c>
      <c r="D97" s="120">
        <v>3145</v>
      </c>
      <c r="E97" s="120">
        <v>3138</v>
      </c>
      <c r="F97" s="120">
        <v>3064</v>
      </c>
      <c r="G97" s="31">
        <v>3193</v>
      </c>
      <c r="H97" s="31">
        <v>3091</v>
      </c>
      <c r="I97" s="31">
        <v>3148</v>
      </c>
      <c r="J97" s="31">
        <v>3163</v>
      </c>
      <c r="K97" s="31">
        <v>3273</v>
      </c>
      <c r="L97" s="31">
        <v>3290</v>
      </c>
      <c r="N97" s="117" t="s">
        <v>8172</v>
      </c>
      <c r="O97" s="4"/>
      <c r="Q97" s="4"/>
    </row>
    <row r="98" spans="1:17">
      <c r="A98" s="113">
        <v>63</v>
      </c>
      <c r="B98" s="117" t="s">
        <v>8092</v>
      </c>
      <c r="C98" s="4" t="s">
        <v>9840</v>
      </c>
      <c r="D98" s="120">
        <v>3005</v>
      </c>
      <c r="E98" s="120">
        <v>3007</v>
      </c>
      <c r="F98" s="120">
        <v>2931</v>
      </c>
      <c r="G98" s="31">
        <v>3060</v>
      </c>
      <c r="H98" s="31">
        <v>2818</v>
      </c>
      <c r="I98" s="31">
        <v>2877</v>
      </c>
      <c r="J98" s="31">
        <v>2944</v>
      </c>
      <c r="K98" s="31">
        <v>2988</v>
      </c>
      <c r="L98" s="31">
        <v>2976</v>
      </c>
      <c r="N98" s="117" t="s">
        <v>8170</v>
      </c>
      <c r="O98" s="4"/>
      <c r="Q98" s="4"/>
    </row>
    <row r="99" spans="1:17">
      <c r="D99" s="122"/>
      <c r="E99" s="122"/>
      <c r="F99" s="122"/>
      <c r="G99" s="122"/>
      <c r="H99" s="122"/>
      <c r="I99" s="122"/>
      <c r="J99" s="122"/>
      <c r="K99" s="122"/>
      <c r="L99" s="122"/>
    </row>
    <row r="100" spans="1:17">
      <c r="A100" s="117" t="s">
        <v>8170</v>
      </c>
      <c r="D100" s="120">
        <f t="shared" ref="D100:I100" si="51">D38+D43+SUM(D45:D48)+SUM(D52:D56)+D58+D61+SUM(D66:D68)+D74+D98</f>
        <v>66285</v>
      </c>
      <c r="E100" s="120">
        <f t="shared" si="51"/>
        <v>66199</v>
      </c>
      <c r="F100" s="120">
        <f t="shared" si="51"/>
        <v>65184</v>
      </c>
      <c r="G100" s="120">
        <f t="shared" si="51"/>
        <v>67320</v>
      </c>
      <c r="H100" s="120">
        <f t="shared" si="51"/>
        <v>63633</v>
      </c>
      <c r="I100" s="120">
        <f t="shared" si="51"/>
        <v>65208</v>
      </c>
      <c r="J100" s="120">
        <f>J38+J43+SUM(J45:J48)+SUM(J52:J56)+J58+J61+SUM(J66:J68)+J74+J98</f>
        <v>65787</v>
      </c>
      <c r="K100" s="120">
        <f>K38+K43+SUM(K45:K48)+SUM(K52:K56)+K58+K61+SUM(K66:K68)+K74+K98</f>
        <v>67975</v>
      </c>
      <c r="L100" s="120">
        <f>L38+L43+SUM(L45:L48)+SUM(L52:L56)+L58+L61+SUM(L66:L68)+L74+L98</f>
        <v>67403</v>
      </c>
    </row>
    <row r="101" spans="1:17">
      <c r="A101" s="117" t="s">
        <v>8172</v>
      </c>
      <c r="D101" s="120">
        <f t="shared" ref="D101:I101" si="52">D51+D59+D62+D63+D69+D70+SUM(D75:D77)+D79+SUM(D82:D85)+D87+D92+SUM(D94:D97)</f>
        <v>78611</v>
      </c>
      <c r="E101" s="120">
        <f t="shared" si="52"/>
        <v>77673</v>
      </c>
      <c r="F101" s="120">
        <f t="shared" si="52"/>
        <v>76696</v>
      </c>
      <c r="G101" s="120">
        <f t="shared" si="52"/>
        <v>79068</v>
      </c>
      <c r="H101" s="120">
        <f t="shared" si="52"/>
        <v>76317</v>
      </c>
      <c r="I101" s="120">
        <f t="shared" si="52"/>
        <v>77602</v>
      </c>
      <c r="J101" s="120">
        <f>J51+J59+J62+J63+J69+J70+SUM(J75:J77)+J79+SUM(J82:J85)+J87+J92+SUM(J94:J97)</f>
        <v>77768</v>
      </c>
      <c r="K101" s="120">
        <f>K51+K59+K62+K63+K69+K70+SUM(K75:K77)+K79+SUM(K82:K85)+K87+K92+SUM(K94:K97)</f>
        <v>80507</v>
      </c>
      <c r="L101" s="120">
        <f>L51+L59+L62+L63+L69+L70+SUM(L75:L77)+L79+SUM(L82:L85)+L87+L92+SUM(L94:L97)</f>
        <v>79954</v>
      </c>
    </row>
    <row r="102" spans="1:17">
      <c r="A102" s="117" t="s">
        <v>8173</v>
      </c>
      <c r="D102" s="120">
        <f t="shared" ref="D102:I102" si="53">D36+SUM(D39:D42)+D44+D49+D50+D57+D60+D64+D65+SUM(D71:D73)+D78+D80+D81+D86+D90+D91+D93</f>
        <v>75076</v>
      </c>
      <c r="E102" s="120">
        <f t="shared" si="53"/>
        <v>73978</v>
      </c>
      <c r="F102" s="120">
        <f t="shared" si="53"/>
        <v>74750</v>
      </c>
      <c r="G102" s="120">
        <f t="shared" si="53"/>
        <v>77266</v>
      </c>
      <c r="H102" s="120">
        <f t="shared" si="53"/>
        <v>73169</v>
      </c>
      <c r="I102" s="120">
        <f t="shared" si="53"/>
        <v>74881</v>
      </c>
      <c r="J102" s="120">
        <f>J36+SUM(J39:J42)+J44+J49+J50+J57+J60+J64+J65+SUM(J71:J73)+J78+J80+J81+J86+J90+J91+J93</f>
        <v>75528</v>
      </c>
      <c r="K102" s="120">
        <f>K36+SUM(K39:K42)+K44+K49+K50+K57+K60+K64+K65+SUM(K71:K73)+K78+K80+K81+K86+K90+K91+K93</f>
        <v>78641</v>
      </c>
      <c r="L102" s="120">
        <f>L36+SUM(L39:L42)+L44+L49+L50+L57+L60+L64+L65+SUM(L71:L73)+L78+L80+L81+L86+L90+L91+L93</f>
        <v>78625</v>
      </c>
    </row>
    <row r="103" spans="1:17">
      <c r="A103" s="117" t="s">
        <v>8093</v>
      </c>
      <c r="D103" s="120">
        <f t="shared" ref="D103:I103" si="54">D37+D88+D89</f>
        <v>10872</v>
      </c>
      <c r="E103" s="120">
        <f t="shared" si="54"/>
        <v>10757</v>
      </c>
      <c r="F103" s="120">
        <f t="shared" si="54"/>
        <v>10539</v>
      </c>
      <c r="G103" s="120">
        <f t="shared" si="54"/>
        <v>10947</v>
      </c>
      <c r="H103" s="120">
        <f t="shared" si="54"/>
        <v>9962</v>
      </c>
      <c r="I103" s="120">
        <f t="shared" si="54"/>
        <v>10500</v>
      </c>
      <c r="J103" s="120">
        <f>J37+J88+J89</f>
        <v>10727</v>
      </c>
      <c r="K103" s="120">
        <f>K37+K88+K89</f>
        <v>11320</v>
      </c>
      <c r="L103" s="120">
        <f>L37+L88+L89</f>
        <v>11644</v>
      </c>
    </row>
    <row r="105" spans="1:17">
      <c r="A105" s="118" t="s">
        <v>13325</v>
      </c>
    </row>
    <row r="106" spans="1:17">
      <c r="A106" s="118" t="s">
        <v>13326</v>
      </c>
    </row>
    <row r="109" spans="1:17">
      <c r="E109" s="110" t="s">
        <v>2303</v>
      </c>
      <c r="F109" s="110"/>
      <c r="G109" s="110"/>
      <c r="H109" s="110"/>
      <c r="I109" s="110"/>
      <c r="J109" s="110"/>
      <c r="K109" s="110"/>
      <c r="L109" s="110"/>
      <c r="M109" s="109"/>
      <c r="N109" s="109" t="s">
        <v>13319</v>
      </c>
    </row>
    <row r="110" spans="1:17">
      <c r="D110" s="110">
        <v>2010</v>
      </c>
      <c r="E110" s="110">
        <v>2011</v>
      </c>
      <c r="F110" s="110">
        <v>2012</v>
      </c>
      <c r="G110" s="110">
        <v>2013</v>
      </c>
      <c r="H110" s="110">
        <v>2014</v>
      </c>
      <c r="I110" s="110">
        <v>2015</v>
      </c>
      <c r="J110" s="110">
        <v>2016</v>
      </c>
      <c r="K110" s="110">
        <v>2017</v>
      </c>
      <c r="L110" s="110">
        <v>2018</v>
      </c>
      <c r="N110" s="112" t="s">
        <v>2304</v>
      </c>
    </row>
    <row r="111" spans="1:17">
      <c r="A111" s="117" t="s">
        <v>8094</v>
      </c>
      <c r="C111" s="117"/>
      <c r="D111" s="120">
        <f t="shared" ref="D111:J111" si="55">SUM(D112:D134)+SUM(D136:D143)</f>
        <v>119968</v>
      </c>
      <c r="E111" s="120">
        <f t="shared" si="55"/>
        <v>121292</v>
      </c>
      <c r="F111" s="120">
        <f t="shared" si="55"/>
        <v>122136</v>
      </c>
      <c r="G111" s="120">
        <f t="shared" si="55"/>
        <v>123225</v>
      </c>
      <c r="H111" s="120">
        <f t="shared" si="55"/>
        <v>122619</v>
      </c>
      <c r="I111" s="120">
        <f t="shared" si="55"/>
        <v>119972</v>
      </c>
      <c r="J111" s="120">
        <f t="shared" si="55"/>
        <v>119097</v>
      </c>
      <c r="K111" s="120">
        <f t="shared" ref="K111:L111" si="56">SUM(K112:K134)+SUM(K136:K143)</f>
        <v>121615</v>
      </c>
      <c r="L111" s="120">
        <f t="shared" si="56"/>
        <v>122961</v>
      </c>
    </row>
    <row r="112" spans="1:17">
      <c r="A112" s="117" t="s">
        <v>6957</v>
      </c>
      <c r="B112" s="118" t="s">
        <v>15376</v>
      </c>
      <c r="C112" s="4" t="s">
        <v>15377</v>
      </c>
      <c r="D112" s="120">
        <v>54605</v>
      </c>
      <c r="E112" s="120">
        <v>55354</v>
      </c>
      <c r="F112" s="120">
        <v>55666</v>
      </c>
      <c r="G112" s="30">
        <v>56052</v>
      </c>
      <c r="H112" s="30">
        <v>55578</v>
      </c>
      <c r="I112" s="30">
        <v>54683</v>
      </c>
      <c r="J112" s="48">
        <v>2208</v>
      </c>
      <c r="K112" s="30">
        <v>2264</v>
      </c>
      <c r="L112" s="30">
        <v>2291</v>
      </c>
      <c r="N112" s="118" t="s">
        <v>8176</v>
      </c>
      <c r="O112" s="4"/>
      <c r="Q112" s="4"/>
    </row>
    <row r="113" spans="1:17">
      <c r="A113" s="117" t="s">
        <v>6959</v>
      </c>
      <c r="B113" s="117" t="s">
        <v>8095</v>
      </c>
      <c r="C113" s="4" t="s">
        <v>15391</v>
      </c>
      <c r="D113" s="120">
        <v>0</v>
      </c>
      <c r="E113" s="120">
        <v>0</v>
      </c>
      <c r="F113" s="120">
        <v>0</v>
      </c>
      <c r="G113" s="31">
        <v>0</v>
      </c>
      <c r="H113" s="31">
        <v>0</v>
      </c>
      <c r="I113" s="31">
        <v>0</v>
      </c>
      <c r="J113" s="48">
        <v>2376</v>
      </c>
      <c r="K113" s="30">
        <v>2406</v>
      </c>
      <c r="L113" s="30">
        <v>2439</v>
      </c>
      <c r="N113" s="117" t="s">
        <v>8176</v>
      </c>
      <c r="O113" s="4"/>
      <c r="Q113" s="4"/>
    </row>
    <row r="114" spans="1:17">
      <c r="A114" s="117" t="s">
        <v>6961</v>
      </c>
      <c r="B114" s="117" t="s">
        <v>8096</v>
      </c>
      <c r="C114" s="4" t="s">
        <v>15392</v>
      </c>
      <c r="D114" s="120">
        <v>0</v>
      </c>
      <c r="E114" s="120">
        <v>0</v>
      </c>
      <c r="F114" s="120">
        <v>0</v>
      </c>
      <c r="G114" s="30">
        <v>0</v>
      </c>
      <c r="H114" s="30">
        <v>0</v>
      </c>
      <c r="I114" s="30">
        <v>0</v>
      </c>
      <c r="J114" s="48">
        <v>2137</v>
      </c>
      <c r="K114" s="31">
        <v>2219</v>
      </c>
      <c r="L114" s="31">
        <v>2161</v>
      </c>
      <c r="N114" s="117" t="s">
        <v>8176</v>
      </c>
      <c r="O114" s="4"/>
      <c r="Q114" s="4"/>
    </row>
    <row r="115" spans="1:17">
      <c r="A115" s="117" t="s">
        <v>6963</v>
      </c>
      <c r="B115" s="117" t="s">
        <v>8097</v>
      </c>
      <c r="C115" s="4" t="s">
        <v>15393</v>
      </c>
      <c r="D115" s="120">
        <v>65363</v>
      </c>
      <c r="E115" s="120">
        <v>65938</v>
      </c>
      <c r="F115" s="120">
        <v>66470</v>
      </c>
      <c r="G115" s="31">
        <v>67173</v>
      </c>
      <c r="H115" s="31">
        <v>67041</v>
      </c>
      <c r="I115" s="31">
        <v>65289</v>
      </c>
      <c r="J115" s="122">
        <v>4090</v>
      </c>
      <c r="K115" s="30">
        <v>4150</v>
      </c>
      <c r="L115" s="30">
        <v>4033</v>
      </c>
      <c r="N115" s="117" t="s">
        <v>8174</v>
      </c>
      <c r="O115" s="4"/>
      <c r="Q115" s="4"/>
    </row>
    <row r="116" spans="1:17">
      <c r="A116" s="117" t="s">
        <v>6965</v>
      </c>
      <c r="B116" s="117" t="s">
        <v>15379</v>
      </c>
      <c r="C116" s="4" t="s">
        <v>15394</v>
      </c>
      <c r="D116" s="120">
        <v>0</v>
      </c>
      <c r="E116" s="120">
        <v>0</v>
      </c>
      <c r="F116" s="120">
        <v>0</v>
      </c>
      <c r="G116" s="31">
        <v>0</v>
      </c>
      <c r="H116" s="31">
        <v>0</v>
      </c>
      <c r="I116" s="31">
        <v>0</v>
      </c>
      <c r="J116" s="31">
        <v>2381</v>
      </c>
      <c r="K116" s="31">
        <v>2422</v>
      </c>
      <c r="L116" s="31">
        <v>2426</v>
      </c>
      <c r="N116" s="117" t="s">
        <v>8176</v>
      </c>
      <c r="O116" s="4"/>
      <c r="Q116" s="4"/>
    </row>
    <row r="117" spans="1:17">
      <c r="A117" s="117" t="s">
        <v>6997</v>
      </c>
      <c r="B117" s="117" t="s">
        <v>2177</v>
      </c>
      <c r="C117" s="4" t="s">
        <v>15395</v>
      </c>
      <c r="D117" s="120">
        <v>0</v>
      </c>
      <c r="E117" s="120">
        <v>0</v>
      </c>
      <c r="F117" s="120">
        <v>0</v>
      </c>
      <c r="G117" s="31">
        <v>0</v>
      </c>
      <c r="H117" s="31">
        <v>0</v>
      </c>
      <c r="I117" s="31">
        <v>0</v>
      </c>
      <c r="J117" s="31">
        <v>2134</v>
      </c>
      <c r="K117" s="31">
        <v>2172</v>
      </c>
      <c r="L117" s="31">
        <v>2186</v>
      </c>
      <c r="N117" s="117" t="s">
        <v>8176</v>
      </c>
      <c r="O117" s="4"/>
      <c r="Q117" s="4"/>
    </row>
    <row r="118" spans="1:17">
      <c r="A118" s="117" t="s">
        <v>6999</v>
      </c>
      <c r="B118" s="117" t="s">
        <v>15380</v>
      </c>
      <c r="C118" s="4" t="s">
        <v>15396</v>
      </c>
      <c r="D118" s="120">
        <v>0</v>
      </c>
      <c r="E118" s="120">
        <v>0</v>
      </c>
      <c r="F118" s="120">
        <v>0</v>
      </c>
      <c r="G118" s="31">
        <v>0</v>
      </c>
      <c r="H118" s="31">
        <v>0</v>
      </c>
      <c r="I118" s="31">
        <v>0</v>
      </c>
      <c r="J118" s="30">
        <v>6735</v>
      </c>
      <c r="K118" s="30">
        <v>6819</v>
      </c>
      <c r="L118" s="30">
        <v>6806</v>
      </c>
      <c r="N118" s="117" t="s">
        <v>8174</v>
      </c>
      <c r="O118" s="4"/>
      <c r="Q118" s="4"/>
    </row>
    <row r="119" spans="1:17">
      <c r="A119" s="117" t="s">
        <v>7001</v>
      </c>
      <c r="B119" s="117" t="s">
        <v>8057</v>
      </c>
      <c r="C119" s="4" t="s">
        <v>15397</v>
      </c>
      <c r="D119" s="120">
        <v>0</v>
      </c>
      <c r="E119" s="120">
        <v>0</v>
      </c>
      <c r="F119" s="120">
        <v>0</v>
      </c>
      <c r="G119" s="31">
        <v>0</v>
      </c>
      <c r="H119" s="31">
        <v>0</v>
      </c>
      <c r="I119" s="31">
        <v>0</v>
      </c>
      <c r="J119" s="31">
        <v>4468</v>
      </c>
      <c r="K119" s="31">
        <v>4479</v>
      </c>
      <c r="L119" s="31">
        <v>4426</v>
      </c>
      <c r="N119" s="117" t="s">
        <v>8176</v>
      </c>
      <c r="O119" s="4"/>
      <c r="Q119" s="4"/>
    </row>
    <row r="120" spans="1:17">
      <c r="A120" s="117" t="s">
        <v>7003</v>
      </c>
      <c r="B120" s="117" t="s">
        <v>8058</v>
      </c>
      <c r="C120" s="4" t="s">
        <v>15398</v>
      </c>
      <c r="D120" s="120">
        <v>0</v>
      </c>
      <c r="E120" s="120">
        <v>0</v>
      </c>
      <c r="F120" s="120">
        <v>0</v>
      </c>
      <c r="G120" s="31">
        <v>0</v>
      </c>
      <c r="H120" s="31">
        <v>0</v>
      </c>
      <c r="I120" s="31">
        <v>0</v>
      </c>
      <c r="J120" s="31">
        <v>2141</v>
      </c>
      <c r="K120" s="31">
        <v>2162</v>
      </c>
      <c r="L120" s="31">
        <v>2150</v>
      </c>
      <c r="N120" s="117" t="s">
        <v>8176</v>
      </c>
      <c r="O120" s="4"/>
      <c r="Q120" s="4"/>
    </row>
    <row r="121" spans="1:17">
      <c r="A121" s="117" t="s">
        <v>7005</v>
      </c>
      <c r="B121" s="117" t="s">
        <v>15381</v>
      </c>
      <c r="C121" s="4" t="s">
        <v>15399</v>
      </c>
      <c r="D121" s="120">
        <v>0</v>
      </c>
      <c r="E121" s="120">
        <v>0</v>
      </c>
      <c r="F121" s="120">
        <v>0</v>
      </c>
      <c r="G121" s="31">
        <v>0</v>
      </c>
      <c r="H121" s="31">
        <v>0</v>
      </c>
      <c r="I121" s="31">
        <v>0</v>
      </c>
      <c r="J121" s="31">
        <v>4549</v>
      </c>
      <c r="K121" s="31">
        <v>4615</v>
      </c>
      <c r="L121" s="31">
        <v>4681</v>
      </c>
      <c r="N121" s="117" t="s">
        <v>8176</v>
      </c>
      <c r="O121" s="4"/>
      <c r="Q121" s="4"/>
    </row>
    <row r="122" spans="1:17">
      <c r="A122" s="117" t="s">
        <v>7007</v>
      </c>
      <c r="B122" s="117" t="s">
        <v>8059</v>
      </c>
      <c r="C122" s="4" t="s">
        <v>15400</v>
      </c>
      <c r="D122" s="120">
        <v>0</v>
      </c>
      <c r="E122" s="120">
        <v>0</v>
      </c>
      <c r="F122" s="120">
        <v>0</v>
      </c>
      <c r="G122" s="31">
        <v>0</v>
      </c>
      <c r="H122" s="31">
        <v>0</v>
      </c>
      <c r="I122" s="31">
        <v>0</v>
      </c>
      <c r="J122" s="31">
        <v>2347</v>
      </c>
      <c r="K122" s="31">
        <v>2431</v>
      </c>
      <c r="L122" s="31">
        <v>2602</v>
      </c>
      <c r="N122" s="117" t="s">
        <v>8176</v>
      </c>
      <c r="O122" s="4"/>
      <c r="Q122" s="4"/>
    </row>
    <row r="123" spans="1:17">
      <c r="A123" s="117" t="s">
        <v>7009</v>
      </c>
      <c r="B123" s="117" t="s">
        <v>15382</v>
      </c>
      <c r="C123" s="4" t="s">
        <v>15401</v>
      </c>
      <c r="D123" s="120">
        <v>0</v>
      </c>
      <c r="E123" s="120">
        <v>0</v>
      </c>
      <c r="F123" s="120">
        <v>0</v>
      </c>
      <c r="G123" s="31">
        <v>0</v>
      </c>
      <c r="H123" s="31">
        <v>0</v>
      </c>
      <c r="I123" s="31">
        <v>0</v>
      </c>
      <c r="J123" s="31">
        <v>6382</v>
      </c>
      <c r="K123" s="31">
        <v>6498</v>
      </c>
      <c r="L123" s="31">
        <v>6687</v>
      </c>
      <c r="N123" s="117" t="s">
        <v>8176</v>
      </c>
      <c r="O123" s="4"/>
      <c r="Q123" s="4"/>
    </row>
    <row r="124" spans="1:17">
      <c r="A124" s="117" t="s">
        <v>7011</v>
      </c>
      <c r="B124" s="117" t="s">
        <v>8060</v>
      </c>
      <c r="C124" s="4" t="s">
        <v>15402</v>
      </c>
      <c r="D124" s="120">
        <v>0</v>
      </c>
      <c r="E124" s="120">
        <v>0</v>
      </c>
      <c r="F124" s="120">
        <v>0</v>
      </c>
      <c r="G124" s="31">
        <v>0</v>
      </c>
      <c r="H124" s="31">
        <v>0</v>
      </c>
      <c r="I124" s="31">
        <v>0</v>
      </c>
      <c r="J124" s="31">
        <v>2169</v>
      </c>
      <c r="K124" s="31">
        <v>2235</v>
      </c>
      <c r="L124" s="31">
        <v>2275</v>
      </c>
      <c r="N124" s="117" t="s">
        <v>8176</v>
      </c>
      <c r="O124" s="4"/>
      <c r="Q124" s="4"/>
    </row>
    <row r="125" spans="1:17">
      <c r="A125" s="117" t="s">
        <v>7013</v>
      </c>
      <c r="B125" s="117" t="s">
        <v>15383</v>
      </c>
      <c r="C125" s="4" t="s">
        <v>15403</v>
      </c>
      <c r="D125" s="120">
        <v>0</v>
      </c>
      <c r="E125" s="120">
        <v>0</v>
      </c>
      <c r="F125" s="120">
        <v>0</v>
      </c>
      <c r="G125" s="31">
        <v>0</v>
      </c>
      <c r="H125" s="31">
        <v>0</v>
      </c>
      <c r="I125" s="31">
        <v>0</v>
      </c>
      <c r="J125" s="30">
        <v>4273</v>
      </c>
      <c r="K125" s="30">
        <v>4578</v>
      </c>
      <c r="L125" s="30">
        <v>4858</v>
      </c>
      <c r="N125" s="117" t="s">
        <v>8174</v>
      </c>
      <c r="O125" s="4"/>
      <c r="Q125" s="4"/>
    </row>
    <row r="126" spans="1:17">
      <c r="A126" s="117" t="s">
        <v>7015</v>
      </c>
      <c r="B126" s="117" t="s">
        <v>4664</v>
      </c>
      <c r="C126" s="4" t="s">
        <v>15404</v>
      </c>
      <c r="D126" s="120">
        <v>0</v>
      </c>
      <c r="E126" s="120">
        <v>0</v>
      </c>
      <c r="F126" s="120">
        <v>0</v>
      </c>
      <c r="G126" s="31">
        <v>0</v>
      </c>
      <c r="H126" s="31">
        <v>0</v>
      </c>
      <c r="I126" s="31">
        <v>0</v>
      </c>
      <c r="J126" s="30">
        <v>2459</v>
      </c>
      <c r="K126" s="30">
        <v>2432</v>
      </c>
      <c r="L126" s="30">
        <v>2461</v>
      </c>
      <c r="N126" s="117" t="s">
        <v>8174</v>
      </c>
      <c r="O126" s="4"/>
      <c r="Q126" s="4"/>
    </row>
    <row r="127" spans="1:17">
      <c r="A127" s="117" t="s">
        <v>7017</v>
      </c>
      <c r="B127" s="117" t="s">
        <v>15384</v>
      </c>
      <c r="C127" s="4" t="s">
        <v>15405</v>
      </c>
      <c r="D127" s="120">
        <v>0</v>
      </c>
      <c r="E127" s="120">
        <v>0</v>
      </c>
      <c r="F127" s="120">
        <v>0</v>
      </c>
      <c r="G127" s="31">
        <v>0</v>
      </c>
      <c r="H127" s="31">
        <v>0</v>
      </c>
      <c r="I127" s="31">
        <v>0</v>
      </c>
      <c r="J127" s="30">
        <v>6789</v>
      </c>
      <c r="K127" s="30">
        <v>7072</v>
      </c>
      <c r="L127" s="30">
        <v>7348</v>
      </c>
      <c r="N127" s="117" t="s">
        <v>8174</v>
      </c>
      <c r="O127" s="4"/>
      <c r="Q127" s="4"/>
    </row>
    <row r="128" spans="1:17">
      <c r="A128" s="117" t="s">
        <v>7019</v>
      </c>
      <c r="B128" s="117" t="s">
        <v>15385</v>
      </c>
      <c r="C128" s="4" t="s">
        <v>15406</v>
      </c>
      <c r="D128" s="120">
        <v>0</v>
      </c>
      <c r="E128" s="120">
        <v>0</v>
      </c>
      <c r="F128" s="120">
        <v>0</v>
      </c>
      <c r="G128" s="31">
        <v>0</v>
      </c>
      <c r="H128" s="31">
        <v>0</v>
      </c>
      <c r="I128" s="31">
        <v>0</v>
      </c>
      <c r="J128" s="30">
        <v>7364</v>
      </c>
      <c r="K128" s="30">
        <v>7461</v>
      </c>
      <c r="L128" s="30">
        <v>7419</v>
      </c>
      <c r="N128" s="117" t="s">
        <v>8174</v>
      </c>
      <c r="O128" s="4"/>
      <c r="Q128" s="4"/>
    </row>
    <row r="129" spans="1:17">
      <c r="A129" s="117" t="s">
        <v>7021</v>
      </c>
      <c r="B129" s="117" t="s">
        <v>15386</v>
      </c>
      <c r="C129" s="4" t="s">
        <v>15407</v>
      </c>
      <c r="D129" s="120">
        <v>0</v>
      </c>
      <c r="E129" s="120">
        <v>0</v>
      </c>
      <c r="F129" s="120">
        <v>0</v>
      </c>
      <c r="G129" s="31">
        <v>0</v>
      </c>
      <c r="H129" s="31">
        <v>0</v>
      </c>
      <c r="I129" s="31">
        <v>0</v>
      </c>
      <c r="J129" s="30">
        <v>4151</v>
      </c>
      <c r="K129" s="30">
        <v>4196</v>
      </c>
      <c r="L129" s="30">
        <v>4132</v>
      </c>
      <c r="N129" s="117" t="s">
        <v>8174</v>
      </c>
      <c r="O129" s="4"/>
      <c r="Q129" s="4"/>
    </row>
    <row r="130" spans="1:17">
      <c r="A130" s="117" t="s">
        <v>7023</v>
      </c>
      <c r="B130" s="117" t="s">
        <v>4665</v>
      </c>
      <c r="C130" s="4" t="s">
        <v>15408</v>
      </c>
      <c r="D130" s="120">
        <v>0</v>
      </c>
      <c r="E130" s="120">
        <v>0</v>
      </c>
      <c r="F130" s="120">
        <v>0</v>
      </c>
      <c r="G130" s="31">
        <v>0</v>
      </c>
      <c r="H130" s="31">
        <v>0</v>
      </c>
      <c r="I130" s="31">
        <v>0</v>
      </c>
      <c r="J130" s="31">
        <v>4977</v>
      </c>
      <c r="K130" s="31">
        <v>5094</v>
      </c>
      <c r="L130" s="31">
        <v>5086</v>
      </c>
      <c r="N130" s="117" t="s">
        <v>8176</v>
      </c>
      <c r="O130" s="4"/>
      <c r="Q130" s="4"/>
    </row>
    <row r="131" spans="1:17">
      <c r="A131" s="117" t="s">
        <v>7025</v>
      </c>
      <c r="B131" s="117" t="s">
        <v>15387</v>
      </c>
      <c r="C131" s="4" t="s">
        <v>15409</v>
      </c>
      <c r="D131" s="120">
        <v>0</v>
      </c>
      <c r="E131" s="120">
        <v>0</v>
      </c>
      <c r="F131" s="120">
        <v>0</v>
      </c>
      <c r="G131" s="31">
        <v>0</v>
      </c>
      <c r="H131" s="31">
        <v>0</v>
      </c>
      <c r="I131" s="31">
        <v>0</v>
      </c>
      <c r="J131" s="31">
        <v>4431</v>
      </c>
      <c r="K131" s="31">
        <v>4643</v>
      </c>
      <c r="L131" s="31">
        <v>4819</v>
      </c>
      <c r="N131" s="117" t="s">
        <v>8176</v>
      </c>
      <c r="O131" s="4"/>
      <c r="Q131" s="4"/>
    </row>
    <row r="132" spans="1:17">
      <c r="A132" s="117" t="s">
        <v>7570</v>
      </c>
      <c r="B132" s="117" t="s">
        <v>15388</v>
      </c>
      <c r="C132" s="4" t="s">
        <v>15410</v>
      </c>
      <c r="D132" s="120">
        <v>0</v>
      </c>
      <c r="E132" s="120">
        <v>0</v>
      </c>
      <c r="F132" s="120">
        <v>0</v>
      </c>
      <c r="G132" s="31">
        <v>0</v>
      </c>
      <c r="H132" s="31">
        <v>0</v>
      </c>
      <c r="I132" s="31">
        <v>0</v>
      </c>
      <c r="J132" s="31">
        <v>3897</v>
      </c>
      <c r="K132" s="31">
        <v>4031</v>
      </c>
      <c r="L132" s="31">
        <v>4147</v>
      </c>
      <c r="N132" s="117" t="s">
        <v>8176</v>
      </c>
      <c r="O132" s="4"/>
      <c r="Q132" s="4"/>
    </row>
    <row r="133" spans="1:17">
      <c r="A133" s="117" t="s">
        <v>7572</v>
      </c>
      <c r="B133" s="117" t="s">
        <v>15389</v>
      </c>
      <c r="C133" s="4" t="s">
        <v>15411</v>
      </c>
      <c r="D133" s="120">
        <v>0</v>
      </c>
      <c r="E133" s="120">
        <v>0</v>
      </c>
      <c r="F133" s="120">
        <v>0</v>
      </c>
      <c r="G133" s="31">
        <v>0</v>
      </c>
      <c r="H133" s="31">
        <v>0</v>
      </c>
      <c r="I133" s="31">
        <v>0</v>
      </c>
      <c r="J133" s="30">
        <v>5077</v>
      </c>
      <c r="K133" s="30">
        <v>5214</v>
      </c>
      <c r="L133" s="30">
        <v>5262</v>
      </c>
      <c r="N133" s="117" t="s">
        <v>8174</v>
      </c>
      <c r="O133" s="4"/>
      <c r="Q133" s="4"/>
    </row>
    <row r="134" spans="1:17" ht="15.75" thickBot="1">
      <c r="A134" s="117"/>
      <c r="B134" s="117"/>
      <c r="C134" s="4" t="s">
        <v>15411</v>
      </c>
      <c r="D134" s="121">
        <v>0</v>
      </c>
      <c r="E134" s="121">
        <v>0</v>
      </c>
      <c r="F134" s="121">
        <v>0</v>
      </c>
      <c r="G134" s="905">
        <v>0</v>
      </c>
      <c r="H134" s="905">
        <v>0</v>
      </c>
      <c r="I134" s="905">
        <v>0</v>
      </c>
      <c r="J134" s="31">
        <v>890</v>
      </c>
      <c r="K134" s="31">
        <v>1039</v>
      </c>
      <c r="L134" s="31">
        <v>1210</v>
      </c>
      <c r="N134" s="117" t="s">
        <v>8176</v>
      </c>
      <c r="O134" s="4"/>
      <c r="Q134" s="4"/>
    </row>
    <row r="135" spans="1:17" ht="15.75" thickBot="1">
      <c r="A135" s="117"/>
      <c r="B135" s="117"/>
      <c r="C135" s="4" t="s">
        <v>15411</v>
      </c>
      <c r="D135" s="917">
        <f t="shared" ref="D135:L135" si="57">D133+D134</f>
        <v>0</v>
      </c>
      <c r="E135" s="917">
        <f t="shared" si="57"/>
        <v>0</v>
      </c>
      <c r="F135" s="917">
        <f t="shared" si="57"/>
        <v>0</v>
      </c>
      <c r="G135" s="917">
        <f t="shared" si="57"/>
        <v>0</v>
      </c>
      <c r="H135" s="917">
        <f t="shared" si="57"/>
        <v>0</v>
      </c>
      <c r="I135" s="917">
        <f t="shared" si="57"/>
        <v>0</v>
      </c>
      <c r="J135" s="917">
        <f t="shared" si="57"/>
        <v>5967</v>
      </c>
      <c r="K135" s="917">
        <f t="shared" si="57"/>
        <v>6253</v>
      </c>
      <c r="L135" s="917">
        <f t="shared" si="57"/>
        <v>6472</v>
      </c>
      <c r="N135" s="117"/>
      <c r="O135" s="4"/>
      <c r="Q135" s="4"/>
    </row>
    <row r="136" spans="1:17">
      <c r="A136" s="117" t="s">
        <v>7573</v>
      </c>
      <c r="B136" s="117" t="s">
        <v>2442</v>
      </c>
      <c r="C136" s="4" t="s">
        <v>15412</v>
      </c>
      <c r="D136" s="120">
        <v>0</v>
      </c>
      <c r="E136" s="120">
        <v>0</v>
      </c>
      <c r="F136" s="120">
        <v>0</v>
      </c>
      <c r="G136" s="31">
        <v>0</v>
      </c>
      <c r="H136" s="31">
        <v>0</v>
      </c>
      <c r="I136" s="31">
        <v>0</v>
      </c>
      <c r="J136" s="31">
        <v>2161</v>
      </c>
      <c r="K136" s="31">
        <v>2132</v>
      </c>
      <c r="L136" s="31">
        <v>2136</v>
      </c>
      <c r="N136" s="117" t="s">
        <v>8176</v>
      </c>
      <c r="O136" s="4"/>
      <c r="Q136" s="4"/>
    </row>
    <row r="137" spans="1:17">
      <c r="A137" s="117" t="s">
        <v>5798</v>
      </c>
      <c r="B137" s="117" t="s">
        <v>4666</v>
      </c>
      <c r="C137" s="4" t="s">
        <v>15413</v>
      </c>
      <c r="D137" s="120">
        <v>0</v>
      </c>
      <c r="E137" s="120">
        <v>0</v>
      </c>
      <c r="F137" s="120">
        <v>0</v>
      </c>
      <c r="G137" s="31">
        <v>0</v>
      </c>
      <c r="H137" s="31">
        <v>0</v>
      </c>
      <c r="I137" s="31">
        <v>0</v>
      </c>
      <c r="J137" s="30">
        <v>4506</v>
      </c>
      <c r="K137" s="30">
        <v>4534</v>
      </c>
      <c r="L137" s="30">
        <v>4623</v>
      </c>
      <c r="N137" s="117" t="s">
        <v>8174</v>
      </c>
      <c r="O137" s="4"/>
      <c r="Q137" s="4"/>
    </row>
    <row r="138" spans="1:17">
      <c r="A138" s="117" t="s">
        <v>5799</v>
      </c>
      <c r="B138" s="117" t="s">
        <v>4667</v>
      </c>
      <c r="C138" s="4" t="s">
        <v>15414</v>
      </c>
      <c r="D138" s="120">
        <v>0</v>
      </c>
      <c r="E138" s="120">
        <v>0</v>
      </c>
      <c r="F138" s="120">
        <v>0</v>
      </c>
      <c r="G138" s="31">
        <v>0</v>
      </c>
      <c r="H138" s="31">
        <v>0</v>
      </c>
      <c r="I138" s="31">
        <v>0</v>
      </c>
      <c r="J138" s="30">
        <v>4443</v>
      </c>
      <c r="K138" s="30">
        <v>4481</v>
      </c>
      <c r="L138" s="30">
        <v>4467</v>
      </c>
      <c r="N138" s="117" t="s">
        <v>8174</v>
      </c>
      <c r="O138" s="4"/>
      <c r="Q138" s="4"/>
    </row>
    <row r="139" spans="1:17">
      <c r="A139" s="117" t="s">
        <v>5801</v>
      </c>
      <c r="B139" s="117" t="s">
        <v>4668</v>
      </c>
      <c r="C139" s="4" t="s">
        <v>15415</v>
      </c>
      <c r="D139" s="120">
        <v>0</v>
      </c>
      <c r="E139" s="120">
        <v>0</v>
      </c>
      <c r="F139" s="120">
        <v>0</v>
      </c>
      <c r="G139" s="31">
        <v>0</v>
      </c>
      <c r="H139" s="31">
        <v>0</v>
      </c>
      <c r="I139" s="31">
        <v>0</v>
      </c>
      <c r="J139" s="31">
        <v>2323</v>
      </c>
      <c r="K139" s="31">
        <v>2305</v>
      </c>
      <c r="L139" s="31">
        <v>2322</v>
      </c>
      <c r="N139" s="117" t="s">
        <v>8176</v>
      </c>
      <c r="O139" s="4"/>
      <c r="Q139" s="4"/>
    </row>
    <row r="140" spans="1:17">
      <c r="A140" s="117" t="s">
        <v>5927</v>
      </c>
      <c r="B140" s="20" t="s">
        <v>4669</v>
      </c>
      <c r="C140" s="4" t="s">
        <v>15416</v>
      </c>
      <c r="D140" s="120">
        <v>0</v>
      </c>
      <c r="E140" s="120">
        <v>0</v>
      </c>
      <c r="F140" s="120">
        <v>0</v>
      </c>
      <c r="G140" s="31">
        <v>0</v>
      </c>
      <c r="H140" s="31">
        <v>0</v>
      </c>
      <c r="I140" s="31">
        <v>0</v>
      </c>
      <c r="J140" s="30">
        <v>6536</v>
      </c>
      <c r="K140" s="30">
        <v>6587</v>
      </c>
      <c r="L140" s="30">
        <v>6486</v>
      </c>
      <c r="N140" s="117" t="s">
        <v>8174</v>
      </c>
      <c r="O140" s="4"/>
      <c r="Q140" s="4"/>
    </row>
    <row r="141" spans="1:17">
      <c r="A141" s="117" t="s">
        <v>5929</v>
      </c>
      <c r="B141" s="117" t="s">
        <v>6429</v>
      </c>
      <c r="C141" s="4" t="s">
        <v>15417</v>
      </c>
      <c r="D141" s="120">
        <v>0</v>
      </c>
      <c r="E141" s="120">
        <v>0</v>
      </c>
      <c r="F141" s="120">
        <v>0</v>
      </c>
      <c r="G141" s="31">
        <v>0</v>
      </c>
      <c r="H141" s="31">
        <v>0</v>
      </c>
      <c r="I141" s="31">
        <v>0</v>
      </c>
      <c r="J141" s="30">
        <v>3915</v>
      </c>
      <c r="K141" s="30">
        <v>4193</v>
      </c>
      <c r="L141" s="30">
        <v>4282</v>
      </c>
      <c r="N141" s="117" t="s">
        <v>8174</v>
      </c>
      <c r="O141" s="4"/>
      <c r="Q141" s="4"/>
    </row>
    <row r="142" spans="1:17">
      <c r="A142" s="117" t="s">
        <v>5931</v>
      </c>
      <c r="B142" s="20" t="s">
        <v>4670</v>
      </c>
      <c r="C142" s="4" t="s">
        <v>15418</v>
      </c>
      <c r="D142" s="120">
        <v>0</v>
      </c>
      <c r="E142" s="120">
        <v>0</v>
      </c>
      <c r="F142" s="120">
        <v>0</v>
      </c>
      <c r="G142" s="31">
        <v>0</v>
      </c>
      <c r="H142" s="31">
        <v>0</v>
      </c>
      <c r="I142" s="31">
        <v>0</v>
      </c>
      <c r="J142" s="31">
        <v>2310</v>
      </c>
      <c r="K142" s="31">
        <v>2311</v>
      </c>
      <c r="L142" s="31">
        <v>2338</v>
      </c>
      <c r="N142" s="117" t="s">
        <v>8176</v>
      </c>
      <c r="O142" s="4"/>
      <c r="Q142" s="4"/>
    </row>
    <row r="143" spans="1:17">
      <c r="A143" s="117" t="s">
        <v>5933</v>
      </c>
      <c r="B143" s="117" t="s">
        <v>15390</v>
      </c>
      <c r="C143" s="4" t="s">
        <v>15419</v>
      </c>
      <c r="D143" s="120">
        <v>0</v>
      </c>
      <c r="E143" s="120">
        <v>0</v>
      </c>
      <c r="F143" s="120">
        <v>0</v>
      </c>
      <c r="G143" s="31">
        <v>0</v>
      </c>
      <c r="H143" s="31">
        <v>0</v>
      </c>
      <c r="I143" s="31">
        <v>0</v>
      </c>
      <c r="J143" s="30">
        <v>4478</v>
      </c>
      <c r="K143" s="30">
        <v>4440</v>
      </c>
      <c r="L143" s="30">
        <v>4402</v>
      </c>
      <c r="N143" s="117" t="s">
        <v>8174</v>
      </c>
      <c r="O143" s="4"/>
      <c r="Q143" s="4"/>
    </row>
    <row r="144" spans="1:17">
      <c r="D144" s="122"/>
      <c r="E144" s="122"/>
      <c r="F144" s="122"/>
      <c r="G144" s="122"/>
      <c r="H144" s="122"/>
      <c r="I144" s="122"/>
      <c r="J144" s="122"/>
      <c r="K144" s="122"/>
      <c r="L144" s="122"/>
      <c r="O144" s="4"/>
      <c r="Q144" s="4"/>
    </row>
    <row r="145" spans="1:12">
      <c r="A145" s="117" t="s">
        <v>8174</v>
      </c>
      <c r="D145" s="120">
        <f t="shared" ref="D145:I145" si="58">D115+D118+SUM(D125:D129)+D133+D137+D138+D140+D141+D143</f>
        <v>65363</v>
      </c>
      <c r="E145" s="120">
        <f t="shared" si="58"/>
        <v>65938</v>
      </c>
      <c r="F145" s="120">
        <f t="shared" si="58"/>
        <v>66470</v>
      </c>
      <c r="G145" s="120">
        <f t="shared" si="58"/>
        <v>67173</v>
      </c>
      <c r="H145" s="120">
        <f t="shared" si="58"/>
        <v>67041</v>
      </c>
      <c r="I145" s="120">
        <f t="shared" si="58"/>
        <v>65289</v>
      </c>
      <c r="J145" s="120">
        <f t="shared" ref="J145:K145" si="59">J115+J118+SUM(J125:J129)+J133+J137+J138+J140+J141+J143</f>
        <v>64816</v>
      </c>
      <c r="K145" s="120">
        <f t="shared" si="59"/>
        <v>66157</v>
      </c>
      <c r="L145" s="120">
        <f t="shared" ref="L145" si="60">L115+L118+SUM(L125:L129)+L133+L137+L138+L140+L141+L143</f>
        <v>66579</v>
      </c>
    </row>
    <row r="146" spans="1:12">
      <c r="A146" s="117" t="s">
        <v>8093</v>
      </c>
      <c r="D146" s="120">
        <f t="shared" ref="D146:I146" si="61">SUM(D112:D114)+D116+D117+SUM(D119:D124)+SUM(D130:D132)+D134+D136+D139+D142</f>
        <v>54605</v>
      </c>
      <c r="E146" s="120">
        <f t="shared" si="61"/>
        <v>55354</v>
      </c>
      <c r="F146" s="120">
        <f t="shared" si="61"/>
        <v>55666</v>
      </c>
      <c r="G146" s="120">
        <f t="shared" si="61"/>
        <v>56052</v>
      </c>
      <c r="H146" s="120">
        <f t="shared" si="61"/>
        <v>55578</v>
      </c>
      <c r="I146" s="120">
        <f t="shared" si="61"/>
        <v>54683</v>
      </c>
      <c r="J146" s="120">
        <f t="shared" ref="J146:K146" si="62">SUM(J112:J114)+J116+J117+SUM(J119:J124)+SUM(J130:J132)+J134+J136+J139+J142</f>
        <v>54281</v>
      </c>
      <c r="K146" s="120">
        <f t="shared" si="62"/>
        <v>55458</v>
      </c>
      <c r="L146" s="120">
        <f t="shared" ref="L146" si="63">SUM(L112:L114)+L116+L117+SUM(L119:L124)+SUM(L130:L132)+L134+L136+L139+L142</f>
        <v>56382</v>
      </c>
    </row>
    <row r="148" spans="1:12">
      <c r="A148" s="118" t="s">
        <v>15378</v>
      </c>
    </row>
  </sheetData>
  <sortState ref="O36:Q98">
    <sortCondition ref="O36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90" orientation="portrait" horizontalDpi="300" verticalDpi="300" r:id="rId1"/>
  <headerFooter alignWithMargins="0">
    <oddFooter>&amp;C&amp;"Times New Roman,Regular"&amp;8&amp;P of &amp;N</oddFooter>
  </headerFooter>
  <rowBreaks count="1" manualBreakCount="1">
    <brk id="75" max="4" man="1"/>
  </rowBreaks>
  <ignoredErrors>
    <ignoredError sqref="D35:K35 D3:D6 E3:E6 F3:F6 G3:G6 D7:D27 E7:E27 F7:F28 G7:G27 H3:H6 H7:H27 I3:I27 D135:K135 D111:K111 D145:I146 J100:J103 D100:I103 J3:J27 J145:J146 K100:K103 K145:K146 K3:K27 L3:L146" unlockedFormula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23"/>
  <sheetViews>
    <sheetView showGridLines="0" zoomScaleNormal="100" workbookViewId="0"/>
  </sheetViews>
  <sheetFormatPr defaultColWidth="12.5703125" defaultRowHeight="15"/>
  <cols>
    <col min="1" max="1" width="4.85546875" style="788" customWidth="1"/>
    <col min="2" max="2" width="40.7109375" style="788" customWidth="1"/>
    <col min="3" max="3" width="11.5703125" style="788" customWidth="1"/>
    <col min="4" max="12" width="10.140625" style="788" customWidth="1"/>
    <col min="13" max="13" width="2.28515625" style="788" customWidth="1"/>
    <col min="14" max="14" width="34.85546875" style="788" customWidth="1"/>
    <col min="15" max="16384" width="12.5703125" style="788"/>
  </cols>
  <sheetData>
    <row r="1" spans="1:14">
      <c r="A1" s="787" t="s">
        <v>8847</v>
      </c>
      <c r="D1" s="110">
        <v>2010</v>
      </c>
      <c r="E1" s="110">
        <v>2011</v>
      </c>
      <c r="F1" s="110">
        <v>2012</v>
      </c>
      <c r="G1" s="110">
        <v>2013</v>
      </c>
      <c r="H1" s="110">
        <v>2014</v>
      </c>
      <c r="I1" s="110">
        <v>2015</v>
      </c>
      <c r="J1" s="110">
        <v>2016</v>
      </c>
      <c r="K1" s="110">
        <v>2017</v>
      </c>
      <c r="L1" s="110">
        <v>2018</v>
      </c>
    </row>
    <row r="3" spans="1:14">
      <c r="A3" s="787" t="s">
        <v>6870</v>
      </c>
      <c r="D3" s="789">
        <f t="shared" ref="D3:I3" si="0">SUM(D5:D9)</f>
        <v>407604</v>
      </c>
      <c r="E3" s="789">
        <f t="shared" si="0"/>
        <v>410728</v>
      </c>
      <c r="F3" s="789">
        <f t="shared" si="0"/>
        <v>412156</v>
      </c>
      <c r="G3" s="789">
        <f t="shared" si="0"/>
        <v>414528</v>
      </c>
      <c r="H3" s="789">
        <f t="shared" si="0"/>
        <v>403974</v>
      </c>
      <c r="I3" s="789">
        <f t="shared" si="0"/>
        <v>402791</v>
      </c>
      <c r="J3" s="789">
        <f t="shared" ref="J3:K3" si="1">SUM(J5:J9)</f>
        <v>389032</v>
      </c>
      <c r="K3" s="789">
        <f t="shared" si="1"/>
        <v>409121</v>
      </c>
      <c r="L3" s="789">
        <f t="shared" ref="L3" si="2">SUM(L5:L9)</f>
        <v>412524</v>
      </c>
    </row>
    <row r="4" spans="1:14">
      <c r="D4" s="790"/>
      <c r="E4" s="790"/>
      <c r="F4" s="790"/>
      <c r="G4" s="790"/>
      <c r="H4" s="790"/>
      <c r="I4" s="790"/>
      <c r="J4" s="790"/>
      <c r="K4" s="790"/>
      <c r="L4" s="790"/>
    </row>
    <row r="5" spans="1:14">
      <c r="A5" s="787" t="s">
        <v>4509</v>
      </c>
      <c r="C5" s="787"/>
      <c r="D5" s="789">
        <f t="shared" ref="D5:I5" si="3">D38</f>
        <v>83602</v>
      </c>
      <c r="E5" s="789">
        <f t="shared" si="3"/>
        <v>84371</v>
      </c>
      <c r="F5" s="789">
        <f t="shared" si="3"/>
        <v>84879</v>
      </c>
      <c r="G5" s="789">
        <f t="shared" si="3"/>
        <v>85433</v>
      </c>
      <c r="H5" s="789">
        <f t="shared" si="3"/>
        <v>83777</v>
      </c>
      <c r="I5" s="789">
        <f t="shared" si="3"/>
        <v>84330</v>
      </c>
      <c r="J5" s="789">
        <f t="shared" ref="J5:K5" si="4">J38</f>
        <v>79769</v>
      </c>
      <c r="K5" s="789">
        <f t="shared" si="4"/>
        <v>84210</v>
      </c>
      <c r="L5" s="789">
        <f t="shared" ref="L5" si="5">L38</f>
        <v>85392</v>
      </c>
      <c r="N5" s="791"/>
    </row>
    <row r="6" spans="1:14">
      <c r="A6" s="787" t="s">
        <v>4510</v>
      </c>
      <c r="C6" s="787"/>
      <c r="D6" s="789">
        <f>D82</f>
        <v>87546</v>
      </c>
      <c r="E6" s="789">
        <f t="shared" ref="E6:F6" si="6">E82</f>
        <v>88464</v>
      </c>
      <c r="F6" s="789">
        <f t="shared" si="6"/>
        <v>88999</v>
      </c>
      <c r="G6" s="789">
        <f t="shared" ref="G6:H6" si="7">G82</f>
        <v>88734</v>
      </c>
      <c r="H6" s="789">
        <f t="shared" si="7"/>
        <v>87440</v>
      </c>
      <c r="I6" s="789">
        <f t="shared" ref="I6:J6" si="8">I82</f>
        <v>86792</v>
      </c>
      <c r="J6" s="789">
        <f t="shared" si="8"/>
        <v>86874</v>
      </c>
      <c r="K6" s="789">
        <f t="shared" ref="K6:L6" si="9">K82</f>
        <v>89769</v>
      </c>
      <c r="L6" s="789">
        <f t="shared" si="9"/>
        <v>90122</v>
      </c>
      <c r="N6" s="791"/>
    </row>
    <row r="7" spans="1:14">
      <c r="A7" s="787" t="s">
        <v>2793</v>
      </c>
      <c r="C7" s="787"/>
      <c r="D7" s="789">
        <f t="shared" ref="D7:I7" si="10">D119</f>
        <v>126230</v>
      </c>
      <c r="E7" s="789">
        <f t="shared" si="10"/>
        <v>126587</v>
      </c>
      <c r="F7" s="789">
        <f t="shared" si="10"/>
        <v>126706</v>
      </c>
      <c r="G7" s="789">
        <f t="shared" si="10"/>
        <v>128329</v>
      </c>
      <c r="H7" s="789">
        <f t="shared" si="10"/>
        <v>127883</v>
      </c>
      <c r="I7" s="789">
        <f t="shared" si="10"/>
        <v>125951</v>
      </c>
      <c r="J7" s="789">
        <f t="shared" ref="J7:K7" si="11">J119</f>
        <v>117938</v>
      </c>
      <c r="K7" s="789">
        <f t="shared" si="11"/>
        <v>124816</v>
      </c>
      <c r="L7" s="789">
        <f t="shared" ref="L7" si="12">L119</f>
        <v>125114</v>
      </c>
      <c r="N7" s="791"/>
    </row>
    <row r="8" spans="1:14">
      <c r="A8" s="787" t="s">
        <v>2794</v>
      </c>
      <c r="C8" s="787"/>
      <c r="D8" s="789">
        <f t="shared" ref="D8:I8" si="13">D168</f>
        <v>82281</v>
      </c>
      <c r="E8" s="789">
        <f t="shared" si="13"/>
        <v>82882</v>
      </c>
      <c r="F8" s="789">
        <f t="shared" si="13"/>
        <v>83723</v>
      </c>
      <c r="G8" s="789">
        <f t="shared" si="13"/>
        <v>84162</v>
      </c>
      <c r="H8" s="789">
        <f t="shared" si="13"/>
        <v>76989</v>
      </c>
      <c r="I8" s="789">
        <f t="shared" si="13"/>
        <v>78505</v>
      </c>
      <c r="J8" s="789">
        <f t="shared" ref="J8:K8" si="14">J168</f>
        <v>78187</v>
      </c>
      <c r="K8" s="789">
        <f t="shared" si="14"/>
        <v>83150</v>
      </c>
      <c r="L8" s="789">
        <f t="shared" ref="L8" si="15">L168</f>
        <v>84295</v>
      </c>
      <c r="N8" s="791"/>
    </row>
    <row r="9" spans="1:14">
      <c r="A9" s="787" t="s">
        <v>2795</v>
      </c>
      <c r="C9" s="787"/>
      <c r="D9" s="789">
        <f t="shared" ref="D9:I9" si="16">D203</f>
        <v>27945</v>
      </c>
      <c r="E9" s="789">
        <f t="shared" si="16"/>
        <v>28424</v>
      </c>
      <c r="F9" s="789">
        <f t="shared" si="16"/>
        <v>27849</v>
      </c>
      <c r="G9" s="789">
        <f t="shared" si="16"/>
        <v>27870</v>
      </c>
      <c r="H9" s="789">
        <f t="shared" si="16"/>
        <v>27885</v>
      </c>
      <c r="I9" s="789">
        <f t="shared" si="16"/>
        <v>27213</v>
      </c>
      <c r="J9" s="789">
        <f t="shared" ref="J9:K9" si="17">J203</f>
        <v>26264</v>
      </c>
      <c r="K9" s="789">
        <f t="shared" si="17"/>
        <v>27176</v>
      </c>
      <c r="L9" s="789">
        <f t="shared" ref="L9" si="18">L203</f>
        <v>27601</v>
      </c>
      <c r="N9" s="791"/>
    </row>
    <row r="11" spans="1:14">
      <c r="A11" s="787" t="s">
        <v>7122</v>
      </c>
      <c r="D11" s="789">
        <f t="shared" ref="D11:I11" si="19">D3/5</f>
        <v>81520.800000000003</v>
      </c>
      <c r="E11" s="789">
        <f t="shared" si="19"/>
        <v>82145.600000000006</v>
      </c>
      <c r="F11" s="789">
        <f t="shared" si="19"/>
        <v>82431.199999999997</v>
      </c>
      <c r="G11" s="789">
        <f t="shared" si="19"/>
        <v>82905.600000000006</v>
      </c>
      <c r="H11" s="789">
        <f t="shared" si="19"/>
        <v>80794.8</v>
      </c>
      <c r="I11" s="789">
        <f t="shared" si="19"/>
        <v>80558.2</v>
      </c>
      <c r="J11" s="789">
        <f t="shared" ref="J11:K11" si="20">J3/5</f>
        <v>77806.399999999994</v>
      </c>
      <c r="K11" s="789">
        <f t="shared" si="20"/>
        <v>81824.2</v>
      </c>
      <c r="L11" s="789">
        <f t="shared" ref="L11" si="21">L3/5</f>
        <v>82504.800000000003</v>
      </c>
    </row>
    <row r="12" spans="1:14">
      <c r="D12" s="790"/>
      <c r="E12" s="790"/>
      <c r="F12" s="790"/>
      <c r="G12" s="790"/>
      <c r="H12" s="790"/>
      <c r="I12" s="790"/>
      <c r="J12" s="790"/>
      <c r="K12" s="790"/>
      <c r="L12" s="790"/>
    </row>
    <row r="13" spans="1:14">
      <c r="A13" s="787" t="s">
        <v>2796</v>
      </c>
      <c r="D13" s="789">
        <f t="shared" ref="D13:I13" si="22">D111</f>
        <v>53929</v>
      </c>
      <c r="E13" s="789">
        <f t="shared" si="22"/>
        <v>54512</v>
      </c>
      <c r="F13" s="789">
        <f t="shared" si="22"/>
        <v>54966</v>
      </c>
      <c r="G13" s="789">
        <f t="shared" si="22"/>
        <v>54858</v>
      </c>
      <c r="H13" s="789">
        <f t="shared" si="22"/>
        <v>53931</v>
      </c>
      <c r="I13" s="789">
        <f t="shared" si="22"/>
        <v>53582</v>
      </c>
      <c r="J13" s="789">
        <f t="shared" ref="J13:K13" si="23">J111</f>
        <v>53560</v>
      </c>
      <c r="K13" s="789">
        <f t="shared" si="23"/>
        <v>55331</v>
      </c>
      <c r="L13" s="789">
        <f t="shared" ref="L13" si="24">L111</f>
        <v>55593</v>
      </c>
      <c r="N13" s="787" t="s">
        <v>109</v>
      </c>
    </row>
    <row r="14" spans="1:14" ht="15.75" thickBot="1">
      <c r="D14" s="792">
        <f t="shared" ref="D14:I14" si="25">D221</f>
        <v>27945</v>
      </c>
      <c r="E14" s="792">
        <f t="shared" si="25"/>
        <v>28424</v>
      </c>
      <c r="F14" s="792">
        <f t="shared" si="25"/>
        <v>27849</v>
      </c>
      <c r="G14" s="792">
        <f t="shared" si="25"/>
        <v>27870</v>
      </c>
      <c r="H14" s="792">
        <f t="shared" si="25"/>
        <v>27885</v>
      </c>
      <c r="I14" s="792">
        <f t="shared" si="25"/>
        <v>27213</v>
      </c>
      <c r="J14" s="792">
        <f t="shared" ref="J14:K14" si="26">J221</f>
        <v>26264</v>
      </c>
      <c r="K14" s="792">
        <f t="shared" si="26"/>
        <v>27176</v>
      </c>
      <c r="L14" s="792">
        <f t="shared" ref="L14" si="27">L221</f>
        <v>27601</v>
      </c>
      <c r="N14" s="787" t="s">
        <v>6869</v>
      </c>
    </row>
    <row r="15" spans="1:14" ht="15.75" thickBot="1">
      <c r="D15" s="792">
        <f t="shared" ref="D15:I15" si="28">D13+D14</f>
        <v>81874</v>
      </c>
      <c r="E15" s="792">
        <f t="shared" si="28"/>
        <v>82936</v>
      </c>
      <c r="F15" s="792">
        <f t="shared" si="28"/>
        <v>82815</v>
      </c>
      <c r="G15" s="792">
        <f t="shared" si="28"/>
        <v>82728</v>
      </c>
      <c r="H15" s="792">
        <f t="shared" si="28"/>
        <v>81816</v>
      </c>
      <c r="I15" s="792">
        <f t="shared" si="28"/>
        <v>80795</v>
      </c>
      <c r="J15" s="792">
        <f t="shared" ref="J15:K15" si="29">J13+J14</f>
        <v>79824</v>
      </c>
      <c r="K15" s="792">
        <f t="shared" si="29"/>
        <v>82507</v>
      </c>
      <c r="L15" s="792">
        <f t="shared" ref="L15" si="30">L13+L14</f>
        <v>83194</v>
      </c>
    </row>
    <row r="16" spans="1:14">
      <c r="D16" s="790"/>
      <c r="E16" s="790"/>
      <c r="F16" s="790"/>
      <c r="G16" s="790"/>
      <c r="H16" s="790"/>
      <c r="I16" s="790"/>
      <c r="J16" s="790"/>
      <c r="K16" s="790"/>
      <c r="L16" s="790"/>
    </row>
    <row r="17" spans="1:14">
      <c r="A17" s="787" t="s">
        <v>110</v>
      </c>
      <c r="D17" s="789">
        <f t="shared" ref="D17:I17" si="31">D74</f>
        <v>38103</v>
      </c>
      <c r="E17" s="789">
        <f t="shared" si="31"/>
        <v>38334</v>
      </c>
      <c r="F17" s="789">
        <f t="shared" si="31"/>
        <v>38424</v>
      </c>
      <c r="G17" s="789">
        <f t="shared" si="31"/>
        <v>38633</v>
      </c>
      <c r="H17" s="789">
        <f t="shared" si="31"/>
        <v>38187</v>
      </c>
      <c r="I17" s="789">
        <f t="shared" si="31"/>
        <v>38372</v>
      </c>
      <c r="J17" s="789">
        <f t="shared" ref="J17:K17" si="32">J74</f>
        <v>36210</v>
      </c>
      <c r="K17" s="789">
        <f t="shared" si="32"/>
        <v>38040</v>
      </c>
      <c r="L17" s="789">
        <f t="shared" ref="L17" si="33">L74</f>
        <v>38448</v>
      </c>
      <c r="N17" s="787" t="s">
        <v>111</v>
      </c>
    </row>
    <row r="18" spans="1:14" ht="15.75" thickBot="1">
      <c r="D18" s="792">
        <f t="shared" ref="D18:I18" si="34">D160</f>
        <v>43463</v>
      </c>
      <c r="E18" s="792">
        <f t="shared" si="34"/>
        <v>43816</v>
      </c>
      <c r="F18" s="792">
        <f t="shared" si="34"/>
        <v>43946</v>
      </c>
      <c r="G18" s="792">
        <f t="shared" si="34"/>
        <v>44541</v>
      </c>
      <c r="H18" s="792">
        <f t="shared" si="34"/>
        <v>44463</v>
      </c>
      <c r="I18" s="792">
        <f t="shared" si="34"/>
        <v>43794</v>
      </c>
      <c r="J18" s="792">
        <f t="shared" ref="J18:K18" si="35">J160</f>
        <v>41587</v>
      </c>
      <c r="K18" s="792">
        <f t="shared" si="35"/>
        <v>43892</v>
      </c>
      <c r="L18" s="792">
        <f t="shared" ref="L18" si="36">L160</f>
        <v>44039</v>
      </c>
      <c r="N18" s="787" t="s">
        <v>112</v>
      </c>
    </row>
    <row r="19" spans="1:14" ht="15.75" thickBot="1">
      <c r="D19" s="792">
        <f t="shared" ref="D19:I19" si="37">D17+D18</f>
        <v>81566</v>
      </c>
      <c r="E19" s="792">
        <f t="shared" si="37"/>
        <v>82150</v>
      </c>
      <c r="F19" s="792">
        <f t="shared" si="37"/>
        <v>82370</v>
      </c>
      <c r="G19" s="792">
        <f t="shared" si="37"/>
        <v>83174</v>
      </c>
      <c r="H19" s="792">
        <f t="shared" si="37"/>
        <v>82650</v>
      </c>
      <c r="I19" s="792">
        <f t="shared" si="37"/>
        <v>82166</v>
      </c>
      <c r="J19" s="792">
        <f t="shared" ref="J19:K19" si="38">J17+J18</f>
        <v>77797</v>
      </c>
      <c r="K19" s="792">
        <f t="shared" si="38"/>
        <v>81932</v>
      </c>
      <c r="L19" s="792">
        <f t="shared" ref="L19" si="39">L17+L18</f>
        <v>82487</v>
      </c>
    </row>
    <row r="20" spans="1:14">
      <c r="D20" s="790"/>
      <c r="E20" s="790"/>
      <c r="F20" s="790"/>
      <c r="G20" s="790"/>
      <c r="H20" s="790"/>
      <c r="I20" s="790"/>
      <c r="J20" s="790"/>
      <c r="K20" s="790"/>
      <c r="L20" s="790"/>
    </row>
    <row r="21" spans="1:14">
      <c r="A21" s="787" t="s">
        <v>113</v>
      </c>
      <c r="D21" s="789">
        <f t="shared" ref="D21:I21" si="40">D196</f>
        <v>82281</v>
      </c>
      <c r="E21" s="789">
        <f t="shared" si="40"/>
        <v>82882</v>
      </c>
      <c r="F21" s="789">
        <f t="shared" si="40"/>
        <v>83723</v>
      </c>
      <c r="G21" s="789">
        <f t="shared" si="40"/>
        <v>84162</v>
      </c>
      <c r="H21" s="789">
        <f t="shared" si="40"/>
        <v>76989</v>
      </c>
      <c r="I21" s="789">
        <f t="shared" si="40"/>
        <v>78505</v>
      </c>
      <c r="J21" s="789">
        <f t="shared" ref="J21:K21" si="41">J196</f>
        <v>78187</v>
      </c>
      <c r="K21" s="789">
        <f t="shared" si="41"/>
        <v>83150</v>
      </c>
      <c r="L21" s="789">
        <f t="shared" ref="L21" si="42">L196</f>
        <v>84295</v>
      </c>
      <c r="N21" s="787" t="s">
        <v>6868</v>
      </c>
    </row>
    <row r="22" spans="1:14">
      <c r="D22" s="790"/>
      <c r="E22" s="790"/>
      <c r="F22" s="790"/>
      <c r="G22" s="790"/>
      <c r="H22" s="790"/>
      <c r="I22" s="790"/>
      <c r="J22" s="790"/>
      <c r="K22" s="790"/>
      <c r="L22" s="790"/>
    </row>
    <row r="23" spans="1:14">
      <c r="A23" s="787" t="s">
        <v>114</v>
      </c>
      <c r="D23" s="789">
        <f t="shared" ref="D23:I23" si="43">D75</f>
        <v>45499</v>
      </c>
      <c r="E23" s="789">
        <f t="shared" si="43"/>
        <v>46037</v>
      </c>
      <c r="F23" s="789">
        <f t="shared" si="43"/>
        <v>46455</v>
      </c>
      <c r="G23" s="789">
        <f t="shared" si="43"/>
        <v>46800</v>
      </c>
      <c r="H23" s="789">
        <f t="shared" si="43"/>
        <v>45590</v>
      </c>
      <c r="I23" s="789">
        <f t="shared" si="43"/>
        <v>45958</v>
      </c>
      <c r="J23" s="789">
        <f t="shared" ref="J23:K23" si="44">J75</f>
        <v>43559</v>
      </c>
      <c r="K23" s="789">
        <f t="shared" si="44"/>
        <v>46170</v>
      </c>
      <c r="L23" s="789">
        <f t="shared" ref="L23" si="45">L75</f>
        <v>46944</v>
      </c>
      <c r="N23" s="787" t="s">
        <v>111</v>
      </c>
    </row>
    <row r="24" spans="1:14" ht="15.75" thickBot="1">
      <c r="D24" s="792">
        <f t="shared" ref="D24:I24" si="46">D112</f>
        <v>33617</v>
      </c>
      <c r="E24" s="792">
        <f t="shared" si="46"/>
        <v>33952</v>
      </c>
      <c r="F24" s="792">
        <f t="shared" si="46"/>
        <v>34033</v>
      </c>
      <c r="G24" s="792">
        <f t="shared" si="46"/>
        <v>33876</v>
      </c>
      <c r="H24" s="792">
        <f t="shared" si="46"/>
        <v>33509</v>
      </c>
      <c r="I24" s="792">
        <f t="shared" si="46"/>
        <v>33210</v>
      </c>
      <c r="J24" s="792">
        <f t="shared" ref="J24:K24" si="47">J112</f>
        <v>33314</v>
      </c>
      <c r="K24" s="792">
        <f t="shared" si="47"/>
        <v>34438</v>
      </c>
      <c r="L24" s="792">
        <f t="shared" ref="L24" si="48">L112</f>
        <v>34529</v>
      </c>
      <c r="N24" s="787" t="s">
        <v>109</v>
      </c>
    </row>
    <row r="25" spans="1:14" ht="15.75" thickBot="1">
      <c r="D25" s="792">
        <f t="shared" ref="D25:I25" si="49">D23+D24</f>
        <v>79116</v>
      </c>
      <c r="E25" s="792">
        <f t="shared" si="49"/>
        <v>79989</v>
      </c>
      <c r="F25" s="792">
        <f t="shared" si="49"/>
        <v>80488</v>
      </c>
      <c r="G25" s="792">
        <f t="shared" si="49"/>
        <v>80676</v>
      </c>
      <c r="H25" s="792">
        <f t="shared" si="49"/>
        <v>79099</v>
      </c>
      <c r="I25" s="792">
        <f t="shared" si="49"/>
        <v>79168</v>
      </c>
      <c r="J25" s="792">
        <f t="shared" ref="J25:K25" si="50">J23+J24</f>
        <v>76873</v>
      </c>
      <c r="K25" s="792">
        <f t="shared" si="50"/>
        <v>80608</v>
      </c>
      <c r="L25" s="792">
        <f t="shared" ref="L25" si="51">L23+L24</f>
        <v>81473</v>
      </c>
    </row>
    <row r="26" spans="1:14">
      <c r="D26" s="790"/>
      <c r="E26" s="790"/>
      <c r="F26" s="790"/>
      <c r="G26" s="790"/>
      <c r="H26" s="790"/>
      <c r="I26" s="790"/>
      <c r="J26" s="790"/>
      <c r="K26" s="790"/>
      <c r="L26" s="790"/>
    </row>
    <row r="27" spans="1:14">
      <c r="A27" s="787" t="s">
        <v>115</v>
      </c>
      <c r="D27" s="789">
        <f t="shared" ref="D27:I27" si="52">D161</f>
        <v>82767</v>
      </c>
      <c r="E27" s="789">
        <f t="shared" si="52"/>
        <v>82771</v>
      </c>
      <c r="F27" s="789">
        <f t="shared" si="52"/>
        <v>82760</v>
      </c>
      <c r="G27" s="789">
        <f t="shared" si="52"/>
        <v>83788</v>
      </c>
      <c r="H27" s="789">
        <f t="shared" si="52"/>
        <v>83420</v>
      </c>
      <c r="I27" s="789">
        <f t="shared" si="52"/>
        <v>82157</v>
      </c>
      <c r="J27" s="789">
        <f t="shared" ref="J27:K27" si="53">J161</f>
        <v>76351</v>
      </c>
      <c r="K27" s="789">
        <f t="shared" si="53"/>
        <v>80924</v>
      </c>
      <c r="L27" s="789">
        <f t="shared" ref="L27" si="54">L161</f>
        <v>81075</v>
      </c>
      <c r="N27" s="787" t="s">
        <v>112</v>
      </c>
    </row>
    <row r="28" spans="1:14">
      <c r="D28" s="790"/>
      <c r="E28" s="790"/>
      <c r="F28" s="790"/>
      <c r="G28" s="790"/>
      <c r="H28" s="790"/>
      <c r="I28" s="790"/>
      <c r="J28" s="790"/>
      <c r="K28" s="790"/>
      <c r="L28" s="790"/>
    </row>
    <row r="29" spans="1:14">
      <c r="A29" s="787" t="s">
        <v>8697</v>
      </c>
      <c r="D29" s="789">
        <f t="shared" ref="D29:I29" si="55">D15+D19+D21+D25+D27</f>
        <v>407604</v>
      </c>
      <c r="E29" s="789">
        <f t="shared" si="55"/>
        <v>410728</v>
      </c>
      <c r="F29" s="789">
        <f t="shared" si="55"/>
        <v>412156</v>
      </c>
      <c r="G29" s="789">
        <f t="shared" si="55"/>
        <v>414528</v>
      </c>
      <c r="H29" s="789">
        <f t="shared" si="55"/>
        <v>403974</v>
      </c>
      <c r="I29" s="789">
        <f t="shared" si="55"/>
        <v>402791</v>
      </c>
      <c r="J29" s="789">
        <f t="shared" ref="J29:K29" si="56">J15+J19+J21+J25+J27</f>
        <v>389032</v>
      </c>
      <c r="K29" s="789">
        <f t="shared" si="56"/>
        <v>409121</v>
      </c>
      <c r="L29" s="789">
        <f t="shared" ref="L29" si="57">L15+L19+L21+L25+L27</f>
        <v>412524</v>
      </c>
    </row>
    <row r="30" spans="1:14">
      <c r="D30" s="790"/>
      <c r="E30" s="790"/>
      <c r="F30" s="790"/>
      <c r="G30" s="790"/>
      <c r="H30" s="790"/>
      <c r="I30" s="790"/>
      <c r="J30" s="790"/>
      <c r="K30" s="790"/>
      <c r="L30" s="790"/>
    </row>
    <row r="31" spans="1:14">
      <c r="A31" s="787" t="s">
        <v>8698</v>
      </c>
      <c r="D31" s="789">
        <f t="shared" ref="D31:I31" si="58">MAX(D15,D19,D21,D25,D27)-MIN(D15,D19,D21,D25,D27)</f>
        <v>3651</v>
      </c>
      <c r="E31" s="789">
        <f t="shared" si="58"/>
        <v>2947</v>
      </c>
      <c r="F31" s="789">
        <f t="shared" si="58"/>
        <v>3235</v>
      </c>
      <c r="G31" s="789">
        <f t="shared" si="58"/>
        <v>3486</v>
      </c>
      <c r="H31" s="789">
        <f t="shared" si="58"/>
        <v>6431</v>
      </c>
      <c r="I31" s="789">
        <f t="shared" si="58"/>
        <v>3661</v>
      </c>
      <c r="J31" s="789">
        <f t="shared" ref="J31:K31" si="59">MAX(J15,J19,J21,J25,J27)-MIN(J15,J19,J21,J25,J27)</f>
        <v>3473</v>
      </c>
      <c r="K31" s="789">
        <f t="shared" si="59"/>
        <v>2542</v>
      </c>
      <c r="L31" s="789">
        <f t="shared" ref="L31" si="60">MAX(L15,L19,L21,L25,L27)-MIN(L15,L19,L21,L25,L27)</f>
        <v>3220</v>
      </c>
    </row>
    <row r="32" spans="1:14">
      <c r="D32" s="790"/>
      <c r="E32" s="790"/>
      <c r="F32" s="790"/>
      <c r="G32" s="790"/>
      <c r="H32" s="790"/>
      <c r="I32" s="790"/>
      <c r="J32" s="790"/>
      <c r="K32" s="790"/>
      <c r="L32" s="790"/>
    </row>
    <row r="33" spans="1:17">
      <c r="A33" s="787" t="s">
        <v>8701</v>
      </c>
      <c r="D33" s="789">
        <f t="shared" ref="D33:I33" si="61">STDEVP(D15,D19,D21,D25,D27)</f>
        <v>1268.1304980166669</v>
      </c>
      <c r="E33" s="789">
        <f t="shared" si="61"/>
        <v>1114.3684489431671</v>
      </c>
      <c r="F33" s="789">
        <f t="shared" si="61"/>
        <v>1068.0759149049284</v>
      </c>
      <c r="G33" s="789">
        <f t="shared" si="61"/>
        <v>1219.1691597149265</v>
      </c>
      <c r="H33" s="789">
        <f t="shared" si="61"/>
        <v>2397.3378068182215</v>
      </c>
      <c r="I33" s="789">
        <f t="shared" si="61"/>
        <v>1506.3560535278502</v>
      </c>
      <c r="J33" s="789">
        <f t="shared" ref="J33:K33" si="62">STDEVP(J15,J19,J21,J25,J27)</f>
        <v>1200.4231920452053</v>
      </c>
      <c r="K33" s="789">
        <f t="shared" si="62"/>
        <v>951.32379345835761</v>
      </c>
      <c r="L33" s="789">
        <f t="shared" ref="L33" si="63">STDEVP(L15,L19,L21,L25,L27)</f>
        <v>1165.2526592975448</v>
      </c>
    </row>
    <row r="34" spans="1:17">
      <c r="A34" s="787"/>
      <c r="D34" s="789"/>
      <c r="E34" s="789"/>
      <c r="F34" s="789"/>
      <c r="G34" s="789"/>
      <c r="H34" s="789"/>
      <c r="I34" s="789"/>
      <c r="J34" s="789"/>
      <c r="K34" s="789"/>
      <c r="L34" s="789"/>
    </row>
    <row r="35" spans="1:17">
      <c r="A35" s="787"/>
      <c r="D35" s="793"/>
      <c r="E35" s="793"/>
      <c r="F35" s="793"/>
      <c r="G35" s="793"/>
      <c r="H35" s="793"/>
      <c r="I35" s="793"/>
      <c r="J35" s="793"/>
      <c r="K35" s="793"/>
      <c r="L35" s="793"/>
    </row>
    <row r="36" spans="1:17">
      <c r="E36" s="42" t="s">
        <v>2303</v>
      </c>
      <c r="F36" s="42"/>
      <c r="G36" s="42"/>
      <c r="H36" s="42"/>
      <c r="I36" s="42"/>
      <c r="J36" s="42"/>
      <c r="K36" s="42"/>
      <c r="L36" s="42"/>
      <c r="N36" s="109" t="s">
        <v>13319</v>
      </c>
    </row>
    <row r="37" spans="1:17">
      <c r="D37" s="110">
        <v>2010</v>
      </c>
      <c r="E37" s="110">
        <v>2011</v>
      </c>
      <c r="F37" s="110">
        <v>2012</v>
      </c>
      <c r="G37" s="110">
        <v>2013</v>
      </c>
      <c r="H37" s="110">
        <v>2014</v>
      </c>
      <c r="I37" s="110">
        <v>2015</v>
      </c>
      <c r="J37" s="110">
        <v>2016</v>
      </c>
      <c r="K37" s="110">
        <v>2017</v>
      </c>
      <c r="L37" s="110">
        <v>2018</v>
      </c>
      <c r="M37" s="111"/>
      <c r="N37" s="112" t="s">
        <v>2304</v>
      </c>
    </row>
    <row r="38" spans="1:17">
      <c r="A38" s="787" t="s">
        <v>116</v>
      </c>
      <c r="C38" s="787"/>
      <c r="D38" s="789">
        <f t="shared" ref="D38:I38" si="64">SUM(D39:D72)</f>
        <v>83602</v>
      </c>
      <c r="E38" s="789">
        <f t="shared" si="64"/>
        <v>84371</v>
      </c>
      <c r="F38" s="789">
        <f t="shared" si="64"/>
        <v>84879</v>
      </c>
      <c r="G38" s="789">
        <f t="shared" si="64"/>
        <v>85433</v>
      </c>
      <c r="H38" s="789">
        <f t="shared" si="64"/>
        <v>83777</v>
      </c>
      <c r="I38" s="789">
        <f t="shared" si="64"/>
        <v>84330</v>
      </c>
      <c r="J38" s="789">
        <f t="shared" ref="J38:K38" si="65">SUM(J39:J72)</f>
        <v>79769</v>
      </c>
      <c r="K38" s="789">
        <f t="shared" si="65"/>
        <v>84210</v>
      </c>
      <c r="L38" s="789">
        <f t="shared" ref="L38" si="66">SUM(L39:L72)</f>
        <v>85392</v>
      </c>
    </row>
    <row r="39" spans="1:17">
      <c r="A39" s="794">
        <v>1</v>
      </c>
      <c r="B39" s="787" t="s">
        <v>117</v>
      </c>
      <c r="C39" s="4" t="s">
        <v>11977</v>
      </c>
      <c r="D39" s="790">
        <v>1889</v>
      </c>
      <c r="E39" s="790">
        <v>1905</v>
      </c>
      <c r="F39" s="790">
        <v>1845</v>
      </c>
      <c r="G39" s="790">
        <v>1874</v>
      </c>
      <c r="H39" s="48">
        <v>1843</v>
      </c>
      <c r="I39" s="48">
        <v>1871</v>
      </c>
      <c r="J39" s="48">
        <v>1810</v>
      </c>
      <c r="K39" s="48">
        <v>1880</v>
      </c>
      <c r="L39" s="48">
        <v>1937</v>
      </c>
      <c r="N39" s="787" t="s">
        <v>110</v>
      </c>
      <c r="O39" s="4"/>
      <c r="Q39" s="4"/>
    </row>
    <row r="40" spans="1:17">
      <c r="A40" s="794">
        <v>2</v>
      </c>
      <c r="B40" s="787" t="s">
        <v>118</v>
      </c>
      <c r="C40" s="4" t="s">
        <v>11978</v>
      </c>
      <c r="D40" s="790">
        <v>3528</v>
      </c>
      <c r="E40" s="790">
        <v>3609</v>
      </c>
      <c r="F40" s="790">
        <v>3638</v>
      </c>
      <c r="G40" s="790">
        <v>3633</v>
      </c>
      <c r="H40" s="48">
        <v>3502</v>
      </c>
      <c r="I40" s="48">
        <v>3550</v>
      </c>
      <c r="J40" s="48">
        <v>3342</v>
      </c>
      <c r="K40" s="48">
        <v>3548</v>
      </c>
      <c r="L40" s="48">
        <v>3589</v>
      </c>
      <c r="N40" s="787" t="s">
        <v>114</v>
      </c>
      <c r="O40" s="4"/>
      <c r="Q40" s="4"/>
    </row>
    <row r="41" spans="1:17">
      <c r="A41" s="794">
        <v>3</v>
      </c>
      <c r="B41" s="787" t="s">
        <v>119</v>
      </c>
      <c r="C41" s="4" t="s">
        <v>11979</v>
      </c>
      <c r="D41" s="790">
        <v>1731</v>
      </c>
      <c r="E41" s="790">
        <v>1717</v>
      </c>
      <c r="F41" s="790">
        <v>1725</v>
      </c>
      <c r="G41" s="790">
        <v>1714</v>
      </c>
      <c r="H41" s="48">
        <v>1683</v>
      </c>
      <c r="I41" s="48">
        <v>1671</v>
      </c>
      <c r="J41" s="48">
        <v>1573</v>
      </c>
      <c r="K41" s="48">
        <v>1693</v>
      </c>
      <c r="L41" s="48">
        <v>1738</v>
      </c>
      <c r="N41" s="787" t="s">
        <v>110</v>
      </c>
      <c r="O41" s="4"/>
      <c r="Q41" s="4"/>
    </row>
    <row r="42" spans="1:17">
      <c r="A42" s="794">
        <v>4</v>
      </c>
      <c r="B42" s="787" t="s">
        <v>120</v>
      </c>
      <c r="C42" s="4" t="s">
        <v>11980</v>
      </c>
      <c r="D42" s="790">
        <v>1808</v>
      </c>
      <c r="E42" s="790">
        <v>1822</v>
      </c>
      <c r="F42" s="790">
        <v>1828</v>
      </c>
      <c r="G42" s="790">
        <v>1816</v>
      </c>
      <c r="H42" s="48">
        <v>1766</v>
      </c>
      <c r="I42" s="48">
        <v>1794</v>
      </c>
      <c r="J42" s="48">
        <v>1702</v>
      </c>
      <c r="K42" s="48">
        <v>1807</v>
      </c>
      <c r="L42" s="48">
        <v>1879</v>
      </c>
      <c r="N42" s="787" t="s">
        <v>110</v>
      </c>
      <c r="O42" s="4"/>
      <c r="Q42" s="4"/>
    </row>
    <row r="43" spans="1:17">
      <c r="A43" s="794">
        <v>5</v>
      </c>
      <c r="B43" s="787" t="s">
        <v>121</v>
      </c>
      <c r="C43" s="4" t="s">
        <v>11981</v>
      </c>
      <c r="D43" s="790">
        <v>1755</v>
      </c>
      <c r="E43" s="790">
        <v>1754</v>
      </c>
      <c r="F43" s="790">
        <v>1765</v>
      </c>
      <c r="G43" s="790">
        <v>1737</v>
      </c>
      <c r="H43" s="48">
        <v>1672</v>
      </c>
      <c r="I43" s="48">
        <v>1690</v>
      </c>
      <c r="J43" s="48">
        <v>1611</v>
      </c>
      <c r="K43" s="48">
        <v>1697</v>
      </c>
      <c r="L43" s="48">
        <v>1703</v>
      </c>
      <c r="N43" s="787" t="s">
        <v>114</v>
      </c>
      <c r="O43" s="4"/>
      <c r="Q43" s="4"/>
    </row>
    <row r="44" spans="1:17">
      <c r="A44" s="794">
        <v>6</v>
      </c>
      <c r="B44" s="787" t="s">
        <v>122</v>
      </c>
      <c r="C44" s="4" t="s">
        <v>11982</v>
      </c>
      <c r="D44" s="790">
        <v>3760</v>
      </c>
      <c r="E44" s="790">
        <v>3758</v>
      </c>
      <c r="F44" s="790">
        <v>3804</v>
      </c>
      <c r="G44" s="790">
        <v>3831</v>
      </c>
      <c r="H44" s="48">
        <v>3841</v>
      </c>
      <c r="I44" s="48">
        <v>3843</v>
      </c>
      <c r="J44" s="48">
        <v>3570</v>
      </c>
      <c r="K44" s="48">
        <v>3771</v>
      </c>
      <c r="L44" s="48">
        <v>3775</v>
      </c>
      <c r="N44" s="787" t="s">
        <v>110</v>
      </c>
      <c r="O44" s="4"/>
      <c r="Q44" s="4"/>
    </row>
    <row r="45" spans="1:17">
      <c r="A45" s="794">
        <v>7</v>
      </c>
      <c r="B45" s="787" t="s">
        <v>123</v>
      </c>
      <c r="C45" s="4" t="s">
        <v>11983</v>
      </c>
      <c r="D45" s="790">
        <v>1857</v>
      </c>
      <c r="E45" s="790">
        <v>1844</v>
      </c>
      <c r="F45" s="790">
        <v>1831</v>
      </c>
      <c r="G45" s="790">
        <v>1824</v>
      </c>
      <c r="H45" s="48">
        <v>1823</v>
      </c>
      <c r="I45" s="48">
        <v>1832</v>
      </c>
      <c r="J45" s="48">
        <v>1744</v>
      </c>
      <c r="K45" s="48">
        <v>1852</v>
      </c>
      <c r="L45" s="48">
        <v>1851</v>
      </c>
      <c r="N45" s="787" t="s">
        <v>110</v>
      </c>
      <c r="O45" s="4"/>
      <c r="Q45" s="4"/>
    </row>
    <row r="46" spans="1:17">
      <c r="A46" s="794">
        <v>8</v>
      </c>
      <c r="B46" s="787" t="s">
        <v>124</v>
      </c>
      <c r="C46" s="4" t="s">
        <v>11984</v>
      </c>
      <c r="D46" s="790">
        <v>1845</v>
      </c>
      <c r="E46" s="790">
        <v>1830</v>
      </c>
      <c r="F46" s="790">
        <v>1859</v>
      </c>
      <c r="G46" s="790">
        <v>1864</v>
      </c>
      <c r="H46" s="48">
        <v>1882</v>
      </c>
      <c r="I46" s="48">
        <v>1838</v>
      </c>
      <c r="J46" s="48">
        <v>1755</v>
      </c>
      <c r="K46" s="48">
        <v>1870</v>
      </c>
      <c r="L46" s="48">
        <v>1905</v>
      </c>
      <c r="N46" s="787" t="s">
        <v>110</v>
      </c>
      <c r="O46" s="4"/>
      <c r="Q46" s="4"/>
    </row>
    <row r="47" spans="1:17">
      <c r="A47" s="794">
        <v>9</v>
      </c>
      <c r="B47" s="788" t="s">
        <v>125</v>
      </c>
      <c r="C47" s="4" t="s">
        <v>11985</v>
      </c>
      <c r="D47" s="790">
        <v>1950</v>
      </c>
      <c r="E47" s="790">
        <v>2002</v>
      </c>
      <c r="F47" s="790">
        <v>2005</v>
      </c>
      <c r="G47" s="790">
        <v>2031</v>
      </c>
      <c r="H47" s="48">
        <v>2091</v>
      </c>
      <c r="I47" s="48">
        <v>2136</v>
      </c>
      <c r="J47" s="48">
        <v>1930</v>
      </c>
      <c r="K47" s="48">
        <v>2078</v>
      </c>
      <c r="L47" s="48">
        <v>2082</v>
      </c>
      <c r="N47" s="787" t="s">
        <v>114</v>
      </c>
      <c r="O47" s="4"/>
      <c r="Q47" s="4"/>
    </row>
    <row r="48" spans="1:17">
      <c r="A48" s="794">
        <v>10</v>
      </c>
      <c r="B48" s="787" t="s">
        <v>126</v>
      </c>
      <c r="C48" s="4" t="s">
        <v>11986</v>
      </c>
      <c r="D48" s="790">
        <v>3513</v>
      </c>
      <c r="E48" s="790">
        <v>3486</v>
      </c>
      <c r="F48" s="790">
        <v>3502</v>
      </c>
      <c r="G48" s="790">
        <v>3473</v>
      </c>
      <c r="H48" s="48">
        <v>3439</v>
      </c>
      <c r="I48" s="48">
        <v>3438</v>
      </c>
      <c r="J48" s="48">
        <v>3265</v>
      </c>
      <c r="K48" s="48">
        <v>3361</v>
      </c>
      <c r="L48" s="48">
        <v>3380</v>
      </c>
      <c r="N48" s="787" t="s">
        <v>110</v>
      </c>
      <c r="O48" s="4"/>
      <c r="Q48" s="4"/>
    </row>
    <row r="49" spans="1:17">
      <c r="A49" s="794">
        <v>11</v>
      </c>
      <c r="B49" s="787" t="s">
        <v>127</v>
      </c>
      <c r="C49" s="4" t="s">
        <v>11987</v>
      </c>
      <c r="D49" s="790">
        <v>3533</v>
      </c>
      <c r="E49" s="790">
        <v>3501</v>
      </c>
      <c r="F49" s="790">
        <v>3482</v>
      </c>
      <c r="G49" s="790">
        <v>3487</v>
      </c>
      <c r="H49" s="48">
        <v>3418</v>
      </c>
      <c r="I49" s="48">
        <v>3423</v>
      </c>
      <c r="J49" s="48">
        <v>3230</v>
      </c>
      <c r="K49" s="48">
        <v>3337</v>
      </c>
      <c r="L49" s="48">
        <v>3304</v>
      </c>
      <c r="N49" s="787" t="s">
        <v>110</v>
      </c>
      <c r="O49" s="4"/>
      <c r="Q49" s="4"/>
    </row>
    <row r="50" spans="1:17">
      <c r="A50" s="794">
        <v>12</v>
      </c>
      <c r="B50" s="787" t="s">
        <v>128</v>
      </c>
      <c r="C50" s="4" t="s">
        <v>11988</v>
      </c>
      <c r="D50" s="790">
        <v>3401</v>
      </c>
      <c r="E50" s="790">
        <v>3453</v>
      </c>
      <c r="F50" s="790">
        <v>3528</v>
      </c>
      <c r="G50" s="790">
        <v>3808</v>
      </c>
      <c r="H50" s="48">
        <v>3881</v>
      </c>
      <c r="I50" s="48">
        <v>3933</v>
      </c>
      <c r="J50" s="48">
        <v>3692</v>
      </c>
      <c r="K50" s="48">
        <v>3852</v>
      </c>
      <c r="L50" s="48">
        <v>3950</v>
      </c>
      <c r="N50" s="787" t="s">
        <v>110</v>
      </c>
      <c r="O50" s="4"/>
      <c r="Q50" s="4"/>
    </row>
    <row r="51" spans="1:17">
      <c r="A51" s="794">
        <v>13</v>
      </c>
      <c r="B51" s="787" t="s">
        <v>129</v>
      </c>
      <c r="C51" s="4" t="s">
        <v>11989</v>
      </c>
      <c r="D51" s="790">
        <v>3675</v>
      </c>
      <c r="E51" s="790">
        <v>3801</v>
      </c>
      <c r="F51" s="790">
        <v>3836</v>
      </c>
      <c r="G51" s="790">
        <v>3811</v>
      </c>
      <c r="H51" s="48">
        <v>3548</v>
      </c>
      <c r="I51" s="48">
        <v>3561</v>
      </c>
      <c r="J51" s="48">
        <v>3384</v>
      </c>
      <c r="K51" s="48">
        <v>3618</v>
      </c>
      <c r="L51" s="48">
        <v>3627</v>
      </c>
      <c r="N51" s="787" t="s">
        <v>110</v>
      </c>
      <c r="O51" s="4"/>
      <c r="Q51" s="4"/>
    </row>
    <row r="52" spans="1:17">
      <c r="A52" s="794">
        <v>14</v>
      </c>
      <c r="B52" s="787" t="s">
        <v>130</v>
      </c>
      <c r="C52" s="4" t="s">
        <v>11990</v>
      </c>
      <c r="D52" s="790">
        <v>2016</v>
      </c>
      <c r="E52" s="790">
        <v>1965</v>
      </c>
      <c r="F52" s="790">
        <v>1969</v>
      </c>
      <c r="G52" s="790">
        <v>1908</v>
      </c>
      <c r="H52" s="48">
        <v>1857</v>
      </c>
      <c r="I52" s="48">
        <v>1868</v>
      </c>
      <c r="J52" s="48">
        <v>1791</v>
      </c>
      <c r="K52" s="48">
        <v>1864</v>
      </c>
      <c r="L52" s="48">
        <v>1866</v>
      </c>
      <c r="N52" s="787" t="s">
        <v>110</v>
      </c>
      <c r="O52" s="4"/>
      <c r="Q52" s="4"/>
    </row>
    <row r="53" spans="1:17">
      <c r="A53" s="794">
        <v>15</v>
      </c>
      <c r="B53" s="787" t="s">
        <v>131</v>
      </c>
      <c r="C53" s="4" t="s">
        <v>11991</v>
      </c>
      <c r="D53" s="790">
        <v>3732</v>
      </c>
      <c r="E53" s="790">
        <v>3790</v>
      </c>
      <c r="F53" s="790">
        <v>3782</v>
      </c>
      <c r="G53" s="790">
        <v>3802</v>
      </c>
      <c r="H53" s="48">
        <v>3737</v>
      </c>
      <c r="I53" s="48">
        <v>3720</v>
      </c>
      <c r="J53" s="48">
        <v>3453</v>
      </c>
      <c r="K53" s="48">
        <v>3609</v>
      </c>
      <c r="L53" s="48">
        <v>3654</v>
      </c>
      <c r="N53" s="787" t="s">
        <v>110</v>
      </c>
      <c r="O53" s="4"/>
      <c r="Q53" s="4"/>
    </row>
    <row r="54" spans="1:17">
      <c r="A54" s="794">
        <v>16</v>
      </c>
      <c r="B54" s="787" t="s">
        <v>132</v>
      </c>
      <c r="C54" s="4" t="s">
        <v>11992</v>
      </c>
      <c r="D54" s="790">
        <v>1771</v>
      </c>
      <c r="E54" s="790">
        <v>1880</v>
      </c>
      <c r="F54" s="790">
        <v>1939</v>
      </c>
      <c r="G54" s="790">
        <v>1951</v>
      </c>
      <c r="H54" s="48">
        <v>1962</v>
      </c>
      <c r="I54" s="48">
        <v>1956</v>
      </c>
      <c r="J54" s="48">
        <v>1734</v>
      </c>
      <c r="K54" s="48">
        <v>1883</v>
      </c>
      <c r="L54" s="48">
        <v>1888</v>
      </c>
      <c r="N54" s="787" t="s">
        <v>114</v>
      </c>
      <c r="O54" s="4"/>
      <c r="Q54" s="4"/>
    </row>
    <row r="55" spans="1:17">
      <c r="A55" s="794">
        <v>17</v>
      </c>
      <c r="B55" s="787" t="s">
        <v>133</v>
      </c>
      <c r="C55" s="4" t="s">
        <v>11993</v>
      </c>
      <c r="D55" s="790">
        <v>1735</v>
      </c>
      <c r="E55" s="790">
        <v>1751</v>
      </c>
      <c r="F55" s="790">
        <v>1728</v>
      </c>
      <c r="G55" s="790">
        <v>1723</v>
      </c>
      <c r="H55" s="48">
        <v>1686</v>
      </c>
      <c r="I55" s="48">
        <v>1696</v>
      </c>
      <c r="J55" s="48">
        <v>1546</v>
      </c>
      <c r="K55" s="48">
        <v>1653</v>
      </c>
      <c r="L55" s="48">
        <v>1688</v>
      </c>
      <c r="N55" s="787" t="s">
        <v>114</v>
      </c>
      <c r="O55" s="4"/>
      <c r="Q55" s="4"/>
    </row>
    <row r="56" spans="1:17">
      <c r="A56" s="794">
        <v>18</v>
      </c>
      <c r="B56" s="787" t="s">
        <v>134</v>
      </c>
      <c r="C56" s="4" t="s">
        <v>11994</v>
      </c>
      <c r="D56" s="790">
        <v>1499</v>
      </c>
      <c r="E56" s="790">
        <v>1586</v>
      </c>
      <c r="F56" s="790">
        <v>1637</v>
      </c>
      <c r="G56" s="790">
        <v>1678</v>
      </c>
      <c r="H56" s="48">
        <v>1722</v>
      </c>
      <c r="I56" s="48">
        <v>1762</v>
      </c>
      <c r="J56" s="48">
        <v>1697</v>
      </c>
      <c r="K56" s="48">
        <v>1826</v>
      </c>
      <c r="L56" s="48">
        <v>1861</v>
      </c>
      <c r="N56" s="787" t="s">
        <v>114</v>
      </c>
      <c r="O56" s="4"/>
      <c r="Q56" s="4"/>
    </row>
    <row r="57" spans="1:17">
      <c r="A57" s="794">
        <v>19</v>
      </c>
      <c r="B57" s="787" t="s">
        <v>135</v>
      </c>
      <c r="C57" s="4" t="s">
        <v>11995</v>
      </c>
      <c r="D57" s="790">
        <v>1701</v>
      </c>
      <c r="E57" s="790">
        <v>1699</v>
      </c>
      <c r="F57" s="790">
        <v>1744</v>
      </c>
      <c r="G57" s="790">
        <v>1690</v>
      </c>
      <c r="H57" s="48">
        <v>1652</v>
      </c>
      <c r="I57" s="48">
        <v>1660</v>
      </c>
      <c r="J57" s="48">
        <v>1586</v>
      </c>
      <c r="K57" s="48">
        <v>1607</v>
      </c>
      <c r="L57" s="48">
        <v>1629</v>
      </c>
      <c r="N57" s="787" t="s">
        <v>114</v>
      </c>
      <c r="O57" s="4"/>
      <c r="Q57" s="4"/>
    </row>
    <row r="58" spans="1:17">
      <c r="A58" s="794">
        <v>20</v>
      </c>
      <c r="B58" s="787" t="s">
        <v>5354</v>
      </c>
      <c r="C58" s="4" t="s">
        <v>11996</v>
      </c>
      <c r="D58" s="790">
        <v>2013</v>
      </c>
      <c r="E58" s="790">
        <v>2012</v>
      </c>
      <c r="F58" s="790">
        <v>2012</v>
      </c>
      <c r="G58" s="790">
        <v>2025</v>
      </c>
      <c r="H58" s="48">
        <v>2034</v>
      </c>
      <c r="I58" s="48">
        <v>2061</v>
      </c>
      <c r="J58" s="48">
        <v>1968</v>
      </c>
      <c r="K58" s="48">
        <v>2051</v>
      </c>
      <c r="L58" s="48">
        <v>2073</v>
      </c>
      <c r="N58" s="787" t="s">
        <v>114</v>
      </c>
      <c r="O58" s="4"/>
      <c r="Q58" s="4"/>
    </row>
    <row r="59" spans="1:17">
      <c r="A59" s="794">
        <v>21</v>
      </c>
      <c r="B59" s="787" t="s">
        <v>136</v>
      </c>
      <c r="C59" s="4" t="s">
        <v>11997</v>
      </c>
      <c r="D59" s="790">
        <v>1677</v>
      </c>
      <c r="E59" s="790">
        <v>1708</v>
      </c>
      <c r="F59" s="790">
        <v>1717</v>
      </c>
      <c r="G59" s="790">
        <v>1683</v>
      </c>
      <c r="H59" s="48">
        <v>1691</v>
      </c>
      <c r="I59" s="48">
        <v>1722</v>
      </c>
      <c r="J59" s="48">
        <v>1637</v>
      </c>
      <c r="K59" s="48">
        <v>1710</v>
      </c>
      <c r="L59" s="48">
        <v>1724</v>
      </c>
      <c r="N59" s="787" t="s">
        <v>110</v>
      </c>
      <c r="O59" s="4"/>
      <c r="Q59" s="4"/>
    </row>
    <row r="60" spans="1:17">
      <c r="A60" s="794">
        <v>22</v>
      </c>
      <c r="B60" s="787" t="s">
        <v>137</v>
      </c>
      <c r="C60" s="4" t="s">
        <v>11998</v>
      </c>
      <c r="D60" s="790">
        <v>1752</v>
      </c>
      <c r="E60" s="790">
        <v>1779</v>
      </c>
      <c r="F60" s="790">
        <v>1759</v>
      </c>
      <c r="G60" s="790">
        <v>1751</v>
      </c>
      <c r="H60" s="48">
        <v>1801</v>
      </c>
      <c r="I60" s="48">
        <v>1840</v>
      </c>
      <c r="J60" s="48">
        <v>1787</v>
      </c>
      <c r="K60" s="48">
        <v>1877</v>
      </c>
      <c r="L60" s="48">
        <v>1922</v>
      </c>
      <c r="N60" s="787" t="s">
        <v>110</v>
      </c>
      <c r="O60" s="4"/>
      <c r="Q60" s="4"/>
    </row>
    <row r="61" spans="1:17">
      <c r="A61" s="794">
        <v>23</v>
      </c>
      <c r="B61" s="787" t="s">
        <v>138</v>
      </c>
      <c r="C61" s="4" t="s">
        <v>11999</v>
      </c>
      <c r="D61" s="790">
        <v>1774</v>
      </c>
      <c r="E61" s="790">
        <v>1754</v>
      </c>
      <c r="F61" s="790">
        <v>1764</v>
      </c>
      <c r="G61" s="790">
        <v>1765</v>
      </c>
      <c r="H61" s="48">
        <v>1754</v>
      </c>
      <c r="I61" s="48">
        <v>1768</v>
      </c>
      <c r="J61" s="48">
        <v>1723</v>
      </c>
      <c r="K61" s="48">
        <v>1754</v>
      </c>
      <c r="L61" s="48">
        <v>1778</v>
      </c>
      <c r="N61" s="787" t="s">
        <v>114</v>
      </c>
      <c r="O61" s="4"/>
      <c r="Q61" s="4"/>
    </row>
    <row r="62" spans="1:17">
      <c r="A62" s="794">
        <v>24</v>
      </c>
      <c r="B62" s="787" t="s">
        <v>140</v>
      </c>
      <c r="C62" s="4" t="s">
        <v>12000</v>
      </c>
      <c r="D62" s="790">
        <v>1910</v>
      </c>
      <c r="E62" s="790">
        <v>1923</v>
      </c>
      <c r="F62" s="790">
        <v>1944</v>
      </c>
      <c r="G62" s="790">
        <v>1988</v>
      </c>
      <c r="H62" s="48">
        <v>1972</v>
      </c>
      <c r="I62" s="48">
        <v>1967</v>
      </c>
      <c r="J62" s="48">
        <v>1842</v>
      </c>
      <c r="K62" s="48">
        <v>1919</v>
      </c>
      <c r="L62" s="48">
        <v>2019</v>
      </c>
      <c r="N62" s="787" t="s">
        <v>114</v>
      </c>
      <c r="O62" s="4"/>
      <c r="Q62" s="4"/>
    </row>
    <row r="63" spans="1:17">
      <c r="A63" s="794">
        <v>25</v>
      </c>
      <c r="B63" s="787" t="s">
        <v>141</v>
      </c>
      <c r="C63" s="4" t="s">
        <v>12001</v>
      </c>
      <c r="D63" s="790">
        <v>3551</v>
      </c>
      <c r="E63" s="790">
        <v>3608</v>
      </c>
      <c r="F63" s="790">
        <v>3697</v>
      </c>
      <c r="G63" s="790">
        <v>3762</v>
      </c>
      <c r="H63" s="48">
        <v>3467</v>
      </c>
      <c r="I63" s="48">
        <v>3477</v>
      </c>
      <c r="J63" s="48">
        <v>3331</v>
      </c>
      <c r="K63" s="48">
        <v>3605</v>
      </c>
      <c r="L63" s="48">
        <v>3647</v>
      </c>
      <c r="N63" s="787" t="s">
        <v>114</v>
      </c>
      <c r="O63" s="4"/>
      <c r="Q63" s="4"/>
    </row>
    <row r="64" spans="1:17">
      <c r="A64" s="794">
        <v>26</v>
      </c>
      <c r="B64" s="787" t="s">
        <v>3585</v>
      </c>
      <c r="C64" s="4" t="s">
        <v>12002</v>
      </c>
      <c r="D64" s="790">
        <v>3699</v>
      </c>
      <c r="E64" s="790">
        <v>3730</v>
      </c>
      <c r="F64" s="790">
        <v>3767</v>
      </c>
      <c r="G64" s="790">
        <v>3832</v>
      </c>
      <c r="H64" s="48">
        <v>3710</v>
      </c>
      <c r="I64" s="48">
        <v>3710</v>
      </c>
      <c r="J64" s="48">
        <v>3521</v>
      </c>
      <c r="K64" s="48">
        <v>3677</v>
      </c>
      <c r="L64" s="48">
        <v>3695</v>
      </c>
      <c r="N64" s="787" t="s">
        <v>114</v>
      </c>
      <c r="O64" s="4"/>
      <c r="Q64" s="4"/>
    </row>
    <row r="65" spans="1:17">
      <c r="A65" s="794">
        <v>27</v>
      </c>
      <c r="B65" s="787" t="s">
        <v>3586</v>
      </c>
      <c r="C65" s="4" t="s">
        <v>12003</v>
      </c>
      <c r="D65" s="790">
        <v>2836</v>
      </c>
      <c r="E65" s="790">
        <v>2860</v>
      </c>
      <c r="F65" s="790">
        <v>2934</v>
      </c>
      <c r="G65" s="790">
        <v>2995</v>
      </c>
      <c r="H65" s="48">
        <v>2763</v>
      </c>
      <c r="I65" s="48">
        <v>2851</v>
      </c>
      <c r="J65" s="48">
        <v>2773</v>
      </c>
      <c r="K65" s="48">
        <v>3064</v>
      </c>
      <c r="L65" s="48">
        <v>3183</v>
      </c>
      <c r="N65" s="787" t="s">
        <v>114</v>
      </c>
      <c r="O65" s="4"/>
      <c r="Q65" s="4"/>
    </row>
    <row r="66" spans="1:17">
      <c r="A66" s="794">
        <v>28</v>
      </c>
      <c r="B66" s="787" t="s">
        <v>3587</v>
      </c>
      <c r="C66" s="4" t="s">
        <v>12004</v>
      </c>
      <c r="D66" s="790">
        <v>3788</v>
      </c>
      <c r="E66" s="790">
        <v>3864</v>
      </c>
      <c r="F66" s="790">
        <v>3828</v>
      </c>
      <c r="G66" s="790">
        <v>3832</v>
      </c>
      <c r="H66" s="48">
        <v>3671</v>
      </c>
      <c r="I66" s="48">
        <v>3684</v>
      </c>
      <c r="J66" s="48">
        <v>3530</v>
      </c>
      <c r="K66" s="48">
        <v>3690</v>
      </c>
      <c r="L66" s="48">
        <v>3735</v>
      </c>
      <c r="N66" s="787" t="s">
        <v>114</v>
      </c>
      <c r="O66" s="4"/>
      <c r="Q66" s="4"/>
    </row>
    <row r="67" spans="1:17">
      <c r="A67" s="794">
        <v>29</v>
      </c>
      <c r="B67" s="787" t="s">
        <v>3588</v>
      </c>
      <c r="C67" s="4" t="s">
        <v>12005</v>
      </c>
      <c r="D67" s="790">
        <v>1703</v>
      </c>
      <c r="E67" s="790">
        <v>1672</v>
      </c>
      <c r="F67" s="790">
        <v>1701</v>
      </c>
      <c r="G67" s="790">
        <v>1759</v>
      </c>
      <c r="H67" s="48">
        <v>1712</v>
      </c>
      <c r="I67" s="48">
        <v>1723</v>
      </c>
      <c r="J67" s="48">
        <v>1689</v>
      </c>
      <c r="K67" s="48">
        <v>1755</v>
      </c>
      <c r="L67" s="48">
        <v>1789</v>
      </c>
      <c r="N67" s="787" t="s">
        <v>114</v>
      </c>
      <c r="O67" s="4"/>
      <c r="Q67" s="4"/>
    </row>
    <row r="68" spans="1:17">
      <c r="A68" s="794">
        <v>30</v>
      </c>
      <c r="B68" s="787" t="s">
        <v>3589</v>
      </c>
      <c r="C68" s="4" t="s">
        <v>12006</v>
      </c>
      <c r="D68" s="790">
        <v>1914</v>
      </c>
      <c r="E68" s="790">
        <v>1975</v>
      </c>
      <c r="F68" s="790">
        <v>1957</v>
      </c>
      <c r="G68" s="790">
        <v>1987</v>
      </c>
      <c r="H68" s="48">
        <v>1977</v>
      </c>
      <c r="I68" s="48">
        <v>2018</v>
      </c>
      <c r="J68" s="48">
        <v>1817</v>
      </c>
      <c r="K68" s="48">
        <v>1939</v>
      </c>
      <c r="L68" s="48">
        <v>1936</v>
      </c>
      <c r="N68" s="787" t="s">
        <v>110</v>
      </c>
      <c r="O68" s="4"/>
      <c r="Q68" s="4"/>
    </row>
    <row r="69" spans="1:17">
      <c r="A69" s="794">
        <v>31</v>
      </c>
      <c r="B69" s="787" t="s">
        <v>3590</v>
      </c>
      <c r="C69" s="4" t="s">
        <v>12007</v>
      </c>
      <c r="D69" s="790">
        <v>1564</v>
      </c>
      <c r="E69" s="790">
        <v>1555</v>
      </c>
      <c r="F69" s="790">
        <v>1545</v>
      </c>
      <c r="G69" s="790">
        <v>1557</v>
      </c>
      <c r="H69" s="48">
        <v>1552</v>
      </c>
      <c r="I69" s="48">
        <v>1562</v>
      </c>
      <c r="J69" s="48">
        <v>1500</v>
      </c>
      <c r="K69" s="48">
        <v>1660</v>
      </c>
      <c r="L69" s="48">
        <v>1697</v>
      </c>
      <c r="N69" s="787" t="s">
        <v>114</v>
      </c>
      <c r="O69" s="4"/>
      <c r="Q69" s="4"/>
    </row>
    <row r="70" spans="1:17">
      <c r="A70" s="794">
        <v>32</v>
      </c>
      <c r="B70" s="787" t="s">
        <v>3591</v>
      </c>
      <c r="C70" s="4" t="s">
        <v>12008</v>
      </c>
      <c r="D70" s="790">
        <v>3334</v>
      </c>
      <c r="E70" s="790">
        <v>3362</v>
      </c>
      <c r="F70" s="790">
        <v>3351</v>
      </c>
      <c r="G70" s="790">
        <v>3355</v>
      </c>
      <c r="H70" s="48">
        <v>3305</v>
      </c>
      <c r="I70" s="48">
        <v>3304</v>
      </c>
      <c r="J70" s="48">
        <v>3180</v>
      </c>
      <c r="K70" s="48">
        <v>3335</v>
      </c>
      <c r="L70" s="48">
        <v>3403</v>
      </c>
      <c r="N70" s="787" t="s">
        <v>114</v>
      </c>
      <c r="O70" s="4"/>
      <c r="Q70" s="4"/>
    </row>
    <row r="71" spans="1:17">
      <c r="A71" s="794">
        <v>33</v>
      </c>
      <c r="B71" s="787" t="s">
        <v>3592</v>
      </c>
      <c r="C71" s="4" t="s">
        <v>12009</v>
      </c>
      <c r="D71" s="790">
        <v>3429</v>
      </c>
      <c r="E71" s="790">
        <v>3452</v>
      </c>
      <c r="F71" s="790">
        <v>3464</v>
      </c>
      <c r="G71" s="790">
        <v>3474</v>
      </c>
      <c r="H71" s="48">
        <v>3355</v>
      </c>
      <c r="I71" s="48">
        <v>3399</v>
      </c>
      <c r="J71" s="48">
        <v>3198</v>
      </c>
      <c r="K71" s="48">
        <v>3361</v>
      </c>
      <c r="L71" s="48">
        <v>3420</v>
      </c>
      <c r="N71" s="787" t="s">
        <v>114</v>
      </c>
      <c r="O71" s="4"/>
      <c r="Q71" s="4"/>
    </row>
    <row r="72" spans="1:17">
      <c r="A72" s="794">
        <v>34</v>
      </c>
      <c r="B72" s="787" t="s">
        <v>3593</v>
      </c>
      <c r="C72" s="4" t="s">
        <v>12010</v>
      </c>
      <c r="D72" s="790">
        <v>1959</v>
      </c>
      <c r="E72" s="790">
        <v>1964</v>
      </c>
      <c r="F72" s="790">
        <v>1992</v>
      </c>
      <c r="G72" s="790">
        <v>2013</v>
      </c>
      <c r="H72" s="48">
        <v>2008</v>
      </c>
      <c r="I72" s="48">
        <v>2002</v>
      </c>
      <c r="J72" s="48">
        <v>1858</v>
      </c>
      <c r="K72" s="48">
        <v>2007</v>
      </c>
      <c r="L72" s="48">
        <v>2065</v>
      </c>
      <c r="N72" s="787" t="s">
        <v>114</v>
      </c>
      <c r="O72" s="4"/>
      <c r="Q72" s="4"/>
    </row>
    <row r="73" spans="1:17">
      <c r="D73" s="790"/>
      <c r="E73" s="790"/>
      <c r="F73" s="790"/>
      <c r="G73" s="790"/>
      <c r="H73" s="790"/>
      <c r="I73" s="790"/>
      <c r="J73" s="790"/>
      <c r="K73" s="790"/>
      <c r="L73" s="790"/>
      <c r="N73" s="787"/>
    </row>
    <row r="74" spans="1:17">
      <c r="A74" s="787" t="s">
        <v>3594</v>
      </c>
      <c r="D74" s="789">
        <f t="shared" ref="D74:I74" si="67">D39+D41+D42+SUM(D44:D46)+SUM(D48:D53)+D59+D60+D68</f>
        <v>38103</v>
      </c>
      <c r="E74" s="789">
        <f t="shared" si="67"/>
        <v>38334</v>
      </c>
      <c r="F74" s="789">
        <f t="shared" si="67"/>
        <v>38424</v>
      </c>
      <c r="G74" s="789">
        <f t="shared" si="67"/>
        <v>38633</v>
      </c>
      <c r="H74" s="789">
        <f t="shared" si="67"/>
        <v>38187</v>
      </c>
      <c r="I74" s="789">
        <f t="shared" si="67"/>
        <v>38372</v>
      </c>
      <c r="J74" s="789">
        <f t="shared" ref="J74:K74" si="68">J39+J41+J42+SUM(J44:J46)+SUM(J48:J53)+J59+J60+J68</f>
        <v>36210</v>
      </c>
      <c r="K74" s="789">
        <f t="shared" si="68"/>
        <v>38040</v>
      </c>
      <c r="L74" s="789">
        <f t="shared" ref="L74" si="69">L39+L41+L42+SUM(L44:L46)+SUM(L48:L53)+L59+L60+L68</f>
        <v>38448</v>
      </c>
      <c r="N74" s="787"/>
    </row>
    <row r="75" spans="1:17">
      <c r="A75" s="787" t="s">
        <v>3595</v>
      </c>
      <c r="D75" s="789">
        <f t="shared" ref="D75:I75" si="70">D40+D43+D47+SUM(D54:D58)+SUM(D61:D67)+SUM(D69:D72)</f>
        <v>45499</v>
      </c>
      <c r="E75" s="789">
        <f t="shared" si="70"/>
        <v>46037</v>
      </c>
      <c r="F75" s="789">
        <f t="shared" si="70"/>
        <v>46455</v>
      </c>
      <c r="G75" s="789">
        <f t="shared" si="70"/>
        <v>46800</v>
      </c>
      <c r="H75" s="789">
        <f t="shared" si="70"/>
        <v>45590</v>
      </c>
      <c r="I75" s="789">
        <f t="shared" si="70"/>
        <v>45958</v>
      </c>
      <c r="J75" s="789">
        <f t="shared" ref="J75:K75" si="71">J40+J43+J47+SUM(J54:J58)+SUM(J61:J67)+SUM(J69:J72)</f>
        <v>43559</v>
      </c>
      <c r="K75" s="789">
        <f t="shared" si="71"/>
        <v>46170</v>
      </c>
      <c r="L75" s="789">
        <f t="shared" ref="L75" si="72">L40+L43+L47+SUM(L54:L58)+SUM(L61:L67)+SUM(L69:L72)</f>
        <v>46944</v>
      </c>
    </row>
    <row r="76" spans="1:17">
      <c r="A76" s="787"/>
      <c r="B76" s="787"/>
    </row>
    <row r="77" spans="1:17">
      <c r="A77" s="787" t="s">
        <v>3596</v>
      </c>
      <c r="B77" s="787"/>
    </row>
    <row r="78" spans="1:17">
      <c r="A78" s="787"/>
      <c r="B78" s="787"/>
      <c r="D78" s="795"/>
      <c r="E78" s="795"/>
      <c r="F78" s="795"/>
      <c r="G78" s="795"/>
      <c r="H78" s="795"/>
      <c r="I78" s="795"/>
      <c r="J78" s="795"/>
      <c r="K78" s="795"/>
      <c r="L78" s="795"/>
    </row>
    <row r="79" spans="1:17">
      <c r="A79" s="787"/>
      <c r="B79" s="787"/>
      <c r="D79" s="795"/>
      <c r="E79" s="795"/>
      <c r="F79" s="795"/>
      <c r="G79" s="795"/>
      <c r="H79" s="795"/>
      <c r="I79" s="795"/>
      <c r="J79" s="795"/>
      <c r="K79" s="795"/>
      <c r="L79" s="795"/>
    </row>
    <row r="80" spans="1:17">
      <c r="E80" s="42" t="s">
        <v>2303</v>
      </c>
      <c r="F80" s="42"/>
      <c r="G80" s="42"/>
      <c r="H80" s="42"/>
      <c r="I80" s="42"/>
      <c r="J80" s="42"/>
      <c r="K80" s="42"/>
      <c r="L80" s="42"/>
      <c r="N80" s="109" t="s">
        <v>13319</v>
      </c>
    </row>
    <row r="81" spans="1:17">
      <c r="D81" s="110">
        <v>2010</v>
      </c>
      <c r="E81" s="110">
        <v>2011</v>
      </c>
      <c r="F81" s="110">
        <v>2012</v>
      </c>
      <c r="G81" s="110">
        <v>2013</v>
      </c>
      <c r="H81" s="110">
        <v>2014</v>
      </c>
      <c r="I81" s="110">
        <v>2015</v>
      </c>
      <c r="J81" s="110">
        <v>2016</v>
      </c>
      <c r="K81" s="110">
        <v>2017</v>
      </c>
      <c r="L81" s="110">
        <v>2018</v>
      </c>
      <c r="M81" s="111"/>
      <c r="N81" s="112" t="s">
        <v>2304</v>
      </c>
    </row>
    <row r="82" spans="1:17">
      <c r="A82" s="787" t="s">
        <v>3597</v>
      </c>
      <c r="D82" s="789">
        <f t="shared" ref="D82:E82" si="73">SUM(D83:D98)+SUM(D100:D103)+SUM(D105:D109)</f>
        <v>87546</v>
      </c>
      <c r="E82" s="789">
        <f t="shared" si="73"/>
        <v>88464</v>
      </c>
      <c r="F82" s="789">
        <f t="shared" ref="F82:K82" si="74">SUM(F83:F98)+SUM(F100:F103)+SUM(F105:F109)</f>
        <v>88999</v>
      </c>
      <c r="G82" s="789">
        <f t="shared" si="74"/>
        <v>88734</v>
      </c>
      <c r="H82" s="789">
        <f t="shared" si="74"/>
        <v>87440</v>
      </c>
      <c r="I82" s="789">
        <f t="shared" si="74"/>
        <v>86792</v>
      </c>
      <c r="J82" s="789">
        <f t="shared" si="74"/>
        <v>86874</v>
      </c>
      <c r="K82" s="789">
        <f t="shared" si="74"/>
        <v>89769</v>
      </c>
      <c r="L82" s="789">
        <f t="shared" ref="L82" si="75">SUM(L83:L98)+SUM(L100:L103)+SUM(L105:L109)</f>
        <v>90122</v>
      </c>
      <c r="O82" s="4"/>
      <c r="Q82" s="4"/>
    </row>
    <row r="83" spans="1:17">
      <c r="A83" s="794">
        <v>1</v>
      </c>
      <c r="B83" s="787" t="s">
        <v>12862</v>
      </c>
      <c r="C83" s="4" t="s">
        <v>12863</v>
      </c>
      <c r="D83" s="790">
        <v>33617</v>
      </c>
      <c r="E83" s="790">
        <v>33952</v>
      </c>
      <c r="F83" s="790">
        <v>3384</v>
      </c>
      <c r="G83" s="790">
        <v>3333</v>
      </c>
      <c r="H83" s="48">
        <v>3270</v>
      </c>
      <c r="I83" s="48">
        <v>3213</v>
      </c>
      <c r="J83" s="48">
        <v>3248</v>
      </c>
      <c r="K83" s="48">
        <v>3363</v>
      </c>
      <c r="L83" s="48">
        <v>3329</v>
      </c>
      <c r="N83" s="787" t="s">
        <v>114</v>
      </c>
      <c r="O83" s="4"/>
      <c r="Q83" s="4"/>
    </row>
    <row r="84" spans="1:17">
      <c r="A84" s="794">
        <v>2</v>
      </c>
      <c r="B84" s="787" t="s">
        <v>3598</v>
      </c>
      <c r="C84" s="4" t="s">
        <v>12864</v>
      </c>
      <c r="D84" s="790">
        <v>0</v>
      </c>
      <c r="E84" s="790">
        <v>0</v>
      </c>
      <c r="F84" s="790">
        <v>1777</v>
      </c>
      <c r="G84" s="790">
        <v>1754</v>
      </c>
      <c r="H84" s="48">
        <v>1768</v>
      </c>
      <c r="I84" s="48">
        <v>1765</v>
      </c>
      <c r="J84" s="48">
        <v>1750</v>
      </c>
      <c r="K84" s="48">
        <v>1848</v>
      </c>
      <c r="L84" s="48">
        <v>1847</v>
      </c>
      <c r="N84" s="787" t="s">
        <v>114</v>
      </c>
      <c r="O84" s="4"/>
      <c r="Q84" s="4"/>
    </row>
    <row r="85" spans="1:17">
      <c r="A85" s="794">
        <v>3</v>
      </c>
      <c r="B85" s="787" t="s">
        <v>12865</v>
      </c>
      <c r="C85" s="4" t="s">
        <v>12866</v>
      </c>
      <c r="D85" s="790">
        <v>0</v>
      </c>
      <c r="E85" s="790">
        <v>0</v>
      </c>
      <c r="F85" s="790">
        <v>3615</v>
      </c>
      <c r="G85" s="790">
        <v>3603</v>
      </c>
      <c r="H85" s="48">
        <v>3494</v>
      </c>
      <c r="I85" s="48">
        <v>3431</v>
      </c>
      <c r="J85" s="48">
        <v>3401</v>
      </c>
      <c r="K85" s="48">
        <v>3452</v>
      </c>
      <c r="L85" s="48">
        <v>3434</v>
      </c>
      <c r="N85" s="787" t="s">
        <v>2796</v>
      </c>
      <c r="O85" s="4"/>
      <c r="Q85" s="4"/>
    </row>
    <row r="86" spans="1:17">
      <c r="A86" s="794">
        <v>4</v>
      </c>
      <c r="B86" s="787" t="s">
        <v>1679</v>
      </c>
      <c r="C86" s="4" t="s">
        <v>12867</v>
      </c>
      <c r="D86" s="790">
        <v>0</v>
      </c>
      <c r="E86" s="790">
        <v>0</v>
      </c>
      <c r="F86" s="790">
        <v>3162</v>
      </c>
      <c r="G86" s="790">
        <v>3082</v>
      </c>
      <c r="H86" s="48">
        <v>2978</v>
      </c>
      <c r="I86" s="48">
        <v>2930</v>
      </c>
      <c r="J86" s="48">
        <v>2885</v>
      </c>
      <c r="K86" s="48">
        <v>2942</v>
      </c>
      <c r="L86" s="48">
        <v>2926</v>
      </c>
      <c r="N86" s="787" t="s">
        <v>2796</v>
      </c>
      <c r="O86" s="4"/>
      <c r="Q86" s="4"/>
    </row>
    <row r="87" spans="1:17">
      <c r="A87" s="794">
        <v>5</v>
      </c>
      <c r="B87" s="787" t="s">
        <v>12868</v>
      </c>
      <c r="C87" s="4" t="s">
        <v>12869</v>
      </c>
      <c r="D87" s="790">
        <v>53929</v>
      </c>
      <c r="E87" s="790">
        <v>54512</v>
      </c>
      <c r="F87" s="790">
        <v>5452</v>
      </c>
      <c r="G87" s="790">
        <v>5269</v>
      </c>
      <c r="H87" s="48">
        <v>5088</v>
      </c>
      <c r="I87" s="48">
        <v>5042</v>
      </c>
      <c r="J87" s="48">
        <v>4973</v>
      </c>
      <c r="K87" s="48">
        <v>5085</v>
      </c>
      <c r="L87" s="48">
        <v>5068</v>
      </c>
      <c r="N87" s="787" t="s">
        <v>2796</v>
      </c>
      <c r="O87" s="4"/>
      <c r="Q87" s="4"/>
    </row>
    <row r="88" spans="1:17">
      <c r="A88" s="794">
        <v>6</v>
      </c>
      <c r="B88" s="787" t="s">
        <v>1680</v>
      </c>
      <c r="C88" s="4" t="s">
        <v>12870</v>
      </c>
      <c r="D88" s="790">
        <v>0</v>
      </c>
      <c r="E88" s="790">
        <v>0</v>
      </c>
      <c r="F88" s="790">
        <v>3967</v>
      </c>
      <c r="G88" s="790">
        <v>3871</v>
      </c>
      <c r="H88" s="48">
        <v>3788</v>
      </c>
      <c r="I88" s="48">
        <v>3699</v>
      </c>
      <c r="J88" s="48">
        <v>3566</v>
      </c>
      <c r="K88" s="48">
        <v>3671</v>
      </c>
      <c r="L88" s="48">
        <v>3627</v>
      </c>
      <c r="N88" s="787" t="s">
        <v>2796</v>
      </c>
      <c r="O88" s="4"/>
      <c r="Q88" s="4"/>
    </row>
    <row r="89" spans="1:17">
      <c r="A89" s="794">
        <v>7</v>
      </c>
      <c r="B89" s="787" t="s">
        <v>1681</v>
      </c>
      <c r="C89" s="4" t="s">
        <v>12871</v>
      </c>
      <c r="D89" s="790">
        <v>0</v>
      </c>
      <c r="E89" s="790">
        <v>0</v>
      </c>
      <c r="F89" s="790">
        <v>4119</v>
      </c>
      <c r="G89" s="790">
        <v>4054</v>
      </c>
      <c r="H89" s="48">
        <v>3912</v>
      </c>
      <c r="I89" s="48">
        <v>3795</v>
      </c>
      <c r="J89" s="48">
        <v>3785</v>
      </c>
      <c r="K89" s="48">
        <v>3834</v>
      </c>
      <c r="L89" s="48">
        <v>3789</v>
      </c>
      <c r="N89" s="787" t="s">
        <v>2796</v>
      </c>
      <c r="O89" s="4"/>
      <c r="Q89" s="4"/>
    </row>
    <row r="90" spans="1:17">
      <c r="A90" s="794">
        <v>8</v>
      </c>
      <c r="B90" s="787" t="s">
        <v>12872</v>
      </c>
      <c r="C90" s="4" t="s">
        <v>12873</v>
      </c>
      <c r="D90" s="790">
        <v>0</v>
      </c>
      <c r="E90" s="790">
        <v>0</v>
      </c>
      <c r="F90" s="790">
        <v>4131</v>
      </c>
      <c r="G90" s="790">
        <v>4067</v>
      </c>
      <c r="H90" s="48">
        <v>3889</v>
      </c>
      <c r="I90" s="48">
        <v>3757</v>
      </c>
      <c r="J90" s="48">
        <v>3663</v>
      </c>
      <c r="K90" s="48">
        <v>3742</v>
      </c>
      <c r="L90" s="48">
        <v>3744</v>
      </c>
      <c r="N90" s="787" t="s">
        <v>2796</v>
      </c>
      <c r="O90" s="4"/>
      <c r="Q90" s="4"/>
    </row>
    <row r="91" spans="1:17">
      <c r="A91" s="794">
        <v>9</v>
      </c>
      <c r="B91" s="787" t="s">
        <v>12874</v>
      </c>
      <c r="C91" s="4" t="s">
        <v>12875</v>
      </c>
      <c r="D91" s="790">
        <v>0</v>
      </c>
      <c r="E91" s="790">
        <v>0</v>
      </c>
      <c r="F91" s="790">
        <v>3426</v>
      </c>
      <c r="G91" s="790">
        <v>3466</v>
      </c>
      <c r="H91" s="48">
        <v>3613</v>
      </c>
      <c r="I91" s="48">
        <v>3607</v>
      </c>
      <c r="J91" s="48">
        <v>3602</v>
      </c>
      <c r="K91" s="48">
        <v>3698</v>
      </c>
      <c r="L91" s="48">
        <v>3727</v>
      </c>
      <c r="N91" s="787" t="s">
        <v>2796</v>
      </c>
      <c r="O91" s="4"/>
      <c r="Q91" s="4"/>
    </row>
    <row r="92" spans="1:17">
      <c r="A92" s="794">
        <v>10</v>
      </c>
      <c r="B92" s="788" t="s">
        <v>12876</v>
      </c>
      <c r="C92" s="4" t="s">
        <v>12877</v>
      </c>
      <c r="D92" s="790">
        <v>0</v>
      </c>
      <c r="E92" s="790">
        <v>0</v>
      </c>
      <c r="F92" s="790">
        <v>5509</v>
      </c>
      <c r="G92" s="790">
        <v>5453</v>
      </c>
      <c r="H92" s="48">
        <v>5379</v>
      </c>
      <c r="I92" s="48">
        <v>5359</v>
      </c>
      <c r="J92" s="48">
        <v>5351</v>
      </c>
      <c r="K92" s="48">
        <v>5449</v>
      </c>
      <c r="L92" s="48">
        <v>5431</v>
      </c>
      <c r="N92" s="787" t="s">
        <v>114</v>
      </c>
      <c r="O92" s="4"/>
      <c r="Q92" s="4"/>
    </row>
    <row r="93" spans="1:17">
      <c r="A93" s="794">
        <v>11</v>
      </c>
      <c r="B93" s="788" t="s">
        <v>1682</v>
      </c>
      <c r="C93" s="4" t="s">
        <v>12878</v>
      </c>
      <c r="D93" s="790">
        <v>0</v>
      </c>
      <c r="E93" s="790">
        <v>0</v>
      </c>
      <c r="F93" s="790">
        <v>5336</v>
      </c>
      <c r="G93" s="790">
        <v>5229</v>
      </c>
      <c r="H93" s="48">
        <v>5096</v>
      </c>
      <c r="I93" s="48">
        <v>5043</v>
      </c>
      <c r="J93" s="48">
        <v>5030</v>
      </c>
      <c r="K93" s="48">
        <v>5203</v>
      </c>
      <c r="L93" s="48">
        <v>5208</v>
      </c>
      <c r="N93" s="787" t="s">
        <v>114</v>
      </c>
      <c r="O93" s="4"/>
      <c r="Q93" s="4"/>
    </row>
    <row r="94" spans="1:17">
      <c r="A94" s="794">
        <v>12</v>
      </c>
      <c r="B94" s="787" t="s">
        <v>12879</v>
      </c>
      <c r="C94" s="4" t="s">
        <v>12880</v>
      </c>
      <c r="D94" s="790">
        <v>0</v>
      </c>
      <c r="E94" s="790">
        <v>0</v>
      </c>
      <c r="F94" s="790">
        <v>3665</v>
      </c>
      <c r="G94" s="790">
        <v>3666</v>
      </c>
      <c r="H94" s="48">
        <v>3567</v>
      </c>
      <c r="I94" s="48">
        <v>3547</v>
      </c>
      <c r="J94" s="48">
        <v>3529</v>
      </c>
      <c r="K94" s="48">
        <v>3677</v>
      </c>
      <c r="L94" s="48">
        <v>3740</v>
      </c>
      <c r="N94" s="787" t="s">
        <v>2796</v>
      </c>
      <c r="O94" s="4"/>
      <c r="Q94" s="4"/>
    </row>
    <row r="95" spans="1:17">
      <c r="A95" s="794">
        <v>13</v>
      </c>
      <c r="B95" s="787" t="s">
        <v>1683</v>
      </c>
      <c r="C95" s="4" t="s">
        <v>12881</v>
      </c>
      <c r="D95" s="790">
        <v>0</v>
      </c>
      <c r="E95" s="790">
        <v>0</v>
      </c>
      <c r="F95" s="790">
        <v>5556</v>
      </c>
      <c r="G95" s="790">
        <v>5688</v>
      </c>
      <c r="H95" s="48">
        <v>5718</v>
      </c>
      <c r="I95" s="48">
        <v>5615</v>
      </c>
      <c r="J95" s="48">
        <v>5521</v>
      </c>
      <c r="K95" s="48">
        <v>5661</v>
      </c>
      <c r="L95" s="48">
        <v>5694</v>
      </c>
      <c r="N95" s="787" t="s">
        <v>114</v>
      </c>
      <c r="O95" s="4"/>
      <c r="Q95" s="4"/>
    </row>
    <row r="96" spans="1:17">
      <c r="A96" s="794">
        <v>14</v>
      </c>
      <c r="B96" s="787" t="s">
        <v>12882</v>
      </c>
      <c r="C96" s="4" t="s">
        <v>12883</v>
      </c>
      <c r="D96" s="790">
        <v>0</v>
      </c>
      <c r="E96" s="790">
        <v>0</v>
      </c>
      <c r="F96" s="790">
        <v>1708</v>
      </c>
      <c r="G96" s="790">
        <v>1716</v>
      </c>
      <c r="H96" s="48">
        <v>1678</v>
      </c>
      <c r="I96" s="48">
        <v>1648</v>
      </c>
      <c r="J96" s="48">
        <v>1634</v>
      </c>
      <c r="K96" s="48">
        <v>1690</v>
      </c>
      <c r="L96" s="48">
        <v>1679</v>
      </c>
      <c r="N96" s="787" t="s">
        <v>2796</v>
      </c>
      <c r="O96" s="4"/>
      <c r="Q96" s="4"/>
    </row>
    <row r="97" spans="1:17">
      <c r="A97" s="794">
        <v>15</v>
      </c>
      <c r="B97" s="787" t="s">
        <v>12884</v>
      </c>
      <c r="C97" s="4" t="s">
        <v>12885</v>
      </c>
      <c r="D97" s="790">
        <v>0</v>
      </c>
      <c r="E97" s="790">
        <v>0</v>
      </c>
      <c r="F97" s="790">
        <v>174</v>
      </c>
      <c r="G97" s="790">
        <v>175</v>
      </c>
      <c r="H97" s="48">
        <v>167</v>
      </c>
      <c r="I97" s="48">
        <v>170</v>
      </c>
      <c r="J97" s="48">
        <v>172</v>
      </c>
      <c r="K97" s="48">
        <v>174</v>
      </c>
      <c r="L97" s="48">
        <v>190</v>
      </c>
      <c r="N97" s="787" t="s">
        <v>2796</v>
      </c>
      <c r="O97" s="4"/>
      <c r="Q97" s="4"/>
    </row>
    <row r="98" spans="1:17" ht="15.75" thickBot="1">
      <c r="A98" s="794"/>
      <c r="B98" s="787"/>
      <c r="C98" s="4" t="s">
        <v>12885</v>
      </c>
      <c r="D98" s="796">
        <v>0</v>
      </c>
      <c r="E98" s="796">
        <v>0</v>
      </c>
      <c r="F98" s="796">
        <v>5662</v>
      </c>
      <c r="G98" s="797">
        <v>5580</v>
      </c>
      <c r="H98" s="48">
        <v>5616</v>
      </c>
      <c r="I98" s="48">
        <v>5522</v>
      </c>
      <c r="J98" s="48">
        <v>5645</v>
      </c>
      <c r="K98" s="48">
        <v>5938</v>
      </c>
      <c r="L98" s="48">
        <v>6020</v>
      </c>
      <c r="N98" s="787" t="s">
        <v>114</v>
      </c>
      <c r="O98" s="4"/>
      <c r="Q98" s="4"/>
    </row>
    <row r="99" spans="1:17" ht="15.75" thickBot="1">
      <c r="A99" s="794"/>
      <c r="B99" s="787"/>
      <c r="C99" s="4" t="s">
        <v>12885</v>
      </c>
      <c r="D99" s="798">
        <f>D97+D98</f>
        <v>0</v>
      </c>
      <c r="E99" s="798">
        <f t="shared" ref="E99:L99" si="76">E97+E98</f>
        <v>0</v>
      </c>
      <c r="F99" s="798">
        <f t="shared" si="76"/>
        <v>5836</v>
      </c>
      <c r="G99" s="798">
        <f t="shared" si="76"/>
        <v>5755</v>
      </c>
      <c r="H99" s="798">
        <f t="shared" si="76"/>
        <v>5783</v>
      </c>
      <c r="I99" s="798">
        <f t="shared" si="76"/>
        <v>5692</v>
      </c>
      <c r="J99" s="798">
        <f t="shared" si="76"/>
        <v>5817</v>
      </c>
      <c r="K99" s="798">
        <f t="shared" si="76"/>
        <v>6112</v>
      </c>
      <c r="L99" s="798">
        <f t="shared" si="76"/>
        <v>6210</v>
      </c>
      <c r="N99" s="787"/>
      <c r="O99" s="4"/>
      <c r="Q99" s="4"/>
    </row>
    <row r="100" spans="1:17">
      <c r="A100" s="794">
        <v>16</v>
      </c>
      <c r="B100" s="787" t="s">
        <v>2570</v>
      </c>
      <c r="C100" s="4" t="s">
        <v>12886</v>
      </c>
      <c r="D100" s="790">
        <v>0</v>
      </c>
      <c r="E100" s="790">
        <v>0</v>
      </c>
      <c r="F100" s="790">
        <v>1850</v>
      </c>
      <c r="G100" s="790">
        <v>1825</v>
      </c>
      <c r="H100" s="48">
        <v>1760</v>
      </c>
      <c r="I100" s="48">
        <v>1773</v>
      </c>
      <c r="J100" s="48">
        <v>1760</v>
      </c>
      <c r="K100" s="48">
        <v>1850</v>
      </c>
      <c r="L100" s="48">
        <v>1867</v>
      </c>
      <c r="N100" s="787" t="s">
        <v>2796</v>
      </c>
      <c r="O100" s="4"/>
      <c r="Q100" s="4"/>
    </row>
    <row r="101" spans="1:17">
      <c r="A101" s="794">
        <v>17</v>
      </c>
      <c r="B101" s="787" t="s">
        <v>2571</v>
      </c>
      <c r="C101" s="4" t="s">
        <v>12887</v>
      </c>
      <c r="D101" s="790">
        <v>0</v>
      </c>
      <c r="E101" s="790">
        <v>0</v>
      </c>
      <c r="F101" s="790">
        <v>3598</v>
      </c>
      <c r="G101" s="790">
        <v>3747</v>
      </c>
      <c r="H101" s="48">
        <v>3775</v>
      </c>
      <c r="I101" s="48">
        <v>3860</v>
      </c>
      <c r="J101" s="48">
        <v>4022</v>
      </c>
      <c r="K101" s="48">
        <v>4338</v>
      </c>
      <c r="L101" s="48">
        <v>4460</v>
      </c>
      <c r="N101" s="787" t="s">
        <v>2796</v>
      </c>
      <c r="O101" s="4"/>
      <c r="Q101" s="4"/>
    </row>
    <row r="102" spans="1:17">
      <c r="A102" s="794">
        <v>18</v>
      </c>
      <c r="B102" s="787" t="s">
        <v>2572</v>
      </c>
      <c r="C102" s="4" t="s">
        <v>12888</v>
      </c>
      <c r="D102" s="790">
        <v>0</v>
      </c>
      <c r="E102" s="790">
        <v>0</v>
      </c>
      <c r="F102" s="790">
        <v>910</v>
      </c>
      <c r="G102" s="790">
        <v>957</v>
      </c>
      <c r="H102" s="48">
        <v>903</v>
      </c>
      <c r="I102" s="48">
        <v>900</v>
      </c>
      <c r="J102" s="48">
        <v>903</v>
      </c>
      <c r="K102" s="48">
        <v>966</v>
      </c>
      <c r="L102" s="48">
        <v>961</v>
      </c>
      <c r="N102" s="787" t="s">
        <v>2796</v>
      </c>
      <c r="O102" s="4"/>
      <c r="Q102" s="4"/>
    </row>
    <row r="103" spans="1:17" ht="15.75" thickBot="1">
      <c r="A103" s="794"/>
      <c r="B103" s="787"/>
      <c r="C103" s="4" t="s">
        <v>12888</v>
      </c>
      <c r="D103" s="796">
        <v>0</v>
      </c>
      <c r="E103" s="796">
        <v>0</v>
      </c>
      <c r="F103" s="796">
        <v>3053</v>
      </c>
      <c r="G103" s="797">
        <v>3088</v>
      </c>
      <c r="H103" s="48">
        <v>3013</v>
      </c>
      <c r="I103" s="48">
        <v>3011</v>
      </c>
      <c r="J103" s="48">
        <v>3048</v>
      </c>
      <c r="K103" s="48">
        <v>3159</v>
      </c>
      <c r="L103" s="48">
        <v>3164</v>
      </c>
      <c r="N103" s="787" t="s">
        <v>114</v>
      </c>
      <c r="O103" s="4"/>
      <c r="Q103" s="4"/>
    </row>
    <row r="104" spans="1:17" ht="15.75" thickBot="1">
      <c r="A104" s="794"/>
      <c r="B104" s="787"/>
      <c r="C104" s="4" t="s">
        <v>12888</v>
      </c>
      <c r="D104" s="798">
        <f>D102+D103</f>
        <v>0</v>
      </c>
      <c r="E104" s="798">
        <f t="shared" ref="E104:L104" si="77">E102+E103</f>
        <v>0</v>
      </c>
      <c r="F104" s="798">
        <f t="shared" si="77"/>
        <v>3963</v>
      </c>
      <c r="G104" s="798">
        <f t="shared" si="77"/>
        <v>4045</v>
      </c>
      <c r="H104" s="798">
        <f t="shared" si="77"/>
        <v>3916</v>
      </c>
      <c r="I104" s="798">
        <f t="shared" si="77"/>
        <v>3911</v>
      </c>
      <c r="J104" s="798">
        <f t="shared" si="77"/>
        <v>3951</v>
      </c>
      <c r="K104" s="798">
        <f t="shared" si="77"/>
        <v>4125</v>
      </c>
      <c r="L104" s="798">
        <f t="shared" si="77"/>
        <v>4125</v>
      </c>
      <c r="N104" s="787"/>
      <c r="O104" s="4"/>
      <c r="Q104" s="4"/>
    </row>
    <row r="105" spans="1:17">
      <c r="A105" s="794">
        <v>19</v>
      </c>
      <c r="B105" s="787" t="s">
        <v>2573</v>
      </c>
      <c r="C105" s="4" t="s">
        <v>12889</v>
      </c>
      <c r="D105" s="790">
        <v>0</v>
      </c>
      <c r="E105" s="790">
        <v>0</v>
      </c>
      <c r="F105" s="790">
        <v>5703</v>
      </c>
      <c r="G105" s="790">
        <v>5978</v>
      </c>
      <c r="H105" s="48">
        <v>6136</v>
      </c>
      <c r="I105" s="48">
        <v>6222</v>
      </c>
      <c r="J105" s="48">
        <v>6373</v>
      </c>
      <c r="K105" s="48">
        <v>6638</v>
      </c>
      <c r="L105" s="48">
        <v>6783</v>
      </c>
      <c r="N105" s="787" t="s">
        <v>2796</v>
      </c>
      <c r="O105" s="4"/>
      <c r="Q105" s="4"/>
    </row>
    <row r="106" spans="1:17">
      <c r="A106" s="794">
        <v>20</v>
      </c>
      <c r="B106" s="787" t="s">
        <v>12890</v>
      </c>
      <c r="C106" s="4" t="s">
        <v>12891</v>
      </c>
      <c r="D106" s="790">
        <v>0</v>
      </c>
      <c r="E106" s="790">
        <v>0</v>
      </c>
      <c r="F106" s="790">
        <v>3827</v>
      </c>
      <c r="G106" s="790">
        <v>3783</v>
      </c>
      <c r="H106" s="48">
        <v>3708</v>
      </c>
      <c r="I106" s="48">
        <v>3709</v>
      </c>
      <c r="J106" s="48">
        <v>3766</v>
      </c>
      <c r="K106" s="48">
        <v>3874</v>
      </c>
      <c r="L106" s="48">
        <v>3949</v>
      </c>
      <c r="N106" s="787" t="s">
        <v>2796</v>
      </c>
      <c r="O106" s="4"/>
      <c r="Q106" s="4"/>
    </row>
    <row r="107" spans="1:17">
      <c r="A107" s="794">
        <v>21</v>
      </c>
      <c r="B107" s="787" t="s">
        <v>12892</v>
      </c>
      <c r="C107" s="4" t="s">
        <v>12893</v>
      </c>
      <c r="D107" s="790">
        <v>0</v>
      </c>
      <c r="E107" s="790">
        <v>0</v>
      </c>
      <c r="F107" s="790">
        <v>3715</v>
      </c>
      <c r="G107" s="790">
        <v>3647</v>
      </c>
      <c r="H107" s="48">
        <v>3564</v>
      </c>
      <c r="I107" s="48">
        <v>3571</v>
      </c>
      <c r="J107" s="48">
        <v>3614</v>
      </c>
      <c r="K107" s="48">
        <v>3721</v>
      </c>
      <c r="L107" s="48">
        <v>3641</v>
      </c>
      <c r="N107" s="787" t="s">
        <v>2796</v>
      </c>
      <c r="O107" s="4"/>
      <c r="Q107" s="4"/>
    </row>
    <row r="108" spans="1:17">
      <c r="A108" s="794">
        <v>22</v>
      </c>
      <c r="B108" s="787" t="s">
        <v>4552</v>
      </c>
      <c r="C108" s="4" t="s">
        <v>12894</v>
      </c>
      <c r="D108" s="790">
        <v>0</v>
      </c>
      <c r="E108" s="790">
        <v>0</v>
      </c>
      <c r="F108" s="790">
        <v>3756</v>
      </c>
      <c r="G108" s="790">
        <v>3751</v>
      </c>
      <c r="H108" s="48">
        <v>3649</v>
      </c>
      <c r="I108" s="48">
        <v>3682</v>
      </c>
      <c r="J108" s="48">
        <v>3721</v>
      </c>
      <c r="K108" s="48">
        <v>3817</v>
      </c>
      <c r="L108" s="48">
        <v>3836</v>
      </c>
      <c r="N108" s="787" t="s">
        <v>114</v>
      </c>
      <c r="O108" s="4"/>
      <c r="Q108" s="4"/>
    </row>
    <row r="109" spans="1:17">
      <c r="A109" s="794">
        <v>23</v>
      </c>
      <c r="B109" s="787" t="s">
        <v>12895</v>
      </c>
      <c r="C109" s="4" t="s">
        <v>12896</v>
      </c>
      <c r="D109" s="790">
        <v>0</v>
      </c>
      <c r="E109" s="790">
        <v>0</v>
      </c>
      <c r="F109" s="790">
        <v>1944</v>
      </c>
      <c r="G109" s="790">
        <v>1952</v>
      </c>
      <c r="H109" s="48">
        <v>1911</v>
      </c>
      <c r="I109" s="48">
        <v>1921</v>
      </c>
      <c r="J109" s="48">
        <v>1912</v>
      </c>
      <c r="K109" s="48">
        <v>1979</v>
      </c>
      <c r="L109" s="48">
        <v>2008</v>
      </c>
      <c r="N109" s="787" t="s">
        <v>2796</v>
      </c>
      <c r="O109" s="4"/>
      <c r="Q109" s="4"/>
    </row>
    <row r="110" spans="1:17">
      <c r="A110" s="794"/>
      <c r="B110" s="787"/>
      <c r="C110" s="4"/>
      <c r="D110" s="790"/>
      <c r="E110" s="790"/>
      <c r="F110" s="790"/>
      <c r="G110" s="790"/>
      <c r="H110" s="790"/>
      <c r="I110" s="790"/>
      <c r="J110" s="790"/>
      <c r="K110" s="790"/>
      <c r="L110" s="790"/>
      <c r="N110" s="787"/>
      <c r="O110" s="4"/>
      <c r="Q110" s="4"/>
    </row>
    <row r="111" spans="1:17">
      <c r="A111" s="787" t="s">
        <v>4553</v>
      </c>
      <c r="D111" s="789">
        <f t="shared" ref="D111:E111" si="78">SUM(D85:D91)+D94+D96+D97+SUM(D100:D102)+SUM(D105:D107)+D109</f>
        <v>53929</v>
      </c>
      <c r="E111" s="789">
        <f t="shared" si="78"/>
        <v>54512</v>
      </c>
      <c r="F111" s="789">
        <f t="shared" ref="F111:K111" si="79">SUM(F85:F91)+F94+F96+F97+SUM(F100:F102)+SUM(F105:F107)+F109</f>
        <v>54966</v>
      </c>
      <c r="G111" s="789">
        <f t="shared" si="79"/>
        <v>54858</v>
      </c>
      <c r="H111" s="789">
        <f t="shared" si="79"/>
        <v>53931</v>
      </c>
      <c r="I111" s="789">
        <f t="shared" si="79"/>
        <v>53582</v>
      </c>
      <c r="J111" s="789">
        <f t="shared" si="79"/>
        <v>53560</v>
      </c>
      <c r="K111" s="789">
        <f t="shared" si="79"/>
        <v>55331</v>
      </c>
      <c r="L111" s="789">
        <f t="shared" ref="L111" si="80">SUM(L85:L91)+L94+L96+L97+SUM(L100:L102)+SUM(L105:L107)+L109</f>
        <v>55593</v>
      </c>
      <c r="M111" s="789"/>
    </row>
    <row r="112" spans="1:17">
      <c r="A112" s="787" t="s">
        <v>3595</v>
      </c>
      <c r="D112" s="789">
        <f t="shared" ref="D112:E112" si="81">D83+D84+D92+D93+D95+D98+D103+D108</f>
        <v>33617</v>
      </c>
      <c r="E112" s="789">
        <f t="shared" si="81"/>
        <v>33952</v>
      </c>
      <c r="F112" s="789">
        <f t="shared" ref="F112:K112" si="82">F83+F84+F92+F93+F95+F98+F103+F108</f>
        <v>34033</v>
      </c>
      <c r="G112" s="789">
        <f t="shared" si="82"/>
        <v>33876</v>
      </c>
      <c r="H112" s="789">
        <f t="shared" si="82"/>
        <v>33509</v>
      </c>
      <c r="I112" s="789">
        <f t="shared" si="82"/>
        <v>33210</v>
      </c>
      <c r="J112" s="789">
        <f t="shared" si="82"/>
        <v>33314</v>
      </c>
      <c r="K112" s="789">
        <f t="shared" si="82"/>
        <v>34438</v>
      </c>
      <c r="L112" s="789">
        <f t="shared" ref="L112" si="83">L83+L84+L92+L93+L95+L98+L103+L108</f>
        <v>34529</v>
      </c>
      <c r="M112" s="789"/>
    </row>
    <row r="113" spans="1:17">
      <c r="A113" s="787"/>
      <c r="B113" s="787"/>
      <c r="D113" s="795"/>
      <c r="E113" s="795"/>
      <c r="F113" s="795"/>
      <c r="G113" s="795"/>
      <c r="H113" s="795"/>
      <c r="I113" s="795"/>
      <c r="J113" s="795"/>
      <c r="K113" s="795"/>
      <c r="L113" s="795"/>
    </row>
    <row r="114" spans="1:17">
      <c r="A114" s="787" t="s">
        <v>4554</v>
      </c>
      <c r="B114" s="787"/>
      <c r="D114" s="795"/>
      <c r="E114" s="795"/>
      <c r="F114" s="795"/>
      <c r="G114" s="795"/>
      <c r="H114" s="795"/>
      <c r="I114" s="795"/>
      <c r="J114" s="795"/>
      <c r="K114" s="795"/>
      <c r="L114" s="795"/>
    </row>
    <row r="115" spans="1:17">
      <c r="A115" s="787"/>
      <c r="B115" s="787"/>
      <c r="D115" s="795"/>
      <c r="E115" s="795"/>
      <c r="F115" s="795"/>
      <c r="G115" s="795"/>
      <c r="H115" s="795"/>
      <c r="I115" s="795"/>
      <c r="J115" s="795"/>
      <c r="K115" s="795"/>
      <c r="L115" s="795"/>
    </row>
    <row r="116" spans="1:17">
      <c r="A116" s="787"/>
      <c r="B116" s="787"/>
      <c r="D116" s="795"/>
      <c r="E116" s="795"/>
      <c r="F116" s="795"/>
      <c r="G116" s="795"/>
      <c r="H116" s="795"/>
      <c r="I116" s="795"/>
      <c r="J116" s="795"/>
      <c r="K116" s="795"/>
      <c r="L116" s="795"/>
    </row>
    <row r="117" spans="1:17">
      <c r="E117" s="42" t="s">
        <v>2303</v>
      </c>
      <c r="F117" s="42"/>
      <c r="G117" s="42"/>
      <c r="H117" s="42"/>
      <c r="I117" s="42"/>
      <c r="J117" s="42"/>
      <c r="K117" s="42"/>
      <c r="L117" s="42"/>
      <c r="N117" s="109" t="s">
        <v>13319</v>
      </c>
    </row>
    <row r="118" spans="1:17">
      <c r="D118" s="110">
        <v>2010</v>
      </c>
      <c r="E118" s="110">
        <v>2011</v>
      </c>
      <c r="F118" s="110">
        <v>2012</v>
      </c>
      <c r="G118" s="110">
        <v>2013</v>
      </c>
      <c r="H118" s="110">
        <v>2014</v>
      </c>
      <c r="I118" s="110">
        <v>2015</v>
      </c>
      <c r="J118" s="110">
        <v>2016</v>
      </c>
      <c r="K118" s="110">
        <v>2017</v>
      </c>
      <c r="L118" s="110">
        <v>2018</v>
      </c>
      <c r="M118" s="111"/>
      <c r="N118" s="112" t="s">
        <v>2304</v>
      </c>
    </row>
    <row r="119" spans="1:17">
      <c r="A119" s="787" t="s">
        <v>4555</v>
      </c>
      <c r="D119" s="789">
        <f t="shared" ref="D119:I119" si="84">SUM(D120:D158)</f>
        <v>126230</v>
      </c>
      <c r="E119" s="789">
        <f t="shared" si="84"/>
        <v>126587</v>
      </c>
      <c r="F119" s="789">
        <f t="shared" si="84"/>
        <v>126706</v>
      </c>
      <c r="G119" s="789">
        <f t="shared" si="84"/>
        <v>128329</v>
      </c>
      <c r="H119" s="789">
        <f t="shared" si="84"/>
        <v>127883</v>
      </c>
      <c r="I119" s="789">
        <f t="shared" si="84"/>
        <v>125951</v>
      </c>
      <c r="J119" s="789">
        <f t="shared" ref="J119:K119" si="85">SUM(J120:J158)</f>
        <v>117938</v>
      </c>
      <c r="K119" s="789">
        <f t="shared" si="85"/>
        <v>124816</v>
      </c>
      <c r="L119" s="789">
        <f t="shared" ref="L119" si="86">SUM(L120:L158)</f>
        <v>125114</v>
      </c>
    </row>
    <row r="120" spans="1:17">
      <c r="A120" s="794">
        <v>1</v>
      </c>
      <c r="B120" s="787" t="s">
        <v>4556</v>
      </c>
      <c r="C120" s="4" t="s">
        <v>12011</v>
      </c>
      <c r="D120" s="790">
        <v>1984</v>
      </c>
      <c r="E120" s="790">
        <v>1991</v>
      </c>
      <c r="F120" s="790">
        <v>1984</v>
      </c>
      <c r="G120" s="790">
        <v>1950</v>
      </c>
      <c r="H120" s="48">
        <v>1962</v>
      </c>
      <c r="I120" s="48">
        <v>1954</v>
      </c>
      <c r="J120" s="48">
        <v>1846</v>
      </c>
      <c r="K120" s="48">
        <v>1938</v>
      </c>
      <c r="L120" s="48">
        <v>1936</v>
      </c>
      <c r="N120" s="787" t="s">
        <v>115</v>
      </c>
      <c r="O120" s="4"/>
      <c r="Q120" s="4"/>
    </row>
    <row r="121" spans="1:17">
      <c r="A121" s="794">
        <v>2</v>
      </c>
      <c r="B121" s="787" t="s">
        <v>4557</v>
      </c>
      <c r="C121" s="4" t="s">
        <v>12012</v>
      </c>
      <c r="D121" s="790">
        <v>4558</v>
      </c>
      <c r="E121" s="790">
        <v>4585</v>
      </c>
      <c r="F121" s="790">
        <v>4642</v>
      </c>
      <c r="G121" s="790">
        <v>4706</v>
      </c>
      <c r="H121" s="48">
        <v>4577</v>
      </c>
      <c r="I121" s="48">
        <v>4449</v>
      </c>
      <c r="J121" s="48">
        <v>4169</v>
      </c>
      <c r="K121" s="48">
        <v>4384</v>
      </c>
      <c r="L121" s="48">
        <v>4385</v>
      </c>
      <c r="N121" s="787" t="s">
        <v>110</v>
      </c>
      <c r="O121" s="4"/>
      <c r="Q121" s="4"/>
    </row>
    <row r="122" spans="1:17">
      <c r="A122" s="794">
        <v>3</v>
      </c>
      <c r="B122" s="787" t="s">
        <v>4558</v>
      </c>
      <c r="C122" s="4" t="s">
        <v>12013</v>
      </c>
      <c r="D122" s="790">
        <v>1917</v>
      </c>
      <c r="E122" s="790">
        <v>1950</v>
      </c>
      <c r="F122" s="790">
        <v>1938</v>
      </c>
      <c r="G122" s="790">
        <v>2004</v>
      </c>
      <c r="H122" s="48">
        <v>2050</v>
      </c>
      <c r="I122" s="48">
        <v>2004</v>
      </c>
      <c r="J122" s="48">
        <v>1863</v>
      </c>
      <c r="K122" s="48">
        <v>1984</v>
      </c>
      <c r="L122" s="48">
        <v>1961</v>
      </c>
      <c r="N122" s="787" t="s">
        <v>110</v>
      </c>
      <c r="O122" s="4"/>
      <c r="Q122" s="4"/>
    </row>
    <row r="123" spans="1:17">
      <c r="A123" s="794">
        <v>4</v>
      </c>
      <c r="B123" s="787" t="s">
        <v>4559</v>
      </c>
      <c r="C123" s="4" t="s">
        <v>12014</v>
      </c>
      <c r="D123" s="790">
        <v>5344</v>
      </c>
      <c r="E123" s="790">
        <v>5447</v>
      </c>
      <c r="F123" s="790">
        <v>5455</v>
      </c>
      <c r="G123" s="790">
        <v>5493</v>
      </c>
      <c r="H123" s="48">
        <v>5461</v>
      </c>
      <c r="I123" s="48">
        <v>5398</v>
      </c>
      <c r="J123" s="48">
        <v>4822</v>
      </c>
      <c r="K123" s="48">
        <v>5270</v>
      </c>
      <c r="L123" s="48">
        <v>5292</v>
      </c>
      <c r="N123" s="787" t="s">
        <v>115</v>
      </c>
      <c r="O123" s="4"/>
      <c r="Q123" s="4"/>
    </row>
    <row r="124" spans="1:17">
      <c r="A124" s="794">
        <v>5</v>
      </c>
      <c r="B124" s="787" t="s">
        <v>4560</v>
      </c>
      <c r="C124" s="4" t="s">
        <v>12015</v>
      </c>
      <c r="D124" s="790">
        <v>1836</v>
      </c>
      <c r="E124" s="790">
        <v>1860</v>
      </c>
      <c r="F124" s="790">
        <v>1864</v>
      </c>
      <c r="G124" s="790">
        <v>1870</v>
      </c>
      <c r="H124" s="48">
        <v>1860</v>
      </c>
      <c r="I124" s="48">
        <v>1846</v>
      </c>
      <c r="J124" s="48">
        <v>1783</v>
      </c>
      <c r="K124" s="48">
        <v>1849</v>
      </c>
      <c r="L124" s="48">
        <v>1858</v>
      </c>
      <c r="N124" s="787" t="s">
        <v>110</v>
      </c>
      <c r="O124" s="4"/>
      <c r="Q124" s="4"/>
    </row>
    <row r="125" spans="1:17">
      <c r="A125" s="794">
        <v>6</v>
      </c>
      <c r="B125" s="787" t="s">
        <v>4561</v>
      </c>
      <c r="C125" s="4" t="s">
        <v>12016</v>
      </c>
      <c r="D125" s="790">
        <v>2132</v>
      </c>
      <c r="E125" s="790">
        <v>2147</v>
      </c>
      <c r="F125" s="790">
        <v>2164</v>
      </c>
      <c r="G125" s="790">
        <v>2183</v>
      </c>
      <c r="H125" s="48">
        <v>2188</v>
      </c>
      <c r="I125" s="48">
        <v>2177</v>
      </c>
      <c r="J125" s="48">
        <v>2042</v>
      </c>
      <c r="K125" s="48">
        <v>2202</v>
      </c>
      <c r="L125" s="48">
        <v>2181</v>
      </c>
      <c r="N125" s="787" t="s">
        <v>110</v>
      </c>
      <c r="O125" s="4"/>
      <c r="Q125" s="4"/>
    </row>
    <row r="126" spans="1:17">
      <c r="A126" s="794">
        <v>7</v>
      </c>
      <c r="B126" s="787" t="s">
        <v>4562</v>
      </c>
      <c r="C126" s="4" t="s">
        <v>12017</v>
      </c>
      <c r="D126" s="790">
        <v>4456</v>
      </c>
      <c r="E126" s="790">
        <v>4538</v>
      </c>
      <c r="F126" s="790">
        <v>4502</v>
      </c>
      <c r="G126" s="790">
        <v>4563</v>
      </c>
      <c r="H126" s="48">
        <v>4586</v>
      </c>
      <c r="I126" s="48">
        <v>4520</v>
      </c>
      <c r="J126" s="48">
        <v>4276</v>
      </c>
      <c r="K126" s="48">
        <v>4512</v>
      </c>
      <c r="L126" s="48">
        <v>4460</v>
      </c>
      <c r="N126" s="787" t="s">
        <v>110</v>
      </c>
      <c r="O126" s="4"/>
      <c r="Q126" s="4"/>
    </row>
    <row r="127" spans="1:17">
      <c r="A127" s="794">
        <v>8</v>
      </c>
      <c r="B127" s="787" t="s">
        <v>4563</v>
      </c>
      <c r="C127" s="4" t="s">
        <v>12018</v>
      </c>
      <c r="D127" s="790">
        <v>2033</v>
      </c>
      <c r="E127" s="790">
        <v>2030</v>
      </c>
      <c r="F127" s="790">
        <v>1983</v>
      </c>
      <c r="G127" s="790">
        <v>1983</v>
      </c>
      <c r="H127" s="48">
        <v>1992</v>
      </c>
      <c r="I127" s="48">
        <v>1961</v>
      </c>
      <c r="J127" s="48">
        <v>1806</v>
      </c>
      <c r="K127" s="48">
        <v>1908</v>
      </c>
      <c r="L127" s="48">
        <v>1925</v>
      </c>
      <c r="N127" s="787" t="s">
        <v>115</v>
      </c>
      <c r="O127" s="4"/>
      <c r="Q127" s="4"/>
    </row>
    <row r="128" spans="1:17">
      <c r="A128" s="794">
        <v>9</v>
      </c>
      <c r="B128" s="787" t="s">
        <v>4564</v>
      </c>
      <c r="C128" s="4" t="s">
        <v>12019</v>
      </c>
      <c r="D128" s="790">
        <v>1844</v>
      </c>
      <c r="E128" s="790">
        <v>1806</v>
      </c>
      <c r="F128" s="790">
        <v>1846</v>
      </c>
      <c r="G128" s="790">
        <v>1868</v>
      </c>
      <c r="H128" s="48">
        <v>1809</v>
      </c>
      <c r="I128" s="48">
        <v>1755</v>
      </c>
      <c r="J128" s="48">
        <v>1590</v>
      </c>
      <c r="K128" s="48">
        <v>1716</v>
      </c>
      <c r="L128" s="48">
        <v>1656</v>
      </c>
      <c r="N128" s="787" t="s">
        <v>115</v>
      </c>
      <c r="O128" s="4"/>
      <c r="Q128" s="4"/>
    </row>
    <row r="129" spans="1:17">
      <c r="A129" s="794">
        <v>10</v>
      </c>
      <c r="B129" s="787" t="s">
        <v>4565</v>
      </c>
      <c r="C129" s="4" t="s">
        <v>12020</v>
      </c>
      <c r="D129" s="790">
        <v>1996</v>
      </c>
      <c r="E129" s="790">
        <v>1973</v>
      </c>
      <c r="F129" s="790">
        <v>1953</v>
      </c>
      <c r="G129" s="790">
        <v>2003</v>
      </c>
      <c r="H129" s="48">
        <v>1978</v>
      </c>
      <c r="I129" s="48">
        <v>1944</v>
      </c>
      <c r="J129" s="48">
        <v>1847</v>
      </c>
      <c r="K129" s="48">
        <v>1887</v>
      </c>
      <c r="L129" s="48">
        <v>1892</v>
      </c>
      <c r="N129" s="787" t="s">
        <v>115</v>
      </c>
      <c r="O129" s="4"/>
      <c r="Q129" s="4"/>
    </row>
    <row r="130" spans="1:17">
      <c r="A130" s="794">
        <v>11</v>
      </c>
      <c r="B130" s="787" t="s">
        <v>4566</v>
      </c>
      <c r="C130" s="4" t="s">
        <v>12021</v>
      </c>
      <c r="D130" s="790">
        <v>2295</v>
      </c>
      <c r="E130" s="790">
        <v>2311</v>
      </c>
      <c r="F130" s="790">
        <v>2310</v>
      </c>
      <c r="G130" s="790">
        <v>2311</v>
      </c>
      <c r="H130" s="48">
        <v>2281</v>
      </c>
      <c r="I130" s="48">
        <v>2287</v>
      </c>
      <c r="J130" s="48">
        <v>2052</v>
      </c>
      <c r="K130" s="48">
        <v>2245</v>
      </c>
      <c r="L130" s="48">
        <v>2223</v>
      </c>
      <c r="N130" s="787" t="s">
        <v>115</v>
      </c>
      <c r="O130" s="4"/>
      <c r="Q130" s="4"/>
    </row>
    <row r="131" spans="1:17">
      <c r="A131" s="794">
        <v>12</v>
      </c>
      <c r="B131" s="787" t="s">
        <v>4567</v>
      </c>
      <c r="C131" s="4" t="s">
        <v>12022</v>
      </c>
      <c r="D131" s="790">
        <v>1941</v>
      </c>
      <c r="E131" s="790">
        <v>1987</v>
      </c>
      <c r="F131" s="790">
        <v>1984</v>
      </c>
      <c r="G131" s="790">
        <v>1979</v>
      </c>
      <c r="H131" s="48">
        <v>1998</v>
      </c>
      <c r="I131" s="48">
        <v>1933</v>
      </c>
      <c r="J131" s="48">
        <v>1812</v>
      </c>
      <c r="K131" s="48">
        <v>1923</v>
      </c>
      <c r="L131" s="48">
        <v>1906</v>
      </c>
      <c r="N131" s="787" t="s">
        <v>115</v>
      </c>
      <c r="O131" s="4"/>
      <c r="Q131" s="4"/>
    </row>
    <row r="132" spans="1:17">
      <c r="A132" s="794">
        <v>13</v>
      </c>
      <c r="B132" s="787" t="s">
        <v>4568</v>
      </c>
      <c r="C132" s="4" t="s">
        <v>12023</v>
      </c>
      <c r="D132" s="790">
        <v>4449</v>
      </c>
      <c r="E132" s="790">
        <v>4517</v>
      </c>
      <c r="F132" s="790">
        <v>4463</v>
      </c>
      <c r="G132" s="790">
        <v>4466</v>
      </c>
      <c r="H132" s="48">
        <v>4444</v>
      </c>
      <c r="I132" s="48">
        <v>4342</v>
      </c>
      <c r="J132" s="48">
        <v>4098</v>
      </c>
      <c r="K132" s="48">
        <v>4280</v>
      </c>
      <c r="L132" s="48">
        <v>4268</v>
      </c>
      <c r="N132" s="787" t="s">
        <v>115</v>
      </c>
      <c r="O132" s="4"/>
      <c r="Q132" s="4"/>
    </row>
    <row r="133" spans="1:17">
      <c r="A133" s="794">
        <v>14</v>
      </c>
      <c r="B133" s="787" t="s">
        <v>4569</v>
      </c>
      <c r="C133" s="4" t="s">
        <v>12024</v>
      </c>
      <c r="D133" s="790">
        <v>6329</v>
      </c>
      <c r="E133" s="790">
        <v>6286</v>
      </c>
      <c r="F133" s="790">
        <v>6336</v>
      </c>
      <c r="G133" s="790">
        <v>6509</v>
      </c>
      <c r="H133" s="48">
        <v>6596</v>
      </c>
      <c r="I133" s="48">
        <v>6577</v>
      </c>
      <c r="J133" s="48">
        <v>6092</v>
      </c>
      <c r="K133" s="48">
        <v>6472</v>
      </c>
      <c r="L133" s="48">
        <v>6403</v>
      </c>
      <c r="N133" s="787" t="s">
        <v>115</v>
      </c>
      <c r="O133" s="4"/>
      <c r="Q133" s="4"/>
    </row>
    <row r="134" spans="1:17">
      <c r="A134" s="794">
        <v>15</v>
      </c>
      <c r="B134" s="787" t="s">
        <v>4570</v>
      </c>
      <c r="C134" s="4" t="s">
        <v>12025</v>
      </c>
      <c r="D134" s="790">
        <v>2109</v>
      </c>
      <c r="E134" s="790">
        <v>2136</v>
      </c>
      <c r="F134" s="790">
        <v>2146</v>
      </c>
      <c r="G134" s="790">
        <v>2160</v>
      </c>
      <c r="H134" s="48">
        <v>2133</v>
      </c>
      <c r="I134" s="48">
        <v>2110</v>
      </c>
      <c r="J134" s="48">
        <v>2031</v>
      </c>
      <c r="K134" s="48">
        <v>2107</v>
      </c>
      <c r="L134" s="48">
        <v>2117</v>
      </c>
      <c r="N134" s="787" t="s">
        <v>110</v>
      </c>
      <c r="O134" s="4"/>
      <c r="Q134" s="4"/>
    </row>
    <row r="135" spans="1:17">
      <c r="A135" s="794">
        <v>16</v>
      </c>
      <c r="B135" s="787" t="s">
        <v>4571</v>
      </c>
      <c r="C135" s="4" t="s">
        <v>12026</v>
      </c>
      <c r="D135" s="790">
        <v>2029</v>
      </c>
      <c r="E135" s="790">
        <v>2035</v>
      </c>
      <c r="F135" s="790">
        <v>2026</v>
      </c>
      <c r="G135" s="790">
        <v>2056</v>
      </c>
      <c r="H135" s="48">
        <v>2011</v>
      </c>
      <c r="I135" s="48">
        <v>1993</v>
      </c>
      <c r="J135" s="48">
        <v>1911</v>
      </c>
      <c r="K135" s="48">
        <v>2007</v>
      </c>
      <c r="L135" s="48">
        <v>2037</v>
      </c>
      <c r="N135" s="787" t="s">
        <v>115</v>
      </c>
      <c r="O135" s="4"/>
      <c r="Q135" s="4"/>
    </row>
    <row r="136" spans="1:17">
      <c r="A136" s="794">
        <v>17</v>
      </c>
      <c r="B136" s="787" t="s">
        <v>4572</v>
      </c>
      <c r="C136" s="4" t="s">
        <v>12027</v>
      </c>
      <c r="D136" s="790">
        <v>2170</v>
      </c>
      <c r="E136" s="790">
        <v>2163</v>
      </c>
      <c r="F136" s="790">
        <v>2161</v>
      </c>
      <c r="G136" s="790">
        <v>2185</v>
      </c>
      <c r="H136" s="48">
        <v>2173</v>
      </c>
      <c r="I136" s="48">
        <v>2166</v>
      </c>
      <c r="J136" s="48">
        <v>2040</v>
      </c>
      <c r="K136" s="48">
        <v>2129</v>
      </c>
      <c r="L136" s="48">
        <v>2128</v>
      </c>
      <c r="N136" s="787" t="s">
        <v>115</v>
      </c>
      <c r="O136" s="4"/>
      <c r="Q136" s="4"/>
    </row>
    <row r="137" spans="1:17">
      <c r="A137" s="794">
        <v>18</v>
      </c>
      <c r="B137" s="787" t="s">
        <v>4573</v>
      </c>
      <c r="C137" s="4" t="s">
        <v>12028</v>
      </c>
      <c r="D137" s="790">
        <v>4695</v>
      </c>
      <c r="E137" s="790">
        <v>4726</v>
      </c>
      <c r="F137" s="790">
        <v>4691</v>
      </c>
      <c r="G137" s="790">
        <v>4803</v>
      </c>
      <c r="H137" s="48">
        <v>4739</v>
      </c>
      <c r="I137" s="48">
        <v>4694</v>
      </c>
      <c r="J137" s="48">
        <v>4404</v>
      </c>
      <c r="K137" s="48">
        <v>4690</v>
      </c>
      <c r="L137" s="48">
        <v>4682</v>
      </c>
      <c r="N137" s="787" t="s">
        <v>115</v>
      </c>
      <c r="O137" s="4"/>
      <c r="Q137" s="4"/>
    </row>
    <row r="138" spans="1:17">
      <c r="A138" s="794">
        <v>19</v>
      </c>
      <c r="B138" s="787" t="s">
        <v>4574</v>
      </c>
      <c r="C138" s="4" t="s">
        <v>12029</v>
      </c>
      <c r="D138" s="790">
        <v>2242</v>
      </c>
      <c r="E138" s="790">
        <v>2277</v>
      </c>
      <c r="F138" s="790">
        <v>2312</v>
      </c>
      <c r="G138" s="790">
        <v>2340</v>
      </c>
      <c r="H138" s="48">
        <v>2327</v>
      </c>
      <c r="I138" s="48">
        <v>2305</v>
      </c>
      <c r="J138" s="48">
        <v>2157</v>
      </c>
      <c r="K138" s="48">
        <v>2264</v>
      </c>
      <c r="L138" s="48">
        <v>2273</v>
      </c>
      <c r="N138" s="787" t="s">
        <v>110</v>
      </c>
      <c r="O138" s="4"/>
      <c r="Q138" s="4"/>
    </row>
    <row r="139" spans="1:17">
      <c r="A139" s="794">
        <v>20</v>
      </c>
      <c r="B139" s="787" t="s">
        <v>4575</v>
      </c>
      <c r="C139" s="4" t="s">
        <v>12030</v>
      </c>
      <c r="D139" s="790">
        <v>2562</v>
      </c>
      <c r="E139" s="790">
        <v>2575</v>
      </c>
      <c r="F139" s="790">
        <v>2595</v>
      </c>
      <c r="G139" s="790">
        <v>2620</v>
      </c>
      <c r="H139" s="48">
        <v>2591</v>
      </c>
      <c r="I139" s="48">
        <v>2512</v>
      </c>
      <c r="J139" s="48">
        <v>2275</v>
      </c>
      <c r="K139" s="48">
        <v>2418</v>
      </c>
      <c r="L139" s="48">
        <v>2485</v>
      </c>
      <c r="N139" s="787" t="s">
        <v>115</v>
      </c>
      <c r="O139" s="4"/>
      <c r="Q139" s="4"/>
    </row>
    <row r="140" spans="1:17">
      <c r="A140" s="794">
        <v>21</v>
      </c>
      <c r="B140" s="787" t="s">
        <v>4576</v>
      </c>
      <c r="C140" s="4" t="s">
        <v>12031</v>
      </c>
      <c r="D140" s="790">
        <v>2258</v>
      </c>
      <c r="E140" s="790">
        <v>2265</v>
      </c>
      <c r="F140" s="790">
        <v>2318</v>
      </c>
      <c r="G140" s="790">
        <v>2362</v>
      </c>
      <c r="H140" s="48">
        <v>2386</v>
      </c>
      <c r="I140" s="48">
        <v>2383</v>
      </c>
      <c r="J140" s="48">
        <v>2253</v>
      </c>
      <c r="K140" s="48">
        <v>2387</v>
      </c>
      <c r="L140" s="48">
        <v>2443</v>
      </c>
      <c r="N140" s="787" t="s">
        <v>110</v>
      </c>
      <c r="O140" s="4"/>
      <c r="Q140" s="4"/>
    </row>
    <row r="141" spans="1:17">
      <c r="A141" s="794">
        <v>22</v>
      </c>
      <c r="B141" s="787" t="s">
        <v>4577</v>
      </c>
      <c r="C141" s="4" t="s">
        <v>12032</v>
      </c>
      <c r="D141" s="790">
        <v>4654</v>
      </c>
      <c r="E141" s="790">
        <v>4687</v>
      </c>
      <c r="F141" s="790">
        <v>4626</v>
      </c>
      <c r="G141" s="790">
        <v>4712</v>
      </c>
      <c r="H141" s="48">
        <v>4642</v>
      </c>
      <c r="I141" s="48">
        <v>4562</v>
      </c>
      <c r="J141" s="48">
        <v>4332</v>
      </c>
      <c r="K141" s="48">
        <v>4523</v>
      </c>
      <c r="L141" s="48">
        <v>4549</v>
      </c>
      <c r="N141" s="787" t="s">
        <v>110</v>
      </c>
      <c r="O141" s="4"/>
      <c r="Q141" s="4"/>
    </row>
    <row r="142" spans="1:17">
      <c r="A142" s="794">
        <v>23</v>
      </c>
      <c r="B142" s="787" t="s">
        <v>4578</v>
      </c>
      <c r="C142" s="4" t="s">
        <v>12033</v>
      </c>
      <c r="D142" s="790">
        <v>2199</v>
      </c>
      <c r="E142" s="790">
        <v>2251</v>
      </c>
      <c r="F142" s="790">
        <v>2295</v>
      </c>
      <c r="G142" s="790">
        <v>2312</v>
      </c>
      <c r="H142" s="48">
        <v>2336</v>
      </c>
      <c r="I142" s="48">
        <v>2325</v>
      </c>
      <c r="J142" s="48">
        <v>2188</v>
      </c>
      <c r="K142" s="48">
        <v>2342</v>
      </c>
      <c r="L142" s="48">
        <v>2343</v>
      </c>
      <c r="N142" s="787" t="s">
        <v>110</v>
      </c>
      <c r="O142" s="4"/>
      <c r="Q142" s="4"/>
    </row>
    <row r="143" spans="1:17">
      <c r="A143" s="794" t="s">
        <v>5798</v>
      </c>
      <c r="B143" s="787" t="s">
        <v>4579</v>
      </c>
      <c r="C143" s="4" t="s">
        <v>12034</v>
      </c>
      <c r="D143" s="790">
        <v>2071</v>
      </c>
      <c r="E143" s="790">
        <v>2066</v>
      </c>
      <c r="F143" s="790">
        <v>2032</v>
      </c>
      <c r="G143" s="790">
        <v>2039</v>
      </c>
      <c r="H143" s="48">
        <v>2060</v>
      </c>
      <c r="I143" s="48">
        <v>2025</v>
      </c>
      <c r="J143" s="48">
        <v>1975</v>
      </c>
      <c r="K143" s="48">
        <v>2079</v>
      </c>
      <c r="L143" s="48">
        <v>2058</v>
      </c>
      <c r="N143" s="787" t="s">
        <v>115</v>
      </c>
      <c r="O143" s="4"/>
      <c r="Q143" s="4"/>
    </row>
    <row r="144" spans="1:17">
      <c r="A144" s="794" t="s">
        <v>5799</v>
      </c>
      <c r="B144" s="787" t="s">
        <v>4580</v>
      </c>
      <c r="C144" s="4" t="s">
        <v>12035</v>
      </c>
      <c r="D144" s="790">
        <v>2471</v>
      </c>
      <c r="E144" s="790">
        <v>2447</v>
      </c>
      <c r="F144" s="790">
        <v>2464</v>
      </c>
      <c r="G144" s="790">
        <v>2515</v>
      </c>
      <c r="H144" s="48">
        <v>2525</v>
      </c>
      <c r="I144" s="48">
        <v>2486</v>
      </c>
      <c r="J144" s="48">
        <v>2339</v>
      </c>
      <c r="K144" s="48">
        <v>2474</v>
      </c>
      <c r="L144" s="48">
        <v>2464</v>
      </c>
      <c r="N144" s="787" t="s">
        <v>110</v>
      </c>
      <c r="O144" s="4"/>
      <c r="Q144" s="4"/>
    </row>
    <row r="145" spans="1:17">
      <c r="A145" s="794" t="s">
        <v>5801</v>
      </c>
      <c r="B145" s="787" t="s">
        <v>4581</v>
      </c>
      <c r="C145" s="4" t="s">
        <v>12036</v>
      </c>
      <c r="D145" s="790">
        <v>2040</v>
      </c>
      <c r="E145" s="790">
        <v>2013</v>
      </c>
      <c r="F145" s="790">
        <v>1972</v>
      </c>
      <c r="G145" s="790">
        <v>1987</v>
      </c>
      <c r="H145" s="48">
        <v>1934</v>
      </c>
      <c r="I145" s="48">
        <v>1930</v>
      </c>
      <c r="J145" s="48">
        <v>1855</v>
      </c>
      <c r="K145" s="48">
        <v>1913</v>
      </c>
      <c r="L145" s="48">
        <v>1933</v>
      </c>
      <c r="N145" s="787" t="s">
        <v>115</v>
      </c>
      <c r="O145" s="4"/>
      <c r="Q145" s="4"/>
    </row>
    <row r="146" spans="1:17">
      <c r="A146" s="794" t="s">
        <v>5927</v>
      </c>
      <c r="B146" s="787" t="s">
        <v>8836</v>
      </c>
      <c r="C146" s="4" t="s">
        <v>12037</v>
      </c>
      <c r="D146" s="790">
        <v>1870</v>
      </c>
      <c r="E146" s="790">
        <v>1847</v>
      </c>
      <c r="F146" s="790">
        <v>1841</v>
      </c>
      <c r="G146" s="790">
        <v>1856</v>
      </c>
      <c r="H146" s="48">
        <v>1861</v>
      </c>
      <c r="I146" s="48">
        <v>1842</v>
      </c>
      <c r="J146" s="48">
        <v>1754</v>
      </c>
      <c r="K146" s="48">
        <v>1842</v>
      </c>
      <c r="L146" s="48">
        <v>1839</v>
      </c>
      <c r="N146" s="787" t="s">
        <v>115</v>
      </c>
      <c r="O146" s="4"/>
      <c r="Q146" s="4"/>
    </row>
    <row r="147" spans="1:17">
      <c r="A147" s="794" t="s">
        <v>5929</v>
      </c>
      <c r="B147" s="787" t="s">
        <v>4584</v>
      </c>
      <c r="C147" s="4" t="s">
        <v>12038</v>
      </c>
      <c r="D147" s="790">
        <v>4037</v>
      </c>
      <c r="E147" s="790">
        <v>4042</v>
      </c>
      <c r="F147" s="790">
        <v>4019</v>
      </c>
      <c r="G147" s="790">
        <v>4069</v>
      </c>
      <c r="H147" s="48">
        <v>4101</v>
      </c>
      <c r="I147" s="48">
        <v>4103</v>
      </c>
      <c r="J147" s="48">
        <v>3898</v>
      </c>
      <c r="K147" s="48">
        <v>4083</v>
      </c>
      <c r="L147" s="48">
        <v>4164</v>
      </c>
      <c r="N147" s="787" t="s">
        <v>115</v>
      </c>
      <c r="O147" s="4"/>
      <c r="Q147" s="4"/>
    </row>
    <row r="148" spans="1:17">
      <c r="A148" s="794" t="s">
        <v>5931</v>
      </c>
      <c r="B148" s="787" t="s">
        <v>4585</v>
      </c>
      <c r="C148" s="4" t="s">
        <v>12039</v>
      </c>
      <c r="D148" s="790">
        <v>2198</v>
      </c>
      <c r="E148" s="790">
        <v>2233</v>
      </c>
      <c r="F148" s="790">
        <v>2212</v>
      </c>
      <c r="G148" s="790">
        <v>2239</v>
      </c>
      <c r="H148" s="48">
        <v>2204</v>
      </c>
      <c r="I148" s="48">
        <v>2186</v>
      </c>
      <c r="J148" s="48">
        <v>2083</v>
      </c>
      <c r="K148" s="48">
        <v>2170</v>
      </c>
      <c r="L148" s="48">
        <v>2208</v>
      </c>
      <c r="N148" s="787" t="s">
        <v>115</v>
      </c>
      <c r="O148" s="4"/>
      <c r="Q148" s="4"/>
    </row>
    <row r="149" spans="1:17">
      <c r="A149" s="794" t="s">
        <v>5933</v>
      </c>
      <c r="B149" s="787" t="s">
        <v>1211</v>
      </c>
      <c r="C149" s="4" t="s">
        <v>12040</v>
      </c>
      <c r="D149" s="790">
        <v>2006</v>
      </c>
      <c r="E149" s="790">
        <v>2037</v>
      </c>
      <c r="F149" s="790">
        <v>1953</v>
      </c>
      <c r="G149" s="790">
        <v>1978</v>
      </c>
      <c r="H149" s="48">
        <v>1957</v>
      </c>
      <c r="I149" s="48">
        <v>1936</v>
      </c>
      <c r="J149" s="48">
        <v>1853</v>
      </c>
      <c r="K149" s="48">
        <v>1952</v>
      </c>
      <c r="L149" s="48">
        <v>1961</v>
      </c>
      <c r="N149" s="787" t="s">
        <v>110</v>
      </c>
      <c r="O149" s="4"/>
      <c r="Q149" s="4"/>
    </row>
    <row r="150" spans="1:17">
      <c r="A150" s="794" t="s">
        <v>7897</v>
      </c>
      <c r="B150" s="787" t="s">
        <v>4586</v>
      </c>
      <c r="C150" s="4" t="s">
        <v>12041</v>
      </c>
      <c r="D150" s="790">
        <v>2252</v>
      </c>
      <c r="E150" s="790">
        <v>2277</v>
      </c>
      <c r="F150" s="790">
        <v>2275</v>
      </c>
      <c r="G150" s="790">
        <v>2306</v>
      </c>
      <c r="H150" s="48">
        <v>2320</v>
      </c>
      <c r="I150" s="48">
        <v>2290</v>
      </c>
      <c r="J150" s="48">
        <v>2244</v>
      </c>
      <c r="K150" s="48">
        <v>2342</v>
      </c>
      <c r="L150" s="48">
        <v>2406</v>
      </c>
      <c r="N150" s="787" t="s">
        <v>110</v>
      </c>
      <c r="O150" s="4"/>
      <c r="Q150" s="4"/>
    </row>
    <row r="151" spans="1:17">
      <c r="A151" s="794" t="s">
        <v>7898</v>
      </c>
      <c r="B151" s="787" t="s">
        <v>4587</v>
      </c>
      <c r="C151" s="4" t="s">
        <v>12042</v>
      </c>
      <c r="D151" s="790">
        <v>4386</v>
      </c>
      <c r="E151" s="790">
        <v>4361</v>
      </c>
      <c r="F151" s="790">
        <v>4369</v>
      </c>
      <c r="G151" s="790">
        <v>4318</v>
      </c>
      <c r="H151" s="48">
        <v>4313</v>
      </c>
      <c r="I151" s="48">
        <v>4248</v>
      </c>
      <c r="J151" s="48">
        <v>4089</v>
      </c>
      <c r="K151" s="48">
        <v>4268</v>
      </c>
      <c r="L151" s="48">
        <v>4263</v>
      </c>
      <c r="N151" s="787" t="s">
        <v>110</v>
      </c>
      <c r="O151" s="4"/>
      <c r="Q151" s="4"/>
    </row>
    <row r="152" spans="1:17">
      <c r="A152" s="794" t="s">
        <v>7899</v>
      </c>
      <c r="B152" s="787" t="s">
        <v>4588</v>
      </c>
      <c r="C152" s="4" t="s">
        <v>12043</v>
      </c>
      <c r="D152" s="790">
        <v>3987</v>
      </c>
      <c r="E152" s="790">
        <v>3998</v>
      </c>
      <c r="F152" s="790">
        <v>4078</v>
      </c>
      <c r="G152" s="790">
        <v>4212</v>
      </c>
      <c r="H152" s="48">
        <v>4263</v>
      </c>
      <c r="I152" s="48">
        <v>4153</v>
      </c>
      <c r="J152" s="48">
        <v>3968</v>
      </c>
      <c r="K152" s="48">
        <v>4302</v>
      </c>
      <c r="L152" s="48">
        <v>4375</v>
      </c>
      <c r="N152" s="787" t="s">
        <v>110</v>
      </c>
      <c r="O152" s="4"/>
      <c r="Q152" s="4"/>
    </row>
    <row r="153" spans="1:17">
      <c r="A153" s="794" t="s">
        <v>7901</v>
      </c>
      <c r="B153" s="787" t="s">
        <v>4589</v>
      </c>
      <c r="C153" s="4" t="s">
        <v>12044</v>
      </c>
      <c r="D153" s="790">
        <v>1918</v>
      </c>
      <c r="E153" s="790">
        <v>1944</v>
      </c>
      <c r="F153" s="790">
        <v>1947</v>
      </c>
      <c r="G153" s="790">
        <v>1963</v>
      </c>
      <c r="H153" s="48">
        <v>1953</v>
      </c>
      <c r="I153" s="48">
        <v>1935</v>
      </c>
      <c r="J153" s="48">
        <v>1830</v>
      </c>
      <c r="K153" s="48">
        <v>1911</v>
      </c>
      <c r="L153" s="48">
        <v>1910</v>
      </c>
      <c r="N153" s="787" t="s">
        <v>115</v>
      </c>
      <c r="O153" s="4"/>
      <c r="Q153" s="4"/>
    </row>
    <row r="154" spans="1:17">
      <c r="A154" s="794" t="s">
        <v>3125</v>
      </c>
      <c r="B154" s="787" t="s">
        <v>4590</v>
      </c>
      <c r="C154" s="4" t="s">
        <v>12045</v>
      </c>
      <c r="D154" s="790">
        <v>5451</v>
      </c>
      <c r="E154" s="790">
        <v>5358</v>
      </c>
      <c r="F154" s="790">
        <v>5342</v>
      </c>
      <c r="G154" s="790">
        <v>5448</v>
      </c>
      <c r="H154" s="48">
        <v>5508</v>
      </c>
      <c r="I154" s="48">
        <v>5401</v>
      </c>
      <c r="J154" s="48">
        <v>4785</v>
      </c>
      <c r="K154" s="48">
        <v>5170</v>
      </c>
      <c r="L154" s="48">
        <v>5116</v>
      </c>
      <c r="N154" s="787" t="s">
        <v>115</v>
      </c>
      <c r="O154" s="4"/>
      <c r="Q154" s="4"/>
    </row>
    <row r="155" spans="1:17">
      <c r="A155" s="794" t="s">
        <v>3127</v>
      </c>
      <c r="B155" s="787" t="s">
        <v>2866</v>
      </c>
      <c r="C155" s="4" t="s">
        <v>12046</v>
      </c>
      <c r="D155" s="790">
        <v>5388</v>
      </c>
      <c r="E155" s="790">
        <v>5345</v>
      </c>
      <c r="F155" s="790">
        <v>5405</v>
      </c>
      <c r="G155" s="790">
        <v>5508</v>
      </c>
      <c r="H155" s="48">
        <v>5325</v>
      </c>
      <c r="I155" s="48">
        <v>5082</v>
      </c>
      <c r="J155" s="48">
        <v>4656</v>
      </c>
      <c r="K155" s="48">
        <v>4943</v>
      </c>
      <c r="L155" s="48">
        <v>4849</v>
      </c>
      <c r="N155" s="787" t="s">
        <v>115</v>
      </c>
      <c r="O155" s="4"/>
      <c r="Q155" s="4"/>
    </row>
    <row r="156" spans="1:17">
      <c r="A156" s="794" t="s">
        <v>2671</v>
      </c>
      <c r="B156" s="787" t="s">
        <v>2867</v>
      </c>
      <c r="C156" s="4" t="s">
        <v>12047</v>
      </c>
      <c r="D156" s="790">
        <v>6780</v>
      </c>
      <c r="E156" s="790">
        <v>6804</v>
      </c>
      <c r="F156" s="790">
        <v>6739</v>
      </c>
      <c r="G156" s="790">
        <v>6780</v>
      </c>
      <c r="H156" s="48">
        <v>6738</v>
      </c>
      <c r="I156" s="48">
        <v>6583</v>
      </c>
      <c r="J156" s="48">
        <v>6159</v>
      </c>
      <c r="K156" s="48">
        <v>6468</v>
      </c>
      <c r="L156" s="48">
        <v>6531</v>
      </c>
      <c r="N156" s="787" t="s">
        <v>115</v>
      </c>
      <c r="O156" s="4"/>
      <c r="Q156" s="4"/>
    </row>
    <row r="157" spans="1:17">
      <c r="A157" s="794" t="s">
        <v>2672</v>
      </c>
      <c r="B157" s="787" t="s">
        <v>2868</v>
      </c>
      <c r="C157" s="4" t="s">
        <v>12048</v>
      </c>
      <c r="D157" s="790">
        <v>5608</v>
      </c>
      <c r="E157" s="790">
        <v>5592</v>
      </c>
      <c r="F157" s="790">
        <v>5603</v>
      </c>
      <c r="G157" s="790">
        <v>5631</v>
      </c>
      <c r="H157" s="48">
        <v>5524</v>
      </c>
      <c r="I157" s="48">
        <v>5372</v>
      </c>
      <c r="J157" s="48">
        <v>4910</v>
      </c>
      <c r="K157" s="48">
        <v>5148</v>
      </c>
      <c r="L157" s="48">
        <v>5122</v>
      </c>
      <c r="N157" s="787" t="s">
        <v>115</v>
      </c>
      <c r="O157" s="4"/>
      <c r="Q157" s="4"/>
    </row>
    <row r="158" spans="1:17">
      <c r="A158" s="794" t="s">
        <v>2674</v>
      </c>
      <c r="B158" s="787" t="s">
        <v>1213</v>
      </c>
      <c r="C158" s="4" t="s">
        <v>12049</v>
      </c>
      <c r="D158" s="790">
        <v>5735</v>
      </c>
      <c r="E158" s="790">
        <v>5680</v>
      </c>
      <c r="F158" s="790">
        <v>5861</v>
      </c>
      <c r="G158" s="790">
        <v>6042</v>
      </c>
      <c r="H158" s="48">
        <v>6177</v>
      </c>
      <c r="I158" s="48">
        <v>6182</v>
      </c>
      <c r="J158" s="48">
        <v>5851</v>
      </c>
      <c r="K158" s="48">
        <v>6314</v>
      </c>
      <c r="L158" s="48">
        <v>6512</v>
      </c>
      <c r="N158" s="787" t="s">
        <v>115</v>
      </c>
      <c r="O158" s="4"/>
      <c r="Q158" s="4"/>
    </row>
    <row r="159" spans="1:17">
      <c r="D159" s="790"/>
      <c r="E159" s="790"/>
      <c r="F159" s="790"/>
      <c r="G159" s="790"/>
      <c r="H159" s="790"/>
      <c r="I159" s="790"/>
      <c r="J159" s="790"/>
      <c r="K159" s="790"/>
      <c r="L159" s="790"/>
    </row>
    <row r="160" spans="1:17">
      <c r="A160" s="787" t="s">
        <v>3594</v>
      </c>
      <c r="D160" s="789">
        <f t="shared" ref="D160:I160" si="87">D121+D122+SUM(D124:D126)+D134+D138+SUM(D140:D142)+D144+SUM(D149:D152)</f>
        <v>43463</v>
      </c>
      <c r="E160" s="789">
        <f t="shared" si="87"/>
        <v>43816</v>
      </c>
      <c r="F160" s="789">
        <f t="shared" si="87"/>
        <v>43946</v>
      </c>
      <c r="G160" s="789">
        <f t="shared" si="87"/>
        <v>44541</v>
      </c>
      <c r="H160" s="789">
        <f t="shared" si="87"/>
        <v>44463</v>
      </c>
      <c r="I160" s="789">
        <f t="shared" si="87"/>
        <v>43794</v>
      </c>
      <c r="J160" s="789">
        <f t="shared" ref="J160:K160" si="88">J121+J122+SUM(J124:J126)+J134+J138+SUM(J140:J142)+J144+SUM(J149:J152)</f>
        <v>41587</v>
      </c>
      <c r="K160" s="789">
        <f t="shared" si="88"/>
        <v>43892</v>
      </c>
      <c r="L160" s="789">
        <f t="shared" ref="L160" si="89">L121+L122+SUM(L124:L126)+L134+L138+SUM(L140:L142)+L144+SUM(L149:L152)</f>
        <v>44039</v>
      </c>
    </row>
    <row r="161" spans="1:17">
      <c r="A161" s="787" t="s">
        <v>115</v>
      </c>
      <c r="D161" s="789">
        <f t="shared" ref="D161:I161" si="90">D120+D123+SUM(D127:D133)+SUM(D135:D137)+D139+D143+SUM(D145:D148)+SUM(D153:D158)</f>
        <v>82767</v>
      </c>
      <c r="E161" s="789">
        <f t="shared" si="90"/>
        <v>82771</v>
      </c>
      <c r="F161" s="789">
        <f t="shared" si="90"/>
        <v>82760</v>
      </c>
      <c r="G161" s="789">
        <f t="shared" si="90"/>
        <v>83788</v>
      </c>
      <c r="H161" s="789">
        <f t="shared" si="90"/>
        <v>83420</v>
      </c>
      <c r="I161" s="789">
        <f t="shared" si="90"/>
        <v>82157</v>
      </c>
      <c r="J161" s="789">
        <f t="shared" ref="J161:K161" si="91">J120+J123+SUM(J127:J133)+SUM(J135:J137)+J139+J143+SUM(J145:J148)+SUM(J153:J158)</f>
        <v>76351</v>
      </c>
      <c r="K161" s="789">
        <f t="shared" si="91"/>
        <v>80924</v>
      </c>
      <c r="L161" s="789">
        <f t="shared" ref="L161" si="92">L120+L123+SUM(L127:L133)+SUM(L135:L137)+L139+L143+SUM(L145:L148)+SUM(L153:L158)</f>
        <v>81075</v>
      </c>
    </row>
    <row r="162" spans="1:17">
      <c r="A162" s="787"/>
      <c r="B162" s="787"/>
      <c r="D162" s="795"/>
      <c r="E162" s="795"/>
      <c r="F162" s="795"/>
      <c r="G162" s="795"/>
      <c r="H162" s="795"/>
      <c r="I162" s="795"/>
      <c r="J162" s="795"/>
      <c r="K162" s="795"/>
      <c r="L162" s="795"/>
    </row>
    <row r="163" spans="1:17">
      <c r="A163" s="787" t="s">
        <v>1214</v>
      </c>
      <c r="B163" s="787"/>
      <c r="D163" s="795"/>
      <c r="E163" s="795"/>
      <c r="F163" s="795"/>
      <c r="G163" s="795"/>
      <c r="H163" s="795"/>
      <c r="I163" s="795"/>
      <c r="J163" s="795"/>
      <c r="K163" s="795"/>
      <c r="L163" s="795"/>
    </row>
    <row r="164" spans="1:17">
      <c r="A164" s="787"/>
      <c r="B164" s="787"/>
      <c r="D164" s="795"/>
      <c r="E164" s="795"/>
      <c r="F164" s="795"/>
      <c r="G164" s="795"/>
      <c r="H164" s="795"/>
      <c r="I164" s="795"/>
      <c r="J164" s="795"/>
      <c r="K164" s="795"/>
      <c r="L164" s="795"/>
    </row>
    <row r="165" spans="1:17">
      <c r="A165" s="787"/>
      <c r="B165" s="787"/>
      <c r="D165" s="795"/>
      <c r="E165" s="795"/>
      <c r="F165" s="795"/>
      <c r="G165" s="795"/>
      <c r="H165" s="795"/>
      <c r="I165" s="795"/>
      <c r="J165" s="795"/>
      <c r="K165" s="795"/>
      <c r="L165" s="795"/>
    </row>
    <row r="166" spans="1:17">
      <c r="E166" s="42" t="s">
        <v>2303</v>
      </c>
      <c r="F166" s="42"/>
      <c r="G166" s="42"/>
      <c r="H166" s="42"/>
      <c r="I166" s="42"/>
      <c r="J166" s="42"/>
      <c r="K166" s="42"/>
      <c r="L166" s="42"/>
      <c r="N166" s="109" t="s">
        <v>13319</v>
      </c>
    </row>
    <row r="167" spans="1:17">
      <c r="D167" s="110">
        <v>2010</v>
      </c>
      <c r="E167" s="110">
        <v>2011</v>
      </c>
      <c r="F167" s="110">
        <v>2012</v>
      </c>
      <c r="G167" s="110">
        <v>2013</v>
      </c>
      <c r="H167" s="110">
        <v>2014</v>
      </c>
      <c r="I167" s="110">
        <v>2015</v>
      </c>
      <c r="J167" s="110">
        <v>2016</v>
      </c>
      <c r="K167" s="110">
        <v>2017</v>
      </c>
      <c r="L167" s="110">
        <v>2018</v>
      </c>
      <c r="M167" s="111"/>
      <c r="N167" s="112" t="s">
        <v>2304</v>
      </c>
    </row>
    <row r="168" spans="1:17">
      <c r="A168" s="787" t="s">
        <v>1215</v>
      </c>
      <c r="D168" s="789">
        <f t="shared" ref="D168:I168" si="93">SUM(D169:D194)</f>
        <v>82281</v>
      </c>
      <c r="E168" s="789">
        <f t="shared" si="93"/>
        <v>82882</v>
      </c>
      <c r="F168" s="789">
        <f t="shared" si="93"/>
        <v>83723</v>
      </c>
      <c r="G168" s="789">
        <f t="shared" si="93"/>
        <v>84162</v>
      </c>
      <c r="H168" s="789">
        <f t="shared" si="93"/>
        <v>76989</v>
      </c>
      <c r="I168" s="789">
        <f t="shared" si="93"/>
        <v>78505</v>
      </c>
      <c r="J168" s="789">
        <f t="shared" ref="J168:K168" si="94">SUM(J169:J194)</f>
        <v>78187</v>
      </c>
      <c r="K168" s="789">
        <f t="shared" si="94"/>
        <v>83150</v>
      </c>
      <c r="L168" s="789">
        <f t="shared" ref="L168" si="95">SUM(L169:L194)</f>
        <v>84295</v>
      </c>
    </row>
    <row r="169" spans="1:17">
      <c r="A169" s="794">
        <v>1</v>
      </c>
      <c r="B169" s="787" t="s">
        <v>1216</v>
      </c>
      <c r="C169" s="4" t="s">
        <v>12050</v>
      </c>
      <c r="D169" s="790">
        <v>3065</v>
      </c>
      <c r="E169" s="790">
        <v>3032</v>
      </c>
      <c r="F169" s="790">
        <v>3109</v>
      </c>
      <c r="G169" s="790">
        <v>3203</v>
      </c>
      <c r="H169" s="30">
        <v>3162</v>
      </c>
      <c r="I169" s="30">
        <v>3202</v>
      </c>
      <c r="J169" s="30">
        <v>3142</v>
      </c>
      <c r="K169" s="30">
        <v>3284</v>
      </c>
      <c r="L169" s="30">
        <v>3287</v>
      </c>
      <c r="N169" s="787" t="s">
        <v>113</v>
      </c>
      <c r="O169" s="4"/>
      <c r="Q169" s="4"/>
    </row>
    <row r="170" spans="1:17">
      <c r="A170" s="794">
        <v>2</v>
      </c>
      <c r="B170" s="787" t="s">
        <v>1217</v>
      </c>
      <c r="C170" s="4" t="s">
        <v>12051</v>
      </c>
      <c r="D170" s="790">
        <v>4658</v>
      </c>
      <c r="E170" s="790">
        <v>4722</v>
      </c>
      <c r="F170" s="790">
        <v>4725</v>
      </c>
      <c r="G170" s="790">
        <v>4759</v>
      </c>
      <c r="H170" s="30">
        <v>4454</v>
      </c>
      <c r="I170" s="30">
        <v>4490</v>
      </c>
      <c r="J170" s="30">
        <v>4505</v>
      </c>
      <c r="K170" s="30">
        <v>4809</v>
      </c>
      <c r="L170" s="30">
        <v>4776</v>
      </c>
      <c r="N170" s="787" t="s">
        <v>113</v>
      </c>
      <c r="O170" s="4"/>
      <c r="Q170" s="4"/>
    </row>
    <row r="171" spans="1:17">
      <c r="A171" s="794">
        <v>3</v>
      </c>
      <c r="B171" s="787" t="s">
        <v>4556</v>
      </c>
      <c r="C171" s="4" t="s">
        <v>12052</v>
      </c>
      <c r="D171" s="790">
        <v>1769</v>
      </c>
      <c r="E171" s="790">
        <v>1750</v>
      </c>
      <c r="F171" s="790">
        <v>1769</v>
      </c>
      <c r="G171" s="790">
        <v>1764</v>
      </c>
      <c r="H171" s="30">
        <v>1716</v>
      </c>
      <c r="I171" s="30">
        <v>1745</v>
      </c>
      <c r="J171" s="30">
        <v>1747</v>
      </c>
      <c r="K171" s="30">
        <v>1858</v>
      </c>
      <c r="L171" s="30">
        <v>1843</v>
      </c>
      <c r="N171" s="787" t="s">
        <v>113</v>
      </c>
      <c r="O171" s="4"/>
      <c r="Q171" s="4"/>
    </row>
    <row r="172" spans="1:17">
      <c r="A172" s="794">
        <v>4</v>
      </c>
      <c r="B172" s="787" t="s">
        <v>1218</v>
      </c>
      <c r="C172" s="4" t="s">
        <v>12053</v>
      </c>
      <c r="D172" s="790">
        <v>1839</v>
      </c>
      <c r="E172" s="790">
        <v>1915</v>
      </c>
      <c r="F172" s="790">
        <v>1915</v>
      </c>
      <c r="G172" s="790">
        <v>1911</v>
      </c>
      <c r="H172" s="30">
        <v>1838</v>
      </c>
      <c r="I172" s="30">
        <v>1867</v>
      </c>
      <c r="J172" s="30">
        <v>1819</v>
      </c>
      <c r="K172" s="30">
        <v>1865</v>
      </c>
      <c r="L172" s="30">
        <v>1889</v>
      </c>
      <c r="N172" s="787" t="s">
        <v>113</v>
      </c>
      <c r="O172" s="4"/>
      <c r="Q172" s="4"/>
    </row>
    <row r="173" spans="1:17">
      <c r="A173" s="794">
        <v>5</v>
      </c>
      <c r="B173" s="787" t="s">
        <v>1219</v>
      </c>
      <c r="C173" s="4" t="s">
        <v>12054</v>
      </c>
      <c r="D173" s="790">
        <v>4571</v>
      </c>
      <c r="E173" s="790">
        <v>4559</v>
      </c>
      <c r="F173" s="790">
        <v>4597</v>
      </c>
      <c r="G173" s="790">
        <v>4566</v>
      </c>
      <c r="H173" s="30">
        <v>4225</v>
      </c>
      <c r="I173" s="30">
        <v>4274</v>
      </c>
      <c r="J173" s="30">
        <v>4180</v>
      </c>
      <c r="K173" s="30">
        <v>4331</v>
      </c>
      <c r="L173" s="30">
        <v>4300</v>
      </c>
      <c r="N173" s="787" t="s">
        <v>113</v>
      </c>
      <c r="O173" s="4"/>
      <c r="Q173" s="4"/>
    </row>
    <row r="174" spans="1:17">
      <c r="A174" s="794">
        <v>6</v>
      </c>
      <c r="B174" s="787" t="s">
        <v>1220</v>
      </c>
      <c r="C174" s="4" t="s">
        <v>12055</v>
      </c>
      <c r="D174" s="790">
        <v>1708</v>
      </c>
      <c r="E174" s="790">
        <v>1705</v>
      </c>
      <c r="F174" s="790">
        <v>1743</v>
      </c>
      <c r="G174" s="790">
        <v>1729</v>
      </c>
      <c r="H174" s="30">
        <v>1654</v>
      </c>
      <c r="I174" s="30">
        <v>1656</v>
      </c>
      <c r="J174" s="30">
        <v>1635</v>
      </c>
      <c r="K174" s="30">
        <v>1729</v>
      </c>
      <c r="L174" s="30">
        <v>1727</v>
      </c>
      <c r="N174" s="787" t="s">
        <v>113</v>
      </c>
      <c r="O174" s="4"/>
      <c r="Q174" s="4"/>
    </row>
    <row r="175" spans="1:17">
      <c r="A175" s="794">
        <v>7</v>
      </c>
      <c r="B175" s="787" t="s">
        <v>1221</v>
      </c>
      <c r="C175" s="4" t="s">
        <v>12056</v>
      </c>
      <c r="D175" s="790">
        <v>1733</v>
      </c>
      <c r="E175" s="790">
        <v>1736</v>
      </c>
      <c r="F175" s="790">
        <v>1755</v>
      </c>
      <c r="G175" s="790">
        <v>1776</v>
      </c>
      <c r="H175" s="30">
        <v>1646</v>
      </c>
      <c r="I175" s="30">
        <v>1729</v>
      </c>
      <c r="J175" s="30">
        <v>1695</v>
      </c>
      <c r="K175" s="30">
        <v>1734</v>
      </c>
      <c r="L175" s="30">
        <v>1691</v>
      </c>
      <c r="N175" s="787" t="s">
        <v>113</v>
      </c>
      <c r="O175" s="4"/>
      <c r="Q175" s="4"/>
    </row>
    <row r="176" spans="1:17">
      <c r="A176" s="794">
        <v>8</v>
      </c>
      <c r="B176" s="787" t="s">
        <v>4579</v>
      </c>
      <c r="C176" s="4" t="s">
        <v>12057</v>
      </c>
      <c r="D176" s="790">
        <v>1809</v>
      </c>
      <c r="E176" s="790">
        <v>1801</v>
      </c>
      <c r="F176" s="790">
        <v>1846</v>
      </c>
      <c r="G176" s="790">
        <v>1877</v>
      </c>
      <c r="H176" s="30">
        <v>1741</v>
      </c>
      <c r="I176" s="30">
        <v>1803</v>
      </c>
      <c r="J176" s="30">
        <v>1779</v>
      </c>
      <c r="K176" s="30">
        <v>1829</v>
      </c>
      <c r="L176" s="30">
        <v>1854</v>
      </c>
      <c r="N176" s="787" t="s">
        <v>113</v>
      </c>
      <c r="O176" s="4"/>
      <c r="Q176" s="4"/>
    </row>
    <row r="177" spans="1:17">
      <c r="A177" s="794">
        <v>9</v>
      </c>
      <c r="B177" s="787" t="s">
        <v>1222</v>
      </c>
      <c r="C177" s="4" t="s">
        <v>12058</v>
      </c>
      <c r="D177" s="790">
        <v>2602</v>
      </c>
      <c r="E177" s="790">
        <v>2610</v>
      </c>
      <c r="F177" s="790">
        <v>2581</v>
      </c>
      <c r="G177" s="790">
        <v>2593</v>
      </c>
      <c r="H177" s="31">
        <v>2437</v>
      </c>
      <c r="I177" s="31">
        <v>2454</v>
      </c>
      <c r="J177" s="31">
        <v>2411</v>
      </c>
      <c r="K177" s="31">
        <v>2551</v>
      </c>
      <c r="L177" s="31">
        <v>2626</v>
      </c>
      <c r="N177" s="787" t="s">
        <v>113</v>
      </c>
      <c r="O177" s="4"/>
      <c r="Q177" s="4"/>
    </row>
    <row r="178" spans="1:17">
      <c r="A178" s="794">
        <v>10</v>
      </c>
      <c r="B178" s="787" t="s">
        <v>1223</v>
      </c>
      <c r="C178" s="4" t="s">
        <v>12059</v>
      </c>
      <c r="D178" s="790">
        <v>1818</v>
      </c>
      <c r="E178" s="790">
        <v>1884</v>
      </c>
      <c r="F178" s="790">
        <v>1957</v>
      </c>
      <c r="G178" s="790">
        <v>2066</v>
      </c>
      <c r="H178" s="31">
        <v>1916</v>
      </c>
      <c r="I178" s="31">
        <v>1999</v>
      </c>
      <c r="J178" s="31">
        <v>2061</v>
      </c>
      <c r="K178" s="31">
        <v>2375</v>
      </c>
      <c r="L178" s="31">
        <v>2480</v>
      </c>
      <c r="N178" s="787" t="s">
        <v>113</v>
      </c>
      <c r="O178" s="4"/>
      <c r="Q178" s="4"/>
    </row>
    <row r="179" spans="1:17">
      <c r="A179" s="794">
        <v>11</v>
      </c>
      <c r="B179" s="787" t="s">
        <v>2900</v>
      </c>
      <c r="C179" s="4" t="s">
        <v>12060</v>
      </c>
      <c r="D179" s="790">
        <v>3194</v>
      </c>
      <c r="E179" s="790">
        <v>3189</v>
      </c>
      <c r="F179" s="790">
        <v>3272</v>
      </c>
      <c r="G179" s="790">
        <v>3284</v>
      </c>
      <c r="H179" s="31">
        <v>3147</v>
      </c>
      <c r="I179" s="31">
        <v>3166</v>
      </c>
      <c r="J179" s="31">
        <v>3169</v>
      </c>
      <c r="K179" s="31">
        <v>3390</v>
      </c>
      <c r="L179" s="31">
        <v>3471</v>
      </c>
      <c r="N179" s="787" t="s">
        <v>113</v>
      </c>
      <c r="O179" s="4"/>
      <c r="Q179" s="4"/>
    </row>
    <row r="180" spans="1:17">
      <c r="A180" s="794">
        <v>12</v>
      </c>
      <c r="B180" s="787" t="s">
        <v>2901</v>
      </c>
      <c r="C180" s="4" t="s">
        <v>12061</v>
      </c>
      <c r="D180" s="790">
        <v>2978</v>
      </c>
      <c r="E180" s="790">
        <v>3005</v>
      </c>
      <c r="F180" s="790">
        <v>2989</v>
      </c>
      <c r="G180" s="790">
        <v>3112</v>
      </c>
      <c r="H180" s="31">
        <v>3018</v>
      </c>
      <c r="I180" s="31">
        <v>3023</v>
      </c>
      <c r="J180" s="31">
        <v>2960</v>
      </c>
      <c r="K180" s="31">
        <v>3066</v>
      </c>
      <c r="L180" s="31">
        <v>3069</v>
      </c>
      <c r="N180" s="787" t="s">
        <v>113</v>
      </c>
      <c r="O180" s="4"/>
      <c r="Q180" s="4"/>
    </row>
    <row r="181" spans="1:17">
      <c r="A181" s="794">
        <v>13</v>
      </c>
      <c r="B181" s="787" t="s">
        <v>2902</v>
      </c>
      <c r="C181" s="4" t="s">
        <v>12062</v>
      </c>
      <c r="D181" s="790">
        <v>4775</v>
      </c>
      <c r="E181" s="790">
        <v>4802</v>
      </c>
      <c r="F181" s="790">
        <v>4806</v>
      </c>
      <c r="G181" s="790">
        <v>4802</v>
      </c>
      <c r="H181" s="30">
        <v>4239</v>
      </c>
      <c r="I181" s="30">
        <v>4312</v>
      </c>
      <c r="J181" s="30">
        <v>4185</v>
      </c>
      <c r="K181" s="30">
        <v>4353</v>
      </c>
      <c r="L181" s="30">
        <v>4396</v>
      </c>
      <c r="N181" s="787" t="s">
        <v>113</v>
      </c>
      <c r="O181" s="4"/>
      <c r="Q181" s="4"/>
    </row>
    <row r="182" spans="1:17">
      <c r="A182" s="794">
        <v>14</v>
      </c>
      <c r="B182" s="787" t="s">
        <v>2903</v>
      </c>
      <c r="C182" s="4" t="s">
        <v>12063</v>
      </c>
      <c r="D182" s="790">
        <v>2699</v>
      </c>
      <c r="E182" s="790">
        <v>2847</v>
      </c>
      <c r="F182" s="790">
        <v>2890</v>
      </c>
      <c r="G182" s="790">
        <v>2811</v>
      </c>
      <c r="H182" s="30">
        <v>2318</v>
      </c>
      <c r="I182" s="30">
        <v>2408</v>
      </c>
      <c r="J182" s="30">
        <v>2503</v>
      </c>
      <c r="K182" s="30">
        <v>2607</v>
      </c>
      <c r="L182" s="30">
        <v>2723</v>
      </c>
      <c r="N182" s="787" t="s">
        <v>113</v>
      </c>
      <c r="O182" s="4"/>
      <c r="Q182" s="4"/>
    </row>
    <row r="183" spans="1:17">
      <c r="A183" s="794">
        <v>15</v>
      </c>
      <c r="B183" s="787" t="s">
        <v>4623</v>
      </c>
      <c r="C183" s="4" t="s">
        <v>12064</v>
      </c>
      <c r="D183" s="790">
        <v>4583</v>
      </c>
      <c r="E183" s="790">
        <v>4598</v>
      </c>
      <c r="F183" s="790">
        <v>4584</v>
      </c>
      <c r="G183" s="790">
        <v>4587</v>
      </c>
      <c r="H183" s="30">
        <v>3796</v>
      </c>
      <c r="I183" s="30">
        <v>3880</v>
      </c>
      <c r="J183" s="30">
        <v>3952</v>
      </c>
      <c r="K183" s="30">
        <v>4142</v>
      </c>
      <c r="L183" s="30">
        <v>4175</v>
      </c>
      <c r="N183" s="787" t="s">
        <v>113</v>
      </c>
      <c r="O183" s="4"/>
      <c r="Q183" s="4"/>
    </row>
    <row r="184" spans="1:17">
      <c r="A184" s="794">
        <v>16</v>
      </c>
      <c r="B184" s="787" t="s">
        <v>4624</v>
      </c>
      <c r="C184" s="4" t="s">
        <v>12065</v>
      </c>
      <c r="D184" s="790">
        <v>4635</v>
      </c>
      <c r="E184" s="790">
        <v>4562</v>
      </c>
      <c r="F184" s="790">
        <v>4614</v>
      </c>
      <c r="G184" s="790">
        <v>4534</v>
      </c>
      <c r="H184" s="30">
        <v>3686</v>
      </c>
      <c r="I184" s="30">
        <v>3824</v>
      </c>
      <c r="J184" s="30">
        <v>3745</v>
      </c>
      <c r="K184" s="30">
        <v>3971</v>
      </c>
      <c r="L184" s="30">
        <v>3992</v>
      </c>
      <c r="N184" s="787" t="s">
        <v>113</v>
      </c>
      <c r="O184" s="4"/>
      <c r="Q184" s="4"/>
    </row>
    <row r="185" spans="1:17">
      <c r="A185" s="794">
        <v>17</v>
      </c>
      <c r="B185" s="787" t="s">
        <v>4625</v>
      </c>
      <c r="C185" s="4" t="s">
        <v>12066</v>
      </c>
      <c r="D185" s="790">
        <v>3056</v>
      </c>
      <c r="E185" s="790">
        <v>3027</v>
      </c>
      <c r="F185" s="790">
        <v>3037</v>
      </c>
      <c r="G185" s="790">
        <v>3058</v>
      </c>
      <c r="H185" s="30">
        <v>2901</v>
      </c>
      <c r="I185" s="30">
        <v>2954</v>
      </c>
      <c r="J185" s="30">
        <v>2854</v>
      </c>
      <c r="K185" s="30">
        <v>2956</v>
      </c>
      <c r="L185" s="30">
        <v>2991</v>
      </c>
      <c r="N185" s="787" t="s">
        <v>113</v>
      </c>
      <c r="O185" s="4"/>
      <c r="Q185" s="4"/>
    </row>
    <row r="186" spans="1:17">
      <c r="A186" s="794">
        <v>18</v>
      </c>
      <c r="B186" s="787" t="s">
        <v>4626</v>
      </c>
      <c r="C186" s="4" t="s">
        <v>12067</v>
      </c>
      <c r="D186" s="790">
        <v>3968</v>
      </c>
      <c r="E186" s="790">
        <v>3976</v>
      </c>
      <c r="F186" s="790">
        <v>3991</v>
      </c>
      <c r="G186" s="790">
        <v>3976</v>
      </c>
      <c r="H186" s="30">
        <v>3431</v>
      </c>
      <c r="I186" s="30">
        <v>3543</v>
      </c>
      <c r="J186" s="30">
        <v>3650</v>
      </c>
      <c r="K186" s="30">
        <v>3907</v>
      </c>
      <c r="L186" s="30">
        <v>3984</v>
      </c>
      <c r="N186" s="787" t="s">
        <v>113</v>
      </c>
      <c r="O186" s="4"/>
      <c r="Q186" s="4"/>
    </row>
    <row r="187" spans="1:17">
      <c r="A187" s="794">
        <v>19</v>
      </c>
      <c r="B187" s="787" t="s">
        <v>4627</v>
      </c>
      <c r="C187" s="4" t="s">
        <v>12068</v>
      </c>
      <c r="D187" s="790">
        <v>4117</v>
      </c>
      <c r="E187" s="790">
        <v>4196</v>
      </c>
      <c r="F187" s="790">
        <v>4270</v>
      </c>
      <c r="G187" s="790">
        <v>4300</v>
      </c>
      <c r="H187" s="30">
        <v>3921</v>
      </c>
      <c r="I187" s="30">
        <v>4001</v>
      </c>
      <c r="J187" s="30">
        <v>3933</v>
      </c>
      <c r="K187" s="30">
        <v>4097</v>
      </c>
      <c r="L187" s="30">
        <v>4098</v>
      </c>
      <c r="N187" s="787" t="s">
        <v>113</v>
      </c>
      <c r="O187" s="4"/>
      <c r="Q187" s="4"/>
    </row>
    <row r="188" spans="1:17">
      <c r="A188" s="794">
        <v>20</v>
      </c>
      <c r="B188" s="787" t="s">
        <v>2886</v>
      </c>
      <c r="C188" s="4" t="s">
        <v>12069</v>
      </c>
      <c r="D188" s="790">
        <v>4829</v>
      </c>
      <c r="E188" s="790">
        <v>4835</v>
      </c>
      <c r="F188" s="790">
        <v>4843</v>
      </c>
      <c r="G188" s="790">
        <v>4887</v>
      </c>
      <c r="H188" s="31">
        <v>4226</v>
      </c>
      <c r="I188" s="31">
        <v>4273</v>
      </c>
      <c r="J188" s="31">
        <v>4171</v>
      </c>
      <c r="K188" s="31">
        <v>4300</v>
      </c>
      <c r="L188" s="31">
        <v>4323</v>
      </c>
      <c r="N188" s="787" t="s">
        <v>113</v>
      </c>
      <c r="O188" s="4"/>
      <c r="Q188" s="4"/>
    </row>
    <row r="189" spans="1:17">
      <c r="A189" s="794">
        <v>21</v>
      </c>
      <c r="B189" s="787" t="s">
        <v>2574</v>
      </c>
      <c r="C189" s="4" t="s">
        <v>12070</v>
      </c>
      <c r="D189" s="790">
        <v>1590</v>
      </c>
      <c r="E189" s="790">
        <v>1578</v>
      </c>
      <c r="F189" s="790">
        <v>1591</v>
      </c>
      <c r="G189" s="790">
        <v>1575</v>
      </c>
      <c r="H189" s="31">
        <v>1529</v>
      </c>
      <c r="I189" s="31">
        <v>1550</v>
      </c>
      <c r="J189" s="31">
        <v>1511</v>
      </c>
      <c r="K189" s="31">
        <v>1644</v>
      </c>
      <c r="L189" s="31">
        <v>1656</v>
      </c>
      <c r="N189" s="787" t="s">
        <v>113</v>
      </c>
      <c r="O189" s="4"/>
      <c r="Q189" s="4"/>
    </row>
    <row r="190" spans="1:17">
      <c r="A190" s="794">
        <v>22</v>
      </c>
      <c r="B190" s="787" t="s">
        <v>2575</v>
      </c>
      <c r="C190" s="4" t="s">
        <v>12071</v>
      </c>
      <c r="D190" s="790">
        <v>2520</v>
      </c>
      <c r="E190" s="790">
        <v>2750</v>
      </c>
      <c r="F190" s="790">
        <v>2962</v>
      </c>
      <c r="G190" s="790">
        <v>3031</v>
      </c>
      <c r="H190" s="31">
        <v>2744</v>
      </c>
      <c r="I190" s="31">
        <v>2797</v>
      </c>
      <c r="J190" s="31">
        <v>2894</v>
      </c>
      <c r="K190" s="31">
        <v>3385</v>
      </c>
      <c r="L190" s="31">
        <v>3576</v>
      </c>
      <c r="N190" s="787" t="s">
        <v>113</v>
      </c>
      <c r="O190" s="4"/>
      <c r="Q190" s="4"/>
    </row>
    <row r="191" spans="1:17">
      <c r="A191" s="794">
        <v>23</v>
      </c>
      <c r="B191" s="787" t="s">
        <v>2576</v>
      </c>
      <c r="C191" s="4" t="s">
        <v>12072</v>
      </c>
      <c r="D191" s="790">
        <v>2973</v>
      </c>
      <c r="E191" s="790">
        <v>2975</v>
      </c>
      <c r="F191" s="790">
        <v>2994</v>
      </c>
      <c r="G191" s="790">
        <v>2992</v>
      </c>
      <c r="H191" s="31">
        <v>2676</v>
      </c>
      <c r="I191" s="31">
        <v>2763</v>
      </c>
      <c r="J191" s="31">
        <v>2753</v>
      </c>
      <c r="K191" s="31">
        <v>2894</v>
      </c>
      <c r="L191" s="31">
        <v>2948</v>
      </c>
      <c r="N191" s="787" t="s">
        <v>113</v>
      </c>
      <c r="O191" s="4"/>
      <c r="Q191" s="4"/>
    </row>
    <row r="192" spans="1:17">
      <c r="A192" s="794">
        <v>24</v>
      </c>
      <c r="B192" s="787" t="s">
        <v>2577</v>
      </c>
      <c r="C192" s="4" t="s">
        <v>12073</v>
      </c>
      <c r="D192" s="790">
        <v>4523</v>
      </c>
      <c r="E192" s="790">
        <v>4537</v>
      </c>
      <c r="F192" s="790">
        <v>4613</v>
      </c>
      <c r="G192" s="790">
        <v>4661</v>
      </c>
      <c r="H192" s="31">
        <v>4436</v>
      </c>
      <c r="I192" s="31">
        <v>4503</v>
      </c>
      <c r="J192" s="31">
        <v>4473</v>
      </c>
      <c r="K192" s="31">
        <v>4733</v>
      </c>
      <c r="L192" s="31">
        <v>4764</v>
      </c>
      <c r="N192" s="787" t="s">
        <v>113</v>
      </c>
      <c r="O192" s="4"/>
      <c r="Q192" s="4"/>
    </row>
    <row r="193" spans="1:17">
      <c r="A193" s="794">
        <v>25</v>
      </c>
      <c r="B193" s="787" t="s">
        <v>2578</v>
      </c>
      <c r="C193" s="4" t="s">
        <v>12074</v>
      </c>
      <c r="D193" s="790">
        <v>3282</v>
      </c>
      <c r="E193" s="790">
        <v>3291</v>
      </c>
      <c r="F193" s="790">
        <v>3275</v>
      </c>
      <c r="G193" s="790">
        <v>3285</v>
      </c>
      <c r="H193" s="31">
        <v>3257</v>
      </c>
      <c r="I193" s="31">
        <v>3421</v>
      </c>
      <c r="J193" s="31">
        <v>3574</v>
      </c>
      <c r="K193" s="31">
        <v>4241</v>
      </c>
      <c r="L193" s="31">
        <v>4530</v>
      </c>
      <c r="N193" s="787" t="s">
        <v>113</v>
      </c>
      <c r="O193" s="4"/>
      <c r="Q193" s="4"/>
    </row>
    <row r="194" spans="1:17">
      <c r="A194" s="794">
        <v>26</v>
      </c>
      <c r="B194" s="787" t="s">
        <v>2579</v>
      </c>
      <c r="C194" s="4" t="s">
        <v>12075</v>
      </c>
      <c r="D194" s="790">
        <v>2987</v>
      </c>
      <c r="E194" s="790">
        <v>3000</v>
      </c>
      <c r="F194" s="790">
        <v>2995</v>
      </c>
      <c r="G194" s="790">
        <v>3023</v>
      </c>
      <c r="H194" s="31">
        <v>2875</v>
      </c>
      <c r="I194" s="31">
        <v>2868</v>
      </c>
      <c r="J194" s="31">
        <v>2886</v>
      </c>
      <c r="K194" s="31">
        <v>3099</v>
      </c>
      <c r="L194" s="31">
        <v>3126</v>
      </c>
      <c r="N194" s="787" t="s">
        <v>113</v>
      </c>
      <c r="O194" s="4"/>
      <c r="Q194" s="4"/>
    </row>
    <row r="195" spans="1:17">
      <c r="D195" s="790"/>
      <c r="E195" s="790"/>
      <c r="F195" s="790"/>
      <c r="G195" s="790"/>
      <c r="H195" s="790"/>
      <c r="I195" s="790"/>
      <c r="J195" s="790"/>
      <c r="K195" s="790"/>
      <c r="L195" s="790"/>
    </row>
    <row r="196" spans="1:17">
      <c r="A196" s="787" t="s">
        <v>113</v>
      </c>
      <c r="D196" s="789">
        <f t="shared" ref="D196:I196" si="96">SUM(D169:D194)</f>
        <v>82281</v>
      </c>
      <c r="E196" s="789">
        <f t="shared" si="96"/>
        <v>82882</v>
      </c>
      <c r="F196" s="789">
        <f t="shared" si="96"/>
        <v>83723</v>
      </c>
      <c r="G196" s="789">
        <f t="shared" si="96"/>
        <v>84162</v>
      </c>
      <c r="H196" s="789">
        <f t="shared" si="96"/>
        <v>76989</v>
      </c>
      <c r="I196" s="789">
        <f t="shared" si="96"/>
        <v>78505</v>
      </c>
      <c r="J196" s="789">
        <f t="shared" ref="J196" si="97">SUM(J169:J194)</f>
        <v>78187</v>
      </c>
      <c r="K196" s="789">
        <f>SUM(K169:K194)</f>
        <v>83150</v>
      </c>
      <c r="L196" s="789">
        <f>SUM(L169:L194)</f>
        <v>84295</v>
      </c>
    </row>
    <row r="197" spans="1:17">
      <c r="A197" s="787"/>
      <c r="B197" s="787"/>
      <c r="D197" s="795"/>
      <c r="E197" s="795"/>
      <c r="F197" s="795"/>
      <c r="G197" s="795"/>
      <c r="H197" s="795"/>
      <c r="I197" s="795"/>
      <c r="J197" s="795"/>
      <c r="K197" s="795"/>
      <c r="L197" s="795"/>
    </row>
    <row r="198" spans="1:17">
      <c r="A198" s="787" t="s">
        <v>2580</v>
      </c>
      <c r="B198" s="787"/>
      <c r="D198" s="795"/>
      <c r="E198" s="795"/>
      <c r="F198" s="795"/>
      <c r="G198" s="795"/>
      <c r="H198" s="795"/>
      <c r="I198" s="795"/>
      <c r="J198" s="795"/>
      <c r="K198" s="795"/>
      <c r="L198" s="795"/>
    </row>
    <row r="199" spans="1:17">
      <c r="A199" s="787"/>
      <c r="B199" s="787"/>
      <c r="D199" s="795"/>
      <c r="E199" s="795"/>
      <c r="F199" s="795"/>
      <c r="G199" s="795"/>
      <c r="H199" s="795"/>
      <c r="I199" s="795"/>
      <c r="J199" s="795"/>
      <c r="K199" s="795"/>
      <c r="L199" s="795"/>
    </row>
    <row r="200" spans="1:17">
      <c r="A200" s="787"/>
      <c r="B200" s="787"/>
      <c r="D200" s="795"/>
      <c r="E200" s="795"/>
      <c r="F200" s="795"/>
      <c r="G200" s="795"/>
      <c r="H200" s="795"/>
      <c r="I200" s="795"/>
      <c r="J200" s="795"/>
      <c r="K200" s="795"/>
      <c r="L200" s="795"/>
    </row>
    <row r="201" spans="1:17">
      <c r="E201" s="42" t="s">
        <v>2303</v>
      </c>
      <c r="F201" s="42"/>
      <c r="G201" s="42"/>
      <c r="H201" s="42"/>
      <c r="I201" s="42"/>
      <c r="J201" s="42"/>
      <c r="K201" s="42"/>
      <c r="L201" s="42"/>
      <c r="N201" s="109" t="s">
        <v>13319</v>
      </c>
    </row>
    <row r="202" spans="1:17">
      <c r="D202" s="110">
        <v>2010</v>
      </c>
      <c r="E202" s="110">
        <v>2011</v>
      </c>
      <c r="F202" s="110">
        <v>2012</v>
      </c>
      <c r="G202" s="110">
        <v>2013</v>
      </c>
      <c r="H202" s="110">
        <v>2014</v>
      </c>
      <c r="I202" s="110">
        <v>2015</v>
      </c>
      <c r="J202" s="110">
        <v>2016</v>
      </c>
      <c r="K202" s="110">
        <v>2017</v>
      </c>
      <c r="L202" s="110">
        <v>2018</v>
      </c>
      <c r="M202" s="111"/>
      <c r="N202" s="112" t="s">
        <v>2304</v>
      </c>
    </row>
    <row r="203" spans="1:17">
      <c r="A203" s="787" t="s">
        <v>2581</v>
      </c>
      <c r="D203" s="789">
        <f t="shared" ref="D203:I203" si="98">SUM(D204:D219)</f>
        <v>27945</v>
      </c>
      <c r="E203" s="789">
        <f t="shared" si="98"/>
        <v>28424</v>
      </c>
      <c r="F203" s="789">
        <f t="shared" si="98"/>
        <v>27849</v>
      </c>
      <c r="G203" s="789">
        <f t="shared" si="98"/>
        <v>27870</v>
      </c>
      <c r="H203" s="789">
        <f t="shared" si="98"/>
        <v>27885</v>
      </c>
      <c r="I203" s="789">
        <f t="shared" si="98"/>
        <v>27213</v>
      </c>
      <c r="J203" s="789">
        <f t="shared" ref="J203:K203" si="99">SUM(J204:J219)</f>
        <v>26264</v>
      </c>
      <c r="K203" s="789">
        <f t="shared" si="99"/>
        <v>27176</v>
      </c>
      <c r="L203" s="789">
        <f t="shared" ref="L203" si="100">SUM(L204:L219)</f>
        <v>27601</v>
      </c>
      <c r="O203" s="70"/>
      <c r="Q203" s="4"/>
    </row>
    <row r="204" spans="1:17">
      <c r="A204" s="794">
        <v>1</v>
      </c>
      <c r="B204" s="787" t="s">
        <v>12839</v>
      </c>
      <c r="C204" s="4" t="s">
        <v>12845</v>
      </c>
      <c r="D204" s="790">
        <v>27945</v>
      </c>
      <c r="E204" s="790">
        <v>2156</v>
      </c>
      <c r="F204" s="790">
        <v>2159</v>
      </c>
      <c r="G204" s="30">
        <v>2191</v>
      </c>
      <c r="H204" s="30">
        <v>2199</v>
      </c>
      <c r="I204" s="30">
        <v>2214</v>
      </c>
      <c r="J204" s="30">
        <v>2103</v>
      </c>
      <c r="K204" s="30">
        <v>2162</v>
      </c>
      <c r="L204" s="30">
        <v>2227</v>
      </c>
      <c r="N204" s="787" t="s">
        <v>2796</v>
      </c>
      <c r="O204" s="930"/>
      <c r="P204" s="953"/>
      <c r="Q204" s="945"/>
    </row>
    <row r="205" spans="1:17">
      <c r="A205" s="794">
        <v>2</v>
      </c>
      <c r="B205" s="787" t="s">
        <v>12840</v>
      </c>
      <c r="C205" s="4" t="s">
        <v>12846</v>
      </c>
      <c r="D205" s="790">
        <v>0</v>
      </c>
      <c r="E205" s="790">
        <v>1059</v>
      </c>
      <c r="F205" s="790">
        <v>1061</v>
      </c>
      <c r="G205" s="30">
        <v>1034</v>
      </c>
      <c r="H205" s="30">
        <v>1015</v>
      </c>
      <c r="I205" s="30">
        <v>998</v>
      </c>
      <c r="J205" s="30">
        <v>955</v>
      </c>
      <c r="K205" s="30">
        <v>1014</v>
      </c>
      <c r="L205" s="30">
        <v>1023</v>
      </c>
      <c r="N205" s="787" t="s">
        <v>2796</v>
      </c>
      <c r="O205" s="930"/>
      <c r="P205" s="953"/>
      <c r="Q205" s="945"/>
    </row>
    <row r="206" spans="1:17">
      <c r="A206" s="794">
        <v>3</v>
      </c>
      <c r="B206" s="787" t="s">
        <v>2582</v>
      </c>
      <c r="C206" s="4" t="s">
        <v>12847</v>
      </c>
      <c r="D206" s="790">
        <v>0</v>
      </c>
      <c r="E206" s="790">
        <v>1014</v>
      </c>
      <c r="F206" s="790">
        <v>958</v>
      </c>
      <c r="G206" s="30">
        <v>975</v>
      </c>
      <c r="H206" s="30">
        <v>986</v>
      </c>
      <c r="I206" s="30">
        <v>971</v>
      </c>
      <c r="J206" s="30">
        <v>952</v>
      </c>
      <c r="K206" s="30">
        <v>987</v>
      </c>
      <c r="L206" s="30">
        <v>993</v>
      </c>
      <c r="N206" s="787" t="s">
        <v>2796</v>
      </c>
      <c r="O206" s="930"/>
      <c r="P206" s="953"/>
      <c r="Q206" s="945"/>
    </row>
    <row r="207" spans="1:17">
      <c r="A207" s="794">
        <v>4</v>
      </c>
      <c r="B207" s="787" t="s">
        <v>2583</v>
      </c>
      <c r="C207" s="4" t="s">
        <v>12848</v>
      </c>
      <c r="D207" s="790">
        <v>0</v>
      </c>
      <c r="E207" s="790">
        <v>1080</v>
      </c>
      <c r="F207" s="790">
        <v>1045</v>
      </c>
      <c r="G207" s="30">
        <v>1014</v>
      </c>
      <c r="H207" s="30">
        <v>1009</v>
      </c>
      <c r="I207" s="30">
        <v>976</v>
      </c>
      <c r="J207" s="30">
        <v>955</v>
      </c>
      <c r="K207" s="30">
        <v>1007</v>
      </c>
      <c r="L207" s="30">
        <v>1011</v>
      </c>
      <c r="N207" s="787" t="s">
        <v>2796</v>
      </c>
      <c r="O207" s="930"/>
      <c r="P207" s="953"/>
      <c r="Q207" s="945"/>
    </row>
    <row r="208" spans="1:17">
      <c r="A208" s="794">
        <v>5</v>
      </c>
      <c r="B208" s="787" t="s">
        <v>12841</v>
      </c>
      <c r="C208" s="4" t="s">
        <v>12849</v>
      </c>
      <c r="D208" s="790">
        <v>0</v>
      </c>
      <c r="E208" s="790">
        <v>2070</v>
      </c>
      <c r="F208" s="790">
        <v>2039</v>
      </c>
      <c r="G208" s="30">
        <v>2010</v>
      </c>
      <c r="H208" s="30">
        <v>2070</v>
      </c>
      <c r="I208" s="30">
        <v>2029</v>
      </c>
      <c r="J208" s="30">
        <v>1915</v>
      </c>
      <c r="K208" s="30">
        <v>1985</v>
      </c>
      <c r="L208" s="30">
        <v>2000</v>
      </c>
      <c r="N208" s="787" t="s">
        <v>2796</v>
      </c>
      <c r="O208" s="930"/>
      <c r="P208" s="953"/>
      <c r="Q208" s="945"/>
    </row>
    <row r="209" spans="1:17">
      <c r="A209" s="794">
        <v>6</v>
      </c>
      <c r="B209" s="787" t="s">
        <v>12842</v>
      </c>
      <c r="C209" s="4" t="s">
        <v>12850</v>
      </c>
      <c r="D209" s="790">
        <v>0</v>
      </c>
      <c r="E209" s="790">
        <v>1056</v>
      </c>
      <c r="F209" s="790">
        <v>1022</v>
      </c>
      <c r="G209" s="30">
        <v>992</v>
      </c>
      <c r="H209" s="30">
        <v>990</v>
      </c>
      <c r="I209" s="30">
        <v>945</v>
      </c>
      <c r="J209" s="30">
        <v>954</v>
      </c>
      <c r="K209" s="30">
        <v>951</v>
      </c>
      <c r="L209" s="30">
        <v>1012</v>
      </c>
      <c r="N209" s="787" t="s">
        <v>2796</v>
      </c>
      <c r="O209" s="930"/>
      <c r="P209" s="953"/>
      <c r="Q209" s="945"/>
    </row>
    <row r="210" spans="1:17">
      <c r="A210" s="794">
        <v>7</v>
      </c>
      <c r="B210" s="787" t="s">
        <v>12843</v>
      </c>
      <c r="C210" s="4" t="s">
        <v>12851</v>
      </c>
      <c r="D210" s="790">
        <v>0</v>
      </c>
      <c r="E210" s="790">
        <v>1020</v>
      </c>
      <c r="F210" s="790">
        <v>980</v>
      </c>
      <c r="G210" s="30">
        <v>985</v>
      </c>
      <c r="H210" s="30">
        <v>962</v>
      </c>
      <c r="I210" s="30">
        <v>950</v>
      </c>
      <c r="J210" s="30">
        <v>918</v>
      </c>
      <c r="K210" s="30">
        <v>958</v>
      </c>
      <c r="L210" s="30">
        <v>959</v>
      </c>
      <c r="N210" s="787" t="s">
        <v>2796</v>
      </c>
      <c r="O210" s="930"/>
      <c r="P210" s="953"/>
      <c r="Q210" s="945"/>
    </row>
    <row r="211" spans="1:17">
      <c r="A211" s="794">
        <v>8</v>
      </c>
      <c r="B211" s="787" t="s">
        <v>12844</v>
      </c>
      <c r="C211" s="4" t="s">
        <v>12852</v>
      </c>
      <c r="D211" s="790">
        <v>0</v>
      </c>
      <c r="E211" s="790">
        <v>3184</v>
      </c>
      <c r="F211" s="790">
        <v>3075</v>
      </c>
      <c r="G211" s="30">
        <v>3101</v>
      </c>
      <c r="H211" s="30">
        <v>3116</v>
      </c>
      <c r="I211" s="30">
        <v>2944</v>
      </c>
      <c r="J211" s="30">
        <v>2842</v>
      </c>
      <c r="K211" s="30">
        <v>2965</v>
      </c>
      <c r="L211" s="30">
        <v>3019</v>
      </c>
      <c r="N211" s="787" t="s">
        <v>2796</v>
      </c>
      <c r="O211" s="930"/>
      <c r="P211" s="953"/>
      <c r="Q211" s="945"/>
    </row>
    <row r="212" spans="1:17">
      <c r="A212" s="794">
        <v>9</v>
      </c>
      <c r="B212" s="787" t="s">
        <v>2584</v>
      </c>
      <c r="C212" s="4" t="s">
        <v>12853</v>
      </c>
      <c r="D212" s="790">
        <v>0</v>
      </c>
      <c r="E212" s="790">
        <v>1819</v>
      </c>
      <c r="F212" s="790">
        <v>1822</v>
      </c>
      <c r="G212" s="30">
        <v>1846</v>
      </c>
      <c r="H212" s="30">
        <v>1845</v>
      </c>
      <c r="I212" s="30">
        <v>1815</v>
      </c>
      <c r="J212" s="30">
        <v>1653</v>
      </c>
      <c r="K212" s="30">
        <v>1681</v>
      </c>
      <c r="L212" s="30">
        <v>1718</v>
      </c>
      <c r="N212" s="787" t="s">
        <v>2796</v>
      </c>
      <c r="O212" s="930"/>
      <c r="P212" s="953"/>
      <c r="Q212" s="945"/>
    </row>
    <row r="213" spans="1:17">
      <c r="A213" s="794">
        <v>10</v>
      </c>
      <c r="B213" s="787" t="s">
        <v>2585</v>
      </c>
      <c r="C213" s="4" t="s">
        <v>12854</v>
      </c>
      <c r="D213" s="790">
        <v>0</v>
      </c>
      <c r="E213" s="790">
        <v>2104</v>
      </c>
      <c r="F213" s="790">
        <v>2056</v>
      </c>
      <c r="G213" s="30">
        <v>2060</v>
      </c>
      <c r="H213" s="30">
        <v>2028</v>
      </c>
      <c r="I213" s="30">
        <v>1978</v>
      </c>
      <c r="J213" s="30">
        <v>1946</v>
      </c>
      <c r="K213" s="30">
        <v>1950</v>
      </c>
      <c r="L213" s="30">
        <v>2000</v>
      </c>
      <c r="N213" s="787" t="s">
        <v>2796</v>
      </c>
      <c r="O213" s="930"/>
      <c r="P213" s="953"/>
      <c r="Q213" s="945"/>
    </row>
    <row r="214" spans="1:17">
      <c r="A214" s="794">
        <v>11</v>
      </c>
      <c r="B214" s="787" t="s">
        <v>2586</v>
      </c>
      <c r="C214" s="4" t="s">
        <v>12855</v>
      </c>
      <c r="D214" s="790">
        <v>0</v>
      </c>
      <c r="E214" s="790">
        <v>1825</v>
      </c>
      <c r="F214" s="790">
        <v>1778</v>
      </c>
      <c r="G214" s="30">
        <v>1795</v>
      </c>
      <c r="H214" s="30">
        <v>1784</v>
      </c>
      <c r="I214" s="30">
        <v>1705</v>
      </c>
      <c r="J214" s="30">
        <v>1717</v>
      </c>
      <c r="K214" s="30">
        <v>1806</v>
      </c>
      <c r="L214" s="30">
        <v>1815</v>
      </c>
      <c r="N214" s="787" t="s">
        <v>2796</v>
      </c>
      <c r="O214" s="930"/>
      <c r="P214" s="953"/>
      <c r="Q214" s="945"/>
    </row>
    <row r="215" spans="1:17">
      <c r="A215" s="794">
        <v>12</v>
      </c>
      <c r="B215" s="787" t="s">
        <v>2587</v>
      </c>
      <c r="C215" s="4" t="s">
        <v>12856</v>
      </c>
      <c r="D215" s="790">
        <v>0</v>
      </c>
      <c r="E215" s="790">
        <v>2048</v>
      </c>
      <c r="F215" s="790">
        <v>1952</v>
      </c>
      <c r="G215" s="30">
        <v>1936</v>
      </c>
      <c r="H215" s="30">
        <v>1959</v>
      </c>
      <c r="I215" s="30">
        <v>1936</v>
      </c>
      <c r="J215" s="30">
        <v>1857</v>
      </c>
      <c r="K215" s="30">
        <v>1917</v>
      </c>
      <c r="L215" s="30">
        <v>1923</v>
      </c>
      <c r="N215" s="787" t="s">
        <v>2796</v>
      </c>
      <c r="O215" s="930"/>
      <c r="P215" s="953"/>
      <c r="Q215" s="945"/>
    </row>
    <row r="216" spans="1:17">
      <c r="A216" s="794">
        <v>13</v>
      </c>
      <c r="B216" s="787" t="s">
        <v>2588</v>
      </c>
      <c r="C216" s="4" t="s">
        <v>12857</v>
      </c>
      <c r="D216" s="790">
        <v>0</v>
      </c>
      <c r="E216" s="790">
        <v>1777</v>
      </c>
      <c r="F216" s="790">
        <v>1690</v>
      </c>
      <c r="G216" s="30">
        <v>1685</v>
      </c>
      <c r="H216" s="30">
        <v>1710</v>
      </c>
      <c r="I216" s="30">
        <v>1674</v>
      </c>
      <c r="J216" s="30">
        <v>1632</v>
      </c>
      <c r="K216" s="30">
        <v>1689</v>
      </c>
      <c r="L216" s="30">
        <v>1700</v>
      </c>
      <c r="N216" s="787" t="s">
        <v>2796</v>
      </c>
      <c r="O216" s="930"/>
      <c r="P216" s="953"/>
      <c r="Q216" s="945"/>
    </row>
    <row r="217" spans="1:17">
      <c r="A217" s="794">
        <v>14</v>
      </c>
      <c r="B217" s="787" t="s">
        <v>2589</v>
      </c>
      <c r="C217" s="4" t="s">
        <v>12858</v>
      </c>
      <c r="D217" s="790">
        <v>0</v>
      </c>
      <c r="E217" s="790">
        <v>3069</v>
      </c>
      <c r="F217" s="790">
        <v>3072</v>
      </c>
      <c r="G217" s="30">
        <v>3068</v>
      </c>
      <c r="H217" s="30">
        <v>3055</v>
      </c>
      <c r="I217" s="30">
        <v>2960</v>
      </c>
      <c r="J217" s="30">
        <v>2834</v>
      </c>
      <c r="K217" s="30">
        <v>2967</v>
      </c>
      <c r="L217" s="30">
        <v>3014</v>
      </c>
      <c r="N217" s="787" t="s">
        <v>2796</v>
      </c>
      <c r="O217" s="930"/>
      <c r="P217" s="953"/>
      <c r="Q217" s="945"/>
    </row>
    <row r="218" spans="1:17">
      <c r="A218" s="794">
        <v>15</v>
      </c>
      <c r="B218" s="787" t="s">
        <v>2590</v>
      </c>
      <c r="C218" s="4" t="s">
        <v>12859</v>
      </c>
      <c r="D218" s="790">
        <v>0</v>
      </c>
      <c r="E218" s="790">
        <v>979</v>
      </c>
      <c r="F218" s="790">
        <v>961</v>
      </c>
      <c r="G218" s="30">
        <v>947</v>
      </c>
      <c r="H218" s="30">
        <v>933</v>
      </c>
      <c r="I218" s="30">
        <v>916</v>
      </c>
      <c r="J218" s="30">
        <v>901</v>
      </c>
      <c r="K218" s="30">
        <v>948</v>
      </c>
      <c r="L218" s="30">
        <v>959</v>
      </c>
      <c r="N218" s="787" t="s">
        <v>2796</v>
      </c>
      <c r="O218" s="946"/>
      <c r="P218" s="953"/>
      <c r="Q218" s="945"/>
    </row>
    <row r="219" spans="1:17">
      <c r="A219" s="794">
        <v>16</v>
      </c>
      <c r="B219" s="787" t="s">
        <v>2591</v>
      </c>
      <c r="C219" s="4" t="s">
        <v>12860</v>
      </c>
      <c r="D219" s="790">
        <v>0</v>
      </c>
      <c r="E219" s="790">
        <v>2164</v>
      </c>
      <c r="F219" s="790">
        <v>2179</v>
      </c>
      <c r="G219" s="31">
        <v>2231</v>
      </c>
      <c r="H219" s="31">
        <v>2224</v>
      </c>
      <c r="I219" s="31">
        <v>2202</v>
      </c>
      <c r="J219" s="31">
        <v>2130</v>
      </c>
      <c r="K219" s="31">
        <v>2189</v>
      </c>
      <c r="L219" s="31">
        <v>2228</v>
      </c>
      <c r="N219" s="787" t="s">
        <v>2796</v>
      </c>
      <c r="O219" s="953"/>
      <c r="P219" s="953"/>
      <c r="Q219" s="953"/>
    </row>
    <row r="220" spans="1:17">
      <c r="D220" s="790"/>
      <c r="E220" s="790"/>
      <c r="F220" s="790"/>
      <c r="G220" s="790"/>
      <c r="H220" s="790"/>
      <c r="I220" s="790"/>
      <c r="J220" s="790"/>
      <c r="K220" s="790"/>
      <c r="L220" s="790"/>
    </row>
    <row r="221" spans="1:17">
      <c r="A221" s="787" t="s">
        <v>4553</v>
      </c>
      <c r="D221" s="789">
        <f t="shared" ref="D221:L221" si="101">SUM(D204:D219)</f>
        <v>27945</v>
      </c>
      <c r="E221" s="789">
        <f t="shared" si="101"/>
        <v>28424</v>
      </c>
      <c r="F221" s="789">
        <f t="shared" si="101"/>
        <v>27849</v>
      </c>
      <c r="G221" s="789">
        <f t="shared" si="101"/>
        <v>27870</v>
      </c>
      <c r="H221" s="789">
        <f t="shared" si="101"/>
        <v>27885</v>
      </c>
      <c r="I221" s="789">
        <f t="shared" si="101"/>
        <v>27213</v>
      </c>
      <c r="J221" s="789">
        <f t="shared" si="101"/>
        <v>26264</v>
      </c>
      <c r="K221" s="789">
        <f t="shared" si="101"/>
        <v>27176</v>
      </c>
      <c r="L221" s="789">
        <f t="shared" si="101"/>
        <v>27601</v>
      </c>
    </row>
    <row r="223" spans="1:17">
      <c r="A223" s="788" t="s">
        <v>12861</v>
      </c>
    </row>
  </sheetData>
  <sortState ref="O204:Q219">
    <sortCondition ref="O204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90" orientation="portrait" horizontalDpi="300" verticalDpi="300" r:id="rId1"/>
  <headerFooter alignWithMargins="0">
    <oddFooter>&amp;C&amp;8&amp;P of &amp;N</oddFooter>
  </headerFooter>
  <ignoredErrors>
    <ignoredError sqref="D160:D161 D119:K119 D196:K196 D168:K168 D221:K221 D203:K203 D74:D75 D38:K38 D3:D5 E74:E75 E3:E5 E160:E161 F74:F75 F160:F161 F3:F5 D111:F112 D82:K82 D7:D10 E7:E10 F7:F10 D6:F6 G111:G112 G74:G75 G160:G161 G3:G10 D11 E11 F11 G11 D12:D33 E12:E33 F12:F33 G12:G33 H160:H161 H111:H112 H74:H75 H3:H10 H11:H33 I74:I75 I160:I161 I111:I112 I3:I33 J74:J75 J160:J161 J111:J112 J3:J33 K74:K75 K111:K112 K160:K161 K3:K33 L3:L221" unlockedFormula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55"/>
  <sheetViews>
    <sheetView showGridLines="0" zoomScaleNormal="100" workbookViewId="0"/>
  </sheetViews>
  <sheetFormatPr defaultColWidth="14.5703125" defaultRowHeight="15"/>
  <cols>
    <col min="1" max="1" width="4.85546875" style="627" customWidth="1"/>
    <col min="2" max="2" width="45.7109375" style="627" customWidth="1"/>
    <col min="3" max="3" width="11.5703125" style="627" customWidth="1"/>
    <col min="4" max="12" width="10" style="627" customWidth="1"/>
    <col min="13" max="13" width="2.28515625" style="627" customWidth="1"/>
    <col min="14" max="14" width="33.140625" style="627" customWidth="1"/>
    <col min="15" max="16384" width="14.5703125" style="627"/>
  </cols>
  <sheetData>
    <row r="1" spans="1:14">
      <c r="A1" s="626" t="s">
        <v>8847</v>
      </c>
      <c r="D1" s="322">
        <v>2010</v>
      </c>
      <c r="E1" s="322">
        <v>2011</v>
      </c>
      <c r="F1" s="322">
        <v>2012</v>
      </c>
      <c r="G1" s="322">
        <v>2013</v>
      </c>
      <c r="H1" s="322">
        <v>2014</v>
      </c>
      <c r="I1" s="322">
        <v>2015</v>
      </c>
      <c r="J1" s="322">
        <v>2016</v>
      </c>
      <c r="K1" s="322">
        <v>2017</v>
      </c>
      <c r="L1" s="322">
        <v>2018</v>
      </c>
    </row>
    <row r="3" spans="1:14">
      <c r="A3" s="626" t="s">
        <v>5259</v>
      </c>
      <c r="D3" s="629">
        <f t="shared" ref="D3:I3" si="0">SUM(D19:D53)</f>
        <v>199268</v>
      </c>
      <c r="E3" s="629">
        <f t="shared" si="0"/>
        <v>201667</v>
      </c>
      <c r="F3" s="629">
        <f t="shared" si="0"/>
        <v>203568</v>
      </c>
      <c r="G3" s="629">
        <f t="shared" si="0"/>
        <v>204678</v>
      </c>
      <c r="H3" s="629">
        <f t="shared" si="0"/>
        <v>205320</v>
      </c>
      <c r="I3" s="629">
        <f t="shared" si="0"/>
        <v>202239</v>
      </c>
      <c r="J3" s="629">
        <f t="shared" ref="J3:K3" si="1">SUM(J19:J53)</f>
        <v>202593</v>
      </c>
      <c r="K3" s="629">
        <f t="shared" si="1"/>
        <v>206186</v>
      </c>
      <c r="L3" s="629">
        <f t="shared" ref="L3" si="2">SUM(L19:L53)</f>
        <v>196491</v>
      </c>
    </row>
    <row r="4" spans="1:14">
      <c r="D4" s="629"/>
      <c r="E4" s="629"/>
      <c r="F4" s="629"/>
      <c r="G4" s="629"/>
      <c r="H4" s="629"/>
      <c r="I4" s="629"/>
      <c r="J4" s="629"/>
      <c r="K4" s="629"/>
      <c r="L4" s="629"/>
      <c r="N4" s="630"/>
    </row>
    <row r="5" spans="1:14">
      <c r="A5" s="626" t="s">
        <v>1708</v>
      </c>
      <c r="D5" s="628">
        <f t="shared" ref="D5:I5" si="3">D3/3</f>
        <v>66422.666666666672</v>
      </c>
      <c r="E5" s="628">
        <f t="shared" si="3"/>
        <v>67222.333333333328</v>
      </c>
      <c r="F5" s="628">
        <f t="shared" si="3"/>
        <v>67856</v>
      </c>
      <c r="G5" s="628">
        <f t="shared" si="3"/>
        <v>68226</v>
      </c>
      <c r="H5" s="628">
        <f t="shared" si="3"/>
        <v>68440</v>
      </c>
      <c r="I5" s="628">
        <f t="shared" si="3"/>
        <v>67413</v>
      </c>
      <c r="J5" s="628">
        <f t="shared" ref="J5:K5" si="4">J3/3</f>
        <v>67531</v>
      </c>
      <c r="K5" s="628">
        <f t="shared" si="4"/>
        <v>68728.666666666672</v>
      </c>
      <c r="L5" s="628">
        <f t="shared" ref="L5" si="5">L3/3</f>
        <v>65497</v>
      </c>
    </row>
    <row r="6" spans="1:14">
      <c r="D6" s="631"/>
      <c r="E6" s="631"/>
      <c r="F6" s="631"/>
      <c r="G6" s="631"/>
      <c r="H6" s="631"/>
      <c r="I6" s="631"/>
      <c r="J6" s="631"/>
      <c r="K6" s="631"/>
      <c r="L6" s="631"/>
    </row>
    <row r="7" spans="1:14">
      <c r="A7" s="627" t="s">
        <v>5260</v>
      </c>
      <c r="D7" s="631">
        <f t="shared" ref="D7:I7" si="6">D19+SUM(D22:D24)+D29+D31+D33+D40+D41+D45+D46+D50</f>
        <v>68763</v>
      </c>
      <c r="E7" s="631">
        <f t="shared" si="6"/>
        <v>69732</v>
      </c>
      <c r="F7" s="631">
        <f t="shared" si="6"/>
        <v>70574</v>
      </c>
      <c r="G7" s="631">
        <f t="shared" si="6"/>
        <v>70994</v>
      </c>
      <c r="H7" s="631">
        <f t="shared" si="6"/>
        <v>71670</v>
      </c>
      <c r="I7" s="631">
        <f t="shared" si="6"/>
        <v>69560</v>
      </c>
      <c r="J7" s="631">
        <f t="shared" ref="J7:K7" si="7">J19+SUM(J22:J24)+J29+J31+J33+J40+J41+J45+J46+J50</f>
        <v>69455</v>
      </c>
      <c r="K7" s="631">
        <f t="shared" si="7"/>
        <v>70743</v>
      </c>
      <c r="L7" s="631">
        <f t="shared" ref="L7" si="8">L19+SUM(L22:L24)+L29+L31+L33+L40+L41+L45+L46+L50</f>
        <v>67062</v>
      </c>
      <c r="N7" s="626" t="s">
        <v>1815</v>
      </c>
    </row>
    <row r="8" spans="1:14">
      <c r="D8" s="631"/>
      <c r="E8" s="631"/>
      <c r="F8" s="631"/>
      <c r="G8" s="631"/>
      <c r="H8" s="631"/>
      <c r="I8" s="631"/>
      <c r="J8" s="631"/>
      <c r="K8" s="631"/>
      <c r="L8" s="631"/>
    </row>
    <row r="9" spans="1:14">
      <c r="A9" s="626" t="s">
        <v>1816</v>
      </c>
      <c r="D9" s="629">
        <f t="shared" ref="D9:I9" si="9">D20+D30+D34+D35+SUM(D37:D39)+D42+D44+D51</f>
        <v>66418</v>
      </c>
      <c r="E9" s="629">
        <f t="shared" si="9"/>
        <v>67199</v>
      </c>
      <c r="F9" s="629">
        <f t="shared" si="9"/>
        <v>67705</v>
      </c>
      <c r="G9" s="629">
        <f t="shared" si="9"/>
        <v>67937</v>
      </c>
      <c r="H9" s="629">
        <f t="shared" si="9"/>
        <v>67948</v>
      </c>
      <c r="I9" s="629">
        <f t="shared" si="9"/>
        <v>67366</v>
      </c>
      <c r="J9" s="629">
        <f t="shared" ref="J9:K9" si="10">J20+J30+J34+J35+SUM(J37:J39)+J42+J44+J51</f>
        <v>67569</v>
      </c>
      <c r="K9" s="629">
        <f t="shared" si="10"/>
        <v>68625</v>
      </c>
      <c r="L9" s="629">
        <f t="shared" ref="L9" si="11">L20+L30+L34+L35+SUM(L37:L39)+L42+L44+L51</f>
        <v>65061</v>
      </c>
      <c r="N9" s="626" t="s">
        <v>1815</v>
      </c>
    </row>
    <row r="10" spans="1:14">
      <c r="D10" s="631"/>
      <c r="E10" s="631"/>
      <c r="F10" s="631"/>
      <c r="G10" s="631"/>
      <c r="H10" s="631"/>
      <c r="I10" s="631"/>
      <c r="J10" s="631"/>
      <c r="K10" s="631"/>
      <c r="L10" s="631"/>
    </row>
    <row r="11" spans="1:14">
      <c r="A11" s="626" t="s">
        <v>3599</v>
      </c>
      <c r="D11" s="628">
        <f t="shared" ref="D11:I11" si="12">D21+SUM(D25:D28)+D32+D36+D43+SUM(D47:D49)+D52+D53</f>
        <v>64087</v>
      </c>
      <c r="E11" s="628">
        <f t="shared" si="12"/>
        <v>64736</v>
      </c>
      <c r="F11" s="628">
        <f t="shared" si="12"/>
        <v>65289</v>
      </c>
      <c r="G11" s="628">
        <f t="shared" si="12"/>
        <v>65747</v>
      </c>
      <c r="H11" s="628">
        <f t="shared" si="12"/>
        <v>65702</v>
      </c>
      <c r="I11" s="628">
        <f t="shared" si="12"/>
        <v>65313</v>
      </c>
      <c r="J11" s="628">
        <f t="shared" ref="J11:K11" si="13">J21+SUM(J25:J28)+J32+J36+J43+SUM(J47:J49)+J52+J53</f>
        <v>65569</v>
      </c>
      <c r="K11" s="628">
        <f t="shared" si="13"/>
        <v>66818</v>
      </c>
      <c r="L11" s="628">
        <f t="shared" ref="L11" si="14">L21+SUM(L25:L28)+L32+L36+L43+SUM(L47:L49)+L52+L53</f>
        <v>64368</v>
      </c>
      <c r="N11" s="626" t="s">
        <v>1815</v>
      </c>
    </row>
    <row r="12" spans="1:14">
      <c r="D12" s="631"/>
      <c r="E12" s="631"/>
      <c r="F12" s="631"/>
      <c r="G12" s="631"/>
      <c r="H12" s="631"/>
      <c r="I12" s="631"/>
      <c r="J12" s="631"/>
      <c r="K12" s="631"/>
      <c r="L12" s="631"/>
    </row>
    <row r="13" spans="1:14">
      <c r="A13" s="626" t="s">
        <v>8697</v>
      </c>
      <c r="D13" s="628">
        <f t="shared" ref="D13:I13" si="15">D7+D9+D11</f>
        <v>199268</v>
      </c>
      <c r="E13" s="628">
        <f t="shared" si="15"/>
        <v>201667</v>
      </c>
      <c r="F13" s="628">
        <f t="shared" si="15"/>
        <v>203568</v>
      </c>
      <c r="G13" s="628">
        <f t="shared" si="15"/>
        <v>204678</v>
      </c>
      <c r="H13" s="628">
        <f t="shared" si="15"/>
        <v>205320</v>
      </c>
      <c r="I13" s="628">
        <f t="shared" si="15"/>
        <v>202239</v>
      </c>
      <c r="J13" s="628">
        <f t="shared" ref="J13:K13" si="16">J7+J9+J11</f>
        <v>202593</v>
      </c>
      <c r="K13" s="628">
        <f t="shared" si="16"/>
        <v>206186</v>
      </c>
      <c r="L13" s="628">
        <f t="shared" ref="L13" si="17">L7+L9+L11</f>
        <v>196491</v>
      </c>
    </row>
    <row r="14" spans="1:14">
      <c r="D14" s="631"/>
      <c r="E14" s="631"/>
      <c r="F14" s="631"/>
      <c r="G14" s="631"/>
      <c r="H14" s="631"/>
      <c r="I14" s="631"/>
      <c r="J14" s="631"/>
      <c r="K14" s="631"/>
      <c r="L14" s="631"/>
    </row>
    <row r="15" spans="1:14">
      <c r="A15" s="626" t="s">
        <v>8698</v>
      </c>
      <c r="D15" s="628">
        <f t="shared" ref="D15:I15" si="18">MAX(D7,D9,D11)-MIN(D7,D9,D11)</f>
        <v>4676</v>
      </c>
      <c r="E15" s="628">
        <f t="shared" si="18"/>
        <v>4996</v>
      </c>
      <c r="F15" s="628">
        <f t="shared" si="18"/>
        <v>5285</v>
      </c>
      <c r="G15" s="628">
        <f t="shared" si="18"/>
        <v>5247</v>
      </c>
      <c r="H15" s="628">
        <f t="shared" si="18"/>
        <v>5968</v>
      </c>
      <c r="I15" s="628">
        <f t="shared" si="18"/>
        <v>4247</v>
      </c>
      <c r="J15" s="628">
        <f t="shared" ref="J15:K15" si="19">MAX(J7,J9,J11)-MIN(J7,J9,J11)</f>
        <v>3886</v>
      </c>
      <c r="K15" s="628">
        <f t="shared" si="19"/>
        <v>3925</v>
      </c>
      <c r="L15" s="628">
        <f t="shared" ref="L15" si="20">MAX(L7,L9,L11)-MIN(L7,L9,L11)</f>
        <v>2694</v>
      </c>
    </row>
    <row r="16" spans="1:14">
      <c r="D16" s="631"/>
      <c r="E16" s="631"/>
      <c r="F16" s="631"/>
      <c r="G16" s="631"/>
      <c r="H16" s="631"/>
      <c r="I16" s="631"/>
      <c r="J16" s="631"/>
      <c r="K16" s="631"/>
      <c r="L16" s="631"/>
    </row>
    <row r="17" spans="1:17">
      <c r="A17" s="626" t="s">
        <v>8701</v>
      </c>
      <c r="D17" s="628">
        <f t="shared" ref="D17:I17" si="21">STDEVP(D7,D9,D11)</f>
        <v>1908.9718582408584</v>
      </c>
      <c r="E17" s="628">
        <f t="shared" si="21"/>
        <v>2039.6751920070237</v>
      </c>
      <c r="F17" s="628">
        <f t="shared" si="21"/>
        <v>2160.2325492100767</v>
      </c>
      <c r="G17" s="628">
        <f t="shared" si="21"/>
        <v>2151.8043591367687</v>
      </c>
      <c r="H17" s="628">
        <f t="shared" si="21"/>
        <v>2461.1384899405125</v>
      </c>
      <c r="I17" s="628">
        <f t="shared" si="21"/>
        <v>1734.1489747615879</v>
      </c>
      <c r="J17" s="628">
        <f t="shared" ref="J17:K17" si="22">STDEVP(J7,J9,J11)</f>
        <v>1586.6803920974969</v>
      </c>
      <c r="K17" s="628">
        <f t="shared" si="22"/>
        <v>1604.0503594200388</v>
      </c>
      <c r="L17" s="628">
        <f t="shared" ref="L17" si="23">STDEVP(L7,L9,L11)</f>
        <v>1142.2145157543744</v>
      </c>
    </row>
    <row r="19" spans="1:17">
      <c r="A19" s="512">
        <v>1</v>
      </c>
      <c r="B19" s="626" t="s">
        <v>3600</v>
      </c>
      <c r="C19" s="4" t="s">
        <v>9641</v>
      </c>
      <c r="D19" s="628">
        <v>3079</v>
      </c>
      <c r="E19" s="628">
        <v>3188</v>
      </c>
      <c r="F19" s="628">
        <v>3257</v>
      </c>
      <c r="G19" s="30">
        <v>3275</v>
      </c>
      <c r="H19" s="30">
        <v>3286</v>
      </c>
      <c r="I19" s="30">
        <v>3257</v>
      </c>
      <c r="J19" s="30">
        <v>3254</v>
      </c>
      <c r="K19" s="30">
        <v>3259</v>
      </c>
      <c r="L19" s="30">
        <v>3114</v>
      </c>
      <c r="N19" s="627" t="s">
        <v>5260</v>
      </c>
      <c r="O19" s="4"/>
      <c r="Q19" s="4"/>
    </row>
    <row r="20" spans="1:17">
      <c r="A20" s="512">
        <v>2</v>
      </c>
      <c r="B20" s="626" t="s">
        <v>3601</v>
      </c>
      <c r="C20" s="4" t="s">
        <v>9642</v>
      </c>
      <c r="D20" s="628">
        <v>2742</v>
      </c>
      <c r="E20" s="628">
        <v>2781</v>
      </c>
      <c r="F20" s="628">
        <v>2786</v>
      </c>
      <c r="G20" s="30">
        <v>2764</v>
      </c>
      <c r="H20" s="30">
        <v>2742</v>
      </c>
      <c r="I20" s="30">
        <v>2750</v>
      </c>
      <c r="J20" s="30">
        <v>2774</v>
      </c>
      <c r="K20" s="30">
        <v>2785</v>
      </c>
      <c r="L20" s="30">
        <v>2695</v>
      </c>
      <c r="N20" s="626" t="s">
        <v>1816</v>
      </c>
      <c r="O20" s="4"/>
      <c r="Q20" s="4"/>
    </row>
    <row r="21" spans="1:17">
      <c r="A21" s="512">
        <v>3</v>
      </c>
      <c r="B21" s="626" t="s">
        <v>3602</v>
      </c>
      <c r="C21" s="4" t="s">
        <v>9643</v>
      </c>
      <c r="D21" s="628">
        <v>5806</v>
      </c>
      <c r="E21" s="628">
        <v>5860</v>
      </c>
      <c r="F21" s="628">
        <v>5859</v>
      </c>
      <c r="G21" s="31">
        <v>5899</v>
      </c>
      <c r="H21" s="31">
        <v>5807</v>
      </c>
      <c r="I21" s="31">
        <v>5792</v>
      </c>
      <c r="J21" s="31">
        <v>5815</v>
      </c>
      <c r="K21" s="31">
        <v>5919</v>
      </c>
      <c r="L21" s="31">
        <v>5949</v>
      </c>
      <c r="N21" s="626" t="s">
        <v>3599</v>
      </c>
      <c r="O21" s="4"/>
      <c r="Q21" s="4"/>
    </row>
    <row r="22" spans="1:17">
      <c r="A22" s="632">
        <v>4</v>
      </c>
      <c r="B22" s="627" t="s">
        <v>3603</v>
      </c>
      <c r="C22" s="4" t="s">
        <v>9644</v>
      </c>
      <c r="D22" s="628">
        <v>5626</v>
      </c>
      <c r="E22" s="628">
        <v>5751</v>
      </c>
      <c r="F22" s="628">
        <v>5739</v>
      </c>
      <c r="G22" s="30">
        <v>5736</v>
      </c>
      <c r="H22" s="30">
        <v>5879</v>
      </c>
      <c r="I22" s="30">
        <v>5778</v>
      </c>
      <c r="J22" s="30">
        <v>5717</v>
      </c>
      <c r="K22" s="30">
        <v>5730</v>
      </c>
      <c r="L22" s="30">
        <v>5318</v>
      </c>
      <c r="N22" s="626" t="s">
        <v>5260</v>
      </c>
      <c r="O22" s="4"/>
      <c r="Q22" s="4"/>
    </row>
    <row r="23" spans="1:17">
      <c r="A23" s="512">
        <v>5</v>
      </c>
      <c r="B23" s="626" t="s">
        <v>3604</v>
      </c>
      <c r="C23" s="4" t="s">
        <v>9645</v>
      </c>
      <c r="D23" s="629">
        <v>2842</v>
      </c>
      <c r="E23" s="629">
        <v>2876</v>
      </c>
      <c r="F23" s="629">
        <v>2855</v>
      </c>
      <c r="G23" s="30">
        <v>2886</v>
      </c>
      <c r="H23" s="30">
        <v>2890</v>
      </c>
      <c r="I23" s="30">
        <v>2790</v>
      </c>
      <c r="J23" s="30">
        <v>2835</v>
      </c>
      <c r="K23" s="30">
        <v>2850</v>
      </c>
      <c r="L23" s="30">
        <v>2658</v>
      </c>
      <c r="N23" s="627" t="s">
        <v>5260</v>
      </c>
      <c r="O23" s="4"/>
      <c r="Q23" s="4"/>
    </row>
    <row r="24" spans="1:17">
      <c r="A24" s="512">
        <v>6</v>
      </c>
      <c r="B24" s="626" t="s">
        <v>3605</v>
      </c>
      <c r="C24" s="4" t="s">
        <v>9646</v>
      </c>
      <c r="D24" s="628">
        <v>6182</v>
      </c>
      <c r="E24" s="628">
        <v>6265</v>
      </c>
      <c r="F24" s="628">
        <v>6305</v>
      </c>
      <c r="G24" s="30">
        <v>6324</v>
      </c>
      <c r="H24" s="30">
        <v>6316</v>
      </c>
      <c r="I24" s="30">
        <v>6226</v>
      </c>
      <c r="J24" s="30">
        <v>6137</v>
      </c>
      <c r="K24" s="30">
        <v>6295</v>
      </c>
      <c r="L24" s="30">
        <v>5951</v>
      </c>
      <c r="N24" s="627" t="s">
        <v>5260</v>
      </c>
      <c r="O24" s="4"/>
      <c r="Q24" s="4"/>
    </row>
    <row r="25" spans="1:17">
      <c r="A25" s="512">
        <v>7</v>
      </c>
      <c r="B25" s="626" t="s">
        <v>1881</v>
      </c>
      <c r="C25" s="4" t="s">
        <v>9647</v>
      </c>
      <c r="D25" s="628">
        <v>3070</v>
      </c>
      <c r="E25" s="628">
        <v>3074</v>
      </c>
      <c r="F25" s="628">
        <v>3151</v>
      </c>
      <c r="G25" s="31">
        <v>3161</v>
      </c>
      <c r="H25" s="31">
        <v>3167</v>
      </c>
      <c r="I25" s="31">
        <v>3139</v>
      </c>
      <c r="J25" s="31">
        <v>3145</v>
      </c>
      <c r="K25" s="31">
        <v>3225</v>
      </c>
      <c r="L25" s="31">
        <v>3139</v>
      </c>
      <c r="N25" s="627" t="s">
        <v>3599</v>
      </c>
      <c r="O25" s="4"/>
      <c r="Q25" s="4"/>
    </row>
    <row r="26" spans="1:17">
      <c r="A26" s="512">
        <v>8</v>
      </c>
      <c r="B26" s="626" t="s">
        <v>1882</v>
      </c>
      <c r="C26" s="4" t="s">
        <v>9648</v>
      </c>
      <c r="D26" s="628">
        <v>5488</v>
      </c>
      <c r="E26" s="628">
        <v>5506</v>
      </c>
      <c r="F26" s="628">
        <v>5502</v>
      </c>
      <c r="G26" s="31">
        <v>5529</v>
      </c>
      <c r="H26" s="31">
        <v>5455</v>
      </c>
      <c r="I26" s="31">
        <v>5449</v>
      </c>
      <c r="J26" s="31">
        <v>5454</v>
      </c>
      <c r="K26" s="31">
        <v>5628</v>
      </c>
      <c r="L26" s="31">
        <v>5355</v>
      </c>
      <c r="N26" s="626" t="s">
        <v>3599</v>
      </c>
      <c r="O26" s="4"/>
      <c r="Q26" s="4"/>
    </row>
    <row r="27" spans="1:17">
      <c r="A27" s="512">
        <v>9</v>
      </c>
      <c r="B27" s="626" t="s">
        <v>1883</v>
      </c>
      <c r="C27" s="4" t="s">
        <v>9649</v>
      </c>
      <c r="D27" s="629">
        <v>2745</v>
      </c>
      <c r="E27" s="629">
        <v>2770</v>
      </c>
      <c r="F27" s="629">
        <v>2768</v>
      </c>
      <c r="G27" s="31">
        <v>2802</v>
      </c>
      <c r="H27" s="31">
        <v>2773</v>
      </c>
      <c r="I27" s="31">
        <v>2785</v>
      </c>
      <c r="J27" s="31">
        <v>2725</v>
      </c>
      <c r="K27" s="31">
        <v>2768</v>
      </c>
      <c r="L27" s="31">
        <v>2701</v>
      </c>
      <c r="N27" s="626" t="s">
        <v>3599</v>
      </c>
      <c r="O27" s="4"/>
      <c r="Q27" s="4"/>
    </row>
    <row r="28" spans="1:17">
      <c r="A28" s="512">
        <v>10</v>
      </c>
      <c r="B28" s="626" t="s">
        <v>1884</v>
      </c>
      <c r="C28" s="4" t="s">
        <v>9650</v>
      </c>
      <c r="D28" s="629">
        <v>5890</v>
      </c>
      <c r="E28" s="629">
        <v>5915</v>
      </c>
      <c r="F28" s="629">
        <v>5845</v>
      </c>
      <c r="G28" s="31">
        <v>5892</v>
      </c>
      <c r="H28" s="31">
        <v>5828</v>
      </c>
      <c r="I28" s="31">
        <v>5802</v>
      </c>
      <c r="J28" s="31">
        <v>5778</v>
      </c>
      <c r="K28" s="31">
        <v>5889</v>
      </c>
      <c r="L28" s="31">
        <v>5601</v>
      </c>
      <c r="N28" s="626" t="s">
        <v>3599</v>
      </c>
      <c r="O28" s="4"/>
      <c r="Q28" s="4"/>
    </row>
    <row r="29" spans="1:17">
      <c r="A29" s="512">
        <v>11</v>
      </c>
      <c r="B29" s="626" t="s">
        <v>1885</v>
      </c>
      <c r="C29" s="4" t="s">
        <v>9651</v>
      </c>
      <c r="D29" s="628">
        <v>8438</v>
      </c>
      <c r="E29" s="628">
        <v>8513</v>
      </c>
      <c r="F29" s="628">
        <v>8555</v>
      </c>
      <c r="G29" s="30">
        <v>8673</v>
      </c>
      <c r="H29" s="30">
        <v>8734</v>
      </c>
      <c r="I29" s="30">
        <v>8662</v>
      </c>
      <c r="J29" s="30">
        <v>8777</v>
      </c>
      <c r="K29" s="30">
        <v>8818</v>
      </c>
      <c r="L29" s="30">
        <v>8432</v>
      </c>
      <c r="N29" s="626" t="s">
        <v>5260</v>
      </c>
      <c r="O29" s="4"/>
      <c r="Q29" s="4"/>
    </row>
    <row r="30" spans="1:17">
      <c r="A30" s="512">
        <v>12</v>
      </c>
      <c r="B30" s="626" t="s">
        <v>1886</v>
      </c>
      <c r="C30" s="4" t="s">
        <v>9652</v>
      </c>
      <c r="D30" s="628">
        <v>8903</v>
      </c>
      <c r="E30" s="628">
        <v>8927</v>
      </c>
      <c r="F30" s="628">
        <v>9060</v>
      </c>
      <c r="G30" s="30">
        <v>9026</v>
      </c>
      <c r="H30" s="30">
        <v>9098</v>
      </c>
      <c r="I30" s="30">
        <v>8922</v>
      </c>
      <c r="J30" s="30">
        <v>9237</v>
      </c>
      <c r="K30" s="30">
        <v>9711</v>
      </c>
      <c r="L30" s="30">
        <v>9276</v>
      </c>
      <c r="N30" s="627" t="s">
        <v>1816</v>
      </c>
      <c r="O30" s="4"/>
      <c r="Q30" s="4"/>
    </row>
    <row r="31" spans="1:17">
      <c r="A31" s="512">
        <v>13</v>
      </c>
      <c r="B31" s="626" t="s">
        <v>1887</v>
      </c>
      <c r="C31" s="4" t="s">
        <v>9653</v>
      </c>
      <c r="D31" s="628">
        <v>7677</v>
      </c>
      <c r="E31" s="628">
        <v>7711</v>
      </c>
      <c r="F31" s="628">
        <v>7856</v>
      </c>
      <c r="G31" s="30">
        <v>7725</v>
      </c>
      <c r="H31" s="30">
        <v>7654</v>
      </c>
      <c r="I31" s="30">
        <v>7522</v>
      </c>
      <c r="J31" s="30">
        <v>7506</v>
      </c>
      <c r="K31" s="30">
        <v>7690</v>
      </c>
      <c r="L31" s="30">
        <v>7106</v>
      </c>
      <c r="N31" s="627" t="s">
        <v>5260</v>
      </c>
      <c r="O31" s="4"/>
      <c r="Q31" s="4"/>
    </row>
    <row r="32" spans="1:17">
      <c r="A32" s="512">
        <v>14</v>
      </c>
      <c r="B32" s="626" t="s">
        <v>13308</v>
      </c>
      <c r="C32" s="4" t="s">
        <v>9654</v>
      </c>
      <c r="D32" s="628">
        <v>5688</v>
      </c>
      <c r="E32" s="628">
        <v>5754</v>
      </c>
      <c r="F32" s="628">
        <v>5854</v>
      </c>
      <c r="G32" s="31">
        <v>5992</v>
      </c>
      <c r="H32" s="31">
        <v>6113</v>
      </c>
      <c r="I32" s="31">
        <v>6041</v>
      </c>
      <c r="J32" s="31">
        <v>6040</v>
      </c>
      <c r="K32" s="31">
        <v>6106</v>
      </c>
      <c r="L32" s="31">
        <v>5925</v>
      </c>
      <c r="N32" s="626" t="s">
        <v>3599</v>
      </c>
      <c r="O32" s="4"/>
      <c r="Q32" s="4"/>
    </row>
    <row r="33" spans="1:17">
      <c r="A33" s="512">
        <v>15</v>
      </c>
      <c r="B33" s="626" t="s">
        <v>1888</v>
      </c>
      <c r="C33" s="4" t="s">
        <v>9655</v>
      </c>
      <c r="D33" s="628">
        <v>5233</v>
      </c>
      <c r="E33" s="628">
        <v>5476</v>
      </c>
      <c r="F33" s="628">
        <v>5686</v>
      </c>
      <c r="G33" s="30">
        <v>5636</v>
      </c>
      <c r="H33" s="30">
        <v>5880</v>
      </c>
      <c r="I33" s="30">
        <v>4308</v>
      </c>
      <c r="J33" s="30">
        <v>4058</v>
      </c>
      <c r="K33" s="30">
        <v>4247</v>
      </c>
      <c r="L33" s="30">
        <v>4006</v>
      </c>
      <c r="N33" s="626" t="s">
        <v>5260</v>
      </c>
      <c r="O33" s="4"/>
      <c r="Q33" s="4"/>
    </row>
    <row r="34" spans="1:17">
      <c r="A34" s="512">
        <v>16</v>
      </c>
      <c r="B34" s="626" t="s">
        <v>1889</v>
      </c>
      <c r="C34" s="4" t="s">
        <v>9656</v>
      </c>
      <c r="D34" s="628">
        <v>8432</v>
      </c>
      <c r="E34" s="628">
        <v>8535</v>
      </c>
      <c r="F34" s="628">
        <v>8553</v>
      </c>
      <c r="G34" s="30">
        <v>8617</v>
      </c>
      <c r="H34" s="30">
        <v>8792</v>
      </c>
      <c r="I34" s="30">
        <v>8824</v>
      </c>
      <c r="J34" s="30">
        <v>8882</v>
      </c>
      <c r="K34" s="30">
        <v>9023</v>
      </c>
      <c r="L34" s="30">
        <v>8581</v>
      </c>
      <c r="N34" s="626" t="s">
        <v>1816</v>
      </c>
      <c r="O34" s="4"/>
      <c r="Q34" s="4"/>
    </row>
    <row r="35" spans="1:17">
      <c r="A35" s="512">
        <v>17</v>
      </c>
      <c r="B35" s="626" t="s">
        <v>1890</v>
      </c>
      <c r="C35" s="4" t="s">
        <v>9657</v>
      </c>
      <c r="D35" s="628">
        <v>8389</v>
      </c>
      <c r="E35" s="628">
        <v>8370</v>
      </c>
      <c r="F35" s="628">
        <v>8479</v>
      </c>
      <c r="G35" s="31">
        <v>8502</v>
      </c>
      <c r="H35" s="31">
        <v>8439</v>
      </c>
      <c r="I35" s="31">
        <v>8312</v>
      </c>
      <c r="J35" s="31">
        <v>8239</v>
      </c>
      <c r="K35" s="31">
        <v>8261</v>
      </c>
      <c r="L35" s="31">
        <v>7572</v>
      </c>
      <c r="N35" s="626" t="s">
        <v>1816</v>
      </c>
      <c r="O35" s="4"/>
      <c r="Q35" s="4"/>
    </row>
    <row r="36" spans="1:17">
      <c r="A36" s="632">
        <v>18</v>
      </c>
      <c r="B36" s="626" t="s">
        <v>1891</v>
      </c>
      <c r="C36" s="4" t="s">
        <v>9658</v>
      </c>
      <c r="D36" s="628">
        <v>2949</v>
      </c>
      <c r="E36" s="628">
        <v>2995</v>
      </c>
      <c r="F36" s="628">
        <v>3070</v>
      </c>
      <c r="G36" s="31">
        <v>3138</v>
      </c>
      <c r="H36" s="31">
        <v>3127</v>
      </c>
      <c r="I36" s="31">
        <v>3093</v>
      </c>
      <c r="J36" s="31">
        <v>3101</v>
      </c>
      <c r="K36" s="31">
        <v>3187</v>
      </c>
      <c r="L36" s="31">
        <v>3080</v>
      </c>
      <c r="N36" s="626" t="s">
        <v>3599</v>
      </c>
      <c r="O36" s="4"/>
      <c r="Q36" s="4"/>
    </row>
    <row r="37" spans="1:17">
      <c r="A37" s="512">
        <v>19</v>
      </c>
      <c r="B37" s="627" t="s">
        <v>1870</v>
      </c>
      <c r="C37" s="4" t="s">
        <v>9659</v>
      </c>
      <c r="D37" s="628">
        <v>5719</v>
      </c>
      <c r="E37" s="628">
        <v>5729</v>
      </c>
      <c r="F37" s="628">
        <v>5780</v>
      </c>
      <c r="G37" s="31">
        <v>5779</v>
      </c>
      <c r="H37" s="31">
        <v>5779</v>
      </c>
      <c r="I37" s="31">
        <v>5711</v>
      </c>
      <c r="J37" s="31">
        <v>5727</v>
      </c>
      <c r="K37" s="31">
        <v>5718</v>
      </c>
      <c r="L37" s="31">
        <v>5470</v>
      </c>
      <c r="N37" s="626" t="s">
        <v>1816</v>
      </c>
      <c r="O37" s="4"/>
      <c r="Q37" s="4"/>
    </row>
    <row r="38" spans="1:17">
      <c r="A38" s="512">
        <v>20</v>
      </c>
      <c r="B38" s="626" t="s">
        <v>1871</v>
      </c>
      <c r="C38" s="4" t="s">
        <v>9660</v>
      </c>
      <c r="D38" s="628">
        <v>5855</v>
      </c>
      <c r="E38" s="628">
        <v>5949</v>
      </c>
      <c r="F38" s="628">
        <v>5947</v>
      </c>
      <c r="G38" s="31">
        <v>5991</v>
      </c>
      <c r="H38" s="31">
        <v>6064</v>
      </c>
      <c r="I38" s="31">
        <v>6030</v>
      </c>
      <c r="J38" s="31">
        <v>5968</v>
      </c>
      <c r="K38" s="31">
        <v>5969</v>
      </c>
      <c r="L38" s="31">
        <v>5652</v>
      </c>
      <c r="N38" s="626" t="s">
        <v>1816</v>
      </c>
      <c r="O38" s="4"/>
      <c r="Q38" s="4"/>
    </row>
    <row r="39" spans="1:17">
      <c r="A39" s="512">
        <v>21</v>
      </c>
      <c r="B39" s="626" t="s">
        <v>1872</v>
      </c>
      <c r="C39" s="4" t="s">
        <v>9661</v>
      </c>
      <c r="D39" s="628">
        <v>6180</v>
      </c>
      <c r="E39" s="628">
        <v>6228</v>
      </c>
      <c r="F39" s="628">
        <v>6264</v>
      </c>
      <c r="G39" s="31">
        <v>6289</v>
      </c>
      <c r="H39" s="31">
        <v>6250</v>
      </c>
      <c r="I39" s="31">
        <v>6186</v>
      </c>
      <c r="J39" s="31">
        <v>6139</v>
      </c>
      <c r="K39" s="31">
        <v>6262</v>
      </c>
      <c r="L39" s="31">
        <v>5942</v>
      </c>
      <c r="N39" s="627" t="s">
        <v>1816</v>
      </c>
      <c r="O39" s="4"/>
      <c r="Q39" s="4"/>
    </row>
    <row r="40" spans="1:17">
      <c r="A40" s="512">
        <v>22</v>
      </c>
      <c r="B40" s="626" t="s">
        <v>1873</v>
      </c>
      <c r="C40" s="4" t="s">
        <v>9662</v>
      </c>
      <c r="D40" s="628">
        <v>6647</v>
      </c>
      <c r="E40" s="628">
        <v>6648</v>
      </c>
      <c r="F40" s="628">
        <v>6820</v>
      </c>
      <c r="G40" s="30">
        <v>6991</v>
      </c>
      <c r="H40" s="30">
        <v>7265</v>
      </c>
      <c r="I40" s="30">
        <v>7433</v>
      </c>
      <c r="J40" s="30">
        <v>7613</v>
      </c>
      <c r="K40" s="30">
        <v>7889</v>
      </c>
      <c r="L40" s="30">
        <v>7716</v>
      </c>
      <c r="N40" s="627" t="s">
        <v>5260</v>
      </c>
      <c r="O40" s="4"/>
      <c r="Q40" s="4"/>
    </row>
    <row r="41" spans="1:17">
      <c r="A41" s="512">
        <v>23</v>
      </c>
      <c r="B41" s="626" t="s">
        <v>1874</v>
      </c>
      <c r="C41" s="4" t="s">
        <v>9663</v>
      </c>
      <c r="D41" s="629">
        <v>2765</v>
      </c>
      <c r="E41" s="629">
        <v>2830</v>
      </c>
      <c r="F41" s="629">
        <v>2824</v>
      </c>
      <c r="G41" s="30">
        <v>2785</v>
      </c>
      <c r="H41" s="30">
        <v>2812</v>
      </c>
      <c r="I41" s="30">
        <v>2775</v>
      </c>
      <c r="J41" s="30">
        <v>2777</v>
      </c>
      <c r="K41" s="30">
        <v>2798</v>
      </c>
      <c r="L41" s="30">
        <v>2641</v>
      </c>
      <c r="N41" s="626" t="s">
        <v>5260</v>
      </c>
      <c r="O41" s="4"/>
      <c r="Q41" s="4"/>
    </row>
    <row r="42" spans="1:17">
      <c r="A42" s="512">
        <v>24</v>
      </c>
      <c r="B42" s="626" t="s">
        <v>1875</v>
      </c>
      <c r="C42" s="4" t="s">
        <v>9664</v>
      </c>
      <c r="D42" s="629">
        <v>8577</v>
      </c>
      <c r="E42" s="629">
        <v>8701</v>
      </c>
      <c r="F42" s="629">
        <v>8713</v>
      </c>
      <c r="G42" s="31">
        <v>8734</v>
      </c>
      <c r="H42" s="31">
        <v>8670</v>
      </c>
      <c r="I42" s="31">
        <v>8633</v>
      </c>
      <c r="J42" s="31">
        <v>8592</v>
      </c>
      <c r="K42" s="31">
        <v>8676</v>
      </c>
      <c r="L42" s="31">
        <v>8318</v>
      </c>
      <c r="N42" s="626" t="s">
        <v>1816</v>
      </c>
      <c r="O42" s="4"/>
      <c r="Q42" s="4"/>
    </row>
    <row r="43" spans="1:17">
      <c r="A43" s="512">
        <v>25</v>
      </c>
      <c r="B43" s="626" t="s">
        <v>7791</v>
      </c>
      <c r="C43" s="4" t="s">
        <v>9665</v>
      </c>
      <c r="D43" s="628">
        <v>2909</v>
      </c>
      <c r="E43" s="628">
        <v>2963</v>
      </c>
      <c r="F43" s="628">
        <v>2991</v>
      </c>
      <c r="G43" s="31">
        <v>3050</v>
      </c>
      <c r="H43" s="31">
        <v>3024</v>
      </c>
      <c r="I43" s="31">
        <v>2972</v>
      </c>
      <c r="J43" s="31">
        <v>3010</v>
      </c>
      <c r="K43" s="31">
        <v>3044</v>
      </c>
      <c r="L43" s="31">
        <v>2929</v>
      </c>
      <c r="N43" s="626" t="s">
        <v>3599</v>
      </c>
      <c r="O43" s="4"/>
      <c r="Q43" s="4"/>
    </row>
    <row r="44" spans="1:17">
      <c r="A44" s="512">
        <v>26</v>
      </c>
      <c r="B44" s="626" t="s">
        <v>1876</v>
      </c>
      <c r="C44" s="4" t="s">
        <v>9666</v>
      </c>
      <c r="D44" s="628">
        <v>3375</v>
      </c>
      <c r="E44" s="628">
        <v>3599</v>
      </c>
      <c r="F44" s="628">
        <v>3646</v>
      </c>
      <c r="G44" s="31">
        <v>3643</v>
      </c>
      <c r="H44" s="31">
        <v>3669</v>
      </c>
      <c r="I44" s="31">
        <v>3627</v>
      </c>
      <c r="J44" s="31">
        <v>3623</v>
      </c>
      <c r="K44" s="31">
        <v>3697</v>
      </c>
      <c r="L44" s="31">
        <v>3491</v>
      </c>
      <c r="N44" s="627" t="s">
        <v>1816</v>
      </c>
      <c r="O44" s="4"/>
      <c r="Q44" s="4"/>
    </row>
    <row r="45" spans="1:17">
      <c r="A45" s="512">
        <v>27</v>
      </c>
      <c r="B45" s="626" t="s">
        <v>1877</v>
      </c>
      <c r="C45" s="4" t="s">
        <v>9667</v>
      </c>
      <c r="D45" s="628">
        <v>5602</v>
      </c>
      <c r="E45" s="628">
        <v>5630</v>
      </c>
      <c r="F45" s="628">
        <v>5677</v>
      </c>
      <c r="G45" s="30">
        <v>5834</v>
      </c>
      <c r="H45" s="30">
        <v>5818</v>
      </c>
      <c r="I45" s="30">
        <v>5788</v>
      </c>
      <c r="J45" s="30">
        <v>5683</v>
      </c>
      <c r="K45" s="30">
        <v>5779</v>
      </c>
      <c r="L45" s="30">
        <v>5506</v>
      </c>
      <c r="N45" s="627" t="s">
        <v>5260</v>
      </c>
      <c r="O45" s="4"/>
      <c r="Q45" s="4"/>
    </row>
    <row r="46" spans="1:17">
      <c r="A46" s="512">
        <v>28</v>
      </c>
      <c r="B46" s="626" t="s">
        <v>1878</v>
      </c>
      <c r="C46" s="4" t="s">
        <v>9668</v>
      </c>
      <c r="D46" s="628">
        <v>8925</v>
      </c>
      <c r="E46" s="628">
        <v>9007</v>
      </c>
      <c r="F46" s="628">
        <v>9099</v>
      </c>
      <c r="G46" s="30">
        <v>9137</v>
      </c>
      <c r="H46" s="30">
        <v>9113</v>
      </c>
      <c r="I46" s="30">
        <v>9021</v>
      </c>
      <c r="J46" s="30">
        <v>9029</v>
      </c>
      <c r="K46" s="30">
        <v>9133</v>
      </c>
      <c r="L46" s="30">
        <v>8675</v>
      </c>
      <c r="N46" s="626" t="s">
        <v>5260</v>
      </c>
      <c r="O46" s="4"/>
      <c r="Q46" s="4"/>
    </row>
    <row r="47" spans="1:17">
      <c r="A47" s="512">
        <v>29</v>
      </c>
      <c r="B47" s="626" t="s">
        <v>1879</v>
      </c>
      <c r="C47" s="4" t="s">
        <v>9669</v>
      </c>
      <c r="D47" s="628">
        <v>6101</v>
      </c>
      <c r="E47" s="628">
        <v>6145</v>
      </c>
      <c r="F47" s="628">
        <v>6212</v>
      </c>
      <c r="G47" s="31">
        <v>6188</v>
      </c>
      <c r="H47" s="31">
        <v>6192</v>
      </c>
      <c r="I47" s="31">
        <v>6163</v>
      </c>
      <c r="J47" s="31">
        <v>6178</v>
      </c>
      <c r="K47" s="31">
        <v>6382</v>
      </c>
      <c r="L47" s="31">
        <v>6195</v>
      </c>
      <c r="N47" s="626" t="s">
        <v>3599</v>
      </c>
      <c r="O47" s="4"/>
      <c r="Q47" s="4"/>
    </row>
    <row r="48" spans="1:17">
      <c r="A48" s="512">
        <v>30</v>
      </c>
      <c r="B48" s="626" t="s">
        <v>1880</v>
      </c>
      <c r="C48" s="4" t="s">
        <v>9670</v>
      </c>
      <c r="D48" s="628">
        <v>5961</v>
      </c>
      <c r="E48" s="628">
        <v>6029</v>
      </c>
      <c r="F48" s="628">
        <v>6069</v>
      </c>
      <c r="G48" s="31">
        <v>6053</v>
      </c>
      <c r="H48" s="31">
        <v>5916</v>
      </c>
      <c r="I48" s="31">
        <v>5879</v>
      </c>
      <c r="J48" s="31">
        <v>5982</v>
      </c>
      <c r="K48" s="31">
        <v>6035</v>
      </c>
      <c r="L48" s="31">
        <v>5731</v>
      </c>
      <c r="N48" s="626" t="s">
        <v>3599</v>
      </c>
      <c r="O48" s="4"/>
      <c r="Q48" s="4"/>
    </row>
    <row r="49" spans="1:17">
      <c r="A49" s="512">
        <v>31</v>
      </c>
      <c r="B49" s="626" t="s">
        <v>1010</v>
      </c>
      <c r="C49" s="4" t="s">
        <v>9671</v>
      </c>
      <c r="D49" s="628">
        <v>3087</v>
      </c>
      <c r="E49" s="628">
        <v>3099</v>
      </c>
      <c r="F49" s="628">
        <v>3130</v>
      </c>
      <c r="G49" s="31">
        <v>3145</v>
      </c>
      <c r="H49" s="31">
        <v>3204</v>
      </c>
      <c r="I49" s="31">
        <v>3163</v>
      </c>
      <c r="J49" s="31">
        <v>3164</v>
      </c>
      <c r="K49" s="31">
        <v>3222</v>
      </c>
      <c r="L49" s="31">
        <v>3068</v>
      </c>
      <c r="N49" s="627" t="s">
        <v>3599</v>
      </c>
      <c r="O49" s="4"/>
      <c r="Q49" s="4"/>
    </row>
    <row r="50" spans="1:17">
      <c r="A50" s="512">
        <v>32</v>
      </c>
      <c r="B50" s="626" t="s">
        <v>1011</v>
      </c>
      <c r="C50" s="4" t="s">
        <v>9672</v>
      </c>
      <c r="D50" s="628">
        <v>5747</v>
      </c>
      <c r="E50" s="628">
        <v>5837</v>
      </c>
      <c r="F50" s="628">
        <v>5901</v>
      </c>
      <c r="G50" s="30">
        <v>5992</v>
      </c>
      <c r="H50" s="30">
        <v>6023</v>
      </c>
      <c r="I50" s="30">
        <v>6000</v>
      </c>
      <c r="J50" s="30">
        <v>6069</v>
      </c>
      <c r="K50" s="30">
        <v>6255</v>
      </c>
      <c r="L50" s="30">
        <v>5939</v>
      </c>
      <c r="N50" s="626" t="s">
        <v>5260</v>
      </c>
      <c r="O50" s="4"/>
      <c r="Q50" s="4"/>
    </row>
    <row r="51" spans="1:17">
      <c r="A51" s="512">
        <v>33</v>
      </c>
      <c r="B51" s="626" t="s">
        <v>3400</v>
      </c>
      <c r="C51" s="4" t="s">
        <v>9673</v>
      </c>
      <c r="D51" s="628">
        <v>8246</v>
      </c>
      <c r="E51" s="628">
        <v>8380</v>
      </c>
      <c r="F51" s="628">
        <v>8477</v>
      </c>
      <c r="G51" s="31">
        <v>8592</v>
      </c>
      <c r="H51" s="31">
        <v>8445</v>
      </c>
      <c r="I51" s="31">
        <v>8371</v>
      </c>
      <c r="J51" s="31">
        <v>8388</v>
      </c>
      <c r="K51" s="31">
        <v>8523</v>
      </c>
      <c r="L51" s="31">
        <v>8064</v>
      </c>
      <c r="N51" s="626" t="s">
        <v>1816</v>
      </c>
      <c r="O51" s="4"/>
      <c r="Q51" s="4"/>
    </row>
    <row r="52" spans="1:17">
      <c r="A52" s="512">
        <v>34</v>
      </c>
      <c r="B52" s="626" t="s">
        <v>1012</v>
      </c>
      <c r="C52" s="4" t="s">
        <v>9674</v>
      </c>
      <c r="D52" s="628">
        <v>5797</v>
      </c>
      <c r="E52" s="628">
        <v>5867</v>
      </c>
      <c r="F52" s="628">
        <v>5933</v>
      </c>
      <c r="G52" s="31">
        <v>5977</v>
      </c>
      <c r="H52" s="31">
        <v>6236</v>
      </c>
      <c r="I52" s="31">
        <v>6274</v>
      </c>
      <c r="J52" s="31">
        <v>6406</v>
      </c>
      <c r="K52" s="31">
        <v>6501</v>
      </c>
      <c r="L52" s="31">
        <v>6128</v>
      </c>
      <c r="N52" s="626" t="s">
        <v>3599</v>
      </c>
      <c r="O52" s="4"/>
      <c r="Q52" s="4"/>
    </row>
    <row r="53" spans="1:17">
      <c r="A53" s="512">
        <v>35</v>
      </c>
      <c r="B53" s="626" t="s">
        <v>1013</v>
      </c>
      <c r="C53" s="4" t="s">
        <v>9675</v>
      </c>
      <c r="D53" s="628">
        <v>8596</v>
      </c>
      <c r="E53" s="628">
        <v>8759</v>
      </c>
      <c r="F53" s="628">
        <v>8905</v>
      </c>
      <c r="G53" s="31">
        <v>8921</v>
      </c>
      <c r="H53" s="31">
        <v>8860</v>
      </c>
      <c r="I53" s="31">
        <v>8761</v>
      </c>
      <c r="J53" s="31">
        <v>8771</v>
      </c>
      <c r="K53" s="31">
        <v>8912</v>
      </c>
      <c r="L53" s="31">
        <v>8567</v>
      </c>
      <c r="N53" s="626" t="s">
        <v>3599</v>
      </c>
      <c r="O53" s="4"/>
      <c r="Q53" s="4"/>
    </row>
    <row r="54" spans="1:17">
      <c r="D54" s="631"/>
      <c r="E54" s="631"/>
      <c r="F54" s="631"/>
      <c r="G54" s="631"/>
      <c r="H54" s="631"/>
      <c r="I54" s="631"/>
      <c r="J54" s="631"/>
      <c r="K54" s="631"/>
      <c r="L54" s="631"/>
    </row>
    <row r="55" spans="1:17">
      <c r="A55" s="626" t="s">
        <v>1014</v>
      </c>
    </row>
  </sheetData>
  <sortState ref="O19:Q53">
    <sortCondition ref="O1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7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7 E5:E18 F5:F17 G5:G17 H3:H4 H5:H17 I3:I17 J3:J17 K3:K17 L3:L17" unlockedFormula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12"/>
  <sheetViews>
    <sheetView showGridLines="0" zoomScaleNormal="100" workbookViewId="0"/>
  </sheetViews>
  <sheetFormatPr defaultColWidth="12.5703125" defaultRowHeight="15"/>
  <cols>
    <col min="1" max="1" width="4.85546875" style="385" customWidth="1"/>
    <col min="2" max="2" width="40.85546875" style="385" customWidth="1"/>
    <col min="3" max="3" width="11.5703125" style="385" customWidth="1"/>
    <col min="4" max="12" width="10" style="385" customWidth="1"/>
    <col min="13" max="13" width="2.28515625" style="385" customWidth="1"/>
    <col min="14" max="14" width="39.140625" style="385" customWidth="1"/>
    <col min="15" max="16384" width="12.5703125" style="385"/>
  </cols>
  <sheetData>
    <row r="1" spans="1:14">
      <c r="A1" s="384" t="s">
        <v>8847</v>
      </c>
      <c r="D1" s="386">
        <v>2010</v>
      </c>
      <c r="E1" s="386">
        <v>2011</v>
      </c>
      <c r="F1" s="386">
        <v>2012</v>
      </c>
      <c r="G1" s="386">
        <v>2013</v>
      </c>
      <c r="H1" s="386">
        <v>2014</v>
      </c>
      <c r="I1" s="386">
        <v>2015</v>
      </c>
      <c r="J1" s="386">
        <v>2016</v>
      </c>
      <c r="K1" s="386">
        <v>2017</v>
      </c>
      <c r="L1" s="386">
        <v>2018</v>
      </c>
    </row>
    <row r="3" spans="1:14">
      <c r="A3" s="384" t="s">
        <v>6649</v>
      </c>
      <c r="D3" s="387">
        <f t="shared" ref="D3:I3" si="0">SUM(D5:D8)</f>
        <v>962806</v>
      </c>
      <c r="E3" s="387">
        <f t="shared" si="0"/>
        <v>974419</v>
      </c>
      <c r="F3" s="387">
        <f t="shared" si="0"/>
        <v>981147</v>
      </c>
      <c r="G3" s="387">
        <f t="shared" si="0"/>
        <v>991861</v>
      </c>
      <c r="H3" s="387">
        <f t="shared" si="0"/>
        <v>984916</v>
      </c>
      <c r="I3" s="387">
        <f t="shared" si="0"/>
        <v>963303</v>
      </c>
      <c r="J3" s="387">
        <f t="shared" ref="J3:K3" si="1">SUM(J5:J8)</f>
        <v>952530</v>
      </c>
      <c r="K3" s="387">
        <f t="shared" si="1"/>
        <v>979258</v>
      </c>
      <c r="L3" s="387">
        <f t="shared" ref="L3" si="2">SUM(L5:L8)</f>
        <v>995800</v>
      </c>
    </row>
    <row r="4" spans="1:14">
      <c r="D4" s="388"/>
      <c r="E4" s="388"/>
      <c r="F4" s="388"/>
      <c r="G4" s="388"/>
      <c r="H4" s="388"/>
      <c r="I4" s="388"/>
      <c r="J4" s="388"/>
      <c r="K4" s="388"/>
      <c r="L4" s="388"/>
      <c r="N4" s="389"/>
    </row>
    <row r="5" spans="1:14">
      <c r="A5" s="384" t="s">
        <v>1015</v>
      </c>
      <c r="C5" s="384"/>
      <c r="D5" s="387">
        <f t="shared" ref="D5:I5" si="3">D53</f>
        <v>175811</v>
      </c>
      <c r="E5" s="387">
        <f t="shared" si="3"/>
        <v>176015</v>
      </c>
      <c r="F5" s="387">
        <f t="shared" si="3"/>
        <v>178262</v>
      </c>
      <c r="G5" s="387">
        <f t="shared" si="3"/>
        <v>179470</v>
      </c>
      <c r="H5" s="387">
        <f t="shared" si="3"/>
        <v>180213</v>
      </c>
      <c r="I5" s="387">
        <f t="shared" si="3"/>
        <v>176280</v>
      </c>
      <c r="J5" s="387">
        <f t="shared" ref="J5:K5" si="4">J53</f>
        <v>167715</v>
      </c>
      <c r="K5" s="387">
        <f t="shared" si="4"/>
        <v>173280</v>
      </c>
      <c r="L5" s="387">
        <f t="shared" ref="L5" si="5">L53</f>
        <v>175948</v>
      </c>
      <c r="N5" s="390"/>
    </row>
    <row r="6" spans="1:14">
      <c r="A6" s="384" t="s">
        <v>1016</v>
      </c>
      <c r="C6" s="384"/>
      <c r="D6" s="387">
        <f t="shared" ref="D6:I6" si="6">D86</f>
        <v>218109</v>
      </c>
      <c r="E6" s="387">
        <f t="shared" si="6"/>
        <v>220403</v>
      </c>
      <c r="F6" s="387">
        <f t="shared" si="6"/>
        <v>220639</v>
      </c>
      <c r="G6" s="387">
        <f t="shared" si="6"/>
        <v>221968</v>
      </c>
      <c r="H6" s="387">
        <f t="shared" si="6"/>
        <v>217226</v>
      </c>
      <c r="I6" s="387">
        <f t="shared" si="6"/>
        <v>206309</v>
      </c>
      <c r="J6" s="387">
        <f t="shared" ref="J6:K6" si="7">J86</f>
        <v>211267</v>
      </c>
      <c r="K6" s="387">
        <f t="shared" si="7"/>
        <v>215105</v>
      </c>
      <c r="L6" s="387">
        <f t="shared" ref="L6" si="8">L86</f>
        <v>219058</v>
      </c>
      <c r="N6" s="390"/>
    </row>
    <row r="7" spans="1:14">
      <c r="A7" s="384" t="s">
        <v>1017</v>
      </c>
      <c r="C7" s="384"/>
      <c r="D7" s="387">
        <f t="shared" ref="D7:I7" si="9">D124</f>
        <v>190076</v>
      </c>
      <c r="E7" s="387">
        <f t="shared" si="9"/>
        <v>191489</v>
      </c>
      <c r="F7" s="387">
        <f t="shared" si="9"/>
        <v>192390</v>
      </c>
      <c r="G7" s="387">
        <f t="shared" si="9"/>
        <v>194397</v>
      </c>
      <c r="H7" s="387">
        <f t="shared" si="9"/>
        <v>196100</v>
      </c>
      <c r="I7" s="387">
        <f t="shared" si="9"/>
        <v>195614</v>
      </c>
      <c r="J7" s="387">
        <f t="shared" ref="J7:K7" si="10">J124</f>
        <v>192118</v>
      </c>
      <c r="K7" s="387">
        <f t="shared" si="10"/>
        <v>194419</v>
      </c>
      <c r="L7" s="387">
        <f t="shared" ref="L7" si="11">L124</f>
        <v>194140</v>
      </c>
      <c r="N7" s="390"/>
    </row>
    <row r="8" spans="1:14">
      <c r="A8" s="384" t="s">
        <v>1018</v>
      </c>
      <c r="C8" s="384"/>
      <c r="D8" s="387">
        <f t="shared" ref="D8:I8" si="12">D157</f>
        <v>378810</v>
      </c>
      <c r="E8" s="387">
        <f t="shared" si="12"/>
        <v>386512</v>
      </c>
      <c r="F8" s="387">
        <f t="shared" si="12"/>
        <v>389856</v>
      </c>
      <c r="G8" s="387">
        <f t="shared" si="12"/>
        <v>396026</v>
      </c>
      <c r="H8" s="387">
        <f t="shared" si="12"/>
        <v>391377</v>
      </c>
      <c r="I8" s="387">
        <f t="shared" si="12"/>
        <v>385100</v>
      </c>
      <c r="J8" s="387">
        <f t="shared" ref="J8:K8" si="13">J157</f>
        <v>381430</v>
      </c>
      <c r="K8" s="387">
        <f t="shared" si="13"/>
        <v>396454</v>
      </c>
      <c r="L8" s="387">
        <f t="shared" ref="L8" si="14">L157</f>
        <v>406654</v>
      </c>
      <c r="N8" s="390"/>
    </row>
    <row r="10" spans="1:14">
      <c r="A10" s="384" t="s">
        <v>1019</v>
      </c>
      <c r="D10" s="387">
        <f t="shared" ref="D10:I10" si="15">D3/13</f>
        <v>74062</v>
      </c>
      <c r="E10" s="387">
        <f t="shared" si="15"/>
        <v>74955.307692307688</v>
      </c>
      <c r="F10" s="387">
        <f t="shared" si="15"/>
        <v>75472.846153846156</v>
      </c>
      <c r="G10" s="387">
        <f t="shared" si="15"/>
        <v>76297</v>
      </c>
      <c r="H10" s="387">
        <f t="shared" si="15"/>
        <v>75762.769230769234</v>
      </c>
      <c r="I10" s="387">
        <f t="shared" si="15"/>
        <v>74100.230769230766</v>
      </c>
      <c r="J10" s="387">
        <f t="shared" ref="J10:K10" si="16">J3/13</f>
        <v>73271.538461538468</v>
      </c>
      <c r="K10" s="387">
        <f t="shared" si="16"/>
        <v>75327.538461538468</v>
      </c>
      <c r="L10" s="387">
        <f t="shared" ref="L10" si="17">L3/13</f>
        <v>76600</v>
      </c>
    </row>
    <row r="11" spans="1:14">
      <c r="D11" s="388"/>
      <c r="E11" s="388"/>
      <c r="F11" s="388"/>
      <c r="G11" s="388"/>
      <c r="H11" s="388"/>
      <c r="I11" s="388"/>
      <c r="J11" s="388"/>
      <c r="K11" s="388"/>
      <c r="L11" s="388"/>
    </row>
    <row r="12" spans="1:14">
      <c r="A12" s="384" t="s">
        <v>1020</v>
      </c>
      <c r="D12" s="387">
        <f t="shared" ref="D12:I12" si="18">D76</f>
        <v>64864</v>
      </c>
      <c r="E12" s="387">
        <f t="shared" si="18"/>
        <v>64732</v>
      </c>
      <c r="F12" s="387">
        <f t="shared" si="18"/>
        <v>65317</v>
      </c>
      <c r="G12" s="387">
        <f t="shared" si="18"/>
        <v>65674</v>
      </c>
      <c r="H12" s="387">
        <f t="shared" si="18"/>
        <v>65738</v>
      </c>
      <c r="I12" s="387">
        <f t="shared" si="18"/>
        <v>64170</v>
      </c>
      <c r="J12" s="387">
        <f t="shared" ref="J12:K12" si="19">J76</f>
        <v>60767</v>
      </c>
      <c r="K12" s="387">
        <f t="shared" si="19"/>
        <v>62523</v>
      </c>
      <c r="L12" s="387">
        <f t="shared" ref="L12" si="20">L76</f>
        <v>63374</v>
      </c>
      <c r="N12" s="384" t="s">
        <v>1021</v>
      </c>
    </row>
    <row r="13" spans="1:14">
      <c r="D13" s="388"/>
      <c r="E13" s="388"/>
      <c r="F13" s="388"/>
      <c r="G13" s="388"/>
      <c r="H13" s="388"/>
      <c r="I13" s="388"/>
      <c r="J13" s="388"/>
      <c r="K13" s="388"/>
      <c r="L13" s="388"/>
    </row>
    <row r="14" spans="1:14">
      <c r="A14" s="384" t="s">
        <v>1022</v>
      </c>
      <c r="D14" s="387">
        <f t="shared" ref="D14:I14" si="21">D77</f>
        <v>68011</v>
      </c>
      <c r="E14" s="387">
        <f t="shared" si="21"/>
        <v>68243</v>
      </c>
      <c r="F14" s="387">
        <f t="shared" si="21"/>
        <v>69321</v>
      </c>
      <c r="G14" s="387">
        <f t="shared" si="21"/>
        <v>69876</v>
      </c>
      <c r="H14" s="387">
        <f t="shared" si="21"/>
        <v>70307</v>
      </c>
      <c r="I14" s="387">
        <f t="shared" si="21"/>
        <v>68775</v>
      </c>
      <c r="J14" s="387">
        <f t="shared" ref="J14:K14" si="22">J77</f>
        <v>65344</v>
      </c>
      <c r="K14" s="387">
        <f t="shared" si="22"/>
        <v>67432</v>
      </c>
      <c r="L14" s="387">
        <f t="shared" ref="L14" si="23">L77</f>
        <v>68361</v>
      </c>
      <c r="N14" s="384" t="s">
        <v>1021</v>
      </c>
    </row>
    <row r="15" spans="1:14">
      <c r="D15" s="388"/>
      <c r="E15" s="388"/>
      <c r="F15" s="388"/>
      <c r="G15" s="388"/>
      <c r="H15" s="388"/>
      <c r="I15" s="388"/>
      <c r="J15" s="388"/>
      <c r="K15" s="388"/>
      <c r="L15" s="388"/>
    </row>
    <row r="16" spans="1:14">
      <c r="A16" s="384" t="s">
        <v>1905</v>
      </c>
      <c r="D16" s="387">
        <f t="shared" ref="D16:I16" si="24">D115</f>
        <v>73189</v>
      </c>
      <c r="E16" s="387">
        <f t="shared" si="24"/>
        <v>73874</v>
      </c>
      <c r="F16" s="387">
        <f t="shared" si="24"/>
        <v>73730</v>
      </c>
      <c r="G16" s="387">
        <f t="shared" si="24"/>
        <v>73808</v>
      </c>
      <c r="H16" s="387">
        <f t="shared" si="24"/>
        <v>71866</v>
      </c>
      <c r="I16" s="387">
        <f t="shared" si="24"/>
        <v>68829</v>
      </c>
      <c r="J16" s="387">
        <f t="shared" ref="J16:K16" si="25">J115</f>
        <v>70200</v>
      </c>
      <c r="K16" s="387">
        <f t="shared" si="25"/>
        <v>70778</v>
      </c>
      <c r="L16" s="387">
        <f t="shared" ref="L16" si="26">L115</f>
        <v>72242</v>
      </c>
      <c r="N16" s="384" t="s">
        <v>1906</v>
      </c>
    </row>
    <row r="17" spans="1:14">
      <c r="D17" s="388"/>
      <c r="E17" s="388"/>
      <c r="F17" s="388"/>
      <c r="G17" s="388"/>
      <c r="H17" s="388"/>
      <c r="I17" s="388"/>
      <c r="J17" s="388"/>
      <c r="K17" s="388"/>
      <c r="L17" s="388"/>
    </row>
    <row r="18" spans="1:14">
      <c r="A18" s="384" t="s">
        <v>1907</v>
      </c>
      <c r="D18" s="387">
        <f t="shared" ref="D18:I18" si="27">D116</f>
        <v>72040</v>
      </c>
      <c r="E18" s="387">
        <f t="shared" si="27"/>
        <v>72855</v>
      </c>
      <c r="F18" s="387">
        <f t="shared" si="27"/>
        <v>73234</v>
      </c>
      <c r="G18" s="387">
        <f t="shared" si="27"/>
        <v>74073</v>
      </c>
      <c r="H18" s="387">
        <f t="shared" si="27"/>
        <v>72375</v>
      </c>
      <c r="I18" s="387">
        <f t="shared" si="27"/>
        <v>68608</v>
      </c>
      <c r="J18" s="387">
        <f t="shared" ref="J18:K18" si="28">J116</f>
        <v>70337</v>
      </c>
      <c r="K18" s="387">
        <f t="shared" si="28"/>
        <v>71430</v>
      </c>
      <c r="L18" s="387">
        <f t="shared" ref="L18" si="29">L116</f>
        <v>72613</v>
      </c>
      <c r="N18" s="384" t="s">
        <v>1906</v>
      </c>
    </row>
    <row r="19" spans="1:14">
      <c r="D19" s="388"/>
      <c r="E19" s="388"/>
      <c r="F19" s="388"/>
      <c r="G19" s="388"/>
      <c r="H19" s="388"/>
      <c r="I19" s="388"/>
      <c r="J19" s="388"/>
      <c r="K19" s="388"/>
      <c r="L19" s="388"/>
    </row>
    <row r="20" spans="1:14">
      <c r="A20" s="384" t="s">
        <v>1023</v>
      </c>
      <c r="D20" s="387">
        <f t="shared" ref="D20:I20" si="30">D117</f>
        <v>72880</v>
      </c>
      <c r="E20" s="387">
        <f t="shared" si="30"/>
        <v>73674</v>
      </c>
      <c r="F20" s="387">
        <f t="shared" si="30"/>
        <v>73675</v>
      </c>
      <c r="G20" s="387">
        <f t="shared" si="30"/>
        <v>74087</v>
      </c>
      <c r="H20" s="387">
        <f t="shared" si="30"/>
        <v>72985</v>
      </c>
      <c r="I20" s="387">
        <f t="shared" si="30"/>
        <v>68872</v>
      </c>
      <c r="J20" s="387">
        <f t="shared" ref="J20:K20" si="31">J117</f>
        <v>70730</v>
      </c>
      <c r="K20" s="387">
        <f t="shared" si="31"/>
        <v>72897</v>
      </c>
      <c r="L20" s="387">
        <f t="shared" ref="L20" si="32">L117</f>
        <v>74203</v>
      </c>
      <c r="N20" s="384" t="s">
        <v>1906</v>
      </c>
    </row>
    <row r="21" spans="1:14">
      <c r="D21" s="388"/>
      <c r="E21" s="388"/>
      <c r="F21" s="388"/>
      <c r="G21" s="388"/>
      <c r="H21" s="388"/>
      <c r="I21" s="388"/>
      <c r="J21" s="388"/>
      <c r="K21" s="388"/>
      <c r="L21" s="388"/>
    </row>
    <row r="22" spans="1:14">
      <c r="A22" s="384" t="s">
        <v>1024</v>
      </c>
      <c r="D22" s="387">
        <f t="shared" ref="D22:I22" si="33">D78</f>
        <v>25853</v>
      </c>
      <c r="E22" s="387">
        <f t="shared" si="33"/>
        <v>26058</v>
      </c>
      <c r="F22" s="387">
        <f t="shared" si="33"/>
        <v>26364</v>
      </c>
      <c r="G22" s="387">
        <f t="shared" si="33"/>
        <v>26667</v>
      </c>
      <c r="H22" s="387">
        <f t="shared" si="33"/>
        <v>27019</v>
      </c>
      <c r="I22" s="387">
        <f t="shared" si="33"/>
        <v>26907</v>
      </c>
      <c r="J22" s="387">
        <f t="shared" ref="J22:K22" si="34">J78</f>
        <v>26042</v>
      </c>
      <c r="K22" s="387">
        <f t="shared" si="34"/>
        <v>27069</v>
      </c>
      <c r="L22" s="387">
        <f t="shared" ref="L22" si="35">L78</f>
        <v>27530</v>
      </c>
      <c r="N22" s="384" t="s">
        <v>1021</v>
      </c>
    </row>
    <row r="23" spans="1:14" ht="15.75" thickBot="1">
      <c r="D23" s="391">
        <f t="shared" ref="D23:I23" si="36">D205</f>
        <v>42775</v>
      </c>
      <c r="E23" s="391">
        <f t="shared" si="36"/>
        <v>43075</v>
      </c>
      <c r="F23" s="391">
        <f t="shared" si="36"/>
        <v>43191</v>
      </c>
      <c r="G23" s="391">
        <f t="shared" si="36"/>
        <v>43505</v>
      </c>
      <c r="H23" s="391">
        <f t="shared" si="36"/>
        <v>43169</v>
      </c>
      <c r="I23" s="391">
        <f t="shared" si="36"/>
        <v>43012</v>
      </c>
      <c r="J23" s="391">
        <f t="shared" ref="J23:K23" si="37">J205</f>
        <v>42537</v>
      </c>
      <c r="K23" s="391">
        <f t="shared" si="37"/>
        <v>43803</v>
      </c>
      <c r="L23" s="391">
        <f t="shared" ref="L23" si="38">L205</f>
        <v>44001</v>
      </c>
      <c r="N23" s="384" t="s">
        <v>1025</v>
      </c>
    </row>
    <row r="24" spans="1:14" ht="15.75" thickBot="1">
      <c r="D24" s="392">
        <f t="shared" ref="D24:I24" si="39">D22+D23</f>
        <v>68628</v>
      </c>
      <c r="E24" s="392">
        <f t="shared" si="39"/>
        <v>69133</v>
      </c>
      <c r="F24" s="392">
        <f t="shared" si="39"/>
        <v>69555</v>
      </c>
      <c r="G24" s="392">
        <f t="shared" si="39"/>
        <v>70172</v>
      </c>
      <c r="H24" s="392">
        <f t="shared" si="39"/>
        <v>70188</v>
      </c>
      <c r="I24" s="392">
        <f t="shared" si="39"/>
        <v>69919</v>
      </c>
      <c r="J24" s="392">
        <f t="shared" ref="J24:K24" si="40">J22+J23</f>
        <v>68579</v>
      </c>
      <c r="K24" s="392">
        <f t="shared" si="40"/>
        <v>70872</v>
      </c>
      <c r="L24" s="392">
        <f t="shared" ref="L24" si="41">L22+L23</f>
        <v>71531</v>
      </c>
    </row>
    <row r="25" spans="1:14">
      <c r="D25" s="388"/>
      <c r="E25" s="388"/>
      <c r="F25" s="388"/>
      <c r="G25" s="388"/>
      <c r="H25" s="388"/>
      <c r="I25" s="388"/>
      <c r="J25" s="388"/>
      <c r="K25" s="388"/>
      <c r="L25" s="388"/>
    </row>
    <row r="26" spans="1:14">
      <c r="A26" s="384" t="s">
        <v>1026</v>
      </c>
      <c r="D26" s="387">
        <f t="shared" ref="D26:I26" si="42">D147</f>
        <v>72168</v>
      </c>
      <c r="E26" s="387">
        <f t="shared" si="42"/>
        <v>73068</v>
      </c>
      <c r="F26" s="387">
        <f t="shared" si="42"/>
        <v>73220</v>
      </c>
      <c r="G26" s="387">
        <f t="shared" si="42"/>
        <v>73755</v>
      </c>
      <c r="H26" s="387">
        <f t="shared" si="42"/>
        <v>74189</v>
      </c>
      <c r="I26" s="387">
        <f t="shared" si="42"/>
        <v>74259</v>
      </c>
      <c r="J26" s="387">
        <f t="shared" ref="J26:K26" si="43">J147</f>
        <v>73511</v>
      </c>
      <c r="K26" s="387">
        <f t="shared" si="43"/>
        <v>74387</v>
      </c>
      <c r="L26" s="387">
        <f t="shared" ref="L26" si="44">L147</f>
        <v>74654</v>
      </c>
      <c r="N26" s="384" t="s">
        <v>1027</v>
      </c>
    </row>
    <row r="27" spans="1:14">
      <c r="D27" s="388"/>
      <c r="E27" s="388"/>
      <c r="F27" s="388"/>
      <c r="G27" s="388"/>
      <c r="H27" s="388"/>
      <c r="I27" s="388"/>
      <c r="J27" s="388"/>
      <c r="K27" s="388"/>
      <c r="L27" s="388"/>
    </row>
    <row r="28" spans="1:14">
      <c r="A28" s="384" t="s">
        <v>1028</v>
      </c>
      <c r="D28" s="387">
        <f t="shared" ref="D28:I28" si="45">D148</f>
        <v>62977</v>
      </c>
      <c r="E28" s="387">
        <f t="shared" si="45"/>
        <v>63131</v>
      </c>
      <c r="F28" s="387">
        <f t="shared" si="45"/>
        <v>63464</v>
      </c>
      <c r="G28" s="387">
        <f t="shared" si="45"/>
        <v>64156</v>
      </c>
      <c r="H28" s="387">
        <f t="shared" si="45"/>
        <v>64425</v>
      </c>
      <c r="I28" s="387">
        <f t="shared" si="45"/>
        <v>63843</v>
      </c>
      <c r="J28" s="387">
        <f t="shared" ref="J28:K28" si="46">J148</f>
        <v>62017</v>
      </c>
      <c r="K28" s="387">
        <f t="shared" si="46"/>
        <v>62714</v>
      </c>
      <c r="L28" s="387">
        <f t="shared" ref="L28" si="47">L148</f>
        <v>62058</v>
      </c>
      <c r="N28" s="384" t="s">
        <v>1027</v>
      </c>
    </row>
    <row r="29" spans="1:14">
      <c r="D29" s="388"/>
      <c r="E29" s="388"/>
      <c r="F29" s="388"/>
      <c r="G29" s="388"/>
      <c r="H29" s="388"/>
      <c r="I29" s="388"/>
      <c r="J29" s="388"/>
      <c r="K29" s="388"/>
      <c r="L29" s="388"/>
    </row>
    <row r="30" spans="1:14">
      <c r="A30" s="384" t="s">
        <v>1029</v>
      </c>
      <c r="D30" s="387">
        <f t="shared" ref="D30:I30" si="48">D206</f>
        <v>68194</v>
      </c>
      <c r="E30" s="387">
        <f t="shared" si="48"/>
        <v>69206</v>
      </c>
      <c r="F30" s="387">
        <f t="shared" si="48"/>
        <v>69954</v>
      </c>
      <c r="G30" s="387">
        <f t="shared" si="48"/>
        <v>71442</v>
      </c>
      <c r="H30" s="387">
        <f t="shared" si="48"/>
        <v>70422</v>
      </c>
      <c r="I30" s="387">
        <f t="shared" si="48"/>
        <v>69679</v>
      </c>
      <c r="J30" s="387">
        <f t="shared" ref="J30:K30" si="49">J206</f>
        <v>67717</v>
      </c>
      <c r="K30" s="387">
        <f t="shared" si="49"/>
        <v>70095</v>
      </c>
      <c r="L30" s="387">
        <f t="shared" ref="L30" si="50">L206</f>
        <v>71359</v>
      </c>
      <c r="N30" s="384" t="s">
        <v>1025</v>
      </c>
    </row>
    <row r="31" spans="1:14">
      <c r="D31" s="388"/>
      <c r="E31" s="388"/>
      <c r="F31" s="388"/>
      <c r="G31" s="388"/>
      <c r="H31" s="388"/>
      <c r="I31" s="388"/>
      <c r="J31" s="388"/>
      <c r="K31" s="388"/>
      <c r="L31" s="388"/>
    </row>
    <row r="32" spans="1:14">
      <c r="A32" s="384" t="s">
        <v>1030</v>
      </c>
      <c r="D32" s="387">
        <f t="shared" ref="D32:I32" si="51">D207</f>
        <v>65515</v>
      </c>
      <c r="E32" s="387">
        <f t="shared" si="51"/>
        <v>69975</v>
      </c>
      <c r="F32" s="387">
        <f t="shared" si="51"/>
        <v>71652</v>
      </c>
      <c r="G32" s="387">
        <f t="shared" si="51"/>
        <v>74020</v>
      </c>
      <c r="H32" s="387">
        <f t="shared" si="51"/>
        <v>70842</v>
      </c>
      <c r="I32" s="387">
        <f t="shared" si="51"/>
        <v>68091</v>
      </c>
      <c r="J32" s="387">
        <f t="shared" ref="J32:K32" si="52">J207</f>
        <v>67917</v>
      </c>
      <c r="K32" s="387">
        <f t="shared" si="52"/>
        <v>72703</v>
      </c>
      <c r="L32" s="387">
        <f t="shared" ref="L32" si="53">L207</f>
        <v>78490</v>
      </c>
      <c r="N32" s="384" t="s">
        <v>1025</v>
      </c>
    </row>
    <row r="33" spans="1:14">
      <c r="D33" s="388"/>
      <c r="E33" s="388"/>
      <c r="F33" s="388"/>
      <c r="G33" s="388"/>
      <c r="H33" s="388"/>
      <c r="I33" s="388"/>
      <c r="J33" s="388"/>
      <c r="K33" s="388"/>
      <c r="L33" s="388"/>
    </row>
    <row r="34" spans="1:14">
      <c r="A34" s="384" t="s">
        <v>1031</v>
      </c>
      <c r="D34" s="387">
        <f t="shared" ref="D34:I34" si="54">D208</f>
        <v>68863</v>
      </c>
      <c r="E34" s="387">
        <f t="shared" si="54"/>
        <v>70032</v>
      </c>
      <c r="F34" s="387">
        <f t="shared" si="54"/>
        <v>69795</v>
      </c>
      <c r="G34" s="387">
        <f t="shared" si="54"/>
        <v>70430</v>
      </c>
      <c r="H34" s="387">
        <f t="shared" si="54"/>
        <v>70296</v>
      </c>
      <c r="I34" s="387">
        <f t="shared" si="54"/>
        <v>68794</v>
      </c>
      <c r="J34" s="387">
        <f t="shared" ref="J34:K34" si="55">J208</f>
        <v>70415</v>
      </c>
      <c r="K34" s="387">
        <f t="shared" si="55"/>
        <v>72821</v>
      </c>
      <c r="L34" s="387">
        <f t="shared" ref="L34" si="56">L208</f>
        <v>74626</v>
      </c>
      <c r="N34" s="384" t="s">
        <v>1025</v>
      </c>
    </row>
    <row r="35" spans="1:14">
      <c r="D35" s="388"/>
      <c r="E35" s="388"/>
      <c r="F35" s="388"/>
      <c r="G35" s="388"/>
      <c r="H35" s="388"/>
      <c r="I35" s="388"/>
      <c r="J35" s="388"/>
      <c r="K35" s="388"/>
      <c r="L35" s="388"/>
    </row>
    <row r="36" spans="1:14">
      <c r="A36" s="384" t="s">
        <v>1032</v>
      </c>
      <c r="D36" s="387">
        <f t="shared" ref="D36:I36" si="57">D209</f>
        <v>65904</v>
      </c>
      <c r="E36" s="387">
        <f t="shared" si="57"/>
        <v>66432</v>
      </c>
      <c r="F36" s="387">
        <f t="shared" si="57"/>
        <v>67068</v>
      </c>
      <c r="G36" s="387">
        <f t="shared" si="57"/>
        <v>67911</v>
      </c>
      <c r="H36" s="387">
        <f t="shared" si="57"/>
        <v>67646</v>
      </c>
      <c r="I36" s="387">
        <f t="shared" si="57"/>
        <v>66987</v>
      </c>
      <c r="J36" s="387">
        <f t="shared" ref="J36:K36" si="58">J209</f>
        <v>65857</v>
      </c>
      <c r="K36" s="387">
        <f t="shared" si="58"/>
        <v>67993</v>
      </c>
      <c r="L36" s="387">
        <f t="shared" ref="L36" si="59">L209</f>
        <v>68394</v>
      </c>
      <c r="N36" s="384" t="s">
        <v>1025</v>
      </c>
    </row>
    <row r="37" spans="1:14">
      <c r="D37" s="388"/>
      <c r="E37" s="388"/>
      <c r="F37" s="388"/>
      <c r="G37" s="388"/>
      <c r="H37" s="388"/>
      <c r="I37" s="388"/>
      <c r="J37" s="388"/>
      <c r="K37" s="388"/>
      <c r="L37" s="388"/>
    </row>
    <row r="38" spans="1:14">
      <c r="A38" s="384" t="s">
        <v>1033</v>
      </c>
      <c r="D38" s="387">
        <f t="shared" ref="D38:I38" si="60">D210</f>
        <v>67559</v>
      </c>
      <c r="E38" s="387">
        <f t="shared" si="60"/>
        <v>67792</v>
      </c>
      <c r="F38" s="387">
        <f t="shared" si="60"/>
        <v>68196</v>
      </c>
      <c r="G38" s="387">
        <f t="shared" si="60"/>
        <v>68718</v>
      </c>
      <c r="H38" s="387">
        <f t="shared" si="60"/>
        <v>69002</v>
      </c>
      <c r="I38" s="387">
        <f t="shared" si="60"/>
        <v>68537</v>
      </c>
      <c r="J38" s="387">
        <f t="shared" ref="J38:K38" si="61">J210</f>
        <v>66987</v>
      </c>
      <c r="K38" s="387">
        <f t="shared" si="61"/>
        <v>69039</v>
      </c>
      <c r="L38" s="387">
        <f t="shared" ref="L38" si="62">L210</f>
        <v>69784</v>
      </c>
      <c r="N38" s="384" t="s">
        <v>1025</v>
      </c>
    </row>
    <row r="39" spans="1:14">
      <c r="D39" s="388"/>
      <c r="E39" s="388"/>
      <c r="F39" s="388"/>
      <c r="G39" s="388"/>
      <c r="H39" s="388"/>
      <c r="I39" s="388"/>
      <c r="J39" s="388"/>
      <c r="K39" s="388"/>
      <c r="L39" s="388"/>
    </row>
    <row r="40" spans="1:14">
      <c r="A40" s="384" t="s">
        <v>3987</v>
      </c>
      <c r="D40" s="387">
        <f t="shared" ref="D40:I40" si="63">D79</f>
        <v>17083</v>
      </c>
      <c r="E40" s="387">
        <f t="shared" si="63"/>
        <v>16982</v>
      </c>
      <c r="F40" s="387">
        <f t="shared" si="63"/>
        <v>17260</v>
      </c>
      <c r="G40" s="387">
        <f t="shared" si="63"/>
        <v>17253</v>
      </c>
      <c r="H40" s="387">
        <f t="shared" si="63"/>
        <v>17149</v>
      </c>
      <c r="I40" s="387">
        <f t="shared" si="63"/>
        <v>16428</v>
      </c>
      <c r="J40" s="387">
        <f t="shared" ref="J40:K40" si="64">J79</f>
        <v>15562</v>
      </c>
      <c r="K40" s="387">
        <f t="shared" si="64"/>
        <v>16256</v>
      </c>
      <c r="L40" s="387">
        <f t="shared" ref="L40" si="65">L79</f>
        <v>16683</v>
      </c>
      <c r="N40" s="384" t="s">
        <v>1021</v>
      </c>
    </row>
    <row r="41" spans="1:14" ht="15.75" thickBot="1">
      <c r="A41" s="384"/>
      <c r="D41" s="393">
        <f t="shared" ref="D41:I41" si="66">D149</f>
        <v>54931</v>
      </c>
      <c r="E41" s="393">
        <f t="shared" si="66"/>
        <v>55290</v>
      </c>
      <c r="F41" s="393">
        <f t="shared" si="66"/>
        <v>55706</v>
      </c>
      <c r="G41" s="393">
        <f t="shared" si="66"/>
        <v>56486</v>
      </c>
      <c r="H41" s="393">
        <f t="shared" si="66"/>
        <v>57486</v>
      </c>
      <c r="I41" s="393">
        <f t="shared" si="66"/>
        <v>57512</v>
      </c>
      <c r="J41" s="393">
        <f t="shared" ref="J41:K41" si="67">J149</f>
        <v>56590</v>
      </c>
      <c r="K41" s="393">
        <f t="shared" si="67"/>
        <v>57318</v>
      </c>
      <c r="L41" s="393">
        <f t="shared" ref="L41" si="68">L149</f>
        <v>57428</v>
      </c>
      <c r="N41" s="384" t="s">
        <v>1027</v>
      </c>
    </row>
    <row r="42" spans="1:14" ht="15.75" thickBot="1">
      <c r="A42" s="384"/>
      <c r="D42" s="394">
        <f t="shared" ref="D42:I42" si="69">D40+D41</f>
        <v>72014</v>
      </c>
      <c r="E42" s="394">
        <f t="shared" si="69"/>
        <v>72272</v>
      </c>
      <c r="F42" s="394">
        <f t="shared" si="69"/>
        <v>72966</v>
      </c>
      <c r="G42" s="394">
        <f t="shared" si="69"/>
        <v>73739</v>
      </c>
      <c r="H42" s="394">
        <f t="shared" si="69"/>
        <v>74635</v>
      </c>
      <c r="I42" s="394">
        <f t="shared" si="69"/>
        <v>73940</v>
      </c>
      <c r="J42" s="394">
        <f t="shared" ref="J42:K42" si="70">J40+J41</f>
        <v>72152</v>
      </c>
      <c r="K42" s="394">
        <f t="shared" si="70"/>
        <v>73574</v>
      </c>
      <c r="L42" s="394">
        <f t="shared" ref="L42" si="71">L40+L41</f>
        <v>74111</v>
      </c>
      <c r="N42" s="384"/>
    </row>
    <row r="43" spans="1:14">
      <c r="D43" s="388"/>
      <c r="E43" s="388"/>
      <c r="F43" s="388"/>
      <c r="G43" s="388"/>
      <c r="H43" s="388"/>
      <c r="I43" s="388"/>
      <c r="J43" s="388"/>
      <c r="K43" s="388"/>
      <c r="L43" s="388"/>
    </row>
    <row r="44" spans="1:14">
      <c r="A44" s="384" t="s">
        <v>8697</v>
      </c>
      <c r="D44" s="387">
        <f t="shared" ref="D44:I44" si="72">D12+D14+D16+D18+D20+D24+D26+D28+D30+D32+D34+D36+D38+D42</f>
        <v>962806</v>
      </c>
      <c r="E44" s="387">
        <f t="shared" si="72"/>
        <v>974419</v>
      </c>
      <c r="F44" s="387">
        <f t="shared" si="72"/>
        <v>981147</v>
      </c>
      <c r="G44" s="387">
        <f t="shared" si="72"/>
        <v>991861</v>
      </c>
      <c r="H44" s="387">
        <f t="shared" si="72"/>
        <v>984916</v>
      </c>
      <c r="I44" s="387">
        <f t="shared" si="72"/>
        <v>963303</v>
      </c>
      <c r="J44" s="387">
        <f t="shared" ref="J44:K44" si="73">J12+J14+J16+J18+J20+J24+J26+J28+J30+J32+J34+J36+J38+J42</f>
        <v>952530</v>
      </c>
      <c r="K44" s="387">
        <f t="shared" si="73"/>
        <v>979258</v>
      </c>
      <c r="L44" s="387">
        <f t="shared" ref="L44" si="74">L12+L14+L16+L18+L20+L24+L26+L28+L30+L32+L34+L36+L38+L42</f>
        <v>995800</v>
      </c>
    </row>
    <row r="45" spans="1:14">
      <c r="D45" s="388"/>
      <c r="E45" s="388"/>
      <c r="F45" s="388"/>
      <c r="G45" s="388"/>
      <c r="H45" s="388"/>
      <c r="I45" s="388"/>
      <c r="J45" s="388"/>
      <c r="K45" s="388"/>
      <c r="L45" s="388"/>
    </row>
    <row r="46" spans="1:14">
      <c r="A46" s="384" t="s">
        <v>8698</v>
      </c>
      <c r="D46" s="387">
        <f t="shared" ref="D46:I46" si="75">MAX(D12,D14,D16,D18,D20,D24,D26,D28,D30,D32,D34,D36,D38,D42)-MIN(D12,D14,D16,D18,D20,D24,D26,D28,D30,D32,D34,D36,D38,D42)</f>
        <v>10212</v>
      </c>
      <c r="E46" s="387">
        <f t="shared" si="75"/>
        <v>10743</v>
      </c>
      <c r="F46" s="387">
        <f t="shared" si="75"/>
        <v>10266</v>
      </c>
      <c r="G46" s="387">
        <f t="shared" si="75"/>
        <v>9931</v>
      </c>
      <c r="H46" s="387">
        <f t="shared" si="75"/>
        <v>10210</v>
      </c>
      <c r="I46" s="387">
        <f t="shared" si="75"/>
        <v>10416</v>
      </c>
      <c r="J46" s="387">
        <f t="shared" ref="J46:K46" si="76">MAX(J12,J14,J16,J18,J20,J24,J26,J28,J30,J32,J34,J36,J38,J42)-MIN(J12,J14,J16,J18,J20,J24,J26,J28,J30,J32,J34,J36,J38,J42)</f>
        <v>12744</v>
      </c>
      <c r="K46" s="387">
        <f t="shared" si="76"/>
        <v>11864</v>
      </c>
      <c r="L46" s="387">
        <f t="shared" ref="L46" si="77">MAX(L12,L14,L16,L18,L20,L24,L26,L28,L30,L32,L34,L36,L38,L42)-MIN(L12,L14,L16,L18,L20,L24,L26,L28,L30,L32,L34,L36,L38,L42)</f>
        <v>16432</v>
      </c>
    </row>
    <row r="47" spans="1:14">
      <c r="D47" s="388"/>
      <c r="E47" s="388"/>
      <c r="F47" s="388"/>
      <c r="G47" s="388"/>
      <c r="H47" s="388"/>
      <c r="I47" s="388"/>
      <c r="J47" s="388"/>
      <c r="K47" s="388"/>
      <c r="L47" s="388"/>
    </row>
    <row r="48" spans="1:14">
      <c r="A48" s="384" t="s">
        <v>8701</v>
      </c>
      <c r="D48" s="387">
        <f t="shared" ref="D48:I48" si="78">STDEVP(D12,D14,D16,D18,D20,D24,D26,D28,D30,D32,D34,D36,D38,D42)</f>
        <v>3153.3464051734641</v>
      </c>
      <c r="E48" s="387">
        <f t="shared" si="78"/>
        <v>3229.5361809209617</v>
      </c>
      <c r="F48" s="387">
        <f t="shared" si="78"/>
        <v>3126.8651682815243</v>
      </c>
      <c r="G48" s="387">
        <f t="shared" si="78"/>
        <v>3197.8651400710492</v>
      </c>
      <c r="H48" s="387">
        <f t="shared" si="78"/>
        <v>2831.2589288952327</v>
      </c>
      <c r="I48" s="387">
        <f t="shared" si="78"/>
        <v>2779.4583646855385</v>
      </c>
      <c r="J48" s="387">
        <f t="shared" ref="J48:K48" si="79">STDEVP(J12,J14,J16,J18,J20,J24,J26,J28,J30,J32,J34,J36,J38,J42)</f>
        <v>3509.0149789433758</v>
      </c>
      <c r="K48" s="387">
        <f t="shared" si="79"/>
        <v>3581.6385914829543</v>
      </c>
      <c r="L48" s="387">
        <f t="shared" ref="L48" si="80">STDEVP(L12,L14,L16,L18,L20,L24,L26,L28,L30,L32,L34,L36,L38,L42)</f>
        <v>4311.201534777676</v>
      </c>
    </row>
    <row r="49" spans="1:18">
      <c r="A49" s="384"/>
      <c r="D49" s="395"/>
      <c r="E49" s="395"/>
      <c r="F49" s="395"/>
      <c r="G49" s="395"/>
      <c r="H49" s="395"/>
      <c r="I49" s="395"/>
      <c r="J49" s="395"/>
      <c r="K49" s="395"/>
      <c r="L49" s="395"/>
    </row>
    <row r="50" spans="1:18">
      <c r="A50" s="384"/>
      <c r="D50" s="395"/>
      <c r="E50" s="395"/>
      <c r="F50" s="395"/>
      <c r="G50" s="395"/>
      <c r="H50" s="395"/>
      <c r="I50" s="395"/>
      <c r="J50" s="395"/>
      <c r="K50" s="395"/>
      <c r="L50" s="395"/>
    </row>
    <row r="51" spans="1:18">
      <c r="E51" s="42" t="s">
        <v>2303</v>
      </c>
      <c r="F51" s="42"/>
      <c r="G51" s="42"/>
      <c r="H51" s="42"/>
      <c r="I51" s="42"/>
      <c r="J51" s="42"/>
      <c r="K51" s="42"/>
      <c r="L51" s="42"/>
      <c r="M51" s="109"/>
      <c r="N51" s="112" t="s">
        <v>13319</v>
      </c>
    </row>
    <row r="52" spans="1:18">
      <c r="D52" s="110">
        <v>2010</v>
      </c>
      <c r="E52" s="110">
        <v>2011</v>
      </c>
      <c r="F52" s="110">
        <v>2012</v>
      </c>
      <c r="G52" s="110">
        <v>2013</v>
      </c>
      <c r="H52" s="110">
        <v>2014</v>
      </c>
      <c r="I52" s="110">
        <v>2015</v>
      </c>
      <c r="J52" s="110">
        <v>2016</v>
      </c>
      <c r="K52" s="110">
        <v>2017</v>
      </c>
      <c r="L52" s="110">
        <v>2018</v>
      </c>
      <c r="N52" s="112" t="s">
        <v>2304</v>
      </c>
    </row>
    <row r="53" spans="1:18">
      <c r="A53" s="384" t="s">
        <v>3988</v>
      </c>
      <c r="C53" s="384"/>
      <c r="D53" s="387">
        <f t="shared" ref="D53:I53" si="81">SUM(D54:D74)</f>
        <v>175811</v>
      </c>
      <c r="E53" s="387">
        <f t="shared" si="81"/>
        <v>176015</v>
      </c>
      <c r="F53" s="387">
        <f t="shared" si="81"/>
        <v>178262</v>
      </c>
      <c r="G53" s="387">
        <f t="shared" si="81"/>
        <v>179470</v>
      </c>
      <c r="H53" s="387">
        <f t="shared" si="81"/>
        <v>180213</v>
      </c>
      <c r="I53" s="387">
        <f t="shared" si="81"/>
        <v>176280</v>
      </c>
      <c r="J53" s="387">
        <f t="shared" ref="J53:K53" si="82">SUM(J54:J74)</f>
        <v>167715</v>
      </c>
      <c r="K53" s="387">
        <f t="shared" si="82"/>
        <v>173280</v>
      </c>
      <c r="L53" s="387">
        <f t="shared" ref="L53" si="83">SUM(L54:L74)</f>
        <v>175948</v>
      </c>
    </row>
    <row r="54" spans="1:18">
      <c r="A54" s="384" t="s">
        <v>6957</v>
      </c>
      <c r="B54" s="384" t="s">
        <v>7725</v>
      </c>
      <c r="C54" s="4" t="s">
        <v>9283</v>
      </c>
      <c r="D54" s="387">
        <v>7730</v>
      </c>
      <c r="E54" s="387">
        <v>7760</v>
      </c>
      <c r="F54" s="387">
        <v>7945</v>
      </c>
      <c r="G54" s="387">
        <v>8044</v>
      </c>
      <c r="H54" s="48">
        <v>8087</v>
      </c>
      <c r="I54" s="48">
        <v>7745</v>
      </c>
      <c r="J54" s="48">
        <v>7231</v>
      </c>
      <c r="K54" s="48">
        <v>7504</v>
      </c>
      <c r="L54" s="48">
        <v>7585</v>
      </c>
      <c r="N54" s="384" t="s">
        <v>1020</v>
      </c>
      <c r="P54" s="4"/>
      <c r="R54" s="4"/>
    </row>
    <row r="55" spans="1:18">
      <c r="A55" s="384" t="s">
        <v>6959</v>
      </c>
      <c r="B55" s="384" t="s">
        <v>3989</v>
      </c>
      <c r="C55" s="4" t="s">
        <v>9284</v>
      </c>
      <c r="D55" s="387">
        <v>8061</v>
      </c>
      <c r="E55" s="387">
        <v>8117</v>
      </c>
      <c r="F55" s="387">
        <v>8297</v>
      </c>
      <c r="G55" s="387">
        <v>8393</v>
      </c>
      <c r="H55" s="48">
        <v>8399</v>
      </c>
      <c r="I55" s="48">
        <v>8145</v>
      </c>
      <c r="J55" s="48">
        <v>7730</v>
      </c>
      <c r="K55" s="48">
        <v>8116</v>
      </c>
      <c r="L55" s="48">
        <v>8186</v>
      </c>
      <c r="N55" s="384" t="s">
        <v>1022</v>
      </c>
      <c r="P55" s="4"/>
      <c r="R55" s="4"/>
    </row>
    <row r="56" spans="1:18">
      <c r="A56" s="384" t="s">
        <v>6961</v>
      </c>
      <c r="B56" s="384" t="s">
        <v>3990</v>
      </c>
      <c r="C56" s="4" t="s">
        <v>9285</v>
      </c>
      <c r="D56" s="387">
        <v>7932</v>
      </c>
      <c r="E56" s="387">
        <v>7953</v>
      </c>
      <c r="F56" s="387">
        <v>8014</v>
      </c>
      <c r="G56" s="387">
        <v>8032</v>
      </c>
      <c r="H56" s="48">
        <v>8110</v>
      </c>
      <c r="I56" s="48">
        <v>7874</v>
      </c>
      <c r="J56" s="48">
        <v>7398</v>
      </c>
      <c r="K56" s="48">
        <v>7545</v>
      </c>
      <c r="L56" s="48">
        <v>7669</v>
      </c>
      <c r="N56" s="384" t="s">
        <v>1022</v>
      </c>
      <c r="P56" s="4"/>
      <c r="R56" s="4"/>
    </row>
    <row r="57" spans="1:18">
      <c r="A57" s="384" t="s">
        <v>6963</v>
      </c>
      <c r="B57" s="384" t="s">
        <v>3991</v>
      </c>
      <c r="C57" s="4" t="s">
        <v>9286</v>
      </c>
      <c r="D57" s="387">
        <v>8491</v>
      </c>
      <c r="E57" s="387">
        <v>8389</v>
      </c>
      <c r="F57" s="387">
        <v>8315</v>
      </c>
      <c r="G57" s="387">
        <v>8409</v>
      </c>
      <c r="H57" s="48">
        <v>8445</v>
      </c>
      <c r="I57" s="48">
        <v>8367</v>
      </c>
      <c r="J57" s="48">
        <v>8032</v>
      </c>
      <c r="K57" s="48">
        <v>8301</v>
      </c>
      <c r="L57" s="48">
        <v>8377</v>
      </c>
      <c r="N57" s="384" t="s">
        <v>1020</v>
      </c>
      <c r="P57" s="4"/>
      <c r="R57" s="4"/>
    </row>
    <row r="58" spans="1:18">
      <c r="A58" s="384" t="s">
        <v>6965</v>
      </c>
      <c r="B58" s="384" t="s">
        <v>3992</v>
      </c>
      <c r="C58" s="4" t="s">
        <v>9287</v>
      </c>
      <c r="D58" s="387">
        <v>8245</v>
      </c>
      <c r="E58" s="387">
        <v>8317</v>
      </c>
      <c r="F58" s="387">
        <v>8337</v>
      </c>
      <c r="G58" s="387">
        <v>8341</v>
      </c>
      <c r="H58" s="48">
        <v>8317</v>
      </c>
      <c r="I58" s="48">
        <v>8203</v>
      </c>
      <c r="J58" s="48">
        <v>7875</v>
      </c>
      <c r="K58" s="48">
        <v>8095</v>
      </c>
      <c r="L58" s="48">
        <v>8155</v>
      </c>
      <c r="N58" s="384" t="s">
        <v>1020</v>
      </c>
      <c r="P58" s="4"/>
      <c r="R58" s="4"/>
    </row>
    <row r="59" spans="1:18">
      <c r="A59" s="384" t="s">
        <v>6997</v>
      </c>
      <c r="B59" s="384" t="s">
        <v>3993</v>
      </c>
      <c r="C59" s="4" t="s">
        <v>9288</v>
      </c>
      <c r="D59" s="387">
        <v>8011</v>
      </c>
      <c r="E59" s="387">
        <v>8059</v>
      </c>
      <c r="F59" s="387">
        <v>8213</v>
      </c>
      <c r="G59" s="387">
        <v>8207</v>
      </c>
      <c r="H59" s="48">
        <v>8168</v>
      </c>
      <c r="I59" s="48">
        <v>7724</v>
      </c>
      <c r="J59" s="48">
        <v>7367</v>
      </c>
      <c r="K59" s="48">
        <v>7638</v>
      </c>
      <c r="L59" s="48">
        <v>7814</v>
      </c>
      <c r="N59" s="384" t="s">
        <v>3987</v>
      </c>
      <c r="P59" s="4"/>
      <c r="R59" s="4"/>
    </row>
    <row r="60" spans="1:18">
      <c r="A60" s="384" t="s">
        <v>6999</v>
      </c>
      <c r="B60" s="384" t="s">
        <v>3994</v>
      </c>
      <c r="C60" s="4" t="s">
        <v>9289</v>
      </c>
      <c r="D60" s="387">
        <v>9072</v>
      </c>
      <c r="E60" s="387">
        <v>8923</v>
      </c>
      <c r="F60" s="387">
        <v>9047</v>
      </c>
      <c r="G60" s="387">
        <v>9046</v>
      </c>
      <c r="H60" s="48">
        <v>8981</v>
      </c>
      <c r="I60" s="48">
        <v>8704</v>
      </c>
      <c r="J60" s="48">
        <v>8195</v>
      </c>
      <c r="K60" s="48">
        <v>8618</v>
      </c>
      <c r="L60" s="48">
        <v>8869</v>
      </c>
      <c r="N60" s="384" t="s">
        <v>3987</v>
      </c>
      <c r="P60" s="4"/>
      <c r="R60" s="4"/>
    </row>
    <row r="61" spans="1:18">
      <c r="A61" s="384" t="s">
        <v>7001</v>
      </c>
      <c r="B61" s="384" t="s">
        <v>3995</v>
      </c>
      <c r="C61" s="4" t="s">
        <v>9290</v>
      </c>
      <c r="D61" s="387">
        <v>7835</v>
      </c>
      <c r="E61" s="387">
        <v>7886</v>
      </c>
      <c r="F61" s="387">
        <v>7917</v>
      </c>
      <c r="G61" s="387">
        <v>8000</v>
      </c>
      <c r="H61" s="48">
        <v>8152</v>
      </c>
      <c r="I61" s="48">
        <v>8136</v>
      </c>
      <c r="J61" s="48">
        <v>7917</v>
      </c>
      <c r="K61" s="48">
        <v>8192</v>
      </c>
      <c r="L61" s="48">
        <v>8303</v>
      </c>
      <c r="N61" s="384" t="s">
        <v>1024</v>
      </c>
      <c r="P61" s="4"/>
      <c r="R61" s="4"/>
    </row>
    <row r="62" spans="1:18">
      <c r="A62" s="384" t="s">
        <v>7003</v>
      </c>
      <c r="B62" s="384" t="s">
        <v>3996</v>
      </c>
      <c r="C62" s="4" t="s">
        <v>9291</v>
      </c>
      <c r="D62" s="387">
        <v>9060</v>
      </c>
      <c r="E62" s="387">
        <v>9163</v>
      </c>
      <c r="F62" s="387">
        <v>9307</v>
      </c>
      <c r="G62" s="387">
        <v>9312</v>
      </c>
      <c r="H62" s="48">
        <v>9367</v>
      </c>
      <c r="I62" s="48">
        <v>9138</v>
      </c>
      <c r="J62" s="48">
        <v>8811</v>
      </c>
      <c r="K62" s="48">
        <v>9048</v>
      </c>
      <c r="L62" s="48">
        <v>9139</v>
      </c>
      <c r="N62" s="384" t="s">
        <v>1022</v>
      </c>
      <c r="P62" s="4"/>
      <c r="R62" s="4"/>
    </row>
    <row r="63" spans="1:18">
      <c r="A63" s="384" t="s">
        <v>7005</v>
      </c>
      <c r="B63" s="384" t="s">
        <v>3997</v>
      </c>
      <c r="C63" s="4" t="s">
        <v>9292</v>
      </c>
      <c r="D63" s="387">
        <v>7727</v>
      </c>
      <c r="E63" s="387">
        <v>7598</v>
      </c>
      <c r="F63" s="387">
        <v>7699</v>
      </c>
      <c r="G63" s="387">
        <v>7811</v>
      </c>
      <c r="H63" s="48">
        <v>7786</v>
      </c>
      <c r="I63" s="48">
        <v>7515</v>
      </c>
      <c r="J63" s="48">
        <v>6792</v>
      </c>
      <c r="K63" s="48">
        <v>6882</v>
      </c>
      <c r="L63" s="48">
        <v>6946</v>
      </c>
      <c r="N63" s="384" t="s">
        <v>1020</v>
      </c>
      <c r="P63" s="4"/>
      <c r="R63" s="4"/>
    </row>
    <row r="64" spans="1:18">
      <c r="A64" s="384" t="s">
        <v>7007</v>
      </c>
      <c r="B64" s="384" t="s">
        <v>3998</v>
      </c>
      <c r="C64" s="4" t="s">
        <v>9293</v>
      </c>
      <c r="D64" s="387">
        <v>8252</v>
      </c>
      <c r="E64" s="387">
        <v>8256</v>
      </c>
      <c r="F64" s="387">
        <v>8308</v>
      </c>
      <c r="G64" s="387">
        <v>8400</v>
      </c>
      <c r="H64" s="48">
        <v>8460</v>
      </c>
      <c r="I64" s="48">
        <v>8153</v>
      </c>
      <c r="J64" s="48">
        <v>7780</v>
      </c>
      <c r="K64" s="48">
        <v>8071</v>
      </c>
      <c r="L64" s="48">
        <v>8351</v>
      </c>
      <c r="N64" s="384" t="s">
        <v>1020</v>
      </c>
      <c r="P64" s="4"/>
      <c r="R64" s="4"/>
    </row>
    <row r="65" spans="1:18">
      <c r="A65" s="384" t="s">
        <v>7009</v>
      </c>
      <c r="B65" s="384" t="s">
        <v>3999</v>
      </c>
      <c r="C65" s="4" t="s">
        <v>9294</v>
      </c>
      <c r="D65" s="387">
        <v>9773</v>
      </c>
      <c r="E65" s="387">
        <v>9848</v>
      </c>
      <c r="F65" s="387">
        <v>9996</v>
      </c>
      <c r="G65" s="387">
        <v>10075</v>
      </c>
      <c r="H65" s="48">
        <v>10122</v>
      </c>
      <c r="I65" s="48">
        <v>9943</v>
      </c>
      <c r="J65" s="48">
        <v>9423</v>
      </c>
      <c r="K65" s="48">
        <v>9704</v>
      </c>
      <c r="L65" s="48">
        <v>9799</v>
      </c>
      <c r="N65" s="384" t="s">
        <v>1022</v>
      </c>
      <c r="P65" s="4"/>
      <c r="R65" s="4"/>
    </row>
    <row r="66" spans="1:18">
      <c r="A66" s="384" t="s">
        <v>7011</v>
      </c>
      <c r="B66" s="384" t="s">
        <v>3707</v>
      </c>
      <c r="C66" s="4" t="s">
        <v>9295</v>
      </c>
      <c r="D66" s="387">
        <v>8397</v>
      </c>
      <c r="E66" s="387">
        <v>8405</v>
      </c>
      <c r="F66" s="387">
        <v>8509</v>
      </c>
      <c r="G66" s="387">
        <v>8465</v>
      </c>
      <c r="H66" s="48">
        <v>8410</v>
      </c>
      <c r="I66" s="48">
        <v>8310</v>
      </c>
      <c r="J66" s="48">
        <v>7815</v>
      </c>
      <c r="K66" s="48">
        <v>7943</v>
      </c>
      <c r="L66" s="48">
        <v>8016</v>
      </c>
      <c r="N66" s="384" t="s">
        <v>1020</v>
      </c>
      <c r="P66" s="4"/>
      <c r="R66" s="4"/>
    </row>
    <row r="67" spans="1:18">
      <c r="A67" s="384" t="s">
        <v>7013</v>
      </c>
      <c r="B67" s="384" t="s">
        <v>4000</v>
      </c>
      <c r="C67" s="4" t="s">
        <v>9296</v>
      </c>
      <c r="D67" s="387">
        <v>9257</v>
      </c>
      <c r="E67" s="387">
        <v>9180</v>
      </c>
      <c r="F67" s="387">
        <v>9203</v>
      </c>
      <c r="G67" s="387">
        <v>9283</v>
      </c>
      <c r="H67" s="48">
        <v>9290</v>
      </c>
      <c r="I67" s="48">
        <v>9246</v>
      </c>
      <c r="J67" s="48">
        <v>8963</v>
      </c>
      <c r="K67" s="48">
        <v>9229</v>
      </c>
      <c r="L67" s="48">
        <v>9338</v>
      </c>
      <c r="N67" s="384" t="s">
        <v>1024</v>
      </c>
      <c r="P67" s="4"/>
      <c r="R67" s="4"/>
    </row>
    <row r="68" spans="1:18">
      <c r="A68" s="384" t="s">
        <v>7015</v>
      </c>
      <c r="B68" s="384" t="s">
        <v>1094</v>
      </c>
      <c r="C68" s="4" t="s">
        <v>9297</v>
      </c>
      <c r="D68" s="387">
        <v>8761</v>
      </c>
      <c r="E68" s="387">
        <v>8992</v>
      </c>
      <c r="F68" s="387">
        <v>9244</v>
      </c>
      <c r="G68" s="387">
        <v>9384</v>
      </c>
      <c r="H68" s="48">
        <v>9577</v>
      </c>
      <c r="I68" s="48">
        <v>9525</v>
      </c>
      <c r="J68" s="48">
        <v>9162</v>
      </c>
      <c r="K68" s="48">
        <v>9648</v>
      </c>
      <c r="L68" s="48">
        <v>9889</v>
      </c>
      <c r="N68" s="384" t="s">
        <v>1024</v>
      </c>
      <c r="P68" s="4"/>
      <c r="R68" s="4"/>
    </row>
    <row r="69" spans="1:18">
      <c r="A69" s="384" t="s">
        <v>7017</v>
      </c>
      <c r="B69" s="384" t="s">
        <v>1095</v>
      </c>
      <c r="C69" s="4" t="s">
        <v>9298</v>
      </c>
      <c r="D69" s="387">
        <v>8716</v>
      </c>
      <c r="E69" s="387">
        <v>8670</v>
      </c>
      <c r="F69" s="387">
        <v>8687</v>
      </c>
      <c r="G69" s="387">
        <v>8680</v>
      </c>
      <c r="H69" s="48">
        <v>8748</v>
      </c>
      <c r="I69" s="48">
        <v>8604</v>
      </c>
      <c r="J69" s="48">
        <v>8193</v>
      </c>
      <c r="K69" s="48">
        <v>8411</v>
      </c>
      <c r="L69" s="48">
        <v>8542</v>
      </c>
      <c r="N69" s="384" t="s">
        <v>1022</v>
      </c>
      <c r="P69" s="4"/>
      <c r="R69" s="4"/>
    </row>
    <row r="70" spans="1:18">
      <c r="A70" s="384" t="s">
        <v>7019</v>
      </c>
      <c r="B70" s="384" t="s">
        <v>1999</v>
      </c>
      <c r="C70" s="4" t="s">
        <v>9299</v>
      </c>
      <c r="D70" s="387">
        <v>8361</v>
      </c>
      <c r="E70" s="387">
        <v>8315</v>
      </c>
      <c r="F70" s="387">
        <v>8378</v>
      </c>
      <c r="G70" s="387">
        <v>8426</v>
      </c>
      <c r="H70" s="48">
        <v>8337</v>
      </c>
      <c r="I70" s="48">
        <v>8090</v>
      </c>
      <c r="J70" s="48">
        <v>7928</v>
      </c>
      <c r="K70" s="48">
        <v>8223</v>
      </c>
      <c r="L70" s="48">
        <v>8324</v>
      </c>
      <c r="N70" s="384" t="s">
        <v>1020</v>
      </c>
      <c r="P70" s="4"/>
      <c r="R70" s="4"/>
    </row>
    <row r="71" spans="1:18">
      <c r="A71" s="384" t="s">
        <v>7021</v>
      </c>
      <c r="B71" s="384" t="s">
        <v>6641</v>
      </c>
      <c r="C71" s="4" t="s">
        <v>9300</v>
      </c>
      <c r="D71" s="387">
        <v>7661</v>
      </c>
      <c r="E71" s="387">
        <v>7692</v>
      </c>
      <c r="F71" s="387">
        <v>7826</v>
      </c>
      <c r="G71" s="387">
        <v>7778</v>
      </c>
      <c r="H71" s="48">
        <v>7896</v>
      </c>
      <c r="I71" s="48">
        <v>7787</v>
      </c>
      <c r="J71" s="48">
        <v>7314</v>
      </c>
      <c r="K71" s="48">
        <v>7504</v>
      </c>
      <c r="L71" s="48">
        <v>7620</v>
      </c>
      <c r="N71" s="384" t="s">
        <v>1020</v>
      </c>
      <c r="P71" s="4"/>
      <c r="R71" s="4"/>
    </row>
    <row r="72" spans="1:18">
      <c r="A72" s="384" t="s">
        <v>7023</v>
      </c>
      <c r="B72" s="384" t="s">
        <v>3713</v>
      </c>
      <c r="C72" s="4" t="s">
        <v>9301</v>
      </c>
      <c r="D72" s="387">
        <v>8347</v>
      </c>
      <c r="E72" s="387">
        <v>8394</v>
      </c>
      <c r="F72" s="387">
        <v>8564</v>
      </c>
      <c r="G72" s="387">
        <v>8754</v>
      </c>
      <c r="H72" s="48">
        <v>8888</v>
      </c>
      <c r="I72" s="48">
        <v>8761</v>
      </c>
      <c r="J72" s="48">
        <v>8378</v>
      </c>
      <c r="K72" s="48">
        <v>8654</v>
      </c>
      <c r="L72" s="48">
        <v>8770</v>
      </c>
      <c r="N72" s="384" t="s">
        <v>1022</v>
      </c>
      <c r="P72" s="4"/>
      <c r="R72" s="4"/>
    </row>
    <row r="73" spans="1:18">
      <c r="A73" s="384" t="s">
        <v>7025</v>
      </c>
      <c r="B73" s="384" t="s">
        <v>3714</v>
      </c>
      <c r="C73" s="4" t="s">
        <v>9302</v>
      </c>
      <c r="D73" s="387">
        <v>8514</v>
      </c>
      <c r="E73" s="387">
        <v>8565</v>
      </c>
      <c r="F73" s="387">
        <v>8860</v>
      </c>
      <c r="G73" s="387">
        <v>9013</v>
      </c>
      <c r="H73" s="48">
        <v>9188</v>
      </c>
      <c r="I73" s="48">
        <v>8961</v>
      </c>
      <c r="J73" s="48">
        <v>8430</v>
      </c>
      <c r="K73" s="48">
        <v>8699</v>
      </c>
      <c r="L73" s="48">
        <v>8900</v>
      </c>
      <c r="N73" s="384" t="s">
        <v>1022</v>
      </c>
      <c r="P73" s="4"/>
      <c r="R73" s="4"/>
    </row>
    <row r="74" spans="1:18">
      <c r="A74" s="384" t="s">
        <v>7570</v>
      </c>
      <c r="B74" s="384" t="s">
        <v>3715</v>
      </c>
      <c r="C74" s="4" t="s">
        <v>9303</v>
      </c>
      <c r="D74" s="388">
        <v>7608</v>
      </c>
      <c r="E74" s="388">
        <v>7533</v>
      </c>
      <c r="F74" s="388">
        <v>7596</v>
      </c>
      <c r="G74" s="388">
        <v>7617</v>
      </c>
      <c r="H74" s="48">
        <v>7485</v>
      </c>
      <c r="I74" s="48">
        <v>7349</v>
      </c>
      <c r="J74" s="48">
        <v>6981</v>
      </c>
      <c r="K74" s="48">
        <v>7255</v>
      </c>
      <c r="L74" s="48">
        <v>7356</v>
      </c>
      <c r="N74" s="384" t="s">
        <v>1022</v>
      </c>
      <c r="P74" s="4"/>
      <c r="R74" s="4"/>
    </row>
    <row r="75" spans="1:18">
      <c r="D75" s="388"/>
      <c r="E75" s="388"/>
      <c r="F75" s="388"/>
      <c r="G75" s="388"/>
      <c r="H75" s="388"/>
      <c r="I75" s="388"/>
      <c r="J75" s="388"/>
      <c r="K75" s="388"/>
      <c r="L75" s="388"/>
    </row>
    <row r="76" spans="1:18">
      <c r="A76" s="384" t="s">
        <v>1020</v>
      </c>
      <c r="D76" s="387">
        <f t="shared" ref="D76:I76" si="84">D54+D57+D58+D63+D64+D66+D70+D71</f>
        <v>64864</v>
      </c>
      <c r="E76" s="387">
        <f t="shared" si="84"/>
        <v>64732</v>
      </c>
      <c r="F76" s="387">
        <f t="shared" si="84"/>
        <v>65317</v>
      </c>
      <c r="G76" s="387">
        <f t="shared" si="84"/>
        <v>65674</v>
      </c>
      <c r="H76" s="387">
        <f t="shared" si="84"/>
        <v>65738</v>
      </c>
      <c r="I76" s="387">
        <f t="shared" si="84"/>
        <v>64170</v>
      </c>
      <c r="J76" s="387">
        <f t="shared" ref="J76:K76" si="85">J54+J57+J58+J63+J64+J66+J70+J71</f>
        <v>60767</v>
      </c>
      <c r="K76" s="387">
        <f t="shared" si="85"/>
        <v>62523</v>
      </c>
      <c r="L76" s="387">
        <f t="shared" ref="L76" si="86">L54+L57+L58+L63+L64+L66+L70+L71</f>
        <v>63374</v>
      </c>
    </row>
    <row r="77" spans="1:18">
      <c r="A77" s="384" t="s">
        <v>1022</v>
      </c>
      <c r="D77" s="387">
        <f t="shared" ref="D77:I77" si="87">D55+D56+D62+D65+D69+SUM(D72:D74)</f>
        <v>68011</v>
      </c>
      <c r="E77" s="387">
        <f t="shared" si="87"/>
        <v>68243</v>
      </c>
      <c r="F77" s="387">
        <f t="shared" si="87"/>
        <v>69321</v>
      </c>
      <c r="G77" s="387">
        <f t="shared" si="87"/>
        <v>69876</v>
      </c>
      <c r="H77" s="387">
        <f t="shared" si="87"/>
        <v>70307</v>
      </c>
      <c r="I77" s="387">
        <f t="shared" si="87"/>
        <v>68775</v>
      </c>
      <c r="J77" s="387">
        <f t="shared" ref="J77:K77" si="88">J55+J56+J62+J65+J69+SUM(J72:J74)</f>
        <v>65344</v>
      </c>
      <c r="K77" s="387">
        <f t="shared" si="88"/>
        <v>67432</v>
      </c>
      <c r="L77" s="387">
        <f t="shared" ref="L77" si="89">L55+L56+L62+L65+L69+SUM(L72:L74)</f>
        <v>68361</v>
      </c>
    </row>
    <row r="78" spans="1:18">
      <c r="A78" s="384" t="s">
        <v>3716</v>
      </c>
      <c r="D78" s="387">
        <f t="shared" ref="D78:I78" si="90">D61+D67+D68</f>
        <v>25853</v>
      </c>
      <c r="E78" s="387">
        <f t="shared" si="90"/>
        <v>26058</v>
      </c>
      <c r="F78" s="387">
        <f t="shared" si="90"/>
        <v>26364</v>
      </c>
      <c r="G78" s="387">
        <f t="shared" si="90"/>
        <v>26667</v>
      </c>
      <c r="H78" s="387">
        <f t="shared" si="90"/>
        <v>27019</v>
      </c>
      <c r="I78" s="387">
        <f t="shared" si="90"/>
        <v>26907</v>
      </c>
      <c r="J78" s="387">
        <f t="shared" ref="J78:K78" si="91">J61+J67+J68</f>
        <v>26042</v>
      </c>
      <c r="K78" s="387">
        <f t="shared" si="91"/>
        <v>27069</v>
      </c>
      <c r="L78" s="387">
        <f t="shared" ref="L78" si="92">L61+L67+L68</f>
        <v>27530</v>
      </c>
    </row>
    <row r="79" spans="1:18">
      <c r="A79" s="385" t="s">
        <v>3717</v>
      </c>
      <c r="D79" s="387">
        <f t="shared" ref="D79:I79" si="93">D59+D60</f>
        <v>17083</v>
      </c>
      <c r="E79" s="387">
        <f t="shared" si="93"/>
        <v>16982</v>
      </c>
      <c r="F79" s="387">
        <f t="shared" si="93"/>
        <v>17260</v>
      </c>
      <c r="G79" s="387">
        <f t="shared" si="93"/>
        <v>17253</v>
      </c>
      <c r="H79" s="387">
        <f t="shared" si="93"/>
        <v>17149</v>
      </c>
      <c r="I79" s="387">
        <f t="shared" si="93"/>
        <v>16428</v>
      </c>
      <c r="J79" s="387">
        <f t="shared" ref="J79:K79" si="94">J59+J60</f>
        <v>15562</v>
      </c>
      <c r="K79" s="387">
        <f t="shared" si="94"/>
        <v>16256</v>
      </c>
      <c r="L79" s="387">
        <f t="shared" ref="L79" si="95">L59+L60</f>
        <v>16683</v>
      </c>
    </row>
    <row r="80" spans="1:18">
      <c r="A80" s="384"/>
      <c r="D80" s="387"/>
      <c r="E80" s="387"/>
      <c r="F80" s="387"/>
      <c r="G80" s="387"/>
      <c r="H80" s="387"/>
      <c r="I80" s="387"/>
      <c r="J80" s="387"/>
      <c r="K80" s="387"/>
      <c r="L80" s="387"/>
    </row>
    <row r="81" spans="1:18">
      <c r="A81" s="384" t="s">
        <v>3718</v>
      </c>
      <c r="D81" s="387"/>
      <c r="E81" s="387"/>
      <c r="F81" s="387"/>
      <c r="G81" s="387"/>
      <c r="H81" s="387"/>
      <c r="I81" s="387"/>
      <c r="J81" s="387"/>
      <c r="K81" s="387"/>
      <c r="L81" s="387"/>
    </row>
    <row r="84" spans="1:18">
      <c r="E84" s="42" t="s">
        <v>2303</v>
      </c>
      <c r="F84" s="42"/>
      <c r="G84" s="42"/>
      <c r="H84" s="42"/>
      <c r="I84" s="42"/>
      <c r="J84" s="42"/>
      <c r="K84" s="42"/>
      <c r="L84" s="42"/>
      <c r="M84" s="109"/>
      <c r="N84" s="112" t="s">
        <v>13319</v>
      </c>
    </row>
    <row r="85" spans="1:18">
      <c r="D85" s="110">
        <v>2010</v>
      </c>
      <c r="E85" s="110">
        <v>2011</v>
      </c>
      <c r="F85" s="110">
        <v>2012</v>
      </c>
      <c r="G85" s="110">
        <v>2013</v>
      </c>
      <c r="H85" s="110">
        <v>2014</v>
      </c>
      <c r="I85" s="110">
        <v>2015</v>
      </c>
      <c r="J85" s="110">
        <v>2016</v>
      </c>
      <c r="K85" s="110">
        <v>2017</v>
      </c>
      <c r="L85" s="110">
        <v>2018</v>
      </c>
      <c r="N85" s="112" t="s">
        <v>2304</v>
      </c>
    </row>
    <row r="86" spans="1:18">
      <c r="A86" s="384" t="s">
        <v>3719</v>
      </c>
      <c r="D86" s="387">
        <f>SUM(D87:D104)+D106+D107+D109+D110+D112+D113</f>
        <v>218109</v>
      </c>
      <c r="E86" s="387">
        <f t="shared" ref="E86:L86" si="96">SUM(E87:E104)+E106+E107+E109+E110+E112+E113</f>
        <v>220403</v>
      </c>
      <c r="F86" s="387">
        <f t="shared" si="96"/>
        <v>220639</v>
      </c>
      <c r="G86" s="387">
        <f t="shared" si="96"/>
        <v>221968</v>
      </c>
      <c r="H86" s="387">
        <f t="shared" si="96"/>
        <v>217226</v>
      </c>
      <c r="I86" s="387">
        <f t="shared" si="96"/>
        <v>206309</v>
      </c>
      <c r="J86" s="387">
        <f t="shared" si="96"/>
        <v>211267</v>
      </c>
      <c r="K86" s="387">
        <f t="shared" si="96"/>
        <v>215105</v>
      </c>
      <c r="L86" s="387">
        <f t="shared" si="96"/>
        <v>219058</v>
      </c>
    </row>
    <row r="87" spans="1:18">
      <c r="A87" s="384" t="s">
        <v>6957</v>
      </c>
      <c r="B87" s="384" t="s">
        <v>15420</v>
      </c>
      <c r="C87" s="4" t="s">
        <v>15421</v>
      </c>
      <c r="D87" s="387">
        <v>72040</v>
      </c>
      <c r="E87" s="387">
        <v>72855</v>
      </c>
      <c r="F87" s="387">
        <v>73234</v>
      </c>
      <c r="G87" s="387">
        <v>74073</v>
      </c>
      <c r="H87" s="30">
        <v>72375</v>
      </c>
      <c r="I87" s="30">
        <v>68608</v>
      </c>
      <c r="J87" s="31">
        <v>11142</v>
      </c>
      <c r="K87" s="31">
        <v>11420</v>
      </c>
      <c r="L87" s="31">
        <v>11674</v>
      </c>
      <c r="N87" s="384" t="s">
        <v>1907</v>
      </c>
      <c r="P87" s="4"/>
      <c r="R87" s="4"/>
    </row>
    <row r="88" spans="1:18">
      <c r="A88" s="384" t="s">
        <v>6959</v>
      </c>
      <c r="B88" s="384" t="s">
        <v>3720</v>
      </c>
      <c r="C88" s="4" t="s">
        <v>15435</v>
      </c>
      <c r="D88" s="387">
        <v>73189</v>
      </c>
      <c r="E88" s="387">
        <v>73874</v>
      </c>
      <c r="F88" s="387">
        <v>73730</v>
      </c>
      <c r="G88" s="387">
        <v>73808</v>
      </c>
      <c r="H88" s="30">
        <v>71866</v>
      </c>
      <c r="I88" s="30">
        <v>68829</v>
      </c>
      <c r="J88" s="30">
        <v>10384</v>
      </c>
      <c r="K88" s="30">
        <v>10382</v>
      </c>
      <c r="L88" s="30">
        <v>10585</v>
      </c>
      <c r="N88" s="384" t="s">
        <v>1905</v>
      </c>
      <c r="P88" s="4"/>
      <c r="R88" s="4"/>
    </row>
    <row r="89" spans="1:18">
      <c r="A89" s="384" t="s">
        <v>6961</v>
      </c>
      <c r="B89" s="384" t="s">
        <v>15422</v>
      </c>
      <c r="C89" s="4" t="s">
        <v>15436</v>
      </c>
      <c r="D89" s="387">
        <v>0</v>
      </c>
      <c r="E89" s="387">
        <v>0</v>
      </c>
      <c r="F89" s="387">
        <v>0</v>
      </c>
      <c r="G89" s="387">
        <v>0</v>
      </c>
      <c r="H89" s="31">
        <v>0</v>
      </c>
      <c r="I89" s="31">
        <v>0</v>
      </c>
      <c r="J89" s="30">
        <v>7028</v>
      </c>
      <c r="K89" s="30">
        <v>7003</v>
      </c>
      <c r="L89" s="30">
        <v>7096</v>
      </c>
      <c r="N89" s="384" t="s">
        <v>1905</v>
      </c>
      <c r="P89" s="4"/>
      <c r="R89" s="4"/>
    </row>
    <row r="90" spans="1:18">
      <c r="A90" s="384" t="s">
        <v>6963</v>
      </c>
      <c r="B90" s="384" t="s">
        <v>3721</v>
      </c>
      <c r="C90" s="4" t="s">
        <v>15437</v>
      </c>
      <c r="D90" s="387">
        <v>0</v>
      </c>
      <c r="E90" s="387">
        <v>0</v>
      </c>
      <c r="F90" s="387">
        <v>0</v>
      </c>
      <c r="G90" s="387">
        <v>0</v>
      </c>
      <c r="H90" s="30">
        <v>0</v>
      </c>
      <c r="I90" s="30">
        <v>0</v>
      </c>
      <c r="J90" s="31">
        <v>12121</v>
      </c>
      <c r="K90" s="31">
        <v>12323</v>
      </c>
      <c r="L90" s="31">
        <v>12537</v>
      </c>
      <c r="N90" s="384" t="s">
        <v>1907</v>
      </c>
      <c r="P90" s="4"/>
      <c r="R90" s="4"/>
    </row>
    <row r="91" spans="1:18">
      <c r="A91" s="384" t="s">
        <v>6965</v>
      </c>
      <c r="B91" s="384" t="s">
        <v>15423</v>
      </c>
      <c r="C91" s="4" t="s">
        <v>15438</v>
      </c>
      <c r="D91" s="387">
        <v>0</v>
      </c>
      <c r="E91" s="387">
        <v>0</v>
      </c>
      <c r="F91" s="387">
        <v>0</v>
      </c>
      <c r="G91" s="387">
        <v>0</v>
      </c>
      <c r="H91" s="31">
        <v>0</v>
      </c>
      <c r="I91" s="31">
        <v>0</v>
      </c>
      <c r="J91" s="30">
        <v>10961</v>
      </c>
      <c r="K91" s="30">
        <v>11232</v>
      </c>
      <c r="L91" s="30">
        <v>11442</v>
      </c>
      <c r="N91" s="384" t="s">
        <v>1905</v>
      </c>
      <c r="P91" s="4"/>
      <c r="R91" s="4"/>
    </row>
    <row r="92" spans="1:18">
      <c r="A92" s="384" t="s">
        <v>6997</v>
      </c>
      <c r="B92" s="384" t="s">
        <v>15424</v>
      </c>
      <c r="C92" s="4" t="s">
        <v>15439</v>
      </c>
      <c r="D92" s="387">
        <v>72880</v>
      </c>
      <c r="E92" s="387">
        <v>73674</v>
      </c>
      <c r="F92" s="387">
        <v>73675</v>
      </c>
      <c r="G92" s="387">
        <v>74087</v>
      </c>
      <c r="H92" s="30">
        <v>72985</v>
      </c>
      <c r="I92" s="30">
        <v>68872</v>
      </c>
      <c r="J92" s="30">
        <v>11443</v>
      </c>
      <c r="K92" s="30">
        <v>11951</v>
      </c>
      <c r="L92" s="30">
        <v>12189</v>
      </c>
      <c r="N92" s="384" t="s">
        <v>1023</v>
      </c>
      <c r="P92" s="4"/>
      <c r="R92" s="4"/>
    </row>
    <row r="93" spans="1:18">
      <c r="A93" s="384" t="s">
        <v>6999</v>
      </c>
      <c r="B93" s="384" t="s">
        <v>15425</v>
      </c>
      <c r="C93" s="4" t="s">
        <v>15440</v>
      </c>
      <c r="D93" s="387">
        <v>0</v>
      </c>
      <c r="E93" s="387">
        <v>0</v>
      </c>
      <c r="F93" s="387">
        <v>0</v>
      </c>
      <c r="G93" s="387">
        <v>0</v>
      </c>
      <c r="H93" s="31">
        <v>0</v>
      </c>
      <c r="I93" s="31">
        <v>0</v>
      </c>
      <c r="J93" s="30">
        <v>7845</v>
      </c>
      <c r="K93" s="30">
        <v>7908</v>
      </c>
      <c r="L93" s="30">
        <v>7995</v>
      </c>
      <c r="N93" s="384" t="s">
        <v>1905</v>
      </c>
      <c r="P93" s="4"/>
      <c r="R93" s="4"/>
    </row>
    <row r="94" spans="1:18">
      <c r="A94" s="384" t="s">
        <v>7001</v>
      </c>
      <c r="B94" s="384" t="s">
        <v>15426</v>
      </c>
      <c r="C94" s="4" t="s">
        <v>15441</v>
      </c>
      <c r="D94" s="387">
        <v>0</v>
      </c>
      <c r="E94" s="387">
        <v>0</v>
      </c>
      <c r="F94" s="387">
        <v>0</v>
      </c>
      <c r="G94" s="387">
        <v>0</v>
      </c>
      <c r="H94" s="31">
        <v>0</v>
      </c>
      <c r="I94" s="31">
        <v>0</v>
      </c>
      <c r="J94" s="30">
        <v>7729</v>
      </c>
      <c r="K94" s="30">
        <v>8141</v>
      </c>
      <c r="L94" s="30">
        <v>8217</v>
      </c>
      <c r="N94" s="384" t="s">
        <v>1023</v>
      </c>
      <c r="P94" s="4"/>
      <c r="R94" s="4"/>
    </row>
    <row r="95" spans="1:18">
      <c r="A95" s="384" t="s">
        <v>7003</v>
      </c>
      <c r="B95" s="384" t="s">
        <v>3722</v>
      </c>
      <c r="C95" s="4" t="s">
        <v>15442</v>
      </c>
      <c r="D95" s="387">
        <v>0</v>
      </c>
      <c r="E95" s="387">
        <v>0</v>
      </c>
      <c r="F95" s="387">
        <v>0</v>
      </c>
      <c r="G95" s="387">
        <v>0</v>
      </c>
      <c r="H95" s="31">
        <v>0</v>
      </c>
      <c r="I95" s="31">
        <v>0</v>
      </c>
      <c r="J95" s="30">
        <v>12233</v>
      </c>
      <c r="K95" s="30">
        <v>12774</v>
      </c>
      <c r="L95" s="30">
        <v>13221</v>
      </c>
      <c r="N95" s="384" t="s">
        <v>1023</v>
      </c>
      <c r="P95" s="4"/>
      <c r="R95" s="4"/>
    </row>
    <row r="96" spans="1:18">
      <c r="A96" s="384" t="s">
        <v>7005</v>
      </c>
      <c r="B96" s="384" t="s">
        <v>3723</v>
      </c>
      <c r="C96" s="4" t="s">
        <v>15443</v>
      </c>
      <c r="D96" s="387">
        <v>0</v>
      </c>
      <c r="E96" s="387">
        <v>0</v>
      </c>
      <c r="F96" s="387">
        <v>0</v>
      </c>
      <c r="G96" s="387">
        <v>0</v>
      </c>
      <c r="H96" s="31">
        <v>0</v>
      </c>
      <c r="I96" s="31">
        <v>0</v>
      </c>
      <c r="J96" s="30">
        <v>11324</v>
      </c>
      <c r="K96" s="30">
        <v>11473</v>
      </c>
      <c r="L96" s="30">
        <v>11559</v>
      </c>
      <c r="N96" s="384" t="s">
        <v>1023</v>
      </c>
      <c r="P96" s="4"/>
      <c r="R96" s="4"/>
    </row>
    <row r="97" spans="1:18">
      <c r="A97" s="384" t="s">
        <v>7007</v>
      </c>
      <c r="B97" s="384" t="s">
        <v>15427</v>
      </c>
      <c r="C97" s="4" t="s">
        <v>15444</v>
      </c>
      <c r="D97" s="387">
        <v>0</v>
      </c>
      <c r="E97" s="387">
        <v>0</v>
      </c>
      <c r="F97" s="387">
        <v>0</v>
      </c>
      <c r="G97" s="387">
        <v>0</v>
      </c>
      <c r="H97" s="31">
        <v>0</v>
      </c>
      <c r="I97" s="31">
        <v>0</v>
      </c>
      <c r="J97" s="30">
        <v>6751</v>
      </c>
      <c r="K97" s="30">
        <v>6840</v>
      </c>
      <c r="L97" s="30">
        <v>6920</v>
      </c>
      <c r="N97" s="384" t="s">
        <v>1905</v>
      </c>
      <c r="P97" s="4"/>
      <c r="R97" s="4"/>
    </row>
    <row r="98" spans="1:18">
      <c r="A98" s="384" t="s">
        <v>7009</v>
      </c>
      <c r="B98" s="384" t="s">
        <v>3724</v>
      </c>
      <c r="C98" s="4" t="s">
        <v>15445</v>
      </c>
      <c r="D98" s="387">
        <v>0</v>
      </c>
      <c r="E98" s="387">
        <v>0</v>
      </c>
      <c r="F98" s="387">
        <v>0</v>
      </c>
      <c r="G98" s="387">
        <v>0</v>
      </c>
      <c r="H98" s="31">
        <v>0</v>
      </c>
      <c r="I98" s="31">
        <v>0</v>
      </c>
      <c r="J98" s="31">
        <v>11263</v>
      </c>
      <c r="K98" s="31">
        <v>11402</v>
      </c>
      <c r="L98" s="31">
        <v>11603</v>
      </c>
      <c r="N98" s="384" t="s">
        <v>1907</v>
      </c>
      <c r="P98" s="4"/>
      <c r="R98" s="4"/>
    </row>
    <row r="99" spans="1:18">
      <c r="A99" s="384" t="s">
        <v>7011</v>
      </c>
      <c r="B99" s="384" t="s">
        <v>15428</v>
      </c>
      <c r="C99" s="4" t="s">
        <v>15446</v>
      </c>
      <c r="D99" s="387">
        <v>0</v>
      </c>
      <c r="E99" s="387">
        <v>0</v>
      </c>
      <c r="F99" s="387">
        <v>0</v>
      </c>
      <c r="G99" s="387">
        <v>0</v>
      </c>
      <c r="H99" s="31">
        <v>0</v>
      </c>
      <c r="I99" s="31">
        <v>0</v>
      </c>
      <c r="J99" s="31">
        <v>10922</v>
      </c>
      <c r="K99" s="31">
        <v>11150</v>
      </c>
      <c r="L99" s="31">
        <v>11346</v>
      </c>
      <c r="N99" s="384" t="s">
        <v>1907</v>
      </c>
      <c r="P99" s="4"/>
      <c r="R99" s="4"/>
    </row>
    <row r="100" spans="1:18">
      <c r="A100" s="384" t="s">
        <v>7013</v>
      </c>
      <c r="B100" s="384" t="s">
        <v>15429</v>
      </c>
      <c r="C100" s="4" t="s">
        <v>15447</v>
      </c>
      <c r="D100" s="387">
        <v>0</v>
      </c>
      <c r="E100" s="387">
        <v>0</v>
      </c>
      <c r="F100" s="387">
        <v>0</v>
      </c>
      <c r="G100" s="387">
        <v>0</v>
      </c>
      <c r="H100" s="31">
        <v>0</v>
      </c>
      <c r="I100" s="31">
        <v>0</v>
      </c>
      <c r="J100" s="31">
        <v>8390</v>
      </c>
      <c r="K100" s="31">
        <v>8439</v>
      </c>
      <c r="L100" s="31">
        <v>8529</v>
      </c>
      <c r="N100" s="384" t="s">
        <v>1907</v>
      </c>
      <c r="P100" s="4"/>
      <c r="R100" s="4"/>
    </row>
    <row r="101" spans="1:18">
      <c r="A101" s="384" t="s">
        <v>7015</v>
      </c>
      <c r="B101" s="384" t="s">
        <v>15430</v>
      </c>
      <c r="C101" s="4" t="s">
        <v>15448</v>
      </c>
      <c r="D101" s="387">
        <v>0</v>
      </c>
      <c r="E101" s="387">
        <v>0</v>
      </c>
      <c r="F101" s="387">
        <v>0</v>
      </c>
      <c r="G101" s="387">
        <v>0</v>
      </c>
      <c r="H101" s="31">
        <v>0</v>
      </c>
      <c r="I101" s="31">
        <v>0</v>
      </c>
      <c r="J101" s="30">
        <v>12842</v>
      </c>
      <c r="K101" s="30">
        <v>13038</v>
      </c>
      <c r="L101" s="30">
        <v>13237</v>
      </c>
      <c r="N101" s="384" t="s">
        <v>1023</v>
      </c>
      <c r="P101" s="4"/>
      <c r="R101" s="4"/>
    </row>
    <row r="102" spans="1:18">
      <c r="A102" s="384" t="s">
        <v>7017</v>
      </c>
      <c r="B102" s="384" t="s">
        <v>15868</v>
      </c>
      <c r="C102" s="4" t="s">
        <v>15449</v>
      </c>
      <c r="D102" s="387">
        <v>0</v>
      </c>
      <c r="E102" s="387">
        <v>0</v>
      </c>
      <c r="F102" s="387">
        <v>0</v>
      </c>
      <c r="G102" s="387">
        <v>0</v>
      </c>
      <c r="H102" s="31">
        <v>0</v>
      </c>
      <c r="I102" s="31">
        <v>0</v>
      </c>
      <c r="J102" s="31">
        <v>8865</v>
      </c>
      <c r="K102" s="31">
        <v>8968</v>
      </c>
      <c r="L102" s="31">
        <v>9011</v>
      </c>
      <c r="N102" s="384" t="s">
        <v>1907</v>
      </c>
      <c r="P102" s="4"/>
      <c r="R102" s="4"/>
    </row>
    <row r="103" spans="1:18">
      <c r="A103" s="384" t="s">
        <v>7019</v>
      </c>
      <c r="B103" s="384" t="s">
        <v>15431</v>
      </c>
      <c r="C103" s="4" t="s">
        <v>15450</v>
      </c>
      <c r="D103" s="387">
        <v>0</v>
      </c>
      <c r="E103" s="387">
        <v>0</v>
      </c>
      <c r="F103" s="387">
        <v>0</v>
      </c>
      <c r="G103" s="387">
        <v>0</v>
      </c>
      <c r="H103" s="31">
        <v>0</v>
      </c>
      <c r="I103" s="31">
        <v>0</v>
      </c>
      <c r="J103" s="30">
        <v>2875</v>
      </c>
      <c r="K103" s="30">
        <v>2908</v>
      </c>
      <c r="L103" s="30">
        <v>2927</v>
      </c>
      <c r="N103" s="384" t="s">
        <v>1905</v>
      </c>
      <c r="P103" s="4"/>
      <c r="R103" s="4"/>
    </row>
    <row r="104" spans="1:18" ht="15.75" thickBot="1">
      <c r="A104" s="384"/>
      <c r="B104" s="384"/>
      <c r="C104" s="4" t="s">
        <v>15450</v>
      </c>
      <c r="D104" s="393">
        <v>0</v>
      </c>
      <c r="E104" s="393">
        <v>0</v>
      </c>
      <c r="F104" s="393">
        <v>0</v>
      </c>
      <c r="G104" s="393">
        <v>0</v>
      </c>
      <c r="H104" s="905">
        <v>0</v>
      </c>
      <c r="I104" s="905">
        <v>0</v>
      </c>
      <c r="J104" s="31">
        <v>4194</v>
      </c>
      <c r="K104" s="31">
        <v>4217</v>
      </c>
      <c r="L104" s="31">
        <v>4272</v>
      </c>
      <c r="N104" s="384" t="s">
        <v>1907</v>
      </c>
      <c r="P104" s="4"/>
      <c r="R104" s="4"/>
    </row>
    <row r="105" spans="1:18" ht="15.75" thickBot="1">
      <c r="A105" s="384"/>
      <c r="B105" s="384"/>
      <c r="C105" s="4" t="s">
        <v>15450</v>
      </c>
      <c r="D105" s="394">
        <f>D103+D104</f>
        <v>0</v>
      </c>
      <c r="E105" s="394">
        <f t="shared" ref="E105:L105" si="97">E103+E104</f>
        <v>0</v>
      </c>
      <c r="F105" s="394">
        <f t="shared" si="97"/>
        <v>0</v>
      </c>
      <c r="G105" s="394">
        <f t="shared" si="97"/>
        <v>0</v>
      </c>
      <c r="H105" s="394">
        <f t="shared" si="97"/>
        <v>0</v>
      </c>
      <c r="I105" s="394">
        <f t="shared" si="97"/>
        <v>0</v>
      </c>
      <c r="J105" s="394">
        <f t="shared" si="97"/>
        <v>7069</v>
      </c>
      <c r="K105" s="394">
        <f t="shared" si="97"/>
        <v>7125</v>
      </c>
      <c r="L105" s="394">
        <f t="shared" si="97"/>
        <v>7199</v>
      </c>
      <c r="N105" s="384"/>
      <c r="P105" s="4"/>
      <c r="R105" s="4"/>
    </row>
    <row r="106" spans="1:18">
      <c r="A106" s="384" t="s">
        <v>7021</v>
      </c>
      <c r="B106" s="384" t="s">
        <v>15432</v>
      </c>
      <c r="C106" s="4" t="s">
        <v>15451</v>
      </c>
      <c r="D106" s="387">
        <v>0</v>
      </c>
      <c r="E106" s="387">
        <v>0</v>
      </c>
      <c r="F106" s="387">
        <v>0</v>
      </c>
      <c r="G106" s="387">
        <v>0</v>
      </c>
      <c r="H106" s="31">
        <v>0</v>
      </c>
      <c r="I106" s="31">
        <v>0</v>
      </c>
      <c r="J106" s="31">
        <v>3440</v>
      </c>
      <c r="K106" s="31">
        <v>3511</v>
      </c>
      <c r="L106" s="30">
        <v>3641</v>
      </c>
      <c r="N106" s="384" t="s">
        <v>1907</v>
      </c>
      <c r="P106" s="4"/>
      <c r="R106" s="4"/>
    </row>
    <row r="107" spans="1:18" ht="15.75" thickBot="1">
      <c r="A107" s="384"/>
      <c r="B107" s="384"/>
      <c r="C107" s="4" t="s">
        <v>15451</v>
      </c>
      <c r="D107" s="393">
        <v>0</v>
      </c>
      <c r="E107" s="393">
        <v>0</v>
      </c>
      <c r="F107" s="393">
        <v>0</v>
      </c>
      <c r="G107" s="393">
        <v>0</v>
      </c>
      <c r="H107" s="905">
        <v>0</v>
      </c>
      <c r="I107" s="905">
        <v>0</v>
      </c>
      <c r="J107" s="30">
        <v>8711</v>
      </c>
      <c r="K107" s="30">
        <v>8923</v>
      </c>
      <c r="L107" s="31">
        <v>9076</v>
      </c>
      <c r="N107" s="384" t="s">
        <v>1023</v>
      </c>
      <c r="P107" s="4"/>
      <c r="R107" s="4"/>
    </row>
    <row r="108" spans="1:18" ht="15.75" thickBot="1">
      <c r="A108" s="384"/>
      <c r="B108" s="384"/>
      <c r="C108" s="4" t="s">
        <v>15451</v>
      </c>
      <c r="D108" s="394">
        <f>D106+D107</f>
        <v>0</v>
      </c>
      <c r="E108" s="394">
        <f t="shared" ref="E108" si="98">E106+E107</f>
        <v>0</v>
      </c>
      <c r="F108" s="394">
        <f t="shared" ref="F108" si="99">F106+F107</f>
        <v>0</v>
      </c>
      <c r="G108" s="394">
        <f t="shared" ref="G108" si="100">G106+G107</f>
        <v>0</v>
      </c>
      <c r="H108" s="394">
        <f t="shared" ref="H108" si="101">H106+H107</f>
        <v>0</v>
      </c>
      <c r="I108" s="394">
        <f t="shared" ref="I108" si="102">I106+I107</f>
        <v>0</v>
      </c>
      <c r="J108" s="394">
        <f t="shared" ref="J108:L108" si="103">J106+J107</f>
        <v>12151</v>
      </c>
      <c r="K108" s="394">
        <f t="shared" si="103"/>
        <v>12434</v>
      </c>
      <c r="L108" s="394">
        <f t="shared" si="103"/>
        <v>12717</v>
      </c>
      <c r="P108" s="4"/>
      <c r="R108" s="4"/>
    </row>
    <row r="109" spans="1:18">
      <c r="A109" s="384" t="s">
        <v>7023</v>
      </c>
      <c r="B109" s="384" t="s">
        <v>15869</v>
      </c>
      <c r="C109" s="4" t="s">
        <v>15452</v>
      </c>
      <c r="D109" s="387">
        <v>0</v>
      </c>
      <c r="E109" s="387">
        <v>0</v>
      </c>
      <c r="F109" s="387">
        <v>0</v>
      </c>
      <c r="G109" s="387">
        <v>0</v>
      </c>
      <c r="H109" s="31">
        <v>0</v>
      </c>
      <c r="I109" s="31">
        <v>0</v>
      </c>
      <c r="J109" s="30">
        <v>1665</v>
      </c>
      <c r="K109" s="30">
        <v>1888</v>
      </c>
      <c r="L109" s="30">
        <v>2068</v>
      </c>
      <c r="N109" s="384" t="s">
        <v>1905</v>
      </c>
      <c r="P109" s="4"/>
      <c r="R109" s="4"/>
    </row>
    <row r="110" spans="1:18" ht="15.75" thickBot="1">
      <c r="A110" s="384"/>
      <c r="B110" s="384"/>
      <c r="C110" s="4" t="s">
        <v>15452</v>
      </c>
      <c r="D110" s="393">
        <v>0</v>
      </c>
      <c r="E110" s="393">
        <v>0</v>
      </c>
      <c r="F110" s="393">
        <v>0</v>
      </c>
      <c r="G110" s="393">
        <v>0</v>
      </c>
      <c r="H110" s="905">
        <v>0</v>
      </c>
      <c r="I110" s="905">
        <v>0</v>
      </c>
      <c r="J110" s="30">
        <v>6448</v>
      </c>
      <c r="K110" s="30">
        <v>6597</v>
      </c>
      <c r="L110" s="30">
        <v>6704</v>
      </c>
      <c r="N110" s="384" t="s">
        <v>1023</v>
      </c>
      <c r="P110" s="4"/>
      <c r="R110" s="4"/>
    </row>
    <row r="111" spans="1:18" ht="15.75" thickBot="1">
      <c r="A111" s="384"/>
      <c r="B111" s="384"/>
      <c r="C111" s="4" t="s">
        <v>15452</v>
      </c>
      <c r="D111" s="394">
        <f>D109+D110</f>
        <v>0</v>
      </c>
      <c r="E111" s="394">
        <f t="shared" ref="E111" si="104">E109+E110</f>
        <v>0</v>
      </c>
      <c r="F111" s="394">
        <f t="shared" ref="F111" si="105">F109+F110</f>
        <v>0</v>
      </c>
      <c r="G111" s="394">
        <f t="shared" ref="G111" si="106">G109+G110</f>
        <v>0</v>
      </c>
      <c r="H111" s="394">
        <f t="shared" ref="H111" si="107">H109+H110</f>
        <v>0</v>
      </c>
      <c r="I111" s="394">
        <f t="shared" ref="I111" si="108">I109+I110</f>
        <v>0</v>
      </c>
      <c r="J111" s="394">
        <f t="shared" ref="J111:L111" si="109">J109+J110</f>
        <v>8113</v>
      </c>
      <c r="K111" s="394">
        <f t="shared" si="109"/>
        <v>8485</v>
      </c>
      <c r="L111" s="394">
        <f t="shared" si="109"/>
        <v>8772</v>
      </c>
      <c r="N111" s="384"/>
      <c r="P111" s="4"/>
      <c r="R111" s="4"/>
    </row>
    <row r="112" spans="1:18">
      <c r="A112" s="384" t="s">
        <v>7025</v>
      </c>
      <c r="B112" s="384" t="s">
        <v>4381</v>
      </c>
      <c r="C112" s="4" t="s">
        <v>15453</v>
      </c>
      <c r="D112" s="387">
        <v>0</v>
      </c>
      <c r="E112" s="387">
        <v>0</v>
      </c>
      <c r="F112" s="387">
        <v>0</v>
      </c>
      <c r="G112" s="387">
        <v>0</v>
      </c>
      <c r="H112" s="30">
        <v>0</v>
      </c>
      <c r="I112" s="30">
        <v>0</v>
      </c>
      <c r="J112" s="30">
        <v>10517</v>
      </c>
      <c r="K112" s="30">
        <v>10567</v>
      </c>
      <c r="L112" s="30">
        <v>10983</v>
      </c>
      <c r="N112" s="384" t="s">
        <v>1905</v>
      </c>
      <c r="P112" s="4"/>
      <c r="R112" s="4"/>
    </row>
    <row r="113" spans="1:18">
      <c r="A113" s="384" t="s">
        <v>7570</v>
      </c>
      <c r="B113" s="384" t="s">
        <v>15433</v>
      </c>
      <c r="C113" s="4" t="s">
        <v>15454</v>
      </c>
      <c r="D113" s="387">
        <v>0</v>
      </c>
      <c r="E113" s="387">
        <v>0</v>
      </c>
      <c r="F113" s="387">
        <v>0</v>
      </c>
      <c r="G113" s="387">
        <v>0</v>
      </c>
      <c r="H113" s="30">
        <v>0</v>
      </c>
      <c r="I113" s="30">
        <v>0</v>
      </c>
      <c r="J113" s="31">
        <v>12174</v>
      </c>
      <c r="K113" s="31">
        <v>12050</v>
      </c>
      <c r="L113" s="31">
        <v>12226</v>
      </c>
      <c r="N113" s="384" t="s">
        <v>1905</v>
      </c>
      <c r="P113" s="4"/>
      <c r="R113" s="4"/>
    </row>
    <row r="114" spans="1:18">
      <c r="D114" s="388"/>
      <c r="E114" s="388"/>
      <c r="F114" s="388"/>
      <c r="G114" s="388"/>
      <c r="H114" s="388"/>
      <c r="I114" s="388"/>
      <c r="J114" s="388"/>
      <c r="K114" s="388"/>
      <c r="L114" s="388"/>
    </row>
    <row r="115" spans="1:18">
      <c r="A115" s="384" t="s">
        <v>1905</v>
      </c>
      <c r="D115" s="387">
        <f t="shared" ref="D115:I115" si="110">D88+D89+D91+D93+D97+D103+D109+D112+D113</f>
        <v>73189</v>
      </c>
      <c r="E115" s="387">
        <f t="shared" si="110"/>
        <v>73874</v>
      </c>
      <c r="F115" s="387">
        <f t="shared" si="110"/>
        <v>73730</v>
      </c>
      <c r="G115" s="387">
        <f t="shared" si="110"/>
        <v>73808</v>
      </c>
      <c r="H115" s="387">
        <f t="shared" si="110"/>
        <v>71866</v>
      </c>
      <c r="I115" s="387">
        <f t="shared" si="110"/>
        <v>68829</v>
      </c>
      <c r="J115" s="387">
        <f>J88+J89+J91+J93+J97+J103+J109+J112+J113</f>
        <v>70200</v>
      </c>
      <c r="K115" s="387">
        <f>K88+K89+K91+K93+K97+K103+K109+K112+K113</f>
        <v>70778</v>
      </c>
      <c r="L115" s="387">
        <f>L88+L89+L91+L93+L97+L103+L109+L112+L113</f>
        <v>72242</v>
      </c>
    </row>
    <row r="116" spans="1:18">
      <c r="A116" s="384" t="s">
        <v>1907</v>
      </c>
      <c r="D116" s="387">
        <f t="shared" ref="D116:I116" si="111">D87+D90+SUM(D98:D100)+D102+D104+D106</f>
        <v>72040</v>
      </c>
      <c r="E116" s="387">
        <f t="shared" si="111"/>
        <v>72855</v>
      </c>
      <c r="F116" s="387">
        <f t="shared" si="111"/>
        <v>73234</v>
      </c>
      <c r="G116" s="387">
        <f t="shared" si="111"/>
        <v>74073</v>
      </c>
      <c r="H116" s="387">
        <f t="shared" si="111"/>
        <v>72375</v>
      </c>
      <c r="I116" s="387">
        <f t="shared" si="111"/>
        <v>68608</v>
      </c>
      <c r="J116" s="387">
        <f>J87+J90+SUM(J98:J100)+J102+J104+J106</f>
        <v>70337</v>
      </c>
      <c r="K116" s="387">
        <f>K87+K90+SUM(K98:K100)+K102+K104+K106</f>
        <v>71430</v>
      </c>
      <c r="L116" s="387">
        <f>L87+L90+SUM(L98:L100)+L102+L104+L106</f>
        <v>72613</v>
      </c>
    </row>
    <row r="117" spans="1:18">
      <c r="A117" s="384" t="s">
        <v>1023</v>
      </c>
      <c r="D117" s="387">
        <f t="shared" ref="D117:I117" si="112">D92+SUM(D94:D96)+D101+D107+D110</f>
        <v>72880</v>
      </c>
      <c r="E117" s="387">
        <f t="shared" si="112"/>
        <v>73674</v>
      </c>
      <c r="F117" s="387">
        <f t="shared" si="112"/>
        <v>73675</v>
      </c>
      <c r="G117" s="387">
        <f t="shared" si="112"/>
        <v>74087</v>
      </c>
      <c r="H117" s="387">
        <f t="shared" si="112"/>
        <v>72985</v>
      </c>
      <c r="I117" s="387">
        <f t="shared" si="112"/>
        <v>68872</v>
      </c>
      <c r="J117" s="387">
        <f>J92+SUM(J94:J96)+J101+J107+J110</f>
        <v>70730</v>
      </c>
      <c r="K117" s="387">
        <f>K92+SUM(K94:K96)+K101+K107+K110</f>
        <v>72897</v>
      </c>
      <c r="L117" s="387">
        <f>L92+SUM(L94:L96)+L101+L107+L110</f>
        <v>74203</v>
      </c>
    </row>
    <row r="118" spans="1:18">
      <c r="A118" s="384"/>
      <c r="D118" s="387"/>
      <c r="E118" s="387"/>
      <c r="F118" s="387"/>
      <c r="G118" s="387"/>
      <c r="H118" s="387"/>
      <c r="I118" s="387"/>
      <c r="J118" s="387"/>
      <c r="K118" s="387"/>
      <c r="L118" s="387"/>
    </row>
    <row r="119" spans="1:18">
      <c r="A119" s="384" t="s">
        <v>15434</v>
      </c>
      <c r="D119" s="387"/>
      <c r="E119" s="387"/>
      <c r="F119" s="387"/>
      <c r="G119" s="387"/>
      <c r="H119" s="387"/>
      <c r="I119" s="387"/>
      <c r="J119" s="387"/>
      <c r="K119" s="387"/>
      <c r="L119" s="387"/>
    </row>
    <row r="122" spans="1:18">
      <c r="E122" s="42" t="s">
        <v>2303</v>
      </c>
      <c r="F122" s="42"/>
      <c r="G122" s="42"/>
      <c r="H122" s="42"/>
      <c r="I122" s="42"/>
      <c r="J122" s="42"/>
      <c r="K122" s="42"/>
      <c r="L122" s="42"/>
      <c r="M122" s="109"/>
      <c r="N122" s="112" t="s">
        <v>13319</v>
      </c>
    </row>
    <row r="123" spans="1:18">
      <c r="D123" s="110">
        <v>2010</v>
      </c>
      <c r="E123" s="110">
        <v>2011</v>
      </c>
      <c r="F123" s="110">
        <v>2012</v>
      </c>
      <c r="G123" s="110">
        <v>2013</v>
      </c>
      <c r="H123" s="110">
        <v>2014</v>
      </c>
      <c r="I123" s="110">
        <v>2015</v>
      </c>
      <c r="J123" s="110">
        <v>2016</v>
      </c>
      <c r="K123" s="110">
        <v>2017</v>
      </c>
      <c r="L123" s="110">
        <v>2018</v>
      </c>
      <c r="N123" s="112" t="s">
        <v>2304</v>
      </c>
    </row>
    <row r="124" spans="1:18">
      <c r="A124" s="384" t="s">
        <v>3725</v>
      </c>
      <c r="D124" s="387">
        <f t="shared" ref="D124:I124" si="113">SUM(D125:D145)</f>
        <v>190076</v>
      </c>
      <c r="E124" s="387">
        <f t="shared" si="113"/>
        <v>191489</v>
      </c>
      <c r="F124" s="387">
        <f t="shared" si="113"/>
        <v>192390</v>
      </c>
      <c r="G124" s="387">
        <f t="shared" si="113"/>
        <v>194397</v>
      </c>
      <c r="H124" s="387">
        <f t="shared" si="113"/>
        <v>196100</v>
      </c>
      <c r="I124" s="387">
        <f t="shared" si="113"/>
        <v>195614</v>
      </c>
      <c r="J124" s="387">
        <f t="shared" ref="J124:K124" si="114">SUM(J125:J145)</f>
        <v>192118</v>
      </c>
      <c r="K124" s="387">
        <f t="shared" si="114"/>
        <v>194419</v>
      </c>
      <c r="L124" s="387">
        <f t="shared" ref="L124" si="115">SUM(L125:L145)</f>
        <v>194140</v>
      </c>
    </row>
    <row r="125" spans="1:18">
      <c r="A125" s="384" t="s">
        <v>6957</v>
      </c>
      <c r="B125" s="384" t="s">
        <v>3726</v>
      </c>
      <c r="C125" s="4" t="s">
        <v>13080</v>
      </c>
      <c r="D125" s="387">
        <v>8822</v>
      </c>
      <c r="E125" s="387">
        <v>8940</v>
      </c>
      <c r="F125" s="387">
        <v>8896</v>
      </c>
      <c r="G125" s="387">
        <v>8947</v>
      </c>
      <c r="H125" s="30">
        <v>8934</v>
      </c>
      <c r="I125" s="30">
        <v>8966</v>
      </c>
      <c r="J125" s="30">
        <v>8846</v>
      </c>
      <c r="K125" s="30">
        <v>8814</v>
      </c>
      <c r="L125" s="30">
        <v>8769</v>
      </c>
      <c r="N125" s="384" t="s">
        <v>1026</v>
      </c>
      <c r="P125" s="4"/>
      <c r="R125" s="4"/>
    </row>
    <row r="126" spans="1:18">
      <c r="A126" s="384" t="s">
        <v>6959</v>
      </c>
      <c r="B126" s="384" t="s">
        <v>3727</v>
      </c>
      <c r="C126" s="4" t="s">
        <v>9304</v>
      </c>
      <c r="D126" s="387">
        <v>8944</v>
      </c>
      <c r="E126" s="387">
        <v>9024</v>
      </c>
      <c r="F126" s="387">
        <v>9034</v>
      </c>
      <c r="G126" s="387">
        <v>9255</v>
      </c>
      <c r="H126" s="30">
        <v>9202</v>
      </c>
      <c r="I126" s="30">
        <v>9027</v>
      </c>
      <c r="J126" s="30">
        <v>8670</v>
      </c>
      <c r="K126" s="30">
        <v>8716</v>
      </c>
      <c r="L126" s="30">
        <v>8722</v>
      </c>
      <c r="N126" s="384" t="s">
        <v>1028</v>
      </c>
      <c r="P126" s="4"/>
      <c r="R126" s="4"/>
    </row>
    <row r="127" spans="1:18">
      <c r="A127" s="384" t="s">
        <v>6961</v>
      </c>
      <c r="B127" s="384" t="s">
        <v>3728</v>
      </c>
      <c r="C127" s="4" t="s">
        <v>9305</v>
      </c>
      <c r="D127" s="396">
        <v>8977</v>
      </c>
      <c r="E127" s="396">
        <v>9033</v>
      </c>
      <c r="F127" s="396">
        <v>9060</v>
      </c>
      <c r="G127" s="396">
        <v>9118</v>
      </c>
      <c r="H127" s="30">
        <v>9347</v>
      </c>
      <c r="I127" s="30">
        <v>9338</v>
      </c>
      <c r="J127" s="30">
        <v>9260</v>
      </c>
      <c r="K127" s="30">
        <v>9434</v>
      </c>
      <c r="L127" s="30">
        <v>9374</v>
      </c>
      <c r="N127" s="384" t="s">
        <v>1028</v>
      </c>
      <c r="P127" s="4"/>
      <c r="R127" s="4"/>
    </row>
    <row r="128" spans="1:18">
      <c r="A128" s="384" t="s">
        <v>6963</v>
      </c>
      <c r="B128" s="384" t="s">
        <v>3729</v>
      </c>
      <c r="C128" s="4" t="s">
        <v>13081</v>
      </c>
      <c r="D128" s="387">
        <v>9173</v>
      </c>
      <c r="E128" s="387">
        <v>9284</v>
      </c>
      <c r="F128" s="387">
        <v>9384</v>
      </c>
      <c r="G128" s="387">
        <v>9540</v>
      </c>
      <c r="H128" s="30">
        <v>9725</v>
      </c>
      <c r="I128" s="30">
        <v>9699</v>
      </c>
      <c r="J128" s="30">
        <v>9477</v>
      </c>
      <c r="K128" s="30">
        <v>9639</v>
      </c>
      <c r="L128" s="30">
        <v>9580</v>
      </c>
      <c r="N128" s="384" t="s">
        <v>1026</v>
      </c>
      <c r="P128" s="4"/>
      <c r="R128" s="4"/>
    </row>
    <row r="129" spans="1:18">
      <c r="A129" s="384" t="s">
        <v>6965</v>
      </c>
      <c r="B129" s="384" t="s">
        <v>3730</v>
      </c>
      <c r="C129" s="4" t="s">
        <v>9306</v>
      </c>
      <c r="D129" s="387">
        <v>9077</v>
      </c>
      <c r="E129" s="387">
        <v>9205</v>
      </c>
      <c r="F129" s="387">
        <v>9208</v>
      </c>
      <c r="G129" s="387">
        <v>9371</v>
      </c>
      <c r="H129" s="30">
        <v>9415</v>
      </c>
      <c r="I129" s="30">
        <v>9465</v>
      </c>
      <c r="J129" s="30">
        <v>9375</v>
      </c>
      <c r="K129" s="30">
        <v>9505</v>
      </c>
      <c r="L129" s="30">
        <v>9486</v>
      </c>
      <c r="N129" s="384" t="s">
        <v>1026</v>
      </c>
      <c r="P129" s="4"/>
      <c r="R129" s="4"/>
    </row>
    <row r="130" spans="1:18">
      <c r="A130" s="384" t="s">
        <v>6997</v>
      </c>
      <c r="B130" s="384" t="s">
        <v>3467</v>
      </c>
      <c r="C130" s="4" t="s">
        <v>9307</v>
      </c>
      <c r="D130" s="387">
        <v>9460</v>
      </c>
      <c r="E130" s="387">
        <v>9470</v>
      </c>
      <c r="F130" s="387">
        <v>9573</v>
      </c>
      <c r="G130" s="387">
        <v>9636</v>
      </c>
      <c r="H130" s="30">
        <v>9617</v>
      </c>
      <c r="I130" s="30">
        <v>9632</v>
      </c>
      <c r="J130" s="30">
        <v>9509</v>
      </c>
      <c r="K130" s="30">
        <v>9615</v>
      </c>
      <c r="L130" s="30">
        <v>9500</v>
      </c>
      <c r="N130" s="384" t="s">
        <v>1026</v>
      </c>
      <c r="P130" s="4"/>
      <c r="R130" s="4"/>
    </row>
    <row r="131" spans="1:18">
      <c r="A131" s="384" t="s">
        <v>6999</v>
      </c>
      <c r="B131" s="384" t="s">
        <v>3731</v>
      </c>
      <c r="C131" s="4" t="s">
        <v>9308</v>
      </c>
      <c r="D131" s="387">
        <v>8863</v>
      </c>
      <c r="E131" s="387">
        <v>8942</v>
      </c>
      <c r="F131" s="387">
        <v>9064</v>
      </c>
      <c r="G131" s="387">
        <v>9300</v>
      </c>
      <c r="H131" s="31">
        <v>9547</v>
      </c>
      <c r="I131" s="31">
        <v>9585</v>
      </c>
      <c r="J131" s="31">
        <v>9572</v>
      </c>
      <c r="K131" s="31">
        <v>9828</v>
      </c>
      <c r="L131" s="31">
        <v>9970</v>
      </c>
      <c r="N131" s="384" t="s">
        <v>3987</v>
      </c>
      <c r="P131" s="4"/>
      <c r="R131" s="4"/>
    </row>
    <row r="132" spans="1:18">
      <c r="A132" s="384" t="s">
        <v>7001</v>
      </c>
      <c r="B132" s="384" t="s">
        <v>3732</v>
      </c>
      <c r="C132" s="4" t="s">
        <v>9309</v>
      </c>
      <c r="D132" s="387">
        <v>9259</v>
      </c>
      <c r="E132" s="387">
        <v>9286</v>
      </c>
      <c r="F132" s="387">
        <v>9186</v>
      </c>
      <c r="G132" s="387">
        <v>9368</v>
      </c>
      <c r="H132" s="30">
        <v>9295</v>
      </c>
      <c r="I132" s="30">
        <v>9310</v>
      </c>
      <c r="J132" s="30">
        <v>9143</v>
      </c>
      <c r="K132" s="30">
        <v>9176</v>
      </c>
      <c r="L132" s="30">
        <v>9147</v>
      </c>
      <c r="N132" s="384" t="s">
        <v>1028</v>
      </c>
      <c r="P132" s="4"/>
      <c r="R132" s="4"/>
    </row>
    <row r="133" spans="1:18">
      <c r="A133" s="384" t="s">
        <v>7003</v>
      </c>
      <c r="B133" s="384" t="s">
        <v>3733</v>
      </c>
      <c r="C133" s="4" t="s">
        <v>9310</v>
      </c>
      <c r="D133" s="387">
        <v>8913</v>
      </c>
      <c r="E133" s="387">
        <v>9040</v>
      </c>
      <c r="F133" s="387">
        <v>8982</v>
      </c>
      <c r="G133" s="387">
        <v>8911</v>
      </c>
      <c r="H133" s="30">
        <v>8954</v>
      </c>
      <c r="I133" s="30">
        <v>8816</v>
      </c>
      <c r="J133" s="30">
        <v>8542</v>
      </c>
      <c r="K133" s="30">
        <v>8595</v>
      </c>
      <c r="L133" s="30">
        <v>8655</v>
      </c>
      <c r="N133" s="384" t="s">
        <v>1026</v>
      </c>
      <c r="P133" s="4"/>
      <c r="R133" s="4"/>
    </row>
    <row r="134" spans="1:18">
      <c r="A134" s="384" t="s">
        <v>7005</v>
      </c>
      <c r="B134" s="384" t="s">
        <v>3734</v>
      </c>
      <c r="C134" s="4" t="s">
        <v>9311</v>
      </c>
      <c r="D134" s="387">
        <v>9556</v>
      </c>
      <c r="E134" s="387">
        <v>9517</v>
      </c>
      <c r="F134" s="387">
        <v>9598</v>
      </c>
      <c r="G134" s="387">
        <v>9637</v>
      </c>
      <c r="H134" s="31">
        <v>9639</v>
      </c>
      <c r="I134" s="31">
        <v>9598</v>
      </c>
      <c r="J134" s="31">
        <v>9262</v>
      </c>
      <c r="K134" s="31">
        <v>9420</v>
      </c>
      <c r="L134" s="31">
        <v>9341</v>
      </c>
      <c r="N134" s="384" t="s">
        <v>3987</v>
      </c>
      <c r="P134" s="4"/>
      <c r="R134" s="4"/>
    </row>
    <row r="135" spans="1:18">
      <c r="A135" s="384" t="s">
        <v>7007</v>
      </c>
      <c r="B135" s="384" t="s">
        <v>3735</v>
      </c>
      <c r="C135" s="4" t="s">
        <v>9312</v>
      </c>
      <c r="D135" s="387">
        <v>8876</v>
      </c>
      <c r="E135" s="387">
        <v>9075</v>
      </c>
      <c r="F135" s="387">
        <v>9115</v>
      </c>
      <c r="G135" s="387">
        <v>9108</v>
      </c>
      <c r="H135" s="30">
        <v>9255</v>
      </c>
      <c r="I135" s="30">
        <v>9392</v>
      </c>
      <c r="J135" s="30">
        <v>9731</v>
      </c>
      <c r="K135" s="30">
        <v>10139</v>
      </c>
      <c r="L135" s="30">
        <v>10448</v>
      </c>
      <c r="N135" s="384" t="s">
        <v>1026</v>
      </c>
      <c r="P135" s="4"/>
      <c r="R135" s="4"/>
    </row>
    <row r="136" spans="1:18">
      <c r="A136" s="384" t="s">
        <v>7009</v>
      </c>
      <c r="B136" s="384" t="s">
        <v>3736</v>
      </c>
      <c r="C136" s="4" t="s">
        <v>9313</v>
      </c>
      <c r="D136" s="387">
        <v>8749</v>
      </c>
      <c r="E136" s="387">
        <v>8786</v>
      </c>
      <c r="F136" s="387">
        <v>8748</v>
      </c>
      <c r="G136" s="387">
        <v>8748</v>
      </c>
      <c r="H136" s="30">
        <v>8739</v>
      </c>
      <c r="I136" s="30">
        <v>8675</v>
      </c>
      <c r="J136" s="30">
        <v>8361</v>
      </c>
      <c r="K136" s="30">
        <v>8381</v>
      </c>
      <c r="L136" s="30">
        <v>8135</v>
      </c>
      <c r="N136" s="384" t="s">
        <v>1028</v>
      </c>
      <c r="P136" s="4"/>
      <c r="R136" s="4"/>
    </row>
    <row r="137" spans="1:18">
      <c r="A137" s="384" t="s">
        <v>7011</v>
      </c>
      <c r="B137" s="384" t="s">
        <v>3737</v>
      </c>
      <c r="C137" s="4" t="s">
        <v>9314</v>
      </c>
      <c r="D137" s="387">
        <v>9058</v>
      </c>
      <c r="E137" s="387">
        <v>9004</v>
      </c>
      <c r="F137" s="387">
        <v>9141</v>
      </c>
      <c r="G137" s="387">
        <v>9192</v>
      </c>
      <c r="H137" s="30">
        <v>9236</v>
      </c>
      <c r="I137" s="30">
        <v>9146</v>
      </c>
      <c r="J137" s="30">
        <v>8766</v>
      </c>
      <c r="K137" s="30">
        <v>8930</v>
      </c>
      <c r="L137" s="30">
        <v>8732</v>
      </c>
      <c r="N137" s="384" t="s">
        <v>1028</v>
      </c>
      <c r="P137" s="4"/>
      <c r="R137" s="4"/>
    </row>
    <row r="138" spans="1:18">
      <c r="A138" s="384" t="s">
        <v>7013</v>
      </c>
      <c r="B138" s="384" t="s">
        <v>4834</v>
      </c>
      <c r="C138" s="4" t="s">
        <v>9315</v>
      </c>
      <c r="D138" s="387">
        <v>9420</v>
      </c>
      <c r="E138" s="387">
        <v>9522</v>
      </c>
      <c r="F138" s="387">
        <v>9595</v>
      </c>
      <c r="G138" s="387">
        <v>9651</v>
      </c>
      <c r="H138" s="31">
        <v>9619</v>
      </c>
      <c r="I138" s="31">
        <v>9535</v>
      </c>
      <c r="J138" s="31">
        <v>9331</v>
      </c>
      <c r="K138" s="31">
        <v>9413</v>
      </c>
      <c r="L138" s="31">
        <v>9416</v>
      </c>
      <c r="N138" s="384" t="s">
        <v>3987</v>
      </c>
      <c r="P138" s="4"/>
      <c r="R138" s="4"/>
    </row>
    <row r="139" spans="1:18">
      <c r="A139" s="384" t="s">
        <v>7015</v>
      </c>
      <c r="B139" s="384" t="s">
        <v>4835</v>
      </c>
      <c r="C139" s="4" t="s">
        <v>9316</v>
      </c>
      <c r="D139" s="387">
        <v>9422</v>
      </c>
      <c r="E139" s="387">
        <v>9466</v>
      </c>
      <c r="F139" s="387">
        <v>9471</v>
      </c>
      <c r="G139" s="387">
        <v>9560</v>
      </c>
      <c r="H139" s="30">
        <v>9522</v>
      </c>
      <c r="I139" s="30">
        <v>9531</v>
      </c>
      <c r="J139" s="30">
        <v>9403</v>
      </c>
      <c r="K139" s="30">
        <v>9413</v>
      </c>
      <c r="L139" s="30">
        <v>9432</v>
      </c>
      <c r="N139" s="384" t="s">
        <v>1026</v>
      </c>
      <c r="P139" s="4"/>
      <c r="R139" s="4"/>
    </row>
    <row r="140" spans="1:18">
      <c r="A140" s="384" t="s">
        <v>7017</v>
      </c>
      <c r="B140" s="384" t="s">
        <v>4836</v>
      </c>
      <c r="C140" s="4" t="s">
        <v>9317</v>
      </c>
      <c r="D140" s="387">
        <v>8988</v>
      </c>
      <c r="E140" s="387">
        <v>8937</v>
      </c>
      <c r="F140" s="387">
        <v>8900</v>
      </c>
      <c r="G140" s="387">
        <v>9092</v>
      </c>
      <c r="H140" s="31">
        <v>9219</v>
      </c>
      <c r="I140" s="31">
        <v>9173</v>
      </c>
      <c r="J140" s="31">
        <v>9009</v>
      </c>
      <c r="K140" s="31">
        <v>9112</v>
      </c>
      <c r="L140" s="31">
        <v>9179</v>
      </c>
      <c r="N140" s="384" t="s">
        <v>3987</v>
      </c>
      <c r="P140" s="4"/>
      <c r="R140" s="4"/>
    </row>
    <row r="141" spans="1:18">
      <c r="A141" s="384" t="s">
        <v>7019</v>
      </c>
      <c r="B141" s="384" t="s">
        <v>7796</v>
      </c>
      <c r="C141" s="4" t="s">
        <v>9318</v>
      </c>
      <c r="D141" s="387">
        <v>8990</v>
      </c>
      <c r="E141" s="387">
        <v>8982</v>
      </c>
      <c r="F141" s="387">
        <v>9143</v>
      </c>
      <c r="G141" s="387">
        <v>9327</v>
      </c>
      <c r="H141" s="30">
        <v>9466</v>
      </c>
      <c r="I141" s="30">
        <v>9395</v>
      </c>
      <c r="J141" s="30">
        <v>9166</v>
      </c>
      <c r="K141" s="30">
        <v>9248</v>
      </c>
      <c r="L141" s="30">
        <v>9269</v>
      </c>
      <c r="N141" s="384" t="s">
        <v>1028</v>
      </c>
      <c r="P141" s="4"/>
      <c r="R141" s="4"/>
    </row>
    <row r="142" spans="1:18">
      <c r="A142" s="384" t="s">
        <v>7021</v>
      </c>
      <c r="B142" s="384" t="s">
        <v>4837</v>
      </c>
      <c r="C142" s="4" t="s">
        <v>9319</v>
      </c>
      <c r="D142" s="387">
        <v>8425</v>
      </c>
      <c r="E142" s="387">
        <v>8588</v>
      </c>
      <c r="F142" s="387">
        <v>8591</v>
      </c>
      <c r="G142" s="387">
        <v>8682</v>
      </c>
      <c r="H142" s="30">
        <v>8767</v>
      </c>
      <c r="I142" s="30">
        <v>8758</v>
      </c>
      <c r="J142" s="30">
        <v>8628</v>
      </c>
      <c r="K142" s="30">
        <v>8667</v>
      </c>
      <c r="L142" s="30">
        <v>8784</v>
      </c>
      <c r="N142" s="384" t="s">
        <v>1026</v>
      </c>
      <c r="P142" s="4"/>
      <c r="R142" s="4"/>
    </row>
    <row r="143" spans="1:18">
      <c r="A143" s="384" t="s">
        <v>7023</v>
      </c>
      <c r="B143" s="384" t="s">
        <v>4838</v>
      </c>
      <c r="C143" s="4" t="s">
        <v>9320</v>
      </c>
      <c r="D143" s="387">
        <v>8903</v>
      </c>
      <c r="E143" s="387">
        <v>9094</v>
      </c>
      <c r="F143" s="387">
        <v>9199</v>
      </c>
      <c r="G143" s="387">
        <v>9548</v>
      </c>
      <c r="H143" s="31">
        <v>10119</v>
      </c>
      <c r="I143" s="31">
        <v>10243</v>
      </c>
      <c r="J143" s="31">
        <v>10317</v>
      </c>
      <c r="K143" s="31">
        <v>10460</v>
      </c>
      <c r="L143" s="31">
        <v>10445</v>
      </c>
      <c r="N143" s="384" t="s">
        <v>3987</v>
      </c>
      <c r="P143" s="4"/>
      <c r="R143" s="4"/>
    </row>
    <row r="144" spans="1:18">
      <c r="A144" s="384" t="s">
        <v>7025</v>
      </c>
      <c r="B144" s="384" t="s">
        <v>4839</v>
      </c>
      <c r="C144" s="4" t="s">
        <v>9321</v>
      </c>
      <c r="D144" s="387">
        <v>9201</v>
      </c>
      <c r="E144" s="387">
        <v>9278</v>
      </c>
      <c r="F144" s="387">
        <v>9350</v>
      </c>
      <c r="G144" s="387">
        <v>9258</v>
      </c>
      <c r="H144" s="31">
        <v>9343</v>
      </c>
      <c r="I144" s="31">
        <v>9378</v>
      </c>
      <c r="J144" s="31">
        <v>9099</v>
      </c>
      <c r="K144" s="31">
        <v>9085</v>
      </c>
      <c r="L144" s="31">
        <v>9077</v>
      </c>
      <c r="N144" s="384" t="s">
        <v>3987</v>
      </c>
      <c r="P144" s="4"/>
      <c r="R144" s="4"/>
    </row>
    <row r="145" spans="1:18">
      <c r="A145" s="384" t="s">
        <v>7570</v>
      </c>
      <c r="B145" s="384" t="s">
        <v>7991</v>
      </c>
      <c r="C145" s="4" t="s">
        <v>9322</v>
      </c>
      <c r="D145" s="387">
        <v>9000</v>
      </c>
      <c r="E145" s="387">
        <v>9016</v>
      </c>
      <c r="F145" s="387">
        <v>9152</v>
      </c>
      <c r="G145" s="387">
        <v>9148</v>
      </c>
      <c r="H145" s="30">
        <v>9140</v>
      </c>
      <c r="I145" s="30">
        <v>8952</v>
      </c>
      <c r="J145" s="30">
        <v>8651</v>
      </c>
      <c r="K145" s="30">
        <v>8829</v>
      </c>
      <c r="L145" s="30">
        <v>8679</v>
      </c>
      <c r="N145" s="384" t="s">
        <v>1028</v>
      </c>
      <c r="P145" s="4"/>
      <c r="R145" s="4"/>
    </row>
    <row r="146" spans="1:18">
      <c r="D146" s="388"/>
      <c r="E146" s="388"/>
      <c r="F146" s="388"/>
      <c r="G146" s="388"/>
      <c r="H146" s="388"/>
      <c r="I146" s="388"/>
      <c r="J146" s="388"/>
      <c r="K146" s="388"/>
      <c r="L146" s="388"/>
    </row>
    <row r="147" spans="1:18">
      <c r="A147" s="384" t="s">
        <v>1026</v>
      </c>
      <c r="D147" s="387">
        <f t="shared" ref="D147:I147" si="116">D125+SUM(D128:D130)+D133+D135+D139+D142</f>
        <v>72168</v>
      </c>
      <c r="E147" s="387">
        <f t="shared" si="116"/>
        <v>73068</v>
      </c>
      <c r="F147" s="387">
        <f t="shared" si="116"/>
        <v>73220</v>
      </c>
      <c r="G147" s="387">
        <f t="shared" si="116"/>
        <v>73755</v>
      </c>
      <c r="H147" s="387">
        <f t="shared" si="116"/>
        <v>74189</v>
      </c>
      <c r="I147" s="387">
        <f t="shared" si="116"/>
        <v>74259</v>
      </c>
      <c r="J147" s="387">
        <f t="shared" ref="J147:K147" si="117">J125+SUM(J128:J130)+J133+J135+J139+J142</f>
        <v>73511</v>
      </c>
      <c r="K147" s="387">
        <f t="shared" si="117"/>
        <v>74387</v>
      </c>
      <c r="L147" s="387">
        <f t="shared" ref="L147" si="118">L125+SUM(L128:L130)+L133+L135+L139+L142</f>
        <v>74654</v>
      </c>
    </row>
    <row r="148" spans="1:18">
      <c r="A148" s="384" t="s">
        <v>1028</v>
      </c>
      <c r="D148" s="387">
        <f t="shared" ref="D148:I148" si="119">D126+D127+D132+D136+D137+D141+D145</f>
        <v>62977</v>
      </c>
      <c r="E148" s="387">
        <f t="shared" si="119"/>
        <v>63131</v>
      </c>
      <c r="F148" s="387">
        <f t="shared" si="119"/>
        <v>63464</v>
      </c>
      <c r="G148" s="387">
        <f t="shared" si="119"/>
        <v>64156</v>
      </c>
      <c r="H148" s="387">
        <f t="shared" si="119"/>
        <v>64425</v>
      </c>
      <c r="I148" s="387">
        <f t="shared" si="119"/>
        <v>63843</v>
      </c>
      <c r="J148" s="387">
        <f t="shared" ref="J148:K148" si="120">J126+J127+J132+J136+J137+J141+J145</f>
        <v>62017</v>
      </c>
      <c r="K148" s="387">
        <f t="shared" si="120"/>
        <v>62714</v>
      </c>
      <c r="L148" s="387">
        <f t="shared" ref="L148" si="121">L126+L127+L132+L136+L137+L141+L145</f>
        <v>62058</v>
      </c>
    </row>
    <row r="149" spans="1:18">
      <c r="A149" s="384" t="s">
        <v>3717</v>
      </c>
      <c r="D149" s="387">
        <f t="shared" ref="D149:I149" si="122">D131+D134+D138+D140+D143+D144</f>
        <v>54931</v>
      </c>
      <c r="E149" s="387">
        <f t="shared" si="122"/>
        <v>55290</v>
      </c>
      <c r="F149" s="387">
        <f t="shared" si="122"/>
        <v>55706</v>
      </c>
      <c r="G149" s="387">
        <f t="shared" si="122"/>
        <v>56486</v>
      </c>
      <c r="H149" s="387">
        <f t="shared" si="122"/>
        <v>57486</v>
      </c>
      <c r="I149" s="387">
        <f t="shared" si="122"/>
        <v>57512</v>
      </c>
      <c r="J149" s="387">
        <f t="shared" ref="J149:K149" si="123">J131+J134+J138+J140+J143+J144</f>
        <v>56590</v>
      </c>
      <c r="K149" s="387">
        <f t="shared" si="123"/>
        <v>57318</v>
      </c>
      <c r="L149" s="387">
        <f t="shared" ref="L149" si="124">L131+L134+L138+L140+L143+L144</f>
        <v>57428</v>
      </c>
    </row>
    <row r="150" spans="1:18">
      <c r="A150" s="384"/>
      <c r="D150" s="387"/>
      <c r="E150" s="387"/>
      <c r="F150" s="387"/>
      <c r="G150" s="387"/>
      <c r="H150" s="387"/>
      <c r="I150" s="387"/>
      <c r="J150" s="387"/>
      <c r="K150" s="387"/>
      <c r="L150" s="387"/>
    </row>
    <row r="151" spans="1:18">
      <c r="A151" s="384" t="s">
        <v>13082</v>
      </c>
      <c r="D151" s="387"/>
      <c r="E151" s="387"/>
      <c r="F151" s="387"/>
      <c r="G151" s="387"/>
      <c r="H151" s="387"/>
      <c r="I151" s="387"/>
      <c r="J151" s="387"/>
      <c r="K151" s="387"/>
      <c r="L151" s="387"/>
    </row>
    <row r="152" spans="1:18">
      <c r="A152" s="384" t="s">
        <v>13083</v>
      </c>
      <c r="B152" s="384"/>
      <c r="D152" s="397"/>
      <c r="E152" s="397"/>
      <c r="F152" s="397"/>
      <c r="G152" s="397"/>
      <c r="H152" s="397"/>
      <c r="I152" s="397"/>
      <c r="J152" s="397"/>
      <c r="K152" s="397"/>
      <c r="L152" s="397"/>
    </row>
    <row r="153" spans="1:18">
      <c r="A153" s="384"/>
      <c r="B153" s="384"/>
      <c r="D153" s="397"/>
      <c r="E153" s="397"/>
      <c r="F153" s="397"/>
      <c r="G153" s="397"/>
      <c r="H153" s="397"/>
      <c r="I153" s="397"/>
      <c r="J153" s="397"/>
      <c r="K153" s="397"/>
      <c r="L153" s="397"/>
    </row>
    <row r="154" spans="1:18">
      <c r="A154" s="384"/>
      <c r="B154" s="384"/>
      <c r="D154" s="397"/>
      <c r="E154" s="397"/>
      <c r="F154" s="397"/>
      <c r="G154" s="397"/>
      <c r="H154" s="397"/>
      <c r="I154" s="397"/>
      <c r="J154" s="397"/>
      <c r="K154" s="397"/>
      <c r="L154" s="397"/>
    </row>
    <row r="155" spans="1:18">
      <c r="E155" s="42" t="s">
        <v>2303</v>
      </c>
      <c r="F155" s="42"/>
      <c r="G155" s="42"/>
      <c r="H155" s="42"/>
      <c r="I155" s="42"/>
      <c r="J155" s="42"/>
      <c r="K155" s="42"/>
      <c r="L155" s="42"/>
      <c r="M155" s="109"/>
      <c r="N155" s="112" t="s">
        <v>13319</v>
      </c>
    </row>
    <row r="156" spans="1:18">
      <c r="D156" s="110">
        <v>2010</v>
      </c>
      <c r="E156" s="110">
        <v>2011</v>
      </c>
      <c r="F156" s="110">
        <v>2012</v>
      </c>
      <c r="G156" s="110">
        <v>2013</v>
      </c>
      <c r="H156" s="110">
        <v>2014</v>
      </c>
      <c r="I156" s="110">
        <v>2015</v>
      </c>
      <c r="J156" s="110">
        <v>2016</v>
      </c>
      <c r="K156" s="110">
        <v>2017</v>
      </c>
      <c r="L156" s="110">
        <v>2018</v>
      </c>
      <c r="N156" s="112" t="s">
        <v>2304</v>
      </c>
    </row>
    <row r="157" spans="1:18">
      <c r="A157" s="384" t="s">
        <v>4840</v>
      </c>
      <c r="D157" s="387">
        <f>D158+D159+SUM(D161:D163)+SUM(D165:D169)+SUM(D171:D173)+SUM(D175:D177)+SUM(D179:D181)+SUM(D183:D186)+SUM(D188:D193)+SUM(D195:D203)</f>
        <v>378810</v>
      </c>
      <c r="E157" s="387">
        <f t="shared" ref="E157:J157" si="125">E158+E159+SUM(E161:E163)+SUM(E165:E169)+SUM(E171:E173)+SUM(E175:E177)+SUM(E179:E181)+SUM(E183:E186)+SUM(E188:E193)+SUM(E195:E203)</f>
        <v>386512</v>
      </c>
      <c r="F157" s="387">
        <f t="shared" si="125"/>
        <v>389856</v>
      </c>
      <c r="G157" s="387">
        <f t="shared" si="125"/>
        <v>396026</v>
      </c>
      <c r="H157" s="387">
        <f t="shared" si="125"/>
        <v>391377</v>
      </c>
      <c r="I157" s="387">
        <f t="shared" si="125"/>
        <v>385100</v>
      </c>
      <c r="J157" s="387">
        <f t="shared" si="125"/>
        <v>381430</v>
      </c>
      <c r="K157" s="387">
        <f>K158+K159+SUM(K161:K163)+SUM(K165:K169)+SUM(K171:K173)+SUM(K175:K177)+SUM(K179:K181)+SUM(K183:K186)+SUM(K188:K193)+SUM(K195:K200)+K202+K203</f>
        <v>396454</v>
      </c>
      <c r="L157" s="387">
        <f>L158+L159+SUM(L161:L163)+SUM(L165:L169)+SUM(L171:L173)+SUM(L175:L177)+SUM(L179:L181)+SUM(L183:L186)+SUM(L188:L193)+SUM(L195:L200)+L202+L203</f>
        <v>406654</v>
      </c>
    </row>
    <row r="158" spans="1:18">
      <c r="A158" s="384" t="s">
        <v>6957</v>
      </c>
      <c r="B158" s="384" t="s">
        <v>15955</v>
      </c>
      <c r="C158" s="4" t="s">
        <v>15954</v>
      </c>
      <c r="D158" s="396">
        <v>0</v>
      </c>
      <c r="E158" s="396">
        <v>0</v>
      </c>
      <c r="F158" s="396">
        <v>0</v>
      </c>
      <c r="G158" s="396">
        <v>0</v>
      </c>
      <c r="H158" s="48">
        <v>0</v>
      </c>
      <c r="I158" s="48">
        <v>0</v>
      </c>
      <c r="J158" s="48">
        <v>0</v>
      </c>
      <c r="K158" s="48">
        <v>382</v>
      </c>
      <c r="L158" s="48">
        <v>377</v>
      </c>
      <c r="N158" s="384" t="s">
        <v>1031</v>
      </c>
      <c r="P158" s="4"/>
      <c r="R158" s="4"/>
    </row>
    <row r="159" spans="1:18" ht="15.75" thickBot="1">
      <c r="A159" s="384"/>
      <c r="B159" s="384"/>
      <c r="C159" s="4" t="s">
        <v>15954</v>
      </c>
      <c r="D159" s="396">
        <v>0</v>
      </c>
      <c r="E159" s="396">
        <v>0</v>
      </c>
      <c r="F159" s="396">
        <v>0</v>
      </c>
      <c r="G159" s="396">
        <v>0</v>
      </c>
      <c r="H159" s="48">
        <v>0</v>
      </c>
      <c r="I159" s="48">
        <v>0</v>
      </c>
      <c r="J159" s="48">
        <v>0</v>
      </c>
      <c r="K159" s="48">
        <v>14173</v>
      </c>
      <c r="L159" s="48">
        <v>14200</v>
      </c>
      <c r="N159" s="384" t="s">
        <v>1032</v>
      </c>
      <c r="P159" s="4"/>
      <c r="R159" s="4"/>
    </row>
    <row r="160" spans="1:18" ht="15.75" thickBot="1">
      <c r="A160" s="384"/>
      <c r="B160" s="384"/>
      <c r="C160" s="4" t="s">
        <v>15954</v>
      </c>
      <c r="D160" s="394">
        <f>D158+D159</f>
        <v>0</v>
      </c>
      <c r="E160" s="394">
        <f t="shared" ref="E160:L160" si="126">E158+E159</f>
        <v>0</v>
      </c>
      <c r="F160" s="394">
        <f t="shared" si="126"/>
        <v>0</v>
      </c>
      <c r="G160" s="394">
        <f t="shared" si="126"/>
        <v>0</v>
      </c>
      <c r="H160" s="394">
        <f t="shared" si="126"/>
        <v>0</v>
      </c>
      <c r="I160" s="394">
        <f t="shared" si="126"/>
        <v>0</v>
      </c>
      <c r="J160" s="394">
        <f t="shared" si="126"/>
        <v>0</v>
      </c>
      <c r="K160" s="394">
        <f t="shared" si="126"/>
        <v>14555</v>
      </c>
      <c r="L160" s="394">
        <f t="shared" si="126"/>
        <v>14577</v>
      </c>
      <c r="N160" s="384"/>
      <c r="P160" s="4"/>
      <c r="R160" s="4"/>
    </row>
    <row r="161" spans="1:18">
      <c r="A161" s="384" t="s">
        <v>6959</v>
      </c>
      <c r="B161" s="384" t="s">
        <v>4841</v>
      </c>
      <c r="C161" s="4" t="s">
        <v>15956</v>
      </c>
      <c r="D161" s="387">
        <v>67559</v>
      </c>
      <c r="E161" s="387">
        <v>67792</v>
      </c>
      <c r="F161" s="387">
        <v>68196</v>
      </c>
      <c r="G161" s="387">
        <v>68718</v>
      </c>
      <c r="H161" s="48">
        <v>69002</v>
      </c>
      <c r="I161" s="48">
        <v>68537</v>
      </c>
      <c r="J161" s="48">
        <v>66987</v>
      </c>
      <c r="K161" s="48">
        <v>14093</v>
      </c>
      <c r="L161" s="48">
        <v>14117</v>
      </c>
      <c r="N161" s="384" t="s">
        <v>1033</v>
      </c>
      <c r="P161" s="4"/>
      <c r="R161" s="4"/>
    </row>
    <row r="162" spans="1:18">
      <c r="A162" s="384" t="s">
        <v>6961</v>
      </c>
      <c r="B162" s="384" t="s">
        <v>4842</v>
      </c>
      <c r="C162" s="4" t="s">
        <v>15957</v>
      </c>
      <c r="D162" s="396">
        <v>0</v>
      </c>
      <c r="E162" s="396">
        <v>0</v>
      </c>
      <c r="F162" s="396">
        <v>0</v>
      </c>
      <c r="G162" s="396">
        <v>0</v>
      </c>
      <c r="H162" s="48">
        <v>0</v>
      </c>
      <c r="I162" s="48">
        <v>0</v>
      </c>
      <c r="J162" s="48">
        <v>0</v>
      </c>
      <c r="K162" s="48">
        <v>967</v>
      </c>
      <c r="L162" s="48">
        <v>966</v>
      </c>
      <c r="N162" s="384" t="s">
        <v>1032</v>
      </c>
      <c r="P162" s="4"/>
      <c r="R162" s="4"/>
    </row>
    <row r="163" spans="1:18" ht="15.75" thickBot="1">
      <c r="A163" s="384"/>
      <c r="B163" s="384"/>
      <c r="C163" s="4" t="s">
        <v>15956</v>
      </c>
      <c r="D163" s="396">
        <v>0</v>
      </c>
      <c r="E163" s="396">
        <v>0</v>
      </c>
      <c r="F163" s="396">
        <v>0</v>
      </c>
      <c r="G163" s="396">
        <v>0</v>
      </c>
      <c r="H163" s="48">
        <v>0</v>
      </c>
      <c r="I163" s="48">
        <v>0</v>
      </c>
      <c r="J163" s="48">
        <v>0</v>
      </c>
      <c r="K163" s="48">
        <v>12249</v>
      </c>
      <c r="L163" s="48">
        <v>12428</v>
      </c>
      <c r="N163" s="384" t="s">
        <v>1033</v>
      </c>
      <c r="P163" s="4"/>
      <c r="R163" s="4"/>
    </row>
    <row r="164" spans="1:18" ht="15.75" thickBot="1">
      <c r="A164" s="384"/>
      <c r="B164" s="384"/>
      <c r="C164" s="4" t="s">
        <v>15957</v>
      </c>
      <c r="D164" s="394">
        <f>D162+D163</f>
        <v>0</v>
      </c>
      <c r="E164" s="394">
        <f t="shared" ref="E164:L164" si="127">E162+E163</f>
        <v>0</v>
      </c>
      <c r="F164" s="394">
        <f t="shared" si="127"/>
        <v>0</v>
      </c>
      <c r="G164" s="394">
        <f t="shared" si="127"/>
        <v>0</v>
      </c>
      <c r="H164" s="394">
        <f t="shared" si="127"/>
        <v>0</v>
      </c>
      <c r="I164" s="394">
        <f t="shared" si="127"/>
        <v>0</v>
      </c>
      <c r="J164" s="394">
        <f t="shared" si="127"/>
        <v>0</v>
      </c>
      <c r="K164" s="394">
        <f t="shared" si="127"/>
        <v>13216</v>
      </c>
      <c r="L164" s="394">
        <f t="shared" si="127"/>
        <v>13394</v>
      </c>
      <c r="N164" s="384"/>
      <c r="P164" s="4"/>
      <c r="R164" s="4"/>
    </row>
    <row r="165" spans="1:18">
      <c r="A165" s="384" t="s">
        <v>6963</v>
      </c>
      <c r="B165" s="384" t="s">
        <v>15959</v>
      </c>
      <c r="C165" s="4" t="s">
        <v>15958</v>
      </c>
      <c r="D165" s="387">
        <v>65515</v>
      </c>
      <c r="E165" s="387">
        <v>69975</v>
      </c>
      <c r="F165" s="387">
        <v>71652</v>
      </c>
      <c r="G165" s="387">
        <v>74020</v>
      </c>
      <c r="H165" s="48">
        <v>70842</v>
      </c>
      <c r="I165" s="48">
        <v>68091</v>
      </c>
      <c r="J165" s="48">
        <v>67917</v>
      </c>
      <c r="K165" s="48">
        <v>16674</v>
      </c>
      <c r="L165" s="48">
        <v>19497</v>
      </c>
      <c r="N165" s="384" t="s">
        <v>1030</v>
      </c>
      <c r="P165" s="4"/>
      <c r="R165" s="4"/>
    </row>
    <row r="166" spans="1:18">
      <c r="A166" s="384" t="s">
        <v>6965</v>
      </c>
      <c r="B166" s="384" t="s">
        <v>4843</v>
      </c>
      <c r="C166" s="4" t="s">
        <v>15960</v>
      </c>
      <c r="D166" s="387">
        <v>68194</v>
      </c>
      <c r="E166" s="387">
        <v>69206</v>
      </c>
      <c r="F166" s="387">
        <v>69954</v>
      </c>
      <c r="G166" s="387">
        <v>71442</v>
      </c>
      <c r="H166" s="48">
        <v>70422</v>
      </c>
      <c r="I166" s="48">
        <v>69679</v>
      </c>
      <c r="J166" s="48">
        <v>67717</v>
      </c>
      <c r="K166" s="48">
        <v>13648</v>
      </c>
      <c r="L166" s="48">
        <v>13986</v>
      </c>
      <c r="N166" s="384" t="s">
        <v>1029</v>
      </c>
      <c r="P166" s="4"/>
      <c r="R166" s="4"/>
    </row>
    <row r="167" spans="1:18">
      <c r="A167" s="384" t="s">
        <v>6997</v>
      </c>
      <c r="B167" s="384" t="s">
        <v>1590</v>
      </c>
      <c r="C167" s="4" t="s">
        <v>15961</v>
      </c>
      <c r="D167" s="387">
        <v>0</v>
      </c>
      <c r="E167" s="387">
        <v>0</v>
      </c>
      <c r="F167" s="387">
        <v>0</v>
      </c>
      <c r="G167" s="387">
        <v>0</v>
      </c>
      <c r="H167" s="48">
        <v>0</v>
      </c>
      <c r="I167" s="48">
        <v>0</v>
      </c>
      <c r="J167" s="48">
        <v>0</v>
      </c>
      <c r="K167" s="48">
        <v>7933</v>
      </c>
      <c r="L167" s="48">
        <v>9265</v>
      </c>
      <c r="N167" s="384" t="s">
        <v>1030</v>
      </c>
      <c r="P167" s="4"/>
      <c r="R167" s="4"/>
    </row>
    <row r="168" spans="1:18">
      <c r="A168" s="384" t="s">
        <v>6999</v>
      </c>
      <c r="B168" s="384" t="s">
        <v>15984</v>
      </c>
      <c r="C168" s="4" t="s">
        <v>15962</v>
      </c>
      <c r="D168" s="396">
        <v>0</v>
      </c>
      <c r="E168" s="396">
        <v>0</v>
      </c>
      <c r="F168" s="396">
        <v>0</v>
      </c>
      <c r="G168" s="396">
        <v>0</v>
      </c>
      <c r="H168" s="48">
        <v>0</v>
      </c>
      <c r="I168" s="48">
        <v>0</v>
      </c>
      <c r="J168" s="48">
        <v>0</v>
      </c>
      <c r="K168" s="48">
        <v>803</v>
      </c>
      <c r="L168" s="48">
        <v>920</v>
      </c>
      <c r="N168" s="384" t="s">
        <v>1030</v>
      </c>
      <c r="P168" s="4"/>
      <c r="R168" s="4"/>
    </row>
    <row r="169" spans="1:18" ht="15.75" thickBot="1">
      <c r="A169" s="384"/>
      <c r="B169" s="384"/>
      <c r="C169" s="4" t="s">
        <v>15962</v>
      </c>
      <c r="D169" s="396">
        <v>0</v>
      </c>
      <c r="E169" s="396">
        <v>0</v>
      </c>
      <c r="F169" s="396">
        <v>0</v>
      </c>
      <c r="G169" s="396">
        <v>0</v>
      </c>
      <c r="H169" s="48">
        <v>0</v>
      </c>
      <c r="I169" s="48">
        <v>0</v>
      </c>
      <c r="J169" s="48">
        <v>0</v>
      </c>
      <c r="K169" s="48">
        <v>13494</v>
      </c>
      <c r="L169" s="48">
        <v>15076</v>
      </c>
      <c r="N169" s="384" t="s">
        <v>1031</v>
      </c>
      <c r="P169" s="4"/>
      <c r="R169" s="4"/>
    </row>
    <row r="170" spans="1:18" ht="15.75" thickBot="1">
      <c r="A170" s="384"/>
      <c r="B170" s="384"/>
      <c r="C170" s="4" t="s">
        <v>15962</v>
      </c>
      <c r="D170" s="394">
        <f>D168+D169</f>
        <v>0</v>
      </c>
      <c r="E170" s="394">
        <f t="shared" ref="E170:L170" si="128">E168+E169</f>
        <v>0</v>
      </c>
      <c r="F170" s="394">
        <f t="shared" si="128"/>
        <v>0</v>
      </c>
      <c r="G170" s="394">
        <f t="shared" si="128"/>
        <v>0</v>
      </c>
      <c r="H170" s="394">
        <f t="shared" si="128"/>
        <v>0</v>
      </c>
      <c r="I170" s="394">
        <f t="shared" si="128"/>
        <v>0</v>
      </c>
      <c r="J170" s="394">
        <f t="shared" si="128"/>
        <v>0</v>
      </c>
      <c r="K170" s="394">
        <f t="shared" si="128"/>
        <v>14297</v>
      </c>
      <c r="L170" s="394">
        <f t="shared" si="128"/>
        <v>15996</v>
      </c>
      <c r="N170" s="384"/>
      <c r="P170" s="4"/>
      <c r="R170" s="4"/>
    </row>
    <row r="171" spans="1:18">
      <c r="A171" s="384" t="s">
        <v>7001</v>
      </c>
      <c r="B171" s="384" t="s">
        <v>4844</v>
      </c>
      <c r="C171" s="4" t="s">
        <v>15963</v>
      </c>
      <c r="D171" s="387">
        <v>0</v>
      </c>
      <c r="E171" s="387">
        <v>0</v>
      </c>
      <c r="F171" s="387">
        <v>0</v>
      </c>
      <c r="G171" s="387">
        <v>0</v>
      </c>
      <c r="H171" s="48">
        <v>0</v>
      </c>
      <c r="I171" s="48">
        <v>0</v>
      </c>
      <c r="J171" s="48">
        <v>0</v>
      </c>
      <c r="K171" s="48">
        <v>12882</v>
      </c>
      <c r="L171" s="48">
        <v>13359</v>
      </c>
      <c r="N171" s="384" t="s">
        <v>1033</v>
      </c>
      <c r="P171" s="4"/>
      <c r="R171" s="4"/>
    </row>
    <row r="172" spans="1:18">
      <c r="A172" s="384" t="s">
        <v>7003</v>
      </c>
      <c r="B172" s="384" t="s">
        <v>15985</v>
      </c>
      <c r="C172" s="4" t="s">
        <v>15964</v>
      </c>
      <c r="D172" s="396">
        <v>0</v>
      </c>
      <c r="E172" s="396">
        <v>0</v>
      </c>
      <c r="F172" s="396">
        <v>0</v>
      </c>
      <c r="G172" s="396">
        <v>0</v>
      </c>
      <c r="H172" s="48">
        <v>0</v>
      </c>
      <c r="I172" s="48">
        <v>0</v>
      </c>
      <c r="J172" s="48">
        <v>0</v>
      </c>
      <c r="K172" s="48">
        <v>14847</v>
      </c>
      <c r="L172" s="48">
        <v>15062</v>
      </c>
      <c r="N172" s="384" t="s">
        <v>1031</v>
      </c>
      <c r="P172" s="4"/>
      <c r="R172" s="4"/>
    </row>
    <row r="173" spans="1:18" ht="15.75" thickBot="1">
      <c r="A173" s="384"/>
      <c r="B173" s="384"/>
      <c r="C173" s="4" t="s">
        <v>15964</v>
      </c>
      <c r="D173" s="396">
        <v>0</v>
      </c>
      <c r="E173" s="396">
        <v>0</v>
      </c>
      <c r="F173" s="396">
        <v>0</v>
      </c>
      <c r="G173" s="396">
        <v>0</v>
      </c>
      <c r="H173" s="48">
        <v>0</v>
      </c>
      <c r="I173" s="48">
        <v>0</v>
      </c>
      <c r="J173" s="48">
        <v>0</v>
      </c>
      <c r="K173" s="48">
        <v>212</v>
      </c>
      <c r="L173" s="48">
        <v>217</v>
      </c>
      <c r="N173" s="384" t="s">
        <v>1032</v>
      </c>
      <c r="P173" s="4"/>
      <c r="R173" s="4"/>
    </row>
    <row r="174" spans="1:18" ht="15.75" thickBot="1">
      <c r="A174" s="384"/>
      <c r="B174" s="384"/>
      <c r="C174" s="4" t="s">
        <v>15964</v>
      </c>
      <c r="D174" s="394">
        <f>D172+D173</f>
        <v>0</v>
      </c>
      <c r="E174" s="394">
        <f t="shared" ref="E174:L174" si="129">E172+E173</f>
        <v>0</v>
      </c>
      <c r="F174" s="394">
        <f t="shared" si="129"/>
        <v>0</v>
      </c>
      <c r="G174" s="394">
        <f t="shared" si="129"/>
        <v>0</v>
      </c>
      <c r="H174" s="394">
        <f t="shared" si="129"/>
        <v>0</v>
      </c>
      <c r="I174" s="394">
        <f t="shared" si="129"/>
        <v>0</v>
      </c>
      <c r="J174" s="394">
        <f t="shared" si="129"/>
        <v>0</v>
      </c>
      <c r="K174" s="394">
        <f t="shared" si="129"/>
        <v>15059</v>
      </c>
      <c r="L174" s="394">
        <f t="shared" si="129"/>
        <v>15279</v>
      </c>
      <c r="N174" s="384"/>
      <c r="P174" s="4"/>
      <c r="R174" s="4"/>
    </row>
    <row r="175" spans="1:18">
      <c r="A175" s="384" t="s">
        <v>7005</v>
      </c>
      <c r="B175" s="384" t="s">
        <v>4845</v>
      </c>
      <c r="C175" s="4" t="s">
        <v>15965</v>
      </c>
      <c r="D175" s="387">
        <v>42775</v>
      </c>
      <c r="E175" s="387">
        <v>43075</v>
      </c>
      <c r="F175" s="387">
        <v>43191</v>
      </c>
      <c r="G175" s="387">
        <v>43505</v>
      </c>
      <c r="H175" s="48">
        <v>43169</v>
      </c>
      <c r="I175" s="48">
        <v>43012</v>
      </c>
      <c r="J175" s="48">
        <v>42537</v>
      </c>
      <c r="K175" s="48">
        <v>14615</v>
      </c>
      <c r="L175" s="48">
        <v>14650</v>
      </c>
      <c r="N175" s="384" t="s">
        <v>1024</v>
      </c>
      <c r="P175" s="4"/>
      <c r="R175" s="4"/>
    </row>
    <row r="176" spans="1:18">
      <c r="A176" s="384" t="s">
        <v>7007</v>
      </c>
      <c r="B176" s="384" t="s">
        <v>4846</v>
      </c>
      <c r="C176" s="4" t="s">
        <v>15967</v>
      </c>
      <c r="D176" s="396">
        <v>0</v>
      </c>
      <c r="E176" s="396">
        <v>0</v>
      </c>
      <c r="F176" s="396">
        <v>0</v>
      </c>
      <c r="G176" s="396">
        <v>0</v>
      </c>
      <c r="H176" s="48">
        <v>0</v>
      </c>
      <c r="I176" s="48">
        <v>0</v>
      </c>
      <c r="J176" s="48">
        <v>0</v>
      </c>
      <c r="K176" s="48">
        <v>2402</v>
      </c>
      <c r="L176" s="48">
        <v>2451</v>
      </c>
      <c r="N176" s="384" t="s">
        <v>1030</v>
      </c>
      <c r="P176" s="4"/>
      <c r="R176" s="4"/>
    </row>
    <row r="177" spans="1:18" ht="15.75" thickBot="1">
      <c r="A177" s="384"/>
      <c r="B177" s="384"/>
      <c r="C177" s="4" t="s">
        <v>15967</v>
      </c>
      <c r="D177" s="396">
        <v>0</v>
      </c>
      <c r="E177" s="396">
        <v>0</v>
      </c>
      <c r="F177" s="396">
        <v>0</v>
      </c>
      <c r="G177" s="396">
        <v>0</v>
      </c>
      <c r="H177" s="48">
        <v>0</v>
      </c>
      <c r="I177" s="48">
        <v>0</v>
      </c>
      <c r="J177" s="48">
        <v>0</v>
      </c>
      <c r="K177" s="48">
        <v>13744</v>
      </c>
      <c r="L177" s="48">
        <v>13949</v>
      </c>
      <c r="N177" s="384" t="s">
        <v>1031</v>
      </c>
      <c r="P177" s="4"/>
      <c r="R177" s="4"/>
    </row>
    <row r="178" spans="1:18" ht="15.75" thickBot="1">
      <c r="A178" s="384"/>
      <c r="B178" s="384"/>
      <c r="C178" s="4" t="s">
        <v>15967</v>
      </c>
      <c r="D178" s="394">
        <f>D176+D177</f>
        <v>0</v>
      </c>
      <c r="E178" s="394">
        <f t="shared" ref="E178:L178" si="130">E176+E177</f>
        <v>0</v>
      </c>
      <c r="F178" s="394">
        <f t="shared" si="130"/>
        <v>0</v>
      </c>
      <c r="G178" s="394">
        <f t="shared" si="130"/>
        <v>0</v>
      </c>
      <c r="H178" s="394">
        <f t="shared" si="130"/>
        <v>0</v>
      </c>
      <c r="I178" s="394">
        <f t="shared" si="130"/>
        <v>0</v>
      </c>
      <c r="J178" s="394">
        <f t="shared" si="130"/>
        <v>0</v>
      </c>
      <c r="K178" s="394">
        <f t="shared" si="130"/>
        <v>16146</v>
      </c>
      <c r="L178" s="394">
        <f t="shared" si="130"/>
        <v>16400</v>
      </c>
      <c r="N178" s="384"/>
      <c r="P178" s="4"/>
      <c r="R178" s="4"/>
    </row>
    <row r="179" spans="1:18">
      <c r="A179" s="384" t="s">
        <v>7009</v>
      </c>
      <c r="B179" s="384" t="s">
        <v>4847</v>
      </c>
      <c r="C179" s="4" t="s">
        <v>15966</v>
      </c>
      <c r="D179" s="387">
        <v>0</v>
      </c>
      <c r="E179" s="387">
        <v>0</v>
      </c>
      <c r="F179" s="387">
        <v>0</v>
      </c>
      <c r="G179" s="387">
        <v>0</v>
      </c>
      <c r="H179" s="48">
        <v>0</v>
      </c>
      <c r="I179" s="48">
        <v>0</v>
      </c>
      <c r="J179" s="48">
        <v>0</v>
      </c>
      <c r="K179" s="48">
        <v>14167</v>
      </c>
      <c r="L179" s="48">
        <v>14562</v>
      </c>
      <c r="N179" s="384" t="s">
        <v>1029</v>
      </c>
      <c r="P179" s="4"/>
      <c r="R179" s="4"/>
    </row>
    <row r="180" spans="1:18">
      <c r="A180" s="384" t="s">
        <v>7011</v>
      </c>
      <c r="B180" s="384" t="s">
        <v>3158</v>
      </c>
      <c r="C180" s="4" t="s">
        <v>15968</v>
      </c>
      <c r="D180" s="396">
        <v>0</v>
      </c>
      <c r="E180" s="396">
        <v>0</v>
      </c>
      <c r="F180" s="396">
        <v>0</v>
      </c>
      <c r="G180" s="396">
        <v>0</v>
      </c>
      <c r="H180" s="48">
        <v>0</v>
      </c>
      <c r="I180" s="48">
        <v>0</v>
      </c>
      <c r="J180" s="48">
        <v>0</v>
      </c>
      <c r="K180" s="48">
        <v>119</v>
      </c>
      <c r="L180" s="48">
        <v>131</v>
      </c>
      <c r="N180" s="384" t="s">
        <v>1030</v>
      </c>
      <c r="P180" s="4"/>
      <c r="R180" s="4"/>
    </row>
    <row r="181" spans="1:18" ht="15.75" thickBot="1">
      <c r="A181" s="384"/>
      <c r="B181" s="384"/>
      <c r="C181" s="4" t="s">
        <v>15968</v>
      </c>
      <c r="D181" s="396">
        <v>0</v>
      </c>
      <c r="E181" s="396">
        <v>0</v>
      </c>
      <c r="F181" s="396">
        <v>0</v>
      </c>
      <c r="G181" s="396">
        <v>0</v>
      </c>
      <c r="H181" s="48">
        <v>0</v>
      </c>
      <c r="I181" s="48">
        <v>0</v>
      </c>
      <c r="J181" s="48">
        <v>0</v>
      </c>
      <c r="K181" s="48">
        <v>15451</v>
      </c>
      <c r="L181" s="48">
        <v>15175</v>
      </c>
      <c r="N181" s="384" t="s">
        <v>1031</v>
      </c>
      <c r="P181" s="4"/>
      <c r="R181" s="4"/>
    </row>
    <row r="182" spans="1:18" ht="15.75" thickBot="1">
      <c r="A182" s="384"/>
      <c r="B182" s="384"/>
      <c r="C182" s="4" t="s">
        <v>15968</v>
      </c>
      <c r="D182" s="394">
        <f>D180+D181</f>
        <v>0</v>
      </c>
      <c r="E182" s="394">
        <f t="shared" ref="E182:L182" si="131">E180+E181</f>
        <v>0</v>
      </c>
      <c r="F182" s="394">
        <f t="shared" si="131"/>
        <v>0</v>
      </c>
      <c r="G182" s="394">
        <f t="shared" si="131"/>
        <v>0</v>
      </c>
      <c r="H182" s="394">
        <f t="shared" si="131"/>
        <v>0</v>
      </c>
      <c r="I182" s="394">
        <f t="shared" si="131"/>
        <v>0</v>
      </c>
      <c r="J182" s="394">
        <f t="shared" si="131"/>
        <v>0</v>
      </c>
      <c r="K182" s="394">
        <f t="shared" si="131"/>
        <v>15570</v>
      </c>
      <c r="L182" s="394">
        <f t="shared" si="131"/>
        <v>15306</v>
      </c>
      <c r="N182" s="384"/>
      <c r="P182" s="4"/>
      <c r="R182" s="4"/>
    </row>
    <row r="183" spans="1:18">
      <c r="A183" s="384" t="s">
        <v>7013</v>
      </c>
      <c r="B183" s="384" t="s">
        <v>3159</v>
      </c>
      <c r="C183" s="4" t="s">
        <v>15969</v>
      </c>
      <c r="D183" s="387">
        <v>65904</v>
      </c>
      <c r="E183" s="387">
        <v>66432</v>
      </c>
      <c r="F183" s="387">
        <v>67068</v>
      </c>
      <c r="G183" s="387">
        <v>67911</v>
      </c>
      <c r="H183" s="48">
        <v>67646</v>
      </c>
      <c r="I183" s="48">
        <v>66987</v>
      </c>
      <c r="J183" s="48">
        <v>65857</v>
      </c>
      <c r="K183" s="48">
        <v>13832</v>
      </c>
      <c r="L183" s="48">
        <v>13985</v>
      </c>
      <c r="N183" s="384" t="s">
        <v>1032</v>
      </c>
      <c r="P183" s="4"/>
      <c r="R183" s="4"/>
    </row>
    <row r="184" spans="1:18">
      <c r="A184" s="384" t="s">
        <v>7015</v>
      </c>
      <c r="B184" s="384" t="s">
        <v>3160</v>
      </c>
      <c r="C184" s="4" t="s">
        <v>15970</v>
      </c>
      <c r="D184" s="387">
        <v>0</v>
      </c>
      <c r="E184" s="387">
        <v>0</v>
      </c>
      <c r="F184" s="387">
        <v>0</v>
      </c>
      <c r="G184" s="387">
        <v>0</v>
      </c>
      <c r="H184" s="48">
        <v>0</v>
      </c>
      <c r="I184" s="48">
        <v>0</v>
      </c>
      <c r="J184" s="48">
        <v>0</v>
      </c>
      <c r="K184" s="48">
        <v>13591</v>
      </c>
      <c r="L184" s="48">
        <v>13733</v>
      </c>
      <c r="N184" s="384" t="s">
        <v>1032</v>
      </c>
      <c r="P184" s="4"/>
      <c r="R184" s="4"/>
    </row>
    <row r="185" spans="1:18">
      <c r="A185" s="384" t="s">
        <v>7017</v>
      </c>
      <c r="B185" s="384" t="s">
        <v>2085</v>
      </c>
      <c r="C185" s="4" t="s">
        <v>15971</v>
      </c>
      <c r="D185" s="396">
        <v>0</v>
      </c>
      <c r="E185" s="396">
        <v>0</v>
      </c>
      <c r="F185" s="396">
        <v>0</v>
      </c>
      <c r="G185" s="396">
        <v>0</v>
      </c>
      <c r="H185" s="48">
        <v>0</v>
      </c>
      <c r="I185" s="48">
        <v>0</v>
      </c>
      <c r="J185" s="48">
        <v>0</v>
      </c>
      <c r="K185" s="48">
        <v>14135</v>
      </c>
      <c r="L185" s="48">
        <v>14332</v>
      </c>
      <c r="N185" s="384" t="s">
        <v>1029</v>
      </c>
      <c r="P185" s="4"/>
      <c r="R185" s="4"/>
    </row>
    <row r="186" spans="1:18" ht="15.75" thickBot="1">
      <c r="A186" s="384"/>
      <c r="B186" s="384"/>
      <c r="C186" s="4" t="s">
        <v>15971</v>
      </c>
      <c r="D186" s="396">
        <v>0</v>
      </c>
      <c r="E186" s="396">
        <v>0</v>
      </c>
      <c r="F186" s="396">
        <v>0</v>
      </c>
      <c r="G186" s="396">
        <v>0</v>
      </c>
      <c r="H186" s="48">
        <v>0</v>
      </c>
      <c r="I186" s="48">
        <v>0</v>
      </c>
      <c r="J186" s="48">
        <v>0</v>
      </c>
      <c r="K186" s="48">
        <v>807</v>
      </c>
      <c r="L186" s="48">
        <v>881</v>
      </c>
      <c r="N186" s="384" t="s">
        <v>1030</v>
      </c>
      <c r="P186" s="4"/>
      <c r="R186" s="4"/>
    </row>
    <row r="187" spans="1:18" ht="15.75" thickBot="1">
      <c r="A187" s="384"/>
      <c r="B187" s="384"/>
      <c r="C187" s="4" t="s">
        <v>15971</v>
      </c>
      <c r="D187" s="394">
        <f>D185+D186</f>
        <v>0</v>
      </c>
      <c r="E187" s="394">
        <f t="shared" ref="E187:L187" si="132">E185+E186</f>
        <v>0</v>
      </c>
      <c r="F187" s="394">
        <f t="shared" si="132"/>
        <v>0</v>
      </c>
      <c r="G187" s="394">
        <f t="shared" si="132"/>
        <v>0</v>
      </c>
      <c r="H187" s="394">
        <f t="shared" si="132"/>
        <v>0</v>
      </c>
      <c r="I187" s="394">
        <f t="shared" si="132"/>
        <v>0</v>
      </c>
      <c r="J187" s="394">
        <f t="shared" si="132"/>
        <v>0</v>
      </c>
      <c r="K187" s="394">
        <f t="shared" si="132"/>
        <v>14942</v>
      </c>
      <c r="L187" s="394">
        <f t="shared" si="132"/>
        <v>15213</v>
      </c>
      <c r="N187" s="384"/>
      <c r="P187" s="4"/>
      <c r="R187" s="4"/>
    </row>
    <row r="188" spans="1:18">
      <c r="A188" s="384" t="s">
        <v>7019</v>
      </c>
      <c r="B188" s="384" t="s">
        <v>2086</v>
      </c>
      <c r="C188" s="4" t="s">
        <v>15972</v>
      </c>
      <c r="D188" s="387">
        <v>0</v>
      </c>
      <c r="E188" s="387">
        <v>0</v>
      </c>
      <c r="F188" s="387">
        <v>0</v>
      </c>
      <c r="G188" s="387">
        <v>0</v>
      </c>
      <c r="H188" s="48">
        <v>0</v>
      </c>
      <c r="I188" s="48">
        <v>0</v>
      </c>
      <c r="J188" s="48">
        <v>0</v>
      </c>
      <c r="K188" s="48">
        <v>13209</v>
      </c>
      <c r="L188" s="48">
        <v>13557</v>
      </c>
      <c r="N188" s="384" t="s">
        <v>1030</v>
      </c>
      <c r="P188" s="4"/>
      <c r="R188" s="4"/>
    </row>
    <row r="189" spans="1:18">
      <c r="A189" s="384" t="s">
        <v>7021</v>
      </c>
      <c r="B189" s="384" t="s">
        <v>2087</v>
      </c>
      <c r="C189" s="4" t="s">
        <v>15973</v>
      </c>
      <c r="D189" s="396">
        <v>0</v>
      </c>
      <c r="E189" s="396">
        <v>0</v>
      </c>
      <c r="F189" s="396">
        <v>0</v>
      </c>
      <c r="G189" s="396">
        <v>0</v>
      </c>
      <c r="H189" s="48">
        <v>0</v>
      </c>
      <c r="I189" s="48">
        <v>0</v>
      </c>
      <c r="J189" s="48">
        <v>0</v>
      </c>
      <c r="K189" s="48">
        <v>13728</v>
      </c>
      <c r="L189" s="48">
        <v>13906</v>
      </c>
      <c r="N189" s="384" t="s">
        <v>1033</v>
      </c>
      <c r="P189" s="4"/>
      <c r="R189" s="4"/>
    </row>
    <row r="190" spans="1:18">
      <c r="A190" s="384" t="s">
        <v>7023</v>
      </c>
      <c r="B190" s="384" t="s">
        <v>15986</v>
      </c>
      <c r="C190" s="4" t="s">
        <v>15974</v>
      </c>
      <c r="D190" s="387">
        <v>0</v>
      </c>
      <c r="E190" s="387">
        <v>0</v>
      </c>
      <c r="F190" s="387">
        <v>0</v>
      </c>
      <c r="G190" s="387">
        <v>0</v>
      </c>
      <c r="H190" s="48">
        <v>0</v>
      </c>
      <c r="I190" s="48">
        <v>0</v>
      </c>
      <c r="J190" s="48">
        <v>0</v>
      </c>
      <c r="K190" s="48">
        <v>14691</v>
      </c>
      <c r="L190" s="48">
        <v>15525</v>
      </c>
      <c r="N190" s="384" t="s">
        <v>1030</v>
      </c>
      <c r="P190" s="4"/>
      <c r="R190" s="4"/>
    </row>
    <row r="191" spans="1:18">
      <c r="A191" s="384" t="s">
        <v>7025</v>
      </c>
      <c r="B191" s="384" t="s">
        <v>15987</v>
      </c>
      <c r="C191" s="4" t="s">
        <v>15975</v>
      </c>
      <c r="D191" s="387">
        <v>0</v>
      </c>
      <c r="E191" s="387">
        <v>0</v>
      </c>
      <c r="F191" s="387">
        <v>0</v>
      </c>
      <c r="G191" s="387">
        <v>0</v>
      </c>
      <c r="H191" s="48">
        <v>0</v>
      </c>
      <c r="I191" s="48">
        <v>0</v>
      </c>
      <c r="J191" s="48">
        <v>0</v>
      </c>
      <c r="K191" s="48">
        <v>12753</v>
      </c>
      <c r="L191" s="48">
        <v>12872</v>
      </c>
      <c r="N191" s="384" t="s">
        <v>1032</v>
      </c>
      <c r="P191" s="4"/>
      <c r="R191" s="4"/>
    </row>
    <row r="192" spans="1:18">
      <c r="A192" s="384" t="s">
        <v>7570</v>
      </c>
      <c r="B192" s="384" t="s">
        <v>2088</v>
      </c>
      <c r="C192" s="4" t="s">
        <v>15976</v>
      </c>
      <c r="D192" s="387">
        <v>0</v>
      </c>
      <c r="E192" s="387">
        <v>0</v>
      </c>
      <c r="F192" s="387">
        <v>0</v>
      </c>
      <c r="G192" s="387">
        <v>0</v>
      </c>
      <c r="H192" s="48">
        <v>0</v>
      </c>
      <c r="I192" s="48">
        <v>0</v>
      </c>
      <c r="J192" s="48">
        <v>0</v>
      </c>
      <c r="K192" s="48">
        <v>12465</v>
      </c>
      <c r="L192" s="48">
        <v>12421</v>
      </c>
      <c r="N192" s="384" t="s">
        <v>1032</v>
      </c>
      <c r="P192" s="4"/>
      <c r="R192" s="4"/>
    </row>
    <row r="193" spans="1:18" ht="15.75" thickBot="1">
      <c r="A193" s="384"/>
      <c r="B193" s="384"/>
      <c r="C193" s="4" t="s">
        <v>15976</v>
      </c>
      <c r="D193" s="396">
        <v>0</v>
      </c>
      <c r="E193" s="396">
        <v>0</v>
      </c>
      <c r="F193" s="396">
        <v>0</v>
      </c>
      <c r="G193" s="396">
        <v>0</v>
      </c>
      <c r="H193" s="48">
        <v>0</v>
      </c>
      <c r="I193" s="48">
        <v>0</v>
      </c>
      <c r="J193" s="48">
        <v>0</v>
      </c>
      <c r="K193" s="48">
        <v>2385</v>
      </c>
      <c r="L193" s="48">
        <v>2404</v>
      </c>
      <c r="N193" s="384" t="s">
        <v>1033</v>
      </c>
      <c r="P193" s="4"/>
      <c r="R193" s="4"/>
    </row>
    <row r="194" spans="1:18" ht="15.75" thickBot="1">
      <c r="A194" s="384"/>
      <c r="B194" s="384"/>
      <c r="C194" s="4" t="s">
        <v>15976</v>
      </c>
      <c r="D194" s="394">
        <f>D192+D193</f>
        <v>0</v>
      </c>
      <c r="E194" s="394">
        <f t="shared" ref="E194:L194" si="133">E192+E193</f>
        <v>0</v>
      </c>
      <c r="F194" s="394">
        <f t="shared" si="133"/>
        <v>0</v>
      </c>
      <c r="G194" s="394">
        <f t="shared" si="133"/>
        <v>0</v>
      </c>
      <c r="H194" s="394">
        <f t="shared" si="133"/>
        <v>0</v>
      </c>
      <c r="I194" s="394">
        <f t="shared" si="133"/>
        <v>0</v>
      </c>
      <c r="J194" s="394">
        <f t="shared" si="133"/>
        <v>0</v>
      </c>
      <c r="K194" s="394">
        <f t="shared" si="133"/>
        <v>14850</v>
      </c>
      <c r="L194" s="394">
        <f t="shared" si="133"/>
        <v>14825</v>
      </c>
      <c r="N194" s="384"/>
      <c r="P194" s="4"/>
      <c r="R194" s="4"/>
    </row>
    <row r="195" spans="1:18">
      <c r="A195" s="384" t="s">
        <v>7572</v>
      </c>
      <c r="B195" s="384" t="s">
        <v>15988</v>
      </c>
      <c r="C195" s="4" t="s">
        <v>15977</v>
      </c>
      <c r="D195" s="388">
        <v>0</v>
      </c>
      <c r="E195" s="388">
        <v>0</v>
      </c>
      <c r="F195" s="388">
        <v>0</v>
      </c>
      <c r="G195" s="388">
        <v>0</v>
      </c>
      <c r="H195" s="48">
        <v>0</v>
      </c>
      <c r="I195" s="48">
        <v>0</v>
      </c>
      <c r="J195" s="48">
        <v>0</v>
      </c>
      <c r="K195" s="48">
        <v>14004</v>
      </c>
      <c r="L195" s="48">
        <v>14226</v>
      </c>
      <c r="N195" s="384" t="s">
        <v>1029</v>
      </c>
      <c r="P195" s="4"/>
      <c r="R195" s="4"/>
    </row>
    <row r="196" spans="1:18">
      <c r="A196" s="384" t="s">
        <v>7573</v>
      </c>
      <c r="B196" s="384" t="s">
        <v>2089</v>
      </c>
      <c r="C196" s="4" t="s">
        <v>15978</v>
      </c>
      <c r="D196" s="388">
        <v>0</v>
      </c>
      <c r="E196" s="388">
        <v>0</v>
      </c>
      <c r="F196" s="388">
        <v>0</v>
      </c>
      <c r="G196" s="388">
        <v>0</v>
      </c>
      <c r="H196" s="48">
        <v>0</v>
      </c>
      <c r="I196" s="48">
        <v>0</v>
      </c>
      <c r="J196" s="48">
        <v>0</v>
      </c>
      <c r="K196" s="48">
        <v>14141</v>
      </c>
      <c r="L196" s="48">
        <v>14253</v>
      </c>
      <c r="N196" s="384" t="s">
        <v>1029</v>
      </c>
      <c r="P196" s="4"/>
      <c r="R196" s="4"/>
    </row>
    <row r="197" spans="1:18">
      <c r="A197" s="384" t="s">
        <v>5798</v>
      </c>
      <c r="B197" s="384" t="s">
        <v>2090</v>
      </c>
      <c r="C197" s="4" t="s">
        <v>15979</v>
      </c>
      <c r="D197" s="388">
        <v>68863</v>
      </c>
      <c r="E197" s="388">
        <v>70032</v>
      </c>
      <c r="F197" s="388">
        <v>69795</v>
      </c>
      <c r="G197" s="388">
        <v>70430</v>
      </c>
      <c r="H197" s="48">
        <v>70296</v>
      </c>
      <c r="I197" s="48">
        <v>68794</v>
      </c>
      <c r="J197" s="48">
        <v>70415</v>
      </c>
      <c r="K197" s="48">
        <v>14899</v>
      </c>
      <c r="L197" s="48">
        <v>14980</v>
      </c>
      <c r="N197" s="384" t="s">
        <v>1031</v>
      </c>
      <c r="P197" s="4"/>
      <c r="R197" s="4"/>
    </row>
    <row r="198" spans="1:18">
      <c r="A198" s="384" t="s">
        <v>5799</v>
      </c>
      <c r="B198" s="384" t="s">
        <v>15989</v>
      </c>
      <c r="C198" s="4" t="s">
        <v>15980</v>
      </c>
      <c r="D198" s="388">
        <v>0</v>
      </c>
      <c r="E198" s="388">
        <v>0</v>
      </c>
      <c r="F198" s="388">
        <v>0</v>
      </c>
      <c r="G198" s="388">
        <v>0</v>
      </c>
      <c r="H198" s="48">
        <v>0</v>
      </c>
      <c r="I198" s="48">
        <v>0</v>
      </c>
      <c r="J198" s="48">
        <v>0</v>
      </c>
      <c r="K198" s="48">
        <v>14818</v>
      </c>
      <c r="L198" s="48">
        <v>14988</v>
      </c>
      <c r="N198" s="384" t="s">
        <v>1024</v>
      </c>
      <c r="P198" s="4"/>
      <c r="R198" s="4"/>
    </row>
    <row r="199" spans="1:18">
      <c r="A199" s="384" t="s">
        <v>5801</v>
      </c>
      <c r="B199" s="384" t="s">
        <v>2091</v>
      </c>
      <c r="C199" s="4" t="s">
        <v>15981</v>
      </c>
      <c r="D199" s="387">
        <v>0</v>
      </c>
      <c r="E199" s="387">
        <v>0</v>
      </c>
      <c r="F199" s="387">
        <v>0</v>
      </c>
      <c r="G199" s="387">
        <v>0</v>
      </c>
      <c r="H199" s="48">
        <v>0</v>
      </c>
      <c r="I199" s="48">
        <v>0</v>
      </c>
      <c r="J199" s="48">
        <v>0</v>
      </c>
      <c r="K199" s="48">
        <v>16065</v>
      </c>
      <c r="L199" s="48">
        <v>16263</v>
      </c>
      <c r="N199" s="384" t="s">
        <v>1030</v>
      </c>
      <c r="P199" s="4"/>
      <c r="R199" s="4"/>
    </row>
    <row r="200" spans="1:18" ht="15.75" thickBot="1">
      <c r="A200" s="384"/>
      <c r="B200" s="384"/>
      <c r="C200" s="4" t="s">
        <v>15981</v>
      </c>
      <c r="D200" s="396">
        <v>0</v>
      </c>
      <c r="E200" s="396">
        <v>0</v>
      </c>
      <c r="F200" s="396">
        <v>0</v>
      </c>
      <c r="G200" s="396">
        <v>0</v>
      </c>
      <c r="H200" s="48">
        <v>0</v>
      </c>
      <c r="I200" s="48">
        <v>0</v>
      </c>
      <c r="J200" s="48">
        <v>0</v>
      </c>
      <c r="K200" s="48">
        <v>4</v>
      </c>
      <c r="L200" s="48">
        <v>7</v>
      </c>
      <c r="N200" s="384" t="s">
        <v>1031</v>
      </c>
      <c r="P200" s="4"/>
      <c r="R200" s="4"/>
    </row>
    <row r="201" spans="1:18" ht="15.75" thickBot="1">
      <c r="A201" s="384"/>
      <c r="B201" s="384"/>
      <c r="C201" s="4" t="s">
        <v>15981</v>
      </c>
      <c r="D201" s="394">
        <f>D199+D200</f>
        <v>0</v>
      </c>
      <c r="E201" s="394">
        <f t="shared" ref="E201:L201" si="134">E199+E200</f>
        <v>0</v>
      </c>
      <c r="F201" s="394">
        <f t="shared" si="134"/>
        <v>0</v>
      </c>
      <c r="G201" s="394">
        <f t="shared" si="134"/>
        <v>0</v>
      </c>
      <c r="H201" s="394">
        <f t="shared" si="134"/>
        <v>0</v>
      </c>
      <c r="I201" s="394">
        <f t="shared" si="134"/>
        <v>0</v>
      </c>
      <c r="J201" s="394">
        <f t="shared" si="134"/>
        <v>0</v>
      </c>
      <c r="K201" s="394">
        <f t="shared" si="134"/>
        <v>16069</v>
      </c>
      <c r="L201" s="394">
        <f t="shared" si="134"/>
        <v>16270</v>
      </c>
      <c r="N201" s="384"/>
      <c r="P201" s="4"/>
      <c r="R201" s="4"/>
    </row>
    <row r="202" spans="1:18">
      <c r="A202" s="384" t="s">
        <v>5927</v>
      </c>
      <c r="B202" s="384" t="s">
        <v>2092</v>
      </c>
      <c r="C202" s="4" t="s">
        <v>15982</v>
      </c>
      <c r="D202" s="388">
        <v>0</v>
      </c>
      <c r="E202" s="388">
        <v>0</v>
      </c>
      <c r="F202" s="388">
        <v>0</v>
      </c>
      <c r="G202" s="388">
        <v>0</v>
      </c>
      <c r="H202" s="48">
        <v>0</v>
      </c>
      <c r="I202" s="48">
        <v>0</v>
      </c>
      <c r="J202" s="48">
        <v>0</v>
      </c>
      <c r="K202" s="48">
        <v>14370</v>
      </c>
      <c r="L202" s="48">
        <v>14363</v>
      </c>
      <c r="N202" s="384" t="s">
        <v>1024</v>
      </c>
      <c r="P202" s="4"/>
      <c r="R202" s="4"/>
    </row>
    <row r="203" spans="1:18">
      <c r="A203" s="384" t="s">
        <v>5929</v>
      </c>
      <c r="B203" s="384" t="s">
        <v>7027</v>
      </c>
      <c r="C203" s="4" t="s">
        <v>15983</v>
      </c>
      <c r="D203" s="388">
        <v>0</v>
      </c>
      <c r="E203" s="388">
        <v>0</v>
      </c>
      <c r="F203" s="388">
        <v>0</v>
      </c>
      <c r="G203" s="388">
        <v>0</v>
      </c>
      <c r="H203" s="48">
        <v>0</v>
      </c>
      <c r="I203" s="48">
        <v>0</v>
      </c>
      <c r="J203" s="48">
        <v>0</v>
      </c>
      <c r="K203" s="48">
        <v>13702</v>
      </c>
      <c r="L203" s="48">
        <v>13570</v>
      </c>
      <c r="N203" s="384" t="s">
        <v>1033</v>
      </c>
      <c r="P203" s="4"/>
      <c r="R203" s="4"/>
    </row>
    <row r="204" spans="1:18">
      <c r="D204" s="388"/>
      <c r="E204" s="388"/>
      <c r="F204" s="388"/>
      <c r="G204" s="388"/>
      <c r="H204" s="388"/>
      <c r="I204" s="388"/>
      <c r="J204" s="388"/>
      <c r="K204" s="388"/>
      <c r="L204" s="388"/>
      <c r="P204" s="4"/>
    </row>
    <row r="205" spans="1:18">
      <c r="A205" s="384" t="s">
        <v>2093</v>
      </c>
      <c r="D205" s="387">
        <f t="shared" ref="D205:J205" si="135">D175+D198+D202</f>
        <v>42775</v>
      </c>
      <c r="E205" s="387">
        <f t="shared" si="135"/>
        <v>43075</v>
      </c>
      <c r="F205" s="387">
        <f t="shared" si="135"/>
        <v>43191</v>
      </c>
      <c r="G205" s="387">
        <f t="shared" si="135"/>
        <v>43505</v>
      </c>
      <c r="H205" s="387">
        <f t="shared" si="135"/>
        <v>43169</v>
      </c>
      <c r="I205" s="387">
        <f t="shared" si="135"/>
        <v>43012</v>
      </c>
      <c r="J205" s="387">
        <f t="shared" si="135"/>
        <v>42537</v>
      </c>
      <c r="K205" s="387">
        <f>K175+K198+K202</f>
        <v>43803</v>
      </c>
      <c r="L205" s="387">
        <f>L175+L198+L202</f>
        <v>44001</v>
      </c>
      <c r="P205" s="4"/>
    </row>
    <row r="206" spans="1:18">
      <c r="A206" s="384" t="s">
        <v>1029</v>
      </c>
      <c r="D206" s="387">
        <f t="shared" ref="D206:J206" si="136">D166+D179+D185+D195+D196</f>
        <v>68194</v>
      </c>
      <c r="E206" s="387">
        <f t="shared" si="136"/>
        <v>69206</v>
      </c>
      <c r="F206" s="387">
        <f t="shared" si="136"/>
        <v>69954</v>
      </c>
      <c r="G206" s="387">
        <f t="shared" si="136"/>
        <v>71442</v>
      </c>
      <c r="H206" s="387">
        <f t="shared" si="136"/>
        <v>70422</v>
      </c>
      <c r="I206" s="387">
        <f t="shared" si="136"/>
        <v>69679</v>
      </c>
      <c r="J206" s="387">
        <f t="shared" si="136"/>
        <v>67717</v>
      </c>
      <c r="K206" s="387">
        <f>K166+K179+K185+K195+K196</f>
        <v>70095</v>
      </c>
      <c r="L206" s="387">
        <f>L166+L179+L185+L195+L196</f>
        <v>71359</v>
      </c>
      <c r="P206" s="4"/>
    </row>
    <row r="207" spans="1:18">
      <c r="A207" s="384" t="s">
        <v>1030</v>
      </c>
      <c r="D207" s="387">
        <f t="shared" ref="D207:J207" si="137">D165+D167+D168+D176+D180+D186+D188+D190+D199</f>
        <v>65515</v>
      </c>
      <c r="E207" s="387">
        <f t="shared" si="137"/>
        <v>69975</v>
      </c>
      <c r="F207" s="387">
        <f t="shared" si="137"/>
        <v>71652</v>
      </c>
      <c r="G207" s="387">
        <f t="shared" si="137"/>
        <v>74020</v>
      </c>
      <c r="H207" s="387">
        <f t="shared" si="137"/>
        <v>70842</v>
      </c>
      <c r="I207" s="387">
        <f t="shared" si="137"/>
        <v>68091</v>
      </c>
      <c r="J207" s="387">
        <f t="shared" si="137"/>
        <v>67917</v>
      </c>
      <c r="K207" s="387">
        <f>K165+K167+K168+K176+K180+K186+K188+K190+K199</f>
        <v>72703</v>
      </c>
      <c r="L207" s="387">
        <f>L165+L167+L168+L176+L180+L186+L188+L190+L199</f>
        <v>78490</v>
      </c>
      <c r="P207" s="4"/>
    </row>
    <row r="208" spans="1:18">
      <c r="A208" s="384" t="s">
        <v>1031</v>
      </c>
      <c r="D208" s="387">
        <f t="shared" ref="D208:J208" si="138">D158+D169+D172+D177+D181+D197+D200</f>
        <v>68863</v>
      </c>
      <c r="E208" s="387">
        <f t="shared" si="138"/>
        <v>70032</v>
      </c>
      <c r="F208" s="387">
        <f t="shared" si="138"/>
        <v>69795</v>
      </c>
      <c r="G208" s="387">
        <f t="shared" si="138"/>
        <v>70430</v>
      </c>
      <c r="H208" s="387">
        <f t="shared" si="138"/>
        <v>70296</v>
      </c>
      <c r="I208" s="387">
        <f t="shared" si="138"/>
        <v>68794</v>
      </c>
      <c r="J208" s="387">
        <f t="shared" si="138"/>
        <v>70415</v>
      </c>
      <c r="K208" s="387">
        <f>K158+K169+K172+K177+K181+K197+K200</f>
        <v>72821</v>
      </c>
      <c r="L208" s="387">
        <f>L158+L169+L172+L177+L181+L197+L200</f>
        <v>74626</v>
      </c>
      <c r="P208" s="4"/>
    </row>
    <row r="209" spans="1:16">
      <c r="A209" s="384" t="s">
        <v>1032</v>
      </c>
      <c r="D209" s="387">
        <f t="shared" ref="D209:J209" si="139">D159+D162+D173+D183+D184+D191+D192</f>
        <v>65904</v>
      </c>
      <c r="E209" s="387">
        <f t="shared" si="139"/>
        <v>66432</v>
      </c>
      <c r="F209" s="387">
        <f t="shared" si="139"/>
        <v>67068</v>
      </c>
      <c r="G209" s="387">
        <f t="shared" si="139"/>
        <v>67911</v>
      </c>
      <c r="H209" s="387">
        <f t="shared" si="139"/>
        <v>67646</v>
      </c>
      <c r="I209" s="387">
        <f t="shared" si="139"/>
        <v>66987</v>
      </c>
      <c r="J209" s="387">
        <f t="shared" si="139"/>
        <v>65857</v>
      </c>
      <c r="K209" s="387">
        <f>K159+K162+K173+K183+K184+K191+K192</f>
        <v>67993</v>
      </c>
      <c r="L209" s="387">
        <f>L159+L162+L173+L183+L184+L191+L192</f>
        <v>68394</v>
      </c>
      <c r="M209" s="387"/>
      <c r="P209" s="4"/>
    </row>
    <row r="210" spans="1:16">
      <c r="A210" s="384" t="s">
        <v>1033</v>
      </c>
      <c r="D210" s="387">
        <f t="shared" ref="D210:J210" si="140">D161+D163+D171+D189+D193+D203</f>
        <v>67559</v>
      </c>
      <c r="E210" s="387">
        <f t="shared" si="140"/>
        <v>67792</v>
      </c>
      <c r="F210" s="387">
        <f t="shared" si="140"/>
        <v>68196</v>
      </c>
      <c r="G210" s="387">
        <f t="shared" si="140"/>
        <v>68718</v>
      </c>
      <c r="H210" s="387">
        <f t="shared" si="140"/>
        <v>69002</v>
      </c>
      <c r="I210" s="387">
        <f t="shared" si="140"/>
        <v>68537</v>
      </c>
      <c r="J210" s="387">
        <f t="shared" si="140"/>
        <v>66987</v>
      </c>
      <c r="K210" s="387">
        <f>K161+K163+K171+K189+K193+K203</f>
        <v>69039</v>
      </c>
      <c r="L210" s="387">
        <f>L161+L163+L171+L189+L193+L203</f>
        <v>69784</v>
      </c>
      <c r="P210" s="4"/>
    </row>
    <row r="211" spans="1:16">
      <c r="P211" s="4"/>
    </row>
    <row r="212" spans="1:16">
      <c r="A212" s="385" t="s">
        <v>15990</v>
      </c>
      <c r="P212" s="4"/>
    </row>
  </sheetData>
  <sortState ref="O125:Q145">
    <sortCondition ref="O125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124:E124 D53:E53 D76:E79 D147:E149 D3:E9 F154:F156 F118:F124 F76:F85 F3:F9 F147:F152 G76:G79 G53:K53 G124:K124 G147:G149 G3:G9 D10:E48 F10:F53 G10:G48 H76:H79 H147:H149 H3:H9 H10:H48 I147:I149 I76:I79 I3:I48 D105:K105 D108:I108 D111:I111 D86:K86 D115:I117 J108:J111 J115:J117 J147:J149 J76:J79 J3:J48 D160:K160 D164:K164 D170:K170 D174:K174 D178:K178 D182:K182 D187:K187 D194:K194 D157:K157 D206:J206 K108 K111 K115:K117 K76:K79 K147:K149 D201:K201 D209:J210 D208:J208 D205:K205 K206 K208:K210 D207:K207 K3:K48 L3:L210" unlockedFormula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54"/>
  <sheetViews>
    <sheetView showGridLines="0" zoomScaleNormal="100" workbookViewId="0"/>
  </sheetViews>
  <sheetFormatPr defaultColWidth="12.5703125" defaultRowHeight="15"/>
  <cols>
    <col min="1" max="1" width="4.85546875" style="609" customWidth="1"/>
    <col min="2" max="2" width="40.7109375" style="609" customWidth="1"/>
    <col min="3" max="3" width="11.5703125" style="609" customWidth="1"/>
    <col min="4" max="12" width="9.85546875" style="609" customWidth="1"/>
    <col min="13" max="13" width="2.28515625" style="609" customWidth="1"/>
    <col min="14" max="14" width="37" style="609" customWidth="1"/>
    <col min="15" max="16384" width="12.5703125" style="609"/>
  </cols>
  <sheetData>
    <row r="1" spans="1:14">
      <c r="A1" s="608" t="s">
        <v>7342</v>
      </c>
      <c r="D1" s="610">
        <v>2010</v>
      </c>
      <c r="E1" s="610">
        <v>2011</v>
      </c>
      <c r="F1" s="610">
        <v>2012</v>
      </c>
      <c r="G1" s="610">
        <v>2013</v>
      </c>
      <c r="H1" s="610">
        <v>2014</v>
      </c>
      <c r="I1" s="610">
        <v>2015</v>
      </c>
      <c r="J1" s="610">
        <v>2016</v>
      </c>
      <c r="K1" s="610">
        <v>2017</v>
      </c>
      <c r="L1" s="610">
        <v>2018</v>
      </c>
    </row>
    <row r="3" spans="1:14">
      <c r="A3" s="608" t="s">
        <v>13</v>
      </c>
      <c r="D3" s="611">
        <f>SUM(D25:D45)</f>
        <v>177545</v>
      </c>
      <c r="E3" s="611">
        <f t="shared" ref="E3:L3" si="0">SUM(E25:E45)</f>
        <v>180837</v>
      </c>
      <c r="F3" s="611">
        <f t="shared" si="0"/>
        <v>182976</v>
      </c>
      <c r="G3" s="611">
        <f t="shared" si="0"/>
        <v>183568</v>
      </c>
      <c r="H3" s="611">
        <f t="shared" si="0"/>
        <v>185487</v>
      </c>
      <c r="I3" s="611">
        <f t="shared" si="0"/>
        <v>181157</v>
      </c>
      <c r="J3" s="611">
        <f t="shared" si="0"/>
        <v>186580</v>
      </c>
      <c r="K3" s="611">
        <f t="shared" si="0"/>
        <v>185715</v>
      </c>
      <c r="L3" s="611">
        <f t="shared" si="0"/>
        <v>192561</v>
      </c>
    </row>
    <row r="5" spans="1:14">
      <c r="A5" s="608" t="s">
        <v>7343</v>
      </c>
      <c r="D5" s="611">
        <f t="shared" ref="D5" si="1">D3/2</f>
        <v>88772.5</v>
      </c>
      <c r="E5" s="611">
        <f t="shared" ref="E5:L5" si="2">E3/2</f>
        <v>90418.5</v>
      </c>
      <c r="F5" s="611">
        <f t="shared" si="2"/>
        <v>91488</v>
      </c>
      <c r="G5" s="611">
        <f t="shared" si="2"/>
        <v>91784</v>
      </c>
      <c r="H5" s="611">
        <f t="shared" si="2"/>
        <v>92743.5</v>
      </c>
      <c r="I5" s="611">
        <f t="shared" si="2"/>
        <v>90578.5</v>
      </c>
      <c r="J5" s="611">
        <f t="shared" si="2"/>
        <v>93290</v>
      </c>
      <c r="K5" s="611">
        <f t="shared" si="2"/>
        <v>92857.5</v>
      </c>
      <c r="L5" s="611">
        <f t="shared" si="2"/>
        <v>96280.5</v>
      </c>
    </row>
    <row r="6" spans="1:14">
      <c r="D6" s="612"/>
      <c r="E6" s="612"/>
      <c r="F6" s="612"/>
      <c r="G6" s="612"/>
      <c r="H6" s="612"/>
      <c r="I6" s="612"/>
      <c r="J6" s="612"/>
      <c r="K6" s="612"/>
      <c r="L6" s="612"/>
    </row>
    <row r="7" spans="1:14">
      <c r="A7" s="608" t="s">
        <v>1110</v>
      </c>
      <c r="D7" s="611">
        <f>D27+D28+D31+D33+D35+D39+D40+D41+D43</f>
        <v>75838</v>
      </c>
      <c r="E7" s="611">
        <f t="shared" ref="E7:L7" si="3">E27+E28+E31+E33+E35+E39+E40+E41+E43</f>
        <v>77186</v>
      </c>
      <c r="F7" s="611">
        <f t="shared" si="3"/>
        <v>78459</v>
      </c>
      <c r="G7" s="611">
        <f t="shared" si="3"/>
        <v>79067</v>
      </c>
      <c r="H7" s="611">
        <f t="shared" si="3"/>
        <v>80467</v>
      </c>
      <c r="I7" s="611">
        <f t="shared" si="3"/>
        <v>78127</v>
      </c>
      <c r="J7" s="611">
        <f t="shared" si="3"/>
        <v>80174</v>
      </c>
      <c r="K7" s="611">
        <f t="shared" si="3"/>
        <v>80084</v>
      </c>
      <c r="L7" s="611">
        <f t="shared" si="3"/>
        <v>83643</v>
      </c>
      <c r="N7" s="608" t="s">
        <v>1107</v>
      </c>
    </row>
    <row r="8" spans="1:14">
      <c r="D8" s="612"/>
      <c r="E8" s="612"/>
      <c r="F8" s="612"/>
      <c r="G8" s="612"/>
      <c r="H8" s="612"/>
      <c r="I8" s="612"/>
      <c r="J8" s="612"/>
      <c r="K8" s="612"/>
      <c r="L8" s="612"/>
    </row>
    <row r="9" spans="1:14">
      <c r="A9" s="608" t="s">
        <v>1111</v>
      </c>
      <c r="D9" s="611">
        <f>D25+D26+D32+D34+D36+D37+D38+D42+D44</f>
        <v>76967</v>
      </c>
      <c r="E9" s="611">
        <f t="shared" ref="E9:L9" si="4">E25+E26+E32+E34+E36+E37+E38+E42+E44</f>
        <v>78605</v>
      </c>
      <c r="F9" s="611">
        <f t="shared" si="4"/>
        <v>79172</v>
      </c>
      <c r="G9" s="611">
        <f t="shared" si="4"/>
        <v>79260</v>
      </c>
      <c r="H9" s="611">
        <f t="shared" si="4"/>
        <v>79764</v>
      </c>
      <c r="I9" s="611">
        <f t="shared" si="4"/>
        <v>78081</v>
      </c>
      <c r="J9" s="611">
        <f t="shared" si="4"/>
        <v>80375</v>
      </c>
      <c r="K9" s="611">
        <f t="shared" si="4"/>
        <v>79947</v>
      </c>
      <c r="L9" s="611">
        <f t="shared" si="4"/>
        <v>82759</v>
      </c>
      <c r="N9" s="608" t="s">
        <v>1107</v>
      </c>
    </row>
    <row r="10" spans="1:14">
      <c r="D10" s="612"/>
      <c r="E10" s="612"/>
      <c r="F10" s="612"/>
      <c r="G10" s="612"/>
      <c r="H10" s="612"/>
      <c r="I10" s="612"/>
      <c r="J10" s="612"/>
      <c r="K10" s="612"/>
      <c r="L10" s="612"/>
    </row>
    <row r="11" spans="1:14">
      <c r="A11" s="608" t="s">
        <v>1105</v>
      </c>
      <c r="D11" s="611">
        <f>LAMBETH!D7</f>
        <v>46046</v>
      </c>
      <c r="E11" s="611">
        <f>LAMBETH!E7</f>
        <v>46477</v>
      </c>
      <c r="F11" s="611">
        <f>LAMBETH!F7</f>
        <v>46571</v>
      </c>
      <c r="G11" s="611">
        <f>LAMBETH!G7</f>
        <v>46651</v>
      </c>
      <c r="H11" s="611">
        <f>LAMBETH!H7</f>
        <v>47274</v>
      </c>
      <c r="I11" s="611">
        <f>LAMBETH!I7</f>
        <v>47294</v>
      </c>
      <c r="J11" s="611">
        <f>LAMBETH!J7</f>
        <v>46545</v>
      </c>
      <c r="K11" s="611">
        <f>LAMBETH!K7</f>
        <v>48087</v>
      </c>
      <c r="L11" s="611">
        <f>LAMBETH!L7</f>
        <v>48705</v>
      </c>
      <c r="N11" s="608" t="s">
        <v>1106</v>
      </c>
    </row>
    <row r="12" spans="1:14" ht="15.75" thickBot="1">
      <c r="D12" s="613">
        <f>D29+D30+D45</f>
        <v>24740</v>
      </c>
      <c r="E12" s="613">
        <f t="shared" ref="E12:L12" si="5">E29+E30+E45</f>
        <v>25046</v>
      </c>
      <c r="F12" s="613">
        <f t="shared" si="5"/>
        <v>25345</v>
      </c>
      <c r="G12" s="613">
        <f t="shared" si="5"/>
        <v>25241</v>
      </c>
      <c r="H12" s="613">
        <f t="shared" si="5"/>
        <v>25256</v>
      </c>
      <c r="I12" s="613">
        <f t="shared" si="5"/>
        <v>24949</v>
      </c>
      <c r="J12" s="613">
        <f t="shared" si="5"/>
        <v>26031</v>
      </c>
      <c r="K12" s="613">
        <f t="shared" si="5"/>
        <v>25684</v>
      </c>
      <c r="L12" s="613">
        <f t="shared" si="5"/>
        <v>26159</v>
      </c>
      <c r="N12" s="608" t="s">
        <v>1107</v>
      </c>
    </row>
    <row r="13" spans="1:14" ht="15.75" thickBot="1">
      <c r="D13" s="613">
        <f t="shared" ref="D13" si="6">D11+D12</f>
        <v>70786</v>
      </c>
      <c r="E13" s="613">
        <f t="shared" ref="E13:L13" si="7">E11+E12</f>
        <v>71523</v>
      </c>
      <c r="F13" s="613">
        <f t="shared" si="7"/>
        <v>71916</v>
      </c>
      <c r="G13" s="613">
        <f t="shared" si="7"/>
        <v>71892</v>
      </c>
      <c r="H13" s="613">
        <f t="shared" si="7"/>
        <v>72530</v>
      </c>
      <c r="I13" s="613">
        <f t="shared" si="7"/>
        <v>72243</v>
      </c>
      <c r="J13" s="613">
        <f t="shared" si="7"/>
        <v>72576</v>
      </c>
      <c r="K13" s="613">
        <f t="shared" si="7"/>
        <v>73771</v>
      </c>
      <c r="L13" s="613">
        <f t="shared" si="7"/>
        <v>74864</v>
      </c>
    </row>
    <row r="14" spans="1:14">
      <c r="D14" s="612"/>
      <c r="E14" s="612"/>
      <c r="F14" s="612"/>
      <c r="G14" s="612"/>
      <c r="H14" s="612"/>
      <c r="I14" s="612"/>
      <c r="J14" s="612"/>
      <c r="K14" s="612"/>
      <c r="L14" s="612"/>
    </row>
    <row r="15" spans="1:14">
      <c r="A15" s="608" t="s">
        <v>1108</v>
      </c>
      <c r="D15" s="611">
        <f>LAMBETH!D11</f>
        <v>71902</v>
      </c>
      <c r="E15" s="611">
        <f>LAMBETH!E11</f>
        <v>71913</v>
      </c>
      <c r="F15" s="611">
        <f>LAMBETH!F11</f>
        <v>72460</v>
      </c>
      <c r="G15" s="611">
        <f>LAMBETH!G11</f>
        <v>72887</v>
      </c>
      <c r="H15" s="611">
        <f>LAMBETH!H11</f>
        <v>72622</v>
      </c>
      <c r="I15" s="611">
        <f>LAMBETH!I11</f>
        <v>72574</v>
      </c>
      <c r="J15" s="611">
        <f>LAMBETH!J11</f>
        <v>70286</v>
      </c>
      <c r="K15" s="611">
        <f>LAMBETH!K11</f>
        <v>73840</v>
      </c>
      <c r="L15" s="611">
        <f>LAMBETH!L11</f>
        <v>74414</v>
      </c>
      <c r="N15" s="608" t="s">
        <v>1106</v>
      </c>
    </row>
    <row r="16" spans="1:14">
      <c r="D16" s="612"/>
      <c r="E16" s="612"/>
      <c r="F16" s="612"/>
      <c r="G16" s="612"/>
      <c r="H16" s="612"/>
      <c r="I16" s="612"/>
      <c r="J16" s="612"/>
      <c r="K16" s="612"/>
      <c r="L16" s="612"/>
    </row>
    <row r="17" spans="1:18">
      <c r="A17" s="608" t="s">
        <v>1109</v>
      </c>
      <c r="D17" s="611">
        <f>LAMBETH!D13</f>
        <v>71781</v>
      </c>
      <c r="E17" s="611">
        <f>LAMBETH!E13</f>
        <v>73274</v>
      </c>
      <c r="F17" s="611">
        <f>LAMBETH!F13</f>
        <v>74006</v>
      </c>
      <c r="G17" s="611">
        <f>LAMBETH!G13</f>
        <v>74009</v>
      </c>
      <c r="H17" s="611">
        <f>LAMBETH!H13</f>
        <v>73878</v>
      </c>
      <c r="I17" s="611">
        <f>LAMBETH!I13</f>
        <v>73708</v>
      </c>
      <c r="J17" s="611">
        <f>LAMBETH!J13</f>
        <v>71358</v>
      </c>
      <c r="K17" s="611">
        <f>LAMBETH!K13</f>
        <v>76234</v>
      </c>
      <c r="L17" s="611">
        <f>LAMBETH!L13</f>
        <v>77735</v>
      </c>
      <c r="N17" s="608" t="s">
        <v>1106</v>
      </c>
    </row>
    <row r="18" spans="1:18">
      <c r="D18" s="612"/>
      <c r="E18" s="612"/>
      <c r="F18" s="612"/>
      <c r="G18" s="612"/>
      <c r="H18" s="612"/>
      <c r="I18" s="612"/>
      <c r="J18" s="612"/>
      <c r="K18" s="612"/>
      <c r="L18" s="612"/>
    </row>
    <row r="19" spans="1:18">
      <c r="A19" s="608" t="s">
        <v>8697</v>
      </c>
      <c r="D19" s="611">
        <f t="shared" ref="D19" si="8">D7+D9+D12</f>
        <v>177545</v>
      </c>
      <c r="E19" s="611">
        <f t="shared" ref="E19:L19" si="9">E7+E9+E12</f>
        <v>180837</v>
      </c>
      <c r="F19" s="611">
        <f t="shared" si="9"/>
        <v>182976</v>
      </c>
      <c r="G19" s="611">
        <f t="shared" si="9"/>
        <v>183568</v>
      </c>
      <c r="H19" s="611">
        <f t="shared" si="9"/>
        <v>185487</v>
      </c>
      <c r="I19" s="611">
        <f t="shared" si="9"/>
        <v>181157</v>
      </c>
      <c r="J19" s="611">
        <f t="shared" si="9"/>
        <v>186580</v>
      </c>
      <c r="K19" s="611">
        <f t="shared" si="9"/>
        <v>185715</v>
      </c>
      <c r="L19" s="611">
        <f t="shared" si="9"/>
        <v>192561</v>
      </c>
    </row>
    <row r="20" spans="1:18">
      <c r="D20" s="612"/>
      <c r="E20" s="612"/>
      <c r="F20" s="612"/>
      <c r="G20" s="612"/>
      <c r="H20" s="612"/>
      <c r="I20" s="612"/>
      <c r="J20" s="612"/>
      <c r="K20" s="612"/>
      <c r="L20" s="612"/>
    </row>
    <row r="21" spans="1:18">
      <c r="A21" s="608" t="s">
        <v>8698</v>
      </c>
      <c r="D21" s="611">
        <f t="shared" ref="D21" si="10">MAX(D7,D9,D13,D15,D17)-MIN(D7,D9,D13,D15,D17)</f>
        <v>6181</v>
      </c>
      <c r="E21" s="611">
        <f t="shared" ref="E21:L21" si="11">MAX(E7,E9,E13,E15,E17)-MIN(E7,E9,E13,E15,E17)</f>
        <v>7082</v>
      </c>
      <c r="F21" s="611">
        <f t="shared" si="11"/>
        <v>7256</v>
      </c>
      <c r="G21" s="611">
        <f t="shared" si="11"/>
        <v>7368</v>
      </c>
      <c r="H21" s="611">
        <f t="shared" si="11"/>
        <v>7937</v>
      </c>
      <c r="I21" s="611">
        <f t="shared" si="11"/>
        <v>5884</v>
      </c>
      <c r="J21" s="611">
        <f t="shared" si="11"/>
        <v>10089</v>
      </c>
      <c r="K21" s="611">
        <f t="shared" si="11"/>
        <v>6313</v>
      </c>
      <c r="L21" s="611">
        <f t="shared" si="11"/>
        <v>9229</v>
      </c>
    </row>
    <row r="22" spans="1:18">
      <c r="D22" s="612"/>
      <c r="E22" s="612"/>
      <c r="F22" s="612"/>
      <c r="G22" s="612"/>
      <c r="H22" s="612"/>
      <c r="I22" s="612"/>
      <c r="J22" s="612"/>
      <c r="K22" s="612"/>
      <c r="L22" s="612"/>
    </row>
    <row r="23" spans="1:18">
      <c r="A23" s="608" t="s">
        <v>8701</v>
      </c>
      <c r="D23" s="611">
        <f t="shared" ref="D23" si="12">STDEVP(D7,D9,D13,D15,D17)</f>
        <v>2463.7564327668429</v>
      </c>
      <c r="E23" s="611">
        <f t="shared" ref="E23:L23" si="13">STDEVP(E7,E9,E13,E15,E17)</f>
        <v>2867.8840562337941</v>
      </c>
      <c r="F23" s="611">
        <f t="shared" si="13"/>
        <v>3036.9630620078347</v>
      </c>
      <c r="G23" s="611">
        <f t="shared" si="13"/>
        <v>3127.2978112101828</v>
      </c>
      <c r="H23" s="611">
        <f t="shared" si="13"/>
        <v>3520.4326097796561</v>
      </c>
      <c r="I23" s="611">
        <f t="shared" si="13"/>
        <v>2623.4412972277464</v>
      </c>
      <c r="J23" s="611">
        <f t="shared" si="13"/>
        <v>4404.8147475234409</v>
      </c>
      <c r="K23" s="611">
        <f t="shared" si="13"/>
        <v>2790.770029937974</v>
      </c>
      <c r="L23" s="611">
        <f t="shared" si="13"/>
        <v>3870.999922500645</v>
      </c>
    </row>
    <row r="24" spans="1:18">
      <c r="D24" s="612"/>
      <c r="E24" s="612"/>
      <c r="F24" s="612"/>
      <c r="G24" s="612"/>
      <c r="H24" s="612"/>
      <c r="I24" s="612"/>
      <c r="J24" s="612"/>
      <c r="K24" s="612"/>
      <c r="L24" s="612"/>
    </row>
    <row r="25" spans="1:18">
      <c r="A25" s="608" t="s">
        <v>6957</v>
      </c>
      <c r="B25" s="608" t="s">
        <v>6958</v>
      </c>
      <c r="C25" s="4" t="s">
        <v>16675</v>
      </c>
      <c r="D25" s="614">
        <v>8060</v>
      </c>
      <c r="E25" s="614">
        <v>8221</v>
      </c>
      <c r="F25" s="614">
        <v>8338</v>
      </c>
      <c r="G25" s="614">
        <v>8378</v>
      </c>
      <c r="H25" s="30">
        <v>8452</v>
      </c>
      <c r="I25" s="30">
        <v>8261</v>
      </c>
      <c r="J25" s="30">
        <v>8656</v>
      </c>
      <c r="K25" s="30">
        <v>8520</v>
      </c>
      <c r="L25" s="30">
        <v>8967</v>
      </c>
      <c r="M25" s="608"/>
      <c r="N25" s="608" t="s">
        <v>1111</v>
      </c>
      <c r="P25" s="4"/>
      <c r="R25" s="4"/>
    </row>
    <row r="26" spans="1:18">
      <c r="A26" s="608" t="s">
        <v>6959</v>
      </c>
      <c r="B26" s="608" t="s">
        <v>14</v>
      </c>
      <c r="C26" s="4" t="s">
        <v>16676</v>
      </c>
      <c r="D26" s="614">
        <v>9257</v>
      </c>
      <c r="E26" s="614">
        <v>9543</v>
      </c>
      <c r="F26" s="614">
        <v>9351</v>
      </c>
      <c r="G26" s="614">
        <v>9263</v>
      </c>
      <c r="H26" s="30">
        <v>9256</v>
      </c>
      <c r="I26" s="30">
        <v>9054</v>
      </c>
      <c r="J26" s="30">
        <v>9134</v>
      </c>
      <c r="K26" s="30">
        <v>9384</v>
      </c>
      <c r="L26" s="30">
        <v>9851</v>
      </c>
      <c r="M26" s="608"/>
      <c r="N26" s="608" t="s">
        <v>1111</v>
      </c>
      <c r="P26" s="4"/>
      <c r="R26" s="4"/>
    </row>
    <row r="27" spans="1:18">
      <c r="A27" s="608" t="s">
        <v>6961</v>
      </c>
      <c r="B27" s="608" t="s">
        <v>16668</v>
      </c>
      <c r="C27" s="4" t="s">
        <v>16677</v>
      </c>
      <c r="D27" s="614">
        <v>9889</v>
      </c>
      <c r="E27" s="614">
        <v>10147</v>
      </c>
      <c r="F27" s="614">
        <v>10400</v>
      </c>
      <c r="G27" s="614">
        <v>10348</v>
      </c>
      <c r="H27" s="30">
        <v>10744</v>
      </c>
      <c r="I27" s="30">
        <v>10533</v>
      </c>
      <c r="J27" s="30">
        <v>9551</v>
      </c>
      <c r="K27" s="30">
        <v>9481</v>
      </c>
      <c r="L27" s="30">
        <v>10142</v>
      </c>
      <c r="M27" s="608"/>
      <c r="N27" s="608" t="s">
        <v>1110</v>
      </c>
      <c r="P27" s="4"/>
      <c r="R27" s="4"/>
    </row>
    <row r="28" spans="1:18">
      <c r="A28" s="608" t="s">
        <v>6963</v>
      </c>
      <c r="B28" s="608" t="s">
        <v>2698</v>
      </c>
      <c r="C28" s="4" t="s">
        <v>16678</v>
      </c>
      <c r="D28" s="614">
        <v>9733</v>
      </c>
      <c r="E28" s="614">
        <v>9374</v>
      </c>
      <c r="F28" s="614">
        <v>9447</v>
      </c>
      <c r="G28" s="614">
        <v>9472</v>
      </c>
      <c r="H28" s="30">
        <v>9765</v>
      </c>
      <c r="I28" s="30">
        <v>9477</v>
      </c>
      <c r="J28" s="30">
        <v>9361</v>
      </c>
      <c r="K28" s="30">
        <v>8844</v>
      </c>
      <c r="L28" s="30">
        <v>9067</v>
      </c>
      <c r="M28" s="608"/>
      <c r="N28" s="608" t="s">
        <v>1110</v>
      </c>
      <c r="P28" s="4"/>
      <c r="R28" s="4"/>
    </row>
    <row r="29" spans="1:18">
      <c r="A29" s="608" t="s">
        <v>6965</v>
      </c>
      <c r="B29" s="608" t="s">
        <v>2177</v>
      </c>
      <c r="C29" s="4" t="s">
        <v>16679</v>
      </c>
      <c r="D29" s="614">
        <v>8030</v>
      </c>
      <c r="E29" s="614">
        <v>8119</v>
      </c>
      <c r="F29" s="614">
        <v>8219</v>
      </c>
      <c r="G29" s="614">
        <v>8201</v>
      </c>
      <c r="H29" s="31">
        <v>8168</v>
      </c>
      <c r="I29" s="31">
        <v>8072</v>
      </c>
      <c r="J29" s="31">
        <v>8312</v>
      </c>
      <c r="K29" s="31">
        <v>8305</v>
      </c>
      <c r="L29" s="30">
        <v>8395</v>
      </c>
      <c r="M29" s="608"/>
      <c r="N29" s="608" t="s">
        <v>1105</v>
      </c>
      <c r="P29" s="4"/>
      <c r="R29" s="4"/>
    </row>
    <row r="30" spans="1:18">
      <c r="A30" s="608" t="s">
        <v>6997</v>
      </c>
      <c r="B30" s="608" t="s">
        <v>16669</v>
      </c>
      <c r="C30" s="4" t="s">
        <v>16680</v>
      </c>
      <c r="D30" s="614">
        <v>8335</v>
      </c>
      <c r="E30" s="614">
        <v>8492</v>
      </c>
      <c r="F30" s="614">
        <v>8661</v>
      </c>
      <c r="G30" s="614">
        <v>8653</v>
      </c>
      <c r="H30" s="31">
        <v>8755</v>
      </c>
      <c r="I30" s="31">
        <v>8671</v>
      </c>
      <c r="J30" s="31">
        <v>9127</v>
      </c>
      <c r="K30" s="31">
        <v>8778</v>
      </c>
      <c r="L30" s="30">
        <v>9017</v>
      </c>
      <c r="M30" s="608"/>
      <c r="N30" s="608" t="s">
        <v>1105</v>
      </c>
      <c r="P30" s="4"/>
      <c r="R30" s="4"/>
    </row>
    <row r="31" spans="1:18">
      <c r="A31" s="608" t="s">
        <v>6999</v>
      </c>
      <c r="B31" s="608" t="s">
        <v>16670</v>
      </c>
      <c r="C31" s="4" t="s">
        <v>16681</v>
      </c>
      <c r="D31" s="614">
        <v>7005</v>
      </c>
      <c r="E31" s="614">
        <v>6881</v>
      </c>
      <c r="F31" s="614">
        <v>7022</v>
      </c>
      <c r="G31" s="614">
        <v>7159</v>
      </c>
      <c r="H31" s="30">
        <v>7130</v>
      </c>
      <c r="I31" s="30">
        <v>6902</v>
      </c>
      <c r="J31" s="30">
        <v>7317</v>
      </c>
      <c r="K31" s="30">
        <v>7365</v>
      </c>
      <c r="L31" s="30">
        <v>7948</v>
      </c>
      <c r="M31" s="608"/>
      <c r="N31" s="608" t="s">
        <v>1110</v>
      </c>
      <c r="P31" s="4"/>
      <c r="R31" s="4"/>
    </row>
    <row r="32" spans="1:18">
      <c r="A32" s="608" t="s">
        <v>7001</v>
      </c>
      <c r="B32" s="608" t="s">
        <v>1753</v>
      </c>
      <c r="C32" s="4" t="s">
        <v>16682</v>
      </c>
      <c r="D32" s="614">
        <v>7808</v>
      </c>
      <c r="E32" s="614">
        <v>7758</v>
      </c>
      <c r="F32" s="614">
        <v>7630</v>
      </c>
      <c r="G32" s="614">
        <v>7430</v>
      </c>
      <c r="H32" s="30">
        <v>7203</v>
      </c>
      <c r="I32" s="30">
        <v>6815</v>
      </c>
      <c r="J32" s="30">
        <v>6882</v>
      </c>
      <c r="K32" s="30">
        <v>6743</v>
      </c>
      <c r="L32" s="30">
        <v>7003</v>
      </c>
      <c r="M32" s="608"/>
      <c r="N32" s="608" t="s">
        <v>1111</v>
      </c>
      <c r="P32" s="4"/>
      <c r="R32" s="4"/>
    </row>
    <row r="33" spans="1:18">
      <c r="A33" s="608" t="s">
        <v>7003</v>
      </c>
      <c r="B33" s="608" t="s">
        <v>8563</v>
      </c>
      <c r="C33" s="4" t="s">
        <v>16683</v>
      </c>
      <c r="D33" s="614">
        <v>9191</v>
      </c>
      <c r="E33" s="614">
        <v>9635</v>
      </c>
      <c r="F33" s="614">
        <v>9738</v>
      </c>
      <c r="G33" s="614">
        <v>9879</v>
      </c>
      <c r="H33" s="30">
        <v>9984</v>
      </c>
      <c r="I33" s="30">
        <v>9554</v>
      </c>
      <c r="J33" s="30">
        <v>10308</v>
      </c>
      <c r="K33" s="30">
        <v>10333</v>
      </c>
      <c r="L33" s="30">
        <v>10781</v>
      </c>
      <c r="M33" s="608"/>
      <c r="N33" s="608" t="s">
        <v>1110</v>
      </c>
      <c r="P33" s="4"/>
      <c r="R33" s="4"/>
    </row>
    <row r="34" spans="1:18">
      <c r="A34" s="608" t="s">
        <v>7005</v>
      </c>
      <c r="B34" s="608" t="s">
        <v>16671</v>
      </c>
      <c r="C34" s="4" t="s">
        <v>16684</v>
      </c>
      <c r="D34" s="611">
        <v>8558</v>
      </c>
      <c r="E34" s="611">
        <v>8712</v>
      </c>
      <c r="F34" s="611">
        <v>8678</v>
      </c>
      <c r="G34" s="611">
        <v>8675</v>
      </c>
      <c r="H34" s="30">
        <v>8887</v>
      </c>
      <c r="I34" s="30">
        <v>8757</v>
      </c>
      <c r="J34" s="30">
        <v>8669</v>
      </c>
      <c r="K34" s="30">
        <v>8741</v>
      </c>
      <c r="L34" s="30">
        <v>9005</v>
      </c>
      <c r="M34" s="608"/>
      <c r="N34" s="608" t="s">
        <v>1111</v>
      </c>
      <c r="P34" s="4"/>
      <c r="R34" s="4"/>
    </row>
    <row r="35" spans="1:18">
      <c r="A35" s="608" t="s">
        <v>7007</v>
      </c>
      <c r="B35" s="608" t="s">
        <v>2597</v>
      </c>
      <c r="C35" s="4" t="s">
        <v>16685</v>
      </c>
      <c r="D35" s="614">
        <v>8532</v>
      </c>
      <c r="E35" s="614">
        <v>8786</v>
      </c>
      <c r="F35" s="614">
        <v>9143</v>
      </c>
      <c r="G35" s="614">
        <v>9306</v>
      </c>
      <c r="H35" s="30">
        <v>9429</v>
      </c>
      <c r="I35" s="30">
        <v>9087</v>
      </c>
      <c r="J35" s="30">
        <v>9433</v>
      </c>
      <c r="K35" s="30">
        <v>9340</v>
      </c>
      <c r="L35" s="30">
        <v>9808</v>
      </c>
      <c r="M35" s="608"/>
      <c r="N35" s="608" t="s">
        <v>1110</v>
      </c>
      <c r="P35" s="4"/>
      <c r="R35" s="4"/>
    </row>
    <row r="36" spans="1:18">
      <c r="A36" s="608" t="s">
        <v>7009</v>
      </c>
      <c r="B36" s="608" t="s">
        <v>16672</v>
      </c>
      <c r="C36" s="4" t="s">
        <v>16686</v>
      </c>
      <c r="D36" s="614">
        <v>8414</v>
      </c>
      <c r="E36" s="614">
        <v>8513</v>
      </c>
      <c r="F36" s="614">
        <v>8631</v>
      </c>
      <c r="G36" s="614">
        <v>8669</v>
      </c>
      <c r="H36" s="30">
        <v>8973</v>
      </c>
      <c r="I36" s="30">
        <v>8903</v>
      </c>
      <c r="J36" s="30">
        <v>9269</v>
      </c>
      <c r="K36" s="30">
        <v>9029</v>
      </c>
      <c r="L36" s="30">
        <v>9595</v>
      </c>
      <c r="M36" s="608"/>
      <c r="N36" s="608" t="s">
        <v>1111</v>
      </c>
      <c r="P36" s="4"/>
      <c r="R36" s="4"/>
    </row>
    <row r="37" spans="1:18">
      <c r="A37" s="608" t="s">
        <v>7011</v>
      </c>
      <c r="B37" s="608" t="s">
        <v>3506</v>
      </c>
      <c r="C37" s="4" t="s">
        <v>16687</v>
      </c>
      <c r="D37" s="614">
        <v>8855</v>
      </c>
      <c r="E37" s="614">
        <v>9045</v>
      </c>
      <c r="F37" s="614">
        <v>9138</v>
      </c>
      <c r="G37" s="614">
        <v>9135</v>
      </c>
      <c r="H37" s="30">
        <v>9273</v>
      </c>
      <c r="I37" s="30">
        <v>9169</v>
      </c>
      <c r="J37" s="30">
        <v>9281</v>
      </c>
      <c r="K37" s="30">
        <v>9126</v>
      </c>
      <c r="L37" s="30">
        <v>9346</v>
      </c>
      <c r="M37" s="608"/>
      <c r="N37" s="608" t="s">
        <v>1111</v>
      </c>
      <c r="P37" s="4"/>
      <c r="R37" s="4"/>
    </row>
    <row r="38" spans="1:18">
      <c r="A38" s="608" t="s">
        <v>7013</v>
      </c>
      <c r="B38" s="608" t="s">
        <v>2478</v>
      </c>
      <c r="C38" s="4" t="s">
        <v>16688</v>
      </c>
      <c r="D38" s="614">
        <v>8671</v>
      </c>
      <c r="E38" s="614">
        <v>8854</v>
      </c>
      <c r="F38" s="614">
        <v>9085</v>
      </c>
      <c r="G38" s="614">
        <v>9210</v>
      </c>
      <c r="H38" s="31">
        <v>9335</v>
      </c>
      <c r="I38" s="31">
        <v>9120</v>
      </c>
      <c r="J38" s="31">
        <v>9463</v>
      </c>
      <c r="K38" s="31">
        <v>9489</v>
      </c>
      <c r="L38" s="30">
        <v>9658</v>
      </c>
      <c r="M38" s="608"/>
      <c r="N38" s="608" t="s">
        <v>1111</v>
      </c>
      <c r="P38" s="4"/>
      <c r="R38" s="4"/>
    </row>
    <row r="39" spans="1:18">
      <c r="A39" s="608" t="s">
        <v>7015</v>
      </c>
      <c r="B39" s="608" t="s">
        <v>8572</v>
      </c>
      <c r="C39" s="4" t="s">
        <v>16689</v>
      </c>
      <c r="D39" s="614">
        <v>8065</v>
      </c>
      <c r="E39" s="614">
        <v>8569</v>
      </c>
      <c r="F39" s="614">
        <v>8672</v>
      </c>
      <c r="G39" s="614">
        <v>8724</v>
      </c>
      <c r="H39" s="30">
        <v>8787</v>
      </c>
      <c r="I39" s="30">
        <v>8473</v>
      </c>
      <c r="J39" s="30">
        <v>9177</v>
      </c>
      <c r="K39" s="30">
        <v>9477</v>
      </c>
      <c r="L39" s="30">
        <v>9841</v>
      </c>
      <c r="M39" s="608"/>
      <c r="N39" s="608" t="s">
        <v>1110</v>
      </c>
      <c r="P39" s="4"/>
      <c r="R39" s="4"/>
    </row>
    <row r="40" spans="1:18">
      <c r="A40" s="608" t="s">
        <v>7017</v>
      </c>
      <c r="B40" s="608" t="s">
        <v>2479</v>
      </c>
      <c r="C40" s="4" t="s">
        <v>16690</v>
      </c>
      <c r="D40" s="614">
        <v>7958</v>
      </c>
      <c r="E40" s="614">
        <v>7902</v>
      </c>
      <c r="F40" s="614">
        <v>7988</v>
      </c>
      <c r="G40" s="614">
        <v>8155</v>
      </c>
      <c r="H40" s="30">
        <v>8510</v>
      </c>
      <c r="I40" s="30">
        <v>8398</v>
      </c>
      <c r="J40" s="30">
        <v>8634</v>
      </c>
      <c r="K40" s="30">
        <v>8552</v>
      </c>
      <c r="L40" s="30">
        <v>8732</v>
      </c>
      <c r="M40" s="608"/>
      <c r="N40" s="608" t="s">
        <v>1110</v>
      </c>
      <c r="P40" s="4"/>
      <c r="R40" s="4"/>
    </row>
    <row r="41" spans="1:18">
      <c r="A41" s="608" t="s">
        <v>7019</v>
      </c>
      <c r="B41" s="608" t="s">
        <v>2480</v>
      </c>
      <c r="C41" s="4" t="s">
        <v>16691</v>
      </c>
      <c r="D41" s="614">
        <v>7607</v>
      </c>
      <c r="E41" s="614">
        <v>7957</v>
      </c>
      <c r="F41" s="614">
        <v>8074</v>
      </c>
      <c r="G41" s="614">
        <v>8165</v>
      </c>
      <c r="H41" s="30">
        <v>8194</v>
      </c>
      <c r="I41" s="30">
        <v>7997</v>
      </c>
      <c r="J41" s="30">
        <v>8148</v>
      </c>
      <c r="K41" s="30">
        <v>8202</v>
      </c>
      <c r="L41" s="30">
        <v>8519</v>
      </c>
      <c r="M41" s="608"/>
      <c r="N41" s="608" t="s">
        <v>1110</v>
      </c>
      <c r="P41" s="4"/>
      <c r="R41" s="4"/>
    </row>
    <row r="42" spans="1:18">
      <c r="A42" s="608" t="s">
        <v>7021</v>
      </c>
      <c r="B42" s="608" t="s">
        <v>16673</v>
      </c>
      <c r="C42" s="4" t="s">
        <v>16692</v>
      </c>
      <c r="D42" s="614">
        <v>7794</v>
      </c>
      <c r="E42" s="614">
        <v>8051</v>
      </c>
      <c r="F42" s="614">
        <v>8208</v>
      </c>
      <c r="G42" s="614">
        <v>8315</v>
      </c>
      <c r="H42" s="31">
        <v>8159</v>
      </c>
      <c r="I42" s="31">
        <v>8064</v>
      </c>
      <c r="J42" s="31">
        <v>8471</v>
      </c>
      <c r="K42" s="31">
        <v>8393</v>
      </c>
      <c r="L42" s="30">
        <v>8614</v>
      </c>
      <c r="M42" s="608"/>
      <c r="N42" s="608" t="s">
        <v>1111</v>
      </c>
      <c r="P42" s="4"/>
      <c r="R42" s="4"/>
    </row>
    <row r="43" spans="1:18">
      <c r="A43" s="608" t="s">
        <v>7023</v>
      </c>
      <c r="B43" s="608" t="s">
        <v>6967</v>
      </c>
      <c r="C43" s="4" t="s">
        <v>16693</v>
      </c>
      <c r="D43" s="614">
        <v>7858</v>
      </c>
      <c r="E43" s="614">
        <v>7935</v>
      </c>
      <c r="F43" s="614">
        <v>7975</v>
      </c>
      <c r="G43" s="614">
        <v>7859</v>
      </c>
      <c r="H43" s="30">
        <v>7924</v>
      </c>
      <c r="I43" s="30">
        <v>7706</v>
      </c>
      <c r="J43" s="30">
        <v>8245</v>
      </c>
      <c r="K43" s="30">
        <v>8490</v>
      </c>
      <c r="L43" s="30">
        <v>8805</v>
      </c>
      <c r="M43" s="608"/>
      <c r="N43" s="608" t="s">
        <v>1110</v>
      </c>
      <c r="P43" s="4"/>
      <c r="R43" s="4"/>
    </row>
    <row r="44" spans="1:18">
      <c r="A44" s="608" t="s">
        <v>7025</v>
      </c>
      <c r="B44" s="608" t="s">
        <v>16674</v>
      </c>
      <c r="C44" s="4" t="s">
        <v>16694</v>
      </c>
      <c r="D44" s="614">
        <v>9550</v>
      </c>
      <c r="E44" s="614">
        <v>9908</v>
      </c>
      <c r="F44" s="614">
        <v>10113</v>
      </c>
      <c r="G44" s="614">
        <v>10185</v>
      </c>
      <c r="H44" s="31">
        <v>10226</v>
      </c>
      <c r="I44" s="31">
        <v>9938</v>
      </c>
      <c r="J44" s="31">
        <v>10550</v>
      </c>
      <c r="K44" s="31">
        <v>10522</v>
      </c>
      <c r="L44" s="30">
        <v>10720</v>
      </c>
      <c r="M44" s="608"/>
      <c r="N44" s="608" t="s">
        <v>1111</v>
      </c>
      <c r="P44" s="4"/>
      <c r="R44" s="4"/>
    </row>
    <row r="45" spans="1:18">
      <c r="A45" s="608" t="s">
        <v>7570</v>
      </c>
      <c r="B45" s="608" t="s">
        <v>5182</v>
      </c>
      <c r="C45" s="4" t="s">
        <v>16695</v>
      </c>
      <c r="D45" s="614">
        <v>8375</v>
      </c>
      <c r="E45" s="614">
        <v>8435</v>
      </c>
      <c r="F45" s="614">
        <v>8465</v>
      </c>
      <c r="G45" s="614">
        <v>8387</v>
      </c>
      <c r="H45" s="31">
        <v>8333</v>
      </c>
      <c r="I45" s="31">
        <v>8206</v>
      </c>
      <c r="J45" s="31">
        <v>8592</v>
      </c>
      <c r="K45" s="31">
        <v>8601</v>
      </c>
      <c r="L45" s="30">
        <v>8747</v>
      </c>
      <c r="M45" s="608"/>
      <c r="N45" s="608" t="s">
        <v>1105</v>
      </c>
      <c r="P45" s="4"/>
      <c r="R45" s="4"/>
    </row>
    <row r="46" spans="1:18">
      <c r="N46" s="608"/>
      <c r="P46" s="4"/>
      <c r="R46" s="4"/>
    </row>
    <row r="47" spans="1:18">
      <c r="A47" s="609" t="s">
        <v>16696</v>
      </c>
      <c r="N47" s="608"/>
      <c r="P47" s="4"/>
      <c r="R47" s="4"/>
    </row>
    <row r="48" spans="1:18">
      <c r="A48" s="609" t="s">
        <v>6968</v>
      </c>
      <c r="N48" s="608"/>
      <c r="P48" s="4"/>
      <c r="R48" s="4"/>
    </row>
    <row r="49" spans="14:18">
      <c r="N49" s="608"/>
      <c r="P49" s="4"/>
      <c r="R49" s="4"/>
    </row>
    <row r="50" spans="14:18">
      <c r="N50" s="608"/>
      <c r="P50" s="4"/>
      <c r="R50" s="4"/>
    </row>
    <row r="51" spans="14:18">
      <c r="N51" s="608"/>
      <c r="P51" s="4"/>
      <c r="R51" s="4"/>
    </row>
    <row r="52" spans="14:18">
      <c r="N52" s="608"/>
      <c r="P52" s="4"/>
      <c r="R52" s="4"/>
    </row>
    <row r="53" spans="14:18">
      <c r="N53" s="608"/>
      <c r="P53" s="4"/>
      <c r="R53" s="4"/>
    </row>
    <row r="54" spans="14:18">
      <c r="N54" s="608"/>
      <c r="P54" s="4"/>
      <c r="R54" s="4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&amp;C&amp;"Times New Roman,Regular"&amp;8&amp;P of &amp;N</oddFooter>
  </headerFooter>
  <ignoredErrors>
    <ignoredError sqref="D3:L23" unlockedFormula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79"/>
  <sheetViews>
    <sheetView showGridLines="0" zoomScaleNormal="100" workbookViewId="0"/>
  </sheetViews>
  <sheetFormatPr defaultColWidth="12.5703125" defaultRowHeight="15"/>
  <cols>
    <col min="1" max="1" width="4.85546875" style="617" customWidth="1"/>
    <col min="2" max="2" width="45.7109375" style="617" customWidth="1"/>
    <col min="3" max="3" width="11.5703125" style="617" customWidth="1"/>
    <col min="4" max="12" width="10" style="617" customWidth="1"/>
    <col min="13" max="13" width="2.28515625" style="617" customWidth="1"/>
    <col min="14" max="14" width="33.140625" style="617" customWidth="1"/>
    <col min="15" max="15" width="19.28515625" style="617" customWidth="1"/>
    <col min="16" max="16" width="30.85546875" style="617" bestFit="1" customWidth="1"/>
    <col min="17" max="16384" width="12.5703125" style="617"/>
  </cols>
  <sheetData>
    <row r="1" spans="1:14">
      <c r="A1" s="616" t="s">
        <v>8847</v>
      </c>
      <c r="D1" s="618">
        <v>2010</v>
      </c>
      <c r="E1" s="618">
        <v>2011</v>
      </c>
      <c r="F1" s="618">
        <v>2012</v>
      </c>
      <c r="G1" s="618">
        <v>2013</v>
      </c>
      <c r="H1" s="618">
        <v>2014</v>
      </c>
      <c r="I1" s="618">
        <v>2015</v>
      </c>
      <c r="J1" s="618">
        <v>2016</v>
      </c>
      <c r="K1" s="618">
        <v>2017</v>
      </c>
      <c r="L1" s="618">
        <v>2018</v>
      </c>
    </row>
    <row r="3" spans="1:14">
      <c r="A3" s="616" t="s">
        <v>2005</v>
      </c>
      <c r="C3" s="616"/>
      <c r="D3" s="619">
        <f t="shared" ref="D3:I3" si="0">SUM(D7:D14)</f>
        <v>652956</v>
      </c>
      <c r="E3" s="619">
        <f t="shared" si="0"/>
        <v>654692</v>
      </c>
      <c r="F3" s="619">
        <f t="shared" si="0"/>
        <v>656162</v>
      </c>
      <c r="G3" s="619">
        <f t="shared" si="0"/>
        <v>658541</v>
      </c>
      <c r="H3" s="619">
        <f t="shared" si="0"/>
        <v>654957</v>
      </c>
      <c r="I3" s="619">
        <f t="shared" si="0"/>
        <v>644338</v>
      </c>
      <c r="J3" s="619">
        <f t="shared" ref="J3:K3" si="1">SUM(J7:J14)</f>
        <v>635470</v>
      </c>
      <c r="K3" s="619">
        <f t="shared" si="1"/>
        <v>643243</v>
      </c>
      <c r="L3" s="619">
        <f t="shared" ref="L3" si="2">SUM(L7:L14)</f>
        <v>647986</v>
      </c>
    </row>
    <row r="4" spans="1:14" ht="15.75" thickBot="1">
      <c r="A4" s="616" t="s">
        <v>1224</v>
      </c>
      <c r="C4" s="616"/>
      <c r="D4" s="620">
        <f t="shared" ref="D4:I4" si="3">D68</f>
        <v>185256</v>
      </c>
      <c r="E4" s="620">
        <f t="shared" si="3"/>
        <v>186441</v>
      </c>
      <c r="F4" s="620">
        <f t="shared" si="3"/>
        <v>187432</v>
      </c>
      <c r="G4" s="620">
        <f t="shared" si="3"/>
        <v>187103</v>
      </c>
      <c r="H4" s="620">
        <f t="shared" si="3"/>
        <v>186514</v>
      </c>
      <c r="I4" s="620">
        <f t="shared" si="3"/>
        <v>182238</v>
      </c>
      <c r="J4" s="620">
        <f t="shared" ref="J4:K4" si="4">J68</f>
        <v>179857</v>
      </c>
      <c r="K4" s="620">
        <f t="shared" si="4"/>
        <v>176234</v>
      </c>
      <c r="L4" s="620">
        <f t="shared" ref="L4" si="5">L68</f>
        <v>180154</v>
      </c>
    </row>
    <row r="5" spans="1:14" ht="15.75" thickBot="1">
      <c r="D5" s="620">
        <f t="shared" ref="D5:I5" si="6">D3+D4</f>
        <v>838212</v>
      </c>
      <c r="E5" s="620">
        <f t="shared" si="6"/>
        <v>841133</v>
      </c>
      <c r="F5" s="620">
        <f t="shared" si="6"/>
        <v>843594</v>
      </c>
      <c r="G5" s="620">
        <f t="shared" si="6"/>
        <v>845644</v>
      </c>
      <c r="H5" s="620">
        <f t="shared" si="6"/>
        <v>841471</v>
      </c>
      <c r="I5" s="620">
        <f t="shared" si="6"/>
        <v>826576</v>
      </c>
      <c r="J5" s="620">
        <f t="shared" ref="J5:K5" si="7">J3+J4</f>
        <v>815327</v>
      </c>
      <c r="K5" s="620">
        <f t="shared" si="7"/>
        <v>819477</v>
      </c>
      <c r="L5" s="620">
        <f t="shared" ref="L5" si="8">L3+L4</f>
        <v>828140</v>
      </c>
    </row>
    <row r="6" spans="1:14">
      <c r="D6" s="621"/>
      <c r="E6" s="621"/>
      <c r="F6" s="621"/>
      <c r="G6" s="621"/>
      <c r="H6" s="621"/>
      <c r="I6" s="621"/>
      <c r="J6" s="621"/>
      <c r="K6" s="621"/>
      <c r="L6" s="621"/>
    </row>
    <row r="7" spans="1:14">
      <c r="A7" s="616" t="s">
        <v>1225</v>
      </c>
      <c r="C7" s="616"/>
      <c r="D7" s="619">
        <f t="shared" ref="D7:I7" si="9">D128</f>
        <v>74828</v>
      </c>
      <c r="E7" s="619">
        <f t="shared" si="9"/>
        <v>75680</v>
      </c>
      <c r="F7" s="619">
        <f t="shared" si="9"/>
        <v>75494</v>
      </c>
      <c r="G7" s="619">
        <f t="shared" si="9"/>
        <v>75539</v>
      </c>
      <c r="H7" s="619">
        <f t="shared" si="9"/>
        <v>75380</v>
      </c>
      <c r="I7" s="619">
        <f t="shared" si="9"/>
        <v>74146</v>
      </c>
      <c r="J7" s="619">
        <f t="shared" ref="J7:K7" si="10">J128</f>
        <v>73470</v>
      </c>
      <c r="K7" s="619">
        <f t="shared" si="10"/>
        <v>73801</v>
      </c>
      <c r="L7" s="619">
        <f t="shared" ref="L7" si="11">L128</f>
        <v>73834</v>
      </c>
      <c r="N7" s="622"/>
    </row>
    <row r="8" spans="1:14">
      <c r="A8" s="616" t="s">
        <v>1226</v>
      </c>
      <c r="C8" s="616"/>
      <c r="D8" s="619">
        <f t="shared" ref="D8:I8" si="12">D152</f>
        <v>83873</v>
      </c>
      <c r="E8" s="619">
        <f t="shared" si="12"/>
        <v>84149</v>
      </c>
      <c r="F8" s="619">
        <f t="shared" si="12"/>
        <v>84554</v>
      </c>
      <c r="G8" s="619">
        <f t="shared" si="12"/>
        <v>85098</v>
      </c>
      <c r="H8" s="619">
        <f t="shared" si="12"/>
        <v>84955</v>
      </c>
      <c r="I8" s="619">
        <f t="shared" si="12"/>
        <v>83823</v>
      </c>
      <c r="J8" s="619">
        <f t="shared" ref="J8:K8" si="13">J152</f>
        <v>81297</v>
      </c>
      <c r="K8" s="619">
        <f t="shared" si="13"/>
        <v>81468</v>
      </c>
      <c r="L8" s="619">
        <f t="shared" ref="L8" si="14">L152</f>
        <v>82781</v>
      </c>
      <c r="N8" s="622"/>
    </row>
    <row r="9" spans="1:14">
      <c r="A9" s="616" t="s">
        <v>1227</v>
      </c>
      <c r="C9" s="616"/>
      <c r="D9" s="619">
        <f t="shared" ref="D9:I9" si="15">D183</f>
        <v>77981</v>
      </c>
      <c r="E9" s="619">
        <f t="shared" si="15"/>
        <v>78644</v>
      </c>
      <c r="F9" s="619">
        <f t="shared" si="15"/>
        <v>79134</v>
      </c>
      <c r="G9" s="619">
        <f t="shared" si="15"/>
        <v>79959</v>
      </c>
      <c r="H9" s="619">
        <f t="shared" si="15"/>
        <v>80257</v>
      </c>
      <c r="I9" s="619">
        <f t="shared" si="15"/>
        <v>79688</v>
      </c>
      <c r="J9" s="619">
        <f t="shared" ref="J9:K9" si="16">J183</f>
        <v>77591</v>
      </c>
      <c r="K9" s="619">
        <f t="shared" si="16"/>
        <v>79473</v>
      </c>
      <c r="L9" s="619">
        <f t="shared" ref="L9" si="17">L183</f>
        <v>78897</v>
      </c>
      <c r="N9" s="622"/>
    </row>
    <row r="10" spans="1:14">
      <c r="A10" s="616" t="s">
        <v>1228</v>
      </c>
      <c r="C10" s="616"/>
      <c r="D10" s="619">
        <f t="shared" ref="D10:I10" si="18">D219</f>
        <v>97040</v>
      </c>
      <c r="E10" s="619">
        <f t="shared" si="18"/>
        <v>96728</v>
      </c>
      <c r="F10" s="619">
        <f t="shared" si="18"/>
        <v>97206</v>
      </c>
      <c r="G10" s="619">
        <f t="shared" si="18"/>
        <v>96829</v>
      </c>
      <c r="H10" s="619">
        <f t="shared" si="18"/>
        <v>96580</v>
      </c>
      <c r="I10" s="619">
        <f t="shared" si="18"/>
        <v>93590</v>
      </c>
      <c r="J10" s="619">
        <f t="shared" ref="J10:K10" si="19">J219</f>
        <v>89247</v>
      </c>
      <c r="K10" s="619">
        <f t="shared" si="19"/>
        <v>89525</v>
      </c>
      <c r="L10" s="619">
        <f t="shared" ref="L10" si="20">L219</f>
        <v>92521</v>
      </c>
      <c r="N10" s="622"/>
    </row>
    <row r="11" spans="1:14">
      <c r="A11" s="616" t="s">
        <v>1229</v>
      </c>
      <c r="C11" s="616"/>
      <c r="D11" s="619">
        <f t="shared" ref="D11:I11" si="21">D256</f>
        <v>85281</v>
      </c>
      <c r="E11" s="619">
        <f t="shared" si="21"/>
        <v>85860</v>
      </c>
      <c r="F11" s="619">
        <f t="shared" si="21"/>
        <v>86305</v>
      </c>
      <c r="G11" s="619">
        <f t="shared" si="21"/>
        <v>86657</v>
      </c>
      <c r="H11" s="619">
        <f t="shared" si="21"/>
        <v>86323</v>
      </c>
      <c r="I11" s="619">
        <f t="shared" si="21"/>
        <v>83366</v>
      </c>
      <c r="J11" s="619">
        <f t="shared" ref="J11:K11" si="22">J256</f>
        <v>83407</v>
      </c>
      <c r="K11" s="619">
        <f t="shared" si="22"/>
        <v>85099</v>
      </c>
      <c r="L11" s="619">
        <f t="shared" ref="L11" si="23">L256</f>
        <v>85014</v>
      </c>
      <c r="N11" s="622"/>
    </row>
    <row r="12" spans="1:14">
      <c r="A12" s="616" t="s">
        <v>1230</v>
      </c>
      <c r="C12" s="616"/>
      <c r="D12" s="619">
        <f t="shared" ref="D12:I12" si="24">D291</f>
        <v>98303</v>
      </c>
      <c r="E12" s="619">
        <f t="shared" si="24"/>
        <v>97459</v>
      </c>
      <c r="F12" s="619">
        <f t="shared" si="24"/>
        <v>97541</v>
      </c>
      <c r="G12" s="619">
        <f t="shared" si="24"/>
        <v>97914</v>
      </c>
      <c r="H12" s="619">
        <f t="shared" si="24"/>
        <v>95842</v>
      </c>
      <c r="I12" s="619">
        <f t="shared" si="24"/>
        <v>94986</v>
      </c>
      <c r="J12" s="619">
        <f t="shared" ref="J12:K12" si="25">J291</f>
        <v>95558</v>
      </c>
      <c r="K12" s="619">
        <f t="shared" si="25"/>
        <v>98652</v>
      </c>
      <c r="L12" s="619">
        <f t="shared" ref="L12" si="26">L291</f>
        <v>99622</v>
      </c>
      <c r="N12" s="622"/>
    </row>
    <row r="13" spans="1:14">
      <c r="A13" s="616" t="s">
        <v>1231</v>
      </c>
      <c r="C13" s="616"/>
      <c r="D13" s="619">
        <f t="shared" ref="D13:I13" si="27">D328</f>
        <v>77952</v>
      </c>
      <c r="E13" s="619">
        <f t="shared" si="27"/>
        <v>78034</v>
      </c>
      <c r="F13" s="619">
        <f t="shared" si="27"/>
        <v>78178</v>
      </c>
      <c r="G13" s="619">
        <f t="shared" si="27"/>
        <v>78413</v>
      </c>
      <c r="H13" s="619">
        <f t="shared" si="27"/>
        <v>78268</v>
      </c>
      <c r="I13" s="619">
        <f t="shared" si="27"/>
        <v>78277</v>
      </c>
      <c r="J13" s="619">
        <f t="shared" ref="J13:K13" si="28">J328</f>
        <v>78211</v>
      </c>
      <c r="K13" s="619">
        <f t="shared" si="28"/>
        <v>78206</v>
      </c>
      <c r="L13" s="619">
        <f t="shared" ref="L13" si="29">L328</f>
        <v>78002</v>
      </c>
      <c r="N13" s="622"/>
    </row>
    <row r="14" spans="1:14">
      <c r="A14" s="616" t="s">
        <v>1232</v>
      </c>
      <c r="C14" s="616"/>
      <c r="D14" s="619">
        <f t="shared" ref="D14:I14" si="30">D365</f>
        <v>57698</v>
      </c>
      <c r="E14" s="619">
        <f t="shared" si="30"/>
        <v>58138</v>
      </c>
      <c r="F14" s="619">
        <f t="shared" si="30"/>
        <v>57750</v>
      </c>
      <c r="G14" s="619">
        <f t="shared" si="30"/>
        <v>58132</v>
      </c>
      <c r="H14" s="619">
        <f t="shared" si="30"/>
        <v>57352</v>
      </c>
      <c r="I14" s="619">
        <f t="shared" si="30"/>
        <v>56462</v>
      </c>
      <c r="J14" s="619">
        <f t="shared" ref="J14:K14" si="31">J365</f>
        <v>56689</v>
      </c>
      <c r="K14" s="619">
        <f t="shared" si="31"/>
        <v>57019</v>
      </c>
      <c r="L14" s="619">
        <f t="shared" ref="L14" si="32">L365</f>
        <v>57315</v>
      </c>
      <c r="N14" s="622"/>
    </row>
    <row r="16" spans="1:14">
      <c r="A16" s="616" t="s">
        <v>1233</v>
      </c>
      <c r="D16" s="619">
        <f t="shared" ref="D16:I16" si="33">D3/9</f>
        <v>72550.666666666672</v>
      </c>
      <c r="E16" s="619">
        <f t="shared" si="33"/>
        <v>72743.555555555562</v>
      </c>
      <c r="F16" s="619">
        <f t="shared" si="33"/>
        <v>72906.888888888891</v>
      </c>
      <c r="G16" s="619">
        <f t="shared" si="33"/>
        <v>73171.222222222219</v>
      </c>
      <c r="H16" s="619">
        <f t="shared" si="33"/>
        <v>72773</v>
      </c>
      <c r="I16" s="619">
        <f t="shared" si="33"/>
        <v>71593.111111111109</v>
      </c>
      <c r="J16" s="619">
        <f t="shared" ref="J16:K16" si="34">J3/9</f>
        <v>70607.777777777781</v>
      </c>
      <c r="K16" s="619">
        <f t="shared" si="34"/>
        <v>71471.444444444438</v>
      </c>
      <c r="L16" s="619">
        <f t="shared" ref="L16" si="35">L3/9</f>
        <v>71998.444444444438</v>
      </c>
    </row>
    <row r="17" spans="1:14">
      <c r="A17" s="616" t="s">
        <v>1234</v>
      </c>
      <c r="D17" s="619">
        <f t="shared" ref="D17:I17" si="36">D4/3</f>
        <v>61752</v>
      </c>
      <c r="E17" s="619">
        <f t="shared" si="36"/>
        <v>62147</v>
      </c>
      <c r="F17" s="619">
        <f t="shared" si="36"/>
        <v>62477.333333333336</v>
      </c>
      <c r="G17" s="619">
        <f t="shared" si="36"/>
        <v>62367.666666666664</v>
      </c>
      <c r="H17" s="619">
        <f t="shared" si="36"/>
        <v>62171.333333333336</v>
      </c>
      <c r="I17" s="619">
        <f t="shared" si="36"/>
        <v>60746</v>
      </c>
      <c r="J17" s="619">
        <f t="shared" ref="J17:K17" si="37">J4/3</f>
        <v>59952.333333333336</v>
      </c>
      <c r="K17" s="619">
        <f t="shared" si="37"/>
        <v>58744.666666666664</v>
      </c>
      <c r="L17" s="619">
        <f t="shared" ref="L17" si="38">L4/3</f>
        <v>60051.333333333336</v>
      </c>
    </row>
    <row r="18" spans="1:14">
      <c r="A18" s="616" t="s">
        <v>3536</v>
      </c>
      <c r="D18" s="619">
        <f t="shared" ref="D18:I18" si="39">D5/11</f>
        <v>76201.090909090912</v>
      </c>
      <c r="E18" s="619">
        <f t="shared" si="39"/>
        <v>76466.636363636368</v>
      </c>
      <c r="F18" s="619">
        <f t="shared" si="39"/>
        <v>76690.363636363632</v>
      </c>
      <c r="G18" s="619">
        <f t="shared" si="39"/>
        <v>76876.727272727279</v>
      </c>
      <c r="H18" s="619">
        <f t="shared" si="39"/>
        <v>76497.363636363632</v>
      </c>
      <c r="I18" s="619">
        <f t="shared" si="39"/>
        <v>75143.272727272721</v>
      </c>
      <c r="J18" s="619">
        <f t="shared" ref="J18:K18" si="40">J5/11</f>
        <v>74120.636363636368</v>
      </c>
      <c r="K18" s="619">
        <f t="shared" si="40"/>
        <v>74497.909090909088</v>
      </c>
      <c r="L18" s="619">
        <f t="shared" ref="L18" si="41">L5/11</f>
        <v>75285.454545454544</v>
      </c>
    </row>
    <row r="19" spans="1:14">
      <c r="A19" s="616"/>
      <c r="D19" s="623"/>
      <c r="E19" s="623"/>
      <c r="F19" s="623"/>
      <c r="G19" s="623"/>
      <c r="H19" s="623"/>
      <c r="I19" s="623"/>
      <c r="J19" s="623"/>
      <c r="K19" s="623"/>
      <c r="L19" s="623"/>
    </row>
    <row r="20" spans="1:14">
      <c r="A20" s="616" t="s">
        <v>1235</v>
      </c>
      <c r="D20" s="619">
        <f t="shared" ref="D20:I20" si="42">D175</f>
        <v>75081</v>
      </c>
      <c r="E20" s="619">
        <f t="shared" si="42"/>
        <v>75302</v>
      </c>
      <c r="F20" s="619">
        <f t="shared" si="42"/>
        <v>75733</v>
      </c>
      <c r="G20" s="619">
        <f t="shared" si="42"/>
        <v>76230</v>
      </c>
      <c r="H20" s="619">
        <f t="shared" si="42"/>
        <v>76055</v>
      </c>
      <c r="I20" s="619">
        <f t="shared" si="42"/>
        <v>75039</v>
      </c>
      <c r="J20" s="619">
        <f t="shared" ref="J20:K20" si="43">J175</f>
        <v>72542</v>
      </c>
      <c r="K20" s="619">
        <f t="shared" si="43"/>
        <v>72559</v>
      </c>
      <c r="L20" s="619">
        <f t="shared" ref="L20" si="44">L175</f>
        <v>73689</v>
      </c>
      <c r="N20" s="616" t="s">
        <v>1236</v>
      </c>
    </row>
    <row r="21" spans="1:14">
      <c r="D21" s="621"/>
      <c r="E21" s="621"/>
      <c r="F21" s="621"/>
      <c r="G21" s="621"/>
      <c r="H21" s="621"/>
      <c r="I21" s="621"/>
      <c r="J21" s="621"/>
      <c r="K21" s="621"/>
      <c r="L21" s="621"/>
    </row>
    <row r="22" spans="1:14">
      <c r="A22" s="616" t="s">
        <v>1237</v>
      </c>
      <c r="D22" s="619">
        <f t="shared" ref="D22:I22" si="45">D145</f>
        <v>74828</v>
      </c>
      <c r="E22" s="619">
        <f t="shared" si="45"/>
        <v>75680</v>
      </c>
      <c r="F22" s="619">
        <f t="shared" si="45"/>
        <v>75494</v>
      </c>
      <c r="G22" s="619">
        <f t="shared" si="45"/>
        <v>75539</v>
      </c>
      <c r="H22" s="619">
        <f t="shared" si="45"/>
        <v>75380</v>
      </c>
      <c r="I22" s="619">
        <f t="shared" si="45"/>
        <v>74146</v>
      </c>
      <c r="J22" s="619">
        <f t="shared" ref="J22:K22" si="46">J145</f>
        <v>73470</v>
      </c>
      <c r="K22" s="619">
        <f t="shared" si="46"/>
        <v>73801</v>
      </c>
      <c r="L22" s="619">
        <f t="shared" ref="L22" si="47">L145</f>
        <v>73834</v>
      </c>
      <c r="N22" s="616" t="s">
        <v>6872</v>
      </c>
    </row>
    <row r="23" spans="1:14">
      <c r="D23" s="621"/>
      <c r="E23" s="621"/>
      <c r="F23" s="621"/>
      <c r="G23" s="621"/>
      <c r="H23" s="621"/>
      <c r="I23" s="621"/>
      <c r="J23" s="621"/>
      <c r="K23" s="621"/>
      <c r="L23" s="621"/>
    </row>
    <row r="24" spans="1:14">
      <c r="A24" s="616" t="s">
        <v>1238</v>
      </c>
      <c r="D24" s="619">
        <f t="shared" ref="D24:I24" si="48">D176</f>
        <v>8792</v>
      </c>
      <c r="E24" s="619">
        <f t="shared" si="48"/>
        <v>8847</v>
      </c>
      <c r="F24" s="619">
        <f t="shared" si="48"/>
        <v>8821</v>
      </c>
      <c r="G24" s="619">
        <f t="shared" si="48"/>
        <v>8868</v>
      </c>
      <c r="H24" s="619">
        <f t="shared" si="48"/>
        <v>8900</v>
      </c>
      <c r="I24" s="619">
        <f t="shared" si="48"/>
        <v>8784</v>
      </c>
      <c r="J24" s="619">
        <f t="shared" ref="J24:K24" si="49">J176</f>
        <v>8755</v>
      </c>
      <c r="K24" s="619">
        <f t="shared" si="49"/>
        <v>8909</v>
      </c>
      <c r="L24" s="619">
        <f t="shared" ref="L24" si="50">L176</f>
        <v>9092</v>
      </c>
      <c r="N24" s="616" t="s">
        <v>1236</v>
      </c>
    </row>
    <row r="25" spans="1:14" ht="15.75" thickBot="1">
      <c r="D25" s="620">
        <f t="shared" ref="D25:I25" si="51">D211</f>
        <v>63712</v>
      </c>
      <c r="E25" s="620">
        <f t="shared" si="51"/>
        <v>64238</v>
      </c>
      <c r="F25" s="620">
        <f t="shared" si="51"/>
        <v>64623</v>
      </c>
      <c r="G25" s="620">
        <f t="shared" si="51"/>
        <v>65244</v>
      </c>
      <c r="H25" s="620">
        <f t="shared" si="51"/>
        <v>65467</v>
      </c>
      <c r="I25" s="620">
        <f t="shared" si="51"/>
        <v>65002</v>
      </c>
      <c r="J25" s="620">
        <f t="shared" ref="J25:K25" si="52">J211</f>
        <v>63283</v>
      </c>
      <c r="K25" s="620">
        <f t="shared" si="52"/>
        <v>64887</v>
      </c>
      <c r="L25" s="620">
        <f t="shared" ref="L25" si="53">L211</f>
        <v>64394</v>
      </c>
      <c r="N25" s="616" t="s">
        <v>1239</v>
      </c>
    </row>
    <row r="26" spans="1:14" ht="15.75" thickBot="1">
      <c r="D26" s="620">
        <f t="shared" ref="D26:I26" si="54">D24+D25</f>
        <v>72504</v>
      </c>
      <c r="E26" s="620">
        <f t="shared" si="54"/>
        <v>73085</v>
      </c>
      <c r="F26" s="620">
        <f t="shared" si="54"/>
        <v>73444</v>
      </c>
      <c r="G26" s="620">
        <f t="shared" si="54"/>
        <v>74112</v>
      </c>
      <c r="H26" s="620">
        <f t="shared" si="54"/>
        <v>74367</v>
      </c>
      <c r="I26" s="620">
        <f t="shared" si="54"/>
        <v>73786</v>
      </c>
      <c r="J26" s="620">
        <f t="shared" ref="J26:K26" si="55">J24+J25</f>
        <v>72038</v>
      </c>
      <c r="K26" s="620">
        <f t="shared" si="55"/>
        <v>73796</v>
      </c>
      <c r="L26" s="620">
        <f t="shared" ref="L26" si="56">L24+L25</f>
        <v>73486</v>
      </c>
    </row>
    <row r="27" spans="1:14">
      <c r="D27" s="621"/>
      <c r="E27" s="621"/>
      <c r="F27" s="621"/>
      <c r="G27" s="621"/>
      <c r="H27" s="621"/>
      <c r="I27" s="621"/>
      <c r="J27" s="621"/>
      <c r="K27" s="621"/>
      <c r="L27" s="621"/>
    </row>
    <row r="28" spans="1:14">
      <c r="A28" s="616" t="s">
        <v>3840</v>
      </c>
      <c r="D28" s="619">
        <f t="shared" ref="D28:I28" si="57">D246</f>
        <v>68819</v>
      </c>
      <c r="E28" s="619">
        <f t="shared" si="57"/>
        <v>68692</v>
      </c>
      <c r="F28" s="619">
        <f t="shared" si="57"/>
        <v>69154</v>
      </c>
      <c r="G28" s="619">
        <f t="shared" si="57"/>
        <v>68901</v>
      </c>
      <c r="H28" s="619">
        <f t="shared" si="57"/>
        <v>68782</v>
      </c>
      <c r="I28" s="619">
        <f t="shared" si="57"/>
        <v>65957</v>
      </c>
      <c r="J28" s="619">
        <f t="shared" ref="J28:K28" si="58">J246</f>
        <v>62936</v>
      </c>
      <c r="K28" s="619">
        <f t="shared" si="58"/>
        <v>62879</v>
      </c>
      <c r="L28" s="619">
        <f t="shared" ref="L28" si="59">L246</f>
        <v>65173</v>
      </c>
      <c r="N28" s="616" t="s">
        <v>3841</v>
      </c>
    </row>
    <row r="29" spans="1:14">
      <c r="D29" s="621"/>
      <c r="E29" s="621"/>
      <c r="F29" s="621"/>
      <c r="G29" s="621"/>
      <c r="H29" s="621"/>
      <c r="I29" s="621"/>
      <c r="J29" s="621"/>
      <c r="K29" s="621"/>
      <c r="L29" s="621"/>
    </row>
    <row r="30" spans="1:14">
      <c r="A30" s="616" t="s">
        <v>3842</v>
      </c>
      <c r="D30" s="619">
        <f t="shared" ref="D30:I30" si="60">D283</f>
        <v>73630</v>
      </c>
      <c r="E30" s="619">
        <f t="shared" si="60"/>
        <v>74189</v>
      </c>
      <c r="F30" s="619">
        <f t="shared" si="60"/>
        <v>74608</v>
      </c>
      <c r="G30" s="619">
        <f t="shared" si="60"/>
        <v>74945</v>
      </c>
      <c r="H30" s="619">
        <f t="shared" si="60"/>
        <v>74622</v>
      </c>
      <c r="I30" s="619">
        <f t="shared" si="60"/>
        <v>71956</v>
      </c>
      <c r="J30" s="619">
        <f t="shared" ref="J30:K30" si="61">J283</f>
        <v>72132</v>
      </c>
      <c r="K30" s="619">
        <f t="shared" si="61"/>
        <v>73660</v>
      </c>
      <c r="L30" s="619">
        <f t="shared" ref="L30" si="62">L283</f>
        <v>73658</v>
      </c>
      <c r="N30" s="616" t="s">
        <v>3843</v>
      </c>
    </row>
    <row r="31" spans="1:14">
      <c r="D31" s="621"/>
      <c r="E31" s="621"/>
      <c r="F31" s="621"/>
      <c r="G31" s="621"/>
      <c r="H31" s="621"/>
      <c r="I31" s="621"/>
      <c r="J31" s="621"/>
      <c r="K31" s="621"/>
      <c r="L31" s="621"/>
    </row>
    <row r="32" spans="1:14">
      <c r="A32" s="616" t="s">
        <v>3844</v>
      </c>
      <c r="D32" s="619">
        <f t="shared" ref="D32:I32" si="63">D284</f>
        <v>11651</v>
      </c>
      <c r="E32" s="619">
        <f t="shared" si="63"/>
        <v>11671</v>
      </c>
      <c r="F32" s="619">
        <f t="shared" si="63"/>
        <v>11697</v>
      </c>
      <c r="G32" s="619">
        <f t="shared" si="63"/>
        <v>11712</v>
      </c>
      <c r="H32" s="619">
        <f t="shared" si="63"/>
        <v>11701</v>
      </c>
      <c r="I32" s="619">
        <f t="shared" si="63"/>
        <v>11410</v>
      </c>
      <c r="J32" s="619">
        <f t="shared" ref="J32:K32" si="64">J284</f>
        <v>11275</v>
      </c>
      <c r="K32" s="619">
        <f t="shared" si="64"/>
        <v>11439</v>
      </c>
      <c r="L32" s="619">
        <f t="shared" ref="L32" si="65">L284</f>
        <v>11356</v>
      </c>
      <c r="N32" s="616" t="s">
        <v>3843</v>
      </c>
    </row>
    <row r="33" spans="1:14" ht="15.75" thickBot="1">
      <c r="D33" s="620">
        <f t="shared" ref="D33:I33" si="66">D320</f>
        <v>58861</v>
      </c>
      <c r="E33" s="620">
        <f t="shared" si="66"/>
        <v>58161</v>
      </c>
      <c r="F33" s="620">
        <f t="shared" si="66"/>
        <v>58052</v>
      </c>
      <c r="G33" s="620">
        <f t="shared" si="66"/>
        <v>58185</v>
      </c>
      <c r="H33" s="620">
        <f t="shared" si="66"/>
        <v>56714</v>
      </c>
      <c r="I33" s="620">
        <f t="shared" si="66"/>
        <v>55962</v>
      </c>
      <c r="J33" s="620">
        <f t="shared" ref="J33:K33" si="67">J320</f>
        <v>56530</v>
      </c>
      <c r="K33" s="620">
        <f t="shared" si="67"/>
        <v>58576</v>
      </c>
      <c r="L33" s="620">
        <f t="shared" ref="L33" si="68">L320</f>
        <v>59177</v>
      </c>
      <c r="N33" s="616" t="s">
        <v>3845</v>
      </c>
    </row>
    <row r="34" spans="1:14" ht="15.75" thickBot="1">
      <c r="D34" s="620">
        <f t="shared" ref="D34:I34" si="69">D32+D33</f>
        <v>70512</v>
      </c>
      <c r="E34" s="620">
        <f t="shared" si="69"/>
        <v>69832</v>
      </c>
      <c r="F34" s="620">
        <f t="shared" si="69"/>
        <v>69749</v>
      </c>
      <c r="G34" s="620">
        <f t="shared" si="69"/>
        <v>69897</v>
      </c>
      <c r="H34" s="620">
        <f t="shared" si="69"/>
        <v>68415</v>
      </c>
      <c r="I34" s="620">
        <f t="shared" si="69"/>
        <v>67372</v>
      </c>
      <c r="J34" s="620">
        <f t="shared" ref="J34:K34" si="70">J32+J33</f>
        <v>67805</v>
      </c>
      <c r="K34" s="620">
        <f t="shared" si="70"/>
        <v>70015</v>
      </c>
      <c r="L34" s="620">
        <f t="shared" ref="L34" si="71">L32+L33</f>
        <v>70533</v>
      </c>
    </row>
    <row r="35" spans="1:14">
      <c r="D35" s="621"/>
      <c r="E35" s="621"/>
      <c r="F35" s="621"/>
      <c r="G35" s="621"/>
      <c r="H35" s="621"/>
      <c r="I35" s="621"/>
      <c r="J35" s="621"/>
      <c r="K35" s="621"/>
      <c r="L35" s="621"/>
    </row>
    <row r="36" spans="1:14">
      <c r="A36" s="616" t="s">
        <v>3846</v>
      </c>
      <c r="D36" s="619">
        <f t="shared" ref="D36:I36" si="72">D247</f>
        <v>2784</v>
      </c>
      <c r="E36" s="619">
        <f t="shared" si="72"/>
        <v>2801</v>
      </c>
      <c r="F36" s="619">
        <f t="shared" si="72"/>
        <v>2763</v>
      </c>
      <c r="G36" s="619">
        <f t="shared" si="72"/>
        <v>2747</v>
      </c>
      <c r="H36" s="619">
        <f t="shared" si="72"/>
        <v>2769</v>
      </c>
      <c r="I36" s="619">
        <f t="shared" si="72"/>
        <v>2766</v>
      </c>
      <c r="J36" s="619">
        <f t="shared" ref="J36:K36" si="73">J247</f>
        <v>2679</v>
      </c>
      <c r="K36" s="619">
        <f t="shared" si="73"/>
        <v>2710</v>
      </c>
      <c r="L36" s="619">
        <f t="shared" ref="L36" si="74">L247</f>
        <v>2775</v>
      </c>
      <c r="N36" s="616" t="s">
        <v>3841</v>
      </c>
    </row>
    <row r="37" spans="1:14" ht="15.75" thickBot="1">
      <c r="D37" s="620">
        <f t="shared" ref="D37:I37" si="75">D357</f>
        <v>59593</v>
      </c>
      <c r="E37" s="620">
        <f t="shared" si="75"/>
        <v>59656</v>
      </c>
      <c r="F37" s="620">
        <f t="shared" si="75"/>
        <v>59634</v>
      </c>
      <c r="G37" s="620">
        <f t="shared" si="75"/>
        <v>59793</v>
      </c>
      <c r="H37" s="620">
        <f t="shared" si="75"/>
        <v>59643</v>
      </c>
      <c r="I37" s="620">
        <f t="shared" si="75"/>
        <v>59650</v>
      </c>
      <c r="J37" s="620">
        <f t="shared" ref="J37:K37" si="76">J357</f>
        <v>59658</v>
      </c>
      <c r="K37" s="620">
        <f t="shared" si="76"/>
        <v>59820</v>
      </c>
      <c r="L37" s="620">
        <f t="shared" ref="L37" si="77">L357</f>
        <v>59626</v>
      </c>
      <c r="N37" s="616" t="s">
        <v>3847</v>
      </c>
    </row>
    <row r="38" spans="1:14" ht="15.75" thickBot="1">
      <c r="D38" s="620">
        <f t="shared" ref="D38:I38" si="78">D36+D37</f>
        <v>62377</v>
      </c>
      <c r="E38" s="620">
        <f t="shared" si="78"/>
        <v>62457</v>
      </c>
      <c r="F38" s="620">
        <f t="shared" si="78"/>
        <v>62397</v>
      </c>
      <c r="G38" s="620">
        <f t="shared" si="78"/>
        <v>62540</v>
      </c>
      <c r="H38" s="620">
        <f t="shared" si="78"/>
        <v>62412</v>
      </c>
      <c r="I38" s="620">
        <f t="shared" si="78"/>
        <v>62416</v>
      </c>
      <c r="J38" s="620">
        <f t="shared" ref="J38:K38" si="79">J36+J37</f>
        <v>62337</v>
      </c>
      <c r="K38" s="620">
        <f t="shared" si="79"/>
        <v>62530</v>
      </c>
      <c r="L38" s="620">
        <f t="shared" ref="L38" si="80">L36+L37</f>
        <v>62401</v>
      </c>
    </row>
    <row r="39" spans="1:14">
      <c r="D39" s="621"/>
      <c r="E39" s="621"/>
      <c r="F39" s="621"/>
      <c r="G39" s="621"/>
      <c r="H39" s="621"/>
      <c r="I39" s="621"/>
      <c r="J39" s="621"/>
      <c r="K39" s="621"/>
      <c r="L39" s="621"/>
    </row>
    <row r="40" spans="1:14">
      <c r="A40" s="616" t="s">
        <v>3848</v>
      </c>
      <c r="D40" s="619">
        <f t="shared" ref="D40:I40" si="81">D119</f>
        <v>61083</v>
      </c>
      <c r="E40" s="619">
        <f t="shared" si="81"/>
        <v>61774</v>
      </c>
      <c r="F40" s="619">
        <f t="shared" si="81"/>
        <v>62483</v>
      </c>
      <c r="G40" s="619">
        <f t="shared" si="81"/>
        <v>61821</v>
      </c>
      <c r="H40" s="619">
        <f t="shared" si="81"/>
        <v>61561</v>
      </c>
      <c r="I40" s="619">
        <f t="shared" si="81"/>
        <v>59472</v>
      </c>
      <c r="J40" s="619">
        <f t="shared" ref="J40:K40" si="82">J119</f>
        <v>58259</v>
      </c>
      <c r="K40" s="619">
        <f t="shared" si="82"/>
        <v>56358</v>
      </c>
      <c r="L40" s="619">
        <f t="shared" ref="L40" si="83">L119</f>
        <v>57802</v>
      </c>
      <c r="N40" s="616" t="s">
        <v>3849</v>
      </c>
    </row>
    <row r="41" spans="1:14">
      <c r="D41" s="621"/>
      <c r="E41" s="621"/>
      <c r="F41" s="621"/>
      <c r="G41" s="621"/>
      <c r="H41" s="621"/>
      <c r="I41" s="621"/>
      <c r="J41" s="621"/>
      <c r="K41" s="621"/>
      <c r="L41" s="621"/>
    </row>
    <row r="42" spans="1:14">
      <c r="A42" s="616" t="s">
        <v>3850</v>
      </c>
      <c r="D42" s="619">
        <f t="shared" ref="D42:I42" si="84">D248</f>
        <v>16373</v>
      </c>
      <c r="E42" s="619">
        <f t="shared" si="84"/>
        <v>16182</v>
      </c>
      <c r="F42" s="619">
        <f t="shared" si="84"/>
        <v>16178</v>
      </c>
      <c r="G42" s="619">
        <f t="shared" si="84"/>
        <v>16050</v>
      </c>
      <c r="H42" s="619">
        <f t="shared" si="84"/>
        <v>15912</v>
      </c>
      <c r="I42" s="619">
        <f t="shared" si="84"/>
        <v>15783</v>
      </c>
      <c r="J42" s="619">
        <f t="shared" ref="J42:K42" si="85">J248</f>
        <v>14946</v>
      </c>
      <c r="K42" s="619">
        <f t="shared" si="85"/>
        <v>15147</v>
      </c>
      <c r="L42" s="619">
        <f t="shared" ref="L42" si="86">L248</f>
        <v>15639</v>
      </c>
      <c r="N42" s="616" t="s">
        <v>3841</v>
      </c>
    </row>
    <row r="43" spans="1:14" ht="15.75" thickBot="1">
      <c r="D43" s="620">
        <f t="shared" ref="D43:I43" si="87">D120</f>
        <v>55872</v>
      </c>
      <c r="E43" s="620">
        <f t="shared" si="87"/>
        <v>56043</v>
      </c>
      <c r="F43" s="620">
        <f t="shared" si="87"/>
        <v>56107</v>
      </c>
      <c r="G43" s="620">
        <f t="shared" si="87"/>
        <v>56230</v>
      </c>
      <c r="H43" s="620">
        <f t="shared" si="87"/>
        <v>56421</v>
      </c>
      <c r="I43" s="620">
        <f t="shared" si="87"/>
        <v>55264</v>
      </c>
      <c r="J43" s="620">
        <f t="shared" ref="J43:K43" si="88">J120</f>
        <v>54763</v>
      </c>
      <c r="K43" s="620">
        <f t="shared" si="88"/>
        <v>53890</v>
      </c>
      <c r="L43" s="620">
        <f t="shared" ref="L43" si="89">L120</f>
        <v>55103</v>
      </c>
      <c r="N43" s="616" t="s">
        <v>3849</v>
      </c>
    </row>
    <row r="44" spans="1:14" ht="15.75" thickBot="1">
      <c r="D44" s="620">
        <f t="shared" ref="D44:I44" si="90">D42+D43</f>
        <v>72245</v>
      </c>
      <c r="E44" s="620">
        <f t="shared" si="90"/>
        <v>72225</v>
      </c>
      <c r="F44" s="620">
        <f t="shared" si="90"/>
        <v>72285</v>
      </c>
      <c r="G44" s="620">
        <f t="shared" si="90"/>
        <v>72280</v>
      </c>
      <c r="H44" s="620">
        <f t="shared" si="90"/>
        <v>72333</v>
      </c>
      <c r="I44" s="620">
        <f t="shared" si="90"/>
        <v>71047</v>
      </c>
      <c r="J44" s="620">
        <f t="shared" ref="J44:K44" si="91">J42+J43</f>
        <v>69709</v>
      </c>
      <c r="K44" s="620">
        <f t="shared" si="91"/>
        <v>69037</v>
      </c>
      <c r="L44" s="620">
        <f t="shared" ref="L44" si="92">L42+L43</f>
        <v>70742</v>
      </c>
    </row>
    <row r="45" spans="1:14">
      <c r="D45" s="621"/>
      <c r="E45" s="621"/>
      <c r="F45" s="621"/>
      <c r="G45" s="621"/>
      <c r="H45" s="621"/>
      <c r="I45" s="621"/>
      <c r="J45" s="621"/>
      <c r="K45" s="621"/>
      <c r="L45" s="621"/>
    </row>
    <row r="46" spans="1:14">
      <c r="A46" s="616" t="s">
        <v>3851</v>
      </c>
      <c r="D46" s="619">
        <f t="shared" ref="D46:I46" si="93">D121</f>
        <v>68301</v>
      </c>
      <c r="E46" s="619">
        <f t="shared" si="93"/>
        <v>68624</v>
      </c>
      <c r="F46" s="619">
        <f t="shared" si="93"/>
        <v>68842</v>
      </c>
      <c r="G46" s="619">
        <f t="shared" si="93"/>
        <v>69052</v>
      </c>
      <c r="H46" s="619">
        <f t="shared" si="93"/>
        <v>68532</v>
      </c>
      <c r="I46" s="619">
        <f t="shared" si="93"/>
        <v>67502</v>
      </c>
      <c r="J46" s="619">
        <f t="shared" ref="J46:K46" si="94">J121</f>
        <v>66835</v>
      </c>
      <c r="K46" s="619">
        <f t="shared" si="94"/>
        <v>65986</v>
      </c>
      <c r="L46" s="619">
        <f t="shared" ref="L46" si="95">L121</f>
        <v>67249</v>
      </c>
      <c r="N46" s="616" t="s">
        <v>3849</v>
      </c>
    </row>
    <row r="47" spans="1:14">
      <c r="D47" s="621"/>
      <c r="E47" s="621"/>
      <c r="F47" s="621"/>
      <c r="G47" s="621"/>
      <c r="H47" s="621"/>
      <c r="I47" s="621"/>
      <c r="J47" s="621"/>
      <c r="K47" s="621"/>
      <c r="L47" s="621"/>
    </row>
    <row r="48" spans="1:14">
      <c r="A48" s="616" t="s">
        <v>3852</v>
      </c>
      <c r="D48" s="619">
        <f t="shared" ref="D48:I48" si="96">D249</f>
        <v>9064</v>
      </c>
      <c r="E48" s="619">
        <f t="shared" si="96"/>
        <v>9053</v>
      </c>
      <c r="F48" s="619">
        <f t="shared" si="96"/>
        <v>9111</v>
      </c>
      <c r="G48" s="619">
        <f t="shared" si="96"/>
        <v>9131</v>
      </c>
      <c r="H48" s="619">
        <f t="shared" si="96"/>
        <v>9117</v>
      </c>
      <c r="I48" s="619">
        <f t="shared" si="96"/>
        <v>9084</v>
      </c>
      <c r="J48" s="619">
        <f t="shared" ref="J48:K48" si="97">J249</f>
        <v>8686</v>
      </c>
      <c r="K48" s="619">
        <f t="shared" si="97"/>
        <v>8789</v>
      </c>
      <c r="L48" s="619">
        <f t="shared" ref="L48" si="98">L249</f>
        <v>8934</v>
      </c>
      <c r="N48" s="616" t="s">
        <v>3841</v>
      </c>
    </row>
    <row r="49" spans="1:14">
      <c r="D49" s="619">
        <f t="shared" ref="D49:I49" si="99">D321</f>
        <v>39442</v>
      </c>
      <c r="E49" s="619">
        <f t="shared" si="99"/>
        <v>39298</v>
      </c>
      <c r="F49" s="619">
        <f t="shared" si="99"/>
        <v>39489</v>
      </c>
      <c r="G49" s="619">
        <f t="shared" si="99"/>
        <v>39729</v>
      </c>
      <c r="H49" s="619">
        <f t="shared" si="99"/>
        <v>39128</v>
      </c>
      <c r="I49" s="619">
        <f t="shared" si="99"/>
        <v>39024</v>
      </c>
      <c r="J49" s="619">
        <f t="shared" ref="J49:K49" si="100">J321</f>
        <v>39028</v>
      </c>
      <c r="K49" s="619">
        <f t="shared" si="100"/>
        <v>40076</v>
      </c>
      <c r="L49" s="619">
        <f t="shared" ref="L49" si="101">L321</f>
        <v>40445</v>
      </c>
      <c r="N49" s="616" t="s">
        <v>3845</v>
      </c>
    </row>
    <row r="50" spans="1:14" ht="15.75" thickBot="1">
      <c r="D50" s="620">
        <f t="shared" ref="D50:I50" si="102">D358</f>
        <v>18359</v>
      </c>
      <c r="E50" s="620">
        <f t="shared" si="102"/>
        <v>18378</v>
      </c>
      <c r="F50" s="620">
        <f t="shared" si="102"/>
        <v>18544</v>
      </c>
      <c r="G50" s="620">
        <f t="shared" si="102"/>
        <v>18620</v>
      </c>
      <c r="H50" s="620">
        <f t="shared" si="102"/>
        <v>18625</v>
      </c>
      <c r="I50" s="620">
        <f t="shared" si="102"/>
        <v>18627</v>
      </c>
      <c r="J50" s="620">
        <f t="shared" ref="J50:K50" si="103">J358</f>
        <v>18553</v>
      </c>
      <c r="K50" s="620">
        <f t="shared" si="103"/>
        <v>18386</v>
      </c>
      <c r="L50" s="620">
        <f t="shared" ref="L50" si="104">L358</f>
        <v>18376</v>
      </c>
      <c r="N50" s="616" t="s">
        <v>3847</v>
      </c>
    </row>
    <row r="51" spans="1:14" ht="15.75" thickBot="1">
      <c r="D51" s="620">
        <f t="shared" ref="D51:I51" si="105">SUM(D48:D50)</f>
        <v>66865</v>
      </c>
      <c r="E51" s="620">
        <f t="shared" si="105"/>
        <v>66729</v>
      </c>
      <c r="F51" s="620">
        <f t="shared" si="105"/>
        <v>67144</v>
      </c>
      <c r="G51" s="620">
        <f t="shared" si="105"/>
        <v>67480</v>
      </c>
      <c r="H51" s="620">
        <f t="shared" si="105"/>
        <v>66870</v>
      </c>
      <c r="I51" s="620">
        <f t="shared" si="105"/>
        <v>66735</v>
      </c>
      <c r="J51" s="620">
        <f t="shared" ref="J51:K51" si="106">SUM(J48:J50)</f>
        <v>66267</v>
      </c>
      <c r="K51" s="620">
        <f t="shared" si="106"/>
        <v>67251</v>
      </c>
      <c r="L51" s="620">
        <f t="shared" ref="L51" si="107">SUM(L48:L50)</f>
        <v>67755</v>
      </c>
    </row>
    <row r="52" spans="1:14">
      <c r="D52" s="621"/>
      <c r="E52" s="621"/>
      <c r="F52" s="621"/>
      <c r="G52" s="621"/>
      <c r="H52" s="621"/>
      <c r="I52" s="621"/>
      <c r="J52" s="621"/>
      <c r="K52" s="621"/>
      <c r="L52" s="621"/>
    </row>
    <row r="53" spans="1:14">
      <c r="A53" s="616" t="s">
        <v>3853</v>
      </c>
      <c r="D53" s="619">
        <f t="shared" ref="D53:I53" si="108">D212</f>
        <v>14269</v>
      </c>
      <c r="E53" s="619">
        <f t="shared" si="108"/>
        <v>14406</v>
      </c>
      <c r="F53" s="619">
        <f t="shared" si="108"/>
        <v>14511</v>
      </c>
      <c r="G53" s="619">
        <f t="shared" si="108"/>
        <v>14715</v>
      </c>
      <c r="H53" s="619">
        <f t="shared" si="108"/>
        <v>14790</v>
      </c>
      <c r="I53" s="619">
        <f t="shared" si="108"/>
        <v>14686</v>
      </c>
      <c r="J53" s="619">
        <f t="shared" ref="J53:K53" si="109">J212</f>
        <v>14308</v>
      </c>
      <c r="K53" s="619">
        <f t="shared" si="109"/>
        <v>14586</v>
      </c>
      <c r="L53" s="619">
        <f t="shared" ref="L53" si="110">L212</f>
        <v>14503</v>
      </c>
      <c r="N53" s="616" t="s">
        <v>1239</v>
      </c>
    </row>
    <row r="54" spans="1:14" ht="15.75" thickBot="1">
      <c r="D54" s="620">
        <f t="shared" ref="D54:I54" si="111">D377</f>
        <v>57698</v>
      </c>
      <c r="E54" s="620">
        <f t="shared" si="111"/>
        <v>58138</v>
      </c>
      <c r="F54" s="620">
        <f t="shared" si="111"/>
        <v>57750</v>
      </c>
      <c r="G54" s="620">
        <f t="shared" si="111"/>
        <v>58132</v>
      </c>
      <c r="H54" s="620">
        <f t="shared" si="111"/>
        <v>57352</v>
      </c>
      <c r="I54" s="620">
        <f t="shared" si="111"/>
        <v>56462</v>
      </c>
      <c r="J54" s="620">
        <f t="shared" ref="J54:K54" si="112">J377</f>
        <v>56689</v>
      </c>
      <c r="K54" s="620">
        <f t="shared" si="112"/>
        <v>57019</v>
      </c>
      <c r="L54" s="620">
        <f t="shared" ref="L54" si="113">L377</f>
        <v>57315</v>
      </c>
      <c r="N54" s="616" t="s">
        <v>5105</v>
      </c>
    </row>
    <row r="55" spans="1:14" ht="15.75" thickBot="1">
      <c r="D55" s="620">
        <f t="shared" ref="D55:I55" si="114">D53+D54</f>
        <v>71967</v>
      </c>
      <c r="E55" s="620">
        <f t="shared" si="114"/>
        <v>72544</v>
      </c>
      <c r="F55" s="620">
        <f t="shared" si="114"/>
        <v>72261</v>
      </c>
      <c r="G55" s="620">
        <f t="shared" si="114"/>
        <v>72847</v>
      </c>
      <c r="H55" s="620">
        <f t="shared" si="114"/>
        <v>72142</v>
      </c>
      <c r="I55" s="620">
        <f t="shared" si="114"/>
        <v>71148</v>
      </c>
      <c r="J55" s="620">
        <f t="shared" ref="J55:K55" si="115">J53+J54</f>
        <v>70997</v>
      </c>
      <c r="K55" s="620">
        <f t="shared" si="115"/>
        <v>71605</v>
      </c>
      <c r="L55" s="620">
        <f t="shared" ref="L55" si="116">L53+L54</f>
        <v>71818</v>
      </c>
    </row>
    <row r="56" spans="1:14">
      <c r="D56" s="621"/>
      <c r="E56" s="621"/>
      <c r="F56" s="621"/>
      <c r="G56" s="621"/>
      <c r="H56" s="621"/>
      <c r="I56" s="621"/>
      <c r="J56" s="621"/>
      <c r="K56" s="621"/>
      <c r="L56" s="621"/>
    </row>
    <row r="57" spans="1:14">
      <c r="A57" s="616" t="s">
        <v>8697</v>
      </c>
      <c r="D57" s="619">
        <f t="shared" ref="D57:I57" si="117">SUM(D20,D22,D26,D28,D30,D34,D38,D40,D44,D46,D51,D55)</f>
        <v>838212</v>
      </c>
      <c r="E57" s="619">
        <f t="shared" si="117"/>
        <v>841133</v>
      </c>
      <c r="F57" s="619">
        <f t="shared" si="117"/>
        <v>843594</v>
      </c>
      <c r="G57" s="619">
        <f t="shared" si="117"/>
        <v>845644</v>
      </c>
      <c r="H57" s="619">
        <f t="shared" si="117"/>
        <v>841471</v>
      </c>
      <c r="I57" s="619">
        <f t="shared" si="117"/>
        <v>826576</v>
      </c>
      <c r="J57" s="619">
        <f t="shared" ref="J57:K57" si="118">SUM(J20,J22,J26,J28,J30,J34,J38,J40,J44,J46,J51,J55)</f>
        <v>815327</v>
      </c>
      <c r="K57" s="619">
        <f t="shared" si="118"/>
        <v>819477</v>
      </c>
      <c r="L57" s="619">
        <f t="shared" ref="L57" si="119">SUM(L20,L22,L26,L28,L30,L34,L38,L40,L44,L46,L51,L55)</f>
        <v>828140</v>
      </c>
    </row>
    <row r="58" spans="1:14">
      <c r="D58" s="621"/>
      <c r="E58" s="621"/>
      <c r="F58" s="621"/>
      <c r="G58" s="621"/>
      <c r="H58" s="621"/>
      <c r="I58" s="621"/>
      <c r="J58" s="621"/>
      <c r="K58" s="621"/>
      <c r="L58" s="621"/>
    </row>
    <row r="59" spans="1:14">
      <c r="A59" s="616" t="s">
        <v>8698</v>
      </c>
      <c r="D59" s="619">
        <f t="shared" ref="D59:I59" si="120">MAX(D20,D22,D26,D28,D30,D34,D38,D40,D44,D46,D51,D55)-MIN(D20,D22,D26,D28,D30,D34,D38,D40,D44,D46,D51,D55)</f>
        <v>13998</v>
      </c>
      <c r="E59" s="619">
        <f t="shared" si="120"/>
        <v>13906</v>
      </c>
      <c r="F59" s="619">
        <f t="shared" si="120"/>
        <v>13336</v>
      </c>
      <c r="G59" s="619">
        <f t="shared" si="120"/>
        <v>14409</v>
      </c>
      <c r="H59" s="619">
        <f t="shared" si="120"/>
        <v>14494</v>
      </c>
      <c r="I59" s="619">
        <f t="shared" si="120"/>
        <v>15567</v>
      </c>
      <c r="J59" s="619">
        <f t="shared" ref="J59:K59" si="121">MAX(J20,J22,J26,J28,J30,J34,J38,J40,J44,J46,J51,J55)-MIN(J20,J22,J26,J28,J30,J34,J38,J40,J44,J46,J51,J55)</f>
        <v>15211</v>
      </c>
      <c r="K59" s="619">
        <f t="shared" si="121"/>
        <v>17443</v>
      </c>
      <c r="L59" s="619">
        <f t="shared" ref="L59" si="122">MAX(L20,L22,L26,L28,L30,L34,L38,L40,L44,L46,L51,L55)-MIN(L20,L22,L26,L28,L30,L34,L38,L40,L44,L46,L51,L55)</f>
        <v>16032</v>
      </c>
    </row>
    <row r="60" spans="1:14">
      <c r="D60" s="621"/>
      <c r="E60" s="621"/>
      <c r="F60" s="621"/>
      <c r="G60" s="621"/>
      <c r="H60" s="621"/>
      <c r="I60" s="621"/>
      <c r="J60" s="621"/>
      <c r="K60" s="621"/>
      <c r="L60" s="621"/>
    </row>
    <row r="61" spans="1:14">
      <c r="A61" s="616" t="s">
        <v>8701</v>
      </c>
      <c r="D61" s="619">
        <f t="shared" ref="D61:I61" si="123">STDEVP(D20,D22,D26,D28,D30,D34,D38,D40,D44,D46,D51,D55)</f>
        <v>4370.4548962321987</v>
      </c>
      <c r="E61" s="619">
        <f t="shared" si="123"/>
        <v>4450.1869522214711</v>
      </c>
      <c r="F61" s="619">
        <f t="shared" si="123"/>
        <v>4377.8836496645272</v>
      </c>
      <c r="G61" s="619">
        <f t="shared" si="123"/>
        <v>4587.2957962422934</v>
      </c>
      <c r="H61" s="619">
        <f t="shared" si="123"/>
        <v>4660.4172641930782</v>
      </c>
      <c r="I61" s="619">
        <f t="shared" si="123"/>
        <v>4624.6261350393379</v>
      </c>
      <c r="J61" s="619">
        <f t="shared" ref="J61:K61" si="124">STDEVP(J20,J22,J26,J28,J30,J34,J38,J40,J44,J46,J51,J55)</f>
        <v>4589.7872401367604</v>
      </c>
      <c r="K61" s="619">
        <f t="shared" si="124"/>
        <v>5271.688204060757</v>
      </c>
      <c r="L61" s="619">
        <f t="shared" ref="L61" si="125">STDEVP(L20,L22,L26,L28,L30,L34,L38,L40,L44,L46,L51,L55)</f>
        <v>4904.9595705661923</v>
      </c>
    </row>
    <row r="62" spans="1:14">
      <c r="A62" s="616"/>
      <c r="D62" s="619"/>
      <c r="E62" s="619"/>
      <c r="F62" s="619"/>
      <c r="G62" s="619"/>
      <c r="H62" s="619"/>
      <c r="I62" s="619"/>
      <c r="J62" s="619"/>
      <c r="K62" s="619"/>
      <c r="L62" s="619"/>
    </row>
    <row r="63" spans="1:14">
      <c r="A63" s="616" t="s">
        <v>1517</v>
      </c>
    </row>
    <row r="64" spans="1:14">
      <c r="A64" s="616"/>
    </row>
    <row r="65" spans="1:17">
      <c r="A65" s="20"/>
    </row>
    <row r="66" spans="1:17">
      <c r="E66" s="42" t="s">
        <v>2303</v>
      </c>
      <c r="F66" s="42"/>
      <c r="G66" s="42"/>
      <c r="H66" s="42"/>
      <c r="I66" s="42"/>
      <c r="J66" s="42"/>
      <c r="K66" s="42"/>
      <c r="L66" s="42"/>
      <c r="M66" s="109"/>
      <c r="N66" s="109" t="s">
        <v>13319</v>
      </c>
    </row>
    <row r="67" spans="1:17">
      <c r="D67" s="110">
        <v>2010</v>
      </c>
      <c r="E67" s="110">
        <v>2011</v>
      </c>
      <c r="F67" s="110">
        <v>2012</v>
      </c>
      <c r="G67" s="110">
        <v>2013</v>
      </c>
      <c r="H67" s="110">
        <v>2014</v>
      </c>
      <c r="I67" s="110">
        <v>2015</v>
      </c>
      <c r="J67" s="110">
        <v>2016</v>
      </c>
      <c r="K67" s="110">
        <v>2017</v>
      </c>
      <c r="L67" s="110">
        <v>2018</v>
      </c>
      <c r="M67" s="109"/>
      <c r="N67" s="112" t="s">
        <v>2304</v>
      </c>
    </row>
    <row r="68" spans="1:17">
      <c r="A68" s="616" t="s">
        <v>1224</v>
      </c>
      <c r="C68" s="616"/>
      <c r="D68" s="619">
        <f t="shared" ref="D68:K68" si="126">D69+D70+D72+D73+SUM(D75:D77)+SUM(D79:D89)+SUM(D91:D97)+SUM(D99:D113)+SUM(D115:D117)</f>
        <v>185256</v>
      </c>
      <c r="E68" s="619">
        <f t="shared" si="126"/>
        <v>186441</v>
      </c>
      <c r="F68" s="619">
        <f t="shared" si="126"/>
        <v>187432</v>
      </c>
      <c r="G68" s="619">
        <f t="shared" si="126"/>
        <v>187103</v>
      </c>
      <c r="H68" s="619">
        <f t="shared" si="126"/>
        <v>186514</v>
      </c>
      <c r="I68" s="619">
        <f t="shared" si="126"/>
        <v>182238</v>
      </c>
      <c r="J68" s="619">
        <f t="shared" si="126"/>
        <v>179857</v>
      </c>
      <c r="K68" s="619">
        <f t="shared" si="126"/>
        <v>176234</v>
      </c>
      <c r="L68" s="619">
        <f>L69+L70+L72+L73+SUM(L75:L77)+SUM(L79:L89)+SUM(L91:L97)+SUM(L99:L113)+SUM(L115:L117)</f>
        <v>180154</v>
      </c>
    </row>
    <row r="69" spans="1:17">
      <c r="A69" s="616" t="s">
        <v>6957</v>
      </c>
      <c r="B69" s="616" t="s">
        <v>12956</v>
      </c>
      <c r="C69" s="4" t="s">
        <v>12957</v>
      </c>
      <c r="D69" s="619">
        <v>0</v>
      </c>
      <c r="E69" s="619">
        <v>0</v>
      </c>
      <c r="F69" s="619">
        <v>7590</v>
      </c>
      <c r="G69" s="619">
        <v>7611</v>
      </c>
      <c r="H69" s="30">
        <v>7534</v>
      </c>
      <c r="I69" s="30">
        <v>7431</v>
      </c>
      <c r="J69" s="30">
        <v>7354</v>
      </c>
      <c r="K69" s="30">
        <v>7155</v>
      </c>
      <c r="L69" s="30">
        <v>7365</v>
      </c>
      <c r="N69" s="616" t="s">
        <v>3848</v>
      </c>
      <c r="O69" s="4"/>
      <c r="Q69" s="4"/>
    </row>
    <row r="70" spans="1:17" ht="15.75" thickBot="1">
      <c r="A70" s="616"/>
      <c r="B70" s="616"/>
      <c r="C70" s="4" t="s">
        <v>12957</v>
      </c>
      <c r="D70" s="619">
        <v>0</v>
      </c>
      <c r="E70" s="619">
        <v>0</v>
      </c>
      <c r="F70" s="619">
        <v>17</v>
      </c>
      <c r="G70" s="619">
        <v>14</v>
      </c>
      <c r="H70" s="30">
        <v>19</v>
      </c>
      <c r="I70" s="30">
        <v>19</v>
      </c>
      <c r="J70" s="30">
        <v>15</v>
      </c>
      <c r="K70" s="30">
        <v>15</v>
      </c>
      <c r="L70" s="30">
        <v>17</v>
      </c>
      <c r="N70" s="616" t="s">
        <v>3850</v>
      </c>
      <c r="O70" s="4"/>
      <c r="Q70" s="4"/>
    </row>
    <row r="71" spans="1:17" ht="15.75" thickBot="1">
      <c r="A71" s="616"/>
      <c r="B71" s="616"/>
      <c r="C71" s="4" t="s">
        <v>12957</v>
      </c>
      <c r="D71" s="615">
        <f t="shared" ref="D71:E71" si="127">D69+D70</f>
        <v>0</v>
      </c>
      <c r="E71" s="615">
        <f t="shared" si="127"/>
        <v>0</v>
      </c>
      <c r="F71" s="615">
        <f t="shared" ref="F71:L71" si="128">F69+F70</f>
        <v>7607</v>
      </c>
      <c r="G71" s="615">
        <f t="shared" si="128"/>
        <v>7625</v>
      </c>
      <c r="H71" s="615">
        <f t="shared" si="128"/>
        <v>7553</v>
      </c>
      <c r="I71" s="615">
        <f t="shared" si="128"/>
        <v>7450</v>
      </c>
      <c r="J71" s="615">
        <f t="shared" si="128"/>
        <v>7369</v>
      </c>
      <c r="K71" s="615">
        <f t="shared" si="128"/>
        <v>7170</v>
      </c>
      <c r="L71" s="615">
        <f t="shared" si="128"/>
        <v>7382</v>
      </c>
      <c r="N71" s="616"/>
      <c r="O71" s="4"/>
      <c r="Q71" s="4"/>
    </row>
    <row r="72" spans="1:17">
      <c r="A72" s="616" t="s">
        <v>6959</v>
      </c>
      <c r="B72" s="616" t="s">
        <v>12958</v>
      </c>
      <c r="C72" s="4" t="s">
        <v>12959</v>
      </c>
      <c r="D72" s="619">
        <v>0</v>
      </c>
      <c r="E72" s="619">
        <v>0</v>
      </c>
      <c r="F72" s="619">
        <v>3801</v>
      </c>
      <c r="G72" s="619">
        <v>3820</v>
      </c>
      <c r="H72" s="30">
        <v>3794</v>
      </c>
      <c r="I72" s="30">
        <v>3762</v>
      </c>
      <c r="J72" s="30">
        <v>3738</v>
      </c>
      <c r="K72" s="30">
        <v>3648</v>
      </c>
      <c r="L72" s="30">
        <v>3689</v>
      </c>
      <c r="N72" s="616" t="s">
        <v>3848</v>
      </c>
      <c r="O72" s="4"/>
      <c r="Q72" s="4"/>
    </row>
    <row r="73" spans="1:17" ht="15.75" thickBot="1">
      <c r="A73" s="616"/>
      <c r="B73" s="616"/>
      <c r="C73" s="4" t="s">
        <v>12959</v>
      </c>
      <c r="D73" s="619">
        <v>0</v>
      </c>
      <c r="E73" s="619">
        <v>0</v>
      </c>
      <c r="F73" s="620">
        <v>9954</v>
      </c>
      <c r="G73" s="624">
        <v>9928</v>
      </c>
      <c r="H73" s="30">
        <v>9909</v>
      </c>
      <c r="I73" s="30">
        <v>9706</v>
      </c>
      <c r="J73" s="30">
        <v>9633</v>
      </c>
      <c r="K73" s="30">
        <v>9426</v>
      </c>
      <c r="L73" s="30">
        <v>9668</v>
      </c>
      <c r="N73" s="616" t="s">
        <v>3850</v>
      </c>
      <c r="O73" s="4"/>
      <c r="Q73" s="4"/>
    </row>
    <row r="74" spans="1:17" ht="15.75" thickBot="1">
      <c r="A74" s="616"/>
      <c r="B74" s="616"/>
      <c r="C74" s="4" t="s">
        <v>12959</v>
      </c>
      <c r="D74" s="615">
        <f t="shared" ref="D74:E74" si="129">D72+D73</f>
        <v>0</v>
      </c>
      <c r="E74" s="615">
        <f t="shared" si="129"/>
        <v>0</v>
      </c>
      <c r="F74" s="615">
        <f t="shared" ref="F74:L74" si="130">F72+F73</f>
        <v>13755</v>
      </c>
      <c r="G74" s="615">
        <f t="shared" si="130"/>
        <v>13748</v>
      </c>
      <c r="H74" s="615">
        <f t="shared" si="130"/>
        <v>13703</v>
      </c>
      <c r="I74" s="615">
        <f t="shared" si="130"/>
        <v>13468</v>
      </c>
      <c r="J74" s="615">
        <f t="shared" si="130"/>
        <v>13371</v>
      </c>
      <c r="K74" s="615">
        <f t="shared" si="130"/>
        <v>13074</v>
      </c>
      <c r="L74" s="615">
        <f t="shared" si="130"/>
        <v>13357</v>
      </c>
      <c r="N74" s="616"/>
      <c r="O74" s="4"/>
      <c r="Q74" s="4"/>
    </row>
    <row r="75" spans="1:17">
      <c r="A75" s="616" t="s">
        <v>6961</v>
      </c>
      <c r="B75" s="616" t="s">
        <v>12960</v>
      </c>
      <c r="C75" s="4" t="s">
        <v>12961</v>
      </c>
      <c r="D75" s="619">
        <v>61083</v>
      </c>
      <c r="E75" s="619">
        <v>61774</v>
      </c>
      <c r="F75" s="619">
        <v>7677</v>
      </c>
      <c r="G75" s="619">
        <v>7685</v>
      </c>
      <c r="H75" s="30">
        <v>7634</v>
      </c>
      <c r="I75" s="30">
        <v>7418</v>
      </c>
      <c r="J75" s="30">
        <v>7346</v>
      </c>
      <c r="K75" s="30">
        <v>7121</v>
      </c>
      <c r="L75" s="30">
        <v>7249</v>
      </c>
      <c r="N75" s="616" t="s">
        <v>3848</v>
      </c>
      <c r="O75" s="4"/>
      <c r="Q75" s="4"/>
    </row>
    <row r="76" spans="1:17">
      <c r="A76" s="616" t="s">
        <v>6963</v>
      </c>
      <c r="B76" s="616" t="s">
        <v>12962</v>
      </c>
      <c r="C76" s="4" t="s">
        <v>12963</v>
      </c>
      <c r="D76" s="619">
        <v>0</v>
      </c>
      <c r="E76" s="619">
        <v>0</v>
      </c>
      <c r="F76" s="619">
        <v>8361</v>
      </c>
      <c r="G76" s="619">
        <v>8370</v>
      </c>
      <c r="H76" s="30">
        <v>8280</v>
      </c>
      <c r="I76" s="30">
        <v>8046</v>
      </c>
      <c r="J76" s="30">
        <v>8058</v>
      </c>
      <c r="K76" s="30">
        <v>7817</v>
      </c>
      <c r="L76" s="30">
        <v>7892</v>
      </c>
      <c r="N76" s="616" t="s">
        <v>3848</v>
      </c>
      <c r="O76" s="4"/>
      <c r="Q76" s="4"/>
    </row>
    <row r="77" spans="1:17" ht="15.75" thickBot="1">
      <c r="A77" s="616"/>
      <c r="B77" s="616"/>
      <c r="C77" s="4" t="s">
        <v>12963</v>
      </c>
      <c r="D77" s="624">
        <v>0</v>
      </c>
      <c r="E77" s="624">
        <v>0</v>
      </c>
      <c r="F77" s="620">
        <v>43</v>
      </c>
      <c r="G77" s="624">
        <v>43</v>
      </c>
      <c r="H77" s="31">
        <v>56</v>
      </c>
      <c r="I77" s="31">
        <v>54</v>
      </c>
      <c r="J77" s="31">
        <v>43</v>
      </c>
      <c r="K77" s="31">
        <v>40</v>
      </c>
      <c r="L77" s="31">
        <v>36</v>
      </c>
      <c r="N77" s="616" t="s">
        <v>3850</v>
      </c>
      <c r="O77" s="4"/>
      <c r="Q77" s="4"/>
    </row>
    <row r="78" spans="1:17" ht="15.75" thickBot="1">
      <c r="A78" s="616"/>
      <c r="B78" s="616"/>
      <c r="C78" s="4" t="s">
        <v>12963</v>
      </c>
      <c r="D78" s="615">
        <f t="shared" ref="D78:E78" si="131">D76+D77</f>
        <v>0</v>
      </c>
      <c r="E78" s="615">
        <f t="shared" si="131"/>
        <v>0</v>
      </c>
      <c r="F78" s="615">
        <f t="shared" ref="F78:L78" si="132">F76+F77</f>
        <v>8404</v>
      </c>
      <c r="G78" s="615">
        <f t="shared" si="132"/>
        <v>8413</v>
      </c>
      <c r="H78" s="615">
        <f t="shared" si="132"/>
        <v>8336</v>
      </c>
      <c r="I78" s="615">
        <f t="shared" si="132"/>
        <v>8100</v>
      </c>
      <c r="J78" s="615">
        <f t="shared" si="132"/>
        <v>8101</v>
      </c>
      <c r="K78" s="615">
        <f t="shared" si="132"/>
        <v>7857</v>
      </c>
      <c r="L78" s="615">
        <f t="shared" si="132"/>
        <v>7928</v>
      </c>
      <c r="N78" s="616"/>
      <c r="O78" s="4"/>
      <c r="Q78" s="4"/>
    </row>
    <row r="79" spans="1:17">
      <c r="A79" s="616" t="s">
        <v>6965</v>
      </c>
      <c r="B79" s="616" t="s">
        <v>12964</v>
      </c>
      <c r="C79" s="4" t="s">
        <v>12965</v>
      </c>
      <c r="D79" s="621">
        <v>68301</v>
      </c>
      <c r="E79" s="621">
        <v>68624</v>
      </c>
      <c r="F79" s="619">
        <v>4256</v>
      </c>
      <c r="G79" s="619">
        <v>4308</v>
      </c>
      <c r="H79" s="31">
        <v>4313</v>
      </c>
      <c r="I79" s="31">
        <v>4302</v>
      </c>
      <c r="J79" s="31">
        <v>4226</v>
      </c>
      <c r="K79" s="31">
        <v>4143</v>
      </c>
      <c r="L79" s="31">
        <v>4254</v>
      </c>
      <c r="N79" s="616" t="s">
        <v>3851</v>
      </c>
      <c r="O79" s="4"/>
      <c r="Q79" s="4"/>
    </row>
    <row r="80" spans="1:17">
      <c r="A80" s="616" t="s">
        <v>6997</v>
      </c>
      <c r="B80" s="616" t="s">
        <v>12966</v>
      </c>
      <c r="C80" s="4" t="s">
        <v>12967</v>
      </c>
      <c r="D80" s="624">
        <v>0</v>
      </c>
      <c r="E80" s="624">
        <v>0</v>
      </c>
      <c r="F80" s="624">
        <v>4218</v>
      </c>
      <c r="G80" s="624">
        <v>4262</v>
      </c>
      <c r="H80" s="31">
        <v>4231</v>
      </c>
      <c r="I80" s="31">
        <v>4159</v>
      </c>
      <c r="J80" s="31">
        <v>4140</v>
      </c>
      <c r="K80" s="31">
        <v>4106</v>
      </c>
      <c r="L80" s="31">
        <v>4392</v>
      </c>
      <c r="N80" s="616" t="s">
        <v>3851</v>
      </c>
      <c r="O80" s="4"/>
      <c r="Q80" s="4"/>
    </row>
    <row r="81" spans="1:17">
      <c r="A81" s="616" t="s">
        <v>6999</v>
      </c>
      <c r="B81" s="616" t="s">
        <v>12968</v>
      </c>
      <c r="C81" s="4" t="s">
        <v>12969</v>
      </c>
      <c r="D81" s="619">
        <v>0</v>
      </c>
      <c r="E81" s="619">
        <v>0</v>
      </c>
      <c r="F81" s="619">
        <v>4463</v>
      </c>
      <c r="G81" s="619">
        <v>4527</v>
      </c>
      <c r="H81" s="30">
        <v>4502</v>
      </c>
      <c r="I81" s="30">
        <v>4372</v>
      </c>
      <c r="J81" s="30">
        <v>4338</v>
      </c>
      <c r="K81" s="30">
        <v>4110</v>
      </c>
      <c r="L81" s="30">
        <v>4238</v>
      </c>
      <c r="N81" s="616" t="s">
        <v>3848</v>
      </c>
      <c r="O81" s="4"/>
      <c r="Q81" s="4"/>
    </row>
    <row r="82" spans="1:17">
      <c r="A82" s="616" t="s">
        <v>7001</v>
      </c>
      <c r="B82" s="616" t="s">
        <v>12970</v>
      </c>
      <c r="C82" s="4" t="s">
        <v>12971</v>
      </c>
      <c r="D82" s="621">
        <v>55872</v>
      </c>
      <c r="E82" s="621">
        <v>56043</v>
      </c>
      <c r="F82" s="619">
        <v>3960</v>
      </c>
      <c r="G82" s="619">
        <v>4017</v>
      </c>
      <c r="H82" s="31">
        <v>3990</v>
      </c>
      <c r="I82" s="31">
        <v>3940</v>
      </c>
      <c r="J82" s="31">
        <v>3906</v>
      </c>
      <c r="K82" s="31">
        <v>3831</v>
      </c>
      <c r="L82" s="31">
        <v>3872</v>
      </c>
      <c r="N82" s="616" t="s">
        <v>3850</v>
      </c>
      <c r="O82" s="4"/>
      <c r="Q82" s="4"/>
    </row>
    <row r="83" spans="1:17">
      <c r="A83" s="616" t="s">
        <v>7003</v>
      </c>
      <c r="B83" s="616" t="s">
        <v>12972</v>
      </c>
      <c r="C83" s="4" t="s">
        <v>12973</v>
      </c>
      <c r="D83" s="621">
        <v>0</v>
      </c>
      <c r="E83" s="621">
        <v>0</v>
      </c>
      <c r="F83" s="624">
        <v>4169</v>
      </c>
      <c r="G83" s="624">
        <v>4171</v>
      </c>
      <c r="H83" s="31">
        <v>4131</v>
      </c>
      <c r="I83" s="31">
        <v>3987</v>
      </c>
      <c r="J83" s="31">
        <v>4002</v>
      </c>
      <c r="K83" s="31">
        <v>3971</v>
      </c>
      <c r="L83" s="31">
        <v>4045</v>
      </c>
      <c r="N83" s="616" t="s">
        <v>3851</v>
      </c>
      <c r="O83" s="4"/>
      <c r="Q83" s="4"/>
    </row>
    <row r="84" spans="1:17">
      <c r="A84" s="616" t="s">
        <v>7005</v>
      </c>
      <c r="B84" s="616" t="s">
        <v>12974</v>
      </c>
      <c r="C84" s="4" t="s">
        <v>12975</v>
      </c>
      <c r="D84" s="621">
        <v>0</v>
      </c>
      <c r="E84" s="621">
        <v>0</v>
      </c>
      <c r="F84" s="619">
        <v>4142</v>
      </c>
      <c r="G84" s="619">
        <v>4088</v>
      </c>
      <c r="H84" s="31">
        <v>4106</v>
      </c>
      <c r="I84" s="31">
        <v>3867</v>
      </c>
      <c r="J84" s="31">
        <v>4009</v>
      </c>
      <c r="K84" s="31">
        <v>4104</v>
      </c>
      <c r="L84" s="31">
        <v>4261</v>
      </c>
      <c r="N84" s="616" t="s">
        <v>3850</v>
      </c>
      <c r="O84" s="4"/>
      <c r="Q84" s="4"/>
    </row>
    <row r="85" spans="1:17">
      <c r="A85" s="616" t="s">
        <v>7007</v>
      </c>
      <c r="B85" s="616" t="s">
        <v>12976</v>
      </c>
      <c r="C85" s="4" t="s">
        <v>12977</v>
      </c>
      <c r="D85" s="619">
        <v>0</v>
      </c>
      <c r="E85" s="619">
        <v>0</v>
      </c>
      <c r="F85" s="621">
        <v>4165</v>
      </c>
      <c r="G85" s="621">
        <v>4192</v>
      </c>
      <c r="H85" s="31">
        <v>4192</v>
      </c>
      <c r="I85" s="31">
        <v>4161</v>
      </c>
      <c r="J85" s="31">
        <v>4054</v>
      </c>
      <c r="K85" s="31">
        <v>3929</v>
      </c>
      <c r="L85" s="31">
        <v>4061</v>
      </c>
      <c r="N85" s="616" t="s">
        <v>3850</v>
      </c>
      <c r="O85" s="4"/>
      <c r="Q85" s="4"/>
    </row>
    <row r="86" spans="1:17">
      <c r="A86" s="616" t="s">
        <v>7009</v>
      </c>
      <c r="B86" s="616" t="s">
        <v>12978</v>
      </c>
      <c r="C86" s="4" t="s">
        <v>12979</v>
      </c>
      <c r="D86" s="621">
        <v>0</v>
      </c>
      <c r="E86" s="621">
        <v>0</v>
      </c>
      <c r="F86" s="624">
        <v>3859</v>
      </c>
      <c r="G86" s="624">
        <v>3827</v>
      </c>
      <c r="H86" s="31">
        <v>3905</v>
      </c>
      <c r="I86" s="31">
        <v>3857</v>
      </c>
      <c r="J86" s="31">
        <v>3793</v>
      </c>
      <c r="K86" s="31">
        <v>3709</v>
      </c>
      <c r="L86" s="31">
        <v>3774</v>
      </c>
      <c r="N86" s="616" t="s">
        <v>3851</v>
      </c>
      <c r="O86" s="4"/>
      <c r="Q86" s="4"/>
    </row>
    <row r="87" spans="1:17">
      <c r="A87" s="616" t="s">
        <v>7011</v>
      </c>
      <c r="B87" s="616" t="s">
        <v>12980</v>
      </c>
      <c r="C87" s="4" t="s">
        <v>12981</v>
      </c>
      <c r="D87" s="621">
        <v>0</v>
      </c>
      <c r="E87" s="621">
        <v>0</v>
      </c>
      <c r="F87" s="619">
        <v>3796</v>
      </c>
      <c r="G87" s="619">
        <v>3795</v>
      </c>
      <c r="H87" s="30">
        <v>3756</v>
      </c>
      <c r="I87" s="30">
        <v>3711</v>
      </c>
      <c r="J87" s="30">
        <v>3675</v>
      </c>
      <c r="K87" s="30">
        <v>3559</v>
      </c>
      <c r="L87" s="30">
        <v>3577</v>
      </c>
      <c r="N87" s="616" t="s">
        <v>3848</v>
      </c>
      <c r="O87" s="4"/>
      <c r="Q87" s="4"/>
    </row>
    <row r="88" spans="1:17">
      <c r="A88" s="616" t="s">
        <v>7013</v>
      </c>
      <c r="B88" s="616" t="s">
        <v>12982</v>
      </c>
      <c r="C88" s="4" t="s">
        <v>12983</v>
      </c>
      <c r="D88" s="621">
        <v>0</v>
      </c>
      <c r="E88" s="621">
        <v>0</v>
      </c>
      <c r="F88" s="621">
        <v>2849</v>
      </c>
      <c r="G88" s="621">
        <v>2852</v>
      </c>
      <c r="H88" s="30">
        <v>2764</v>
      </c>
      <c r="I88" s="30">
        <v>2604</v>
      </c>
      <c r="J88" s="30">
        <v>2632</v>
      </c>
      <c r="K88" s="30">
        <v>2616</v>
      </c>
      <c r="L88" s="30">
        <v>2692</v>
      </c>
      <c r="N88" s="616" t="s">
        <v>3848</v>
      </c>
      <c r="O88" s="4"/>
      <c r="Q88" s="4"/>
    </row>
    <row r="89" spans="1:17" ht="15.75" thickBot="1">
      <c r="A89" s="616"/>
      <c r="B89" s="616"/>
      <c r="C89" s="4" t="s">
        <v>12983</v>
      </c>
      <c r="D89" s="621">
        <v>0</v>
      </c>
      <c r="E89" s="621">
        <v>0</v>
      </c>
      <c r="F89" s="621">
        <v>1340</v>
      </c>
      <c r="G89" s="621">
        <v>1276</v>
      </c>
      <c r="H89" s="31">
        <v>1277</v>
      </c>
      <c r="I89" s="31">
        <v>1272</v>
      </c>
      <c r="J89" s="31">
        <v>1243</v>
      </c>
      <c r="K89" s="31">
        <v>1260</v>
      </c>
      <c r="L89" s="31">
        <v>1258</v>
      </c>
      <c r="N89" s="616" t="s">
        <v>3850</v>
      </c>
      <c r="O89" s="4"/>
      <c r="Q89" s="4"/>
    </row>
    <row r="90" spans="1:17" ht="15.75" thickBot="1">
      <c r="A90" s="616"/>
      <c r="B90" s="616"/>
      <c r="C90" s="4" t="s">
        <v>12983</v>
      </c>
      <c r="D90" s="615">
        <f t="shared" ref="D90:E90" si="133">D88+D89</f>
        <v>0</v>
      </c>
      <c r="E90" s="615">
        <f t="shared" si="133"/>
        <v>0</v>
      </c>
      <c r="F90" s="615">
        <f t="shared" ref="F90:L90" si="134">F88+F89</f>
        <v>4189</v>
      </c>
      <c r="G90" s="615">
        <f t="shared" si="134"/>
        <v>4128</v>
      </c>
      <c r="H90" s="615">
        <f t="shared" si="134"/>
        <v>4041</v>
      </c>
      <c r="I90" s="615">
        <f t="shared" si="134"/>
        <v>3876</v>
      </c>
      <c r="J90" s="615">
        <f t="shared" si="134"/>
        <v>3875</v>
      </c>
      <c r="K90" s="615">
        <f t="shared" si="134"/>
        <v>3876</v>
      </c>
      <c r="L90" s="615">
        <f t="shared" si="134"/>
        <v>3950</v>
      </c>
      <c r="N90" s="616"/>
      <c r="O90" s="4"/>
      <c r="Q90" s="4"/>
    </row>
    <row r="91" spans="1:17">
      <c r="A91" s="616" t="s">
        <v>7015</v>
      </c>
      <c r="B91" s="616" t="s">
        <v>12984</v>
      </c>
      <c r="C91" s="4" t="s">
        <v>12985</v>
      </c>
      <c r="D91" s="621">
        <v>0</v>
      </c>
      <c r="E91" s="621">
        <v>0</v>
      </c>
      <c r="F91" s="621">
        <v>4801</v>
      </c>
      <c r="G91" s="621">
        <v>4838</v>
      </c>
      <c r="H91" s="31">
        <v>4631</v>
      </c>
      <c r="I91" s="31">
        <v>4369</v>
      </c>
      <c r="J91" s="31">
        <v>4307</v>
      </c>
      <c r="K91" s="31">
        <v>4270</v>
      </c>
      <c r="L91" s="31">
        <v>4319</v>
      </c>
      <c r="N91" s="616" t="s">
        <v>3851</v>
      </c>
      <c r="O91" s="4"/>
      <c r="Q91" s="4"/>
    </row>
    <row r="92" spans="1:17">
      <c r="A92" s="616" t="s">
        <v>7017</v>
      </c>
      <c r="B92" s="616" t="s">
        <v>12986</v>
      </c>
      <c r="C92" s="4" t="s">
        <v>12987</v>
      </c>
      <c r="D92" s="621">
        <v>0</v>
      </c>
      <c r="E92" s="621">
        <v>0</v>
      </c>
      <c r="F92" s="621">
        <v>4540</v>
      </c>
      <c r="G92" s="621">
        <v>4493</v>
      </c>
      <c r="H92" s="31">
        <v>4314</v>
      </c>
      <c r="I92" s="31">
        <v>4068</v>
      </c>
      <c r="J92" s="31">
        <v>4073</v>
      </c>
      <c r="K92" s="31">
        <v>4028</v>
      </c>
      <c r="L92" s="31">
        <v>4101</v>
      </c>
      <c r="N92" s="616" t="s">
        <v>3851</v>
      </c>
      <c r="O92" s="4"/>
      <c r="Q92" s="4"/>
    </row>
    <row r="93" spans="1:17">
      <c r="A93" s="616" t="s">
        <v>7019</v>
      </c>
      <c r="B93" s="616" t="s">
        <v>12988</v>
      </c>
      <c r="C93" s="4" t="s">
        <v>12989</v>
      </c>
      <c r="D93" s="621">
        <v>0</v>
      </c>
      <c r="E93" s="621">
        <v>0</v>
      </c>
      <c r="F93" s="619">
        <v>4538</v>
      </c>
      <c r="G93" s="619">
        <v>4629</v>
      </c>
      <c r="H93" s="31">
        <v>4648</v>
      </c>
      <c r="I93" s="31">
        <v>4575</v>
      </c>
      <c r="J93" s="31">
        <v>4501</v>
      </c>
      <c r="K93" s="31">
        <v>4351</v>
      </c>
      <c r="L93" s="31">
        <v>4457</v>
      </c>
      <c r="N93" s="616" t="s">
        <v>3850</v>
      </c>
      <c r="O93" s="4"/>
      <c r="Q93" s="4"/>
    </row>
    <row r="94" spans="1:17">
      <c r="A94" s="616" t="s">
        <v>7021</v>
      </c>
      <c r="B94" s="616" t="s">
        <v>12990</v>
      </c>
      <c r="C94" s="4" t="s">
        <v>12991</v>
      </c>
      <c r="D94" s="621">
        <v>0</v>
      </c>
      <c r="E94" s="621">
        <v>0</v>
      </c>
      <c r="F94" s="621">
        <v>4295</v>
      </c>
      <c r="G94" s="621">
        <v>4359</v>
      </c>
      <c r="H94" s="31">
        <v>4448</v>
      </c>
      <c r="I94" s="31">
        <v>4335</v>
      </c>
      <c r="J94" s="31">
        <v>4314</v>
      </c>
      <c r="K94" s="31">
        <v>4278</v>
      </c>
      <c r="L94" s="31">
        <v>4445</v>
      </c>
      <c r="N94" s="616" t="s">
        <v>3850</v>
      </c>
      <c r="O94" s="4"/>
      <c r="Q94" s="4"/>
    </row>
    <row r="95" spans="1:17">
      <c r="A95" s="616" t="s">
        <v>7023</v>
      </c>
      <c r="B95" s="616" t="s">
        <v>12992</v>
      </c>
      <c r="C95" s="4" t="s">
        <v>12993</v>
      </c>
      <c r="D95" s="621">
        <v>0</v>
      </c>
      <c r="E95" s="621">
        <v>0</v>
      </c>
      <c r="F95" s="621">
        <v>8063</v>
      </c>
      <c r="G95" s="621">
        <v>8015</v>
      </c>
      <c r="H95" s="31">
        <v>8089</v>
      </c>
      <c r="I95" s="31">
        <v>8092</v>
      </c>
      <c r="J95" s="31">
        <v>7982</v>
      </c>
      <c r="K95" s="31">
        <v>7860</v>
      </c>
      <c r="L95" s="31">
        <v>8011</v>
      </c>
      <c r="N95" s="616" t="s">
        <v>3850</v>
      </c>
      <c r="O95" s="4"/>
      <c r="Q95" s="4"/>
    </row>
    <row r="96" spans="1:17">
      <c r="A96" s="616" t="s">
        <v>7025</v>
      </c>
      <c r="B96" s="616" t="s">
        <v>13220</v>
      </c>
      <c r="C96" s="4" t="s">
        <v>12994</v>
      </c>
      <c r="D96" s="621">
        <v>0</v>
      </c>
      <c r="E96" s="621">
        <v>0</v>
      </c>
      <c r="F96" s="621">
        <v>0</v>
      </c>
      <c r="G96" s="62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3</v>
      </c>
      <c r="N96" s="616" t="s">
        <v>3848</v>
      </c>
      <c r="O96" s="4"/>
      <c r="Q96" s="4"/>
    </row>
    <row r="97" spans="1:17" ht="15.75" thickBot="1">
      <c r="A97" s="616"/>
      <c r="B97" s="616"/>
      <c r="C97" s="4" t="s">
        <v>12994</v>
      </c>
      <c r="D97" s="621">
        <v>0</v>
      </c>
      <c r="E97" s="621">
        <v>0</v>
      </c>
      <c r="F97" s="621">
        <v>9708</v>
      </c>
      <c r="G97" s="621">
        <v>9758</v>
      </c>
      <c r="H97" s="31">
        <v>9636</v>
      </c>
      <c r="I97" s="31">
        <v>9552</v>
      </c>
      <c r="J97" s="31">
        <v>9519</v>
      </c>
      <c r="K97" s="31">
        <v>9566</v>
      </c>
      <c r="L97" s="31">
        <v>9591</v>
      </c>
      <c r="N97" s="616" t="s">
        <v>3851</v>
      </c>
      <c r="O97" s="4"/>
      <c r="Q97" s="4"/>
    </row>
    <row r="98" spans="1:17" ht="15.75" thickBot="1">
      <c r="A98" s="616"/>
      <c r="B98" s="616"/>
      <c r="C98" s="4"/>
      <c r="D98" s="615">
        <f>SUM(D96:D97)</f>
        <v>0</v>
      </c>
      <c r="E98" s="615">
        <f t="shared" ref="E98:L98" si="135">SUM(E96:E97)</f>
        <v>0</v>
      </c>
      <c r="F98" s="615">
        <f t="shared" si="135"/>
        <v>9708</v>
      </c>
      <c r="G98" s="615">
        <f t="shared" si="135"/>
        <v>9758</v>
      </c>
      <c r="H98" s="615">
        <f t="shared" si="135"/>
        <v>9636</v>
      </c>
      <c r="I98" s="615">
        <f t="shared" si="135"/>
        <v>9552</v>
      </c>
      <c r="J98" s="615">
        <f t="shared" si="135"/>
        <v>9519</v>
      </c>
      <c r="K98" s="615">
        <f t="shared" si="135"/>
        <v>9566</v>
      </c>
      <c r="L98" s="615">
        <f t="shared" si="135"/>
        <v>9594</v>
      </c>
      <c r="N98" s="616"/>
      <c r="O98" s="4"/>
      <c r="Q98" s="4"/>
    </row>
    <row r="99" spans="1:17">
      <c r="A99" s="616" t="s">
        <v>7570</v>
      </c>
      <c r="B99" s="616" t="s">
        <v>12995</v>
      </c>
      <c r="C99" s="4" t="s">
        <v>12996</v>
      </c>
      <c r="D99" s="621">
        <v>0</v>
      </c>
      <c r="E99" s="621">
        <v>0</v>
      </c>
      <c r="F99" s="621">
        <v>4810</v>
      </c>
      <c r="G99" s="621">
        <v>4058</v>
      </c>
      <c r="H99" s="30">
        <v>4245</v>
      </c>
      <c r="I99" s="30">
        <v>3420</v>
      </c>
      <c r="J99" s="30">
        <v>2507</v>
      </c>
      <c r="K99" s="30">
        <v>2153</v>
      </c>
      <c r="L99" s="30">
        <v>2332</v>
      </c>
      <c r="N99" s="616" t="s">
        <v>3848</v>
      </c>
      <c r="O99" s="4"/>
      <c r="Q99" s="4"/>
    </row>
    <row r="100" spans="1:17">
      <c r="A100" s="616" t="s">
        <v>7572</v>
      </c>
      <c r="B100" s="616" t="s">
        <v>12997</v>
      </c>
      <c r="C100" s="4" t="s">
        <v>12998</v>
      </c>
      <c r="D100" s="621">
        <v>0</v>
      </c>
      <c r="E100" s="621">
        <v>0</v>
      </c>
      <c r="F100" s="621">
        <v>4777</v>
      </c>
      <c r="G100" s="621">
        <v>4689</v>
      </c>
      <c r="H100" s="30">
        <v>4684</v>
      </c>
      <c r="I100" s="30">
        <v>4548</v>
      </c>
      <c r="J100" s="30">
        <v>4582</v>
      </c>
      <c r="K100" s="30">
        <v>4427</v>
      </c>
      <c r="L100" s="30">
        <v>4577</v>
      </c>
      <c r="N100" s="616" t="s">
        <v>3848</v>
      </c>
      <c r="O100" s="4"/>
      <c r="Q100" s="4"/>
    </row>
    <row r="101" spans="1:17">
      <c r="A101" s="616" t="s">
        <v>7573</v>
      </c>
      <c r="B101" s="616" t="s">
        <v>12999</v>
      </c>
      <c r="C101" s="4" t="s">
        <v>13000</v>
      </c>
      <c r="D101" s="621">
        <v>0</v>
      </c>
      <c r="E101" s="621">
        <v>0</v>
      </c>
      <c r="F101" s="621">
        <v>4502</v>
      </c>
      <c r="G101" s="621">
        <v>4525</v>
      </c>
      <c r="H101" s="31">
        <v>4524</v>
      </c>
      <c r="I101" s="31">
        <v>4499</v>
      </c>
      <c r="J101" s="31">
        <v>4438</v>
      </c>
      <c r="K101" s="31">
        <v>4362</v>
      </c>
      <c r="L101" s="31">
        <v>4410</v>
      </c>
      <c r="N101" s="616" t="s">
        <v>3851</v>
      </c>
      <c r="O101" s="4"/>
      <c r="Q101" s="4"/>
    </row>
    <row r="102" spans="1:17">
      <c r="A102" s="616" t="s">
        <v>5798</v>
      </c>
      <c r="B102" s="616" t="s">
        <v>13001</v>
      </c>
      <c r="C102" s="4" t="s">
        <v>13002</v>
      </c>
      <c r="D102" s="621">
        <v>0</v>
      </c>
      <c r="E102" s="621">
        <v>0</v>
      </c>
      <c r="F102" s="621">
        <v>3606</v>
      </c>
      <c r="G102" s="621">
        <v>3667</v>
      </c>
      <c r="H102" s="30">
        <v>3766</v>
      </c>
      <c r="I102" s="30">
        <v>3796</v>
      </c>
      <c r="J102" s="30">
        <v>3759</v>
      </c>
      <c r="K102" s="30">
        <v>3793</v>
      </c>
      <c r="L102" s="30">
        <v>3842</v>
      </c>
      <c r="N102" s="616" t="s">
        <v>3848</v>
      </c>
      <c r="O102" s="4"/>
      <c r="Q102" s="4"/>
    </row>
    <row r="103" spans="1:17">
      <c r="A103" s="616" t="s">
        <v>5799</v>
      </c>
      <c r="B103" s="616" t="s">
        <v>13003</v>
      </c>
      <c r="C103" s="4" t="s">
        <v>13004</v>
      </c>
      <c r="D103" s="621">
        <v>0</v>
      </c>
      <c r="E103" s="621">
        <v>0</v>
      </c>
      <c r="F103" s="621">
        <v>3955</v>
      </c>
      <c r="G103" s="621">
        <v>3920</v>
      </c>
      <c r="H103" s="31">
        <v>3832</v>
      </c>
      <c r="I103" s="31">
        <v>3736</v>
      </c>
      <c r="J103" s="31">
        <v>3766</v>
      </c>
      <c r="K103" s="31">
        <v>3747</v>
      </c>
      <c r="L103" s="31">
        <v>3822</v>
      </c>
      <c r="N103" s="616" t="s">
        <v>3851</v>
      </c>
      <c r="O103" s="4"/>
      <c r="Q103" s="4"/>
    </row>
    <row r="104" spans="1:17">
      <c r="A104" s="616" t="s">
        <v>5801</v>
      </c>
      <c r="B104" s="616" t="s">
        <v>13005</v>
      </c>
      <c r="C104" s="4" t="s">
        <v>13006</v>
      </c>
      <c r="D104" s="621">
        <v>0</v>
      </c>
      <c r="E104" s="621">
        <v>0</v>
      </c>
      <c r="F104" s="621">
        <v>4505</v>
      </c>
      <c r="G104" s="621">
        <v>4503</v>
      </c>
      <c r="H104" s="31">
        <v>4521</v>
      </c>
      <c r="I104" s="31">
        <v>4451</v>
      </c>
      <c r="J104" s="31">
        <v>4333</v>
      </c>
      <c r="K104" s="31">
        <v>4185</v>
      </c>
      <c r="L104" s="31">
        <v>4285</v>
      </c>
      <c r="N104" s="616" t="s">
        <v>3850</v>
      </c>
      <c r="O104" s="4"/>
      <c r="Q104" s="4"/>
    </row>
    <row r="105" spans="1:17">
      <c r="A105" s="616" t="s">
        <v>5927</v>
      </c>
      <c r="B105" s="616" t="s">
        <v>13007</v>
      </c>
      <c r="C105" s="4" t="s">
        <v>13008</v>
      </c>
      <c r="D105" s="621">
        <v>0</v>
      </c>
      <c r="E105" s="621">
        <v>0</v>
      </c>
      <c r="F105" s="621">
        <v>4125</v>
      </c>
      <c r="G105" s="621">
        <v>4127</v>
      </c>
      <c r="H105" s="31">
        <v>4089</v>
      </c>
      <c r="I105" s="31">
        <v>4066</v>
      </c>
      <c r="J105" s="31">
        <v>4023</v>
      </c>
      <c r="K105" s="31">
        <v>3971</v>
      </c>
      <c r="L105" s="31">
        <v>4002</v>
      </c>
      <c r="N105" s="616" t="s">
        <v>3851</v>
      </c>
      <c r="O105" s="4"/>
      <c r="Q105" s="4"/>
    </row>
    <row r="106" spans="1:17">
      <c r="A106" s="398" t="s">
        <v>5929</v>
      </c>
      <c r="B106" s="616" t="s">
        <v>13009</v>
      </c>
      <c r="C106" s="4" t="s">
        <v>13010</v>
      </c>
      <c r="D106" s="621">
        <v>0</v>
      </c>
      <c r="E106" s="621">
        <v>0</v>
      </c>
      <c r="F106" s="621">
        <v>4343</v>
      </c>
      <c r="G106" s="621">
        <v>4425</v>
      </c>
      <c r="H106" s="31">
        <v>4497</v>
      </c>
      <c r="I106" s="31">
        <v>4528</v>
      </c>
      <c r="J106" s="31">
        <v>4507</v>
      </c>
      <c r="K106" s="31">
        <v>4365</v>
      </c>
      <c r="L106" s="31">
        <v>4387</v>
      </c>
      <c r="N106" s="616" t="s">
        <v>3851</v>
      </c>
      <c r="O106" s="4"/>
      <c r="Q106" s="4"/>
    </row>
    <row r="107" spans="1:17">
      <c r="A107" s="398" t="s">
        <v>5931</v>
      </c>
      <c r="B107" s="616" t="s">
        <v>13011</v>
      </c>
      <c r="C107" s="4" t="s">
        <v>13012</v>
      </c>
      <c r="D107" s="621">
        <v>0</v>
      </c>
      <c r="E107" s="621">
        <v>0</v>
      </c>
      <c r="F107" s="621">
        <v>3969</v>
      </c>
      <c r="G107" s="621">
        <v>3992</v>
      </c>
      <c r="H107" s="31">
        <v>3981</v>
      </c>
      <c r="I107" s="31">
        <v>3971</v>
      </c>
      <c r="J107" s="31">
        <v>3886</v>
      </c>
      <c r="K107" s="31">
        <v>3812</v>
      </c>
      <c r="L107" s="31">
        <v>3893</v>
      </c>
      <c r="N107" s="616" t="s">
        <v>3851</v>
      </c>
      <c r="O107" s="4"/>
      <c r="Q107" s="4"/>
    </row>
    <row r="108" spans="1:17">
      <c r="A108" s="398" t="s">
        <v>5933</v>
      </c>
      <c r="B108" s="616" t="s">
        <v>13013</v>
      </c>
      <c r="C108" s="4" t="s">
        <v>13014</v>
      </c>
      <c r="D108" s="621">
        <v>0</v>
      </c>
      <c r="E108" s="621">
        <v>0</v>
      </c>
      <c r="F108" s="621">
        <v>4016</v>
      </c>
      <c r="G108" s="621">
        <v>4006</v>
      </c>
      <c r="H108" s="31">
        <v>4009</v>
      </c>
      <c r="I108" s="31">
        <v>3949</v>
      </c>
      <c r="J108" s="31">
        <v>3826</v>
      </c>
      <c r="K108" s="31">
        <v>3749</v>
      </c>
      <c r="L108" s="31">
        <v>3865</v>
      </c>
      <c r="N108" s="616" t="s">
        <v>3851</v>
      </c>
      <c r="O108" s="4"/>
      <c r="Q108" s="4"/>
    </row>
    <row r="109" spans="1:17">
      <c r="A109" s="398" t="s">
        <v>7897</v>
      </c>
      <c r="B109" s="616" t="s">
        <v>13015</v>
      </c>
      <c r="C109" s="4" t="s">
        <v>13016</v>
      </c>
      <c r="D109" s="621">
        <v>0</v>
      </c>
      <c r="E109" s="621">
        <v>0</v>
      </c>
      <c r="F109" s="621">
        <v>3891</v>
      </c>
      <c r="G109" s="621">
        <v>3946</v>
      </c>
      <c r="H109" s="31">
        <v>3961</v>
      </c>
      <c r="I109" s="31">
        <v>3836</v>
      </c>
      <c r="J109" s="31">
        <v>3779</v>
      </c>
      <c r="K109" s="31">
        <v>3821</v>
      </c>
      <c r="L109" s="31">
        <v>3818</v>
      </c>
      <c r="N109" s="616" t="s">
        <v>3850</v>
      </c>
      <c r="O109" s="4"/>
      <c r="Q109" s="4"/>
    </row>
    <row r="110" spans="1:17">
      <c r="A110" s="398" t="s">
        <v>7898</v>
      </c>
      <c r="B110" s="616" t="s">
        <v>13017</v>
      </c>
      <c r="C110" s="4" t="s">
        <v>13018</v>
      </c>
      <c r="D110" s="621">
        <v>0</v>
      </c>
      <c r="E110" s="621">
        <v>0</v>
      </c>
      <c r="F110" s="621">
        <v>5023</v>
      </c>
      <c r="G110" s="621">
        <v>5032</v>
      </c>
      <c r="H110" s="30">
        <v>4861</v>
      </c>
      <c r="I110" s="30">
        <v>4677</v>
      </c>
      <c r="J110" s="30">
        <v>4682</v>
      </c>
      <c r="K110" s="30">
        <v>4602</v>
      </c>
      <c r="L110" s="30">
        <v>4836</v>
      </c>
      <c r="N110" s="616" t="s">
        <v>3848</v>
      </c>
      <c r="O110" s="4"/>
      <c r="Q110" s="4"/>
    </row>
    <row r="111" spans="1:17">
      <c r="A111" s="398" t="s">
        <v>7899</v>
      </c>
      <c r="B111" s="616" t="s">
        <v>13019</v>
      </c>
      <c r="C111" s="4" t="s">
        <v>13020</v>
      </c>
      <c r="D111" s="621">
        <v>0</v>
      </c>
      <c r="E111" s="621">
        <v>0</v>
      </c>
      <c r="F111" s="621">
        <v>4576</v>
      </c>
      <c r="G111" s="621">
        <v>4562</v>
      </c>
      <c r="H111" s="31">
        <v>4534</v>
      </c>
      <c r="I111" s="31">
        <v>4516</v>
      </c>
      <c r="J111" s="31">
        <v>4405</v>
      </c>
      <c r="K111" s="31">
        <v>4308</v>
      </c>
      <c r="L111" s="31">
        <v>4353</v>
      </c>
      <c r="N111" s="616" t="s">
        <v>3851</v>
      </c>
      <c r="O111" s="4"/>
      <c r="Q111" s="4"/>
    </row>
    <row r="112" spans="1:17">
      <c r="A112" s="398" t="s">
        <v>7901</v>
      </c>
      <c r="B112" s="616" t="s">
        <v>13021</v>
      </c>
      <c r="C112" s="4" t="s">
        <v>13022</v>
      </c>
      <c r="D112" s="621">
        <v>0</v>
      </c>
      <c r="E112" s="621">
        <v>0</v>
      </c>
      <c r="F112" s="621">
        <v>908</v>
      </c>
      <c r="G112" s="621">
        <v>908</v>
      </c>
      <c r="H112" s="30">
        <v>904</v>
      </c>
      <c r="I112" s="30">
        <v>902</v>
      </c>
      <c r="J112" s="30">
        <v>900</v>
      </c>
      <c r="K112" s="30">
        <v>860</v>
      </c>
      <c r="L112" s="30">
        <v>884</v>
      </c>
      <c r="N112" s="616" t="s">
        <v>3848</v>
      </c>
      <c r="O112" s="4"/>
      <c r="Q112" s="4"/>
    </row>
    <row r="113" spans="1:17" ht="15.75" thickBot="1">
      <c r="A113" s="398"/>
      <c r="B113" s="616"/>
      <c r="C113" s="4" t="s">
        <v>13022</v>
      </c>
      <c r="D113" s="621">
        <v>0</v>
      </c>
      <c r="E113" s="621">
        <v>0</v>
      </c>
      <c r="F113" s="621">
        <v>3103</v>
      </c>
      <c r="G113" s="621">
        <v>3135</v>
      </c>
      <c r="H113" s="31">
        <v>3129</v>
      </c>
      <c r="I113" s="31">
        <v>3093</v>
      </c>
      <c r="J113" s="31">
        <v>3036</v>
      </c>
      <c r="K113" s="31">
        <v>2958</v>
      </c>
      <c r="L113" s="31">
        <v>3026</v>
      </c>
      <c r="N113" s="616" t="s">
        <v>3850</v>
      </c>
      <c r="O113" s="4"/>
      <c r="Q113" s="4"/>
    </row>
    <row r="114" spans="1:17" ht="15.75" thickBot="1">
      <c r="A114" s="398"/>
      <c r="B114" s="616"/>
      <c r="C114" s="4" t="s">
        <v>13022</v>
      </c>
      <c r="D114" s="615">
        <f t="shared" ref="D114:E114" si="136">D112+D113</f>
        <v>0</v>
      </c>
      <c r="E114" s="615">
        <f t="shared" si="136"/>
        <v>0</v>
      </c>
      <c r="F114" s="615">
        <f t="shared" ref="F114:L114" si="137">F112+F113</f>
        <v>4011</v>
      </c>
      <c r="G114" s="615">
        <f t="shared" si="137"/>
        <v>4043</v>
      </c>
      <c r="H114" s="615">
        <f t="shared" si="137"/>
        <v>4033</v>
      </c>
      <c r="I114" s="615">
        <f t="shared" si="137"/>
        <v>3995</v>
      </c>
      <c r="J114" s="615">
        <f t="shared" si="137"/>
        <v>3936</v>
      </c>
      <c r="K114" s="615">
        <f t="shared" si="137"/>
        <v>3818</v>
      </c>
      <c r="L114" s="615">
        <f t="shared" si="137"/>
        <v>3910</v>
      </c>
      <c r="N114" s="616"/>
      <c r="O114" s="4"/>
      <c r="Q114" s="4"/>
    </row>
    <row r="115" spans="1:17">
      <c r="A115" s="398" t="s">
        <v>3125</v>
      </c>
      <c r="B115" s="616" t="s">
        <v>13023</v>
      </c>
      <c r="C115" s="4" t="s">
        <v>13024</v>
      </c>
      <c r="D115" s="621">
        <v>0</v>
      </c>
      <c r="E115" s="621">
        <v>0</v>
      </c>
      <c r="F115" s="621">
        <v>4822</v>
      </c>
      <c r="G115" s="621">
        <v>4807</v>
      </c>
      <c r="H115" s="30">
        <v>4837</v>
      </c>
      <c r="I115" s="30">
        <v>4785</v>
      </c>
      <c r="J115" s="30">
        <v>4688</v>
      </c>
      <c r="K115" s="30">
        <v>4497</v>
      </c>
      <c r="L115" s="30">
        <v>4626</v>
      </c>
      <c r="N115" s="616" t="s">
        <v>3848</v>
      </c>
      <c r="O115" s="4"/>
      <c r="Q115" s="4"/>
    </row>
    <row r="116" spans="1:17">
      <c r="A116" s="398" t="s">
        <v>3127</v>
      </c>
      <c r="B116" s="616" t="s">
        <v>3911</v>
      </c>
      <c r="C116" s="4" t="s">
        <v>13025</v>
      </c>
      <c r="D116" s="621">
        <v>0</v>
      </c>
      <c r="E116" s="621">
        <v>0</v>
      </c>
      <c r="F116" s="621">
        <v>4091</v>
      </c>
      <c r="G116" s="621">
        <v>4085</v>
      </c>
      <c r="H116" s="31">
        <v>4076</v>
      </c>
      <c r="I116" s="31">
        <v>3863</v>
      </c>
      <c r="J116" s="31">
        <v>3915</v>
      </c>
      <c r="K116" s="31">
        <v>3832</v>
      </c>
      <c r="L116" s="31">
        <v>3888</v>
      </c>
      <c r="N116" s="616" t="s">
        <v>3850</v>
      </c>
      <c r="O116" s="4"/>
      <c r="Q116" s="4"/>
    </row>
    <row r="117" spans="1:17">
      <c r="A117" s="398" t="s">
        <v>2671</v>
      </c>
      <c r="B117" s="616" t="s">
        <v>13026</v>
      </c>
      <c r="C117" s="4" t="s">
        <v>13027</v>
      </c>
      <c r="D117" s="621">
        <v>0</v>
      </c>
      <c r="E117" s="621">
        <v>0</v>
      </c>
      <c r="F117" s="621">
        <v>3805</v>
      </c>
      <c r="G117" s="621">
        <v>3838</v>
      </c>
      <c r="H117" s="31">
        <v>3905</v>
      </c>
      <c r="I117" s="31">
        <v>3943</v>
      </c>
      <c r="J117" s="31">
        <v>3924</v>
      </c>
      <c r="K117" s="31">
        <v>3879</v>
      </c>
      <c r="L117" s="31">
        <v>4041</v>
      </c>
      <c r="N117" s="616" t="s">
        <v>3851</v>
      </c>
      <c r="O117" s="4"/>
      <c r="Q117" s="4"/>
    </row>
    <row r="118" spans="1:17">
      <c r="A118" s="616"/>
      <c r="B118" s="616"/>
      <c r="C118" s="4"/>
      <c r="D118" s="621"/>
      <c r="E118" s="621"/>
      <c r="F118" s="621"/>
      <c r="G118" s="621"/>
      <c r="H118" s="621"/>
      <c r="I118" s="621"/>
      <c r="J118" s="621"/>
      <c r="K118" s="621"/>
      <c r="L118" s="621"/>
      <c r="O118" s="4"/>
      <c r="Q118" s="4"/>
    </row>
    <row r="119" spans="1:17">
      <c r="A119" s="616" t="s">
        <v>3848</v>
      </c>
      <c r="D119" s="619">
        <f t="shared" ref="D119:K119" si="138">D69+D72+D75+D76+D81+D87+D88+D96+D99+D100+D102+D110+D112+D115</f>
        <v>61083</v>
      </c>
      <c r="E119" s="619">
        <f t="shared" si="138"/>
        <v>61774</v>
      </c>
      <c r="F119" s="619">
        <f t="shared" si="138"/>
        <v>62483</v>
      </c>
      <c r="G119" s="619">
        <f t="shared" si="138"/>
        <v>61821</v>
      </c>
      <c r="H119" s="619">
        <f t="shared" si="138"/>
        <v>61561</v>
      </c>
      <c r="I119" s="619">
        <f t="shared" si="138"/>
        <v>59472</v>
      </c>
      <c r="J119" s="619">
        <f t="shared" si="138"/>
        <v>58259</v>
      </c>
      <c r="K119" s="619">
        <f t="shared" si="138"/>
        <v>56358</v>
      </c>
      <c r="L119" s="619">
        <f>L69+L72+L75+L76+L81+L87+L88+L96+L99+L100+L102+L110+L112+L115</f>
        <v>57802</v>
      </c>
    </row>
    <row r="120" spans="1:17">
      <c r="A120" s="616" t="s">
        <v>3912</v>
      </c>
      <c r="D120" s="619">
        <f t="shared" ref="D120:E120" si="139">D70+D73+D77+D82+D84+D85+D89+D93+D94+D95+D104+D109+D113+D116</f>
        <v>55872</v>
      </c>
      <c r="E120" s="619">
        <f t="shared" si="139"/>
        <v>56043</v>
      </c>
      <c r="F120" s="619">
        <f t="shared" ref="F120:K120" si="140">F70+F73+F77+F82+F84+F85+F89+F93+F94+F95+F104+F109+F113+F116</f>
        <v>56107</v>
      </c>
      <c r="G120" s="619">
        <f t="shared" si="140"/>
        <v>56230</v>
      </c>
      <c r="H120" s="619">
        <f t="shared" si="140"/>
        <v>56421</v>
      </c>
      <c r="I120" s="619">
        <f t="shared" si="140"/>
        <v>55264</v>
      </c>
      <c r="J120" s="619">
        <f t="shared" si="140"/>
        <v>54763</v>
      </c>
      <c r="K120" s="619">
        <f t="shared" si="140"/>
        <v>53890</v>
      </c>
      <c r="L120" s="619">
        <f t="shared" ref="L120" si="141">L70+L73+L77+L82+L84+L85+L89+L93+L94+L95+L104+L109+L113+L116</f>
        <v>55103</v>
      </c>
    </row>
    <row r="121" spans="1:17">
      <c r="A121" s="616" t="s">
        <v>3851</v>
      </c>
      <c r="D121" s="619">
        <f t="shared" ref="D121:K121" si="142">D79+D80+D83+D86+D91+D92+D97+D101+D103+SUM(D105:D108)+D111+D117</f>
        <v>68301</v>
      </c>
      <c r="E121" s="619">
        <f t="shared" si="142"/>
        <v>68624</v>
      </c>
      <c r="F121" s="619">
        <f t="shared" si="142"/>
        <v>68842</v>
      </c>
      <c r="G121" s="619">
        <f t="shared" si="142"/>
        <v>69052</v>
      </c>
      <c r="H121" s="619">
        <f t="shared" si="142"/>
        <v>68532</v>
      </c>
      <c r="I121" s="619">
        <f t="shared" si="142"/>
        <v>67502</v>
      </c>
      <c r="J121" s="619">
        <f t="shared" si="142"/>
        <v>66835</v>
      </c>
      <c r="K121" s="619">
        <f t="shared" si="142"/>
        <v>65986</v>
      </c>
      <c r="L121" s="619">
        <f>L79+L80+L83+L86+L91+L92+L97+L101+L103+SUM(L105:L108)+L111+L117</f>
        <v>67249</v>
      </c>
    </row>
    <row r="123" spans="1:17">
      <c r="A123" s="616" t="s">
        <v>13028</v>
      </c>
    </row>
    <row r="124" spans="1:17">
      <c r="A124" s="616"/>
    </row>
    <row r="125" spans="1:17">
      <c r="A125" s="616"/>
    </row>
    <row r="126" spans="1:17">
      <c r="E126" s="42" t="s">
        <v>2303</v>
      </c>
      <c r="F126" s="42"/>
      <c r="G126" s="42"/>
      <c r="H126" s="42"/>
      <c r="I126" s="42"/>
      <c r="J126" s="42"/>
      <c r="K126" s="42"/>
      <c r="L126" s="42"/>
      <c r="M126" s="109"/>
      <c r="N126" s="109" t="s">
        <v>13319</v>
      </c>
    </row>
    <row r="127" spans="1:17">
      <c r="D127" s="110">
        <v>2010</v>
      </c>
      <c r="E127" s="110">
        <v>2011</v>
      </c>
      <c r="F127" s="110">
        <v>2012</v>
      </c>
      <c r="G127" s="110">
        <v>2013</v>
      </c>
      <c r="H127" s="110">
        <v>2014</v>
      </c>
      <c r="I127" s="110">
        <v>2015</v>
      </c>
      <c r="J127" s="110">
        <v>2016</v>
      </c>
      <c r="K127" s="110">
        <v>2017</v>
      </c>
      <c r="L127" s="110">
        <v>2018</v>
      </c>
      <c r="M127" s="109"/>
      <c r="N127" s="112" t="s">
        <v>2304</v>
      </c>
    </row>
    <row r="128" spans="1:17">
      <c r="A128" s="616" t="s">
        <v>1255</v>
      </c>
      <c r="D128" s="619">
        <f t="shared" ref="D128:I128" si="143">SUM(D129:D143)</f>
        <v>74828</v>
      </c>
      <c r="E128" s="619">
        <f t="shared" si="143"/>
        <v>75680</v>
      </c>
      <c r="F128" s="619">
        <f t="shared" si="143"/>
        <v>75494</v>
      </c>
      <c r="G128" s="619">
        <f t="shared" si="143"/>
        <v>75539</v>
      </c>
      <c r="H128" s="619">
        <f t="shared" si="143"/>
        <v>75380</v>
      </c>
      <c r="I128" s="619">
        <f t="shared" si="143"/>
        <v>74146</v>
      </c>
      <c r="J128" s="619">
        <f t="shared" ref="J128:K128" si="144">SUM(J129:J143)</f>
        <v>73470</v>
      </c>
      <c r="K128" s="619">
        <f t="shared" si="144"/>
        <v>73801</v>
      </c>
      <c r="L128" s="619">
        <f t="shared" ref="L128" si="145">SUM(L129:L143)</f>
        <v>73834</v>
      </c>
    </row>
    <row r="129" spans="1:17">
      <c r="A129" s="616" t="s">
        <v>6957</v>
      </c>
      <c r="B129" s="616" t="s">
        <v>1256</v>
      </c>
      <c r="C129" s="4" t="s">
        <v>10572</v>
      </c>
      <c r="D129" s="619">
        <v>5028</v>
      </c>
      <c r="E129" s="619">
        <v>5095</v>
      </c>
      <c r="F129" s="619">
        <v>5070</v>
      </c>
      <c r="G129" s="30">
        <v>5140</v>
      </c>
      <c r="H129" s="30">
        <v>5150</v>
      </c>
      <c r="I129" s="30">
        <v>5123</v>
      </c>
      <c r="J129" s="30">
        <v>5028</v>
      </c>
      <c r="K129" s="30">
        <v>5074</v>
      </c>
      <c r="L129" s="30">
        <v>5108</v>
      </c>
      <c r="N129" s="616" t="s">
        <v>1237</v>
      </c>
      <c r="O129" s="4"/>
      <c r="Q129" s="4"/>
    </row>
    <row r="130" spans="1:17">
      <c r="A130" s="616" t="s">
        <v>6959</v>
      </c>
      <c r="B130" s="616" t="s">
        <v>1257</v>
      </c>
      <c r="C130" s="4" t="s">
        <v>10573</v>
      </c>
      <c r="D130" s="619">
        <v>5516</v>
      </c>
      <c r="E130" s="619">
        <v>5581</v>
      </c>
      <c r="F130" s="619">
        <v>5518</v>
      </c>
      <c r="G130" s="30">
        <v>5465</v>
      </c>
      <c r="H130" s="30">
        <v>5325</v>
      </c>
      <c r="I130" s="30">
        <v>5189</v>
      </c>
      <c r="J130" s="30">
        <v>5128</v>
      </c>
      <c r="K130" s="30">
        <v>5165</v>
      </c>
      <c r="L130" s="30">
        <v>5209</v>
      </c>
      <c r="N130" s="616" t="s">
        <v>1237</v>
      </c>
      <c r="O130" s="4"/>
      <c r="Q130" s="4"/>
    </row>
    <row r="131" spans="1:17">
      <c r="A131" s="616" t="s">
        <v>6961</v>
      </c>
      <c r="B131" s="616" t="s">
        <v>1258</v>
      </c>
      <c r="C131" s="4" t="s">
        <v>10574</v>
      </c>
      <c r="D131" s="619">
        <v>5364</v>
      </c>
      <c r="E131" s="619">
        <v>5447</v>
      </c>
      <c r="F131" s="619">
        <v>5367</v>
      </c>
      <c r="G131" s="30">
        <v>5339</v>
      </c>
      <c r="H131" s="30">
        <v>5566</v>
      </c>
      <c r="I131" s="30">
        <v>5477</v>
      </c>
      <c r="J131" s="30">
        <v>5447</v>
      </c>
      <c r="K131" s="30">
        <v>5400</v>
      </c>
      <c r="L131" s="30">
        <v>5400</v>
      </c>
      <c r="N131" s="616" t="s">
        <v>1237</v>
      </c>
      <c r="O131" s="4"/>
      <c r="Q131" s="4"/>
    </row>
    <row r="132" spans="1:17">
      <c r="A132" s="616" t="s">
        <v>6963</v>
      </c>
      <c r="B132" s="616" t="s">
        <v>1259</v>
      </c>
      <c r="C132" s="4" t="s">
        <v>10575</v>
      </c>
      <c r="D132" s="619">
        <v>5539</v>
      </c>
      <c r="E132" s="619">
        <v>5735</v>
      </c>
      <c r="F132" s="619">
        <v>5807</v>
      </c>
      <c r="G132" s="30">
        <v>5788</v>
      </c>
      <c r="H132" s="30">
        <v>5844</v>
      </c>
      <c r="I132" s="30">
        <v>5764</v>
      </c>
      <c r="J132" s="30">
        <v>5734</v>
      </c>
      <c r="K132" s="30">
        <v>5771</v>
      </c>
      <c r="L132" s="30">
        <v>5775</v>
      </c>
      <c r="N132" s="616" t="s">
        <v>1237</v>
      </c>
      <c r="O132" s="4"/>
      <c r="Q132" s="4"/>
    </row>
    <row r="133" spans="1:17">
      <c r="A133" s="616" t="s">
        <v>6965</v>
      </c>
      <c r="B133" s="616" t="s">
        <v>1260</v>
      </c>
      <c r="C133" s="4" t="s">
        <v>10576</v>
      </c>
      <c r="D133" s="619">
        <v>5647</v>
      </c>
      <c r="E133" s="619">
        <v>5727</v>
      </c>
      <c r="F133" s="619">
        <v>5718</v>
      </c>
      <c r="G133" s="30">
        <v>5775</v>
      </c>
      <c r="H133" s="30">
        <v>5726</v>
      </c>
      <c r="I133" s="30">
        <v>5642</v>
      </c>
      <c r="J133" s="30">
        <v>5653</v>
      </c>
      <c r="K133" s="30">
        <v>5701</v>
      </c>
      <c r="L133" s="30">
        <v>5691</v>
      </c>
      <c r="N133" s="616" t="s">
        <v>1237</v>
      </c>
      <c r="O133" s="4"/>
      <c r="Q133" s="4"/>
    </row>
    <row r="134" spans="1:17">
      <c r="A134" s="616" t="s">
        <v>6997</v>
      </c>
      <c r="B134" s="616" t="s">
        <v>1261</v>
      </c>
      <c r="C134" s="4" t="s">
        <v>10577</v>
      </c>
      <c r="D134" s="619">
        <v>5354</v>
      </c>
      <c r="E134" s="619">
        <v>5382</v>
      </c>
      <c r="F134" s="619">
        <v>5360</v>
      </c>
      <c r="G134" s="30">
        <v>5352</v>
      </c>
      <c r="H134" s="30">
        <v>5323</v>
      </c>
      <c r="I134" s="30">
        <v>5267</v>
      </c>
      <c r="J134" s="30">
        <v>5178</v>
      </c>
      <c r="K134" s="30">
        <v>5222</v>
      </c>
      <c r="L134" s="30">
        <v>5173</v>
      </c>
      <c r="N134" s="616" t="s">
        <v>1237</v>
      </c>
      <c r="O134" s="4"/>
      <c r="Q134" s="4"/>
    </row>
    <row r="135" spans="1:17">
      <c r="A135" s="616" t="s">
        <v>6999</v>
      </c>
      <c r="B135" s="616" t="s">
        <v>5985</v>
      </c>
      <c r="C135" s="4" t="s">
        <v>10578</v>
      </c>
      <c r="D135" s="619">
        <v>3431</v>
      </c>
      <c r="E135" s="619">
        <v>3434</v>
      </c>
      <c r="F135" s="619">
        <v>3489</v>
      </c>
      <c r="G135" s="30">
        <v>3503</v>
      </c>
      <c r="H135" s="30">
        <v>3462</v>
      </c>
      <c r="I135" s="30">
        <v>3348</v>
      </c>
      <c r="J135" s="30">
        <v>3308</v>
      </c>
      <c r="K135" s="30">
        <v>3306</v>
      </c>
      <c r="L135" s="30">
        <v>3290</v>
      </c>
      <c r="N135" s="616" t="s">
        <v>1237</v>
      </c>
      <c r="O135" s="4"/>
      <c r="Q135" s="4"/>
    </row>
    <row r="136" spans="1:17">
      <c r="A136" s="616" t="s">
        <v>7001</v>
      </c>
      <c r="B136" s="616" t="s">
        <v>1262</v>
      </c>
      <c r="C136" s="4" t="s">
        <v>10579</v>
      </c>
      <c r="D136" s="619">
        <v>5634</v>
      </c>
      <c r="E136" s="619">
        <v>5699</v>
      </c>
      <c r="F136" s="619">
        <v>5685</v>
      </c>
      <c r="G136" s="30">
        <v>5702</v>
      </c>
      <c r="H136" s="30">
        <v>5613</v>
      </c>
      <c r="I136" s="30">
        <v>5551</v>
      </c>
      <c r="J136" s="30">
        <v>5511</v>
      </c>
      <c r="K136" s="30">
        <v>5511</v>
      </c>
      <c r="L136" s="30">
        <v>5438</v>
      </c>
      <c r="N136" s="616" t="s">
        <v>1237</v>
      </c>
      <c r="O136" s="4"/>
      <c r="Q136" s="4"/>
    </row>
    <row r="137" spans="1:17">
      <c r="A137" s="616" t="s">
        <v>7003</v>
      </c>
      <c r="B137" s="616" t="s">
        <v>1263</v>
      </c>
      <c r="C137" s="4" t="s">
        <v>10580</v>
      </c>
      <c r="D137" s="619">
        <v>4989</v>
      </c>
      <c r="E137" s="619">
        <v>5010</v>
      </c>
      <c r="F137" s="619">
        <v>5020</v>
      </c>
      <c r="G137" s="30">
        <v>5023</v>
      </c>
      <c r="H137" s="30">
        <v>5018</v>
      </c>
      <c r="I137" s="30">
        <v>4941</v>
      </c>
      <c r="J137" s="30">
        <v>4825</v>
      </c>
      <c r="K137" s="30">
        <v>4763</v>
      </c>
      <c r="L137" s="30">
        <v>4755</v>
      </c>
      <c r="N137" s="616" t="s">
        <v>1237</v>
      </c>
      <c r="O137" s="4"/>
      <c r="Q137" s="4"/>
    </row>
    <row r="138" spans="1:17">
      <c r="A138" s="616" t="s">
        <v>7005</v>
      </c>
      <c r="B138" s="616" t="s">
        <v>1264</v>
      </c>
      <c r="C138" s="4" t="s">
        <v>10581</v>
      </c>
      <c r="D138" s="619">
        <v>3905</v>
      </c>
      <c r="E138" s="619">
        <v>3976</v>
      </c>
      <c r="F138" s="619">
        <v>3954</v>
      </c>
      <c r="G138" s="30">
        <v>3922</v>
      </c>
      <c r="H138" s="30">
        <v>3941</v>
      </c>
      <c r="I138" s="30">
        <v>3873</v>
      </c>
      <c r="J138" s="30">
        <v>3845</v>
      </c>
      <c r="K138" s="30">
        <v>3952</v>
      </c>
      <c r="L138" s="30">
        <v>4216</v>
      </c>
      <c r="N138" s="616" t="s">
        <v>1237</v>
      </c>
      <c r="O138" s="4"/>
      <c r="Q138" s="4"/>
    </row>
    <row r="139" spans="1:17">
      <c r="A139" s="616" t="s">
        <v>7007</v>
      </c>
      <c r="B139" s="616" t="s">
        <v>1265</v>
      </c>
      <c r="C139" s="4" t="s">
        <v>10582</v>
      </c>
      <c r="D139" s="619">
        <v>5494</v>
      </c>
      <c r="E139" s="619">
        <v>5548</v>
      </c>
      <c r="F139" s="619">
        <v>5525</v>
      </c>
      <c r="G139" s="30">
        <v>5492</v>
      </c>
      <c r="H139" s="30">
        <v>5418</v>
      </c>
      <c r="I139" s="30">
        <v>5293</v>
      </c>
      <c r="J139" s="30">
        <v>5220</v>
      </c>
      <c r="K139" s="30">
        <v>5274</v>
      </c>
      <c r="L139" s="30">
        <v>5274</v>
      </c>
      <c r="N139" s="616" t="s">
        <v>1237</v>
      </c>
      <c r="O139" s="4"/>
      <c r="Q139" s="4"/>
    </row>
    <row r="140" spans="1:17">
      <c r="A140" s="616" t="s">
        <v>7009</v>
      </c>
      <c r="B140" s="616" t="s">
        <v>1266</v>
      </c>
      <c r="C140" s="4" t="s">
        <v>10583</v>
      </c>
      <c r="D140" s="619">
        <v>4222</v>
      </c>
      <c r="E140" s="619">
        <v>4254</v>
      </c>
      <c r="F140" s="619">
        <v>4305</v>
      </c>
      <c r="G140" s="30">
        <v>4285</v>
      </c>
      <c r="H140" s="30">
        <v>4241</v>
      </c>
      <c r="I140" s="30">
        <v>4144</v>
      </c>
      <c r="J140" s="30">
        <v>4147</v>
      </c>
      <c r="K140" s="30">
        <v>4132</v>
      </c>
      <c r="L140" s="30">
        <v>4069</v>
      </c>
      <c r="N140" s="616" t="s">
        <v>1237</v>
      </c>
      <c r="O140" s="4"/>
      <c r="Q140" s="4"/>
    </row>
    <row r="141" spans="1:17">
      <c r="A141" s="616" t="s">
        <v>7011</v>
      </c>
      <c r="B141" s="616" t="s">
        <v>1267</v>
      </c>
      <c r="C141" s="4" t="s">
        <v>10584</v>
      </c>
      <c r="D141" s="619">
        <v>5814</v>
      </c>
      <c r="E141" s="619">
        <v>5818</v>
      </c>
      <c r="F141" s="619">
        <v>5738</v>
      </c>
      <c r="G141" s="30">
        <v>5749</v>
      </c>
      <c r="H141" s="30">
        <v>5771</v>
      </c>
      <c r="I141" s="30">
        <v>5656</v>
      </c>
      <c r="J141" s="30">
        <v>5647</v>
      </c>
      <c r="K141" s="30">
        <v>5731</v>
      </c>
      <c r="L141" s="30">
        <v>5731</v>
      </c>
      <c r="N141" s="616" t="s">
        <v>1237</v>
      </c>
      <c r="O141" s="4"/>
      <c r="Q141" s="4"/>
    </row>
    <row r="142" spans="1:17">
      <c r="A142" s="616" t="s">
        <v>7013</v>
      </c>
      <c r="B142" s="616" t="s">
        <v>1268</v>
      </c>
      <c r="C142" s="4" t="s">
        <v>10585</v>
      </c>
      <c r="D142" s="619">
        <v>3813</v>
      </c>
      <c r="E142" s="619">
        <v>3837</v>
      </c>
      <c r="F142" s="619">
        <v>3825</v>
      </c>
      <c r="G142" s="30">
        <v>3798</v>
      </c>
      <c r="H142" s="30">
        <v>3781</v>
      </c>
      <c r="I142" s="30">
        <v>3774</v>
      </c>
      <c r="J142" s="30">
        <v>3714</v>
      </c>
      <c r="K142" s="30">
        <v>3690</v>
      </c>
      <c r="L142" s="30">
        <v>3678</v>
      </c>
      <c r="N142" s="616" t="s">
        <v>1237</v>
      </c>
      <c r="O142" s="4"/>
      <c r="Q142" s="4"/>
    </row>
    <row r="143" spans="1:17">
      <c r="A143" s="616" t="s">
        <v>7015</v>
      </c>
      <c r="B143" s="616" t="s">
        <v>1269</v>
      </c>
      <c r="C143" s="4" t="s">
        <v>10586</v>
      </c>
      <c r="D143" s="619">
        <v>5078</v>
      </c>
      <c r="E143" s="619">
        <v>5137</v>
      </c>
      <c r="F143" s="619">
        <v>5113</v>
      </c>
      <c r="G143" s="30">
        <v>5206</v>
      </c>
      <c r="H143" s="30">
        <v>5201</v>
      </c>
      <c r="I143" s="30">
        <v>5104</v>
      </c>
      <c r="J143" s="30">
        <v>5085</v>
      </c>
      <c r="K143" s="30">
        <v>5109</v>
      </c>
      <c r="L143" s="30">
        <v>5027</v>
      </c>
      <c r="N143" s="616" t="s">
        <v>1237</v>
      </c>
      <c r="O143" s="4"/>
      <c r="Q143" s="4"/>
    </row>
    <row r="144" spans="1:17">
      <c r="D144" s="621"/>
      <c r="E144" s="621"/>
      <c r="F144" s="621"/>
      <c r="G144" s="621"/>
      <c r="H144" s="621"/>
      <c r="I144" s="621"/>
      <c r="J144" s="621"/>
      <c r="K144" s="621"/>
      <c r="L144" s="621"/>
    </row>
    <row r="145" spans="1:17">
      <c r="A145" s="616" t="s">
        <v>1237</v>
      </c>
      <c r="D145" s="619">
        <f t="shared" ref="D145:I145" si="146">SUM(D129:D143)</f>
        <v>74828</v>
      </c>
      <c r="E145" s="619">
        <f t="shared" si="146"/>
        <v>75680</v>
      </c>
      <c r="F145" s="619">
        <f t="shared" si="146"/>
        <v>75494</v>
      </c>
      <c r="G145" s="619">
        <f t="shared" si="146"/>
        <v>75539</v>
      </c>
      <c r="H145" s="619">
        <f t="shared" si="146"/>
        <v>75380</v>
      </c>
      <c r="I145" s="619">
        <f t="shared" si="146"/>
        <v>74146</v>
      </c>
      <c r="J145" s="619">
        <f t="shared" ref="J145:K145" si="147">SUM(J129:J143)</f>
        <v>73470</v>
      </c>
      <c r="K145" s="619">
        <f t="shared" si="147"/>
        <v>73801</v>
      </c>
      <c r="L145" s="619">
        <f t="shared" ref="L145" si="148">SUM(L129:L143)</f>
        <v>73834</v>
      </c>
    </row>
    <row r="146" spans="1:17">
      <c r="A146" s="616"/>
      <c r="D146" s="619"/>
      <c r="E146" s="619"/>
      <c r="F146" s="619"/>
      <c r="G146" s="619"/>
      <c r="H146" s="619"/>
      <c r="I146" s="619"/>
      <c r="J146" s="619"/>
      <c r="K146" s="619"/>
      <c r="L146" s="619"/>
    </row>
    <row r="147" spans="1:17">
      <c r="A147" s="616" t="s">
        <v>1270</v>
      </c>
      <c r="D147" s="619"/>
      <c r="E147" s="619"/>
      <c r="F147" s="619"/>
      <c r="G147" s="619"/>
      <c r="H147" s="619"/>
      <c r="I147" s="619"/>
      <c r="J147" s="619"/>
      <c r="K147" s="619"/>
      <c r="L147" s="619"/>
    </row>
    <row r="148" spans="1:17">
      <c r="A148" s="616"/>
      <c r="B148" s="616"/>
      <c r="D148" s="625"/>
      <c r="E148" s="625"/>
      <c r="F148" s="625"/>
      <c r="G148" s="625"/>
      <c r="H148" s="625"/>
      <c r="I148" s="625"/>
      <c r="J148" s="625"/>
      <c r="K148" s="625"/>
      <c r="L148" s="625"/>
    </row>
    <row r="149" spans="1:17">
      <c r="A149" s="616"/>
      <c r="B149" s="616"/>
      <c r="D149" s="625"/>
      <c r="E149" s="625"/>
      <c r="F149" s="625"/>
      <c r="G149" s="625"/>
      <c r="H149" s="625"/>
      <c r="I149" s="625"/>
      <c r="J149" s="625"/>
      <c r="K149" s="625"/>
      <c r="L149" s="625"/>
    </row>
    <row r="150" spans="1:17">
      <c r="E150" s="42" t="s">
        <v>2303</v>
      </c>
      <c r="F150" s="42"/>
      <c r="G150" s="42"/>
      <c r="H150" s="42"/>
      <c r="I150" s="42"/>
      <c r="J150" s="42"/>
      <c r="K150" s="42"/>
      <c r="L150" s="42"/>
      <c r="M150" s="109"/>
      <c r="N150" s="109" t="s">
        <v>13319</v>
      </c>
    </row>
    <row r="151" spans="1:17">
      <c r="D151" s="110">
        <v>2010</v>
      </c>
      <c r="E151" s="110">
        <v>2011</v>
      </c>
      <c r="F151" s="110">
        <v>2012</v>
      </c>
      <c r="G151" s="110">
        <v>2013</v>
      </c>
      <c r="H151" s="110">
        <v>2014</v>
      </c>
      <c r="I151" s="110">
        <v>2015</v>
      </c>
      <c r="J151" s="110">
        <v>2016</v>
      </c>
      <c r="K151" s="110">
        <v>2017</v>
      </c>
      <c r="L151" s="110">
        <v>2018</v>
      </c>
      <c r="M151" s="109"/>
      <c r="N151" s="112" t="s">
        <v>2304</v>
      </c>
    </row>
    <row r="152" spans="1:17">
      <c r="A152" s="616" t="s">
        <v>2134</v>
      </c>
      <c r="D152" s="619">
        <f t="shared" ref="D152:I152" si="149">SUM(D153:D173)</f>
        <v>83873</v>
      </c>
      <c r="E152" s="619">
        <f t="shared" si="149"/>
        <v>84149</v>
      </c>
      <c r="F152" s="619">
        <f t="shared" si="149"/>
        <v>84554</v>
      </c>
      <c r="G152" s="619">
        <f t="shared" si="149"/>
        <v>85098</v>
      </c>
      <c r="H152" s="619">
        <f t="shared" si="149"/>
        <v>84955</v>
      </c>
      <c r="I152" s="619">
        <f t="shared" si="149"/>
        <v>83823</v>
      </c>
      <c r="J152" s="619">
        <f t="shared" ref="J152:K152" si="150">SUM(J153:J173)</f>
        <v>81297</v>
      </c>
      <c r="K152" s="619">
        <f t="shared" si="150"/>
        <v>81468</v>
      </c>
      <c r="L152" s="619">
        <f t="shared" ref="L152" si="151">SUM(L153:L173)</f>
        <v>82781</v>
      </c>
    </row>
    <row r="153" spans="1:17">
      <c r="A153" s="616" t="s">
        <v>6957</v>
      </c>
      <c r="B153" s="616" t="s">
        <v>8199</v>
      </c>
      <c r="C153" s="4" t="s">
        <v>10587</v>
      </c>
      <c r="D153" s="619">
        <v>2324</v>
      </c>
      <c r="E153" s="619">
        <v>2334</v>
      </c>
      <c r="F153" s="619">
        <v>2319</v>
      </c>
      <c r="G153" s="30">
        <v>2345</v>
      </c>
      <c r="H153" s="30">
        <v>2354</v>
      </c>
      <c r="I153" s="30">
        <v>2320</v>
      </c>
      <c r="J153" s="30">
        <v>2276</v>
      </c>
      <c r="K153" s="30">
        <v>2315</v>
      </c>
      <c r="L153" s="30">
        <v>2348</v>
      </c>
      <c r="N153" s="616" t="s">
        <v>1235</v>
      </c>
      <c r="O153" s="4"/>
      <c r="Q153" s="4"/>
    </row>
    <row r="154" spans="1:17">
      <c r="A154" s="616" t="s">
        <v>6959</v>
      </c>
      <c r="B154" s="616" t="s">
        <v>7309</v>
      </c>
      <c r="C154" s="4" t="s">
        <v>10588</v>
      </c>
      <c r="D154" s="619">
        <v>4128</v>
      </c>
      <c r="E154" s="619">
        <v>4005</v>
      </c>
      <c r="F154" s="619">
        <v>3993</v>
      </c>
      <c r="G154" s="30">
        <v>4049</v>
      </c>
      <c r="H154" s="30">
        <v>3980</v>
      </c>
      <c r="I154" s="30">
        <v>3912</v>
      </c>
      <c r="J154" s="30">
        <v>3647</v>
      </c>
      <c r="K154" s="30">
        <v>3519</v>
      </c>
      <c r="L154" s="30">
        <v>3575</v>
      </c>
      <c r="N154" s="616" t="s">
        <v>1235</v>
      </c>
      <c r="O154" s="4"/>
      <c r="Q154" s="4"/>
    </row>
    <row r="155" spans="1:17">
      <c r="A155" s="616" t="s">
        <v>6961</v>
      </c>
      <c r="B155" s="616" t="s">
        <v>2135</v>
      </c>
      <c r="C155" s="4" t="s">
        <v>10589</v>
      </c>
      <c r="D155" s="619">
        <v>2113</v>
      </c>
      <c r="E155" s="619">
        <v>2144</v>
      </c>
      <c r="F155" s="619">
        <v>2134</v>
      </c>
      <c r="G155" s="31">
        <v>2140</v>
      </c>
      <c r="H155" s="31">
        <v>2139</v>
      </c>
      <c r="I155" s="31">
        <v>2121</v>
      </c>
      <c r="J155" s="31">
        <v>2155</v>
      </c>
      <c r="K155" s="31">
        <v>2166</v>
      </c>
      <c r="L155" s="31">
        <v>2205</v>
      </c>
      <c r="N155" s="616" t="s">
        <v>1238</v>
      </c>
      <c r="O155" s="4"/>
      <c r="Q155" s="4"/>
    </row>
    <row r="156" spans="1:17">
      <c r="A156" s="616" t="s">
        <v>6963</v>
      </c>
      <c r="B156" s="616" t="s">
        <v>4961</v>
      </c>
      <c r="C156" s="4" t="s">
        <v>10590</v>
      </c>
      <c r="D156" s="619">
        <v>5519</v>
      </c>
      <c r="E156" s="619">
        <v>5526</v>
      </c>
      <c r="F156" s="619">
        <v>5609</v>
      </c>
      <c r="G156" s="30">
        <v>5648</v>
      </c>
      <c r="H156" s="30">
        <v>5620</v>
      </c>
      <c r="I156" s="30">
        <v>5564</v>
      </c>
      <c r="J156" s="30">
        <v>5409</v>
      </c>
      <c r="K156" s="30">
        <v>5392</v>
      </c>
      <c r="L156" s="30">
        <v>5559</v>
      </c>
      <c r="N156" s="616" t="s">
        <v>1235</v>
      </c>
      <c r="O156" s="4"/>
      <c r="Q156" s="4"/>
    </row>
    <row r="157" spans="1:17">
      <c r="A157" s="616" t="s">
        <v>6965</v>
      </c>
      <c r="B157" s="616" t="s">
        <v>2136</v>
      </c>
      <c r="C157" s="4" t="s">
        <v>10591</v>
      </c>
      <c r="D157" s="619">
        <v>4245</v>
      </c>
      <c r="E157" s="619">
        <v>4317</v>
      </c>
      <c r="F157" s="619">
        <v>4341</v>
      </c>
      <c r="G157" s="30">
        <v>4354</v>
      </c>
      <c r="H157" s="30">
        <v>4350</v>
      </c>
      <c r="I157" s="30">
        <v>4252</v>
      </c>
      <c r="J157" s="30">
        <v>4165</v>
      </c>
      <c r="K157" s="30">
        <v>4218</v>
      </c>
      <c r="L157" s="30">
        <v>4216</v>
      </c>
      <c r="N157" s="616" t="s">
        <v>1235</v>
      </c>
      <c r="O157" s="4"/>
      <c r="Q157" s="4"/>
    </row>
    <row r="158" spans="1:17">
      <c r="A158" s="616" t="s">
        <v>6997</v>
      </c>
      <c r="B158" s="616" t="s">
        <v>2137</v>
      </c>
      <c r="C158" s="4" t="s">
        <v>10592</v>
      </c>
      <c r="D158" s="619">
        <v>2168</v>
      </c>
      <c r="E158" s="619">
        <v>2189</v>
      </c>
      <c r="F158" s="619">
        <v>2188</v>
      </c>
      <c r="G158" s="30">
        <v>2163</v>
      </c>
      <c r="H158" s="30">
        <v>2084</v>
      </c>
      <c r="I158" s="30">
        <v>2072</v>
      </c>
      <c r="J158" s="30">
        <v>1883</v>
      </c>
      <c r="K158" s="30">
        <v>1967</v>
      </c>
      <c r="L158" s="30">
        <v>2078</v>
      </c>
      <c r="N158" s="616" t="s">
        <v>1235</v>
      </c>
      <c r="O158" s="4"/>
      <c r="Q158" s="4"/>
    </row>
    <row r="159" spans="1:17">
      <c r="A159" s="616" t="s">
        <v>6999</v>
      </c>
      <c r="B159" s="616" t="s">
        <v>2138</v>
      </c>
      <c r="C159" s="4" t="s">
        <v>10593</v>
      </c>
      <c r="D159" s="619">
        <v>2199</v>
      </c>
      <c r="E159" s="619">
        <v>2207</v>
      </c>
      <c r="F159" s="619">
        <v>2200</v>
      </c>
      <c r="G159" s="30">
        <v>2194</v>
      </c>
      <c r="H159" s="30">
        <v>2209</v>
      </c>
      <c r="I159" s="30">
        <v>2190</v>
      </c>
      <c r="J159" s="30">
        <v>2141</v>
      </c>
      <c r="K159" s="30">
        <v>2128</v>
      </c>
      <c r="L159" s="30">
        <v>2126</v>
      </c>
      <c r="N159" s="616" t="s">
        <v>1235</v>
      </c>
      <c r="O159" s="4"/>
      <c r="Q159" s="4"/>
    </row>
    <row r="160" spans="1:17">
      <c r="A160" s="616" t="s">
        <v>7001</v>
      </c>
      <c r="B160" s="616" t="s">
        <v>7604</v>
      </c>
      <c r="C160" s="4" t="s">
        <v>10594</v>
      </c>
      <c r="D160" s="619">
        <v>2124</v>
      </c>
      <c r="E160" s="619">
        <v>2136</v>
      </c>
      <c r="F160" s="619">
        <v>2100</v>
      </c>
      <c r="G160" s="30">
        <v>2113</v>
      </c>
      <c r="H160" s="30">
        <v>2123</v>
      </c>
      <c r="I160" s="30">
        <v>2112</v>
      </c>
      <c r="J160" s="30">
        <v>2049</v>
      </c>
      <c r="K160" s="30">
        <v>2070</v>
      </c>
      <c r="L160" s="30">
        <v>2104</v>
      </c>
      <c r="N160" s="616" t="s">
        <v>1235</v>
      </c>
      <c r="O160" s="4"/>
      <c r="Q160" s="4"/>
    </row>
    <row r="161" spans="1:17">
      <c r="A161" s="616" t="s">
        <v>7003</v>
      </c>
      <c r="B161" s="616" t="s">
        <v>2223</v>
      </c>
      <c r="C161" s="4" t="s">
        <v>10595</v>
      </c>
      <c r="D161" s="619">
        <v>4040</v>
      </c>
      <c r="E161" s="619">
        <v>4063</v>
      </c>
      <c r="F161" s="619">
        <v>4171</v>
      </c>
      <c r="G161" s="30">
        <v>4278</v>
      </c>
      <c r="H161" s="30">
        <v>4304</v>
      </c>
      <c r="I161" s="30">
        <v>4241</v>
      </c>
      <c r="J161" s="30">
        <v>4016</v>
      </c>
      <c r="K161" s="30">
        <v>4018</v>
      </c>
      <c r="L161" s="30">
        <v>4204</v>
      </c>
      <c r="N161" s="616" t="s">
        <v>1235</v>
      </c>
      <c r="O161" s="4"/>
      <c r="Q161" s="4"/>
    </row>
    <row r="162" spans="1:17">
      <c r="A162" s="616" t="s">
        <v>7005</v>
      </c>
      <c r="B162" s="616" t="s">
        <v>8207</v>
      </c>
      <c r="C162" s="4" t="s">
        <v>10596</v>
      </c>
      <c r="D162" s="619">
        <v>4782</v>
      </c>
      <c r="E162" s="619">
        <v>4779</v>
      </c>
      <c r="F162" s="619">
        <v>4851</v>
      </c>
      <c r="G162" s="30">
        <v>4843</v>
      </c>
      <c r="H162" s="30">
        <v>4772</v>
      </c>
      <c r="I162" s="30">
        <v>4736</v>
      </c>
      <c r="J162" s="30">
        <v>4605</v>
      </c>
      <c r="K162" s="30">
        <v>4593</v>
      </c>
      <c r="L162" s="30">
        <v>4673</v>
      </c>
      <c r="N162" s="616" t="s">
        <v>1235</v>
      </c>
      <c r="O162" s="4"/>
      <c r="Q162" s="4"/>
    </row>
    <row r="163" spans="1:17">
      <c r="A163" s="616" t="s">
        <v>7007</v>
      </c>
      <c r="B163" s="616" t="s">
        <v>2224</v>
      </c>
      <c r="C163" s="4" t="s">
        <v>10597</v>
      </c>
      <c r="D163" s="619">
        <v>6093</v>
      </c>
      <c r="E163" s="619">
        <v>6216</v>
      </c>
      <c r="F163" s="619">
        <v>6283</v>
      </c>
      <c r="G163" s="30">
        <v>6352</v>
      </c>
      <c r="H163" s="30">
        <v>6407</v>
      </c>
      <c r="I163" s="30">
        <v>6355</v>
      </c>
      <c r="J163" s="30">
        <v>6070</v>
      </c>
      <c r="K163" s="30">
        <v>6001</v>
      </c>
      <c r="L163" s="30">
        <v>6027</v>
      </c>
      <c r="N163" s="616" t="s">
        <v>1235</v>
      </c>
      <c r="O163" s="4"/>
      <c r="Q163" s="4"/>
    </row>
    <row r="164" spans="1:17">
      <c r="A164" s="616" t="s">
        <v>7009</v>
      </c>
      <c r="B164" s="616" t="s">
        <v>2225</v>
      </c>
      <c r="C164" s="4" t="s">
        <v>10598</v>
      </c>
      <c r="D164" s="619">
        <v>4513</v>
      </c>
      <c r="E164" s="619">
        <v>4534</v>
      </c>
      <c r="F164" s="619">
        <v>4533</v>
      </c>
      <c r="G164" s="31">
        <v>4566</v>
      </c>
      <c r="H164" s="31">
        <v>4535</v>
      </c>
      <c r="I164" s="31">
        <v>4465</v>
      </c>
      <c r="J164" s="31">
        <v>4441</v>
      </c>
      <c r="K164" s="31">
        <v>4590</v>
      </c>
      <c r="L164" s="31">
        <v>4688</v>
      </c>
      <c r="N164" s="616" t="s">
        <v>1238</v>
      </c>
      <c r="O164" s="4"/>
      <c r="Q164" s="4"/>
    </row>
    <row r="165" spans="1:17">
      <c r="A165" s="616" t="s">
        <v>7011</v>
      </c>
      <c r="B165" s="616" t="s">
        <v>2226</v>
      </c>
      <c r="C165" s="4" t="s">
        <v>10599</v>
      </c>
      <c r="D165" s="619">
        <v>2701</v>
      </c>
      <c r="E165" s="619">
        <v>2722</v>
      </c>
      <c r="F165" s="619">
        <v>2760</v>
      </c>
      <c r="G165" s="30">
        <v>2736</v>
      </c>
      <c r="H165" s="30">
        <v>2756</v>
      </c>
      <c r="I165" s="30">
        <v>2724</v>
      </c>
      <c r="J165" s="30">
        <v>2700</v>
      </c>
      <c r="K165" s="30">
        <v>2721</v>
      </c>
      <c r="L165" s="30">
        <v>2708</v>
      </c>
      <c r="N165" s="616" t="s">
        <v>1235</v>
      </c>
      <c r="O165" s="4"/>
      <c r="Q165" s="4"/>
    </row>
    <row r="166" spans="1:17">
      <c r="A166" s="616" t="s">
        <v>7013</v>
      </c>
      <c r="B166" s="616" t="s">
        <v>2227</v>
      </c>
      <c r="C166" s="4" t="s">
        <v>10600</v>
      </c>
      <c r="D166" s="619">
        <v>4687</v>
      </c>
      <c r="E166" s="619">
        <v>4753</v>
      </c>
      <c r="F166" s="619">
        <v>4765</v>
      </c>
      <c r="G166" s="30">
        <v>4818</v>
      </c>
      <c r="H166" s="30">
        <v>4774</v>
      </c>
      <c r="I166" s="30">
        <v>4749</v>
      </c>
      <c r="J166" s="30">
        <v>4565</v>
      </c>
      <c r="K166" s="30">
        <v>4471</v>
      </c>
      <c r="L166" s="30">
        <v>4568</v>
      </c>
      <c r="N166" s="616" t="s">
        <v>1235</v>
      </c>
      <c r="O166" s="4"/>
      <c r="Q166" s="4"/>
    </row>
    <row r="167" spans="1:17">
      <c r="A167" s="616" t="s">
        <v>7015</v>
      </c>
      <c r="B167" s="616" t="s">
        <v>2228</v>
      </c>
      <c r="C167" s="4" t="s">
        <v>10601</v>
      </c>
      <c r="D167" s="619">
        <v>5868</v>
      </c>
      <c r="E167" s="619">
        <v>5817</v>
      </c>
      <c r="F167" s="619">
        <v>5900</v>
      </c>
      <c r="G167" s="30">
        <v>5958</v>
      </c>
      <c r="H167" s="30">
        <v>5972</v>
      </c>
      <c r="I167" s="30">
        <v>5811</v>
      </c>
      <c r="J167" s="30">
        <v>5538</v>
      </c>
      <c r="K167" s="30">
        <v>5379</v>
      </c>
      <c r="L167" s="30">
        <v>5494</v>
      </c>
      <c r="N167" s="616" t="s">
        <v>1235</v>
      </c>
      <c r="O167" s="4"/>
      <c r="Q167" s="4"/>
    </row>
    <row r="168" spans="1:17">
      <c r="A168" s="616" t="s">
        <v>7017</v>
      </c>
      <c r="B168" s="616" t="s">
        <v>2229</v>
      </c>
      <c r="C168" s="4" t="s">
        <v>10602</v>
      </c>
      <c r="D168" s="619">
        <v>6336</v>
      </c>
      <c r="E168" s="619">
        <v>6363</v>
      </c>
      <c r="F168" s="619">
        <v>6343</v>
      </c>
      <c r="G168" s="30">
        <v>6343</v>
      </c>
      <c r="H168" s="30">
        <v>6311</v>
      </c>
      <c r="I168" s="30">
        <v>6246</v>
      </c>
      <c r="J168" s="30">
        <v>6115</v>
      </c>
      <c r="K168" s="30">
        <v>6078</v>
      </c>
      <c r="L168" s="30">
        <v>6104</v>
      </c>
      <c r="N168" s="616" t="s">
        <v>1235</v>
      </c>
      <c r="O168" s="4"/>
      <c r="Q168" s="4"/>
    </row>
    <row r="169" spans="1:17">
      <c r="A169" s="616" t="s">
        <v>7019</v>
      </c>
      <c r="B169" s="616" t="s">
        <v>4381</v>
      </c>
      <c r="C169" s="4" t="s">
        <v>10603</v>
      </c>
      <c r="D169" s="619">
        <v>5308</v>
      </c>
      <c r="E169" s="619">
        <v>5304</v>
      </c>
      <c r="F169" s="619">
        <v>5365</v>
      </c>
      <c r="G169" s="30">
        <v>5419</v>
      </c>
      <c r="H169" s="30">
        <v>5437</v>
      </c>
      <c r="I169" s="30">
        <v>5299</v>
      </c>
      <c r="J169" s="30">
        <v>5119</v>
      </c>
      <c r="K169" s="30">
        <v>5231</v>
      </c>
      <c r="L169" s="30">
        <v>5293</v>
      </c>
      <c r="N169" s="616" t="s">
        <v>1235</v>
      </c>
      <c r="O169" s="4"/>
      <c r="Q169" s="4"/>
    </row>
    <row r="170" spans="1:17">
      <c r="A170" s="616" t="s">
        <v>7021</v>
      </c>
      <c r="B170" s="616" t="s">
        <v>2230</v>
      </c>
      <c r="C170" s="4" t="s">
        <v>10604</v>
      </c>
      <c r="D170" s="619">
        <v>4683</v>
      </c>
      <c r="E170" s="619">
        <v>4672</v>
      </c>
      <c r="F170" s="619">
        <v>4704</v>
      </c>
      <c r="G170" s="31">
        <v>4712</v>
      </c>
      <c r="H170" s="31">
        <v>4734</v>
      </c>
      <c r="I170" s="31">
        <v>4693</v>
      </c>
      <c r="J170" s="31">
        <v>4741</v>
      </c>
      <c r="K170" s="31">
        <v>4915</v>
      </c>
      <c r="L170" s="31">
        <v>5021</v>
      </c>
      <c r="N170" s="616" t="s">
        <v>1235</v>
      </c>
      <c r="O170" s="4"/>
      <c r="Q170" s="4"/>
    </row>
    <row r="171" spans="1:17">
      <c r="A171" s="616" t="s">
        <v>7023</v>
      </c>
      <c r="B171" s="616" t="s">
        <v>3252</v>
      </c>
      <c r="C171" s="4" t="s">
        <v>10605</v>
      </c>
      <c r="D171" s="619">
        <v>1670</v>
      </c>
      <c r="E171" s="619">
        <v>1705</v>
      </c>
      <c r="F171" s="619">
        <v>1698</v>
      </c>
      <c r="G171" s="31">
        <v>1723</v>
      </c>
      <c r="H171" s="31">
        <v>1738</v>
      </c>
      <c r="I171" s="31">
        <v>1685</v>
      </c>
      <c r="J171" s="31">
        <v>1645</v>
      </c>
      <c r="K171" s="31">
        <v>1672</v>
      </c>
      <c r="L171" s="31">
        <v>1670</v>
      </c>
      <c r="N171" s="616" t="s">
        <v>1235</v>
      </c>
      <c r="O171" s="4"/>
      <c r="Q171" s="4"/>
    </row>
    <row r="172" spans="1:17">
      <c r="A172" s="616" t="s">
        <v>7025</v>
      </c>
      <c r="B172" s="616" t="s">
        <v>2231</v>
      </c>
      <c r="C172" s="4" t="s">
        <v>10606</v>
      </c>
      <c r="D172" s="619">
        <v>6206</v>
      </c>
      <c r="E172" s="619">
        <v>6194</v>
      </c>
      <c r="F172" s="619">
        <v>6143</v>
      </c>
      <c r="G172" s="31">
        <v>6182</v>
      </c>
      <c r="H172" s="31">
        <v>6130</v>
      </c>
      <c r="I172" s="31">
        <v>6078</v>
      </c>
      <c r="J172" s="31">
        <v>5858</v>
      </c>
      <c r="K172" s="31">
        <v>5871</v>
      </c>
      <c r="L172" s="31">
        <v>5921</v>
      </c>
      <c r="N172" s="616" t="s">
        <v>1235</v>
      </c>
      <c r="O172" s="4"/>
      <c r="Q172" s="4"/>
    </row>
    <row r="173" spans="1:17">
      <c r="A173" s="616" t="s">
        <v>7570</v>
      </c>
      <c r="B173" s="616" t="s">
        <v>2232</v>
      </c>
      <c r="C173" s="4" t="s">
        <v>10607</v>
      </c>
      <c r="D173" s="624">
        <v>2166</v>
      </c>
      <c r="E173" s="624">
        <v>2169</v>
      </c>
      <c r="F173" s="624">
        <v>2154</v>
      </c>
      <c r="G173" s="31">
        <v>2162</v>
      </c>
      <c r="H173" s="31">
        <v>2226</v>
      </c>
      <c r="I173" s="31">
        <v>2198</v>
      </c>
      <c r="J173" s="31">
        <v>2159</v>
      </c>
      <c r="K173" s="31">
        <v>2153</v>
      </c>
      <c r="L173" s="31">
        <v>2199</v>
      </c>
      <c r="N173" s="616" t="s">
        <v>1238</v>
      </c>
      <c r="O173" s="4"/>
      <c r="Q173" s="4"/>
    </row>
    <row r="174" spans="1:17">
      <c r="A174" s="616"/>
      <c r="B174" s="616"/>
      <c r="D174" s="619"/>
      <c r="E174" s="619"/>
      <c r="F174" s="619"/>
      <c r="G174" s="619"/>
      <c r="H174" s="619"/>
      <c r="I174" s="619"/>
      <c r="J174" s="619"/>
      <c r="K174" s="619"/>
      <c r="L174" s="619"/>
      <c r="N174" s="616"/>
    </row>
    <row r="175" spans="1:17">
      <c r="A175" s="616" t="s">
        <v>1235</v>
      </c>
      <c r="D175" s="619">
        <f t="shared" ref="D175:I175" si="152">D153+D154+SUM(D156:D163)+SUM(D165:D172)</f>
        <v>75081</v>
      </c>
      <c r="E175" s="619">
        <f t="shared" si="152"/>
        <v>75302</v>
      </c>
      <c r="F175" s="619">
        <f t="shared" si="152"/>
        <v>75733</v>
      </c>
      <c r="G175" s="619">
        <f t="shared" si="152"/>
        <v>76230</v>
      </c>
      <c r="H175" s="619">
        <f t="shared" si="152"/>
        <v>76055</v>
      </c>
      <c r="I175" s="619">
        <f t="shared" si="152"/>
        <v>75039</v>
      </c>
      <c r="J175" s="619">
        <f t="shared" ref="J175:K175" si="153">J153+J154+SUM(J156:J163)+SUM(J165:J172)</f>
        <v>72542</v>
      </c>
      <c r="K175" s="619">
        <f t="shared" si="153"/>
        <v>72559</v>
      </c>
      <c r="L175" s="619">
        <f t="shared" ref="L175" si="154">L153+L154+SUM(L156:L163)+SUM(L165:L172)</f>
        <v>73689</v>
      </c>
    </row>
    <row r="176" spans="1:17">
      <c r="A176" s="616" t="s">
        <v>2233</v>
      </c>
      <c r="D176" s="619">
        <f t="shared" ref="D176:I176" si="155">D155+D164+D173</f>
        <v>8792</v>
      </c>
      <c r="E176" s="619">
        <f t="shared" si="155"/>
        <v>8847</v>
      </c>
      <c r="F176" s="619">
        <f t="shared" si="155"/>
        <v>8821</v>
      </c>
      <c r="G176" s="619">
        <f t="shared" si="155"/>
        <v>8868</v>
      </c>
      <c r="H176" s="619">
        <f t="shared" si="155"/>
        <v>8900</v>
      </c>
      <c r="I176" s="619">
        <f t="shared" si="155"/>
        <v>8784</v>
      </c>
      <c r="J176" s="619">
        <f t="shared" ref="J176:K176" si="156">J155+J164+J173</f>
        <v>8755</v>
      </c>
      <c r="K176" s="619">
        <f t="shared" si="156"/>
        <v>8909</v>
      </c>
      <c r="L176" s="619">
        <f t="shared" ref="L176" si="157">L155+L164+L173</f>
        <v>9092</v>
      </c>
    </row>
    <row r="177" spans="1:17">
      <c r="A177" s="616"/>
      <c r="D177" s="619"/>
      <c r="E177" s="619"/>
      <c r="F177" s="619"/>
      <c r="G177" s="619"/>
      <c r="H177" s="619"/>
      <c r="I177" s="619"/>
      <c r="J177" s="619"/>
      <c r="K177" s="619"/>
      <c r="L177" s="619"/>
    </row>
    <row r="178" spans="1:17">
      <c r="A178" s="616" t="s">
        <v>2245</v>
      </c>
      <c r="D178" s="619"/>
      <c r="E178" s="619"/>
      <c r="F178" s="619"/>
      <c r="G178" s="619"/>
      <c r="H178" s="619"/>
      <c r="I178" s="619"/>
      <c r="J178" s="619"/>
      <c r="K178" s="619"/>
      <c r="L178" s="619"/>
    </row>
    <row r="179" spans="1:17">
      <c r="A179" s="616"/>
      <c r="B179" s="616"/>
      <c r="D179" s="625"/>
      <c r="E179" s="625"/>
      <c r="F179" s="625"/>
      <c r="G179" s="625"/>
      <c r="H179" s="625"/>
      <c r="I179" s="625"/>
      <c r="J179" s="625"/>
      <c r="K179" s="625"/>
      <c r="L179" s="625"/>
    </row>
    <row r="180" spans="1:17">
      <c r="A180" s="616"/>
      <c r="B180" s="616"/>
      <c r="D180" s="625"/>
      <c r="E180" s="625"/>
      <c r="F180" s="625"/>
      <c r="G180" s="625"/>
      <c r="H180" s="625"/>
      <c r="I180" s="625"/>
      <c r="J180" s="625"/>
      <c r="K180" s="625"/>
      <c r="L180" s="625"/>
    </row>
    <row r="181" spans="1:17">
      <c r="E181" s="42" t="s">
        <v>2303</v>
      </c>
      <c r="F181" s="42"/>
      <c r="G181" s="42"/>
      <c r="H181" s="42"/>
      <c r="I181" s="42"/>
      <c r="J181" s="42"/>
      <c r="K181" s="42"/>
      <c r="L181" s="42"/>
      <c r="M181" s="109"/>
      <c r="N181" s="109" t="s">
        <v>13319</v>
      </c>
    </row>
    <row r="182" spans="1:17">
      <c r="D182" s="110">
        <v>2010</v>
      </c>
      <c r="E182" s="110">
        <v>2011</v>
      </c>
      <c r="F182" s="110">
        <v>2012</v>
      </c>
      <c r="G182" s="110">
        <v>2013</v>
      </c>
      <c r="H182" s="110">
        <v>2014</v>
      </c>
      <c r="I182" s="110">
        <v>2015</v>
      </c>
      <c r="J182" s="110">
        <v>2016</v>
      </c>
      <c r="K182" s="110">
        <v>2017</v>
      </c>
      <c r="L182" s="110">
        <v>2018</v>
      </c>
      <c r="M182" s="109"/>
      <c r="N182" s="112" t="s">
        <v>2304</v>
      </c>
    </row>
    <row r="183" spans="1:17">
      <c r="A183" s="616" t="s">
        <v>2246</v>
      </c>
      <c r="D183" s="619">
        <f>SUM(D184:D196)+SUM(D198:D208)</f>
        <v>77981</v>
      </c>
      <c r="E183" s="619">
        <f t="shared" ref="E183:J183" si="158">SUM(E184:E196)+SUM(E198:E208)</f>
        <v>78644</v>
      </c>
      <c r="F183" s="619">
        <f t="shared" si="158"/>
        <v>79134</v>
      </c>
      <c r="G183" s="619">
        <f t="shared" si="158"/>
        <v>79959</v>
      </c>
      <c r="H183" s="619">
        <f t="shared" si="158"/>
        <v>80257</v>
      </c>
      <c r="I183" s="619">
        <f t="shared" si="158"/>
        <v>79688</v>
      </c>
      <c r="J183" s="619">
        <f t="shared" si="158"/>
        <v>77591</v>
      </c>
      <c r="K183" s="619">
        <f t="shared" ref="K183:L183" si="159">SUM(K184:K196)+SUM(K198:K208)</f>
        <v>79473</v>
      </c>
      <c r="L183" s="619">
        <f t="shared" si="159"/>
        <v>78897</v>
      </c>
    </row>
    <row r="184" spans="1:17">
      <c r="A184" s="616" t="s">
        <v>6957</v>
      </c>
      <c r="B184" s="616" t="s">
        <v>15457</v>
      </c>
      <c r="C184" s="4" t="s">
        <v>15456</v>
      </c>
      <c r="D184" s="619">
        <v>63712</v>
      </c>
      <c r="E184" s="619">
        <v>64238</v>
      </c>
      <c r="F184" s="619">
        <v>64623</v>
      </c>
      <c r="G184" s="619">
        <v>65244</v>
      </c>
      <c r="H184" s="30">
        <v>65467</v>
      </c>
      <c r="I184" s="30">
        <v>65002</v>
      </c>
      <c r="J184" s="30">
        <v>4510</v>
      </c>
      <c r="K184" s="30">
        <v>4633</v>
      </c>
      <c r="L184" s="30">
        <v>4615</v>
      </c>
      <c r="N184" s="616" t="s">
        <v>1238</v>
      </c>
      <c r="O184" s="4"/>
      <c r="Q184" s="4"/>
    </row>
    <row r="185" spans="1:17">
      <c r="A185" s="616" t="s">
        <v>6959</v>
      </c>
      <c r="B185" s="616" t="s">
        <v>2247</v>
      </c>
      <c r="C185" s="4" t="s">
        <v>15462</v>
      </c>
      <c r="D185" s="619">
        <v>0</v>
      </c>
      <c r="E185" s="619">
        <v>0</v>
      </c>
      <c r="F185" s="619">
        <v>0</v>
      </c>
      <c r="G185" s="619">
        <v>0</v>
      </c>
      <c r="H185" s="30">
        <v>0</v>
      </c>
      <c r="I185" s="30">
        <v>0</v>
      </c>
      <c r="J185" s="30">
        <v>5693</v>
      </c>
      <c r="K185" s="30">
        <v>5981</v>
      </c>
      <c r="L185" s="30">
        <v>5930</v>
      </c>
      <c r="N185" s="616" t="s">
        <v>1238</v>
      </c>
      <c r="O185" s="4"/>
      <c r="Q185" s="4"/>
    </row>
    <row r="186" spans="1:17">
      <c r="A186" s="616" t="s">
        <v>6961</v>
      </c>
      <c r="B186" s="616" t="s">
        <v>2248</v>
      </c>
      <c r="C186" s="4" t="s">
        <v>15463</v>
      </c>
      <c r="D186" s="619">
        <v>0</v>
      </c>
      <c r="E186" s="619">
        <v>0</v>
      </c>
      <c r="F186" s="619">
        <v>0</v>
      </c>
      <c r="G186" s="619">
        <v>0</v>
      </c>
      <c r="H186" s="30">
        <v>0</v>
      </c>
      <c r="I186" s="30">
        <v>0</v>
      </c>
      <c r="J186" s="30">
        <v>3447</v>
      </c>
      <c r="K186" s="30">
        <v>3506</v>
      </c>
      <c r="L186" s="30">
        <v>3432</v>
      </c>
      <c r="N186" s="616" t="s">
        <v>1238</v>
      </c>
      <c r="O186" s="4"/>
      <c r="Q186" s="4"/>
    </row>
    <row r="187" spans="1:17">
      <c r="A187" s="616" t="s">
        <v>6963</v>
      </c>
      <c r="B187" s="616" t="s">
        <v>15458</v>
      </c>
      <c r="C187" s="4" t="s">
        <v>15464</v>
      </c>
      <c r="D187" s="619">
        <v>0</v>
      </c>
      <c r="E187" s="619">
        <v>0</v>
      </c>
      <c r="F187" s="619">
        <v>0</v>
      </c>
      <c r="G187" s="619">
        <v>0</v>
      </c>
      <c r="H187" s="30">
        <v>0</v>
      </c>
      <c r="I187" s="30">
        <v>0</v>
      </c>
      <c r="J187" s="30">
        <v>5065</v>
      </c>
      <c r="K187" s="30">
        <v>5131</v>
      </c>
      <c r="L187" s="30">
        <v>5097</v>
      </c>
      <c r="N187" s="616" t="s">
        <v>1238</v>
      </c>
      <c r="O187" s="4"/>
      <c r="Q187" s="4"/>
    </row>
    <row r="188" spans="1:17">
      <c r="A188" s="616" t="s">
        <v>6965</v>
      </c>
      <c r="B188" s="616" t="s">
        <v>3271</v>
      </c>
      <c r="C188" s="4" t="s">
        <v>15465</v>
      </c>
      <c r="D188" s="619">
        <v>14269</v>
      </c>
      <c r="E188" s="619">
        <v>14406</v>
      </c>
      <c r="F188" s="619">
        <v>14511</v>
      </c>
      <c r="G188" s="619">
        <v>14715</v>
      </c>
      <c r="H188" s="31">
        <v>14790</v>
      </c>
      <c r="I188" s="31">
        <v>14686</v>
      </c>
      <c r="J188" s="31">
        <v>1762</v>
      </c>
      <c r="K188" s="31">
        <v>1757</v>
      </c>
      <c r="L188" s="31">
        <v>1721</v>
      </c>
      <c r="N188" s="616" t="s">
        <v>3853</v>
      </c>
      <c r="O188" s="4"/>
      <c r="Q188" s="4"/>
    </row>
    <row r="189" spans="1:17">
      <c r="A189" s="616" t="s">
        <v>6997</v>
      </c>
      <c r="B189" s="616" t="s">
        <v>4160</v>
      </c>
      <c r="C189" s="4" t="s">
        <v>15466</v>
      </c>
      <c r="D189" s="619">
        <v>0</v>
      </c>
      <c r="E189" s="619">
        <v>0</v>
      </c>
      <c r="F189" s="619">
        <v>0</v>
      </c>
      <c r="G189" s="619">
        <v>0</v>
      </c>
      <c r="H189" s="31">
        <v>0</v>
      </c>
      <c r="I189" s="31">
        <v>0</v>
      </c>
      <c r="J189" s="30">
        <v>3304</v>
      </c>
      <c r="K189" s="30">
        <v>3311</v>
      </c>
      <c r="L189" s="30">
        <v>3188</v>
      </c>
      <c r="N189" s="616" t="s">
        <v>1238</v>
      </c>
      <c r="O189" s="4"/>
      <c r="Q189" s="4"/>
    </row>
    <row r="190" spans="1:17">
      <c r="A190" s="616" t="s">
        <v>6999</v>
      </c>
      <c r="B190" s="616" t="s">
        <v>4161</v>
      </c>
      <c r="C190" s="4" t="s">
        <v>15467</v>
      </c>
      <c r="D190" s="619">
        <v>0</v>
      </c>
      <c r="E190" s="619">
        <v>0</v>
      </c>
      <c r="F190" s="619">
        <v>0</v>
      </c>
      <c r="G190" s="619">
        <v>0</v>
      </c>
      <c r="H190" s="31">
        <v>0</v>
      </c>
      <c r="I190" s="31">
        <v>0</v>
      </c>
      <c r="J190" s="30">
        <v>3717</v>
      </c>
      <c r="K190" s="30">
        <v>3803</v>
      </c>
      <c r="L190" s="30">
        <v>3727</v>
      </c>
      <c r="N190" s="616" t="s">
        <v>1238</v>
      </c>
      <c r="O190" s="4"/>
      <c r="Q190" s="4"/>
    </row>
    <row r="191" spans="1:17">
      <c r="A191" s="616" t="s">
        <v>7001</v>
      </c>
      <c r="B191" s="616" t="s">
        <v>4162</v>
      </c>
      <c r="C191" s="4" t="s">
        <v>15468</v>
      </c>
      <c r="D191" s="619">
        <v>0</v>
      </c>
      <c r="E191" s="619">
        <v>0</v>
      </c>
      <c r="F191" s="619">
        <v>0</v>
      </c>
      <c r="G191" s="619">
        <v>0</v>
      </c>
      <c r="H191" s="30">
        <v>0</v>
      </c>
      <c r="I191" s="30">
        <v>0</v>
      </c>
      <c r="J191" s="30">
        <v>2640</v>
      </c>
      <c r="K191" s="30">
        <v>2740</v>
      </c>
      <c r="L191" s="30">
        <v>2872</v>
      </c>
      <c r="N191" s="616" t="s">
        <v>1238</v>
      </c>
      <c r="O191" s="4"/>
      <c r="Q191" s="4"/>
    </row>
    <row r="192" spans="1:17">
      <c r="A192" s="616" t="s">
        <v>7003</v>
      </c>
      <c r="B192" s="616" t="s">
        <v>15459</v>
      </c>
      <c r="C192" s="4" t="s">
        <v>15469</v>
      </c>
      <c r="D192" s="619">
        <v>0</v>
      </c>
      <c r="E192" s="619">
        <v>0</v>
      </c>
      <c r="F192" s="619">
        <v>0</v>
      </c>
      <c r="G192" s="619">
        <v>0</v>
      </c>
      <c r="H192" s="31">
        <v>0</v>
      </c>
      <c r="I192" s="31">
        <v>0</v>
      </c>
      <c r="J192" s="30">
        <v>1768</v>
      </c>
      <c r="K192" s="30">
        <v>1843</v>
      </c>
      <c r="L192" s="30">
        <v>1821</v>
      </c>
      <c r="N192" s="616" t="s">
        <v>1238</v>
      </c>
      <c r="O192" s="4"/>
      <c r="Q192" s="4"/>
    </row>
    <row r="193" spans="1:17">
      <c r="A193" s="616" t="s">
        <v>7005</v>
      </c>
      <c r="B193" s="616" t="s">
        <v>4163</v>
      </c>
      <c r="C193" s="4" t="s">
        <v>15470</v>
      </c>
      <c r="D193" s="619">
        <v>0</v>
      </c>
      <c r="E193" s="619">
        <v>0</v>
      </c>
      <c r="F193" s="619">
        <v>0</v>
      </c>
      <c r="G193" s="619">
        <v>0</v>
      </c>
      <c r="H193" s="31">
        <v>0</v>
      </c>
      <c r="I193" s="31">
        <v>0</v>
      </c>
      <c r="J193" s="30">
        <v>3201</v>
      </c>
      <c r="K193" s="30">
        <v>3273</v>
      </c>
      <c r="L193" s="30">
        <v>3185</v>
      </c>
      <c r="N193" s="616" t="s">
        <v>1238</v>
      </c>
      <c r="O193" s="4"/>
      <c r="Q193" s="4"/>
    </row>
    <row r="194" spans="1:17">
      <c r="A194" s="616" t="s">
        <v>7007</v>
      </c>
      <c r="B194" s="616" t="s">
        <v>4164</v>
      </c>
      <c r="C194" s="4" t="s">
        <v>15471</v>
      </c>
      <c r="D194" s="619">
        <v>0</v>
      </c>
      <c r="E194" s="619">
        <v>0</v>
      </c>
      <c r="F194" s="619">
        <v>0</v>
      </c>
      <c r="G194" s="619">
        <v>0</v>
      </c>
      <c r="H194" s="30">
        <v>0</v>
      </c>
      <c r="I194" s="30">
        <v>0</v>
      </c>
      <c r="J194" s="31">
        <v>3458</v>
      </c>
      <c r="K194" s="31">
        <v>3515</v>
      </c>
      <c r="L194" s="31">
        <v>3486</v>
      </c>
      <c r="N194" s="616" t="s">
        <v>3853</v>
      </c>
      <c r="O194" s="4"/>
      <c r="Q194" s="4"/>
    </row>
    <row r="195" spans="1:17">
      <c r="A195" s="616" t="s">
        <v>7009</v>
      </c>
      <c r="B195" s="616" t="s">
        <v>15460</v>
      </c>
      <c r="C195" s="4" t="s">
        <v>15472</v>
      </c>
      <c r="D195" s="619">
        <v>0</v>
      </c>
      <c r="E195" s="619">
        <v>0</v>
      </c>
      <c r="F195" s="619">
        <v>0</v>
      </c>
      <c r="G195" s="619">
        <v>0</v>
      </c>
      <c r="H195" s="30">
        <v>0</v>
      </c>
      <c r="I195" s="30">
        <v>0</v>
      </c>
      <c r="J195" s="30">
        <v>3062</v>
      </c>
      <c r="K195" s="30">
        <v>3138</v>
      </c>
      <c r="L195" s="30">
        <v>3154</v>
      </c>
      <c r="N195" s="616" t="s">
        <v>1238</v>
      </c>
      <c r="O195" s="4"/>
      <c r="Q195" s="4"/>
    </row>
    <row r="196" spans="1:17" ht="15.75" thickBot="1">
      <c r="A196" s="616"/>
      <c r="B196" s="616"/>
      <c r="C196" s="4" t="s">
        <v>15472</v>
      </c>
      <c r="D196" s="620">
        <v>0</v>
      </c>
      <c r="E196" s="620">
        <v>0</v>
      </c>
      <c r="F196" s="620">
        <v>0</v>
      </c>
      <c r="G196" s="620">
        <v>0</v>
      </c>
      <c r="H196" s="899">
        <v>0</v>
      </c>
      <c r="I196" s="899">
        <v>0</v>
      </c>
      <c r="J196" s="31">
        <v>361</v>
      </c>
      <c r="K196" s="31">
        <v>353</v>
      </c>
      <c r="L196" s="31">
        <v>362</v>
      </c>
      <c r="N196" s="616" t="s">
        <v>3853</v>
      </c>
      <c r="O196" s="4"/>
      <c r="Q196" s="4"/>
    </row>
    <row r="197" spans="1:17" ht="15.75" thickBot="1">
      <c r="A197" s="616"/>
      <c r="B197" s="616"/>
      <c r="C197" s="4" t="s">
        <v>15472</v>
      </c>
      <c r="D197" s="615">
        <f>D195+D196</f>
        <v>0</v>
      </c>
      <c r="E197" s="615">
        <f t="shared" ref="E197:L197" si="160">E195+E196</f>
        <v>0</v>
      </c>
      <c r="F197" s="615">
        <f t="shared" si="160"/>
        <v>0</v>
      </c>
      <c r="G197" s="615">
        <f t="shared" si="160"/>
        <v>0</v>
      </c>
      <c r="H197" s="615">
        <f t="shared" si="160"/>
        <v>0</v>
      </c>
      <c r="I197" s="615">
        <f t="shared" si="160"/>
        <v>0</v>
      </c>
      <c r="J197" s="615">
        <f t="shared" si="160"/>
        <v>3423</v>
      </c>
      <c r="K197" s="615">
        <f t="shared" si="160"/>
        <v>3491</v>
      </c>
      <c r="L197" s="615">
        <f t="shared" si="160"/>
        <v>3516</v>
      </c>
      <c r="N197" s="616"/>
      <c r="O197" s="4"/>
      <c r="Q197" s="4"/>
    </row>
    <row r="198" spans="1:17">
      <c r="A198" s="616" t="s">
        <v>7011</v>
      </c>
      <c r="B198" s="616" t="s">
        <v>1279</v>
      </c>
      <c r="C198" s="4" t="s">
        <v>15473</v>
      </c>
      <c r="D198" s="619">
        <v>0</v>
      </c>
      <c r="E198" s="619">
        <v>0</v>
      </c>
      <c r="F198" s="619">
        <v>0</v>
      </c>
      <c r="G198" s="619">
        <v>0</v>
      </c>
      <c r="H198" s="31">
        <v>0</v>
      </c>
      <c r="I198" s="31">
        <v>0</v>
      </c>
      <c r="J198" s="30">
        <v>3652</v>
      </c>
      <c r="K198" s="30">
        <v>3740</v>
      </c>
      <c r="L198" s="30">
        <v>3720</v>
      </c>
      <c r="N198" s="616" t="s">
        <v>1238</v>
      </c>
      <c r="O198" s="4"/>
      <c r="Q198" s="4"/>
    </row>
    <row r="199" spans="1:17">
      <c r="A199" s="616" t="s">
        <v>7013</v>
      </c>
      <c r="B199" s="616" t="s">
        <v>4165</v>
      </c>
      <c r="C199" s="4" t="s">
        <v>15474</v>
      </c>
      <c r="D199" s="619">
        <v>0</v>
      </c>
      <c r="E199" s="619">
        <v>0</v>
      </c>
      <c r="F199" s="619">
        <v>0</v>
      </c>
      <c r="G199" s="619">
        <v>0</v>
      </c>
      <c r="H199" s="31">
        <v>0</v>
      </c>
      <c r="I199" s="31">
        <v>0</v>
      </c>
      <c r="J199" s="30">
        <v>4879</v>
      </c>
      <c r="K199" s="30">
        <v>5045</v>
      </c>
      <c r="L199" s="30">
        <v>5025</v>
      </c>
      <c r="N199" s="616" t="s">
        <v>1238</v>
      </c>
      <c r="O199" s="4"/>
      <c r="Q199" s="4"/>
    </row>
    <row r="200" spans="1:17">
      <c r="A200" s="616" t="s">
        <v>7015</v>
      </c>
      <c r="B200" s="616" t="s">
        <v>15461</v>
      </c>
      <c r="C200" s="4" t="s">
        <v>15475</v>
      </c>
      <c r="D200" s="619">
        <v>0</v>
      </c>
      <c r="E200" s="619">
        <v>0</v>
      </c>
      <c r="F200" s="619">
        <v>0</v>
      </c>
      <c r="G200" s="619">
        <v>0</v>
      </c>
      <c r="H200" s="31">
        <v>0</v>
      </c>
      <c r="I200" s="31">
        <v>0</v>
      </c>
      <c r="J200" s="31">
        <v>3977</v>
      </c>
      <c r="K200" s="31">
        <v>4061</v>
      </c>
      <c r="L200" s="31">
        <v>4006</v>
      </c>
      <c r="N200" s="616" t="s">
        <v>3853</v>
      </c>
      <c r="O200" s="4"/>
      <c r="Q200" s="4"/>
    </row>
    <row r="201" spans="1:17">
      <c r="A201" s="616" t="s">
        <v>7017</v>
      </c>
      <c r="B201" s="616" t="s">
        <v>4166</v>
      </c>
      <c r="C201" s="4" t="s">
        <v>15479</v>
      </c>
      <c r="D201" s="619">
        <v>0</v>
      </c>
      <c r="E201" s="619">
        <v>0</v>
      </c>
      <c r="F201" s="619">
        <v>0</v>
      </c>
      <c r="G201" s="619">
        <v>0</v>
      </c>
      <c r="H201" s="31">
        <v>0</v>
      </c>
      <c r="I201" s="31">
        <v>0</v>
      </c>
      <c r="J201" s="30">
        <v>1694</v>
      </c>
      <c r="K201" s="30">
        <v>1719</v>
      </c>
      <c r="L201" s="30">
        <v>1742</v>
      </c>
      <c r="N201" s="616" t="s">
        <v>1238</v>
      </c>
      <c r="O201" s="4"/>
      <c r="Q201" s="4"/>
    </row>
    <row r="202" spans="1:17">
      <c r="A202" s="616" t="s">
        <v>7019</v>
      </c>
      <c r="B202" s="616" t="s">
        <v>15476</v>
      </c>
      <c r="C202" s="4" t="s">
        <v>15480</v>
      </c>
      <c r="D202" s="619">
        <v>0</v>
      </c>
      <c r="E202" s="619">
        <v>0</v>
      </c>
      <c r="F202" s="619">
        <v>0</v>
      </c>
      <c r="G202" s="619">
        <v>0</v>
      </c>
      <c r="H202" s="31">
        <v>0</v>
      </c>
      <c r="I202" s="31">
        <v>0</v>
      </c>
      <c r="J202" s="31">
        <v>1535</v>
      </c>
      <c r="K202" s="31">
        <v>1566</v>
      </c>
      <c r="L202" s="31">
        <v>1548</v>
      </c>
      <c r="N202" s="616" t="s">
        <v>3853</v>
      </c>
      <c r="O202" s="4"/>
      <c r="Q202" s="4"/>
    </row>
    <row r="203" spans="1:17">
      <c r="A203" s="616" t="s">
        <v>7021</v>
      </c>
      <c r="B203" s="616" t="s">
        <v>6414</v>
      </c>
      <c r="C203" s="4" t="s">
        <v>15481</v>
      </c>
      <c r="D203" s="619">
        <v>0</v>
      </c>
      <c r="E203" s="619">
        <v>0</v>
      </c>
      <c r="F203" s="619">
        <v>0</v>
      </c>
      <c r="G203" s="619">
        <v>0</v>
      </c>
      <c r="H203" s="31">
        <v>0</v>
      </c>
      <c r="I203" s="31">
        <v>0</v>
      </c>
      <c r="J203" s="30">
        <v>4407</v>
      </c>
      <c r="K203" s="30">
        <v>4574</v>
      </c>
      <c r="L203" s="30">
        <v>4593</v>
      </c>
      <c r="N203" s="616" t="s">
        <v>1238</v>
      </c>
      <c r="O203" s="4"/>
      <c r="Q203" s="4"/>
    </row>
    <row r="204" spans="1:17">
      <c r="A204" s="616" t="s">
        <v>7023</v>
      </c>
      <c r="B204" s="616" t="s">
        <v>4167</v>
      </c>
      <c r="C204" s="4" t="s">
        <v>15482</v>
      </c>
      <c r="D204" s="619">
        <v>0</v>
      </c>
      <c r="E204" s="619">
        <v>0</v>
      </c>
      <c r="F204" s="619">
        <v>0</v>
      </c>
      <c r="G204" s="619">
        <v>0</v>
      </c>
      <c r="H204" s="31">
        <v>0</v>
      </c>
      <c r="I204" s="31">
        <v>0</v>
      </c>
      <c r="J204" s="31">
        <v>1890</v>
      </c>
      <c r="K204" s="31">
        <v>1954</v>
      </c>
      <c r="L204" s="31">
        <v>1942</v>
      </c>
      <c r="N204" s="616" t="s">
        <v>3853</v>
      </c>
      <c r="O204" s="4"/>
      <c r="Q204" s="4"/>
    </row>
    <row r="205" spans="1:17">
      <c r="A205" s="616" t="s">
        <v>7025</v>
      </c>
      <c r="B205" s="616" t="s">
        <v>4168</v>
      </c>
      <c r="C205" s="4" t="s">
        <v>15483</v>
      </c>
      <c r="D205" s="619">
        <v>0</v>
      </c>
      <c r="E205" s="619">
        <v>0</v>
      </c>
      <c r="F205" s="619">
        <v>0</v>
      </c>
      <c r="G205" s="619">
        <v>0</v>
      </c>
      <c r="H205" s="31">
        <v>0</v>
      </c>
      <c r="I205" s="31">
        <v>0</v>
      </c>
      <c r="J205" s="30">
        <v>4725</v>
      </c>
      <c r="K205" s="30">
        <v>4793</v>
      </c>
      <c r="L205" s="30">
        <v>4730</v>
      </c>
      <c r="N205" s="616" t="s">
        <v>1238</v>
      </c>
      <c r="O205" s="4"/>
      <c r="Q205" s="4"/>
    </row>
    <row r="206" spans="1:17">
      <c r="A206" s="616" t="s">
        <v>7570</v>
      </c>
      <c r="B206" s="616" t="s">
        <v>15477</v>
      </c>
      <c r="C206" s="4" t="s">
        <v>15484</v>
      </c>
      <c r="D206" s="619">
        <v>0</v>
      </c>
      <c r="E206" s="619">
        <v>0</v>
      </c>
      <c r="F206" s="619">
        <v>0</v>
      </c>
      <c r="G206" s="619">
        <v>0</v>
      </c>
      <c r="H206" s="31">
        <v>0</v>
      </c>
      <c r="I206" s="31">
        <v>0</v>
      </c>
      <c r="J206" s="31">
        <v>4850</v>
      </c>
      <c r="K206" s="31">
        <v>4929</v>
      </c>
      <c r="L206" s="31">
        <v>4841</v>
      </c>
      <c r="N206" s="616" t="s">
        <v>1238</v>
      </c>
      <c r="O206" s="4"/>
      <c r="Q206" s="4"/>
    </row>
    <row r="207" spans="1:17">
      <c r="A207" s="616" t="s">
        <v>7572</v>
      </c>
      <c r="B207" s="616" t="s">
        <v>15478</v>
      </c>
      <c r="C207" s="4" t="s">
        <v>15485</v>
      </c>
      <c r="D207" s="619">
        <v>0</v>
      </c>
      <c r="E207" s="619">
        <v>0</v>
      </c>
      <c r="F207" s="619">
        <v>0</v>
      </c>
      <c r="G207" s="619">
        <v>0</v>
      </c>
      <c r="H207" s="31">
        <v>0</v>
      </c>
      <c r="I207" s="31">
        <v>0</v>
      </c>
      <c r="J207" s="31">
        <v>2669</v>
      </c>
      <c r="K207" s="31">
        <v>2728</v>
      </c>
      <c r="L207" s="31">
        <v>2722</v>
      </c>
      <c r="N207" s="616" t="s">
        <v>1238</v>
      </c>
      <c r="O207" s="4"/>
      <c r="Q207" s="4"/>
    </row>
    <row r="208" spans="1:17" ht="15.75" thickBot="1">
      <c r="A208" s="616"/>
      <c r="B208" s="616"/>
      <c r="C208" s="4" t="s">
        <v>15485</v>
      </c>
      <c r="D208" s="619">
        <v>0</v>
      </c>
      <c r="E208" s="619">
        <v>0</v>
      </c>
      <c r="F208" s="619">
        <v>0</v>
      </c>
      <c r="G208" s="619">
        <v>0</v>
      </c>
      <c r="H208" s="31">
        <v>0</v>
      </c>
      <c r="I208" s="31">
        <v>0</v>
      </c>
      <c r="J208" s="31">
        <v>1325</v>
      </c>
      <c r="K208" s="31">
        <v>1380</v>
      </c>
      <c r="L208" s="31">
        <v>1438</v>
      </c>
      <c r="N208" s="616" t="s">
        <v>3853</v>
      </c>
      <c r="O208" s="4"/>
      <c r="Q208" s="4"/>
    </row>
    <row r="209" spans="1:17" ht="15.75" thickBot="1">
      <c r="A209" s="616"/>
      <c r="B209" s="616"/>
      <c r="C209" s="4" t="s">
        <v>15485</v>
      </c>
      <c r="D209" s="615">
        <f>D207+D208</f>
        <v>0</v>
      </c>
      <c r="E209" s="615">
        <f t="shared" ref="E209" si="161">E207+E208</f>
        <v>0</v>
      </c>
      <c r="F209" s="615">
        <f t="shared" ref="F209" si="162">F207+F208</f>
        <v>0</v>
      </c>
      <c r="G209" s="615">
        <f t="shared" ref="G209" si="163">G207+G208</f>
        <v>0</v>
      </c>
      <c r="H209" s="615">
        <f t="shared" ref="H209" si="164">H207+H208</f>
        <v>0</v>
      </c>
      <c r="I209" s="615">
        <f t="shared" ref="I209" si="165">I207+I208</f>
        <v>0</v>
      </c>
      <c r="J209" s="615">
        <f t="shared" ref="J209:K209" si="166">J207+J208</f>
        <v>3994</v>
      </c>
      <c r="K209" s="615">
        <f t="shared" si="166"/>
        <v>4108</v>
      </c>
      <c r="L209" s="615">
        <f t="shared" ref="L209" si="167">L207+L208</f>
        <v>4160</v>
      </c>
      <c r="N209" s="616"/>
      <c r="O209" s="4"/>
      <c r="Q209" s="4"/>
    </row>
    <row r="210" spans="1:17">
      <c r="D210" s="621"/>
      <c r="E210" s="621"/>
      <c r="F210" s="621"/>
      <c r="G210" s="621"/>
      <c r="H210" s="621"/>
      <c r="I210" s="621"/>
      <c r="J210" s="621"/>
      <c r="K210" s="621"/>
      <c r="L210" s="621"/>
    </row>
    <row r="211" spans="1:17">
      <c r="A211" s="616" t="s">
        <v>2233</v>
      </c>
      <c r="D211" s="619">
        <f t="shared" ref="D211:H211" si="168">SUM(D184:D187)+SUM(D189:D193)+D195+D198+D199+D201+D203+SUM(D205:D207)</f>
        <v>63712</v>
      </c>
      <c r="E211" s="619">
        <f t="shared" si="168"/>
        <v>64238</v>
      </c>
      <c r="F211" s="619">
        <f t="shared" si="168"/>
        <v>64623</v>
      </c>
      <c r="G211" s="619">
        <f t="shared" si="168"/>
        <v>65244</v>
      </c>
      <c r="H211" s="619">
        <f t="shared" si="168"/>
        <v>65467</v>
      </c>
      <c r="I211" s="619">
        <f>SUM(I184:I187)+SUM(I189:I193)+I195+I198+I199+I201+I203+SUM(I205:I207)</f>
        <v>65002</v>
      </c>
      <c r="J211" s="619">
        <f>SUM(J184:J187)+SUM(J189:J193)+J195+J198+J199+J201+J203+SUM(J205:J207)</f>
        <v>63283</v>
      </c>
      <c r="K211" s="619">
        <f>SUM(K184:K187)+SUM(K189:K193)+K195+K198+K199+K201+K203+SUM(K205:K207)</f>
        <v>64887</v>
      </c>
      <c r="L211" s="619">
        <f>SUM(L184:L187)+SUM(L189:L193)+L195+L198+L199+L201+L203+SUM(L205:L207)</f>
        <v>64394</v>
      </c>
    </row>
    <row r="212" spans="1:17">
      <c r="A212" s="616" t="s">
        <v>2493</v>
      </c>
      <c r="D212" s="619">
        <f t="shared" ref="D212:I212" si="169">D188+D194+D196+D200+D202+D204+D208</f>
        <v>14269</v>
      </c>
      <c r="E212" s="619">
        <f t="shared" si="169"/>
        <v>14406</v>
      </c>
      <c r="F212" s="619">
        <f t="shared" si="169"/>
        <v>14511</v>
      </c>
      <c r="G212" s="619">
        <f t="shared" si="169"/>
        <v>14715</v>
      </c>
      <c r="H212" s="619">
        <f t="shared" si="169"/>
        <v>14790</v>
      </c>
      <c r="I212" s="619">
        <f t="shared" si="169"/>
        <v>14686</v>
      </c>
      <c r="J212" s="619">
        <f>J188+J194+J196+J200+J202+J204+J208</f>
        <v>14308</v>
      </c>
      <c r="K212" s="619">
        <f>K188+K194+K196+K200+K202+K204+K208</f>
        <v>14586</v>
      </c>
      <c r="L212" s="619">
        <f>L188+L194+L196+L200+L202+L204+L208</f>
        <v>14503</v>
      </c>
    </row>
    <row r="213" spans="1:17">
      <c r="A213" s="616"/>
      <c r="D213" s="619"/>
      <c r="E213" s="619"/>
      <c r="F213" s="619"/>
      <c r="G213" s="619"/>
      <c r="H213" s="619"/>
      <c r="I213" s="619"/>
      <c r="J213" s="619"/>
      <c r="K213" s="619"/>
      <c r="L213" s="619"/>
    </row>
    <row r="214" spans="1:17">
      <c r="A214" s="616" t="s">
        <v>15455</v>
      </c>
      <c r="D214" s="619"/>
      <c r="E214" s="619"/>
      <c r="F214" s="619"/>
      <c r="G214" s="619"/>
      <c r="H214" s="619"/>
      <c r="I214" s="619"/>
      <c r="J214" s="619"/>
      <c r="K214" s="619"/>
      <c r="L214" s="619"/>
    </row>
    <row r="215" spans="1:17">
      <c r="A215" s="616"/>
      <c r="B215" s="616"/>
      <c r="D215" s="625"/>
      <c r="E215" s="625"/>
      <c r="F215" s="625"/>
      <c r="G215" s="625"/>
      <c r="H215" s="625"/>
      <c r="I215" s="625"/>
      <c r="J215" s="625"/>
      <c r="K215" s="625"/>
      <c r="L215" s="625"/>
    </row>
    <row r="216" spans="1:17">
      <c r="A216" s="616"/>
      <c r="B216" s="616"/>
      <c r="D216" s="625"/>
      <c r="E216" s="625"/>
      <c r="F216" s="625"/>
      <c r="G216" s="625"/>
      <c r="H216" s="625"/>
      <c r="I216" s="625"/>
      <c r="J216" s="625"/>
      <c r="K216" s="625"/>
      <c r="L216" s="625"/>
    </row>
    <row r="217" spans="1:17">
      <c r="E217" s="42" t="s">
        <v>2303</v>
      </c>
      <c r="F217" s="42"/>
      <c r="G217" s="42"/>
      <c r="H217" s="42"/>
      <c r="I217" s="42"/>
      <c r="J217" s="42"/>
      <c r="K217" s="42"/>
      <c r="L217" s="42"/>
      <c r="M217" s="109"/>
      <c r="N217" s="109" t="s">
        <v>13319</v>
      </c>
    </row>
    <row r="218" spans="1:17">
      <c r="D218" s="110">
        <v>2010</v>
      </c>
      <c r="E218" s="110">
        <v>2011</v>
      </c>
      <c r="F218" s="110">
        <v>2012</v>
      </c>
      <c r="G218" s="110">
        <v>2013</v>
      </c>
      <c r="H218" s="110">
        <v>2014</v>
      </c>
      <c r="I218" s="110">
        <v>2015</v>
      </c>
      <c r="J218" s="110">
        <v>2016</v>
      </c>
      <c r="K218" s="110">
        <v>2017</v>
      </c>
      <c r="L218" s="110">
        <v>2018</v>
      </c>
      <c r="M218" s="109"/>
      <c r="N218" s="112" t="s">
        <v>2304</v>
      </c>
    </row>
    <row r="219" spans="1:17">
      <c r="A219" s="616" t="s">
        <v>2494</v>
      </c>
      <c r="D219" s="619">
        <f t="shared" ref="D219:K219" si="170">SUM(D220:D231)+SUM(D233:D236)+SUM(D238:D244)</f>
        <v>97040</v>
      </c>
      <c r="E219" s="619">
        <f t="shared" si="170"/>
        <v>96728</v>
      </c>
      <c r="F219" s="619">
        <f t="shared" si="170"/>
        <v>97206</v>
      </c>
      <c r="G219" s="619">
        <f t="shared" si="170"/>
        <v>96829</v>
      </c>
      <c r="H219" s="619">
        <f t="shared" si="170"/>
        <v>96580</v>
      </c>
      <c r="I219" s="619">
        <f t="shared" si="170"/>
        <v>93590</v>
      </c>
      <c r="J219" s="619">
        <f t="shared" si="170"/>
        <v>89247</v>
      </c>
      <c r="K219" s="619">
        <f t="shared" si="170"/>
        <v>89525</v>
      </c>
      <c r="L219" s="619">
        <f>SUM(L220:L231)+SUM(L233:L236)+SUM(L238:L244)</f>
        <v>92521</v>
      </c>
    </row>
    <row r="220" spans="1:17">
      <c r="A220" s="616" t="s">
        <v>6957</v>
      </c>
      <c r="B220" s="616" t="s">
        <v>2718</v>
      </c>
      <c r="C220" s="4" t="s">
        <v>10608</v>
      </c>
      <c r="D220" s="619">
        <v>68819</v>
      </c>
      <c r="E220" s="619">
        <v>68692</v>
      </c>
      <c r="F220" s="619">
        <v>69154</v>
      </c>
      <c r="G220" s="48">
        <v>68901</v>
      </c>
      <c r="H220" s="48">
        <v>68782</v>
      </c>
      <c r="I220" s="48">
        <v>65957</v>
      </c>
      <c r="J220" s="48">
        <v>62936</v>
      </c>
      <c r="K220" s="48">
        <v>62879</v>
      </c>
      <c r="L220" s="48">
        <v>6552</v>
      </c>
      <c r="N220" s="616" t="s">
        <v>3840</v>
      </c>
      <c r="O220" s="4"/>
    </row>
    <row r="221" spans="1:17">
      <c r="A221" s="616" t="s">
        <v>6959</v>
      </c>
      <c r="B221" s="616" t="s">
        <v>5364</v>
      </c>
      <c r="C221" s="4" t="s">
        <v>10609</v>
      </c>
      <c r="D221" s="619">
        <v>0</v>
      </c>
      <c r="E221" s="619">
        <v>0</v>
      </c>
      <c r="F221" s="619">
        <v>0</v>
      </c>
      <c r="G221" s="619">
        <v>0</v>
      </c>
      <c r="H221" s="619">
        <v>0</v>
      </c>
      <c r="I221" s="619">
        <v>0</v>
      </c>
      <c r="J221" s="619">
        <v>0</v>
      </c>
      <c r="K221" s="619">
        <v>0</v>
      </c>
      <c r="L221" s="48">
        <v>6616</v>
      </c>
      <c r="N221" s="616" t="s">
        <v>3840</v>
      </c>
      <c r="O221" s="4"/>
    </row>
    <row r="222" spans="1:17">
      <c r="A222" s="616" t="s">
        <v>6961</v>
      </c>
      <c r="B222" s="616" t="s">
        <v>2496</v>
      </c>
      <c r="C222" s="4" t="s">
        <v>10610</v>
      </c>
      <c r="D222" s="619">
        <v>0</v>
      </c>
      <c r="E222" s="619">
        <v>0</v>
      </c>
      <c r="F222" s="619">
        <v>0</v>
      </c>
      <c r="G222" s="619">
        <v>0</v>
      </c>
      <c r="H222" s="619">
        <v>0</v>
      </c>
      <c r="I222" s="619">
        <v>0</v>
      </c>
      <c r="J222" s="619">
        <v>0</v>
      </c>
      <c r="K222" s="619">
        <v>0</v>
      </c>
      <c r="L222" s="48">
        <v>2243</v>
      </c>
      <c r="N222" s="616" t="s">
        <v>3840</v>
      </c>
      <c r="O222" s="4"/>
    </row>
    <row r="223" spans="1:17">
      <c r="A223" s="616" t="s">
        <v>6963</v>
      </c>
      <c r="B223" s="616" t="s">
        <v>16697</v>
      </c>
      <c r="C223" s="4" t="s">
        <v>10611</v>
      </c>
      <c r="D223" s="619">
        <v>0</v>
      </c>
      <c r="E223" s="619">
        <v>0</v>
      </c>
      <c r="F223" s="619">
        <v>0</v>
      </c>
      <c r="G223" s="619">
        <v>0</v>
      </c>
      <c r="H223" s="619">
        <v>0</v>
      </c>
      <c r="I223" s="619">
        <v>0</v>
      </c>
      <c r="J223" s="619">
        <v>0</v>
      </c>
      <c r="K223" s="619">
        <v>0</v>
      </c>
      <c r="L223" s="48">
        <v>4389</v>
      </c>
      <c r="N223" s="616" t="s">
        <v>3840</v>
      </c>
      <c r="O223" s="4"/>
    </row>
    <row r="224" spans="1:17">
      <c r="A224" s="616" t="s">
        <v>6965</v>
      </c>
      <c r="B224" s="616" t="s">
        <v>2497</v>
      </c>
      <c r="C224" s="4" t="s">
        <v>10612</v>
      </c>
      <c r="D224" s="619">
        <v>0</v>
      </c>
      <c r="E224" s="619">
        <v>0</v>
      </c>
      <c r="F224" s="619">
        <v>0</v>
      </c>
      <c r="G224" s="619">
        <v>0</v>
      </c>
      <c r="H224" s="619">
        <v>0</v>
      </c>
      <c r="I224" s="619">
        <v>0</v>
      </c>
      <c r="J224" s="619">
        <v>0</v>
      </c>
      <c r="K224" s="619">
        <v>0</v>
      </c>
      <c r="L224" s="48">
        <v>3878</v>
      </c>
      <c r="N224" s="616" t="s">
        <v>3840</v>
      </c>
      <c r="O224" s="4"/>
    </row>
    <row r="225" spans="1:15">
      <c r="A225" s="616" t="s">
        <v>6997</v>
      </c>
      <c r="B225" s="617" t="s">
        <v>16698</v>
      </c>
      <c r="C225" s="4" t="s">
        <v>10613</v>
      </c>
      <c r="D225" s="619">
        <v>0</v>
      </c>
      <c r="E225" s="619">
        <v>0</v>
      </c>
      <c r="F225" s="619">
        <v>0</v>
      </c>
      <c r="G225" s="619">
        <v>0</v>
      </c>
      <c r="H225" s="619">
        <v>0</v>
      </c>
      <c r="I225" s="619">
        <v>0</v>
      </c>
      <c r="J225" s="619">
        <v>0</v>
      </c>
      <c r="K225" s="619">
        <v>0</v>
      </c>
      <c r="L225" s="48">
        <v>4011</v>
      </c>
      <c r="N225" s="616" t="s">
        <v>3840</v>
      </c>
      <c r="O225" s="4"/>
    </row>
    <row r="226" spans="1:15">
      <c r="A226" s="616" t="s">
        <v>6999</v>
      </c>
      <c r="B226" s="616" t="s">
        <v>1449</v>
      </c>
      <c r="C226" s="4" t="s">
        <v>10614</v>
      </c>
      <c r="D226" s="619">
        <v>0</v>
      </c>
      <c r="E226" s="619">
        <v>0</v>
      </c>
      <c r="F226" s="619">
        <v>0</v>
      </c>
      <c r="G226" s="619">
        <v>0</v>
      </c>
      <c r="H226" s="619">
        <v>0</v>
      </c>
      <c r="I226" s="619">
        <v>0</v>
      </c>
      <c r="J226" s="619">
        <v>0</v>
      </c>
      <c r="K226" s="619">
        <v>0</v>
      </c>
      <c r="L226" s="48">
        <v>1299</v>
      </c>
      <c r="N226" s="616" t="s">
        <v>3840</v>
      </c>
      <c r="O226" s="4"/>
    </row>
    <row r="227" spans="1:15">
      <c r="A227" s="616" t="s">
        <v>7001</v>
      </c>
      <c r="B227" s="616" t="s">
        <v>16699</v>
      </c>
      <c r="C227" s="4" t="s">
        <v>10615</v>
      </c>
      <c r="D227" s="619">
        <v>16373</v>
      </c>
      <c r="E227" s="619">
        <v>16182</v>
      </c>
      <c r="F227" s="619">
        <v>16178</v>
      </c>
      <c r="G227" s="48">
        <v>16050</v>
      </c>
      <c r="H227" s="48">
        <v>15912</v>
      </c>
      <c r="I227" s="48">
        <v>15783</v>
      </c>
      <c r="J227" s="48">
        <v>14946</v>
      </c>
      <c r="K227" s="48">
        <v>15147</v>
      </c>
      <c r="L227" s="48">
        <v>7036</v>
      </c>
      <c r="N227" s="616" t="s">
        <v>3850</v>
      </c>
      <c r="O227" s="4"/>
    </row>
    <row r="228" spans="1:15">
      <c r="A228" s="616" t="s">
        <v>7003</v>
      </c>
      <c r="B228" s="616" t="s">
        <v>16700</v>
      </c>
      <c r="C228" s="4" t="s">
        <v>10616</v>
      </c>
      <c r="D228" s="619">
        <v>0</v>
      </c>
      <c r="E228" s="619">
        <v>0</v>
      </c>
      <c r="F228" s="619">
        <v>0</v>
      </c>
      <c r="G228" s="619">
        <v>0</v>
      </c>
      <c r="H228" s="619">
        <v>0</v>
      </c>
      <c r="I228" s="619">
        <v>0</v>
      </c>
      <c r="J228" s="619">
        <v>0</v>
      </c>
      <c r="K228" s="619">
        <v>0</v>
      </c>
      <c r="L228" s="48">
        <v>1944</v>
      </c>
      <c r="N228" s="616" t="s">
        <v>3840</v>
      </c>
      <c r="O228" s="4"/>
    </row>
    <row r="229" spans="1:15">
      <c r="A229" s="616" t="s">
        <v>7005</v>
      </c>
      <c r="B229" s="616" t="s">
        <v>16701</v>
      </c>
      <c r="C229" s="4" t="s">
        <v>10617</v>
      </c>
      <c r="D229" s="619">
        <v>9064</v>
      </c>
      <c r="E229" s="619">
        <v>9053</v>
      </c>
      <c r="F229" s="619">
        <v>9111</v>
      </c>
      <c r="G229" s="48">
        <v>9131</v>
      </c>
      <c r="H229" s="48">
        <v>9117</v>
      </c>
      <c r="I229" s="48">
        <v>9084</v>
      </c>
      <c r="J229" s="48">
        <v>8686</v>
      </c>
      <c r="K229" s="48">
        <v>8789</v>
      </c>
      <c r="L229" s="48">
        <v>3585</v>
      </c>
      <c r="N229" s="616" t="s">
        <v>3852</v>
      </c>
      <c r="O229" s="4"/>
    </row>
    <row r="230" spans="1:15">
      <c r="A230" s="616" t="s">
        <v>7007</v>
      </c>
      <c r="B230" s="616" t="s">
        <v>16702</v>
      </c>
      <c r="C230" s="4" t="s">
        <v>10618</v>
      </c>
      <c r="D230" s="619">
        <v>0</v>
      </c>
      <c r="E230" s="619">
        <v>0</v>
      </c>
      <c r="F230" s="619">
        <v>0</v>
      </c>
      <c r="G230" s="619">
        <v>0</v>
      </c>
      <c r="H230" s="619">
        <v>0</v>
      </c>
      <c r="I230" s="619">
        <v>0</v>
      </c>
      <c r="J230" s="619">
        <v>0</v>
      </c>
      <c r="K230" s="619">
        <v>0</v>
      </c>
      <c r="L230" s="48">
        <v>1020</v>
      </c>
      <c r="N230" s="616" t="s">
        <v>3840</v>
      </c>
      <c r="O230" s="4"/>
    </row>
    <row r="231" spans="1:15" ht="15.75" thickBot="1">
      <c r="A231" s="616"/>
      <c r="B231" s="616"/>
      <c r="C231" s="4" t="s">
        <v>10618</v>
      </c>
      <c r="D231" s="619">
        <v>0</v>
      </c>
      <c r="E231" s="619">
        <v>0</v>
      </c>
      <c r="F231" s="619">
        <v>0</v>
      </c>
      <c r="G231" s="619">
        <v>0</v>
      </c>
      <c r="H231" s="619">
        <v>0</v>
      </c>
      <c r="I231" s="619">
        <v>0</v>
      </c>
      <c r="J231" s="619">
        <v>0</v>
      </c>
      <c r="K231" s="619">
        <v>0</v>
      </c>
      <c r="L231" s="48">
        <v>3327</v>
      </c>
      <c r="N231" s="616" t="s">
        <v>3852</v>
      </c>
      <c r="O231" s="4"/>
    </row>
    <row r="232" spans="1:15" ht="15.75" thickBot="1">
      <c r="A232" s="616"/>
      <c r="B232" s="616"/>
      <c r="C232" s="4" t="s">
        <v>10618</v>
      </c>
      <c r="D232" s="615">
        <f>SUM(D230:D231)</f>
        <v>0</v>
      </c>
      <c r="E232" s="615">
        <f t="shared" ref="E232:L232" si="171">SUM(E230:E231)</f>
        <v>0</v>
      </c>
      <c r="F232" s="615">
        <f t="shared" si="171"/>
        <v>0</v>
      </c>
      <c r="G232" s="615">
        <f t="shared" si="171"/>
        <v>0</v>
      </c>
      <c r="H232" s="615">
        <f t="shared" si="171"/>
        <v>0</v>
      </c>
      <c r="I232" s="615">
        <f t="shared" si="171"/>
        <v>0</v>
      </c>
      <c r="J232" s="615">
        <f t="shared" si="171"/>
        <v>0</v>
      </c>
      <c r="K232" s="615">
        <f t="shared" si="171"/>
        <v>0</v>
      </c>
      <c r="L232" s="615">
        <f t="shared" si="171"/>
        <v>4347</v>
      </c>
      <c r="N232" s="616"/>
    </row>
    <row r="233" spans="1:15">
      <c r="A233" s="616" t="s">
        <v>7009</v>
      </c>
      <c r="B233" s="616" t="s">
        <v>16703</v>
      </c>
      <c r="C233" s="4" t="s">
        <v>10619</v>
      </c>
      <c r="D233" s="619">
        <v>0</v>
      </c>
      <c r="E233" s="619">
        <v>0</v>
      </c>
      <c r="F233" s="619">
        <v>0</v>
      </c>
      <c r="G233" s="619">
        <v>0</v>
      </c>
      <c r="H233" s="619">
        <v>0</v>
      </c>
      <c r="I233" s="619">
        <v>0</v>
      </c>
      <c r="J233" s="619">
        <v>0</v>
      </c>
      <c r="K233" s="619">
        <v>0</v>
      </c>
      <c r="L233" s="48">
        <v>2022</v>
      </c>
      <c r="N233" s="616" t="s">
        <v>3852</v>
      </c>
      <c r="O233" s="4"/>
    </row>
    <row r="234" spans="1:15">
      <c r="A234" s="616" t="s">
        <v>7011</v>
      </c>
      <c r="B234" s="616" t="s">
        <v>3157</v>
      </c>
      <c r="C234" s="4" t="s">
        <v>10620</v>
      </c>
      <c r="D234" s="619">
        <v>0</v>
      </c>
      <c r="E234" s="619">
        <v>0</v>
      </c>
      <c r="F234" s="619">
        <v>0</v>
      </c>
      <c r="G234" s="619">
        <v>0</v>
      </c>
      <c r="H234" s="619">
        <v>0</v>
      </c>
      <c r="I234" s="619">
        <v>0</v>
      </c>
      <c r="J234" s="619">
        <v>0</v>
      </c>
      <c r="K234" s="619">
        <v>0</v>
      </c>
      <c r="L234" s="48">
        <v>6569</v>
      </c>
      <c r="N234" s="616" t="s">
        <v>3840</v>
      </c>
      <c r="O234" s="4"/>
    </row>
    <row r="235" spans="1:15">
      <c r="A235" s="616" t="s">
        <v>7013</v>
      </c>
      <c r="B235" s="616" t="s">
        <v>16704</v>
      </c>
      <c r="C235" s="4" t="s">
        <v>10621</v>
      </c>
      <c r="D235" s="619">
        <v>2784</v>
      </c>
      <c r="E235" s="619">
        <v>2801</v>
      </c>
      <c r="F235" s="619">
        <v>2763</v>
      </c>
      <c r="G235" s="48">
        <v>2747</v>
      </c>
      <c r="H235" s="48">
        <v>2769</v>
      </c>
      <c r="I235" s="48">
        <v>2766</v>
      </c>
      <c r="J235" s="48">
        <v>2679</v>
      </c>
      <c r="K235" s="48">
        <v>2710</v>
      </c>
      <c r="L235" s="48">
        <v>2775</v>
      </c>
      <c r="N235" s="616" t="s">
        <v>3846</v>
      </c>
      <c r="O235" s="4"/>
    </row>
    <row r="236" spans="1:15" ht="15.75" thickBot="1">
      <c r="A236" s="616"/>
      <c r="B236" s="616"/>
      <c r="C236" s="4" t="s">
        <v>10621</v>
      </c>
      <c r="D236" s="619">
        <v>0</v>
      </c>
      <c r="E236" s="619">
        <v>0</v>
      </c>
      <c r="F236" s="619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1848</v>
      </c>
      <c r="N236" s="616" t="s">
        <v>3850</v>
      </c>
      <c r="O236" s="4"/>
    </row>
    <row r="237" spans="1:15" ht="15.75" thickBot="1">
      <c r="A237" s="616"/>
      <c r="B237" s="616"/>
      <c r="C237" s="4" t="s">
        <v>10621</v>
      </c>
      <c r="D237" s="615">
        <f>SUM(D235:D236)</f>
        <v>2784</v>
      </c>
      <c r="E237" s="615">
        <f t="shared" ref="E237:L237" si="172">SUM(E235:E236)</f>
        <v>2801</v>
      </c>
      <c r="F237" s="615">
        <f t="shared" si="172"/>
        <v>2763</v>
      </c>
      <c r="G237" s="615">
        <f t="shared" si="172"/>
        <v>2747</v>
      </c>
      <c r="H237" s="615">
        <f t="shared" si="172"/>
        <v>2769</v>
      </c>
      <c r="I237" s="615">
        <f t="shared" si="172"/>
        <v>2766</v>
      </c>
      <c r="J237" s="615">
        <f t="shared" si="172"/>
        <v>2679</v>
      </c>
      <c r="K237" s="615">
        <f t="shared" si="172"/>
        <v>2710</v>
      </c>
      <c r="L237" s="615">
        <f t="shared" si="172"/>
        <v>4623</v>
      </c>
      <c r="N237" s="616"/>
      <c r="O237" s="4"/>
    </row>
    <row r="238" spans="1:15">
      <c r="A238" s="616" t="s">
        <v>7015</v>
      </c>
      <c r="B238" s="616" t="s">
        <v>973</v>
      </c>
      <c r="C238" s="4" t="s">
        <v>10622</v>
      </c>
      <c r="D238" s="619">
        <v>0</v>
      </c>
      <c r="E238" s="619">
        <v>0</v>
      </c>
      <c r="F238" s="619">
        <v>0</v>
      </c>
      <c r="G238" s="619">
        <v>0</v>
      </c>
      <c r="H238" s="619">
        <v>0</v>
      </c>
      <c r="I238" s="619">
        <v>0</v>
      </c>
      <c r="J238" s="619">
        <v>0</v>
      </c>
      <c r="K238" s="619">
        <v>0</v>
      </c>
      <c r="L238" s="48">
        <v>4133</v>
      </c>
      <c r="N238" s="616" t="s">
        <v>3840</v>
      </c>
      <c r="O238" s="4"/>
    </row>
    <row r="239" spans="1:15">
      <c r="A239" s="616" t="s">
        <v>7017</v>
      </c>
      <c r="B239" s="616" t="s">
        <v>16705</v>
      </c>
      <c r="C239" s="4" t="s">
        <v>10623</v>
      </c>
      <c r="D239" s="619">
        <v>0</v>
      </c>
      <c r="E239" s="619">
        <v>0</v>
      </c>
      <c r="F239" s="619">
        <v>0</v>
      </c>
      <c r="G239" s="619">
        <v>0</v>
      </c>
      <c r="H239" s="619">
        <v>0</v>
      </c>
      <c r="I239" s="619">
        <v>0</v>
      </c>
      <c r="J239" s="619">
        <v>0</v>
      </c>
      <c r="K239" s="619">
        <v>0</v>
      </c>
      <c r="L239" s="48">
        <v>6755</v>
      </c>
      <c r="N239" s="616" t="s">
        <v>3850</v>
      </c>
      <c r="O239" s="4"/>
    </row>
    <row r="240" spans="1:15">
      <c r="A240" s="616" t="s">
        <v>7019</v>
      </c>
      <c r="B240" s="616" t="s">
        <v>4039</v>
      </c>
      <c r="C240" s="4" t="s">
        <v>10624</v>
      </c>
      <c r="D240" s="619">
        <v>0</v>
      </c>
      <c r="E240" s="619">
        <v>0</v>
      </c>
      <c r="F240" s="619">
        <v>0</v>
      </c>
      <c r="G240" s="619">
        <v>0</v>
      </c>
      <c r="H240" s="619">
        <v>0</v>
      </c>
      <c r="I240" s="619">
        <v>0</v>
      </c>
      <c r="J240" s="619">
        <v>0</v>
      </c>
      <c r="K240" s="619">
        <v>0</v>
      </c>
      <c r="L240" s="48">
        <v>3786</v>
      </c>
      <c r="N240" s="616" t="s">
        <v>3840</v>
      </c>
      <c r="O240" s="4"/>
    </row>
    <row r="241" spans="1:17">
      <c r="A241" s="616" t="s">
        <v>7021</v>
      </c>
      <c r="B241" s="616" t="s">
        <v>4381</v>
      </c>
      <c r="C241" s="4" t="s">
        <v>10625</v>
      </c>
      <c r="D241" s="619">
        <v>0</v>
      </c>
      <c r="E241" s="619">
        <v>0</v>
      </c>
      <c r="F241" s="619">
        <v>0</v>
      </c>
      <c r="G241" s="619">
        <v>0</v>
      </c>
      <c r="H241" s="619">
        <v>0</v>
      </c>
      <c r="I241" s="619">
        <v>0</v>
      </c>
      <c r="J241" s="619">
        <v>0</v>
      </c>
      <c r="K241" s="619">
        <v>0</v>
      </c>
      <c r="L241" s="48">
        <v>3543</v>
      </c>
      <c r="N241" s="616" t="s">
        <v>3840</v>
      </c>
      <c r="O241" s="4"/>
    </row>
    <row r="242" spans="1:17">
      <c r="A242" s="616" t="s">
        <v>7023</v>
      </c>
      <c r="B242" s="616" t="s">
        <v>16706</v>
      </c>
      <c r="C242" s="4" t="s">
        <v>10626</v>
      </c>
      <c r="D242" s="619">
        <v>0</v>
      </c>
      <c r="E242" s="619">
        <v>0</v>
      </c>
      <c r="F242" s="619">
        <v>0</v>
      </c>
      <c r="G242" s="619">
        <v>0</v>
      </c>
      <c r="H242" s="619">
        <v>0</v>
      </c>
      <c r="I242" s="619">
        <v>0</v>
      </c>
      <c r="J242" s="619">
        <v>0</v>
      </c>
      <c r="K242" s="619">
        <v>0</v>
      </c>
      <c r="L242" s="48">
        <v>4066</v>
      </c>
      <c r="N242" s="616" t="s">
        <v>3840</v>
      </c>
      <c r="O242" s="4"/>
    </row>
    <row r="243" spans="1:17">
      <c r="A243" s="616" t="s">
        <v>7025</v>
      </c>
      <c r="B243" s="616" t="s">
        <v>4040</v>
      </c>
      <c r="C243" s="4" t="s">
        <v>10627</v>
      </c>
      <c r="D243" s="619">
        <v>0</v>
      </c>
      <c r="E243" s="619">
        <v>0</v>
      </c>
      <c r="F243" s="619">
        <v>0</v>
      </c>
      <c r="G243" s="619">
        <v>0</v>
      </c>
      <c r="H243" s="619">
        <v>0</v>
      </c>
      <c r="I243" s="619">
        <v>0</v>
      </c>
      <c r="J243" s="619">
        <v>0</v>
      </c>
      <c r="K243" s="619">
        <v>0</v>
      </c>
      <c r="L243" s="48">
        <v>6475</v>
      </c>
      <c r="N243" s="616" t="s">
        <v>3840</v>
      </c>
      <c r="O243" s="4"/>
    </row>
    <row r="244" spans="1:17">
      <c r="A244" s="616" t="s">
        <v>7570</v>
      </c>
      <c r="B244" s="616" t="s">
        <v>4041</v>
      </c>
      <c r="C244" s="4" t="s">
        <v>10628</v>
      </c>
      <c r="D244" s="619">
        <v>0</v>
      </c>
      <c r="E244" s="619">
        <v>0</v>
      </c>
      <c r="F244" s="619">
        <v>0</v>
      </c>
      <c r="G244" s="619">
        <v>0</v>
      </c>
      <c r="H244" s="619">
        <v>0</v>
      </c>
      <c r="I244" s="619">
        <v>0</v>
      </c>
      <c r="J244" s="619">
        <v>0</v>
      </c>
      <c r="K244" s="619">
        <v>0</v>
      </c>
      <c r="L244" s="48">
        <v>4649</v>
      </c>
      <c r="N244" s="616" t="s">
        <v>3840</v>
      </c>
      <c r="O244" s="4"/>
    </row>
    <row r="245" spans="1:17">
      <c r="A245" s="616"/>
      <c r="B245" s="616"/>
      <c r="C245" s="4"/>
      <c r="D245" s="619"/>
      <c r="E245" s="619"/>
      <c r="F245" s="619"/>
      <c r="G245" s="48"/>
      <c r="H245" s="48"/>
      <c r="I245" s="48"/>
      <c r="J245" s="48"/>
      <c r="K245" s="48"/>
      <c r="L245" s="48"/>
      <c r="N245" s="616"/>
      <c r="O245" s="4"/>
      <c r="Q245" s="4"/>
    </row>
    <row r="246" spans="1:17">
      <c r="A246" s="616" t="s">
        <v>3840</v>
      </c>
      <c r="D246" s="619">
        <f t="shared" ref="D246:L246" si="173">SUM(D220:D226)+D228+D230+D234+D238+SUM(D240:D244)</f>
        <v>68819</v>
      </c>
      <c r="E246" s="619">
        <f t="shared" si="173"/>
        <v>68692</v>
      </c>
      <c r="F246" s="619">
        <f t="shared" si="173"/>
        <v>69154</v>
      </c>
      <c r="G246" s="619">
        <f t="shared" si="173"/>
        <v>68901</v>
      </c>
      <c r="H246" s="619">
        <f t="shared" si="173"/>
        <v>68782</v>
      </c>
      <c r="I246" s="619">
        <f t="shared" si="173"/>
        <v>65957</v>
      </c>
      <c r="J246" s="619">
        <f t="shared" si="173"/>
        <v>62936</v>
      </c>
      <c r="K246" s="619">
        <f t="shared" si="173"/>
        <v>62879</v>
      </c>
      <c r="L246" s="619">
        <f t="shared" si="173"/>
        <v>65173</v>
      </c>
    </row>
    <row r="247" spans="1:17" ht="16.5" customHeight="1">
      <c r="A247" s="616" t="s">
        <v>4042</v>
      </c>
      <c r="D247" s="619">
        <f t="shared" ref="D247:K247" si="174">D235</f>
        <v>2784</v>
      </c>
      <c r="E247" s="619">
        <f t="shared" si="174"/>
        <v>2801</v>
      </c>
      <c r="F247" s="619">
        <f t="shared" si="174"/>
        <v>2763</v>
      </c>
      <c r="G247" s="619">
        <f t="shared" si="174"/>
        <v>2747</v>
      </c>
      <c r="H247" s="619">
        <f t="shared" si="174"/>
        <v>2769</v>
      </c>
      <c r="I247" s="619">
        <f t="shared" si="174"/>
        <v>2766</v>
      </c>
      <c r="J247" s="619">
        <f t="shared" si="174"/>
        <v>2679</v>
      </c>
      <c r="K247" s="619">
        <f t="shared" si="174"/>
        <v>2710</v>
      </c>
      <c r="L247" s="619">
        <f>L235</f>
        <v>2775</v>
      </c>
    </row>
    <row r="248" spans="1:17" ht="16.5" customHeight="1">
      <c r="A248" s="616" t="s">
        <v>3912</v>
      </c>
      <c r="D248" s="619">
        <f t="shared" ref="D248:L248" si="175">D227+D236+D239</f>
        <v>16373</v>
      </c>
      <c r="E248" s="619">
        <f t="shared" si="175"/>
        <v>16182</v>
      </c>
      <c r="F248" s="619">
        <f t="shared" si="175"/>
        <v>16178</v>
      </c>
      <c r="G248" s="619">
        <f t="shared" si="175"/>
        <v>16050</v>
      </c>
      <c r="H248" s="619">
        <f t="shared" si="175"/>
        <v>15912</v>
      </c>
      <c r="I248" s="619">
        <f t="shared" si="175"/>
        <v>15783</v>
      </c>
      <c r="J248" s="619">
        <f t="shared" si="175"/>
        <v>14946</v>
      </c>
      <c r="K248" s="619">
        <f t="shared" si="175"/>
        <v>15147</v>
      </c>
      <c r="L248" s="619">
        <f t="shared" si="175"/>
        <v>15639</v>
      </c>
    </row>
    <row r="249" spans="1:17" ht="16.5" customHeight="1">
      <c r="A249" s="616" t="s">
        <v>4043</v>
      </c>
      <c r="D249" s="619">
        <f t="shared" ref="D249:L249" si="176">D229+D231+D233</f>
        <v>9064</v>
      </c>
      <c r="E249" s="619">
        <f t="shared" si="176"/>
        <v>9053</v>
      </c>
      <c r="F249" s="619">
        <f t="shared" si="176"/>
        <v>9111</v>
      </c>
      <c r="G249" s="619">
        <f t="shared" si="176"/>
        <v>9131</v>
      </c>
      <c r="H249" s="619">
        <f t="shared" si="176"/>
        <v>9117</v>
      </c>
      <c r="I249" s="619">
        <f t="shared" si="176"/>
        <v>9084</v>
      </c>
      <c r="J249" s="619">
        <f t="shared" si="176"/>
        <v>8686</v>
      </c>
      <c r="K249" s="619">
        <f t="shared" si="176"/>
        <v>8789</v>
      </c>
      <c r="L249" s="619">
        <f t="shared" si="176"/>
        <v>8934</v>
      </c>
    </row>
    <row r="250" spans="1:17" ht="16.5" customHeight="1">
      <c r="A250" s="616"/>
      <c r="D250" s="619"/>
      <c r="E250" s="619"/>
      <c r="F250" s="619"/>
      <c r="G250" s="619"/>
      <c r="H250" s="619"/>
      <c r="I250" s="619"/>
      <c r="J250" s="619"/>
      <c r="K250" s="619"/>
      <c r="L250" s="619"/>
    </row>
    <row r="251" spans="1:17" ht="16.5" customHeight="1">
      <c r="A251" s="616" t="s">
        <v>16707</v>
      </c>
      <c r="D251" s="619"/>
      <c r="E251" s="619"/>
      <c r="F251" s="619"/>
      <c r="G251" s="619"/>
      <c r="H251" s="619"/>
      <c r="I251" s="619"/>
      <c r="J251" s="619"/>
      <c r="K251" s="619"/>
      <c r="L251" s="619"/>
    </row>
    <row r="252" spans="1:17" ht="16.5" customHeight="1">
      <c r="A252" s="616"/>
      <c r="B252" s="616"/>
      <c r="D252" s="625"/>
      <c r="E252" s="625"/>
      <c r="F252" s="625"/>
      <c r="G252" s="625"/>
      <c r="H252" s="625"/>
      <c r="I252" s="625"/>
      <c r="J252" s="625"/>
      <c r="K252" s="625"/>
      <c r="L252" s="625"/>
    </row>
    <row r="253" spans="1:17">
      <c r="A253" s="616"/>
      <c r="B253" s="616"/>
      <c r="D253" s="625"/>
      <c r="E253" s="625"/>
      <c r="F253" s="625"/>
      <c r="G253" s="625"/>
      <c r="H253" s="625"/>
      <c r="I253" s="625"/>
      <c r="J253" s="625"/>
      <c r="K253" s="625"/>
      <c r="L253" s="625"/>
    </row>
    <row r="254" spans="1:17">
      <c r="E254" s="42" t="s">
        <v>2303</v>
      </c>
      <c r="F254" s="42"/>
      <c r="G254" s="42"/>
      <c r="H254" s="42"/>
      <c r="I254" s="42"/>
      <c r="J254" s="42"/>
      <c r="K254" s="42"/>
      <c r="L254" s="42"/>
      <c r="M254" s="109"/>
      <c r="N254" s="109" t="s">
        <v>13319</v>
      </c>
    </row>
    <row r="255" spans="1:17">
      <c r="D255" s="110">
        <v>2010</v>
      </c>
      <c r="E255" s="110">
        <v>2011</v>
      </c>
      <c r="F255" s="110">
        <v>2012</v>
      </c>
      <c r="G255" s="110">
        <v>2013</v>
      </c>
      <c r="H255" s="110">
        <v>2014</v>
      </c>
      <c r="I255" s="110">
        <v>2015</v>
      </c>
      <c r="J255" s="110">
        <v>2016</v>
      </c>
      <c r="K255" s="110">
        <v>2017</v>
      </c>
      <c r="L255" s="110">
        <v>2018</v>
      </c>
      <c r="M255" s="109"/>
      <c r="N255" s="112" t="s">
        <v>2304</v>
      </c>
      <c r="O255" s="4"/>
      <c r="Q255" s="4"/>
    </row>
    <row r="256" spans="1:17">
      <c r="A256" s="616" t="s">
        <v>2498</v>
      </c>
      <c r="D256" s="619">
        <f t="shared" ref="D256:I256" si="177">SUM(D257:D268)+SUM(D269:D281)</f>
        <v>85281</v>
      </c>
      <c r="E256" s="619">
        <f t="shared" si="177"/>
        <v>85860</v>
      </c>
      <c r="F256" s="619">
        <f t="shared" si="177"/>
        <v>86305</v>
      </c>
      <c r="G256" s="619">
        <f t="shared" si="177"/>
        <v>86657</v>
      </c>
      <c r="H256" s="619">
        <f t="shared" si="177"/>
        <v>86323</v>
      </c>
      <c r="I256" s="619">
        <f t="shared" si="177"/>
        <v>83366</v>
      </c>
      <c r="J256" s="619">
        <f t="shared" ref="J256:K256" si="178">SUM(J257:J268)+SUM(J269:J281)</f>
        <v>83407</v>
      </c>
      <c r="K256" s="619">
        <f t="shared" si="178"/>
        <v>85099</v>
      </c>
      <c r="L256" s="619">
        <f t="shared" ref="L256" si="179">SUM(L257:L268)+SUM(L269:L281)</f>
        <v>85014</v>
      </c>
      <c r="O256" s="4"/>
      <c r="Q256" s="4"/>
    </row>
    <row r="257" spans="1:17">
      <c r="A257" s="616" t="s">
        <v>6957</v>
      </c>
      <c r="B257" s="616" t="s">
        <v>2499</v>
      </c>
      <c r="C257" s="4" t="s">
        <v>10629</v>
      </c>
      <c r="D257" s="619">
        <v>3347</v>
      </c>
      <c r="E257" s="619">
        <v>3350</v>
      </c>
      <c r="F257" s="619">
        <v>3339</v>
      </c>
      <c r="G257" s="48">
        <v>3353</v>
      </c>
      <c r="H257" s="30">
        <v>3336</v>
      </c>
      <c r="I257" s="30">
        <v>3155</v>
      </c>
      <c r="J257" s="30">
        <v>3160</v>
      </c>
      <c r="K257" s="30">
        <v>3225</v>
      </c>
      <c r="L257" s="30">
        <v>3216</v>
      </c>
      <c r="N257" s="616" t="s">
        <v>3842</v>
      </c>
      <c r="O257" s="4"/>
      <c r="Q257" s="4"/>
    </row>
    <row r="258" spans="1:17">
      <c r="A258" s="616" t="s">
        <v>6959</v>
      </c>
      <c r="B258" s="616" t="s">
        <v>4200</v>
      </c>
      <c r="C258" s="4" t="s">
        <v>10630</v>
      </c>
      <c r="D258" s="619">
        <v>5450</v>
      </c>
      <c r="E258" s="619">
        <v>5482</v>
      </c>
      <c r="F258" s="619">
        <v>5493</v>
      </c>
      <c r="G258" s="48">
        <v>5514</v>
      </c>
      <c r="H258" s="30">
        <v>5436</v>
      </c>
      <c r="I258" s="30">
        <v>5427</v>
      </c>
      <c r="J258" s="30">
        <v>5374</v>
      </c>
      <c r="K258" s="30">
        <v>5425</v>
      </c>
      <c r="L258" s="30">
        <v>5396</v>
      </c>
      <c r="N258" s="616" t="s">
        <v>3842</v>
      </c>
      <c r="O258" s="4"/>
      <c r="Q258" s="4"/>
    </row>
    <row r="259" spans="1:17">
      <c r="A259" s="616" t="s">
        <v>6961</v>
      </c>
      <c r="B259" s="616" t="s">
        <v>4201</v>
      </c>
      <c r="C259" s="4" t="s">
        <v>10631</v>
      </c>
      <c r="D259" s="619">
        <v>3449</v>
      </c>
      <c r="E259" s="619">
        <v>3409</v>
      </c>
      <c r="F259" s="619">
        <v>3416</v>
      </c>
      <c r="G259" s="48">
        <v>3395</v>
      </c>
      <c r="H259" s="30">
        <v>3421</v>
      </c>
      <c r="I259" s="30">
        <v>3340</v>
      </c>
      <c r="J259" s="30">
        <v>3327</v>
      </c>
      <c r="K259" s="30">
        <v>3411</v>
      </c>
      <c r="L259" s="30">
        <v>3376</v>
      </c>
      <c r="N259" s="616" t="s">
        <v>3842</v>
      </c>
      <c r="O259" s="4"/>
      <c r="Q259" s="4"/>
    </row>
    <row r="260" spans="1:17">
      <c r="A260" s="616" t="s">
        <v>6963</v>
      </c>
      <c r="B260" s="616" t="s">
        <v>4202</v>
      </c>
      <c r="C260" s="4" t="s">
        <v>10632</v>
      </c>
      <c r="D260" s="619">
        <v>3044</v>
      </c>
      <c r="E260" s="619">
        <v>3038</v>
      </c>
      <c r="F260" s="619">
        <v>3033</v>
      </c>
      <c r="G260" s="48">
        <v>3036</v>
      </c>
      <c r="H260" s="30">
        <v>2995</v>
      </c>
      <c r="I260" s="30">
        <v>2910</v>
      </c>
      <c r="J260" s="30">
        <v>2908</v>
      </c>
      <c r="K260" s="30">
        <v>2965</v>
      </c>
      <c r="L260" s="30">
        <v>2964</v>
      </c>
      <c r="N260" s="616" t="s">
        <v>3842</v>
      </c>
      <c r="O260" s="4"/>
      <c r="Q260" s="4"/>
    </row>
    <row r="261" spans="1:17">
      <c r="A261" s="616" t="s">
        <v>6965</v>
      </c>
      <c r="B261" s="616" t="s">
        <v>4203</v>
      </c>
      <c r="C261" s="4" t="s">
        <v>10633</v>
      </c>
      <c r="D261" s="619">
        <v>3317</v>
      </c>
      <c r="E261" s="619">
        <v>3340</v>
      </c>
      <c r="F261" s="619">
        <v>3350</v>
      </c>
      <c r="G261" s="48">
        <v>3369</v>
      </c>
      <c r="H261" s="30">
        <v>3349</v>
      </c>
      <c r="I261" s="30">
        <v>3217</v>
      </c>
      <c r="J261" s="30">
        <v>3265</v>
      </c>
      <c r="K261" s="30">
        <v>3306</v>
      </c>
      <c r="L261" s="30">
        <v>3276</v>
      </c>
      <c r="N261" s="616" t="s">
        <v>3842</v>
      </c>
      <c r="O261" s="4"/>
      <c r="Q261" s="4"/>
    </row>
    <row r="262" spans="1:17">
      <c r="A262" s="616" t="s">
        <v>6997</v>
      </c>
      <c r="B262" s="616" t="s">
        <v>3228</v>
      </c>
      <c r="C262" s="4" t="s">
        <v>10634</v>
      </c>
      <c r="D262" s="619">
        <v>3332</v>
      </c>
      <c r="E262" s="619">
        <v>3366</v>
      </c>
      <c r="F262" s="619">
        <v>3383</v>
      </c>
      <c r="G262" s="48">
        <v>3326</v>
      </c>
      <c r="H262" s="30">
        <v>3299</v>
      </c>
      <c r="I262" s="30">
        <v>3134</v>
      </c>
      <c r="J262" s="30">
        <v>3135</v>
      </c>
      <c r="K262" s="30">
        <v>3213</v>
      </c>
      <c r="L262" s="30">
        <v>3231</v>
      </c>
      <c r="N262" s="616" t="s">
        <v>3842</v>
      </c>
      <c r="O262" s="4"/>
      <c r="Q262" s="4"/>
    </row>
    <row r="263" spans="1:17">
      <c r="A263" s="616" t="s">
        <v>6999</v>
      </c>
      <c r="B263" s="616" t="s">
        <v>3229</v>
      </c>
      <c r="C263" s="4" t="s">
        <v>10635</v>
      </c>
      <c r="D263" s="619">
        <v>3972</v>
      </c>
      <c r="E263" s="619">
        <v>3965</v>
      </c>
      <c r="F263" s="619">
        <v>3980</v>
      </c>
      <c r="G263" s="48">
        <v>4139</v>
      </c>
      <c r="H263" s="30">
        <v>4044</v>
      </c>
      <c r="I263" s="30">
        <v>3942</v>
      </c>
      <c r="J263" s="30">
        <v>4020</v>
      </c>
      <c r="K263" s="30">
        <v>3977</v>
      </c>
      <c r="L263" s="30">
        <v>3973</v>
      </c>
      <c r="N263" s="616" t="s">
        <v>3842</v>
      </c>
      <c r="O263" s="4"/>
      <c r="Q263" s="4"/>
    </row>
    <row r="264" spans="1:17">
      <c r="A264" s="616" t="s">
        <v>7001</v>
      </c>
      <c r="B264" s="616" t="s">
        <v>3230</v>
      </c>
      <c r="C264" s="4" t="s">
        <v>10636</v>
      </c>
      <c r="D264" s="619">
        <v>3751</v>
      </c>
      <c r="E264" s="619">
        <v>3759</v>
      </c>
      <c r="F264" s="619">
        <v>3833</v>
      </c>
      <c r="G264" s="48">
        <v>3807</v>
      </c>
      <c r="H264" s="30">
        <v>3811</v>
      </c>
      <c r="I264" s="30">
        <v>3626</v>
      </c>
      <c r="J264" s="30">
        <v>3663</v>
      </c>
      <c r="K264" s="30">
        <v>3741</v>
      </c>
      <c r="L264" s="30">
        <v>3749</v>
      </c>
      <c r="N264" s="616" t="s">
        <v>3842</v>
      </c>
      <c r="O264" s="4"/>
      <c r="Q264" s="4"/>
    </row>
    <row r="265" spans="1:17">
      <c r="A265" s="616" t="s">
        <v>7003</v>
      </c>
      <c r="B265" s="616" t="s">
        <v>3231</v>
      </c>
      <c r="C265" s="4" t="s">
        <v>10637</v>
      </c>
      <c r="D265" s="619">
        <v>3822</v>
      </c>
      <c r="E265" s="619">
        <v>3866</v>
      </c>
      <c r="F265" s="619">
        <v>3892</v>
      </c>
      <c r="G265" s="48">
        <v>3873</v>
      </c>
      <c r="H265" s="30">
        <v>3856</v>
      </c>
      <c r="I265" s="30">
        <v>3666</v>
      </c>
      <c r="J265" s="30">
        <v>3639</v>
      </c>
      <c r="K265" s="30">
        <v>3745</v>
      </c>
      <c r="L265" s="30">
        <v>3710</v>
      </c>
      <c r="N265" s="616" t="s">
        <v>3842</v>
      </c>
      <c r="O265" s="4"/>
      <c r="Q265" s="4"/>
    </row>
    <row r="266" spans="1:17">
      <c r="A266" s="616" t="s">
        <v>7005</v>
      </c>
      <c r="B266" s="616" t="s">
        <v>3232</v>
      </c>
      <c r="C266" s="4" t="s">
        <v>10638</v>
      </c>
      <c r="D266" s="619">
        <v>4871</v>
      </c>
      <c r="E266" s="619">
        <v>4972</v>
      </c>
      <c r="F266" s="619">
        <v>5002</v>
      </c>
      <c r="G266" s="48">
        <v>5045</v>
      </c>
      <c r="H266" s="30">
        <v>5025</v>
      </c>
      <c r="I266" s="30">
        <v>4873</v>
      </c>
      <c r="J266" s="30">
        <v>4936</v>
      </c>
      <c r="K266" s="30">
        <v>5107</v>
      </c>
      <c r="L266" s="30">
        <v>5041</v>
      </c>
      <c r="N266" s="616" t="s">
        <v>3842</v>
      </c>
      <c r="O266" s="4"/>
      <c r="Q266" s="4"/>
    </row>
    <row r="267" spans="1:17">
      <c r="A267" s="616" t="s">
        <v>7007</v>
      </c>
      <c r="B267" s="616" t="s">
        <v>3233</v>
      </c>
      <c r="C267" s="4" t="s">
        <v>10639</v>
      </c>
      <c r="D267" s="619">
        <v>1661</v>
      </c>
      <c r="E267" s="619">
        <v>1707</v>
      </c>
      <c r="F267" s="619">
        <v>1773</v>
      </c>
      <c r="G267" s="48">
        <v>1782</v>
      </c>
      <c r="H267" s="30">
        <v>1826</v>
      </c>
      <c r="I267" s="30">
        <v>1747</v>
      </c>
      <c r="J267" s="30">
        <v>1788</v>
      </c>
      <c r="K267" s="30">
        <v>1926</v>
      </c>
      <c r="L267" s="30">
        <v>2072</v>
      </c>
      <c r="N267" s="616" t="s">
        <v>3842</v>
      </c>
      <c r="O267" s="4"/>
      <c r="Q267" s="4"/>
    </row>
    <row r="268" spans="1:17">
      <c r="A268" s="616" t="s">
        <v>7009</v>
      </c>
      <c r="B268" s="616" t="s">
        <v>3234</v>
      </c>
      <c r="C268" s="4" t="s">
        <v>10640</v>
      </c>
      <c r="D268" s="624">
        <v>3643</v>
      </c>
      <c r="E268" s="624">
        <v>3781</v>
      </c>
      <c r="F268" s="624">
        <v>3862</v>
      </c>
      <c r="G268" s="48">
        <v>3919</v>
      </c>
      <c r="H268" s="30">
        <v>4043</v>
      </c>
      <c r="I268" s="30">
        <v>3762</v>
      </c>
      <c r="J268" s="30">
        <v>3835</v>
      </c>
      <c r="K268" s="30">
        <v>3918</v>
      </c>
      <c r="L268" s="30">
        <v>3952</v>
      </c>
      <c r="N268" s="616" t="s">
        <v>3842</v>
      </c>
      <c r="O268" s="4"/>
      <c r="Q268" s="4"/>
    </row>
    <row r="269" spans="1:17">
      <c r="A269" s="616" t="s">
        <v>7011</v>
      </c>
      <c r="B269" s="616" t="s">
        <v>3235</v>
      </c>
      <c r="C269" s="4" t="s">
        <v>10641</v>
      </c>
      <c r="D269" s="619">
        <v>5966</v>
      </c>
      <c r="E269" s="619">
        <v>6005</v>
      </c>
      <c r="F269" s="619">
        <v>6037</v>
      </c>
      <c r="G269" s="48">
        <v>6098</v>
      </c>
      <c r="H269" s="30">
        <v>6103</v>
      </c>
      <c r="I269" s="30">
        <v>5967</v>
      </c>
      <c r="J269" s="30">
        <v>5912</v>
      </c>
      <c r="K269" s="30">
        <v>6068</v>
      </c>
      <c r="L269" s="30">
        <v>6013</v>
      </c>
      <c r="N269" s="616" t="s">
        <v>3842</v>
      </c>
      <c r="O269" s="4"/>
      <c r="Q269" s="4"/>
    </row>
    <row r="270" spans="1:17">
      <c r="A270" s="616" t="s">
        <v>7013</v>
      </c>
      <c r="B270" s="616" t="s">
        <v>3236</v>
      </c>
      <c r="C270" s="4" t="s">
        <v>10642</v>
      </c>
      <c r="D270" s="619">
        <v>1840</v>
      </c>
      <c r="E270" s="619">
        <v>1847</v>
      </c>
      <c r="F270" s="619">
        <v>1856</v>
      </c>
      <c r="G270" s="48">
        <v>1858</v>
      </c>
      <c r="H270" s="30">
        <v>1872</v>
      </c>
      <c r="I270" s="30">
        <v>1851</v>
      </c>
      <c r="J270" s="30">
        <v>1805</v>
      </c>
      <c r="K270" s="30">
        <v>1824</v>
      </c>
      <c r="L270" s="30">
        <v>1841</v>
      </c>
      <c r="N270" s="616" t="s">
        <v>3842</v>
      </c>
      <c r="O270" s="4"/>
      <c r="Q270" s="4"/>
    </row>
    <row r="271" spans="1:17">
      <c r="A271" s="616" t="s">
        <v>7015</v>
      </c>
      <c r="B271" s="616" t="s">
        <v>1465</v>
      </c>
      <c r="C271" s="4" t="s">
        <v>10643</v>
      </c>
      <c r="D271" s="619">
        <v>3032</v>
      </c>
      <c r="E271" s="619">
        <v>3085</v>
      </c>
      <c r="F271" s="619">
        <v>3109</v>
      </c>
      <c r="G271" s="48">
        <v>3081</v>
      </c>
      <c r="H271" s="31">
        <v>3100</v>
      </c>
      <c r="I271" s="31">
        <v>3002</v>
      </c>
      <c r="J271" s="31">
        <v>2949</v>
      </c>
      <c r="K271" s="31">
        <v>2973</v>
      </c>
      <c r="L271" s="31">
        <v>2958</v>
      </c>
      <c r="N271" s="616" t="s">
        <v>3844</v>
      </c>
      <c r="O271" s="4"/>
      <c r="Q271" s="4"/>
    </row>
    <row r="272" spans="1:17">
      <c r="A272" s="616" t="s">
        <v>7017</v>
      </c>
      <c r="B272" s="616" t="s">
        <v>1466</v>
      </c>
      <c r="C272" s="4" t="s">
        <v>10644</v>
      </c>
      <c r="D272" s="619">
        <v>3565</v>
      </c>
      <c r="E272" s="619">
        <v>3550</v>
      </c>
      <c r="F272" s="619">
        <v>3562</v>
      </c>
      <c r="G272" s="48">
        <v>3560</v>
      </c>
      <c r="H272" s="31">
        <v>3519</v>
      </c>
      <c r="I272" s="31">
        <v>3415</v>
      </c>
      <c r="J272" s="31">
        <v>3377</v>
      </c>
      <c r="K272" s="31">
        <v>3435</v>
      </c>
      <c r="L272" s="31">
        <v>3473</v>
      </c>
      <c r="N272" s="616" t="s">
        <v>3844</v>
      </c>
      <c r="O272" s="4"/>
      <c r="Q272" s="4"/>
    </row>
    <row r="273" spans="1:17">
      <c r="A273" s="616" t="s">
        <v>7019</v>
      </c>
      <c r="B273" s="616" t="s">
        <v>5771</v>
      </c>
      <c r="C273" s="4" t="s">
        <v>10645</v>
      </c>
      <c r="D273" s="619">
        <v>1691</v>
      </c>
      <c r="E273" s="619">
        <v>1689</v>
      </c>
      <c r="F273" s="619">
        <v>1702</v>
      </c>
      <c r="G273" s="48">
        <v>1709</v>
      </c>
      <c r="H273" s="31">
        <v>1728</v>
      </c>
      <c r="I273" s="31">
        <v>1735</v>
      </c>
      <c r="J273" s="31">
        <v>1758</v>
      </c>
      <c r="K273" s="31">
        <v>1783</v>
      </c>
      <c r="L273" s="31">
        <v>1719</v>
      </c>
      <c r="N273" s="616" t="s">
        <v>3844</v>
      </c>
    </row>
    <row r="274" spans="1:17">
      <c r="A274" s="616" t="s">
        <v>7021</v>
      </c>
      <c r="B274" s="616" t="s">
        <v>5772</v>
      </c>
      <c r="C274" s="4" t="s">
        <v>10646</v>
      </c>
      <c r="D274" s="619">
        <v>1608</v>
      </c>
      <c r="E274" s="619">
        <v>1597</v>
      </c>
      <c r="F274" s="619">
        <v>1603</v>
      </c>
      <c r="G274" s="48">
        <v>1600</v>
      </c>
      <c r="H274" s="30">
        <v>1584</v>
      </c>
      <c r="I274" s="30">
        <v>1520</v>
      </c>
      <c r="J274" s="30">
        <v>1530</v>
      </c>
      <c r="K274" s="30">
        <v>1607</v>
      </c>
      <c r="L274" s="30">
        <v>1574</v>
      </c>
      <c r="N274" s="616" t="s">
        <v>3842</v>
      </c>
      <c r="O274" s="4"/>
      <c r="Q274" s="4"/>
    </row>
    <row r="275" spans="1:17">
      <c r="A275" s="616" t="s">
        <v>7023</v>
      </c>
      <c r="B275" s="616" t="s">
        <v>5773</v>
      </c>
      <c r="C275" s="4" t="s">
        <v>10647</v>
      </c>
      <c r="D275" s="619">
        <v>1768</v>
      </c>
      <c r="E275" s="619">
        <v>1790</v>
      </c>
      <c r="F275" s="619">
        <v>1802</v>
      </c>
      <c r="G275" s="48">
        <v>1784</v>
      </c>
      <c r="H275" s="31">
        <v>1734</v>
      </c>
      <c r="I275" s="31">
        <v>1674</v>
      </c>
      <c r="J275" s="31">
        <v>1689</v>
      </c>
      <c r="K275" s="31">
        <v>1679</v>
      </c>
      <c r="L275" s="31">
        <v>1696</v>
      </c>
      <c r="N275" s="616" t="s">
        <v>3842</v>
      </c>
      <c r="O275" s="4"/>
      <c r="Q275" s="4"/>
    </row>
    <row r="276" spans="1:17">
      <c r="A276" s="616" t="s">
        <v>7025</v>
      </c>
      <c r="B276" s="616" t="s">
        <v>5774</v>
      </c>
      <c r="C276" s="4" t="s">
        <v>10648</v>
      </c>
      <c r="D276" s="619">
        <v>5025</v>
      </c>
      <c r="E276" s="619">
        <v>5059</v>
      </c>
      <c r="F276" s="619">
        <v>5000</v>
      </c>
      <c r="G276" s="48">
        <v>5005</v>
      </c>
      <c r="H276" s="31">
        <v>4903</v>
      </c>
      <c r="I276" s="31">
        <v>4710</v>
      </c>
      <c r="J276" s="31">
        <v>4657</v>
      </c>
      <c r="K276" s="31">
        <v>4782</v>
      </c>
      <c r="L276" s="31">
        <v>4779</v>
      </c>
      <c r="N276" s="616" t="s">
        <v>3842</v>
      </c>
      <c r="O276" s="4"/>
      <c r="Q276" s="4"/>
    </row>
    <row r="277" spans="1:17">
      <c r="A277" s="616" t="s">
        <v>7570</v>
      </c>
      <c r="B277" s="616" t="s">
        <v>5775</v>
      </c>
      <c r="C277" s="4" t="s">
        <v>10649</v>
      </c>
      <c r="D277" s="619">
        <v>1771</v>
      </c>
      <c r="E277" s="619">
        <v>1788</v>
      </c>
      <c r="F277" s="619">
        <v>1785</v>
      </c>
      <c r="G277" s="48">
        <v>1794</v>
      </c>
      <c r="H277" s="31">
        <v>1822</v>
      </c>
      <c r="I277" s="31">
        <v>1782</v>
      </c>
      <c r="J277" s="31">
        <v>1759</v>
      </c>
      <c r="K277" s="31">
        <v>1807</v>
      </c>
      <c r="L277" s="31">
        <v>1825</v>
      </c>
      <c r="N277" s="616" t="s">
        <v>3842</v>
      </c>
      <c r="O277" s="4"/>
      <c r="Q277" s="4"/>
    </row>
    <row r="278" spans="1:17">
      <c r="A278" s="616" t="s">
        <v>7572</v>
      </c>
      <c r="B278" s="616" t="s">
        <v>13313</v>
      </c>
      <c r="C278" s="4" t="s">
        <v>10650</v>
      </c>
      <c r="D278" s="619">
        <v>3363</v>
      </c>
      <c r="E278" s="619">
        <v>3347</v>
      </c>
      <c r="F278" s="619">
        <v>3324</v>
      </c>
      <c r="G278" s="48">
        <v>3362</v>
      </c>
      <c r="H278" s="31">
        <v>3354</v>
      </c>
      <c r="I278" s="31">
        <v>3258</v>
      </c>
      <c r="J278" s="31">
        <v>3191</v>
      </c>
      <c r="K278" s="31">
        <v>3248</v>
      </c>
      <c r="L278" s="31">
        <v>3206</v>
      </c>
      <c r="N278" s="616" t="s">
        <v>3844</v>
      </c>
    </row>
    <row r="279" spans="1:17">
      <c r="A279" s="616" t="s">
        <v>7573</v>
      </c>
      <c r="B279" s="616" t="s">
        <v>5776</v>
      </c>
      <c r="C279" s="4" t="s">
        <v>10651</v>
      </c>
      <c r="D279" s="619">
        <v>5277</v>
      </c>
      <c r="E279" s="619">
        <v>5304</v>
      </c>
      <c r="F279" s="619">
        <v>5332</v>
      </c>
      <c r="G279" s="48">
        <v>5381</v>
      </c>
      <c r="H279" s="31">
        <v>5361</v>
      </c>
      <c r="I279" s="31">
        <v>5202</v>
      </c>
      <c r="J279" s="31">
        <v>5203</v>
      </c>
      <c r="K279" s="31">
        <v>5279</v>
      </c>
      <c r="L279" s="31">
        <v>5302</v>
      </c>
      <c r="N279" s="616" t="s">
        <v>3842</v>
      </c>
      <c r="O279" s="4"/>
      <c r="Q279" s="4"/>
    </row>
    <row r="280" spans="1:17">
      <c r="A280" s="616" t="s">
        <v>5798</v>
      </c>
      <c r="B280" s="616" t="s">
        <v>5777</v>
      </c>
      <c r="C280" s="4" t="s">
        <v>10652</v>
      </c>
      <c r="D280" s="619">
        <v>3181</v>
      </c>
      <c r="E280" s="619">
        <v>3210</v>
      </c>
      <c r="F280" s="619">
        <v>3231</v>
      </c>
      <c r="G280" s="48">
        <v>3237</v>
      </c>
      <c r="H280" s="31">
        <v>3240</v>
      </c>
      <c r="I280" s="31">
        <v>3027</v>
      </c>
      <c r="J280" s="31">
        <v>3119</v>
      </c>
      <c r="K280" s="31">
        <v>3195</v>
      </c>
      <c r="L280" s="31">
        <v>3193</v>
      </c>
      <c r="N280" s="616" t="s">
        <v>3842</v>
      </c>
      <c r="O280" s="4"/>
      <c r="Q280" s="4"/>
    </row>
    <row r="281" spans="1:17">
      <c r="A281" s="616" t="s">
        <v>5799</v>
      </c>
      <c r="B281" s="616" t="s">
        <v>5778</v>
      </c>
      <c r="C281" s="4" t="s">
        <v>10653</v>
      </c>
      <c r="D281" s="619">
        <v>3535</v>
      </c>
      <c r="E281" s="619">
        <v>3554</v>
      </c>
      <c r="F281" s="619">
        <v>3606</v>
      </c>
      <c r="G281" s="48">
        <v>3630</v>
      </c>
      <c r="H281" s="31">
        <v>3562</v>
      </c>
      <c r="I281" s="31">
        <v>3424</v>
      </c>
      <c r="J281" s="31">
        <v>3408</v>
      </c>
      <c r="K281" s="31">
        <v>3460</v>
      </c>
      <c r="L281" s="31">
        <v>3479</v>
      </c>
      <c r="N281" s="616" t="s">
        <v>3842</v>
      </c>
      <c r="O281" s="4"/>
      <c r="Q281" s="4"/>
    </row>
    <row r="282" spans="1:17">
      <c r="D282" s="621"/>
      <c r="E282" s="621"/>
      <c r="F282" s="621"/>
      <c r="G282" s="621"/>
      <c r="H282" s="621"/>
      <c r="I282" s="621"/>
      <c r="J282" s="621"/>
      <c r="K282" s="621"/>
      <c r="L282" s="621"/>
    </row>
    <row r="283" spans="1:17">
      <c r="A283" s="616" t="s">
        <v>3842</v>
      </c>
      <c r="D283" s="619">
        <f t="shared" ref="D283:I283" si="180">SUM(D257:D267)+D268+D269+D270+SUM(D274:D277)+SUM(D279:D281)</f>
        <v>73630</v>
      </c>
      <c r="E283" s="619">
        <f t="shared" si="180"/>
        <v>74189</v>
      </c>
      <c r="F283" s="619">
        <f t="shared" si="180"/>
        <v>74608</v>
      </c>
      <c r="G283" s="619">
        <f t="shared" si="180"/>
        <v>74945</v>
      </c>
      <c r="H283" s="619">
        <f t="shared" si="180"/>
        <v>74622</v>
      </c>
      <c r="I283" s="619">
        <f t="shared" si="180"/>
        <v>71956</v>
      </c>
      <c r="J283" s="619">
        <f t="shared" ref="J283:K283" si="181">SUM(J257:J267)+J268+J269+J270+SUM(J274:J277)+SUM(J279:J281)</f>
        <v>72132</v>
      </c>
      <c r="K283" s="619">
        <f t="shared" si="181"/>
        <v>73660</v>
      </c>
      <c r="L283" s="619">
        <f t="shared" ref="L283" si="182">SUM(L257:L267)+L268+L269+L270+SUM(L274:L277)+SUM(L279:L281)</f>
        <v>73658</v>
      </c>
    </row>
    <row r="284" spans="1:17">
      <c r="A284" s="616" t="s">
        <v>5779</v>
      </c>
      <c r="D284" s="619">
        <f t="shared" ref="D284:I284" si="183">SUM(D271:D273)+D278</f>
        <v>11651</v>
      </c>
      <c r="E284" s="619">
        <f t="shared" si="183"/>
        <v>11671</v>
      </c>
      <c r="F284" s="619">
        <f t="shared" si="183"/>
        <v>11697</v>
      </c>
      <c r="G284" s="619">
        <f t="shared" si="183"/>
        <v>11712</v>
      </c>
      <c r="H284" s="619">
        <f t="shared" si="183"/>
        <v>11701</v>
      </c>
      <c r="I284" s="619">
        <f t="shared" si="183"/>
        <v>11410</v>
      </c>
      <c r="J284" s="619">
        <f t="shared" ref="J284:K284" si="184">SUM(J271:J273)+J278</f>
        <v>11275</v>
      </c>
      <c r="K284" s="619">
        <f t="shared" si="184"/>
        <v>11439</v>
      </c>
      <c r="L284" s="619">
        <f t="shared" ref="L284" si="185">SUM(L271:L273)+L278</f>
        <v>11356</v>
      </c>
    </row>
    <row r="285" spans="1:17">
      <c r="A285" s="616"/>
      <c r="D285" s="619"/>
      <c r="E285" s="619"/>
      <c r="F285" s="619"/>
      <c r="G285" s="619"/>
      <c r="H285" s="619"/>
      <c r="I285" s="619"/>
      <c r="J285" s="619"/>
      <c r="K285" s="619"/>
      <c r="L285" s="619"/>
    </row>
    <row r="286" spans="1:17">
      <c r="A286" s="616" t="s">
        <v>2364</v>
      </c>
      <c r="D286" s="619"/>
      <c r="E286" s="619"/>
      <c r="F286" s="619"/>
      <c r="G286" s="619"/>
      <c r="H286" s="619"/>
      <c r="I286" s="619"/>
      <c r="J286" s="619"/>
      <c r="K286" s="619"/>
      <c r="L286" s="619"/>
    </row>
    <row r="287" spans="1:17">
      <c r="A287" s="616"/>
      <c r="B287" s="616"/>
      <c r="D287" s="625"/>
      <c r="E287" s="625"/>
      <c r="F287" s="625"/>
      <c r="G287" s="625"/>
      <c r="H287" s="625"/>
      <c r="I287" s="625"/>
      <c r="J287" s="625"/>
      <c r="K287" s="625"/>
      <c r="L287" s="625"/>
    </row>
    <row r="288" spans="1:17">
      <c r="A288" s="616"/>
      <c r="B288" s="616"/>
      <c r="D288" s="625"/>
      <c r="E288" s="625"/>
      <c r="F288" s="625"/>
      <c r="G288" s="625"/>
      <c r="H288" s="625"/>
      <c r="I288" s="625"/>
      <c r="J288" s="625"/>
      <c r="K288" s="625"/>
      <c r="L288" s="625"/>
    </row>
    <row r="289" spans="1:17">
      <c r="E289" s="42" t="s">
        <v>2303</v>
      </c>
      <c r="F289" s="42"/>
      <c r="G289" s="42"/>
      <c r="H289" s="42"/>
      <c r="I289" s="42"/>
      <c r="J289" s="42"/>
      <c r="K289" s="42"/>
      <c r="L289" s="42"/>
      <c r="M289" s="109"/>
      <c r="N289" s="109" t="s">
        <v>13319</v>
      </c>
    </row>
    <row r="290" spans="1:17">
      <c r="D290" s="110">
        <v>2010</v>
      </c>
      <c r="E290" s="110">
        <v>2011</v>
      </c>
      <c r="F290" s="110">
        <v>2012</v>
      </c>
      <c r="G290" s="110">
        <v>2013</v>
      </c>
      <c r="H290" s="110">
        <v>2014</v>
      </c>
      <c r="I290" s="110">
        <v>2015</v>
      </c>
      <c r="J290" s="110">
        <v>2016</v>
      </c>
      <c r="K290" s="110">
        <v>2017</v>
      </c>
      <c r="L290" s="110">
        <v>2018</v>
      </c>
      <c r="M290" s="109"/>
      <c r="N290" s="112" t="s">
        <v>2304</v>
      </c>
      <c r="O290" s="4"/>
      <c r="Q290" s="4"/>
    </row>
    <row r="291" spans="1:17">
      <c r="A291" s="616" t="s">
        <v>1230</v>
      </c>
      <c r="D291" s="619">
        <f>SUM(D292:D308)+SUM(D310:D314)+SUM(D316:D318)</f>
        <v>98303</v>
      </c>
      <c r="E291" s="619">
        <f t="shared" ref="E291:J291" si="186">SUM(E292:E308)+SUM(E310:E314)+SUM(E316:E318)</f>
        <v>97459</v>
      </c>
      <c r="F291" s="619">
        <f t="shared" si="186"/>
        <v>97541</v>
      </c>
      <c r="G291" s="619">
        <f t="shared" si="186"/>
        <v>97914</v>
      </c>
      <c r="H291" s="619">
        <f t="shared" si="186"/>
        <v>95842</v>
      </c>
      <c r="I291" s="619">
        <f t="shared" si="186"/>
        <v>94986</v>
      </c>
      <c r="J291" s="619">
        <f t="shared" si="186"/>
        <v>95558</v>
      </c>
      <c r="K291" s="619">
        <f t="shared" ref="K291:L291" si="187">SUM(K292:K308)+SUM(K310:K314)+SUM(K316:K318)</f>
        <v>98652</v>
      </c>
      <c r="L291" s="619">
        <f t="shared" si="187"/>
        <v>99622</v>
      </c>
      <c r="O291" s="4"/>
      <c r="Q291" s="4"/>
    </row>
    <row r="292" spans="1:17">
      <c r="A292" s="616" t="s">
        <v>6957</v>
      </c>
      <c r="B292" s="616" t="s">
        <v>15488</v>
      </c>
      <c r="C292" s="4" t="s">
        <v>15486</v>
      </c>
      <c r="D292" s="619">
        <v>39442</v>
      </c>
      <c r="E292" s="619">
        <v>39298</v>
      </c>
      <c r="F292" s="619">
        <v>39489</v>
      </c>
      <c r="G292" s="619">
        <v>39729</v>
      </c>
      <c r="H292" s="48">
        <v>39128</v>
      </c>
      <c r="I292" s="48">
        <v>39024</v>
      </c>
      <c r="J292" s="48">
        <v>2164</v>
      </c>
      <c r="K292" s="48">
        <v>2202</v>
      </c>
      <c r="L292" s="48">
        <v>2177</v>
      </c>
      <c r="N292" s="616" t="s">
        <v>3852</v>
      </c>
      <c r="O292" s="4"/>
      <c r="Q292" s="4"/>
    </row>
    <row r="293" spans="1:17">
      <c r="A293" s="616" t="s">
        <v>6959</v>
      </c>
      <c r="B293" s="616" t="s">
        <v>2365</v>
      </c>
      <c r="C293" s="4" t="s">
        <v>15497</v>
      </c>
      <c r="D293" s="619">
        <v>58861</v>
      </c>
      <c r="E293" s="619">
        <v>58161</v>
      </c>
      <c r="F293" s="619">
        <v>58052</v>
      </c>
      <c r="G293" s="619">
        <v>58185</v>
      </c>
      <c r="H293" s="48">
        <v>56714</v>
      </c>
      <c r="I293" s="48">
        <v>55962</v>
      </c>
      <c r="J293" s="48">
        <v>4993</v>
      </c>
      <c r="K293" s="48">
        <v>5016</v>
      </c>
      <c r="L293" s="48">
        <v>5009</v>
      </c>
      <c r="N293" s="616" t="s">
        <v>3844</v>
      </c>
      <c r="O293" s="4"/>
      <c r="Q293" s="4"/>
    </row>
    <row r="294" spans="1:17">
      <c r="A294" s="616" t="s">
        <v>6961</v>
      </c>
      <c r="B294" s="616" t="s">
        <v>2366</v>
      </c>
      <c r="C294" s="4" t="s">
        <v>15498</v>
      </c>
      <c r="D294" s="624">
        <v>0</v>
      </c>
      <c r="E294" s="624">
        <v>0</v>
      </c>
      <c r="F294" s="624">
        <v>0</v>
      </c>
      <c r="G294" s="624">
        <v>0</v>
      </c>
      <c r="H294" s="48">
        <v>0</v>
      </c>
      <c r="I294" s="48">
        <v>0</v>
      </c>
      <c r="J294" s="48">
        <v>2629</v>
      </c>
      <c r="K294" s="48">
        <v>2840</v>
      </c>
      <c r="L294" s="48">
        <v>2871</v>
      </c>
      <c r="N294" s="616" t="s">
        <v>3844</v>
      </c>
      <c r="O294" s="4"/>
      <c r="Q294" s="4"/>
    </row>
    <row r="295" spans="1:17">
      <c r="A295" s="616" t="s">
        <v>6963</v>
      </c>
      <c r="B295" s="616" t="s">
        <v>2367</v>
      </c>
      <c r="C295" s="4" t="s">
        <v>15499</v>
      </c>
      <c r="D295" s="624">
        <v>0</v>
      </c>
      <c r="E295" s="624">
        <v>0</v>
      </c>
      <c r="F295" s="624">
        <v>0</v>
      </c>
      <c r="G295" s="624">
        <v>0</v>
      </c>
      <c r="H295" s="48">
        <v>0</v>
      </c>
      <c r="I295" s="48">
        <v>0</v>
      </c>
      <c r="J295" s="48">
        <v>4080</v>
      </c>
      <c r="K295" s="48">
        <v>4663</v>
      </c>
      <c r="L295" s="48">
        <v>4880</v>
      </c>
      <c r="N295" s="616" t="s">
        <v>3844</v>
      </c>
      <c r="O295" s="4"/>
      <c r="Q295" s="4"/>
    </row>
    <row r="296" spans="1:17">
      <c r="A296" s="616" t="s">
        <v>6965</v>
      </c>
      <c r="B296" s="616" t="s">
        <v>15489</v>
      </c>
      <c r="C296" s="4" t="s">
        <v>15500</v>
      </c>
      <c r="D296" s="624">
        <v>0</v>
      </c>
      <c r="E296" s="624">
        <v>0</v>
      </c>
      <c r="F296" s="624">
        <v>0</v>
      </c>
      <c r="G296" s="624">
        <v>0</v>
      </c>
      <c r="H296" s="48">
        <v>0</v>
      </c>
      <c r="I296" s="48">
        <v>0</v>
      </c>
      <c r="J296" s="48">
        <v>2334</v>
      </c>
      <c r="K296" s="48">
        <v>2440</v>
      </c>
      <c r="L296" s="48">
        <v>2506</v>
      </c>
      <c r="N296" s="616" t="s">
        <v>3844</v>
      </c>
      <c r="O296" s="4"/>
      <c r="Q296" s="4"/>
    </row>
    <row r="297" spans="1:17">
      <c r="A297" s="616" t="s">
        <v>6997</v>
      </c>
      <c r="B297" s="616" t="s">
        <v>2340</v>
      </c>
      <c r="C297" s="4" t="s">
        <v>15501</v>
      </c>
      <c r="D297" s="624">
        <v>0</v>
      </c>
      <c r="E297" s="624">
        <v>0</v>
      </c>
      <c r="F297" s="624">
        <v>0</v>
      </c>
      <c r="G297" s="624">
        <v>0</v>
      </c>
      <c r="H297" s="48">
        <v>0</v>
      </c>
      <c r="I297" s="48">
        <v>0</v>
      </c>
      <c r="J297" s="48">
        <v>5074</v>
      </c>
      <c r="K297" s="48">
        <v>5200</v>
      </c>
      <c r="L297" s="48">
        <v>5174</v>
      </c>
      <c r="N297" s="616" t="s">
        <v>3852</v>
      </c>
      <c r="O297" s="4"/>
      <c r="Q297" s="4"/>
    </row>
    <row r="298" spans="1:17">
      <c r="A298" s="616" t="s">
        <v>6999</v>
      </c>
      <c r="B298" s="616" t="s">
        <v>2341</v>
      </c>
      <c r="C298" s="4" t="s">
        <v>15502</v>
      </c>
      <c r="D298" s="624">
        <v>0</v>
      </c>
      <c r="E298" s="624">
        <v>0</v>
      </c>
      <c r="F298" s="624">
        <v>0</v>
      </c>
      <c r="G298" s="624">
        <v>0</v>
      </c>
      <c r="H298" s="48">
        <v>0</v>
      </c>
      <c r="I298" s="48">
        <v>0</v>
      </c>
      <c r="J298" s="48">
        <v>2071</v>
      </c>
      <c r="K298" s="48">
        <v>2208</v>
      </c>
      <c r="L298" s="48">
        <v>2370</v>
      </c>
      <c r="N298" s="616" t="s">
        <v>3844</v>
      </c>
      <c r="O298" s="4"/>
      <c r="Q298" s="4"/>
    </row>
    <row r="299" spans="1:17">
      <c r="A299" s="616" t="s">
        <v>7001</v>
      </c>
      <c r="B299" s="616" t="s">
        <v>2342</v>
      </c>
      <c r="C299" s="4" t="s">
        <v>15503</v>
      </c>
      <c r="D299" s="624">
        <v>0</v>
      </c>
      <c r="E299" s="624">
        <v>0</v>
      </c>
      <c r="F299" s="624">
        <v>0</v>
      </c>
      <c r="G299" s="624">
        <v>0</v>
      </c>
      <c r="H299" s="48">
        <v>0</v>
      </c>
      <c r="I299" s="48">
        <v>0</v>
      </c>
      <c r="J299" s="48">
        <v>4658</v>
      </c>
      <c r="K299" s="48">
        <v>4798</v>
      </c>
      <c r="L299" s="48">
        <v>4824</v>
      </c>
      <c r="N299" s="616" t="s">
        <v>3852</v>
      </c>
      <c r="O299" s="4"/>
      <c r="Q299" s="4"/>
    </row>
    <row r="300" spans="1:17">
      <c r="A300" s="616" t="s">
        <v>7003</v>
      </c>
      <c r="B300" s="616" t="s">
        <v>15490</v>
      </c>
      <c r="C300" s="4" t="s">
        <v>15504</v>
      </c>
      <c r="D300" s="624">
        <v>0</v>
      </c>
      <c r="E300" s="624">
        <v>0</v>
      </c>
      <c r="F300" s="624">
        <v>0</v>
      </c>
      <c r="G300" s="624">
        <v>0</v>
      </c>
      <c r="H300" s="48">
        <v>0</v>
      </c>
      <c r="I300" s="48">
        <v>0</v>
      </c>
      <c r="J300" s="48">
        <v>5177</v>
      </c>
      <c r="K300" s="48">
        <v>5314</v>
      </c>
      <c r="L300" s="48">
        <v>5467</v>
      </c>
      <c r="N300" s="616" t="s">
        <v>3852</v>
      </c>
      <c r="O300" s="4"/>
      <c r="Q300" s="4"/>
    </row>
    <row r="301" spans="1:17">
      <c r="A301" s="616" t="s">
        <v>7005</v>
      </c>
      <c r="B301" s="616" t="s">
        <v>15491</v>
      </c>
      <c r="C301" s="4" t="s">
        <v>15505</v>
      </c>
      <c r="D301" s="624">
        <v>0</v>
      </c>
      <c r="E301" s="624">
        <v>0</v>
      </c>
      <c r="F301" s="624">
        <v>0</v>
      </c>
      <c r="G301" s="624">
        <v>0</v>
      </c>
      <c r="H301" s="48">
        <v>0</v>
      </c>
      <c r="I301" s="48">
        <v>0</v>
      </c>
      <c r="J301" s="48">
        <v>5048</v>
      </c>
      <c r="K301" s="48">
        <v>5117</v>
      </c>
      <c r="L301" s="48">
        <v>5363</v>
      </c>
      <c r="N301" s="616" t="s">
        <v>3844</v>
      </c>
      <c r="O301" s="4"/>
      <c r="Q301" s="4"/>
    </row>
    <row r="302" spans="1:17">
      <c r="A302" s="616" t="s">
        <v>7007</v>
      </c>
      <c r="B302" s="616" t="s">
        <v>15492</v>
      </c>
      <c r="C302" s="4" t="s">
        <v>15506</v>
      </c>
      <c r="D302" s="624">
        <v>0</v>
      </c>
      <c r="E302" s="624">
        <v>0</v>
      </c>
      <c r="F302" s="624">
        <v>0</v>
      </c>
      <c r="G302" s="624">
        <v>0</v>
      </c>
      <c r="H302" s="48">
        <v>0</v>
      </c>
      <c r="I302" s="48">
        <v>0</v>
      </c>
      <c r="J302" s="48">
        <v>4769</v>
      </c>
      <c r="K302" s="48">
        <v>4930</v>
      </c>
      <c r="L302" s="48">
        <v>4849</v>
      </c>
      <c r="N302" s="616" t="s">
        <v>3844</v>
      </c>
      <c r="O302" s="4"/>
      <c r="Q302" s="4"/>
    </row>
    <row r="303" spans="1:17">
      <c r="A303" s="616" t="s">
        <v>7009</v>
      </c>
      <c r="B303" s="616" t="s">
        <v>1626</v>
      </c>
      <c r="C303" s="4" t="s">
        <v>15507</v>
      </c>
      <c r="D303" s="624">
        <v>0</v>
      </c>
      <c r="E303" s="624">
        <v>0</v>
      </c>
      <c r="F303" s="624">
        <v>0</v>
      </c>
      <c r="G303" s="624">
        <v>0</v>
      </c>
      <c r="H303" s="48">
        <v>0</v>
      </c>
      <c r="I303" s="48">
        <v>0</v>
      </c>
      <c r="J303" s="48">
        <v>5334</v>
      </c>
      <c r="K303" s="48">
        <v>5435</v>
      </c>
      <c r="L303" s="48">
        <v>5368</v>
      </c>
      <c r="N303" s="616" t="s">
        <v>3844</v>
      </c>
      <c r="O303" s="4"/>
      <c r="Q303" s="4"/>
    </row>
    <row r="304" spans="1:17">
      <c r="A304" s="616" t="s">
        <v>7011</v>
      </c>
      <c r="B304" s="616" t="s">
        <v>1627</v>
      </c>
      <c r="C304" s="4" t="s">
        <v>15508</v>
      </c>
      <c r="D304" s="624">
        <v>0</v>
      </c>
      <c r="E304" s="624">
        <v>0</v>
      </c>
      <c r="F304" s="624">
        <v>0</v>
      </c>
      <c r="G304" s="624">
        <v>0</v>
      </c>
      <c r="H304" s="48">
        <v>0</v>
      </c>
      <c r="I304" s="48">
        <v>0</v>
      </c>
      <c r="J304" s="48">
        <v>4282</v>
      </c>
      <c r="K304" s="48">
        <v>4379</v>
      </c>
      <c r="L304" s="48">
        <v>4318</v>
      </c>
      <c r="N304" s="616" t="s">
        <v>3844</v>
      </c>
      <c r="O304" s="4"/>
      <c r="Q304" s="4"/>
    </row>
    <row r="305" spans="1:17">
      <c r="A305" s="616" t="s">
        <v>7013</v>
      </c>
      <c r="B305" s="616" t="s">
        <v>7605</v>
      </c>
      <c r="C305" s="4" t="s">
        <v>15509</v>
      </c>
      <c r="D305" s="624">
        <v>0</v>
      </c>
      <c r="E305" s="624">
        <v>0</v>
      </c>
      <c r="F305" s="624">
        <v>0</v>
      </c>
      <c r="G305" s="624">
        <v>0</v>
      </c>
      <c r="H305" s="48">
        <v>0</v>
      </c>
      <c r="I305" s="48">
        <v>0</v>
      </c>
      <c r="J305" s="48">
        <v>5150</v>
      </c>
      <c r="K305" s="48">
        <v>5291</v>
      </c>
      <c r="L305" s="48">
        <v>5232</v>
      </c>
      <c r="N305" s="616" t="s">
        <v>3844</v>
      </c>
      <c r="O305" s="4"/>
      <c r="Q305" s="4"/>
    </row>
    <row r="306" spans="1:17">
      <c r="A306" s="616" t="s">
        <v>7015</v>
      </c>
      <c r="B306" s="616" t="s">
        <v>2154</v>
      </c>
      <c r="C306" s="4" t="s">
        <v>15510</v>
      </c>
      <c r="D306" s="624">
        <v>0</v>
      </c>
      <c r="E306" s="624">
        <v>0</v>
      </c>
      <c r="F306" s="624">
        <v>0</v>
      </c>
      <c r="G306" s="624">
        <v>0</v>
      </c>
      <c r="H306" s="48">
        <v>0</v>
      </c>
      <c r="I306" s="48">
        <v>0</v>
      </c>
      <c r="J306" s="48">
        <v>2438</v>
      </c>
      <c r="K306" s="48">
        <v>2479</v>
      </c>
      <c r="L306" s="48">
        <v>2430</v>
      </c>
      <c r="N306" s="616" t="s">
        <v>3844</v>
      </c>
      <c r="O306" s="4"/>
      <c r="Q306" s="4"/>
    </row>
    <row r="307" spans="1:17">
      <c r="A307" s="616" t="s">
        <v>7017</v>
      </c>
      <c r="B307" s="616" t="s">
        <v>1628</v>
      </c>
      <c r="C307" s="4" t="s">
        <v>15511</v>
      </c>
      <c r="D307" s="619">
        <v>0</v>
      </c>
      <c r="E307" s="619">
        <v>0</v>
      </c>
      <c r="F307" s="619">
        <v>0</v>
      </c>
      <c r="G307" s="619">
        <v>0</v>
      </c>
      <c r="H307" s="48">
        <v>0</v>
      </c>
      <c r="I307" s="48">
        <v>0</v>
      </c>
      <c r="J307" s="48">
        <v>1120</v>
      </c>
      <c r="K307" s="48">
        <v>1215</v>
      </c>
      <c r="L307" s="48">
        <v>1387</v>
      </c>
      <c r="N307" s="616" t="s">
        <v>3844</v>
      </c>
      <c r="O307" s="4"/>
      <c r="Q307" s="4"/>
    </row>
    <row r="308" spans="1:17" ht="15.75" thickBot="1">
      <c r="A308" s="616"/>
      <c r="B308" s="616"/>
      <c r="C308" s="4" t="s">
        <v>15511</v>
      </c>
      <c r="D308" s="620">
        <v>0</v>
      </c>
      <c r="E308" s="620">
        <v>0</v>
      </c>
      <c r="F308" s="620">
        <v>0</v>
      </c>
      <c r="G308" s="620">
        <v>0</v>
      </c>
      <c r="H308" s="159">
        <v>0</v>
      </c>
      <c r="I308" s="159">
        <v>0</v>
      </c>
      <c r="J308" s="48">
        <v>3165</v>
      </c>
      <c r="K308" s="48">
        <v>3247</v>
      </c>
      <c r="L308" s="48">
        <v>3197</v>
      </c>
      <c r="N308" s="616" t="s">
        <v>3852</v>
      </c>
      <c r="O308" s="4"/>
      <c r="Q308" s="4"/>
    </row>
    <row r="309" spans="1:17" ht="15.75" thickBot="1">
      <c r="A309" s="616"/>
      <c r="B309" s="616"/>
      <c r="C309" s="4" t="s">
        <v>15511</v>
      </c>
      <c r="D309" s="615">
        <f>D307+D308</f>
        <v>0</v>
      </c>
      <c r="E309" s="615">
        <f t="shared" ref="E309:L309" si="188">E307+E308</f>
        <v>0</v>
      </c>
      <c r="F309" s="615">
        <f t="shared" si="188"/>
        <v>0</v>
      </c>
      <c r="G309" s="615">
        <f t="shared" si="188"/>
        <v>0</v>
      </c>
      <c r="H309" s="615">
        <f t="shared" si="188"/>
        <v>0</v>
      </c>
      <c r="I309" s="615">
        <f t="shared" si="188"/>
        <v>0</v>
      </c>
      <c r="J309" s="615">
        <f t="shared" si="188"/>
        <v>4285</v>
      </c>
      <c r="K309" s="615">
        <f t="shared" si="188"/>
        <v>4462</v>
      </c>
      <c r="L309" s="615">
        <f t="shared" si="188"/>
        <v>4584</v>
      </c>
      <c r="N309" s="616"/>
      <c r="O309" s="4"/>
      <c r="Q309" s="4"/>
    </row>
    <row r="310" spans="1:17">
      <c r="A310" s="616" t="s">
        <v>7019</v>
      </c>
      <c r="B310" s="616" t="s">
        <v>1629</v>
      </c>
      <c r="C310" s="4" t="s">
        <v>15512</v>
      </c>
      <c r="D310" s="624">
        <v>0</v>
      </c>
      <c r="E310" s="624">
        <v>0</v>
      </c>
      <c r="F310" s="624">
        <v>0</v>
      </c>
      <c r="G310" s="624">
        <v>0</v>
      </c>
      <c r="H310" s="48">
        <v>0</v>
      </c>
      <c r="I310" s="48">
        <v>0</v>
      </c>
      <c r="J310" s="48">
        <v>2411</v>
      </c>
      <c r="K310" s="48">
        <v>2483</v>
      </c>
      <c r="L310" s="48">
        <v>2453</v>
      </c>
      <c r="N310" s="616" t="s">
        <v>3844</v>
      </c>
      <c r="O310" s="4"/>
      <c r="Q310" s="4"/>
    </row>
    <row r="311" spans="1:17">
      <c r="A311" s="616" t="s">
        <v>7021</v>
      </c>
      <c r="B311" s="616" t="s">
        <v>1630</v>
      </c>
      <c r="C311" s="4" t="s">
        <v>15513</v>
      </c>
      <c r="D311" s="624">
        <v>0</v>
      </c>
      <c r="E311" s="624">
        <v>0</v>
      </c>
      <c r="F311" s="624">
        <v>0</v>
      </c>
      <c r="G311" s="624">
        <v>0</v>
      </c>
      <c r="H311" s="48">
        <v>0</v>
      </c>
      <c r="I311" s="48">
        <v>0</v>
      </c>
      <c r="J311" s="48">
        <v>2364</v>
      </c>
      <c r="K311" s="48">
        <v>2425</v>
      </c>
      <c r="L311" s="48">
        <v>2416</v>
      </c>
      <c r="N311" s="616" t="s">
        <v>3844</v>
      </c>
      <c r="O311" s="4"/>
      <c r="Q311" s="4"/>
    </row>
    <row r="312" spans="1:17">
      <c r="A312" s="616" t="s">
        <v>7023</v>
      </c>
      <c r="B312" s="616" t="s">
        <v>15493</v>
      </c>
      <c r="C312" s="4" t="s">
        <v>15514</v>
      </c>
      <c r="D312" s="624">
        <v>0</v>
      </c>
      <c r="E312" s="624">
        <v>0</v>
      </c>
      <c r="F312" s="624">
        <v>0</v>
      </c>
      <c r="G312" s="624">
        <v>0</v>
      </c>
      <c r="H312" s="48">
        <v>0</v>
      </c>
      <c r="I312" s="48">
        <v>0</v>
      </c>
      <c r="J312" s="48">
        <v>7766</v>
      </c>
      <c r="K312" s="48">
        <v>7855</v>
      </c>
      <c r="L312" s="48">
        <v>7925</v>
      </c>
      <c r="N312" s="616" t="s">
        <v>3852</v>
      </c>
      <c r="O312" s="4"/>
      <c r="Q312" s="4"/>
    </row>
    <row r="313" spans="1:17">
      <c r="A313" s="616" t="s">
        <v>7025</v>
      </c>
      <c r="B313" s="616" t="s">
        <v>15494</v>
      </c>
      <c r="C313" s="4" t="s">
        <v>15515</v>
      </c>
      <c r="D313" s="619">
        <v>0</v>
      </c>
      <c r="E313" s="619">
        <v>0</v>
      </c>
      <c r="F313" s="619">
        <v>0</v>
      </c>
      <c r="G313" s="619">
        <v>0</v>
      </c>
      <c r="H313" s="48">
        <v>0</v>
      </c>
      <c r="I313" s="48">
        <v>0</v>
      </c>
      <c r="J313" s="48">
        <v>2826</v>
      </c>
      <c r="K313" s="48">
        <v>2886</v>
      </c>
      <c r="L313" s="48">
        <v>3007</v>
      </c>
      <c r="N313" s="616" t="s">
        <v>3844</v>
      </c>
      <c r="O313" s="4"/>
      <c r="Q313" s="4"/>
    </row>
    <row r="314" spans="1:17" ht="15.75" thickBot="1">
      <c r="A314" s="616"/>
      <c r="B314" s="616"/>
      <c r="C314" s="4" t="s">
        <v>15515</v>
      </c>
      <c r="D314" s="620">
        <v>0</v>
      </c>
      <c r="E314" s="620">
        <v>0</v>
      </c>
      <c r="F314" s="620">
        <v>0</v>
      </c>
      <c r="G314" s="620">
        <v>0</v>
      </c>
      <c r="H314" s="159">
        <v>0</v>
      </c>
      <c r="I314" s="159">
        <v>0</v>
      </c>
      <c r="J314" s="48">
        <v>1797</v>
      </c>
      <c r="K314" s="48">
        <v>1804</v>
      </c>
      <c r="L314" s="48">
        <v>1787</v>
      </c>
      <c r="N314" s="616" t="s">
        <v>3852</v>
      </c>
      <c r="O314" s="4"/>
      <c r="Q314" s="4"/>
    </row>
    <row r="315" spans="1:17" ht="15.75" thickBot="1">
      <c r="A315" s="616"/>
      <c r="B315" s="616"/>
      <c r="C315" s="4" t="s">
        <v>15515</v>
      </c>
      <c r="D315" s="615">
        <f>D313+D314</f>
        <v>0</v>
      </c>
      <c r="E315" s="615">
        <f t="shared" ref="E315" si="189">E313+E314</f>
        <v>0</v>
      </c>
      <c r="F315" s="615">
        <f t="shared" ref="F315" si="190">F313+F314</f>
        <v>0</v>
      </c>
      <c r="G315" s="615">
        <f t="shared" ref="G315" si="191">G313+G314</f>
        <v>0</v>
      </c>
      <c r="H315" s="615">
        <f t="shared" ref="H315" si="192">H313+H314</f>
        <v>0</v>
      </c>
      <c r="I315" s="615">
        <f t="shared" ref="I315" si="193">I313+I314</f>
        <v>0</v>
      </c>
      <c r="J315" s="615">
        <f t="shared" ref="J315:L315" si="194">J313+J314</f>
        <v>4623</v>
      </c>
      <c r="K315" s="615">
        <f t="shared" si="194"/>
        <v>4690</v>
      </c>
      <c r="L315" s="615">
        <f t="shared" si="194"/>
        <v>4794</v>
      </c>
      <c r="N315" s="616"/>
      <c r="O315" s="4"/>
      <c r="Q315" s="4"/>
    </row>
    <row r="316" spans="1:17">
      <c r="A316" s="616" t="s">
        <v>7570</v>
      </c>
      <c r="B316" s="616" t="s">
        <v>15495</v>
      </c>
      <c r="C316" s="4" t="s">
        <v>15516</v>
      </c>
      <c r="D316" s="619">
        <v>0</v>
      </c>
      <c r="E316" s="619">
        <v>0</v>
      </c>
      <c r="F316" s="619">
        <v>0</v>
      </c>
      <c r="G316" s="619">
        <v>0</v>
      </c>
      <c r="H316" s="48">
        <v>0</v>
      </c>
      <c r="I316" s="48">
        <v>0</v>
      </c>
      <c r="J316" s="48">
        <v>4679</v>
      </c>
      <c r="K316" s="48">
        <v>4974</v>
      </c>
      <c r="L316" s="48">
        <v>5108</v>
      </c>
      <c r="N316" s="616" t="s">
        <v>3852</v>
      </c>
      <c r="O316" s="4"/>
      <c r="Q316" s="4"/>
    </row>
    <row r="317" spans="1:17">
      <c r="A317" s="616" t="s">
        <v>7572</v>
      </c>
      <c r="B317" s="616" t="s">
        <v>7876</v>
      </c>
      <c r="C317" s="4" t="s">
        <v>15517</v>
      </c>
      <c r="D317" s="624">
        <v>0</v>
      </c>
      <c r="E317" s="624">
        <v>0</v>
      </c>
      <c r="F317" s="624">
        <v>0</v>
      </c>
      <c r="G317" s="624">
        <v>0</v>
      </c>
      <c r="H317" s="48">
        <v>0</v>
      </c>
      <c r="I317" s="48">
        <v>0</v>
      </c>
      <c r="J317" s="48">
        <v>4548</v>
      </c>
      <c r="K317" s="48">
        <v>4682</v>
      </c>
      <c r="L317" s="48">
        <v>4786</v>
      </c>
      <c r="N317" s="616" t="s">
        <v>3852</v>
      </c>
      <c r="O317" s="4"/>
      <c r="Q317" s="4"/>
    </row>
    <row r="318" spans="1:17">
      <c r="A318" s="616" t="s">
        <v>7573</v>
      </c>
      <c r="B318" s="616" t="s">
        <v>15496</v>
      </c>
      <c r="C318" s="4" t="s">
        <v>15518</v>
      </c>
      <c r="D318" s="624">
        <v>0</v>
      </c>
      <c r="E318" s="624">
        <v>0</v>
      </c>
      <c r="F318" s="624">
        <v>0</v>
      </c>
      <c r="G318" s="624">
        <v>0</v>
      </c>
      <c r="H318" s="48">
        <v>0</v>
      </c>
      <c r="I318" s="48">
        <v>0</v>
      </c>
      <c r="J318" s="48">
        <v>4681</v>
      </c>
      <c r="K318" s="48">
        <v>4769</v>
      </c>
      <c r="L318" s="48">
        <v>4718</v>
      </c>
      <c r="N318" s="616" t="s">
        <v>3844</v>
      </c>
      <c r="O318" s="4"/>
      <c r="Q318" s="4"/>
    </row>
    <row r="319" spans="1:17">
      <c r="D319" s="621"/>
      <c r="E319" s="621"/>
      <c r="F319" s="621"/>
      <c r="G319" s="621"/>
      <c r="H319" s="621"/>
      <c r="I319" s="621"/>
      <c r="J319" s="621"/>
      <c r="K319" s="621"/>
      <c r="L319" s="621"/>
    </row>
    <row r="320" spans="1:17">
      <c r="A320" s="616" t="s">
        <v>5779</v>
      </c>
      <c r="D320" s="619">
        <f t="shared" ref="D320:I320" si="195">SUM(D293:D296)+D298+SUM(D301:D307)+D310+D311+D313+D318</f>
        <v>58861</v>
      </c>
      <c r="E320" s="619">
        <f t="shared" si="195"/>
        <v>58161</v>
      </c>
      <c r="F320" s="619">
        <f t="shared" si="195"/>
        <v>58052</v>
      </c>
      <c r="G320" s="619">
        <f t="shared" si="195"/>
        <v>58185</v>
      </c>
      <c r="H320" s="619">
        <f t="shared" si="195"/>
        <v>56714</v>
      </c>
      <c r="I320" s="619">
        <f t="shared" si="195"/>
        <v>55962</v>
      </c>
      <c r="J320" s="619">
        <f>SUM(J293:J296)+J298+SUM(J301:J307)+J310+J311+J313+J318</f>
        <v>56530</v>
      </c>
      <c r="K320" s="619">
        <f>SUM(K293:K296)+K298+SUM(K301:K307)+K310+K311+K313+K318</f>
        <v>58576</v>
      </c>
      <c r="L320" s="619">
        <f>SUM(L293:L296)+L298+SUM(L301:L307)+L310+L311+L313+L318</f>
        <v>59177</v>
      </c>
    </row>
    <row r="321" spans="1:17">
      <c r="A321" s="616" t="s">
        <v>4043</v>
      </c>
      <c r="D321" s="619">
        <f t="shared" ref="D321:I321" si="196">D292+D297+D299+D300+D308+D312+D314+D316+D317</f>
        <v>39442</v>
      </c>
      <c r="E321" s="619">
        <f t="shared" si="196"/>
        <v>39298</v>
      </c>
      <c r="F321" s="619">
        <f t="shared" si="196"/>
        <v>39489</v>
      </c>
      <c r="G321" s="619">
        <f t="shared" si="196"/>
        <v>39729</v>
      </c>
      <c r="H321" s="619">
        <f t="shared" si="196"/>
        <v>39128</v>
      </c>
      <c r="I321" s="619">
        <f t="shared" si="196"/>
        <v>39024</v>
      </c>
      <c r="J321" s="619">
        <f>J292+J297+J299+J300+J308+J312+J314+J316+J317</f>
        <v>39028</v>
      </c>
      <c r="K321" s="619">
        <f>K292+K297+K299+K300+K308+K312+K314+K316+K317</f>
        <v>40076</v>
      </c>
      <c r="L321" s="619">
        <f>L292+L297+L299+L300+L308+L312+L314+L316+L317</f>
        <v>40445</v>
      </c>
    </row>
    <row r="323" spans="1:17">
      <c r="A323" s="616" t="s">
        <v>15487</v>
      </c>
    </row>
    <row r="324" spans="1:17">
      <c r="A324" s="616"/>
    </row>
    <row r="325" spans="1:17">
      <c r="A325" s="616"/>
    </row>
    <row r="326" spans="1:17">
      <c r="E326" s="42" t="s">
        <v>2303</v>
      </c>
      <c r="F326" s="42"/>
      <c r="G326" s="42"/>
      <c r="H326" s="42"/>
      <c r="I326" s="42"/>
      <c r="J326" s="42"/>
      <c r="K326" s="42"/>
      <c r="L326" s="42"/>
      <c r="M326" s="109"/>
      <c r="N326" s="109" t="s">
        <v>13319</v>
      </c>
    </row>
    <row r="327" spans="1:17">
      <c r="D327" s="110">
        <v>2010</v>
      </c>
      <c r="E327" s="110">
        <v>2011</v>
      </c>
      <c r="F327" s="110">
        <v>2012</v>
      </c>
      <c r="G327" s="110">
        <v>2013</v>
      </c>
      <c r="H327" s="110">
        <v>2014</v>
      </c>
      <c r="I327" s="110">
        <v>2015</v>
      </c>
      <c r="J327" s="110">
        <v>2016</v>
      </c>
      <c r="K327" s="110">
        <v>2017</v>
      </c>
      <c r="L327" s="110">
        <v>2018</v>
      </c>
      <c r="M327" s="109"/>
      <c r="N327" s="112" t="s">
        <v>2304</v>
      </c>
    </row>
    <row r="328" spans="1:17">
      <c r="A328" s="616" t="s">
        <v>1631</v>
      </c>
      <c r="D328" s="619">
        <f t="shared" ref="D328:I328" si="197">SUM(D329:D355)</f>
        <v>77952</v>
      </c>
      <c r="E328" s="619">
        <f t="shared" si="197"/>
        <v>78034</v>
      </c>
      <c r="F328" s="619">
        <f t="shared" si="197"/>
        <v>78178</v>
      </c>
      <c r="G328" s="619">
        <f t="shared" si="197"/>
        <v>78413</v>
      </c>
      <c r="H328" s="619">
        <f t="shared" si="197"/>
        <v>78268</v>
      </c>
      <c r="I328" s="619">
        <f t="shared" si="197"/>
        <v>78277</v>
      </c>
      <c r="J328" s="619">
        <f t="shared" ref="J328:K328" si="198">SUM(J329:J355)</f>
        <v>78211</v>
      </c>
      <c r="K328" s="619">
        <f t="shared" si="198"/>
        <v>78206</v>
      </c>
      <c r="L328" s="619">
        <f t="shared" ref="L328" si="199">SUM(L329:L355)</f>
        <v>78002</v>
      </c>
      <c r="M328" s="619"/>
    </row>
    <row r="329" spans="1:17">
      <c r="A329" s="616" t="s">
        <v>6957</v>
      </c>
      <c r="B329" s="616" t="s">
        <v>1632</v>
      </c>
      <c r="C329" s="4" t="s">
        <v>10654</v>
      </c>
      <c r="D329" s="619">
        <v>1173</v>
      </c>
      <c r="E329" s="619">
        <v>1125</v>
      </c>
      <c r="F329" s="619">
        <v>1120</v>
      </c>
      <c r="G329" s="30">
        <v>1128</v>
      </c>
      <c r="H329" s="30">
        <v>1165</v>
      </c>
      <c r="I329" s="30">
        <v>1133</v>
      </c>
      <c r="J329" s="30">
        <v>1151</v>
      </c>
      <c r="K329" s="30">
        <v>1151</v>
      </c>
      <c r="L329" s="30">
        <v>1137</v>
      </c>
      <c r="N329" s="616" t="s">
        <v>3846</v>
      </c>
      <c r="O329" s="4"/>
      <c r="Q329" s="4"/>
    </row>
    <row r="330" spans="1:17">
      <c r="A330" s="616" t="s">
        <v>6959</v>
      </c>
      <c r="B330" s="616" t="s">
        <v>1633</v>
      </c>
      <c r="C330" s="4" t="s">
        <v>10655</v>
      </c>
      <c r="D330" s="619">
        <v>1365</v>
      </c>
      <c r="E330" s="619">
        <v>1361</v>
      </c>
      <c r="F330" s="619">
        <v>1337</v>
      </c>
      <c r="G330" s="30">
        <v>1375</v>
      </c>
      <c r="H330" s="30">
        <v>1366</v>
      </c>
      <c r="I330" s="30">
        <v>1379</v>
      </c>
      <c r="J330" s="30">
        <v>1376</v>
      </c>
      <c r="K330" s="30">
        <v>1391</v>
      </c>
      <c r="L330" s="30">
        <v>1425</v>
      </c>
      <c r="N330" s="616" t="s">
        <v>3846</v>
      </c>
      <c r="O330" s="4"/>
      <c r="Q330" s="4"/>
    </row>
    <row r="331" spans="1:17">
      <c r="A331" s="616" t="s">
        <v>6961</v>
      </c>
      <c r="B331" s="616" t="s">
        <v>1634</v>
      </c>
      <c r="C331" s="4" t="s">
        <v>10656</v>
      </c>
      <c r="D331" s="619">
        <v>4626</v>
      </c>
      <c r="E331" s="619">
        <v>4630</v>
      </c>
      <c r="F331" s="619">
        <v>4651</v>
      </c>
      <c r="G331" s="30">
        <v>4670</v>
      </c>
      <c r="H331" s="30">
        <v>4647</v>
      </c>
      <c r="I331" s="30">
        <v>4592</v>
      </c>
      <c r="J331" s="30">
        <v>4516</v>
      </c>
      <c r="K331" s="30">
        <v>4566</v>
      </c>
      <c r="L331" s="30">
        <v>4504</v>
      </c>
      <c r="N331" s="616" t="s">
        <v>3846</v>
      </c>
      <c r="O331" s="4"/>
      <c r="Q331" s="4"/>
    </row>
    <row r="332" spans="1:17">
      <c r="A332" s="616" t="s">
        <v>6963</v>
      </c>
      <c r="B332" s="616" t="s">
        <v>1635</v>
      </c>
      <c r="C332" s="4" t="s">
        <v>10657</v>
      </c>
      <c r="D332" s="619">
        <v>1396</v>
      </c>
      <c r="E332" s="619">
        <v>1395</v>
      </c>
      <c r="F332" s="619">
        <v>1410</v>
      </c>
      <c r="G332" s="30">
        <v>1408</v>
      </c>
      <c r="H332" s="30">
        <v>1394</v>
      </c>
      <c r="I332" s="30">
        <v>1395</v>
      </c>
      <c r="J332" s="30">
        <v>1375</v>
      </c>
      <c r="K332" s="30">
        <v>1380</v>
      </c>
      <c r="L332" s="30">
        <v>1373</v>
      </c>
      <c r="N332" s="616" t="s">
        <v>3846</v>
      </c>
      <c r="O332" s="4"/>
      <c r="Q332" s="4"/>
    </row>
    <row r="333" spans="1:17">
      <c r="A333" s="616" t="s">
        <v>6965</v>
      </c>
      <c r="B333" s="616" t="s">
        <v>1636</v>
      </c>
      <c r="C333" s="4" t="s">
        <v>10658</v>
      </c>
      <c r="D333" s="619">
        <v>4251</v>
      </c>
      <c r="E333" s="619">
        <v>4253</v>
      </c>
      <c r="F333" s="619">
        <v>4265</v>
      </c>
      <c r="G333" s="30">
        <v>4240</v>
      </c>
      <c r="H333" s="30">
        <v>4209</v>
      </c>
      <c r="I333" s="30">
        <v>4292</v>
      </c>
      <c r="J333" s="30">
        <v>4391</v>
      </c>
      <c r="K333" s="30">
        <v>4446</v>
      </c>
      <c r="L333" s="30">
        <v>4504</v>
      </c>
      <c r="N333" s="616" t="s">
        <v>3846</v>
      </c>
      <c r="O333" s="4"/>
      <c r="Q333" s="4"/>
    </row>
    <row r="334" spans="1:17">
      <c r="A334" s="616" t="s">
        <v>6997</v>
      </c>
      <c r="B334" s="616" t="s">
        <v>1637</v>
      </c>
      <c r="C334" s="4" t="s">
        <v>10659</v>
      </c>
      <c r="D334" s="619">
        <v>1417</v>
      </c>
      <c r="E334" s="619">
        <v>1408</v>
      </c>
      <c r="F334" s="619">
        <v>1412</v>
      </c>
      <c r="G334" s="30">
        <v>1445</v>
      </c>
      <c r="H334" s="30">
        <v>1447</v>
      </c>
      <c r="I334" s="30">
        <v>1424</v>
      </c>
      <c r="J334" s="30">
        <v>1416</v>
      </c>
      <c r="K334" s="30">
        <v>1433</v>
      </c>
      <c r="L334" s="30">
        <v>1414</v>
      </c>
      <c r="N334" s="616" t="s">
        <v>3846</v>
      </c>
      <c r="O334" s="4"/>
      <c r="Q334" s="4"/>
    </row>
    <row r="335" spans="1:17">
      <c r="A335" s="616" t="s">
        <v>6999</v>
      </c>
      <c r="B335" s="616" t="s">
        <v>1638</v>
      </c>
      <c r="C335" s="4" t="s">
        <v>10660</v>
      </c>
      <c r="D335" s="619">
        <v>4347</v>
      </c>
      <c r="E335" s="619">
        <v>4346</v>
      </c>
      <c r="F335" s="619">
        <v>4294</v>
      </c>
      <c r="G335" s="30">
        <v>4309</v>
      </c>
      <c r="H335" s="30">
        <v>4308</v>
      </c>
      <c r="I335" s="30">
        <v>4299</v>
      </c>
      <c r="J335" s="30">
        <v>4271</v>
      </c>
      <c r="K335" s="30">
        <v>4233</v>
      </c>
      <c r="L335" s="30">
        <v>4169</v>
      </c>
      <c r="N335" s="616" t="s">
        <v>3846</v>
      </c>
      <c r="O335" s="4"/>
      <c r="Q335" s="4"/>
    </row>
    <row r="336" spans="1:17">
      <c r="A336" s="616" t="s">
        <v>7001</v>
      </c>
      <c r="B336" s="616" t="s">
        <v>1639</v>
      </c>
      <c r="C336" s="4" t="s">
        <v>10661</v>
      </c>
      <c r="D336" s="619">
        <v>4013</v>
      </c>
      <c r="E336" s="619">
        <v>4019</v>
      </c>
      <c r="F336" s="619">
        <v>3998</v>
      </c>
      <c r="G336" s="30">
        <v>4038</v>
      </c>
      <c r="H336" s="30">
        <v>4047</v>
      </c>
      <c r="I336" s="30">
        <v>4051</v>
      </c>
      <c r="J336" s="30">
        <v>4005</v>
      </c>
      <c r="K336" s="30">
        <v>4010</v>
      </c>
      <c r="L336" s="30">
        <v>3986</v>
      </c>
      <c r="N336" s="616" t="s">
        <v>3846</v>
      </c>
      <c r="O336" s="4"/>
      <c r="Q336" s="4"/>
    </row>
    <row r="337" spans="1:17">
      <c r="A337" s="616" t="s">
        <v>7003</v>
      </c>
      <c r="B337" s="616" t="s">
        <v>2568</v>
      </c>
      <c r="C337" s="4" t="s">
        <v>10662</v>
      </c>
      <c r="D337" s="619">
        <v>1419</v>
      </c>
      <c r="E337" s="619">
        <v>1428</v>
      </c>
      <c r="F337" s="619">
        <v>1420</v>
      </c>
      <c r="G337" s="30">
        <v>1425</v>
      </c>
      <c r="H337" s="30">
        <v>1420</v>
      </c>
      <c r="I337" s="30">
        <v>1408</v>
      </c>
      <c r="J337" s="30">
        <v>1412</v>
      </c>
      <c r="K337" s="30">
        <v>1433</v>
      </c>
      <c r="L337" s="30">
        <v>1436</v>
      </c>
      <c r="N337" s="616" t="s">
        <v>3846</v>
      </c>
      <c r="O337" s="4"/>
      <c r="Q337" s="4"/>
    </row>
    <row r="338" spans="1:17">
      <c r="A338" s="616" t="s">
        <v>7005</v>
      </c>
      <c r="B338" s="616" t="s">
        <v>2569</v>
      </c>
      <c r="C338" s="4" t="s">
        <v>10663</v>
      </c>
      <c r="D338" s="619">
        <v>2640</v>
      </c>
      <c r="E338" s="619">
        <v>2617</v>
      </c>
      <c r="F338" s="619">
        <v>2648</v>
      </c>
      <c r="G338" s="30">
        <v>2649</v>
      </c>
      <c r="H338" s="30">
        <v>2615</v>
      </c>
      <c r="I338" s="30">
        <v>2602</v>
      </c>
      <c r="J338" s="30">
        <v>2584</v>
      </c>
      <c r="K338" s="30">
        <v>2637</v>
      </c>
      <c r="L338" s="30">
        <v>2622</v>
      </c>
      <c r="N338" s="616" t="s">
        <v>3846</v>
      </c>
      <c r="O338" s="4"/>
      <c r="Q338" s="4"/>
    </row>
    <row r="339" spans="1:17">
      <c r="A339" s="616" t="s">
        <v>7007</v>
      </c>
      <c r="B339" s="616" t="s">
        <v>4262</v>
      </c>
      <c r="C339" s="4" t="s">
        <v>10664</v>
      </c>
      <c r="D339" s="619">
        <v>2782</v>
      </c>
      <c r="E339" s="619">
        <v>2768</v>
      </c>
      <c r="F339" s="619">
        <v>2818</v>
      </c>
      <c r="G339" s="31">
        <v>2786</v>
      </c>
      <c r="H339" s="31">
        <v>2807</v>
      </c>
      <c r="I339" s="31">
        <v>2794</v>
      </c>
      <c r="J339" s="31">
        <v>2771</v>
      </c>
      <c r="K339" s="31">
        <v>2683</v>
      </c>
      <c r="L339" s="31">
        <v>2705</v>
      </c>
      <c r="N339" s="616" t="s">
        <v>3852</v>
      </c>
      <c r="O339" s="4"/>
      <c r="Q339" s="4"/>
    </row>
    <row r="340" spans="1:17">
      <c r="A340" s="616" t="s">
        <v>7009</v>
      </c>
      <c r="B340" s="616" t="s">
        <v>4263</v>
      </c>
      <c r="C340" s="4" t="s">
        <v>10665</v>
      </c>
      <c r="D340" s="619">
        <v>2866</v>
      </c>
      <c r="E340" s="619">
        <v>2888</v>
      </c>
      <c r="F340" s="619">
        <v>2892</v>
      </c>
      <c r="G340" s="31">
        <v>2898</v>
      </c>
      <c r="H340" s="31">
        <v>2932</v>
      </c>
      <c r="I340" s="31">
        <v>2934</v>
      </c>
      <c r="J340" s="31">
        <v>2928</v>
      </c>
      <c r="K340" s="31">
        <v>2903</v>
      </c>
      <c r="L340" s="31">
        <v>2935</v>
      </c>
      <c r="N340" s="616" t="s">
        <v>3852</v>
      </c>
      <c r="O340" s="4"/>
      <c r="Q340" s="4"/>
    </row>
    <row r="341" spans="1:17">
      <c r="A341" s="616" t="s">
        <v>7011</v>
      </c>
      <c r="B341" s="616" t="s">
        <v>4264</v>
      </c>
      <c r="C341" s="4" t="s">
        <v>10666</v>
      </c>
      <c r="D341" s="619">
        <v>4018</v>
      </c>
      <c r="E341" s="619">
        <v>4026</v>
      </c>
      <c r="F341" s="619">
        <v>4064</v>
      </c>
      <c r="G341" s="31">
        <v>4113</v>
      </c>
      <c r="H341" s="31">
        <v>4124</v>
      </c>
      <c r="I341" s="31">
        <v>4102</v>
      </c>
      <c r="J341" s="31">
        <v>4060</v>
      </c>
      <c r="K341" s="31">
        <v>3996</v>
      </c>
      <c r="L341" s="31">
        <v>3966</v>
      </c>
      <c r="N341" s="616" t="s">
        <v>3852</v>
      </c>
      <c r="O341" s="4"/>
      <c r="Q341" s="4"/>
    </row>
    <row r="342" spans="1:17">
      <c r="A342" s="616" t="s">
        <v>7013</v>
      </c>
      <c r="B342" s="616" t="s">
        <v>4265</v>
      </c>
      <c r="C342" s="4" t="s">
        <v>10667</v>
      </c>
      <c r="D342" s="619">
        <v>4511</v>
      </c>
      <c r="E342" s="619">
        <v>4523</v>
      </c>
      <c r="F342" s="619">
        <v>4582</v>
      </c>
      <c r="G342" s="31">
        <v>4618</v>
      </c>
      <c r="H342" s="31">
        <v>4600</v>
      </c>
      <c r="I342" s="31">
        <v>4620</v>
      </c>
      <c r="J342" s="31">
        <v>4612</v>
      </c>
      <c r="K342" s="31">
        <v>4646</v>
      </c>
      <c r="L342" s="31">
        <v>4636</v>
      </c>
      <c r="N342" s="616" t="s">
        <v>3852</v>
      </c>
      <c r="O342" s="4"/>
      <c r="Q342" s="4"/>
    </row>
    <row r="343" spans="1:17">
      <c r="A343" s="616" t="s">
        <v>7015</v>
      </c>
      <c r="B343" s="616" t="s">
        <v>4266</v>
      </c>
      <c r="C343" s="4" t="s">
        <v>10668</v>
      </c>
      <c r="D343" s="619">
        <v>4245</v>
      </c>
      <c r="E343" s="619">
        <v>4321</v>
      </c>
      <c r="F343" s="619">
        <v>4308</v>
      </c>
      <c r="G343" s="30">
        <v>4343</v>
      </c>
      <c r="H343" s="30">
        <v>4340</v>
      </c>
      <c r="I343" s="30">
        <v>4354</v>
      </c>
      <c r="J343" s="30">
        <v>4358</v>
      </c>
      <c r="K343" s="30">
        <v>4322</v>
      </c>
      <c r="L343" s="30">
        <v>4367</v>
      </c>
      <c r="N343" s="616" t="s">
        <v>3846</v>
      </c>
      <c r="O343" s="4"/>
      <c r="Q343" s="4"/>
    </row>
    <row r="344" spans="1:17">
      <c r="A344" s="616" t="s">
        <v>7017</v>
      </c>
      <c r="B344" s="616" t="s">
        <v>2138</v>
      </c>
      <c r="C344" s="4" t="s">
        <v>10669</v>
      </c>
      <c r="D344" s="619">
        <v>2577</v>
      </c>
      <c r="E344" s="619">
        <v>2599</v>
      </c>
      <c r="F344" s="619">
        <v>2610</v>
      </c>
      <c r="G344" s="30">
        <v>2628</v>
      </c>
      <c r="H344" s="30">
        <v>2622</v>
      </c>
      <c r="I344" s="30">
        <v>2602</v>
      </c>
      <c r="J344" s="30">
        <v>2611</v>
      </c>
      <c r="K344" s="30">
        <v>2621</v>
      </c>
      <c r="L344" s="30">
        <v>2623</v>
      </c>
      <c r="N344" s="616" t="s">
        <v>3846</v>
      </c>
      <c r="O344" s="4"/>
      <c r="Q344" s="4"/>
    </row>
    <row r="345" spans="1:17">
      <c r="A345" s="616" t="s">
        <v>7019</v>
      </c>
      <c r="B345" s="616" t="s">
        <v>4150</v>
      </c>
      <c r="C345" s="4" t="s">
        <v>10670</v>
      </c>
      <c r="D345" s="619">
        <v>1268</v>
      </c>
      <c r="E345" s="619">
        <v>1263</v>
      </c>
      <c r="F345" s="619">
        <v>1268</v>
      </c>
      <c r="G345" s="30">
        <v>1261</v>
      </c>
      <c r="H345" s="30">
        <v>1276</v>
      </c>
      <c r="I345" s="30">
        <v>1282</v>
      </c>
      <c r="J345" s="30">
        <v>1275</v>
      </c>
      <c r="K345" s="30">
        <v>1298</v>
      </c>
      <c r="L345" s="30">
        <v>1295</v>
      </c>
      <c r="N345" s="616" t="s">
        <v>3846</v>
      </c>
      <c r="O345" s="4"/>
      <c r="Q345" s="4"/>
    </row>
    <row r="346" spans="1:17">
      <c r="A346" s="616" t="s">
        <v>7021</v>
      </c>
      <c r="B346" s="616" t="s">
        <v>4151</v>
      </c>
      <c r="C346" s="4" t="s">
        <v>10671</v>
      </c>
      <c r="D346" s="619">
        <v>4182</v>
      </c>
      <c r="E346" s="619">
        <v>4173</v>
      </c>
      <c r="F346" s="619">
        <v>4188</v>
      </c>
      <c r="G346" s="31">
        <v>4205</v>
      </c>
      <c r="H346" s="31">
        <v>4162</v>
      </c>
      <c r="I346" s="31">
        <v>4177</v>
      </c>
      <c r="J346" s="31">
        <v>4182</v>
      </c>
      <c r="K346" s="31">
        <v>4158</v>
      </c>
      <c r="L346" s="31">
        <v>4134</v>
      </c>
      <c r="N346" s="616" t="s">
        <v>3852</v>
      </c>
      <c r="O346" s="4"/>
      <c r="Q346" s="4"/>
    </row>
    <row r="347" spans="1:17">
      <c r="A347" s="616" t="s">
        <v>7023</v>
      </c>
      <c r="B347" s="616" t="s">
        <v>4152</v>
      </c>
      <c r="C347" s="4" t="s">
        <v>10672</v>
      </c>
      <c r="D347" s="619">
        <v>1457</v>
      </c>
      <c r="E347" s="619">
        <v>1456</v>
      </c>
      <c r="F347" s="619">
        <v>1457</v>
      </c>
      <c r="G347" s="30">
        <v>1459</v>
      </c>
      <c r="H347" s="30">
        <v>1463</v>
      </c>
      <c r="I347" s="30">
        <v>1475</v>
      </c>
      <c r="J347" s="30">
        <v>1485</v>
      </c>
      <c r="K347" s="30">
        <v>1478</v>
      </c>
      <c r="L347" s="30">
        <v>1489</v>
      </c>
      <c r="N347" s="616" t="s">
        <v>3846</v>
      </c>
      <c r="O347" s="4"/>
      <c r="Q347" s="4"/>
    </row>
    <row r="348" spans="1:17">
      <c r="A348" s="616" t="s">
        <v>7025</v>
      </c>
      <c r="B348" s="616" t="s">
        <v>4153</v>
      </c>
      <c r="C348" s="4" t="s">
        <v>10673</v>
      </c>
      <c r="D348" s="619">
        <v>1517</v>
      </c>
      <c r="E348" s="619">
        <v>1558</v>
      </c>
      <c r="F348" s="619">
        <v>1557</v>
      </c>
      <c r="G348" s="30">
        <v>1571</v>
      </c>
      <c r="H348" s="30">
        <v>1575</v>
      </c>
      <c r="I348" s="30">
        <v>1572</v>
      </c>
      <c r="J348" s="30">
        <v>1572</v>
      </c>
      <c r="K348" s="30">
        <v>1550</v>
      </c>
      <c r="L348" s="30">
        <v>1583</v>
      </c>
      <c r="N348" s="616" t="s">
        <v>3846</v>
      </c>
      <c r="O348" s="4"/>
      <c r="Q348" s="4"/>
    </row>
    <row r="349" spans="1:17">
      <c r="A349" s="616" t="s">
        <v>7570</v>
      </c>
      <c r="B349" s="616" t="s">
        <v>4154</v>
      </c>
      <c r="C349" s="4" t="s">
        <v>10674</v>
      </c>
      <c r="D349" s="619">
        <v>1518</v>
      </c>
      <c r="E349" s="619">
        <v>1521</v>
      </c>
      <c r="F349" s="619">
        <v>1497</v>
      </c>
      <c r="G349" s="31">
        <v>1525</v>
      </c>
      <c r="H349" s="31">
        <v>1527</v>
      </c>
      <c r="I349" s="31">
        <v>1523</v>
      </c>
      <c r="J349" s="31">
        <v>1540</v>
      </c>
      <c r="K349" s="31">
        <v>1528</v>
      </c>
      <c r="L349" s="31">
        <v>1517</v>
      </c>
      <c r="N349" s="616" t="s">
        <v>3846</v>
      </c>
      <c r="O349" s="4"/>
      <c r="Q349" s="4"/>
    </row>
    <row r="350" spans="1:17">
      <c r="A350" s="616" t="s">
        <v>7572</v>
      </c>
      <c r="B350" s="616" t="s">
        <v>4155</v>
      </c>
      <c r="C350" s="4" t="s">
        <v>10675</v>
      </c>
      <c r="D350" s="619">
        <v>3908</v>
      </c>
      <c r="E350" s="619">
        <v>3926</v>
      </c>
      <c r="F350" s="619">
        <v>3985</v>
      </c>
      <c r="G350" s="31">
        <v>3939</v>
      </c>
      <c r="H350" s="31">
        <v>3901</v>
      </c>
      <c r="I350" s="31">
        <v>3895</v>
      </c>
      <c r="J350" s="31">
        <v>3944</v>
      </c>
      <c r="K350" s="31">
        <v>3872</v>
      </c>
      <c r="L350" s="31">
        <v>3850</v>
      </c>
      <c r="N350" s="616" t="s">
        <v>3846</v>
      </c>
      <c r="O350" s="4"/>
      <c r="Q350" s="4"/>
    </row>
    <row r="351" spans="1:17">
      <c r="A351" s="616" t="s">
        <v>7573</v>
      </c>
      <c r="B351" s="616" t="s">
        <v>4156</v>
      </c>
      <c r="C351" s="4" t="s">
        <v>10676</v>
      </c>
      <c r="D351" s="619">
        <v>4135</v>
      </c>
      <c r="E351" s="619">
        <v>4080</v>
      </c>
      <c r="F351" s="619">
        <v>4025</v>
      </c>
      <c r="G351" s="31">
        <v>4037</v>
      </c>
      <c r="H351" s="31">
        <v>4046</v>
      </c>
      <c r="I351" s="31">
        <v>4083</v>
      </c>
      <c r="J351" s="31">
        <v>4110</v>
      </c>
      <c r="K351" s="31">
        <v>4161</v>
      </c>
      <c r="L351" s="31">
        <v>4107</v>
      </c>
      <c r="N351" s="616" t="s">
        <v>3846</v>
      </c>
      <c r="O351" s="4"/>
      <c r="Q351" s="4"/>
    </row>
    <row r="352" spans="1:17">
      <c r="A352" s="616" t="s">
        <v>5798</v>
      </c>
      <c r="B352" s="616" t="s">
        <v>4157</v>
      </c>
      <c r="C352" s="4" t="s">
        <v>10677</v>
      </c>
      <c r="D352" s="619">
        <v>4314</v>
      </c>
      <c r="E352" s="619">
        <v>4374</v>
      </c>
      <c r="F352" s="619">
        <v>4394</v>
      </c>
      <c r="G352" s="31">
        <v>4395</v>
      </c>
      <c r="H352" s="31">
        <v>4377</v>
      </c>
      <c r="I352" s="31">
        <v>4376</v>
      </c>
      <c r="J352" s="31">
        <v>4385</v>
      </c>
      <c r="K352" s="31">
        <v>4407</v>
      </c>
      <c r="L352" s="31">
        <v>4427</v>
      </c>
      <c r="N352" s="616" t="s">
        <v>3846</v>
      </c>
      <c r="O352" s="4"/>
      <c r="Q352" s="4"/>
    </row>
    <row r="353" spans="1:17">
      <c r="A353" s="616" t="s">
        <v>5799</v>
      </c>
      <c r="B353" s="616" t="s">
        <v>4158</v>
      </c>
      <c r="C353" s="4" t="s">
        <v>10678</v>
      </c>
      <c r="D353" s="619">
        <v>3767</v>
      </c>
      <c r="E353" s="619">
        <v>3775</v>
      </c>
      <c r="F353" s="619">
        <v>3785</v>
      </c>
      <c r="G353" s="31">
        <v>3773</v>
      </c>
      <c r="H353" s="31">
        <v>3774</v>
      </c>
      <c r="I353" s="31">
        <v>3775</v>
      </c>
      <c r="J353" s="31">
        <v>3752</v>
      </c>
      <c r="K353" s="31">
        <v>3760</v>
      </c>
      <c r="L353" s="31">
        <v>3661</v>
      </c>
      <c r="N353" s="616" t="s">
        <v>3846</v>
      </c>
      <c r="O353" s="4"/>
      <c r="Q353" s="4"/>
    </row>
    <row r="354" spans="1:17">
      <c r="A354" s="616" t="s">
        <v>5801</v>
      </c>
      <c r="B354" s="616" t="s">
        <v>4159</v>
      </c>
      <c r="C354" s="4" t="s">
        <v>10679</v>
      </c>
      <c r="D354" s="619">
        <v>1528</v>
      </c>
      <c r="E354" s="619">
        <v>1512</v>
      </c>
      <c r="F354" s="619">
        <v>1526</v>
      </c>
      <c r="G354" s="31">
        <v>1503</v>
      </c>
      <c r="H354" s="31">
        <v>1475</v>
      </c>
      <c r="I354" s="31">
        <v>1483</v>
      </c>
      <c r="J354" s="31">
        <v>1485</v>
      </c>
      <c r="K354" s="31">
        <v>1496</v>
      </c>
      <c r="L354" s="31">
        <v>1502</v>
      </c>
      <c r="N354" s="616" t="s">
        <v>3846</v>
      </c>
      <c r="O354" s="4"/>
      <c r="Q354" s="4"/>
    </row>
    <row r="355" spans="1:17">
      <c r="A355" s="616" t="s">
        <v>5927</v>
      </c>
      <c r="B355" s="616" t="s">
        <v>4126</v>
      </c>
      <c r="C355" s="4" t="s">
        <v>10680</v>
      </c>
      <c r="D355" s="619">
        <v>2712</v>
      </c>
      <c r="E355" s="619">
        <v>2689</v>
      </c>
      <c r="F355" s="619">
        <v>2667</v>
      </c>
      <c r="G355" s="31">
        <v>2672</v>
      </c>
      <c r="H355" s="31">
        <v>2649</v>
      </c>
      <c r="I355" s="31">
        <v>2655</v>
      </c>
      <c r="J355" s="31">
        <v>2644</v>
      </c>
      <c r="K355" s="31">
        <v>2647</v>
      </c>
      <c r="L355" s="31">
        <v>2635</v>
      </c>
      <c r="N355" s="616" t="s">
        <v>3846</v>
      </c>
      <c r="O355" s="4"/>
      <c r="Q355" s="4"/>
    </row>
    <row r="356" spans="1:17">
      <c r="D356" s="621"/>
      <c r="E356" s="621"/>
      <c r="F356" s="621"/>
      <c r="G356" s="621"/>
      <c r="H356" s="621"/>
      <c r="I356" s="621"/>
      <c r="J356" s="621"/>
      <c r="K356" s="621"/>
      <c r="L356" s="621"/>
    </row>
    <row r="357" spans="1:17">
      <c r="A357" s="616" t="s">
        <v>4042</v>
      </c>
      <c r="D357" s="619">
        <f t="shared" ref="D357:I357" si="200">SUM(D329:D338)+SUM(D343:D345)+SUM(D347:D355)</f>
        <v>59593</v>
      </c>
      <c r="E357" s="619">
        <f t="shared" si="200"/>
        <v>59656</v>
      </c>
      <c r="F357" s="619">
        <f t="shared" si="200"/>
        <v>59634</v>
      </c>
      <c r="G357" s="619">
        <f t="shared" si="200"/>
        <v>59793</v>
      </c>
      <c r="H357" s="619">
        <f t="shared" si="200"/>
        <v>59643</v>
      </c>
      <c r="I357" s="619">
        <f t="shared" si="200"/>
        <v>59650</v>
      </c>
      <c r="J357" s="619">
        <f t="shared" ref="J357:K357" si="201">SUM(J329:J338)+SUM(J343:J345)+SUM(J347:J355)</f>
        <v>59658</v>
      </c>
      <c r="K357" s="619">
        <f t="shared" si="201"/>
        <v>59820</v>
      </c>
      <c r="L357" s="619">
        <f t="shared" ref="L357" si="202">SUM(L329:L338)+SUM(L343:L345)+SUM(L347:L355)</f>
        <v>59626</v>
      </c>
    </row>
    <row r="358" spans="1:17">
      <c r="A358" s="616" t="s">
        <v>4043</v>
      </c>
      <c r="D358" s="619">
        <f t="shared" ref="D358:I358" si="203">SUM(D339:D342)+D346</f>
        <v>18359</v>
      </c>
      <c r="E358" s="619">
        <f t="shared" si="203"/>
        <v>18378</v>
      </c>
      <c r="F358" s="619">
        <f t="shared" si="203"/>
        <v>18544</v>
      </c>
      <c r="G358" s="619">
        <f t="shared" si="203"/>
        <v>18620</v>
      </c>
      <c r="H358" s="619">
        <f t="shared" si="203"/>
        <v>18625</v>
      </c>
      <c r="I358" s="619">
        <f t="shared" si="203"/>
        <v>18627</v>
      </c>
      <c r="J358" s="619">
        <f t="shared" ref="J358:K358" si="204">SUM(J339:J342)+J346</f>
        <v>18553</v>
      </c>
      <c r="K358" s="619">
        <f t="shared" si="204"/>
        <v>18386</v>
      </c>
      <c r="L358" s="619">
        <f t="shared" ref="L358" si="205">SUM(L339:L342)+L346</f>
        <v>18376</v>
      </c>
    </row>
    <row r="359" spans="1:17">
      <c r="A359" s="616"/>
      <c r="D359" s="619"/>
      <c r="E359" s="619"/>
      <c r="F359" s="619"/>
      <c r="G359" s="619"/>
      <c r="H359" s="619"/>
      <c r="I359" s="619"/>
      <c r="J359" s="619"/>
      <c r="K359" s="619"/>
      <c r="L359" s="619"/>
    </row>
    <row r="360" spans="1:17">
      <c r="A360" s="616" t="s">
        <v>4127</v>
      </c>
      <c r="D360" s="619"/>
      <c r="E360" s="619"/>
      <c r="F360" s="619"/>
      <c r="G360" s="619"/>
      <c r="H360" s="619"/>
      <c r="I360" s="619"/>
      <c r="J360" s="619"/>
      <c r="K360" s="619"/>
      <c r="L360" s="619"/>
    </row>
    <row r="361" spans="1:17">
      <c r="A361" s="616"/>
      <c r="B361" s="616"/>
      <c r="D361" s="625"/>
      <c r="E361" s="625"/>
      <c r="F361" s="625"/>
      <c r="G361" s="625"/>
      <c r="H361" s="625"/>
      <c r="I361" s="625"/>
      <c r="J361" s="625"/>
      <c r="K361" s="625"/>
      <c r="L361" s="625"/>
    </row>
    <row r="362" spans="1:17">
      <c r="A362" s="616"/>
      <c r="B362" s="616"/>
      <c r="D362" s="625"/>
      <c r="E362" s="625"/>
      <c r="F362" s="625"/>
      <c r="G362" s="625"/>
      <c r="H362" s="625"/>
      <c r="I362" s="625"/>
      <c r="J362" s="625"/>
      <c r="K362" s="625"/>
      <c r="L362" s="625"/>
    </row>
    <row r="363" spans="1:17">
      <c r="E363" s="42" t="s">
        <v>2303</v>
      </c>
      <c r="F363" s="42"/>
      <c r="G363" s="42"/>
      <c r="H363" s="42"/>
      <c r="I363" s="42"/>
      <c r="J363" s="42"/>
      <c r="K363" s="42"/>
      <c r="L363" s="42"/>
      <c r="M363" s="109"/>
      <c r="N363" s="109" t="s">
        <v>13319</v>
      </c>
    </row>
    <row r="364" spans="1:17">
      <c r="D364" s="110">
        <v>2010</v>
      </c>
      <c r="E364" s="110">
        <v>2011</v>
      </c>
      <c r="F364" s="110">
        <v>2012</v>
      </c>
      <c r="G364" s="110">
        <v>2013</v>
      </c>
      <c r="H364" s="110">
        <v>2014</v>
      </c>
      <c r="I364" s="110">
        <v>2015</v>
      </c>
      <c r="J364" s="110">
        <v>2016</v>
      </c>
      <c r="K364" s="110">
        <v>2017</v>
      </c>
      <c r="L364" s="110">
        <v>2018</v>
      </c>
      <c r="M364" s="109"/>
      <c r="N364" s="112" t="s">
        <v>2304</v>
      </c>
    </row>
    <row r="365" spans="1:17">
      <c r="A365" s="616" t="s">
        <v>4128</v>
      </c>
      <c r="D365" s="619">
        <f t="shared" ref="D365:I365" si="206">SUM(D366:D375)</f>
        <v>57698</v>
      </c>
      <c r="E365" s="619">
        <f t="shared" si="206"/>
        <v>58138</v>
      </c>
      <c r="F365" s="619">
        <f t="shared" si="206"/>
        <v>57750</v>
      </c>
      <c r="G365" s="619">
        <f t="shared" si="206"/>
        <v>58132</v>
      </c>
      <c r="H365" s="619">
        <f t="shared" si="206"/>
        <v>57352</v>
      </c>
      <c r="I365" s="619">
        <f t="shared" si="206"/>
        <v>56462</v>
      </c>
      <c r="J365" s="619">
        <f t="shared" ref="J365:K365" si="207">SUM(J366:J375)</f>
        <v>56689</v>
      </c>
      <c r="K365" s="619">
        <f t="shared" si="207"/>
        <v>57019</v>
      </c>
      <c r="L365" s="619">
        <f t="shared" ref="L365" si="208">SUM(L366:L375)</f>
        <v>57315</v>
      </c>
    </row>
    <row r="366" spans="1:17">
      <c r="A366" s="616" t="s">
        <v>6957</v>
      </c>
      <c r="B366" s="616" t="s">
        <v>4129</v>
      </c>
      <c r="C366" s="4" t="s">
        <v>10681</v>
      </c>
      <c r="D366" s="619">
        <v>5966</v>
      </c>
      <c r="E366" s="619">
        <v>5937</v>
      </c>
      <c r="F366" s="619">
        <v>5868</v>
      </c>
      <c r="G366" s="48">
        <v>5894</v>
      </c>
      <c r="H366" s="48">
        <v>5826</v>
      </c>
      <c r="I366" s="30">
        <v>5688</v>
      </c>
      <c r="J366" s="30">
        <v>5756</v>
      </c>
      <c r="K366" s="30">
        <v>5800</v>
      </c>
      <c r="L366" s="30">
        <v>5781</v>
      </c>
      <c r="N366" s="616" t="s">
        <v>3853</v>
      </c>
      <c r="O366" s="4"/>
      <c r="Q366" s="4"/>
    </row>
    <row r="367" spans="1:17">
      <c r="A367" s="616" t="s">
        <v>6959</v>
      </c>
      <c r="B367" s="616" t="s">
        <v>5155</v>
      </c>
      <c r="C367" s="4" t="s">
        <v>10682</v>
      </c>
      <c r="D367" s="619">
        <v>5513</v>
      </c>
      <c r="E367" s="619">
        <v>5694</v>
      </c>
      <c r="F367" s="619">
        <v>5669</v>
      </c>
      <c r="G367" s="48">
        <v>5817</v>
      </c>
      <c r="H367" s="48">
        <v>5734</v>
      </c>
      <c r="I367" s="30">
        <v>5618</v>
      </c>
      <c r="J367" s="30">
        <v>5666</v>
      </c>
      <c r="K367" s="30">
        <v>5735</v>
      </c>
      <c r="L367" s="30">
        <v>5807</v>
      </c>
      <c r="N367" s="616" t="s">
        <v>3853</v>
      </c>
      <c r="O367" s="4"/>
      <c r="Q367" s="4"/>
    </row>
    <row r="368" spans="1:17">
      <c r="A368" s="616" t="s">
        <v>6961</v>
      </c>
      <c r="B368" s="616" t="s">
        <v>4130</v>
      </c>
      <c r="C368" s="4" t="s">
        <v>10683</v>
      </c>
      <c r="D368" s="619">
        <v>5762</v>
      </c>
      <c r="E368" s="619">
        <v>5821</v>
      </c>
      <c r="F368" s="619">
        <v>5800</v>
      </c>
      <c r="G368" s="48">
        <v>5823</v>
      </c>
      <c r="H368" s="48">
        <v>5741</v>
      </c>
      <c r="I368" s="30">
        <v>5585</v>
      </c>
      <c r="J368" s="30">
        <v>5680</v>
      </c>
      <c r="K368" s="30">
        <v>5700</v>
      </c>
      <c r="L368" s="30">
        <v>5702</v>
      </c>
      <c r="N368" s="616" t="s">
        <v>3853</v>
      </c>
      <c r="O368" s="4"/>
      <c r="Q368" s="4"/>
    </row>
    <row r="369" spans="1:17">
      <c r="A369" s="616" t="s">
        <v>6963</v>
      </c>
      <c r="B369" s="616" t="s">
        <v>7588</v>
      </c>
      <c r="C369" s="4" t="s">
        <v>10684</v>
      </c>
      <c r="D369" s="619">
        <v>5575</v>
      </c>
      <c r="E369" s="619">
        <v>5614</v>
      </c>
      <c r="F369" s="619">
        <v>5570</v>
      </c>
      <c r="G369" s="48">
        <v>5593</v>
      </c>
      <c r="H369" s="48">
        <v>5450</v>
      </c>
      <c r="I369" s="30">
        <v>5317</v>
      </c>
      <c r="J369" s="30">
        <v>5443</v>
      </c>
      <c r="K369" s="30">
        <v>5470</v>
      </c>
      <c r="L369" s="30">
        <v>5514</v>
      </c>
      <c r="N369" s="616" t="s">
        <v>3853</v>
      </c>
      <c r="O369" s="4"/>
      <c r="Q369" s="4"/>
    </row>
    <row r="370" spans="1:17">
      <c r="A370" s="616" t="s">
        <v>6965</v>
      </c>
      <c r="B370" s="616" t="s">
        <v>4131</v>
      </c>
      <c r="C370" s="4" t="s">
        <v>10685</v>
      </c>
      <c r="D370" s="619">
        <v>5539</v>
      </c>
      <c r="E370" s="619">
        <v>5622</v>
      </c>
      <c r="F370" s="619">
        <v>5530</v>
      </c>
      <c r="G370" s="48">
        <v>5615</v>
      </c>
      <c r="H370" s="48">
        <v>5520</v>
      </c>
      <c r="I370" s="30">
        <v>5534</v>
      </c>
      <c r="J370" s="30">
        <v>5519</v>
      </c>
      <c r="K370" s="30">
        <v>5516</v>
      </c>
      <c r="L370" s="30">
        <v>5524</v>
      </c>
      <c r="N370" s="616" t="s">
        <v>3853</v>
      </c>
      <c r="O370" s="4"/>
      <c r="Q370" s="4"/>
    </row>
    <row r="371" spans="1:17">
      <c r="A371" s="616" t="s">
        <v>6997</v>
      </c>
      <c r="B371" s="616" t="s">
        <v>4132</v>
      </c>
      <c r="C371" s="4" t="s">
        <v>10686</v>
      </c>
      <c r="D371" s="619">
        <v>5205</v>
      </c>
      <c r="E371" s="619">
        <v>5203</v>
      </c>
      <c r="F371" s="619">
        <v>5223</v>
      </c>
      <c r="G371" s="48">
        <v>5240</v>
      </c>
      <c r="H371" s="48">
        <v>5190</v>
      </c>
      <c r="I371" s="30">
        <v>5159</v>
      </c>
      <c r="J371" s="30">
        <v>5179</v>
      </c>
      <c r="K371" s="30">
        <v>5178</v>
      </c>
      <c r="L371" s="30">
        <v>5169</v>
      </c>
      <c r="N371" s="616" t="s">
        <v>3853</v>
      </c>
      <c r="O371" s="4"/>
      <c r="Q371" s="4"/>
    </row>
    <row r="372" spans="1:17">
      <c r="A372" s="616" t="s">
        <v>6999</v>
      </c>
      <c r="B372" s="616" t="s">
        <v>4133</v>
      </c>
      <c r="C372" s="4" t="s">
        <v>10687</v>
      </c>
      <c r="D372" s="619">
        <v>5482</v>
      </c>
      <c r="E372" s="619">
        <v>5488</v>
      </c>
      <c r="F372" s="619">
        <v>5464</v>
      </c>
      <c r="G372" s="48">
        <v>5467</v>
      </c>
      <c r="H372" s="48">
        <v>5416</v>
      </c>
      <c r="I372" s="30">
        <v>5348</v>
      </c>
      <c r="J372" s="30">
        <v>5372</v>
      </c>
      <c r="K372" s="30">
        <v>5446</v>
      </c>
      <c r="L372" s="30">
        <v>5457</v>
      </c>
      <c r="N372" s="616" t="s">
        <v>3853</v>
      </c>
      <c r="O372" s="4"/>
      <c r="Q372" s="4"/>
    </row>
    <row r="373" spans="1:17">
      <c r="A373" s="616" t="s">
        <v>7001</v>
      </c>
      <c r="B373" s="616" t="s">
        <v>4134</v>
      </c>
      <c r="C373" s="4" t="s">
        <v>10688</v>
      </c>
      <c r="D373" s="619">
        <v>5752</v>
      </c>
      <c r="E373" s="619">
        <v>5765</v>
      </c>
      <c r="F373" s="619">
        <v>5754</v>
      </c>
      <c r="G373" s="48">
        <v>5782</v>
      </c>
      <c r="H373" s="48">
        <v>5704</v>
      </c>
      <c r="I373" s="30">
        <v>5595</v>
      </c>
      <c r="J373" s="30">
        <v>5608</v>
      </c>
      <c r="K373" s="30">
        <v>5663</v>
      </c>
      <c r="L373" s="30">
        <v>5775</v>
      </c>
      <c r="N373" s="616" t="s">
        <v>3853</v>
      </c>
      <c r="O373" s="4"/>
      <c r="Q373" s="4"/>
    </row>
    <row r="374" spans="1:17">
      <c r="A374" s="616" t="s">
        <v>7003</v>
      </c>
      <c r="B374" s="616" t="s">
        <v>5546</v>
      </c>
      <c r="C374" s="4" t="s">
        <v>10689</v>
      </c>
      <c r="D374" s="619">
        <v>5943</v>
      </c>
      <c r="E374" s="619">
        <v>5958</v>
      </c>
      <c r="F374" s="619">
        <v>5941</v>
      </c>
      <c r="G374" s="48">
        <v>5994</v>
      </c>
      <c r="H374" s="48">
        <v>5914</v>
      </c>
      <c r="I374" s="30">
        <v>5894</v>
      </c>
      <c r="J374" s="30">
        <v>5843</v>
      </c>
      <c r="K374" s="30">
        <v>5828</v>
      </c>
      <c r="L374" s="30">
        <v>5860</v>
      </c>
      <c r="N374" s="616" t="s">
        <v>3853</v>
      </c>
      <c r="O374" s="4"/>
      <c r="Q374" s="4"/>
    </row>
    <row r="375" spans="1:17">
      <c r="A375" s="616" t="s">
        <v>7005</v>
      </c>
      <c r="B375" s="616" t="s">
        <v>4135</v>
      </c>
      <c r="C375" s="4" t="s">
        <v>10690</v>
      </c>
      <c r="D375" s="619">
        <v>6961</v>
      </c>
      <c r="E375" s="619">
        <v>7036</v>
      </c>
      <c r="F375" s="619">
        <v>6931</v>
      </c>
      <c r="G375" s="48">
        <v>6907</v>
      </c>
      <c r="H375" s="48">
        <v>6857</v>
      </c>
      <c r="I375" s="30">
        <v>6724</v>
      </c>
      <c r="J375" s="30">
        <v>6623</v>
      </c>
      <c r="K375" s="30">
        <v>6683</v>
      </c>
      <c r="L375" s="30">
        <v>6726</v>
      </c>
      <c r="N375" s="616" t="s">
        <v>3853</v>
      </c>
      <c r="O375" s="4"/>
      <c r="Q375" s="4"/>
    </row>
    <row r="376" spans="1:17">
      <c r="D376" s="621"/>
      <c r="E376" s="621"/>
      <c r="F376" s="621"/>
      <c r="G376" s="621"/>
      <c r="H376" s="621"/>
      <c r="I376" s="621"/>
      <c r="J376" s="621"/>
      <c r="K376" s="621"/>
      <c r="L376" s="621"/>
    </row>
    <row r="377" spans="1:17">
      <c r="A377" s="616" t="s">
        <v>2493</v>
      </c>
      <c r="D377" s="619">
        <f t="shared" ref="D377:L377" si="209">SUM(D366:D375)</f>
        <v>57698</v>
      </c>
      <c r="E377" s="619">
        <f t="shared" si="209"/>
        <v>58138</v>
      </c>
      <c r="F377" s="619">
        <f t="shared" si="209"/>
        <v>57750</v>
      </c>
      <c r="G377" s="619">
        <f t="shared" si="209"/>
        <v>58132</v>
      </c>
      <c r="H377" s="619">
        <f t="shared" si="209"/>
        <v>57352</v>
      </c>
      <c r="I377" s="619">
        <f t="shared" si="209"/>
        <v>56462</v>
      </c>
      <c r="J377" s="619">
        <f t="shared" si="209"/>
        <v>56689</v>
      </c>
      <c r="K377" s="619">
        <f t="shared" si="209"/>
        <v>57019</v>
      </c>
      <c r="L377" s="619">
        <f t="shared" si="209"/>
        <v>57315</v>
      </c>
    </row>
    <row r="379" spans="1:17">
      <c r="A379" s="617" t="s">
        <v>4136</v>
      </c>
    </row>
  </sheetData>
  <sortState ref="O329:Q355">
    <sortCondition ref="O32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r:id="rId1"/>
  <headerFooter alignWithMargins="0">
    <oddFooter>&amp;C&amp;"Times New Roman,Regular"&amp;8&amp;P of &amp;N</oddFooter>
  </headerFooter>
  <ignoredErrors>
    <ignoredError sqref="D377:K377 D365:K365 D283:D284 D256:K256 D152:K152 D175:D176 D328:K328 D357:D358 D145:K145 D128:K128 D3:D15 E175:E176 E357:E358 E283:E284 E3:E15 F175:F176 F283:F284 F357:F358 F3:F15 D114:F114 D90:K90 D69:F78 F47:F61 F44:F45 F41:F42 F40 F43 F46 G175:G176 G69:G78 G114:G118 G283:G284 G357:G358 G3:G15 D16:D17 E16:E17 F16:F17 G16:G17 D19:D61 E19:E61 F19:F39 G19:G61 D18:G18 H114:K114 H71:H78 H175:H176 H357:H358 H283:H284 H3:H15 H16:H61 I283:I284 I175:I176 I357:I358 I71:J71 I74:J74 I78:K78 I3:I61 D197:K197 D209:K209 D212:I212 D211:I211 D183:K183 D309:K309 D315:K315 D320:I321 D291:K291 J175:J176 J283:J284 J357:J358 J320:J321 J211:J212 J3:J61 K211:K212 K175:K176 K320:K321 K357:K358 K283:K284 K71:K74 K3:K61 D219:K219 L3:L97 D68:K68 L99:L377 G120 K120 J120 I120 H120 D120:F120 D119:K119 D121:K121" unlockedFormula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8"/>
  <sheetViews>
    <sheetView showGridLines="0" zoomScaleNormal="100" workbookViewId="0"/>
  </sheetViews>
  <sheetFormatPr defaultColWidth="12.5703125" defaultRowHeight="15"/>
  <cols>
    <col min="1" max="1" width="4.85546875" style="428" customWidth="1"/>
    <col min="2" max="2" width="35.85546875" style="428" customWidth="1"/>
    <col min="3" max="3" width="11.5703125" style="428" customWidth="1"/>
    <col min="4" max="12" width="10" style="428" customWidth="1"/>
    <col min="13" max="13" width="2.28515625" style="428" customWidth="1"/>
    <col min="14" max="14" width="33.28515625" style="428" customWidth="1"/>
    <col min="15" max="16384" width="12.5703125" style="428"/>
  </cols>
  <sheetData>
    <row r="1" spans="1:14">
      <c r="A1" s="427" t="s">
        <v>8847</v>
      </c>
      <c r="D1" s="805">
        <v>2010</v>
      </c>
      <c r="E1" s="805">
        <v>2011</v>
      </c>
      <c r="F1" s="805">
        <v>2012</v>
      </c>
      <c r="G1" s="805">
        <v>2013</v>
      </c>
      <c r="H1" s="805">
        <v>2014</v>
      </c>
      <c r="I1" s="805">
        <v>2015</v>
      </c>
      <c r="J1" s="805">
        <v>2016</v>
      </c>
      <c r="K1" s="805">
        <v>2017</v>
      </c>
      <c r="L1" s="805">
        <v>2018</v>
      </c>
    </row>
    <row r="3" spans="1:14">
      <c r="A3" s="427" t="s">
        <v>4137</v>
      </c>
      <c r="D3" s="433">
        <f t="shared" ref="D3:I3" si="0">SUM(D17:D42)</f>
        <v>140914</v>
      </c>
      <c r="E3" s="433">
        <f t="shared" si="0"/>
        <v>141854</v>
      </c>
      <c r="F3" s="433">
        <f t="shared" si="0"/>
        <v>142275</v>
      </c>
      <c r="G3" s="433">
        <f t="shared" si="0"/>
        <v>143110</v>
      </c>
      <c r="H3" s="433">
        <f t="shared" si="0"/>
        <v>143108</v>
      </c>
      <c r="I3" s="433">
        <f t="shared" si="0"/>
        <v>138618</v>
      </c>
      <c r="J3" s="433">
        <f t="shared" ref="J3:K3" si="1">SUM(J17:J42)</f>
        <v>137838</v>
      </c>
      <c r="K3" s="433">
        <f t="shared" si="1"/>
        <v>139921</v>
      </c>
      <c r="L3" s="433">
        <f t="shared" ref="L3" si="2">SUM(L17:L42)</f>
        <v>139721</v>
      </c>
    </row>
    <row r="4" spans="1:14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>
      <c r="A5" s="427" t="s">
        <v>3520</v>
      </c>
      <c r="D5" s="429">
        <f t="shared" ref="D5:I5" si="3">D3/2</f>
        <v>70457</v>
      </c>
      <c r="E5" s="429">
        <f t="shared" si="3"/>
        <v>70927</v>
      </c>
      <c r="F5" s="429">
        <f t="shared" si="3"/>
        <v>71137.5</v>
      </c>
      <c r="G5" s="429">
        <f t="shared" si="3"/>
        <v>71555</v>
      </c>
      <c r="H5" s="429">
        <f t="shared" si="3"/>
        <v>71554</v>
      </c>
      <c r="I5" s="429">
        <f t="shared" si="3"/>
        <v>69309</v>
      </c>
      <c r="J5" s="429">
        <f t="shared" ref="J5:K5" si="4">J3/2</f>
        <v>68919</v>
      </c>
      <c r="K5" s="429">
        <f t="shared" si="4"/>
        <v>69960.5</v>
      </c>
      <c r="L5" s="429">
        <f t="shared" ref="L5" si="5">L3/2</f>
        <v>69860.5</v>
      </c>
    </row>
    <row r="6" spans="1:14">
      <c r="D6" s="431"/>
      <c r="E6" s="431"/>
      <c r="F6" s="431"/>
      <c r="G6" s="431"/>
      <c r="H6" s="431"/>
      <c r="I6" s="431"/>
      <c r="J6" s="431"/>
      <c r="K6" s="431"/>
      <c r="L6" s="431"/>
    </row>
    <row r="7" spans="1:14">
      <c r="A7" s="427" t="s">
        <v>4138</v>
      </c>
      <c r="D7" s="429">
        <f t="shared" ref="D7:I7" si="6">SUM(D17:D21)+D26+SUM(D31:D35)+D37+D39+D41</f>
        <v>66990</v>
      </c>
      <c r="E7" s="429">
        <f t="shared" si="6"/>
        <v>67333</v>
      </c>
      <c r="F7" s="429">
        <f t="shared" si="6"/>
        <v>67600</v>
      </c>
      <c r="G7" s="429">
        <f t="shared" si="6"/>
        <v>67650</v>
      </c>
      <c r="H7" s="429">
        <f t="shared" si="6"/>
        <v>67408</v>
      </c>
      <c r="I7" s="429">
        <f t="shared" si="6"/>
        <v>64885</v>
      </c>
      <c r="J7" s="429">
        <f t="shared" ref="J7:K7" si="7">SUM(J17:J21)+J26+SUM(J31:J35)+J37+J39+J41</f>
        <v>64617</v>
      </c>
      <c r="K7" s="429">
        <f t="shared" si="7"/>
        <v>65594</v>
      </c>
      <c r="L7" s="429">
        <f t="shared" ref="L7" si="8">SUM(L17:L21)+L26+SUM(L31:L35)+L37+L39+L41</f>
        <v>65023</v>
      </c>
      <c r="N7" s="427" t="s">
        <v>4139</v>
      </c>
    </row>
    <row r="8" spans="1:14">
      <c r="D8" s="431"/>
      <c r="E8" s="431"/>
      <c r="F8" s="431"/>
      <c r="G8" s="431"/>
      <c r="H8" s="431"/>
      <c r="I8" s="431"/>
      <c r="J8" s="431"/>
      <c r="K8" s="431"/>
      <c r="L8" s="431"/>
    </row>
    <row r="9" spans="1:14">
      <c r="A9" s="427" t="s">
        <v>5884</v>
      </c>
      <c r="D9" s="429">
        <f t="shared" ref="D9:I9" si="9">SUM(D22:D25)+SUM(D27:D30)+D36+D38+D40+D42</f>
        <v>73924</v>
      </c>
      <c r="E9" s="429">
        <f t="shared" si="9"/>
        <v>74521</v>
      </c>
      <c r="F9" s="429">
        <f t="shared" si="9"/>
        <v>74675</v>
      </c>
      <c r="G9" s="429">
        <f t="shared" si="9"/>
        <v>75460</v>
      </c>
      <c r="H9" s="429">
        <f t="shared" si="9"/>
        <v>75700</v>
      </c>
      <c r="I9" s="429">
        <f t="shared" si="9"/>
        <v>73733</v>
      </c>
      <c r="J9" s="429">
        <f t="shared" ref="J9:K9" si="10">SUM(J22:J25)+SUM(J27:J30)+J36+J38+J40+J42</f>
        <v>73221</v>
      </c>
      <c r="K9" s="429">
        <f t="shared" si="10"/>
        <v>74327</v>
      </c>
      <c r="L9" s="429">
        <f t="shared" ref="L9" si="11">SUM(L22:L25)+SUM(L27:L30)+L36+L38+L40+L42</f>
        <v>74698</v>
      </c>
      <c r="N9" s="427" t="s">
        <v>4139</v>
      </c>
    </row>
    <row r="10" spans="1:14">
      <c r="D10" s="431"/>
      <c r="E10" s="431"/>
      <c r="F10" s="431"/>
      <c r="G10" s="431"/>
      <c r="H10" s="431"/>
      <c r="I10" s="431"/>
      <c r="J10" s="431"/>
      <c r="K10" s="431"/>
      <c r="L10" s="431"/>
    </row>
    <row r="11" spans="1:14">
      <c r="A11" s="427" t="s">
        <v>8697</v>
      </c>
      <c r="D11" s="429">
        <f t="shared" ref="D11:I11" si="12">D7+D9</f>
        <v>140914</v>
      </c>
      <c r="E11" s="429">
        <f t="shared" si="12"/>
        <v>141854</v>
      </c>
      <c r="F11" s="429">
        <f t="shared" si="12"/>
        <v>142275</v>
      </c>
      <c r="G11" s="429">
        <f t="shared" si="12"/>
        <v>143110</v>
      </c>
      <c r="H11" s="429">
        <f t="shared" si="12"/>
        <v>143108</v>
      </c>
      <c r="I11" s="429">
        <f t="shared" si="12"/>
        <v>138618</v>
      </c>
      <c r="J11" s="429">
        <f t="shared" ref="J11:K11" si="13">J7+J9</f>
        <v>137838</v>
      </c>
      <c r="K11" s="429">
        <f t="shared" si="13"/>
        <v>139921</v>
      </c>
      <c r="L11" s="429">
        <f t="shared" ref="L11" si="14">L7+L9</f>
        <v>139721</v>
      </c>
    </row>
    <row r="12" spans="1:14">
      <c r="D12" s="431"/>
      <c r="E12" s="431"/>
      <c r="F12" s="431"/>
      <c r="G12" s="431"/>
      <c r="H12" s="431"/>
      <c r="I12" s="431"/>
      <c r="J12" s="431"/>
      <c r="K12" s="431"/>
      <c r="L12" s="431"/>
    </row>
    <row r="13" spans="1:14">
      <c r="A13" s="427" t="s">
        <v>8698</v>
      </c>
      <c r="D13" s="429">
        <f t="shared" ref="D13:I13" si="15">MAX(D7,D9)-MIN(D7,D9)</f>
        <v>6934</v>
      </c>
      <c r="E13" s="429">
        <f t="shared" si="15"/>
        <v>7188</v>
      </c>
      <c r="F13" s="429">
        <f t="shared" si="15"/>
        <v>7075</v>
      </c>
      <c r="G13" s="429">
        <f t="shared" si="15"/>
        <v>7810</v>
      </c>
      <c r="H13" s="429">
        <f t="shared" si="15"/>
        <v>8292</v>
      </c>
      <c r="I13" s="429">
        <f t="shared" si="15"/>
        <v>8848</v>
      </c>
      <c r="J13" s="429">
        <f t="shared" ref="J13:K13" si="16">MAX(J7,J9)-MIN(J7,J9)</f>
        <v>8604</v>
      </c>
      <c r="K13" s="429">
        <f t="shared" si="16"/>
        <v>8733</v>
      </c>
      <c r="L13" s="429">
        <f t="shared" ref="L13" si="17">MAX(L7,L9)-MIN(L7,L9)</f>
        <v>9675</v>
      </c>
    </row>
    <row r="14" spans="1:14">
      <c r="D14" s="431"/>
      <c r="E14" s="431"/>
      <c r="F14" s="431"/>
      <c r="G14" s="431"/>
      <c r="H14" s="431"/>
      <c r="I14" s="431"/>
      <c r="J14" s="431"/>
      <c r="K14" s="431"/>
      <c r="L14" s="431"/>
    </row>
    <row r="15" spans="1:14">
      <c r="A15" s="427" t="s">
        <v>8701</v>
      </c>
      <c r="D15" s="429">
        <f t="shared" ref="D15:I15" si="18">STDEVP(D7,D9)</f>
        <v>3467</v>
      </c>
      <c r="E15" s="429">
        <f t="shared" si="18"/>
        <v>3594</v>
      </c>
      <c r="F15" s="429">
        <f t="shared" si="18"/>
        <v>3537.5</v>
      </c>
      <c r="G15" s="429">
        <f t="shared" si="18"/>
        <v>3905</v>
      </c>
      <c r="H15" s="429">
        <f t="shared" si="18"/>
        <v>4146</v>
      </c>
      <c r="I15" s="429">
        <f t="shared" si="18"/>
        <v>4424</v>
      </c>
      <c r="J15" s="429">
        <f t="shared" ref="J15:K15" si="19">STDEVP(J7,J9)</f>
        <v>4302</v>
      </c>
      <c r="K15" s="429">
        <f t="shared" si="19"/>
        <v>4366.5</v>
      </c>
      <c r="L15" s="429">
        <f t="shared" ref="L15" si="20">STDEVP(L7,L9)</f>
        <v>4837.5</v>
      </c>
    </row>
    <row r="17" spans="1:18">
      <c r="A17" s="427" t="s">
        <v>6957</v>
      </c>
      <c r="B17" s="427" t="s">
        <v>5885</v>
      </c>
      <c r="C17" s="4" t="s">
        <v>7506</v>
      </c>
      <c r="D17" s="429">
        <v>5260</v>
      </c>
      <c r="E17" s="429">
        <v>5267</v>
      </c>
      <c r="F17" s="429">
        <v>5319</v>
      </c>
      <c r="G17" s="429">
        <v>5332</v>
      </c>
      <c r="H17" s="30">
        <v>5257</v>
      </c>
      <c r="I17" s="30">
        <v>5094</v>
      </c>
      <c r="J17" s="30">
        <v>5136</v>
      </c>
      <c r="K17" s="30">
        <v>5292</v>
      </c>
      <c r="L17" s="30">
        <v>5190</v>
      </c>
      <c r="N17" s="427" t="s">
        <v>4138</v>
      </c>
      <c r="P17" s="4"/>
      <c r="R17" s="4"/>
    </row>
    <row r="18" spans="1:18">
      <c r="A18" s="427" t="s">
        <v>6959</v>
      </c>
      <c r="B18" s="427" t="s">
        <v>4267</v>
      </c>
      <c r="C18" s="4" t="s">
        <v>8274</v>
      </c>
      <c r="D18" s="429">
        <v>5168</v>
      </c>
      <c r="E18" s="429">
        <v>5321</v>
      </c>
      <c r="F18" s="429">
        <v>5366</v>
      </c>
      <c r="G18" s="429">
        <v>5288</v>
      </c>
      <c r="H18" s="30">
        <v>5307</v>
      </c>
      <c r="I18" s="30">
        <v>5035</v>
      </c>
      <c r="J18" s="30">
        <v>4935</v>
      </c>
      <c r="K18" s="30">
        <v>4985</v>
      </c>
      <c r="L18" s="30">
        <v>4869</v>
      </c>
      <c r="N18" s="427" t="s">
        <v>4138</v>
      </c>
      <c r="P18" s="4"/>
      <c r="R18" s="4"/>
    </row>
    <row r="19" spans="1:18">
      <c r="A19" s="427" t="s">
        <v>6961</v>
      </c>
      <c r="B19" s="427" t="s">
        <v>4268</v>
      </c>
      <c r="C19" s="4" t="s">
        <v>8275</v>
      </c>
      <c r="D19" s="429">
        <v>7335</v>
      </c>
      <c r="E19" s="429">
        <v>7324</v>
      </c>
      <c r="F19" s="429">
        <v>7318</v>
      </c>
      <c r="G19" s="429">
        <v>7264</v>
      </c>
      <c r="H19" s="30">
        <v>7185</v>
      </c>
      <c r="I19" s="30">
        <v>7069</v>
      </c>
      <c r="J19" s="30">
        <v>6943</v>
      </c>
      <c r="K19" s="30">
        <v>6996</v>
      </c>
      <c r="L19" s="30">
        <v>6931</v>
      </c>
      <c r="N19" s="427" t="s">
        <v>4138</v>
      </c>
      <c r="P19" s="4"/>
      <c r="R19" s="4"/>
    </row>
    <row r="20" spans="1:18">
      <c r="A20" s="427" t="s">
        <v>6963</v>
      </c>
      <c r="B20" s="427" t="s">
        <v>4269</v>
      </c>
      <c r="C20" s="4" t="s">
        <v>8276</v>
      </c>
      <c r="D20" s="429">
        <v>4884</v>
      </c>
      <c r="E20" s="429">
        <v>4972</v>
      </c>
      <c r="F20" s="429">
        <v>4885</v>
      </c>
      <c r="G20" s="429">
        <v>4926</v>
      </c>
      <c r="H20" s="30">
        <v>4956</v>
      </c>
      <c r="I20" s="30">
        <v>4730</v>
      </c>
      <c r="J20" s="30">
        <v>4671</v>
      </c>
      <c r="K20" s="30">
        <v>4710</v>
      </c>
      <c r="L20" s="30">
        <v>4677</v>
      </c>
      <c r="N20" s="427" t="s">
        <v>4138</v>
      </c>
      <c r="P20" s="4"/>
      <c r="R20" s="4"/>
    </row>
    <row r="21" spans="1:18">
      <c r="A21" s="427" t="s">
        <v>6965</v>
      </c>
      <c r="B21" s="427" t="s">
        <v>4270</v>
      </c>
      <c r="C21" s="4" t="s">
        <v>8277</v>
      </c>
      <c r="D21" s="429">
        <v>4850</v>
      </c>
      <c r="E21" s="429">
        <v>4828</v>
      </c>
      <c r="F21" s="429">
        <v>4766</v>
      </c>
      <c r="G21" s="429">
        <v>4778</v>
      </c>
      <c r="H21" s="30">
        <v>4660</v>
      </c>
      <c r="I21" s="30">
        <v>4588</v>
      </c>
      <c r="J21" s="30">
        <v>4521</v>
      </c>
      <c r="K21" s="30">
        <v>4573</v>
      </c>
      <c r="L21" s="30">
        <v>4484</v>
      </c>
      <c r="N21" s="427" t="s">
        <v>4138</v>
      </c>
      <c r="P21" s="4"/>
      <c r="R21" s="4"/>
    </row>
    <row r="22" spans="1:18">
      <c r="A22" s="427" t="s">
        <v>6997</v>
      </c>
      <c r="B22" s="427" t="s">
        <v>4289</v>
      </c>
      <c r="C22" s="4" t="s">
        <v>8278</v>
      </c>
      <c r="D22" s="429">
        <v>5316</v>
      </c>
      <c r="E22" s="429">
        <v>5304</v>
      </c>
      <c r="F22" s="429">
        <v>5225</v>
      </c>
      <c r="G22" s="429">
        <v>5254</v>
      </c>
      <c r="H22" s="30">
        <v>5202</v>
      </c>
      <c r="I22" s="30">
        <v>5069</v>
      </c>
      <c r="J22" s="30">
        <v>5023</v>
      </c>
      <c r="K22" s="30">
        <v>5045</v>
      </c>
      <c r="L22" s="30">
        <v>4981</v>
      </c>
      <c r="N22" s="427" t="s">
        <v>5884</v>
      </c>
      <c r="P22" s="4"/>
      <c r="R22" s="4"/>
    </row>
    <row r="23" spans="1:18">
      <c r="A23" s="427" t="s">
        <v>6999</v>
      </c>
      <c r="B23" s="427" t="s">
        <v>4290</v>
      </c>
      <c r="C23" s="4" t="s">
        <v>8279</v>
      </c>
      <c r="D23" s="429">
        <v>8274</v>
      </c>
      <c r="E23" s="429">
        <v>8288</v>
      </c>
      <c r="F23" s="429">
        <v>8369</v>
      </c>
      <c r="G23" s="429">
        <v>8354</v>
      </c>
      <c r="H23" s="31">
        <v>8283</v>
      </c>
      <c r="I23" s="31">
        <v>8105</v>
      </c>
      <c r="J23" s="31">
        <v>7912</v>
      </c>
      <c r="K23" s="31">
        <v>8059</v>
      </c>
      <c r="L23" s="31">
        <v>8124</v>
      </c>
      <c r="N23" s="427" t="s">
        <v>5884</v>
      </c>
      <c r="P23" s="4"/>
      <c r="R23" s="4"/>
    </row>
    <row r="24" spans="1:18">
      <c r="A24" s="427" t="s">
        <v>7001</v>
      </c>
      <c r="B24" s="427" t="s">
        <v>2937</v>
      </c>
      <c r="C24" s="4" t="s">
        <v>8280</v>
      </c>
      <c r="D24" s="429">
        <v>4849</v>
      </c>
      <c r="E24" s="429">
        <v>4837</v>
      </c>
      <c r="F24" s="429">
        <v>4797</v>
      </c>
      <c r="G24" s="429">
        <v>4764</v>
      </c>
      <c r="H24" s="31">
        <v>4717</v>
      </c>
      <c r="I24" s="31">
        <v>4591</v>
      </c>
      <c r="J24" s="31">
        <v>4535</v>
      </c>
      <c r="K24" s="31">
        <v>4549</v>
      </c>
      <c r="L24" s="31">
        <v>4580</v>
      </c>
      <c r="N24" s="427" t="s">
        <v>5884</v>
      </c>
      <c r="P24" s="4"/>
      <c r="R24" s="4"/>
    </row>
    <row r="25" spans="1:18">
      <c r="A25" s="427" t="s">
        <v>7003</v>
      </c>
      <c r="B25" s="427" t="s">
        <v>2524</v>
      </c>
      <c r="C25" s="4" t="s">
        <v>8281</v>
      </c>
      <c r="D25" s="429">
        <v>5344</v>
      </c>
      <c r="E25" s="429">
        <v>5324</v>
      </c>
      <c r="F25" s="429">
        <v>5344</v>
      </c>
      <c r="G25" s="429">
        <v>5293</v>
      </c>
      <c r="H25" s="31">
        <v>5300</v>
      </c>
      <c r="I25" s="31">
        <v>5222</v>
      </c>
      <c r="J25" s="31">
        <v>5133</v>
      </c>
      <c r="K25" s="31">
        <v>5184</v>
      </c>
      <c r="L25" s="31">
        <v>5154</v>
      </c>
      <c r="N25" s="427" t="s">
        <v>5884</v>
      </c>
      <c r="P25" s="4"/>
      <c r="R25" s="4"/>
    </row>
    <row r="26" spans="1:18">
      <c r="A26" s="427" t="s">
        <v>7005</v>
      </c>
      <c r="B26" s="427" t="s">
        <v>15730</v>
      </c>
      <c r="C26" s="4" t="s">
        <v>8282</v>
      </c>
      <c r="D26" s="429">
        <v>4717</v>
      </c>
      <c r="E26" s="429">
        <v>4842</v>
      </c>
      <c r="F26" s="429">
        <v>4876</v>
      </c>
      <c r="G26" s="429">
        <v>4973</v>
      </c>
      <c r="H26" s="30">
        <v>4972</v>
      </c>
      <c r="I26" s="30">
        <v>4704</v>
      </c>
      <c r="J26" s="30">
        <v>4813</v>
      </c>
      <c r="K26" s="30">
        <v>5083</v>
      </c>
      <c r="L26" s="30">
        <v>5046</v>
      </c>
      <c r="N26" s="427" t="s">
        <v>4138</v>
      </c>
      <c r="P26" s="4"/>
      <c r="R26" s="4"/>
    </row>
    <row r="27" spans="1:18">
      <c r="A27" s="427" t="s">
        <v>7007</v>
      </c>
      <c r="B27" s="427" t="s">
        <v>2525</v>
      </c>
      <c r="C27" s="4" t="s">
        <v>8283</v>
      </c>
      <c r="D27" s="429">
        <v>5490</v>
      </c>
      <c r="E27" s="429">
        <v>5480</v>
      </c>
      <c r="F27" s="429">
        <v>5446</v>
      </c>
      <c r="G27" s="429">
        <v>5467</v>
      </c>
      <c r="H27" s="31">
        <v>5425</v>
      </c>
      <c r="I27" s="31">
        <v>5348</v>
      </c>
      <c r="J27" s="31">
        <v>5256</v>
      </c>
      <c r="K27" s="31">
        <v>5226</v>
      </c>
      <c r="L27" s="31">
        <v>5234</v>
      </c>
      <c r="N27" s="427" t="s">
        <v>5884</v>
      </c>
      <c r="P27" s="4"/>
      <c r="R27" s="4"/>
    </row>
    <row r="28" spans="1:18">
      <c r="A28" s="427" t="s">
        <v>7009</v>
      </c>
      <c r="B28" s="427" t="s">
        <v>2526</v>
      </c>
      <c r="C28" s="4" t="s">
        <v>8284</v>
      </c>
      <c r="D28" s="429">
        <v>7369</v>
      </c>
      <c r="E28" s="429">
        <v>7498</v>
      </c>
      <c r="F28" s="429">
        <v>7654</v>
      </c>
      <c r="G28" s="429">
        <v>7753</v>
      </c>
      <c r="H28" s="31">
        <v>7766</v>
      </c>
      <c r="I28" s="31">
        <v>7630</v>
      </c>
      <c r="J28" s="31">
        <v>7467</v>
      </c>
      <c r="K28" s="31">
        <v>7661</v>
      </c>
      <c r="L28" s="31">
        <v>7710</v>
      </c>
      <c r="N28" s="427" t="s">
        <v>5884</v>
      </c>
      <c r="P28" s="4"/>
      <c r="R28" s="4"/>
    </row>
    <row r="29" spans="1:18">
      <c r="A29" s="427" t="s">
        <v>7011</v>
      </c>
      <c r="B29" s="427" t="s">
        <v>2527</v>
      </c>
      <c r="C29" s="4" t="s">
        <v>8285</v>
      </c>
      <c r="D29" s="429">
        <v>7330</v>
      </c>
      <c r="E29" s="429">
        <v>7457</v>
      </c>
      <c r="F29" s="429">
        <v>7564</v>
      </c>
      <c r="G29" s="429">
        <v>7759</v>
      </c>
      <c r="H29" s="31">
        <v>8042</v>
      </c>
      <c r="I29" s="31">
        <v>8074</v>
      </c>
      <c r="J29" s="31">
        <v>8184</v>
      </c>
      <c r="K29" s="31">
        <v>8609</v>
      </c>
      <c r="L29" s="31">
        <v>8894</v>
      </c>
      <c r="N29" s="427" t="s">
        <v>5884</v>
      </c>
      <c r="P29" s="4"/>
      <c r="R29" s="4"/>
    </row>
    <row r="30" spans="1:18">
      <c r="A30" s="427" t="s">
        <v>7013</v>
      </c>
      <c r="B30" s="427" t="s">
        <v>2528</v>
      </c>
      <c r="C30" s="4" t="s">
        <v>8286</v>
      </c>
      <c r="D30" s="429">
        <v>7318</v>
      </c>
      <c r="E30" s="429">
        <v>7557</v>
      </c>
      <c r="F30" s="429">
        <v>7422</v>
      </c>
      <c r="G30" s="429">
        <v>7743</v>
      </c>
      <c r="H30" s="31">
        <v>7841</v>
      </c>
      <c r="I30" s="31">
        <v>7226</v>
      </c>
      <c r="J30" s="31">
        <v>7267</v>
      </c>
      <c r="K30" s="31">
        <v>7204</v>
      </c>
      <c r="L30" s="31">
        <v>7101</v>
      </c>
      <c r="N30" s="427" t="s">
        <v>5884</v>
      </c>
      <c r="P30" s="4"/>
      <c r="R30" s="4"/>
    </row>
    <row r="31" spans="1:18">
      <c r="A31" s="427" t="s">
        <v>7015</v>
      </c>
      <c r="B31" s="427" t="s">
        <v>8435</v>
      </c>
      <c r="C31" s="4" t="s">
        <v>8287</v>
      </c>
      <c r="D31" s="429">
        <v>5013</v>
      </c>
      <c r="E31" s="429">
        <v>4954</v>
      </c>
      <c r="F31" s="429">
        <v>5065</v>
      </c>
      <c r="G31" s="429">
        <v>5058</v>
      </c>
      <c r="H31" s="30">
        <v>5048</v>
      </c>
      <c r="I31" s="30">
        <v>4803</v>
      </c>
      <c r="J31" s="30">
        <v>4771</v>
      </c>
      <c r="K31" s="30">
        <v>4783</v>
      </c>
      <c r="L31" s="30">
        <v>4741</v>
      </c>
      <c r="N31" s="427" t="s">
        <v>4138</v>
      </c>
      <c r="P31" s="4"/>
      <c r="R31" s="4"/>
    </row>
    <row r="32" spans="1:18">
      <c r="A32" s="427" t="s">
        <v>7017</v>
      </c>
      <c r="B32" s="427" t="s">
        <v>2529</v>
      </c>
      <c r="C32" s="4" t="s">
        <v>8288</v>
      </c>
      <c r="D32" s="429">
        <v>2690</v>
      </c>
      <c r="E32" s="429">
        <v>2695</v>
      </c>
      <c r="F32" s="429">
        <v>2671</v>
      </c>
      <c r="G32" s="429">
        <v>2728</v>
      </c>
      <c r="H32" s="30">
        <v>2879</v>
      </c>
      <c r="I32" s="30">
        <v>2887</v>
      </c>
      <c r="J32" s="30">
        <v>2954</v>
      </c>
      <c r="K32" s="30">
        <v>3022</v>
      </c>
      <c r="L32" s="30">
        <v>3082</v>
      </c>
      <c r="N32" s="427" t="s">
        <v>4138</v>
      </c>
      <c r="P32" s="4"/>
      <c r="R32" s="4"/>
    </row>
    <row r="33" spans="1:18">
      <c r="A33" s="427" t="s">
        <v>7019</v>
      </c>
      <c r="B33" s="427" t="s">
        <v>8570</v>
      </c>
      <c r="C33" s="4" t="s">
        <v>8289</v>
      </c>
      <c r="D33" s="429">
        <v>4981</v>
      </c>
      <c r="E33" s="429">
        <v>5036</v>
      </c>
      <c r="F33" s="429">
        <v>5097</v>
      </c>
      <c r="G33" s="429">
        <v>5070</v>
      </c>
      <c r="H33" s="30">
        <v>5020</v>
      </c>
      <c r="I33" s="30">
        <v>4803</v>
      </c>
      <c r="J33" s="30">
        <v>4767</v>
      </c>
      <c r="K33" s="30">
        <v>4807</v>
      </c>
      <c r="L33" s="30">
        <v>4692</v>
      </c>
      <c r="N33" s="427" t="s">
        <v>4138</v>
      </c>
      <c r="P33" s="4"/>
      <c r="R33" s="4"/>
    </row>
    <row r="34" spans="1:18">
      <c r="A34" s="427" t="s">
        <v>7021</v>
      </c>
      <c r="B34" s="427" t="s">
        <v>8571</v>
      </c>
      <c r="C34" s="4" t="s">
        <v>8290</v>
      </c>
      <c r="D34" s="429">
        <v>5014</v>
      </c>
      <c r="E34" s="429">
        <v>4896</v>
      </c>
      <c r="F34" s="429">
        <v>4845</v>
      </c>
      <c r="G34" s="429">
        <v>4763</v>
      </c>
      <c r="H34" s="30">
        <v>4661</v>
      </c>
      <c r="I34" s="30">
        <v>4488</v>
      </c>
      <c r="J34" s="30">
        <v>4517</v>
      </c>
      <c r="K34" s="30">
        <v>4589</v>
      </c>
      <c r="L34" s="30">
        <v>4650</v>
      </c>
      <c r="N34" s="427" t="s">
        <v>4138</v>
      </c>
      <c r="P34" s="4"/>
      <c r="R34" s="4"/>
    </row>
    <row r="35" spans="1:18">
      <c r="A35" s="427" t="s">
        <v>7023</v>
      </c>
      <c r="B35" s="427" t="s">
        <v>8268</v>
      </c>
      <c r="C35" s="4" t="s">
        <v>8291</v>
      </c>
      <c r="D35" s="429">
        <v>5175</v>
      </c>
      <c r="E35" s="429">
        <v>5206</v>
      </c>
      <c r="F35" s="429">
        <v>5232</v>
      </c>
      <c r="G35" s="429">
        <v>5199</v>
      </c>
      <c r="H35" s="30">
        <v>5183</v>
      </c>
      <c r="I35" s="30">
        <v>5084</v>
      </c>
      <c r="J35" s="30">
        <v>5062</v>
      </c>
      <c r="K35" s="30">
        <v>5105</v>
      </c>
      <c r="L35" s="30">
        <v>5075</v>
      </c>
      <c r="N35" s="427" t="s">
        <v>4138</v>
      </c>
      <c r="P35" s="4"/>
      <c r="R35" s="4"/>
    </row>
    <row r="36" spans="1:18">
      <c r="A36" s="427" t="s">
        <v>7025</v>
      </c>
      <c r="B36" s="427" t="s">
        <v>2530</v>
      </c>
      <c r="C36" s="4" t="s">
        <v>8292</v>
      </c>
      <c r="D36" s="429">
        <v>4859</v>
      </c>
      <c r="E36" s="429">
        <v>4953</v>
      </c>
      <c r="F36" s="429">
        <v>5054</v>
      </c>
      <c r="G36" s="429">
        <v>5089</v>
      </c>
      <c r="H36" s="31">
        <v>5132</v>
      </c>
      <c r="I36" s="31">
        <v>4973</v>
      </c>
      <c r="J36" s="31">
        <v>5117</v>
      </c>
      <c r="K36" s="31">
        <v>5324</v>
      </c>
      <c r="L36" s="31">
        <v>5480</v>
      </c>
      <c r="N36" s="427" t="s">
        <v>5884</v>
      </c>
      <c r="P36" s="4"/>
      <c r="R36" s="4"/>
    </row>
    <row r="37" spans="1:18">
      <c r="A37" s="427" t="s">
        <v>7570</v>
      </c>
      <c r="B37" s="427" t="s">
        <v>2531</v>
      </c>
      <c r="C37" s="4" t="s">
        <v>8293</v>
      </c>
      <c r="D37" s="429">
        <v>5169</v>
      </c>
      <c r="E37" s="429">
        <v>5156</v>
      </c>
      <c r="F37" s="429">
        <v>5223</v>
      </c>
      <c r="G37" s="429">
        <v>5288</v>
      </c>
      <c r="H37" s="30">
        <v>5169</v>
      </c>
      <c r="I37" s="30">
        <v>4943</v>
      </c>
      <c r="J37" s="30">
        <v>4922</v>
      </c>
      <c r="K37" s="30">
        <v>5002</v>
      </c>
      <c r="L37" s="30">
        <v>4958</v>
      </c>
      <c r="N37" s="427" t="s">
        <v>4138</v>
      </c>
      <c r="P37" s="4"/>
      <c r="R37" s="4"/>
    </row>
    <row r="38" spans="1:18">
      <c r="A38" s="427" t="s">
        <v>7572</v>
      </c>
      <c r="B38" s="427" t="s">
        <v>1649</v>
      </c>
      <c r="C38" s="4" t="s">
        <v>8294</v>
      </c>
      <c r="D38" s="429">
        <v>4777</v>
      </c>
      <c r="E38" s="429">
        <v>4835</v>
      </c>
      <c r="F38" s="429">
        <v>4853</v>
      </c>
      <c r="G38" s="429">
        <v>4876</v>
      </c>
      <c r="H38" s="31">
        <v>4910</v>
      </c>
      <c r="I38" s="31">
        <v>4784</v>
      </c>
      <c r="J38" s="31">
        <v>4740</v>
      </c>
      <c r="K38" s="31">
        <v>4749</v>
      </c>
      <c r="L38" s="31">
        <v>4654</v>
      </c>
      <c r="N38" s="427" t="s">
        <v>5884</v>
      </c>
      <c r="P38" s="4"/>
      <c r="R38" s="4"/>
    </row>
    <row r="39" spans="1:18">
      <c r="A39" s="427" t="s">
        <v>7573</v>
      </c>
      <c r="B39" s="427" t="s">
        <v>1650</v>
      </c>
      <c r="C39" s="4" t="s">
        <v>8295</v>
      </c>
      <c r="D39" s="429">
        <v>4120</v>
      </c>
      <c r="E39" s="429">
        <v>4206</v>
      </c>
      <c r="F39" s="429">
        <v>4283</v>
      </c>
      <c r="G39" s="429">
        <v>4268</v>
      </c>
      <c r="H39" s="30">
        <v>4391</v>
      </c>
      <c r="I39" s="30">
        <v>3991</v>
      </c>
      <c r="J39" s="30">
        <v>3971</v>
      </c>
      <c r="K39" s="30">
        <v>3999</v>
      </c>
      <c r="L39" s="30">
        <v>3970</v>
      </c>
      <c r="N39" s="427" t="s">
        <v>4138</v>
      </c>
      <c r="P39" s="4"/>
      <c r="R39" s="4"/>
    </row>
    <row r="40" spans="1:18">
      <c r="A40" s="427" t="s">
        <v>5798</v>
      </c>
      <c r="B40" s="427" t="s">
        <v>5182</v>
      </c>
      <c r="C40" s="4" t="s">
        <v>8296</v>
      </c>
      <c r="D40" s="429">
        <v>5222</v>
      </c>
      <c r="E40" s="429">
        <v>5232</v>
      </c>
      <c r="F40" s="429">
        <v>5227</v>
      </c>
      <c r="G40" s="429">
        <v>5377</v>
      </c>
      <c r="H40" s="31">
        <v>5421</v>
      </c>
      <c r="I40" s="31">
        <v>5298</v>
      </c>
      <c r="J40" s="31">
        <v>5202</v>
      </c>
      <c r="K40" s="31">
        <v>5206</v>
      </c>
      <c r="L40" s="31">
        <v>5132</v>
      </c>
      <c r="N40" s="427" t="s">
        <v>5884</v>
      </c>
      <c r="P40" s="4"/>
      <c r="R40" s="4"/>
    </row>
    <row r="41" spans="1:18">
      <c r="A41" s="427" t="s">
        <v>5799</v>
      </c>
      <c r="B41" s="427" t="s">
        <v>1651</v>
      </c>
      <c r="C41" s="4" t="s">
        <v>8297</v>
      </c>
      <c r="D41" s="429">
        <v>2614</v>
      </c>
      <c r="E41" s="429">
        <v>2630</v>
      </c>
      <c r="F41" s="429">
        <v>2654</v>
      </c>
      <c r="G41" s="429">
        <v>2715</v>
      </c>
      <c r="H41" s="30">
        <v>2720</v>
      </c>
      <c r="I41" s="30">
        <v>2666</v>
      </c>
      <c r="J41" s="30">
        <v>2634</v>
      </c>
      <c r="K41" s="30">
        <v>2648</v>
      </c>
      <c r="L41" s="30">
        <v>2658</v>
      </c>
      <c r="N41" s="427" t="s">
        <v>4138</v>
      </c>
      <c r="P41" s="4"/>
      <c r="R41" s="4"/>
    </row>
    <row r="42" spans="1:18">
      <c r="A42" s="427" t="s">
        <v>5801</v>
      </c>
      <c r="B42" s="427" t="s">
        <v>1652</v>
      </c>
      <c r="C42" s="4" t="s">
        <v>8298</v>
      </c>
      <c r="D42" s="431">
        <v>7776</v>
      </c>
      <c r="E42" s="431">
        <v>7756</v>
      </c>
      <c r="F42" s="431">
        <v>7720</v>
      </c>
      <c r="G42" s="431">
        <v>7731</v>
      </c>
      <c r="H42" s="31">
        <v>7661</v>
      </c>
      <c r="I42" s="31">
        <v>7413</v>
      </c>
      <c r="J42" s="31">
        <v>7385</v>
      </c>
      <c r="K42" s="31">
        <v>7511</v>
      </c>
      <c r="L42" s="31">
        <v>7654</v>
      </c>
      <c r="N42" s="427" t="s">
        <v>5884</v>
      </c>
      <c r="P42" s="4"/>
      <c r="R42" s="4"/>
    </row>
    <row r="43" spans="1:18">
      <c r="D43" s="431"/>
      <c r="E43" s="431"/>
      <c r="F43" s="431"/>
      <c r="G43" s="431"/>
      <c r="H43" s="431"/>
      <c r="I43" s="431"/>
      <c r="J43" s="431"/>
      <c r="K43" s="431"/>
      <c r="L43" s="431"/>
    </row>
    <row r="44" spans="1:18">
      <c r="A44" s="427" t="s">
        <v>1653</v>
      </c>
    </row>
    <row r="48" spans="1:18">
      <c r="A48" s="427"/>
    </row>
  </sheetData>
  <sortState ref="O17:Q42">
    <sortCondition ref="O1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5 H3:H4 H5:H15 I3:I15 J3:J15 K3:K15 L3:L15" unlocked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87"/>
  <sheetViews>
    <sheetView showGridLines="0" zoomScaleNormal="100" workbookViewId="0"/>
  </sheetViews>
  <sheetFormatPr defaultColWidth="12.5703125" defaultRowHeight="15"/>
  <cols>
    <col min="1" max="1" width="4.85546875" style="714" customWidth="1"/>
    <col min="2" max="2" width="36.28515625" style="714" customWidth="1"/>
    <col min="3" max="3" width="11.5703125" style="714" customWidth="1"/>
    <col min="4" max="12" width="10" style="714" customWidth="1"/>
    <col min="13" max="13" width="2.28515625" style="714" customWidth="1"/>
    <col min="14" max="14" width="35.85546875" style="714" customWidth="1"/>
    <col min="15" max="16384" width="12.5703125" style="714"/>
  </cols>
  <sheetData>
    <row r="1" spans="1:14">
      <c r="A1" s="713" t="s">
        <v>8847</v>
      </c>
      <c r="D1" s="715">
        <v>2010</v>
      </c>
      <c r="E1" s="715">
        <v>2011</v>
      </c>
      <c r="F1" s="715">
        <v>2012</v>
      </c>
      <c r="G1" s="715">
        <v>2013</v>
      </c>
      <c r="H1" s="715">
        <v>2014</v>
      </c>
      <c r="I1" s="715">
        <v>2015</v>
      </c>
      <c r="J1" s="715">
        <v>2016</v>
      </c>
      <c r="K1" s="715">
        <v>2017</v>
      </c>
      <c r="L1" s="715">
        <v>2018</v>
      </c>
    </row>
    <row r="3" spans="1:14">
      <c r="A3" s="713" t="s">
        <v>3432</v>
      </c>
      <c r="D3" s="716">
        <f t="shared" ref="D3:I3" si="0">SUM(D5:D11)</f>
        <v>540234</v>
      </c>
      <c r="E3" s="716">
        <f t="shared" si="0"/>
        <v>542492</v>
      </c>
      <c r="F3" s="716">
        <f t="shared" si="0"/>
        <v>545498</v>
      </c>
      <c r="G3" s="716">
        <f t="shared" si="0"/>
        <v>547291</v>
      </c>
      <c r="H3" s="716">
        <f t="shared" si="0"/>
        <v>542550</v>
      </c>
      <c r="I3" s="716">
        <f t="shared" si="0"/>
        <v>536556</v>
      </c>
      <c r="J3" s="716">
        <f t="shared" ref="J3:K3" si="1">SUM(J5:J11)</f>
        <v>526217</v>
      </c>
      <c r="K3" s="716">
        <f t="shared" si="1"/>
        <v>545536</v>
      </c>
      <c r="L3" s="716">
        <f t="shared" ref="L3" si="2">SUM(L5:L11)</f>
        <v>548393</v>
      </c>
    </row>
    <row r="4" spans="1:14">
      <c r="D4" s="717"/>
      <c r="E4" s="717"/>
      <c r="F4" s="717"/>
      <c r="G4" s="717"/>
      <c r="H4" s="717"/>
      <c r="I4" s="717"/>
      <c r="J4" s="717"/>
      <c r="K4" s="717"/>
      <c r="L4" s="717"/>
    </row>
    <row r="5" spans="1:14">
      <c r="A5" s="713" t="s">
        <v>1654</v>
      </c>
      <c r="C5" s="713"/>
      <c r="D5" s="716">
        <f t="shared" ref="D5:I5" si="3">D49</f>
        <v>69365</v>
      </c>
      <c r="E5" s="716">
        <f t="shared" si="3"/>
        <v>69609</v>
      </c>
      <c r="F5" s="716">
        <f t="shared" si="3"/>
        <v>69910</v>
      </c>
      <c r="G5" s="716">
        <f t="shared" si="3"/>
        <v>70307</v>
      </c>
      <c r="H5" s="716">
        <f t="shared" si="3"/>
        <v>70322</v>
      </c>
      <c r="I5" s="716">
        <f t="shared" si="3"/>
        <v>69094</v>
      </c>
      <c r="J5" s="716">
        <f t="shared" ref="J5:K5" si="4">J49</f>
        <v>68206</v>
      </c>
      <c r="K5" s="716">
        <f t="shared" si="4"/>
        <v>71175</v>
      </c>
      <c r="L5" s="716">
        <f t="shared" ref="L5" si="5">L49</f>
        <v>71840</v>
      </c>
      <c r="N5" s="718"/>
    </row>
    <row r="6" spans="1:14">
      <c r="A6" s="713" t="s">
        <v>1655</v>
      </c>
      <c r="C6" s="713"/>
      <c r="D6" s="716">
        <f t="shared" ref="D6:I6" si="6">D86</f>
        <v>36178</v>
      </c>
      <c r="E6" s="716">
        <f t="shared" si="6"/>
        <v>37584</v>
      </c>
      <c r="F6" s="716">
        <f t="shared" si="6"/>
        <v>37950</v>
      </c>
      <c r="G6" s="716">
        <f t="shared" si="6"/>
        <v>38412</v>
      </c>
      <c r="H6" s="716">
        <f t="shared" si="6"/>
        <v>37709</v>
      </c>
      <c r="I6" s="716">
        <f t="shared" si="6"/>
        <v>37485</v>
      </c>
      <c r="J6" s="716">
        <f t="shared" ref="J6:K6" si="7">J86</f>
        <v>36057</v>
      </c>
      <c r="K6" s="716">
        <f t="shared" si="7"/>
        <v>38139</v>
      </c>
      <c r="L6" s="716">
        <f t="shared" ref="L6" si="8">L86</f>
        <v>37771</v>
      </c>
      <c r="N6" s="718"/>
    </row>
    <row r="7" spans="1:14">
      <c r="A7" s="713" t="s">
        <v>1656</v>
      </c>
      <c r="C7" s="713"/>
      <c r="D7" s="716">
        <f t="shared" ref="D7:I7" si="9">D109</f>
        <v>94748</v>
      </c>
      <c r="E7" s="716">
        <f t="shared" si="9"/>
        <v>93141</v>
      </c>
      <c r="F7" s="716">
        <f t="shared" si="9"/>
        <v>94517</v>
      </c>
      <c r="G7" s="716">
        <f t="shared" si="9"/>
        <v>94107</v>
      </c>
      <c r="H7" s="716">
        <f t="shared" si="9"/>
        <v>93983</v>
      </c>
      <c r="I7" s="716">
        <f t="shared" si="9"/>
        <v>90508</v>
      </c>
      <c r="J7" s="716">
        <f t="shared" ref="J7:K7" si="10">J109</f>
        <v>87527</v>
      </c>
      <c r="K7" s="716">
        <f t="shared" si="10"/>
        <v>89624</v>
      </c>
      <c r="L7" s="716">
        <f t="shared" ref="L7" si="11">L109</f>
        <v>90544</v>
      </c>
      <c r="N7" s="718"/>
    </row>
    <row r="8" spans="1:14">
      <c r="A8" s="713" t="s">
        <v>1657</v>
      </c>
      <c r="C8" s="713"/>
      <c r="D8" s="716">
        <f t="shared" ref="D8:I8" si="12">D135</f>
        <v>74950</v>
      </c>
      <c r="E8" s="716">
        <f t="shared" si="12"/>
        <v>75670</v>
      </c>
      <c r="F8" s="716">
        <f t="shared" si="12"/>
        <v>76313</v>
      </c>
      <c r="G8" s="716">
        <f t="shared" si="12"/>
        <v>76721</v>
      </c>
      <c r="H8" s="716">
        <f t="shared" si="12"/>
        <v>76808</v>
      </c>
      <c r="I8" s="716">
        <f t="shared" si="12"/>
        <v>76023</v>
      </c>
      <c r="J8" s="716">
        <f t="shared" ref="J8:K8" si="13">J135</f>
        <v>76018</v>
      </c>
      <c r="K8" s="716">
        <f t="shared" si="13"/>
        <v>79484</v>
      </c>
      <c r="L8" s="716">
        <f t="shared" ref="L8" si="14">L135</f>
        <v>80113</v>
      </c>
      <c r="N8" s="718"/>
    </row>
    <row r="9" spans="1:14">
      <c r="A9" s="713" t="s">
        <v>4292</v>
      </c>
      <c r="C9" s="713"/>
      <c r="D9" s="716">
        <f t="shared" ref="D9:I9" si="15">D175</f>
        <v>79908</v>
      </c>
      <c r="E9" s="716">
        <f t="shared" si="15"/>
        <v>81408</v>
      </c>
      <c r="F9" s="716">
        <f t="shared" si="15"/>
        <v>81039</v>
      </c>
      <c r="G9" s="716">
        <f t="shared" si="15"/>
        <v>81327</v>
      </c>
      <c r="H9" s="716">
        <f t="shared" si="15"/>
        <v>80223</v>
      </c>
      <c r="I9" s="716">
        <f t="shared" si="15"/>
        <v>79718</v>
      </c>
      <c r="J9" s="716">
        <f t="shared" ref="J9:K9" si="16">J175</f>
        <v>76662</v>
      </c>
      <c r="K9" s="716">
        <f t="shared" si="16"/>
        <v>80852</v>
      </c>
      <c r="L9" s="716">
        <f t="shared" ref="L9" si="17">L175</f>
        <v>79973</v>
      </c>
      <c r="N9" s="718"/>
    </row>
    <row r="10" spans="1:14">
      <c r="A10" s="713" t="s">
        <v>4293</v>
      </c>
      <c r="C10" s="713"/>
      <c r="D10" s="716">
        <f t="shared" ref="D10:I10" si="18">D217</f>
        <v>95460</v>
      </c>
      <c r="E10" s="716">
        <f t="shared" si="18"/>
        <v>95500</v>
      </c>
      <c r="F10" s="716">
        <f t="shared" si="18"/>
        <v>96210</v>
      </c>
      <c r="G10" s="716">
        <f t="shared" si="18"/>
        <v>96928</v>
      </c>
      <c r="H10" s="716">
        <f t="shared" si="18"/>
        <v>93136</v>
      </c>
      <c r="I10" s="716">
        <f t="shared" si="18"/>
        <v>94326</v>
      </c>
      <c r="J10" s="716">
        <f t="shared" ref="J10:K10" si="19">J217</f>
        <v>93970</v>
      </c>
      <c r="K10" s="716">
        <f t="shared" si="19"/>
        <v>96661</v>
      </c>
      <c r="L10" s="716">
        <f t="shared" ref="L10" si="20">L217</f>
        <v>97776</v>
      </c>
      <c r="N10" s="718"/>
    </row>
    <row r="11" spans="1:14">
      <c r="A11" s="713" t="s">
        <v>4294</v>
      </c>
      <c r="C11" s="713"/>
      <c r="D11" s="716">
        <f t="shared" ref="D11:I11" si="21">D259</f>
        <v>89625</v>
      </c>
      <c r="E11" s="716">
        <f t="shared" si="21"/>
        <v>89580</v>
      </c>
      <c r="F11" s="716">
        <f t="shared" si="21"/>
        <v>89559</v>
      </c>
      <c r="G11" s="716">
        <f t="shared" si="21"/>
        <v>89489</v>
      </c>
      <c r="H11" s="716">
        <f t="shared" si="21"/>
        <v>90369</v>
      </c>
      <c r="I11" s="716">
        <f t="shared" si="21"/>
        <v>89402</v>
      </c>
      <c r="J11" s="716">
        <f t="shared" ref="J11:K11" si="22">J259</f>
        <v>87777</v>
      </c>
      <c r="K11" s="716">
        <f t="shared" si="22"/>
        <v>89601</v>
      </c>
      <c r="L11" s="716">
        <f t="shared" ref="L11" si="23">L259</f>
        <v>90376</v>
      </c>
      <c r="N11" s="718"/>
    </row>
    <row r="13" spans="1:14">
      <c r="A13" s="713" t="s">
        <v>7979</v>
      </c>
      <c r="D13" s="716">
        <f t="shared" ref="D13:I13" si="24">D3/7</f>
        <v>77176.28571428571</v>
      </c>
      <c r="E13" s="716">
        <f t="shared" si="24"/>
        <v>77498.857142857145</v>
      </c>
      <c r="F13" s="716">
        <f t="shared" si="24"/>
        <v>77928.28571428571</v>
      </c>
      <c r="G13" s="716">
        <f t="shared" si="24"/>
        <v>78184.428571428565</v>
      </c>
      <c r="H13" s="716">
        <f t="shared" si="24"/>
        <v>77507.142857142855</v>
      </c>
      <c r="I13" s="716">
        <f t="shared" si="24"/>
        <v>76650.857142857145</v>
      </c>
      <c r="J13" s="716">
        <f t="shared" ref="J13:K13" si="25">J3/7</f>
        <v>75173.857142857145</v>
      </c>
      <c r="K13" s="716">
        <f t="shared" si="25"/>
        <v>77933.71428571429</v>
      </c>
      <c r="L13" s="716">
        <f t="shared" ref="L13" si="26">L3/7</f>
        <v>78341.857142857145</v>
      </c>
    </row>
    <row r="14" spans="1:14">
      <c r="D14" s="717"/>
      <c r="E14" s="717"/>
      <c r="F14" s="717"/>
      <c r="G14" s="717"/>
      <c r="H14" s="717"/>
      <c r="I14" s="717"/>
      <c r="J14" s="717"/>
      <c r="K14" s="717"/>
      <c r="L14" s="717"/>
    </row>
    <row r="15" spans="1:14">
      <c r="A15" s="713" t="s">
        <v>4295</v>
      </c>
      <c r="D15" s="716">
        <f t="shared" ref="D15:I15" si="27">D167</f>
        <v>45939</v>
      </c>
      <c r="E15" s="716">
        <f t="shared" si="27"/>
        <v>46455</v>
      </c>
      <c r="F15" s="716">
        <f t="shared" si="27"/>
        <v>46936</v>
      </c>
      <c r="G15" s="716">
        <f t="shared" si="27"/>
        <v>47266</v>
      </c>
      <c r="H15" s="716">
        <f t="shared" si="27"/>
        <v>47276</v>
      </c>
      <c r="I15" s="716">
        <f t="shared" si="27"/>
        <v>46690</v>
      </c>
      <c r="J15" s="716">
        <f t="shared" ref="J15:K15" si="28">J167</f>
        <v>46806</v>
      </c>
      <c r="K15" s="716">
        <f t="shared" si="28"/>
        <v>48893</v>
      </c>
      <c r="L15" s="716">
        <f t="shared" ref="L15" si="29">L167</f>
        <v>49380</v>
      </c>
      <c r="N15" s="713" t="s">
        <v>4296</v>
      </c>
    </row>
    <row r="16" spans="1:14" ht="15.75" thickBot="1">
      <c r="D16" s="719">
        <f t="shared" ref="D16:I16" si="30">D208</f>
        <v>38649</v>
      </c>
      <c r="E16" s="719">
        <f t="shared" si="30"/>
        <v>39478</v>
      </c>
      <c r="F16" s="719">
        <f t="shared" si="30"/>
        <v>39098</v>
      </c>
      <c r="G16" s="719">
        <f t="shared" si="30"/>
        <v>39172</v>
      </c>
      <c r="H16" s="719">
        <f t="shared" si="30"/>
        <v>38539</v>
      </c>
      <c r="I16" s="719">
        <f t="shared" si="30"/>
        <v>38276</v>
      </c>
      <c r="J16" s="719">
        <f t="shared" ref="J16:K16" si="31">J208</f>
        <v>36671</v>
      </c>
      <c r="K16" s="719">
        <f t="shared" si="31"/>
        <v>38320</v>
      </c>
      <c r="L16" s="719">
        <f t="shared" ref="L16" si="32">L208</f>
        <v>37810</v>
      </c>
      <c r="N16" s="713" t="s">
        <v>4297</v>
      </c>
    </row>
    <row r="17" spans="1:14" ht="15.75" thickBot="1">
      <c r="D17" s="719">
        <f t="shared" ref="D17:I17" si="33">SUM(D15:D16)</f>
        <v>84588</v>
      </c>
      <c r="E17" s="719">
        <f t="shared" si="33"/>
        <v>85933</v>
      </c>
      <c r="F17" s="719">
        <f t="shared" si="33"/>
        <v>86034</v>
      </c>
      <c r="G17" s="719">
        <f t="shared" si="33"/>
        <v>86438</v>
      </c>
      <c r="H17" s="719">
        <f t="shared" si="33"/>
        <v>85815</v>
      </c>
      <c r="I17" s="719">
        <f t="shared" si="33"/>
        <v>84966</v>
      </c>
      <c r="J17" s="719">
        <f t="shared" ref="J17:K17" si="34">SUM(J15:J16)</f>
        <v>83477</v>
      </c>
      <c r="K17" s="719">
        <f t="shared" si="34"/>
        <v>87213</v>
      </c>
      <c r="L17" s="719">
        <f t="shared" ref="L17" si="35">SUM(L15:L16)</f>
        <v>87190</v>
      </c>
    </row>
    <row r="18" spans="1:14">
      <c r="D18" s="717"/>
      <c r="E18" s="717"/>
      <c r="F18" s="717"/>
      <c r="G18" s="717"/>
      <c r="H18" s="717"/>
      <c r="I18" s="717"/>
      <c r="J18" s="717"/>
      <c r="K18" s="717"/>
      <c r="L18" s="717"/>
    </row>
    <row r="19" spans="1:14">
      <c r="A19" s="713" t="s">
        <v>4298</v>
      </c>
      <c r="D19" s="716">
        <f t="shared" ref="D19:I19" si="36">D127</f>
        <v>18218</v>
      </c>
      <c r="E19" s="716">
        <f t="shared" si="36"/>
        <v>17946</v>
      </c>
      <c r="F19" s="716">
        <f t="shared" si="36"/>
        <v>18033</v>
      </c>
      <c r="G19" s="716">
        <f t="shared" si="36"/>
        <v>17992</v>
      </c>
      <c r="H19" s="716">
        <f t="shared" si="36"/>
        <v>17891</v>
      </c>
      <c r="I19" s="716">
        <f t="shared" si="36"/>
        <v>17375</v>
      </c>
      <c r="J19" s="716">
        <f t="shared" ref="J19:K19" si="37">J127</f>
        <v>16825</v>
      </c>
      <c r="K19" s="716">
        <f t="shared" si="37"/>
        <v>17035</v>
      </c>
      <c r="L19" s="716">
        <f t="shared" ref="L19" si="38">L127</f>
        <v>17067</v>
      </c>
      <c r="N19" s="713" t="s">
        <v>3310</v>
      </c>
    </row>
    <row r="20" spans="1:14">
      <c r="D20" s="716">
        <f t="shared" ref="D20:I20" si="39">D168</f>
        <v>29011</v>
      </c>
      <c r="E20" s="716">
        <f t="shared" si="39"/>
        <v>29215</v>
      </c>
      <c r="F20" s="716">
        <f t="shared" si="39"/>
        <v>29377</v>
      </c>
      <c r="G20" s="716">
        <f t="shared" si="39"/>
        <v>29455</v>
      </c>
      <c r="H20" s="716">
        <f t="shared" si="39"/>
        <v>29532</v>
      </c>
      <c r="I20" s="716">
        <f t="shared" si="39"/>
        <v>29333</v>
      </c>
      <c r="J20" s="716">
        <f t="shared" ref="J20:K20" si="40">J168</f>
        <v>29212</v>
      </c>
      <c r="K20" s="716">
        <f t="shared" si="40"/>
        <v>30591</v>
      </c>
      <c r="L20" s="716">
        <f t="shared" ref="L20" si="41">L168</f>
        <v>30733</v>
      </c>
      <c r="N20" s="713" t="s">
        <v>4296</v>
      </c>
    </row>
    <row r="21" spans="1:14" ht="15.75" thickBot="1">
      <c r="D21" s="719">
        <f t="shared" ref="D21:I21" si="42">D251</f>
        <v>28908</v>
      </c>
      <c r="E21" s="719">
        <f t="shared" si="42"/>
        <v>29016</v>
      </c>
      <c r="F21" s="719">
        <f t="shared" si="42"/>
        <v>29143</v>
      </c>
      <c r="G21" s="719">
        <f t="shared" si="42"/>
        <v>29392</v>
      </c>
      <c r="H21" s="719">
        <f t="shared" si="42"/>
        <v>28460</v>
      </c>
      <c r="I21" s="719">
        <f t="shared" si="42"/>
        <v>28796</v>
      </c>
      <c r="J21" s="719">
        <f t="shared" ref="J21:K21" si="43">J251</f>
        <v>28661</v>
      </c>
      <c r="K21" s="719">
        <f t="shared" si="43"/>
        <v>29423</v>
      </c>
      <c r="L21" s="719">
        <f t="shared" ref="L21" si="44">L251</f>
        <v>29687</v>
      </c>
      <c r="M21" s="720"/>
      <c r="N21" s="713" t="s">
        <v>3311</v>
      </c>
    </row>
    <row r="22" spans="1:14" ht="15.75" thickBot="1">
      <c r="D22" s="719">
        <f t="shared" ref="D22:I22" si="45">SUM(D19:D21)</f>
        <v>76137</v>
      </c>
      <c r="E22" s="719">
        <f t="shared" si="45"/>
        <v>76177</v>
      </c>
      <c r="F22" s="719">
        <f t="shared" si="45"/>
        <v>76553</v>
      </c>
      <c r="G22" s="719">
        <f t="shared" si="45"/>
        <v>76839</v>
      </c>
      <c r="H22" s="719">
        <f t="shared" si="45"/>
        <v>75883</v>
      </c>
      <c r="I22" s="719">
        <f t="shared" si="45"/>
        <v>75504</v>
      </c>
      <c r="J22" s="719">
        <f t="shared" ref="J22:K22" si="46">SUM(J19:J21)</f>
        <v>74698</v>
      </c>
      <c r="K22" s="719">
        <f t="shared" si="46"/>
        <v>77049</v>
      </c>
      <c r="L22" s="719">
        <f t="shared" ref="L22" si="47">SUM(L19:L21)</f>
        <v>77487</v>
      </c>
    </row>
    <row r="23" spans="1:14">
      <c r="D23" s="717"/>
      <c r="E23" s="717"/>
      <c r="F23" s="717"/>
      <c r="G23" s="717"/>
      <c r="H23" s="717"/>
      <c r="I23" s="717"/>
      <c r="J23" s="717"/>
      <c r="K23" s="717"/>
      <c r="L23" s="717"/>
    </row>
    <row r="24" spans="1:14">
      <c r="A24" s="713" t="s">
        <v>3312</v>
      </c>
      <c r="D24" s="716">
        <f t="shared" ref="D24:I24" si="48">D128</f>
        <v>76530</v>
      </c>
      <c r="E24" s="716">
        <f t="shared" si="48"/>
        <v>75195</v>
      </c>
      <c r="F24" s="716">
        <f t="shared" si="48"/>
        <v>76484</v>
      </c>
      <c r="G24" s="716">
        <f t="shared" si="48"/>
        <v>76115</v>
      </c>
      <c r="H24" s="716">
        <f t="shared" si="48"/>
        <v>76092</v>
      </c>
      <c r="I24" s="716">
        <f t="shared" si="48"/>
        <v>73133</v>
      </c>
      <c r="J24" s="716">
        <f t="shared" ref="J24:K24" si="49">J128</f>
        <v>70702</v>
      </c>
      <c r="K24" s="716">
        <f t="shared" si="49"/>
        <v>72589</v>
      </c>
      <c r="L24" s="716">
        <f t="shared" ref="L24" si="50">L128</f>
        <v>73477</v>
      </c>
      <c r="N24" s="713" t="s">
        <v>3310</v>
      </c>
    </row>
    <row r="25" spans="1:14">
      <c r="D25" s="717"/>
      <c r="E25" s="717"/>
      <c r="F25" s="717"/>
      <c r="G25" s="717"/>
      <c r="H25" s="717"/>
      <c r="I25" s="717"/>
      <c r="J25" s="717"/>
      <c r="K25" s="717"/>
      <c r="L25" s="717"/>
    </row>
    <row r="26" spans="1:14">
      <c r="A26" s="713" t="s">
        <v>3313</v>
      </c>
      <c r="D26" s="716">
        <f t="shared" ref="D26:I26" si="51">D78</f>
        <v>69365</v>
      </c>
      <c r="E26" s="716">
        <f t="shared" si="51"/>
        <v>69609</v>
      </c>
      <c r="F26" s="716">
        <f t="shared" si="51"/>
        <v>69910</v>
      </c>
      <c r="G26" s="716">
        <f t="shared" si="51"/>
        <v>70307</v>
      </c>
      <c r="H26" s="716">
        <f t="shared" si="51"/>
        <v>70322</v>
      </c>
      <c r="I26" s="716">
        <f t="shared" si="51"/>
        <v>69094</v>
      </c>
      <c r="J26" s="716">
        <f t="shared" ref="J26:K26" si="52">J78</f>
        <v>68206</v>
      </c>
      <c r="K26" s="716">
        <f t="shared" si="52"/>
        <v>71175</v>
      </c>
      <c r="L26" s="716">
        <f t="shared" ref="L26" si="53">L78</f>
        <v>71840</v>
      </c>
      <c r="N26" s="713" t="s">
        <v>3425</v>
      </c>
    </row>
    <row r="27" spans="1:14" ht="15.75" thickBot="1">
      <c r="D27" s="719">
        <f t="shared" ref="D27:I27" si="54">D209</f>
        <v>3276</v>
      </c>
      <c r="E27" s="719">
        <f t="shared" si="54"/>
        <v>3356</v>
      </c>
      <c r="F27" s="719">
        <f t="shared" si="54"/>
        <v>3325</v>
      </c>
      <c r="G27" s="719">
        <f t="shared" si="54"/>
        <v>3374</v>
      </c>
      <c r="H27" s="719">
        <f t="shared" si="54"/>
        <v>3332</v>
      </c>
      <c r="I27" s="719">
        <f t="shared" si="54"/>
        <v>3361</v>
      </c>
      <c r="J27" s="719">
        <f t="shared" ref="J27:K27" si="55">J209</f>
        <v>3239</v>
      </c>
      <c r="K27" s="719">
        <f t="shared" si="55"/>
        <v>3473</v>
      </c>
      <c r="L27" s="719">
        <f t="shared" ref="L27" si="56">L209</f>
        <v>3415</v>
      </c>
      <c r="N27" s="713" t="s">
        <v>4297</v>
      </c>
    </row>
    <row r="28" spans="1:14" ht="15.75" thickBot="1">
      <c r="D28" s="719">
        <f t="shared" ref="D28:I28" si="57">D26+D27</f>
        <v>72641</v>
      </c>
      <c r="E28" s="719">
        <f t="shared" si="57"/>
        <v>72965</v>
      </c>
      <c r="F28" s="719">
        <f t="shared" si="57"/>
        <v>73235</v>
      </c>
      <c r="G28" s="719">
        <f t="shared" si="57"/>
        <v>73681</v>
      </c>
      <c r="H28" s="719">
        <f t="shared" si="57"/>
        <v>73654</v>
      </c>
      <c r="I28" s="719">
        <f t="shared" si="57"/>
        <v>72455</v>
      </c>
      <c r="J28" s="719">
        <f t="shared" ref="J28:K28" si="58">J26+J27</f>
        <v>71445</v>
      </c>
      <c r="K28" s="719">
        <f t="shared" si="58"/>
        <v>74648</v>
      </c>
      <c r="L28" s="719">
        <f t="shared" ref="L28" si="59">L26+L27</f>
        <v>75255</v>
      </c>
    </row>
    <row r="29" spans="1:14">
      <c r="D29" s="717"/>
      <c r="E29" s="717"/>
      <c r="F29" s="717"/>
      <c r="G29" s="717"/>
      <c r="H29" s="717"/>
      <c r="I29" s="717"/>
      <c r="J29" s="717"/>
      <c r="K29" s="717"/>
      <c r="L29" s="717"/>
    </row>
    <row r="30" spans="1:14">
      <c r="A30" s="713" t="s">
        <v>3314</v>
      </c>
      <c r="D30" s="716">
        <f t="shared" ref="D30:I30" si="60">D252</f>
        <v>66552</v>
      </c>
      <c r="E30" s="716">
        <f t="shared" si="60"/>
        <v>66484</v>
      </c>
      <c r="F30" s="716">
        <f t="shared" si="60"/>
        <v>67067</v>
      </c>
      <c r="G30" s="716">
        <f t="shared" si="60"/>
        <v>67536</v>
      </c>
      <c r="H30" s="716">
        <f t="shared" si="60"/>
        <v>64676</v>
      </c>
      <c r="I30" s="716">
        <f t="shared" si="60"/>
        <v>65530</v>
      </c>
      <c r="J30" s="716">
        <f t="shared" ref="J30:K30" si="61">J252</f>
        <v>65309</v>
      </c>
      <c r="K30" s="716">
        <f t="shared" si="61"/>
        <v>67238</v>
      </c>
      <c r="L30" s="716">
        <f t="shared" ref="L30" si="62">L252</f>
        <v>68089</v>
      </c>
      <c r="N30" s="713" t="s">
        <v>3311</v>
      </c>
    </row>
    <row r="31" spans="1:14" ht="15.75" thickBot="1">
      <c r="D31" s="719">
        <f t="shared" ref="D31:I31" si="63">D284</f>
        <v>10590</v>
      </c>
      <c r="E31" s="719">
        <f t="shared" si="63"/>
        <v>10448</v>
      </c>
      <c r="F31" s="719">
        <f t="shared" si="63"/>
        <v>10414</v>
      </c>
      <c r="G31" s="719">
        <f t="shared" si="63"/>
        <v>10373</v>
      </c>
      <c r="H31" s="719">
        <f t="shared" si="63"/>
        <v>10637</v>
      </c>
      <c r="I31" s="719">
        <f t="shared" si="63"/>
        <v>10489</v>
      </c>
      <c r="J31" s="719">
        <f t="shared" ref="J31:K31" si="64">J284</f>
        <v>10369</v>
      </c>
      <c r="K31" s="719">
        <f t="shared" si="64"/>
        <v>10433</v>
      </c>
      <c r="L31" s="719">
        <f t="shared" ref="L31" si="65">L284</f>
        <v>10439</v>
      </c>
      <c r="N31" s="713" t="s">
        <v>3315</v>
      </c>
    </row>
    <row r="32" spans="1:14" ht="15.75" thickBot="1">
      <c r="D32" s="719">
        <f t="shared" ref="D32:I32" si="66">D30+D31</f>
        <v>77142</v>
      </c>
      <c r="E32" s="719">
        <f t="shared" si="66"/>
        <v>76932</v>
      </c>
      <c r="F32" s="719">
        <f t="shared" si="66"/>
        <v>77481</v>
      </c>
      <c r="G32" s="719">
        <f t="shared" si="66"/>
        <v>77909</v>
      </c>
      <c r="H32" s="719">
        <f t="shared" si="66"/>
        <v>75313</v>
      </c>
      <c r="I32" s="719">
        <f t="shared" si="66"/>
        <v>76019</v>
      </c>
      <c r="J32" s="719">
        <f t="shared" ref="J32:K32" si="67">J30+J31</f>
        <v>75678</v>
      </c>
      <c r="K32" s="719">
        <f t="shared" si="67"/>
        <v>77671</v>
      </c>
      <c r="L32" s="719">
        <f t="shared" ref="L32" si="68">L30+L31</f>
        <v>78528</v>
      </c>
    </row>
    <row r="33" spans="1:14">
      <c r="D33" s="717"/>
      <c r="E33" s="717"/>
      <c r="F33" s="717"/>
      <c r="G33" s="717"/>
      <c r="H33" s="717"/>
      <c r="I33" s="717"/>
      <c r="J33" s="717"/>
      <c r="K33" s="717"/>
      <c r="L33" s="717"/>
    </row>
    <row r="34" spans="1:14">
      <c r="A34" s="713" t="s">
        <v>3316</v>
      </c>
      <c r="D34" s="716">
        <f t="shared" ref="D34:I34" si="69">D285</f>
        <v>79035</v>
      </c>
      <c r="E34" s="716">
        <f t="shared" si="69"/>
        <v>79132</v>
      </c>
      <c r="F34" s="716">
        <f t="shared" si="69"/>
        <v>79145</v>
      </c>
      <c r="G34" s="716">
        <f t="shared" si="69"/>
        <v>79116</v>
      </c>
      <c r="H34" s="716">
        <f t="shared" si="69"/>
        <v>79732</v>
      </c>
      <c r="I34" s="716">
        <f t="shared" si="69"/>
        <v>78913</v>
      </c>
      <c r="J34" s="716">
        <f t="shared" ref="J34:K34" si="70">J285</f>
        <v>77408</v>
      </c>
      <c r="K34" s="716">
        <f t="shared" si="70"/>
        <v>79168</v>
      </c>
      <c r="L34" s="716">
        <f t="shared" ref="L34" si="71">L285</f>
        <v>79937</v>
      </c>
      <c r="N34" s="713" t="s">
        <v>3315</v>
      </c>
    </row>
    <row r="35" spans="1:14">
      <c r="D35" s="717"/>
      <c r="E35" s="717"/>
      <c r="F35" s="717"/>
      <c r="G35" s="717"/>
      <c r="H35" s="717"/>
      <c r="I35" s="717"/>
      <c r="J35" s="717"/>
      <c r="K35" s="717"/>
      <c r="L35" s="717"/>
    </row>
    <row r="36" spans="1:14">
      <c r="A36" s="713" t="s">
        <v>3317</v>
      </c>
      <c r="D36" s="716">
        <f t="shared" ref="D36:I36" si="72">D102</f>
        <v>36178</v>
      </c>
      <c r="E36" s="716">
        <f t="shared" si="72"/>
        <v>37584</v>
      </c>
      <c r="F36" s="716">
        <f t="shared" si="72"/>
        <v>37950</v>
      </c>
      <c r="G36" s="716">
        <f t="shared" si="72"/>
        <v>38412</v>
      </c>
      <c r="H36" s="716">
        <f t="shared" si="72"/>
        <v>37709</v>
      </c>
      <c r="I36" s="716">
        <f t="shared" si="72"/>
        <v>37485</v>
      </c>
      <c r="J36" s="716">
        <f t="shared" ref="J36:K36" si="73">J102</f>
        <v>36057</v>
      </c>
      <c r="K36" s="716">
        <f t="shared" si="73"/>
        <v>38139</v>
      </c>
      <c r="L36" s="716">
        <f t="shared" ref="L36" si="74">L102</f>
        <v>37771</v>
      </c>
      <c r="N36" s="713" t="s">
        <v>3426</v>
      </c>
    </row>
    <row r="37" spans="1:14" ht="15.75" thickBot="1">
      <c r="D37" s="719">
        <f t="shared" ref="D37:I37" si="75">D210</f>
        <v>37983</v>
      </c>
      <c r="E37" s="719">
        <f t="shared" si="75"/>
        <v>38574</v>
      </c>
      <c r="F37" s="719">
        <f t="shared" si="75"/>
        <v>38616</v>
      </c>
      <c r="G37" s="719">
        <f t="shared" si="75"/>
        <v>38781</v>
      </c>
      <c r="H37" s="719">
        <f t="shared" si="75"/>
        <v>38352</v>
      </c>
      <c r="I37" s="719">
        <f t="shared" si="75"/>
        <v>38081</v>
      </c>
      <c r="J37" s="719">
        <f t="shared" ref="J37:K37" si="76">J210</f>
        <v>36752</v>
      </c>
      <c r="K37" s="719">
        <f t="shared" si="76"/>
        <v>39059</v>
      </c>
      <c r="L37" s="719">
        <f t="shared" ref="L37" si="77">L210</f>
        <v>38748</v>
      </c>
      <c r="N37" s="713" t="s">
        <v>4297</v>
      </c>
    </row>
    <row r="38" spans="1:14" ht="15.75" thickBot="1">
      <c r="D38" s="719">
        <f t="shared" ref="D38:I38" si="78">D36+D37</f>
        <v>74161</v>
      </c>
      <c r="E38" s="719">
        <f t="shared" si="78"/>
        <v>76158</v>
      </c>
      <c r="F38" s="719">
        <f t="shared" si="78"/>
        <v>76566</v>
      </c>
      <c r="G38" s="719">
        <f t="shared" si="78"/>
        <v>77193</v>
      </c>
      <c r="H38" s="719">
        <f t="shared" si="78"/>
        <v>76061</v>
      </c>
      <c r="I38" s="719">
        <f t="shared" si="78"/>
        <v>75566</v>
      </c>
      <c r="J38" s="719">
        <f t="shared" ref="J38:K38" si="79">J36+J37</f>
        <v>72809</v>
      </c>
      <c r="K38" s="719">
        <f t="shared" si="79"/>
        <v>77198</v>
      </c>
      <c r="L38" s="719">
        <f t="shared" ref="L38" si="80">L36+L37</f>
        <v>76519</v>
      </c>
    </row>
    <row r="39" spans="1:14">
      <c r="D39" s="717"/>
      <c r="E39" s="717"/>
      <c r="F39" s="717"/>
      <c r="G39" s="717"/>
      <c r="H39" s="717"/>
      <c r="I39" s="717"/>
      <c r="J39" s="717"/>
      <c r="K39" s="717"/>
      <c r="L39" s="717"/>
    </row>
    <row r="40" spans="1:14">
      <c r="A40" s="713" t="s">
        <v>8697</v>
      </c>
      <c r="D40" s="716">
        <f t="shared" ref="D40:I40" si="81">D17+D22+D24+D28+D32+D34+D38</f>
        <v>540234</v>
      </c>
      <c r="E40" s="716">
        <f t="shared" si="81"/>
        <v>542492</v>
      </c>
      <c r="F40" s="716">
        <f t="shared" si="81"/>
        <v>545498</v>
      </c>
      <c r="G40" s="716">
        <f t="shared" si="81"/>
        <v>547291</v>
      </c>
      <c r="H40" s="716">
        <f t="shared" si="81"/>
        <v>542550</v>
      </c>
      <c r="I40" s="716">
        <f t="shared" si="81"/>
        <v>536556</v>
      </c>
      <c r="J40" s="716">
        <f t="shared" ref="J40:K40" si="82">J17+J22+J24+J28+J32+J34+J38</f>
        <v>526217</v>
      </c>
      <c r="K40" s="716">
        <f t="shared" si="82"/>
        <v>545536</v>
      </c>
      <c r="L40" s="716">
        <f t="shared" ref="L40" si="83">L17+L22+L24+L28+L32+L34+L38</f>
        <v>548393</v>
      </c>
    </row>
    <row r="41" spans="1:14">
      <c r="D41" s="717"/>
      <c r="E41" s="717"/>
      <c r="F41" s="717"/>
      <c r="G41" s="717"/>
      <c r="H41" s="717"/>
      <c r="I41" s="717"/>
      <c r="J41" s="717"/>
      <c r="K41" s="717"/>
      <c r="L41" s="717"/>
    </row>
    <row r="42" spans="1:14">
      <c r="A42" s="713" t="s">
        <v>8698</v>
      </c>
      <c r="D42" s="716">
        <f t="shared" ref="D42:I42" si="84">MAX(D17,D22,D24,D28,D32,D34,D38)-MIN(D17,D22,D24,D28,D32,D34,D38)</f>
        <v>11947</v>
      </c>
      <c r="E42" s="716">
        <f t="shared" si="84"/>
        <v>12968</v>
      </c>
      <c r="F42" s="716">
        <f t="shared" si="84"/>
        <v>12799</v>
      </c>
      <c r="G42" s="716">
        <f t="shared" si="84"/>
        <v>12757</v>
      </c>
      <c r="H42" s="716">
        <f t="shared" si="84"/>
        <v>12161</v>
      </c>
      <c r="I42" s="716">
        <f t="shared" si="84"/>
        <v>12511</v>
      </c>
      <c r="J42" s="716">
        <f t="shared" ref="J42:K42" si="85">MAX(J17,J22,J24,J28,J32,J34,J38)-MIN(J17,J22,J24,J28,J32,J34,J38)</f>
        <v>12775</v>
      </c>
      <c r="K42" s="716">
        <f t="shared" si="85"/>
        <v>14624</v>
      </c>
      <c r="L42" s="716">
        <f t="shared" ref="L42" si="86">MAX(L17,L22,L24,L28,L32,L34,L38)-MIN(L17,L22,L24,L28,L32,L34,L38)</f>
        <v>13713</v>
      </c>
    </row>
    <row r="43" spans="1:14">
      <c r="D43" s="717"/>
      <c r="E43" s="717"/>
      <c r="F43" s="717"/>
      <c r="G43" s="717"/>
      <c r="H43" s="717"/>
      <c r="I43" s="717"/>
      <c r="J43" s="717"/>
      <c r="K43" s="717"/>
      <c r="L43" s="717"/>
    </row>
    <row r="44" spans="1:14">
      <c r="A44" s="713" t="s">
        <v>8701</v>
      </c>
      <c r="D44" s="716">
        <f t="shared" ref="D44:I44" si="87">STDEVP(D17,D22,D24,D28,D32,D34,D38)</f>
        <v>3576.6717855045758</v>
      </c>
      <c r="E44" s="716">
        <f t="shared" si="87"/>
        <v>3845.8153669585713</v>
      </c>
      <c r="F44" s="716">
        <f t="shared" si="87"/>
        <v>3688.654176343055</v>
      </c>
      <c r="G44" s="716">
        <f t="shared" si="87"/>
        <v>3711.4040414893761</v>
      </c>
      <c r="H44" s="716">
        <f t="shared" si="87"/>
        <v>3786.50330322134</v>
      </c>
      <c r="I44" s="716">
        <f t="shared" si="87"/>
        <v>3912.0850643896292</v>
      </c>
      <c r="J44" s="716">
        <f t="shared" ref="J44:K44" si="88">STDEVP(J17,J22,J24,J28,J32,J34,J38)</f>
        <v>4033.9382893704483</v>
      </c>
      <c r="K44" s="716">
        <f t="shared" si="88"/>
        <v>4282.5811213828156</v>
      </c>
      <c r="L44" s="716">
        <f t="shared" ref="L44" si="89">STDEVP(L17,L22,L24,L28,L32,L34,L38)</f>
        <v>4107.7952525332485</v>
      </c>
    </row>
    <row r="45" spans="1:14">
      <c r="A45" s="713"/>
      <c r="D45" s="721"/>
      <c r="E45" s="721"/>
      <c r="F45" s="721"/>
      <c r="G45" s="721"/>
      <c r="H45" s="721"/>
      <c r="I45" s="721"/>
      <c r="J45" s="721"/>
      <c r="K45" s="721"/>
      <c r="L45" s="721"/>
    </row>
    <row r="46" spans="1:14">
      <c r="A46" s="713"/>
      <c r="D46" s="721"/>
      <c r="E46" s="721"/>
      <c r="F46" s="721"/>
      <c r="G46" s="721"/>
      <c r="H46" s="721"/>
      <c r="I46" s="721"/>
      <c r="J46" s="721"/>
      <c r="K46" s="721"/>
      <c r="L46" s="721"/>
    </row>
    <row r="47" spans="1:14">
      <c r="E47" s="42" t="s">
        <v>2303</v>
      </c>
      <c r="F47" s="42"/>
      <c r="G47" s="42"/>
      <c r="H47" s="42"/>
      <c r="I47" s="42"/>
      <c r="J47" s="42"/>
      <c r="K47" s="42"/>
      <c r="L47" s="42"/>
      <c r="M47" s="109"/>
      <c r="N47" s="109" t="s">
        <v>13319</v>
      </c>
    </row>
    <row r="48" spans="1:14">
      <c r="D48" s="110">
        <v>2010</v>
      </c>
      <c r="E48" s="110">
        <v>2011</v>
      </c>
      <c r="F48" s="110">
        <v>2012</v>
      </c>
      <c r="G48" s="110">
        <v>2013</v>
      </c>
      <c r="H48" s="110">
        <v>2014</v>
      </c>
      <c r="I48" s="110">
        <v>2015</v>
      </c>
      <c r="J48" s="110">
        <v>2016</v>
      </c>
      <c r="K48" s="110">
        <v>2017</v>
      </c>
      <c r="L48" s="110">
        <v>2018</v>
      </c>
      <c r="M48" s="109"/>
      <c r="N48" s="112" t="s">
        <v>2304</v>
      </c>
    </row>
    <row r="49" spans="1:17">
      <c r="A49" s="713" t="s">
        <v>3318</v>
      </c>
      <c r="C49" s="713"/>
      <c r="D49" s="716">
        <f t="shared" ref="D49:I49" si="90">SUM(D50:D76)</f>
        <v>69365</v>
      </c>
      <c r="E49" s="716">
        <f t="shared" si="90"/>
        <v>69609</v>
      </c>
      <c r="F49" s="716">
        <f t="shared" si="90"/>
        <v>69910</v>
      </c>
      <c r="G49" s="716">
        <f t="shared" si="90"/>
        <v>70307</v>
      </c>
      <c r="H49" s="716">
        <f t="shared" si="90"/>
        <v>70322</v>
      </c>
      <c r="I49" s="716">
        <f t="shared" si="90"/>
        <v>69094</v>
      </c>
      <c r="J49" s="716">
        <f t="shared" ref="J49:K49" si="91">SUM(J50:J76)</f>
        <v>68206</v>
      </c>
      <c r="K49" s="716">
        <f t="shared" si="91"/>
        <v>71175</v>
      </c>
      <c r="L49" s="716">
        <f t="shared" ref="L49" si="92">SUM(L50:L76)</f>
        <v>71840</v>
      </c>
    </row>
    <row r="50" spans="1:17">
      <c r="A50" s="713" t="s">
        <v>6957</v>
      </c>
      <c r="B50" s="713" t="s">
        <v>1632</v>
      </c>
      <c r="C50" s="4" t="s">
        <v>11836</v>
      </c>
      <c r="D50" s="717">
        <v>3202</v>
      </c>
      <c r="E50" s="717">
        <v>3203</v>
      </c>
      <c r="F50" s="717">
        <v>3195</v>
      </c>
      <c r="G50" s="30">
        <v>3203</v>
      </c>
      <c r="H50" s="30">
        <v>3225</v>
      </c>
      <c r="I50" s="30">
        <v>3182</v>
      </c>
      <c r="J50" s="30">
        <v>3125</v>
      </c>
      <c r="K50" s="30">
        <v>3265</v>
      </c>
      <c r="L50" s="30">
        <v>3280</v>
      </c>
      <c r="N50" s="713" t="s">
        <v>3313</v>
      </c>
      <c r="O50" s="4"/>
      <c r="Q50" s="4"/>
    </row>
    <row r="51" spans="1:17">
      <c r="A51" s="713" t="s">
        <v>6959</v>
      </c>
      <c r="B51" s="713" t="s">
        <v>3319</v>
      </c>
      <c r="C51" s="4" t="s">
        <v>11837</v>
      </c>
      <c r="D51" s="717">
        <v>3111</v>
      </c>
      <c r="E51" s="717">
        <v>3133</v>
      </c>
      <c r="F51" s="717">
        <v>3175</v>
      </c>
      <c r="G51" s="30">
        <v>3195</v>
      </c>
      <c r="H51" s="30">
        <v>3198</v>
      </c>
      <c r="I51" s="30">
        <v>3106</v>
      </c>
      <c r="J51" s="30">
        <v>3029</v>
      </c>
      <c r="K51" s="30">
        <v>3158</v>
      </c>
      <c r="L51" s="30">
        <v>3198</v>
      </c>
      <c r="N51" s="713" t="s">
        <v>3313</v>
      </c>
      <c r="O51" s="4"/>
      <c r="Q51" s="4"/>
    </row>
    <row r="52" spans="1:17">
      <c r="A52" s="713" t="s">
        <v>6961</v>
      </c>
      <c r="B52" s="713" t="s">
        <v>3320</v>
      </c>
      <c r="C52" s="4" t="s">
        <v>11838</v>
      </c>
      <c r="D52" s="717">
        <v>1752</v>
      </c>
      <c r="E52" s="717">
        <v>1772</v>
      </c>
      <c r="F52" s="717">
        <v>1762</v>
      </c>
      <c r="G52" s="30">
        <v>1751</v>
      </c>
      <c r="H52" s="30">
        <v>1770</v>
      </c>
      <c r="I52" s="30">
        <v>1776</v>
      </c>
      <c r="J52" s="30">
        <v>1739</v>
      </c>
      <c r="K52" s="30">
        <v>1821</v>
      </c>
      <c r="L52" s="30">
        <v>1857</v>
      </c>
      <c r="N52" s="713" t="s">
        <v>3313</v>
      </c>
      <c r="O52" s="4"/>
      <c r="Q52" s="4"/>
    </row>
    <row r="53" spans="1:17">
      <c r="A53" s="713" t="s">
        <v>6963</v>
      </c>
      <c r="B53" s="713" t="s">
        <v>3321</v>
      </c>
      <c r="C53" s="4" t="s">
        <v>11839</v>
      </c>
      <c r="D53" s="717">
        <v>1653</v>
      </c>
      <c r="E53" s="717">
        <v>1667</v>
      </c>
      <c r="F53" s="717">
        <v>1666</v>
      </c>
      <c r="G53" s="30">
        <v>1679</v>
      </c>
      <c r="H53" s="30">
        <v>1696</v>
      </c>
      <c r="I53" s="30">
        <v>1678</v>
      </c>
      <c r="J53" s="30">
        <v>1634</v>
      </c>
      <c r="K53" s="30">
        <v>1738</v>
      </c>
      <c r="L53" s="30">
        <v>1748</v>
      </c>
      <c r="N53" s="713" t="s">
        <v>3313</v>
      </c>
      <c r="O53" s="4"/>
      <c r="Q53" s="4"/>
    </row>
    <row r="54" spans="1:17">
      <c r="A54" s="713" t="s">
        <v>6965</v>
      </c>
      <c r="B54" s="713" t="s">
        <v>3322</v>
      </c>
      <c r="C54" s="4" t="s">
        <v>11840</v>
      </c>
      <c r="D54" s="717">
        <v>3271</v>
      </c>
      <c r="E54" s="717">
        <v>3255</v>
      </c>
      <c r="F54" s="717">
        <v>3281</v>
      </c>
      <c r="G54" s="30">
        <v>3325</v>
      </c>
      <c r="H54" s="30">
        <v>3292</v>
      </c>
      <c r="I54" s="30">
        <v>3265</v>
      </c>
      <c r="J54" s="30">
        <v>3230</v>
      </c>
      <c r="K54" s="30">
        <v>3329</v>
      </c>
      <c r="L54" s="30">
        <v>3336</v>
      </c>
      <c r="N54" s="713" t="s">
        <v>3313</v>
      </c>
      <c r="O54" s="4"/>
      <c r="Q54" s="4"/>
    </row>
    <row r="55" spans="1:17">
      <c r="A55" s="713" t="s">
        <v>6997</v>
      </c>
      <c r="B55" s="713" t="s">
        <v>3323</v>
      </c>
      <c r="C55" s="4" t="s">
        <v>11841</v>
      </c>
      <c r="D55" s="717">
        <v>1421</v>
      </c>
      <c r="E55" s="717">
        <v>1424</v>
      </c>
      <c r="F55" s="717">
        <v>1405</v>
      </c>
      <c r="G55" s="30">
        <v>1414</v>
      </c>
      <c r="H55" s="30">
        <v>1411</v>
      </c>
      <c r="I55" s="30">
        <v>1413</v>
      </c>
      <c r="J55" s="30">
        <v>1426</v>
      </c>
      <c r="K55" s="30">
        <v>1500</v>
      </c>
      <c r="L55" s="30">
        <v>1506</v>
      </c>
      <c r="N55" s="713" t="s">
        <v>3313</v>
      </c>
      <c r="O55" s="4"/>
      <c r="Q55" s="4"/>
    </row>
    <row r="56" spans="1:17">
      <c r="A56" s="713" t="s">
        <v>6999</v>
      </c>
      <c r="B56" s="713" t="s">
        <v>3324</v>
      </c>
      <c r="C56" s="4" t="s">
        <v>11842</v>
      </c>
      <c r="D56" s="717">
        <v>1597</v>
      </c>
      <c r="E56" s="717">
        <v>1631</v>
      </c>
      <c r="F56" s="717">
        <v>1643</v>
      </c>
      <c r="G56" s="30">
        <v>1645</v>
      </c>
      <c r="H56" s="30">
        <v>1680</v>
      </c>
      <c r="I56" s="30">
        <v>1646</v>
      </c>
      <c r="J56" s="30">
        <v>1657</v>
      </c>
      <c r="K56" s="30">
        <v>1706</v>
      </c>
      <c r="L56" s="30">
        <v>1733</v>
      </c>
      <c r="N56" s="713" t="s">
        <v>3313</v>
      </c>
      <c r="O56" s="4"/>
      <c r="Q56" s="4"/>
    </row>
    <row r="57" spans="1:17">
      <c r="A57" s="713" t="s">
        <v>7001</v>
      </c>
      <c r="B57" s="713" t="s">
        <v>3325</v>
      </c>
      <c r="C57" s="4" t="s">
        <v>11843</v>
      </c>
      <c r="D57" s="717">
        <v>2889</v>
      </c>
      <c r="E57" s="717">
        <v>2888</v>
      </c>
      <c r="F57" s="717">
        <v>2908</v>
      </c>
      <c r="G57" s="30">
        <v>2869</v>
      </c>
      <c r="H57" s="30">
        <v>2888</v>
      </c>
      <c r="I57" s="30">
        <v>2855</v>
      </c>
      <c r="J57" s="30">
        <v>2844</v>
      </c>
      <c r="K57" s="30">
        <v>2946</v>
      </c>
      <c r="L57" s="30">
        <v>3023</v>
      </c>
      <c r="N57" s="713" t="s">
        <v>3313</v>
      </c>
      <c r="O57" s="4"/>
      <c r="Q57" s="4"/>
    </row>
    <row r="58" spans="1:17">
      <c r="A58" s="713" t="s">
        <v>7003</v>
      </c>
      <c r="B58" s="713" t="s">
        <v>3326</v>
      </c>
      <c r="C58" s="4" t="s">
        <v>11844</v>
      </c>
      <c r="D58" s="717">
        <v>2943</v>
      </c>
      <c r="E58" s="717">
        <v>2980</v>
      </c>
      <c r="F58" s="717">
        <v>2990</v>
      </c>
      <c r="G58" s="30">
        <v>3009</v>
      </c>
      <c r="H58" s="30">
        <v>3025</v>
      </c>
      <c r="I58" s="30">
        <v>2976</v>
      </c>
      <c r="J58" s="30">
        <v>2983</v>
      </c>
      <c r="K58" s="30">
        <v>3121</v>
      </c>
      <c r="L58" s="30">
        <v>3154</v>
      </c>
      <c r="N58" s="713" t="s">
        <v>3313</v>
      </c>
      <c r="O58" s="4"/>
      <c r="Q58" s="4"/>
    </row>
    <row r="59" spans="1:17">
      <c r="A59" s="713" t="s">
        <v>7005</v>
      </c>
      <c r="B59" s="713" t="s">
        <v>3327</v>
      </c>
      <c r="C59" s="4" t="s">
        <v>11845</v>
      </c>
      <c r="D59" s="717">
        <v>3287</v>
      </c>
      <c r="E59" s="717">
        <v>3329</v>
      </c>
      <c r="F59" s="717">
        <v>3327</v>
      </c>
      <c r="G59" s="30">
        <v>3417</v>
      </c>
      <c r="H59" s="30">
        <v>3434</v>
      </c>
      <c r="I59" s="30">
        <v>3350</v>
      </c>
      <c r="J59" s="30">
        <v>3273</v>
      </c>
      <c r="K59" s="30">
        <v>3404</v>
      </c>
      <c r="L59" s="30">
        <v>3420</v>
      </c>
      <c r="N59" s="713" t="s">
        <v>3313</v>
      </c>
      <c r="O59" s="4"/>
      <c r="Q59" s="4"/>
    </row>
    <row r="60" spans="1:17">
      <c r="A60" s="713" t="s">
        <v>7007</v>
      </c>
      <c r="B60" s="713" t="s">
        <v>3328</v>
      </c>
      <c r="C60" s="4" t="s">
        <v>11846</v>
      </c>
      <c r="D60" s="717">
        <v>3220</v>
      </c>
      <c r="E60" s="717">
        <v>3330</v>
      </c>
      <c r="F60" s="717">
        <v>3473</v>
      </c>
      <c r="G60" s="30">
        <v>3539</v>
      </c>
      <c r="H60" s="30">
        <v>3547</v>
      </c>
      <c r="I60" s="30">
        <v>3481</v>
      </c>
      <c r="J60" s="30">
        <v>3428</v>
      </c>
      <c r="K60" s="30">
        <v>3538</v>
      </c>
      <c r="L60" s="30">
        <v>3587</v>
      </c>
      <c r="N60" s="713" t="s">
        <v>3313</v>
      </c>
      <c r="O60" s="4"/>
      <c r="Q60" s="4"/>
    </row>
    <row r="61" spans="1:17">
      <c r="A61" s="713" t="s">
        <v>7009</v>
      </c>
      <c r="B61" s="713" t="s">
        <v>3329</v>
      </c>
      <c r="C61" s="4" t="s">
        <v>11847</v>
      </c>
      <c r="D61" s="717">
        <v>3411</v>
      </c>
      <c r="E61" s="717">
        <v>3406</v>
      </c>
      <c r="F61" s="717">
        <v>3409</v>
      </c>
      <c r="G61" s="30">
        <v>3440</v>
      </c>
      <c r="H61" s="30">
        <v>3581</v>
      </c>
      <c r="I61" s="30">
        <v>3511</v>
      </c>
      <c r="J61" s="30">
        <v>3503</v>
      </c>
      <c r="K61" s="30">
        <v>3598</v>
      </c>
      <c r="L61" s="30">
        <v>3615</v>
      </c>
      <c r="N61" s="713" t="s">
        <v>3313</v>
      </c>
      <c r="O61" s="4"/>
      <c r="Q61" s="4"/>
    </row>
    <row r="62" spans="1:17">
      <c r="A62" s="713" t="s">
        <v>7011</v>
      </c>
      <c r="B62" s="713" t="s">
        <v>3330</v>
      </c>
      <c r="C62" s="4" t="s">
        <v>11848</v>
      </c>
      <c r="D62" s="717">
        <v>3000</v>
      </c>
      <c r="E62" s="717">
        <v>3002</v>
      </c>
      <c r="F62" s="717">
        <v>2979</v>
      </c>
      <c r="G62" s="30">
        <v>2986</v>
      </c>
      <c r="H62" s="30">
        <v>2970</v>
      </c>
      <c r="I62" s="30">
        <v>2929</v>
      </c>
      <c r="J62" s="30">
        <v>2910</v>
      </c>
      <c r="K62" s="30">
        <v>3021</v>
      </c>
      <c r="L62" s="30">
        <v>3025</v>
      </c>
      <c r="N62" s="713" t="s">
        <v>3313</v>
      </c>
      <c r="O62" s="4"/>
      <c r="Q62" s="4"/>
    </row>
    <row r="63" spans="1:17">
      <c r="A63" s="713" t="s">
        <v>7013</v>
      </c>
      <c r="B63" s="713" t="s">
        <v>4234</v>
      </c>
      <c r="C63" s="4" t="s">
        <v>11849</v>
      </c>
      <c r="D63" s="717">
        <v>1668</v>
      </c>
      <c r="E63" s="717">
        <v>1669</v>
      </c>
      <c r="F63" s="717">
        <v>1658</v>
      </c>
      <c r="G63" s="30">
        <v>1642</v>
      </c>
      <c r="H63" s="30">
        <v>1635</v>
      </c>
      <c r="I63" s="30">
        <v>1610</v>
      </c>
      <c r="J63" s="30">
        <v>1546</v>
      </c>
      <c r="K63" s="30">
        <v>1595</v>
      </c>
      <c r="L63" s="30">
        <v>1617</v>
      </c>
      <c r="N63" s="713" t="s">
        <v>3313</v>
      </c>
      <c r="O63" s="4"/>
      <c r="Q63" s="4"/>
    </row>
    <row r="64" spans="1:17">
      <c r="A64" s="713" t="s">
        <v>7015</v>
      </c>
      <c r="B64" s="713" t="s">
        <v>4235</v>
      </c>
      <c r="C64" s="4" t="s">
        <v>11850</v>
      </c>
      <c r="D64" s="717">
        <v>1469</v>
      </c>
      <c r="E64" s="717">
        <v>1473</v>
      </c>
      <c r="F64" s="717">
        <v>1461</v>
      </c>
      <c r="G64" s="30">
        <v>1473</v>
      </c>
      <c r="H64" s="30">
        <v>1461</v>
      </c>
      <c r="I64" s="30">
        <v>1424</v>
      </c>
      <c r="J64" s="30">
        <v>1406</v>
      </c>
      <c r="K64" s="30">
        <v>1509</v>
      </c>
      <c r="L64" s="30">
        <v>1535</v>
      </c>
      <c r="N64" s="713" t="s">
        <v>3313</v>
      </c>
      <c r="O64" s="4"/>
      <c r="Q64" s="4"/>
    </row>
    <row r="65" spans="1:17">
      <c r="A65" s="713" t="s">
        <v>7017</v>
      </c>
      <c r="B65" s="713" t="s">
        <v>4236</v>
      </c>
      <c r="C65" s="4" t="s">
        <v>11851</v>
      </c>
      <c r="D65" s="717">
        <v>1457</v>
      </c>
      <c r="E65" s="717">
        <v>1448</v>
      </c>
      <c r="F65" s="717">
        <v>1454</v>
      </c>
      <c r="G65" s="31">
        <v>1470</v>
      </c>
      <c r="H65" s="31">
        <v>1485</v>
      </c>
      <c r="I65" s="31">
        <v>1461</v>
      </c>
      <c r="J65" s="31">
        <v>1429</v>
      </c>
      <c r="K65" s="31">
        <v>1502</v>
      </c>
      <c r="L65" s="31">
        <v>1503</v>
      </c>
      <c r="N65" s="713" t="s">
        <v>3313</v>
      </c>
      <c r="O65" s="4"/>
      <c r="Q65" s="4"/>
    </row>
    <row r="66" spans="1:17">
      <c r="A66" s="713" t="s">
        <v>7019</v>
      </c>
      <c r="B66" s="713" t="s">
        <v>4237</v>
      </c>
      <c r="C66" s="4" t="s">
        <v>11852</v>
      </c>
      <c r="D66" s="717">
        <v>3138</v>
      </c>
      <c r="E66" s="717">
        <v>3148</v>
      </c>
      <c r="F66" s="717">
        <v>3161</v>
      </c>
      <c r="G66" s="31">
        <v>3181</v>
      </c>
      <c r="H66" s="31">
        <v>3124</v>
      </c>
      <c r="I66" s="31">
        <v>3068</v>
      </c>
      <c r="J66" s="31">
        <v>3001</v>
      </c>
      <c r="K66" s="31">
        <v>3144</v>
      </c>
      <c r="L66" s="31">
        <v>3185</v>
      </c>
      <c r="N66" s="713" t="s">
        <v>3313</v>
      </c>
      <c r="O66" s="4"/>
      <c r="Q66" s="4"/>
    </row>
    <row r="67" spans="1:17">
      <c r="A67" s="713" t="s">
        <v>7021</v>
      </c>
      <c r="B67" s="713" t="s">
        <v>4238</v>
      </c>
      <c r="C67" s="4" t="s">
        <v>11853</v>
      </c>
      <c r="D67" s="717">
        <v>1743</v>
      </c>
      <c r="E67" s="717">
        <v>1744</v>
      </c>
      <c r="F67" s="717">
        <v>1775</v>
      </c>
      <c r="G67" s="31">
        <v>1785</v>
      </c>
      <c r="H67" s="31">
        <v>1788</v>
      </c>
      <c r="I67" s="31">
        <v>1748</v>
      </c>
      <c r="J67" s="31">
        <v>1713</v>
      </c>
      <c r="K67" s="31">
        <v>1791</v>
      </c>
      <c r="L67" s="31">
        <v>1821</v>
      </c>
      <c r="N67" s="713" t="s">
        <v>3313</v>
      </c>
      <c r="O67" s="4"/>
      <c r="Q67" s="4"/>
    </row>
    <row r="68" spans="1:17">
      <c r="A68" s="713" t="s">
        <v>7023</v>
      </c>
      <c r="B68" s="713" t="s">
        <v>4239</v>
      </c>
      <c r="C68" s="4" t="s">
        <v>11854</v>
      </c>
      <c r="D68" s="717">
        <v>3237</v>
      </c>
      <c r="E68" s="717">
        <v>3226</v>
      </c>
      <c r="F68" s="717">
        <v>3244</v>
      </c>
      <c r="G68" s="31">
        <v>3261</v>
      </c>
      <c r="H68" s="31">
        <v>3248</v>
      </c>
      <c r="I68" s="31">
        <v>3223</v>
      </c>
      <c r="J68" s="31">
        <v>3234</v>
      </c>
      <c r="K68" s="31">
        <v>3328</v>
      </c>
      <c r="L68" s="31">
        <v>3317</v>
      </c>
      <c r="N68" s="713" t="s">
        <v>3313</v>
      </c>
      <c r="O68" s="4"/>
      <c r="Q68" s="4"/>
    </row>
    <row r="69" spans="1:17">
      <c r="A69" s="713" t="s">
        <v>7025</v>
      </c>
      <c r="B69" s="713" t="s">
        <v>4240</v>
      </c>
      <c r="C69" s="4" t="s">
        <v>11855</v>
      </c>
      <c r="D69" s="717">
        <v>1479</v>
      </c>
      <c r="E69" s="717">
        <v>1474</v>
      </c>
      <c r="F69" s="717">
        <v>1454</v>
      </c>
      <c r="G69" s="31">
        <v>1464</v>
      </c>
      <c r="H69" s="31">
        <v>1441</v>
      </c>
      <c r="I69" s="31">
        <v>1427</v>
      </c>
      <c r="J69" s="31">
        <v>1442</v>
      </c>
      <c r="K69" s="31">
        <v>1522</v>
      </c>
      <c r="L69" s="31">
        <v>1515</v>
      </c>
      <c r="N69" s="713" t="s">
        <v>3313</v>
      </c>
      <c r="O69" s="4"/>
      <c r="Q69" s="4"/>
    </row>
    <row r="70" spans="1:17">
      <c r="A70" s="713" t="s">
        <v>7570</v>
      </c>
      <c r="B70" s="713" t="s">
        <v>4241</v>
      </c>
      <c r="C70" s="4" t="s">
        <v>11856</v>
      </c>
      <c r="D70" s="717">
        <v>1825</v>
      </c>
      <c r="E70" s="717">
        <v>1846</v>
      </c>
      <c r="F70" s="717">
        <v>1849</v>
      </c>
      <c r="G70" s="31">
        <v>1846</v>
      </c>
      <c r="H70" s="31">
        <v>1834</v>
      </c>
      <c r="I70" s="31">
        <v>1800</v>
      </c>
      <c r="J70" s="31">
        <v>1785</v>
      </c>
      <c r="K70" s="31">
        <v>1873</v>
      </c>
      <c r="L70" s="31">
        <v>1880</v>
      </c>
      <c r="N70" s="713" t="s">
        <v>3313</v>
      </c>
      <c r="O70" s="4"/>
      <c r="Q70" s="4"/>
    </row>
    <row r="71" spans="1:17">
      <c r="A71" s="713" t="s">
        <v>7572</v>
      </c>
      <c r="B71" s="713" t="s">
        <v>4242</v>
      </c>
      <c r="C71" s="4" t="s">
        <v>11857</v>
      </c>
      <c r="D71" s="717">
        <v>3351</v>
      </c>
      <c r="E71" s="717">
        <v>3309</v>
      </c>
      <c r="F71" s="717">
        <v>3346</v>
      </c>
      <c r="G71" s="31">
        <v>3372</v>
      </c>
      <c r="H71" s="31">
        <v>3377</v>
      </c>
      <c r="I71" s="31">
        <v>3265</v>
      </c>
      <c r="J71" s="31">
        <v>3135</v>
      </c>
      <c r="K71" s="31">
        <v>3244</v>
      </c>
      <c r="L71" s="31">
        <v>3235</v>
      </c>
      <c r="N71" s="713" t="s">
        <v>3313</v>
      </c>
      <c r="O71" s="4"/>
      <c r="Q71" s="4"/>
    </row>
    <row r="72" spans="1:17">
      <c r="A72" s="713" t="s">
        <v>7573</v>
      </c>
      <c r="B72" s="713" t="s">
        <v>4243</v>
      </c>
      <c r="C72" s="4" t="s">
        <v>11858</v>
      </c>
      <c r="D72" s="717">
        <v>1793</v>
      </c>
      <c r="E72" s="717">
        <v>1781</v>
      </c>
      <c r="F72" s="717">
        <v>1766</v>
      </c>
      <c r="G72" s="31">
        <v>1761</v>
      </c>
      <c r="H72" s="31">
        <v>1765</v>
      </c>
      <c r="I72" s="31">
        <v>1759</v>
      </c>
      <c r="J72" s="31">
        <v>1756</v>
      </c>
      <c r="K72" s="31">
        <v>1853</v>
      </c>
      <c r="L72" s="31">
        <v>1871</v>
      </c>
      <c r="N72" s="713" t="s">
        <v>3313</v>
      </c>
      <c r="O72" s="4"/>
      <c r="Q72" s="4"/>
    </row>
    <row r="73" spans="1:17">
      <c r="A73" s="713" t="s">
        <v>5798</v>
      </c>
      <c r="B73" s="713" t="s">
        <v>4244</v>
      </c>
      <c r="C73" s="4" t="s">
        <v>11859</v>
      </c>
      <c r="D73" s="717">
        <v>3338</v>
      </c>
      <c r="E73" s="717">
        <v>3350</v>
      </c>
      <c r="F73" s="717">
        <v>3344</v>
      </c>
      <c r="G73" s="31">
        <v>3290</v>
      </c>
      <c r="H73" s="31">
        <v>3248</v>
      </c>
      <c r="I73" s="31">
        <v>3178</v>
      </c>
      <c r="J73" s="31">
        <v>3130</v>
      </c>
      <c r="K73" s="31">
        <v>3294</v>
      </c>
      <c r="L73" s="31">
        <v>3422</v>
      </c>
      <c r="N73" s="713" t="s">
        <v>3313</v>
      </c>
      <c r="O73" s="4"/>
      <c r="Q73" s="4"/>
    </row>
    <row r="74" spans="1:17">
      <c r="A74" s="713" t="s">
        <v>5799</v>
      </c>
      <c r="B74" s="713" t="s">
        <v>4245</v>
      </c>
      <c r="C74" s="4" t="s">
        <v>11860</v>
      </c>
      <c r="D74" s="717">
        <v>3404</v>
      </c>
      <c r="E74" s="717">
        <v>3438</v>
      </c>
      <c r="F74" s="717">
        <v>3479</v>
      </c>
      <c r="G74" s="31">
        <v>3491</v>
      </c>
      <c r="H74" s="31">
        <v>3493</v>
      </c>
      <c r="I74" s="31">
        <v>3419</v>
      </c>
      <c r="J74" s="31">
        <v>3312</v>
      </c>
      <c r="K74" s="31">
        <v>3534</v>
      </c>
      <c r="L74" s="31">
        <v>3599</v>
      </c>
      <c r="N74" s="713" t="s">
        <v>3313</v>
      </c>
      <c r="O74" s="4"/>
      <c r="Q74" s="4"/>
    </row>
    <row r="75" spans="1:17">
      <c r="A75" s="713" t="s">
        <v>5801</v>
      </c>
      <c r="B75" s="713" t="s">
        <v>4246</v>
      </c>
      <c r="C75" s="4" t="s">
        <v>11861</v>
      </c>
      <c r="D75" s="717">
        <v>3449</v>
      </c>
      <c r="E75" s="717">
        <v>3431</v>
      </c>
      <c r="F75" s="717">
        <v>3435</v>
      </c>
      <c r="G75" s="31">
        <v>3446</v>
      </c>
      <c r="H75" s="31">
        <v>3358</v>
      </c>
      <c r="I75" s="31">
        <v>3238</v>
      </c>
      <c r="J75" s="31">
        <v>3219</v>
      </c>
      <c r="K75" s="31">
        <v>3387</v>
      </c>
      <c r="L75" s="31">
        <v>3385</v>
      </c>
      <c r="N75" s="713" t="s">
        <v>3313</v>
      </c>
      <c r="O75" s="4"/>
      <c r="Q75" s="4"/>
    </row>
    <row r="76" spans="1:17">
      <c r="A76" s="713" t="s">
        <v>5927</v>
      </c>
      <c r="B76" s="713" t="s">
        <v>4247</v>
      </c>
      <c r="C76" s="4" t="s">
        <v>11862</v>
      </c>
      <c r="D76" s="717">
        <v>3257</v>
      </c>
      <c r="E76" s="717">
        <v>3252</v>
      </c>
      <c r="F76" s="717">
        <v>3271</v>
      </c>
      <c r="G76" s="31">
        <v>3353</v>
      </c>
      <c r="H76" s="31">
        <v>3348</v>
      </c>
      <c r="I76" s="31">
        <v>3306</v>
      </c>
      <c r="J76" s="31">
        <v>3317</v>
      </c>
      <c r="K76" s="31">
        <v>3454</v>
      </c>
      <c r="L76" s="31">
        <v>3473</v>
      </c>
      <c r="N76" s="713" t="s">
        <v>3313</v>
      </c>
      <c r="O76" s="4"/>
      <c r="Q76" s="4"/>
    </row>
    <row r="77" spans="1:17">
      <c r="D77" s="717"/>
      <c r="E77" s="717"/>
      <c r="F77" s="717"/>
      <c r="G77" s="717"/>
      <c r="H77" s="717"/>
      <c r="I77" s="717"/>
      <c r="J77" s="717"/>
      <c r="K77" s="717"/>
      <c r="L77" s="717"/>
    </row>
    <row r="78" spans="1:17" ht="16.5" customHeight="1">
      <c r="A78" s="713" t="s">
        <v>4248</v>
      </c>
      <c r="D78" s="716">
        <f t="shared" ref="D78:I78" si="93">SUM(D50:D76)</f>
        <v>69365</v>
      </c>
      <c r="E78" s="716">
        <f t="shared" si="93"/>
        <v>69609</v>
      </c>
      <c r="F78" s="716">
        <f t="shared" si="93"/>
        <v>69910</v>
      </c>
      <c r="G78" s="716">
        <f t="shared" si="93"/>
        <v>70307</v>
      </c>
      <c r="H78" s="716">
        <f t="shared" si="93"/>
        <v>70322</v>
      </c>
      <c r="I78" s="716">
        <f t="shared" si="93"/>
        <v>69094</v>
      </c>
      <c r="J78" s="716">
        <f t="shared" ref="J78:K78" si="94">SUM(J50:J76)</f>
        <v>68206</v>
      </c>
      <c r="K78" s="716">
        <f t="shared" si="94"/>
        <v>71175</v>
      </c>
      <c r="L78" s="716">
        <f t="shared" ref="L78" si="95">SUM(L50:L76)</f>
        <v>71840</v>
      </c>
    </row>
    <row r="79" spans="1:17" ht="16.5" customHeight="1">
      <c r="A79" s="713"/>
      <c r="D79" s="716"/>
      <c r="E79" s="716"/>
      <c r="F79" s="716"/>
      <c r="G79" s="716"/>
      <c r="H79" s="716"/>
      <c r="I79" s="716"/>
      <c r="J79" s="716"/>
      <c r="K79" s="716"/>
      <c r="L79" s="716"/>
    </row>
    <row r="80" spans="1:17" ht="16.5" customHeight="1">
      <c r="A80" s="713" t="s">
        <v>4249</v>
      </c>
      <c r="D80" s="716"/>
      <c r="E80" s="716"/>
      <c r="F80" s="716"/>
      <c r="G80" s="716"/>
      <c r="H80" s="716"/>
      <c r="I80" s="716"/>
      <c r="J80" s="716"/>
      <c r="K80" s="716"/>
      <c r="L80" s="716"/>
    </row>
    <row r="81" spans="1:17" ht="16.5" customHeight="1">
      <c r="A81" s="714" t="s">
        <v>4250</v>
      </c>
      <c r="D81" s="716"/>
      <c r="E81" s="716"/>
      <c r="F81" s="716"/>
      <c r="G81" s="716"/>
      <c r="H81" s="716"/>
      <c r="I81" s="716"/>
      <c r="J81" s="716"/>
      <c r="K81" s="716"/>
      <c r="L81" s="716"/>
    </row>
    <row r="82" spans="1:17" ht="16.5" customHeight="1">
      <c r="A82" s="713"/>
      <c r="B82" s="713"/>
      <c r="D82" s="722"/>
      <c r="E82" s="722"/>
      <c r="F82" s="722"/>
      <c r="G82" s="722"/>
      <c r="H82" s="722"/>
      <c r="I82" s="722"/>
      <c r="J82" s="722"/>
      <c r="K82" s="722"/>
      <c r="L82" s="722"/>
    </row>
    <row r="83" spans="1:17" ht="16.5" customHeight="1">
      <c r="A83" s="713"/>
      <c r="B83" s="713"/>
      <c r="D83" s="722"/>
      <c r="E83" s="722"/>
      <c r="F83" s="722"/>
      <c r="G83" s="722"/>
      <c r="H83" s="722"/>
      <c r="I83" s="722"/>
      <c r="J83" s="722"/>
      <c r="K83" s="722"/>
      <c r="L83" s="722"/>
    </row>
    <row r="84" spans="1:17" ht="16.5" customHeight="1">
      <c r="E84" s="42" t="s">
        <v>2303</v>
      </c>
      <c r="F84" s="42"/>
      <c r="G84" s="42"/>
      <c r="H84" s="42"/>
      <c r="I84" s="42"/>
      <c r="J84" s="42"/>
      <c r="K84" s="42"/>
      <c r="L84" s="42"/>
      <c r="M84" s="109"/>
      <c r="N84" s="109" t="s">
        <v>13319</v>
      </c>
    </row>
    <row r="85" spans="1:17">
      <c r="D85" s="110">
        <v>2010</v>
      </c>
      <c r="E85" s="110">
        <v>2011</v>
      </c>
      <c r="F85" s="110">
        <v>2012</v>
      </c>
      <c r="G85" s="110">
        <v>2013</v>
      </c>
      <c r="H85" s="110">
        <v>2014</v>
      </c>
      <c r="I85" s="110">
        <v>2015</v>
      </c>
      <c r="J85" s="110">
        <v>2016</v>
      </c>
      <c r="K85" s="110">
        <v>2017</v>
      </c>
      <c r="L85" s="110">
        <v>2018</v>
      </c>
      <c r="M85" s="109"/>
      <c r="N85" s="112" t="s">
        <v>2304</v>
      </c>
    </row>
    <row r="86" spans="1:17">
      <c r="A86" s="713" t="s">
        <v>4251</v>
      </c>
      <c r="D86" s="716">
        <f t="shared" ref="D86:I86" si="96">SUM(D87:D100)</f>
        <v>36178</v>
      </c>
      <c r="E86" s="716">
        <f t="shared" si="96"/>
        <v>37584</v>
      </c>
      <c r="F86" s="716">
        <f t="shared" si="96"/>
        <v>37950</v>
      </c>
      <c r="G86" s="716">
        <f t="shared" si="96"/>
        <v>38412</v>
      </c>
      <c r="H86" s="716">
        <f t="shared" si="96"/>
        <v>37709</v>
      </c>
      <c r="I86" s="716">
        <f t="shared" si="96"/>
        <v>37485</v>
      </c>
      <c r="J86" s="716">
        <f t="shared" ref="J86:K86" si="97">SUM(J87:J100)</f>
        <v>36057</v>
      </c>
      <c r="K86" s="716">
        <f t="shared" si="97"/>
        <v>38139</v>
      </c>
      <c r="L86" s="716">
        <f t="shared" ref="L86" si="98">SUM(L87:L100)</f>
        <v>37771</v>
      </c>
    </row>
    <row r="87" spans="1:17">
      <c r="A87" s="713" t="s">
        <v>6957</v>
      </c>
      <c r="B87" s="713" t="s">
        <v>4656</v>
      </c>
      <c r="C87" s="4" t="s">
        <v>11863</v>
      </c>
      <c r="D87" s="717">
        <v>2524</v>
      </c>
      <c r="E87" s="717">
        <v>2604</v>
      </c>
      <c r="F87" s="717">
        <v>2643</v>
      </c>
      <c r="G87" s="30">
        <v>2652</v>
      </c>
      <c r="H87" s="30">
        <v>2536</v>
      </c>
      <c r="I87" s="30">
        <v>2487</v>
      </c>
      <c r="J87" s="30">
        <v>2398</v>
      </c>
      <c r="K87" s="30">
        <v>2422</v>
      </c>
      <c r="L87" s="30">
        <v>2285</v>
      </c>
      <c r="N87" s="713" t="s">
        <v>3317</v>
      </c>
      <c r="O87" s="4"/>
      <c r="Q87" s="4"/>
    </row>
    <row r="88" spans="1:17">
      <c r="A88" s="713" t="s">
        <v>6959</v>
      </c>
      <c r="B88" s="713" t="s">
        <v>4252</v>
      </c>
      <c r="C88" s="4" t="s">
        <v>11864</v>
      </c>
      <c r="D88" s="717">
        <v>3886</v>
      </c>
      <c r="E88" s="717">
        <v>3973</v>
      </c>
      <c r="F88" s="717">
        <v>3947</v>
      </c>
      <c r="G88" s="30">
        <v>3971</v>
      </c>
      <c r="H88" s="30">
        <v>3915</v>
      </c>
      <c r="I88" s="30">
        <v>3854</v>
      </c>
      <c r="J88" s="30">
        <v>3701</v>
      </c>
      <c r="K88" s="30">
        <v>3881</v>
      </c>
      <c r="L88" s="30">
        <v>3811</v>
      </c>
      <c r="N88" s="713" t="s">
        <v>3317</v>
      </c>
      <c r="O88" s="4"/>
      <c r="Q88" s="4"/>
    </row>
    <row r="89" spans="1:17">
      <c r="A89" s="713" t="s">
        <v>6961</v>
      </c>
      <c r="B89" s="713" t="s">
        <v>4253</v>
      </c>
      <c r="C89" s="4" t="s">
        <v>11865</v>
      </c>
      <c r="D89" s="717">
        <v>2593</v>
      </c>
      <c r="E89" s="717">
        <v>2641</v>
      </c>
      <c r="F89" s="717">
        <v>2677</v>
      </c>
      <c r="G89" s="30">
        <v>2683</v>
      </c>
      <c r="H89" s="30">
        <v>2663</v>
      </c>
      <c r="I89" s="30">
        <v>2595</v>
      </c>
      <c r="J89" s="30">
        <v>2475</v>
      </c>
      <c r="K89" s="30">
        <v>2597</v>
      </c>
      <c r="L89" s="30">
        <v>2580</v>
      </c>
      <c r="N89" s="713" t="s">
        <v>3317</v>
      </c>
      <c r="O89" s="4"/>
      <c r="Q89" s="4"/>
    </row>
    <row r="90" spans="1:17">
      <c r="A90" s="713" t="s">
        <v>6963</v>
      </c>
      <c r="B90" s="713" t="s">
        <v>3473</v>
      </c>
      <c r="C90" s="4" t="s">
        <v>11866</v>
      </c>
      <c r="D90" s="717">
        <v>2945</v>
      </c>
      <c r="E90" s="717">
        <v>3084</v>
      </c>
      <c r="F90" s="717">
        <v>3091</v>
      </c>
      <c r="G90" s="30">
        <v>3191</v>
      </c>
      <c r="H90" s="30">
        <v>3231</v>
      </c>
      <c r="I90" s="30">
        <v>3244</v>
      </c>
      <c r="J90" s="30">
        <v>3173</v>
      </c>
      <c r="K90" s="30">
        <v>3513</v>
      </c>
      <c r="L90" s="30">
        <v>3584</v>
      </c>
      <c r="N90" s="713" t="s">
        <v>3317</v>
      </c>
      <c r="O90" s="4"/>
      <c r="Q90" s="4"/>
    </row>
    <row r="91" spans="1:17">
      <c r="A91" s="713" t="s">
        <v>6965</v>
      </c>
      <c r="B91" s="713" t="s">
        <v>3474</v>
      </c>
      <c r="C91" s="4" t="s">
        <v>11867</v>
      </c>
      <c r="D91" s="717">
        <v>1571</v>
      </c>
      <c r="E91" s="717">
        <v>1561</v>
      </c>
      <c r="F91" s="717">
        <v>1568</v>
      </c>
      <c r="G91" s="30">
        <v>1540</v>
      </c>
      <c r="H91" s="30">
        <v>1537</v>
      </c>
      <c r="I91" s="30">
        <v>1528</v>
      </c>
      <c r="J91" s="30">
        <v>1430</v>
      </c>
      <c r="K91" s="30">
        <v>1527</v>
      </c>
      <c r="L91" s="30">
        <v>1555</v>
      </c>
      <c r="N91" s="713" t="s">
        <v>3317</v>
      </c>
      <c r="O91" s="4"/>
      <c r="Q91" s="4"/>
    </row>
    <row r="92" spans="1:17">
      <c r="A92" s="713" t="s">
        <v>6997</v>
      </c>
      <c r="B92" s="713" t="s">
        <v>3475</v>
      </c>
      <c r="C92" s="4" t="s">
        <v>11868</v>
      </c>
      <c r="D92" s="717">
        <v>2738</v>
      </c>
      <c r="E92" s="717">
        <v>2778</v>
      </c>
      <c r="F92" s="717">
        <v>2787</v>
      </c>
      <c r="G92" s="30">
        <v>2783</v>
      </c>
      <c r="H92" s="30">
        <v>2651</v>
      </c>
      <c r="I92" s="30">
        <v>2678</v>
      </c>
      <c r="J92" s="30">
        <v>2595</v>
      </c>
      <c r="K92" s="30">
        <v>2710</v>
      </c>
      <c r="L92" s="30">
        <v>2723</v>
      </c>
      <c r="N92" s="713" t="s">
        <v>3317</v>
      </c>
      <c r="O92" s="4"/>
      <c r="Q92" s="4"/>
    </row>
    <row r="93" spans="1:17">
      <c r="A93" s="713" t="s">
        <v>6999</v>
      </c>
      <c r="B93" s="713" t="s">
        <v>3476</v>
      </c>
      <c r="C93" s="4" t="s">
        <v>11869</v>
      </c>
      <c r="D93" s="717">
        <v>1387</v>
      </c>
      <c r="E93" s="717">
        <v>1401</v>
      </c>
      <c r="F93" s="717">
        <v>1376</v>
      </c>
      <c r="G93" s="30">
        <v>1395</v>
      </c>
      <c r="H93" s="30">
        <v>1312</v>
      </c>
      <c r="I93" s="30">
        <v>1327</v>
      </c>
      <c r="J93" s="30">
        <v>1297</v>
      </c>
      <c r="K93" s="30">
        <v>1357</v>
      </c>
      <c r="L93" s="30">
        <v>1373</v>
      </c>
      <c r="N93" s="713" t="s">
        <v>3317</v>
      </c>
      <c r="O93" s="4"/>
      <c r="Q93" s="4"/>
    </row>
    <row r="94" spans="1:17">
      <c r="A94" s="713" t="s">
        <v>7001</v>
      </c>
      <c r="B94" s="713" t="s">
        <v>3477</v>
      </c>
      <c r="C94" s="4" t="s">
        <v>11870</v>
      </c>
      <c r="D94" s="717">
        <v>3043</v>
      </c>
      <c r="E94" s="717">
        <v>3110</v>
      </c>
      <c r="F94" s="717">
        <v>3131</v>
      </c>
      <c r="G94" s="30">
        <v>3153</v>
      </c>
      <c r="H94" s="30">
        <v>3223</v>
      </c>
      <c r="I94" s="30">
        <v>3158</v>
      </c>
      <c r="J94" s="30">
        <v>3066</v>
      </c>
      <c r="K94" s="30">
        <v>3189</v>
      </c>
      <c r="L94" s="30">
        <v>3207</v>
      </c>
      <c r="N94" s="713" t="s">
        <v>3317</v>
      </c>
      <c r="O94" s="4"/>
      <c r="Q94" s="4"/>
    </row>
    <row r="95" spans="1:17">
      <c r="A95" s="713" t="s">
        <v>7003</v>
      </c>
      <c r="B95" s="713" t="s">
        <v>7605</v>
      </c>
      <c r="C95" s="4" t="s">
        <v>11871</v>
      </c>
      <c r="D95" s="717">
        <v>1220</v>
      </c>
      <c r="E95" s="717">
        <v>1296</v>
      </c>
      <c r="F95" s="717">
        <v>1301</v>
      </c>
      <c r="G95" s="30">
        <v>1296</v>
      </c>
      <c r="H95" s="30">
        <v>1202</v>
      </c>
      <c r="I95" s="30">
        <v>1272</v>
      </c>
      <c r="J95" s="30">
        <v>1267</v>
      </c>
      <c r="K95" s="30">
        <v>1329</v>
      </c>
      <c r="L95" s="30">
        <v>1356</v>
      </c>
      <c r="N95" s="713" t="s">
        <v>3317</v>
      </c>
      <c r="O95" s="4"/>
      <c r="Q95" s="4"/>
    </row>
    <row r="96" spans="1:17">
      <c r="A96" s="713" t="s">
        <v>7005</v>
      </c>
      <c r="B96" s="713" t="s">
        <v>6980</v>
      </c>
      <c r="C96" s="4" t="s">
        <v>11872</v>
      </c>
      <c r="D96" s="717">
        <v>2662</v>
      </c>
      <c r="E96" s="717">
        <v>2774</v>
      </c>
      <c r="F96" s="717">
        <v>2870</v>
      </c>
      <c r="G96" s="30">
        <v>2909</v>
      </c>
      <c r="H96" s="30">
        <v>2701</v>
      </c>
      <c r="I96" s="30">
        <v>2707</v>
      </c>
      <c r="J96" s="30">
        <v>2632</v>
      </c>
      <c r="K96" s="30">
        <v>2781</v>
      </c>
      <c r="L96" s="30">
        <v>2837</v>
      </c>
      <c r="N96" s="713" t="s">
        <v>3317</v>
      </c>
      <c r="O96" s="4"/>
      <c r="Q96" s="4"/>
    </row>
    <row r="97" spans="1:17">
      <c r="A97" s="713" t="s">
        <v>7007</v>
      </c>
      <c r="B97" s="713" t="s">
        <v>3478</v>
      </c>
      <c r="C97" s="4" t="s">
        <v>11873</v>
      </c>
      <c r="D97" s="717">
        <v>1935</v>
      </c>
      <c r="E97" s="717">
        <v>2224</v>
      </c>
      <c r="F97" s="717">
        <v>2400</v>
      </c>
      <c r="G97" s="30">
        <v>2575</v>
      </c>
      <c r="H97" s="30">
        <v>2767</v>
      </c>
      <c r="I97" s="30">
        <v>2759</v>
      </c>
      <c r="J97" s="30">
        <v>2761</v>
      </c>
      <c r="K97" s="30">
        <v>3008</v>
      </c>
      <c r="L97" s="30">
        <v>3009</v>
      </c>
      <c r="N97" s="713" t="s">
        <v>3317</v>
      </c>
      <c r="O97" s="4"/>
      <c r="Q97" s="4"/>
    </row>
    <row r="98" spans="1:17">
      <c r="A98" s="713" t="s">
        <v>7009</v>
      </c>
      <c r="B98" s="713" t="s">
        <v>8835</v>
      </c>
      <c r="C98" s="4" t="s">
        <v>11874</v>
      </c>
      <c r="D98" s="717">
        <v>4141</v>
      </c>
      <c r="E98" s="717">
        <v>4158</v>
      </c>
      <c r="F98" s="717">
        <v>4104</v>
      </c>
      <c r="G98" s="30">
        <v>4154</v>
      </c>
      <c r="H98" s="30">
        <v>3966</v>
      </c>
      <c r="I98" s="30">
        <v>3942</v>
      </c>
      <c r="J98" s="30">
        <v>3680</v>
      </c>
      <c r="K98" s="30">
        <v>3833</v>
      </c>
      <c r="L98" s="30">
        <v>3691</v>
      </c>
      <c r="N98" s="713" t="s">
        <v>3317</v>
      </c>
      <c r="O98" s="4"/>
      <c r="Q98" s="4"/>
    </row>
    <row r="99" spans="1:17">
      <c r="A99" s="713" t="s">
        <v>7011</v>
      </c>
      <c r="B99" s="713" t="s">
        <v>3479</v>
      </c>
      <c r="C99" s="4" t="s">
        <v>11875</v>
      </c>
      <c r="D99" s="717">
        <v>4250</v>
      </c>
      <c r="E99" s="717">
        <v>4653</v>
      </c>
      <c r="F99" s="717">
        <v>4728</v>
      </c>
      <c r="G99" s="30">
        <v>4728</v>
      </c>
      <c r="H99" s="30">
        <v>4623</v>
      </c>
      <c r="I99" s="30">
        <v>4524</v>
      </c>
      <c r="J99" s="30">
        <v>4219</v>
      </c>
      <c r="K99" s="30">
        <v>4453</v>
      </c>
      <c r="L99" s="30">
        <v>4217</v>
      </c>
      <c r="N99" s="713" t="s">
        <v>3317</v>
      </c>
      <c r="O99" s="4"/>
      <c r="Q99" s="4"/>
    </row>
    <row r="100" spans="1:17">
      <c r="A100" s="713" t="s">
        <v>7013</v>
      </c>
      <c r="B100" s="713" t="s">
        <v>4070</v>
      </c>
      <c r="C100" s="4" t="s">
        <v>11876</v>
      </c>
      <c r="D100" s="717">
        <v>1283</v>
      </c>
      <c r="E100" s="717">
        <v>1327</v>
      </c>
      <c r="F100" s="717">
        <v>1327</v>
      </c>
      <c r="G100" s="30">
        <v>1382</v>
      </c>
      <c r="H100" s="30">
        <v>1382</v>
      </c>
      <c r="I100" s="30">
        <v>1410</v>
      </c>
      <c r="J100" s="30">
        <v>1363</v>
      </c>
      <c r="K100" s="30">
        <v>1539</v>
      </c>
      <c r="L100" s="30">
        <v>1543</v>
      </c>
      <c r="N100" s="713" t="s">
        <v>3317</v>
      </c>
      <c r="O100" s="4"/>
      <c r="Q100" s="4"/>
    </row>
    <row r="101" spans="1:17">
      <c r="D101" s="717"/>
      <c r="E101" s="717"/>
      <c r="F101" s="717"/>
      <c r="G101" s="717"/>
      <c r="H101" s="717"/>
      <c r="I101" s="717"/>
      <c r="J101" s="717"/>
      <c r="K101" s="717"/>
      <c r="L101" s="717"/>
    </row>
    <row r="102" spans="1:17" ht="15.75" customHeight="1">
      <c r="A102" s="713" t="s">
        <v>3480</v>
      </c>
      <c r="D102" s="716">
        <f t="shared" ref="D102:I102" si="99">SUM(D87:D100)</f>
        <v>36178</v>
      </c>
      <c r="E102" s="716">
        <f t="shared" si="99"/>
        <v>37584</v>
      </c>
      <c r="F102" s="716">
        <f t="shared" si="99"/>
        <v>37950</v>
      </c>
      <c r="G102" s="716">
        <f t="shared" si="99"/>
        <v>38412</v>
      </c>
      <c r="H102" s="716">
        <f t="shared" si="99"/>
        <v>37709</v>
      </c>
      <c r="I102" s="716">
        <f t="shared" si="99"/>
        <v>37485</v>
      </c>
      <c r="J102" s="716">
        <f t="shared" ref="J102:K102" si="100">SUM(J87:J100)</f>
        <v>36057</v>
      </c>
      <c r="K102" s="716">
        <f t="shared" si="100"/>
        <v>38139</v>
      </c>
      <c r="L102" s="716">
        <f t="shared" ref="L102" si="101">SUM(L87:L100)</f>
        <v>37771</v>
      </c>
      <c r="M102" s="722"/>
    </row>
    <row r="103" spans="1:17" ht="15.75" customHeight="1">
      <c r="A103" s="713"/>
      <c r="D103" s="716"/>
      <c r="E103" s="716"/>
      <c r="F103" s="716"/>
      <c r="G103" s="716"/>
      <c r="H103" s="716"/>
      <c r="I103" s="716"/>
      <c r="J103" s="716"/>
      <c r="K103" s="716"/>
      <c r="L103" s="716"/>
      <c r="M103" s="722"/>
    </row>
    <row r="104" spans="1:17" ht="15.75" customHeight="1">
      <c r="A104" s="713" t="s">
        <v>3481</v>
      </c>
      <c r="D104" s="716"/>
      <c r="E104" s="716"/>
      <c r="F104" s="716"/>
      <c r="G104" s="716"/>
      <c r="H104" s="716"/>
      <c r="I104" s="716"/>
      <c r="J104" s="716"/>
      <c r="K104" s="716"/>
      <c r="L104" s="716"/>
      <c r="M104" s="722"/>
    </row>
    <row r="105" spans="1:17" ht="15.75" customHeight="1">
      <c r="B105" s="713"/>
      <c r="D105" s="722"/>
      <c r="E105" s="722"/>
      <c r="F105" s="722"/>
      <c r="G105" s="722"/>
      <c r="H105" s="722"/>
      <c r="I105" s="722"/>
      <c r="J105" s="722"/>
      <c r="K105" s="722"/>
      <c r="L105" s="722"/>
      <c r="M105" s="722"/>
    </row>
    <row r="106" spans="1:17" ht="15.75" customHeight="1">
      <c r="A106" s="713"/>
      <c r="B106" s="713"/>
      <c r="D106" s="722"/>
      <c r="E106" s="722"/>
      <c r="F106" s="722"/>
      <c r="G106" s="722"/>
      <c r="H106" s="722"/>
      <c r="I106" s="722"/>
      <c r="J106" s="722"/>
      <c r="K106" s="722"/>
      <c r="L106" s="722"/>
      <c r="M106" s="722"/>
    </row>
    <row r="107" spans="1:17" ht="15.75" customHeight="1">
      <c r="E107" s="42" t="s">
        <v>2303</v>
      </c>
      <c r="F107" s="42"/>
      <c r="G107" s="42"/>
      <c r="H107" s="42"/>
      <c r="I107" s="42"/>
      <c r="J107" s="42"/>
      <c r="K107" s="42"/>
      <c r="L107" s="42"/>
      <c r="M107" s="109"/>
      <c r="N107" s="109" t="s">
        <v>13319</v>
      </c>
    </row>
    <row r="108" spans="1:17">
      <c r="D108" s="110">
        <v>2010</v>
      </c>
      <c r="E108" s="110">
        <v>2011</v>
      </c>
      <c r="F108" s="110">
        <v>2012</v>
      </c>
      <c r="G108" s="110">
        <v>2013</v>
      </c>
      <c r="H108" s="110">
        <v>2014</v>
      </c>
      <c r="I108" s="110">
        <v>2015</v>
      </c>
      <c r="J108" s="110">
        <v>2016</v>
      </c>
      <c r="K108" s="110">
        <v>2017</v>
      </c>
      <c r="L108" s="110">
        <v>2018</v>
      </c>
      <c r="M108" s="109"/>
      <c r="N108" s="112" t="s">
        <v>2304</v>
      </c>
    </row>
    <row r="109" spans="1:17">
      <c r="A109" s="713" t="s">
        <v>3482</v>
      </c>
      <c r="D109" s="716">
        <f t="shared" ref="D109:I109" si="102">SUM(D110:D125)</f>
        <v>94748</v>
      </c>
      <c r="E109" s="716">
        <f t="shared" si="102"/>
        <v>93141</v>
      </c>
      <c r="F109" s="716">
        <f t="shared" si="102"/>
        <v>94517</v>
      </c>
      <c r="G109" s="716">
        <f t="shared" si="102"/>
        <v>94107</v>
      </c>
      <c r="H109" s="716">
        <f t="shared" si="102"/>
        <v>93983</v>
      </c>
      <c r="I109" s="716">
        <f t="shared" si="102"/>
        <v>90508</v>
      </c>
      <c r="J109" s="716">
        <f t="shared" ref="J109:K109" si="103">SUM(J110:J125)</f>
        <v>87527</v>
      </c>
      <c r="K109" s="716">
        <f t="shared" si="103"/>
        <v>89624</v>
      </c>
      <c r="L109" s="716">
        <f t="shared" ref="L109" si="104">SUM(L110:L125)</f>
        <v>90544</v>
      </c>
      <c r="M109" s="722"/>
    </row>
    <row r="110" spans="1:17">
      <c r="A110" s="713" t="s">
        <v>6957</v>
      </c>
      <c r="B110" s="713" t="s">
        <v>7394</v>
      </c>
      <c r="C110" s="4" t="s">
        <v>11877</v>
      </c>
      <c r="D110" s="717">
        <v>6004</v>
      </c>
      <c r="E110" s="717">
        <v>5730</v>
      </c>
      <c r="F110" s="717">
        <v>6013</v>
      </c>
      <c r="G110" s="30">
        <v>5662</v>
      </c>
      <c r="H110" s="30">
        <v>6086</v>
      </c>
      <c r="I110" s="30">
        <v>5714</v>
      </c>
      <c r="J110" s="30">
        <v>5618</v>
      </c>
      <c r="K110" s="30">
        <v>5879</v>
      </c>
      <c r="L110" s="30">
        <v>6025</v>
      </c>
      <c r="N110" s="713" t="s">
        <v>3312</v>
      </c>
      <c r="O110" s="70"/>
      <c r="Q110" s="4"/>
    </row>
    <row r="111" spans="1:17">
      <c r="A111" s="713" t="s">
        <v>6959</v>
      </c>
      <c r="B111" s="713" t="s">
        <v>2645</v>
      </c>
      <c r="C111" s="4" t="s">
        <v>11878</v>
      </c>
      <c r="D111" s="717">
        <v>5772</v>
      </c>
      <c r="E111" s="717">
        <v>5636</v>
      </c>
      <c r="F111" s="717">
        <v>5649</v>
      </c>
      <c r="G111" s="30">
        <v>5709</v>
      </c>
      <c r="H111" s="30">
        <v>5669</v>
      </c>
      <c r="I111" s="30">
        <v>5580</v>
      </c>
      <c r="J111" s="30">
        <v>5434</v>
      </c>
      <c r="K111" s="30">
        <v>5541</v>
      </c>
      <c r="L111" s="30">
        <v>5624</v>
      </c>
      <c r="N111" s="713" t="s">
        <v>3312</v>
      </c>
      <c r="O111" s="70"/>
      <c r="Q111" s="4"/>
    </row>
    <row r="112" spans="1:17">
      <c r="A112" s="713" t="s">
        <v>6961</v>
      </c>
      <c r="B112" s="713" t="s">
        <v>2854</v>
      </c>
      <c r="C112" s="4" t="s">
        <v>11879</v>
      </c>
      <c r="D112" s="717">
        <v>5913</v>
      </c>
      <c r="E112" s="717">
        <v>5928</v>
      </c>
      <c r="F112" s="717">
        <v>6038</v>
      </c>
      <c r="G112" s="30">
        <v>5891</v>
      </c>
      <c r="H112" s="30">
        <v>5849</v>
      </c>
      <c r="I112" s="30">
        <v>5555</v>
      </c>
      <c r="J112" s="30">
        <v>5223</v>
      </c>
      <c r="K112" s="30">
        <v>5489</v>
      </c>
      <c r="L112" s="30">
        <v>5566</v>
      </c>
      <c r="N112" s="713" t="s">
        <v>3312</v>
      </c>
      <c r="O112" s="70"/>
      <c r="Q112" s="4"/>
    </row>
    <row r="113" spans="1:17">
      <c r="A113" s="713" t="s">
        <v>6963</v>
      </c>
      <c r="B113" s="713" t="s">
        <v>2646</v>
      </c>
      <c r="C113" s="4" t="s">
        <v>11880</v>
      </c>
      <c r="D113" s="717">
        <v>5899</v>
      </c>
      <c r="E113" s="717">
        <v>5976</v>
      </c>
      <c r="F113" s="717">
        <v>5905</v>
      </c>
      <c r="G113" s="30">
        <v>5873</v>
      </c>
      <c r="H113" s="30">
        <v>5834</v>
      </c>
      <c r="I113" s="30">
        <v>5731</v>
      </c>
      <c r="J113" s="30">
        <v>5582</v>
      </c>
      <c r="K113" s="30">
        <v>5605</v>
      </c>
      <c r="L113" s="30">
        <v>5612</v>
      </c>
      <c r="N113" s="713" t="s">
        <v>4298</v>
      </c>
      <c r="O113" s="70"/>
      <c r="Q113" s="4"/>
    </row>
    <row r="114" spans="1:17">
      <c r="A114" s="713" t="s">
        <v>6965</v>
      </c>
      <c r="B114" s="713" t="s">
        <v>2647</v>
      </c>
      <c r="C114" s="4" t="s">
        <v>11881</v>
      </c>
      <c r="D114" s="717">
        <v>6154</v>
      </c>
      <c r="E114" s="717">
        <v>6180</v>
      </c>
      <c r="F114" s="717">
        <v>6145</v>
      </c>
      <c r="G114" s="30">
        <v>6168</v>
      </c>
      <c r="H114" s="30">
        <v>6141</v>
      </c>
      <c r="I114" s="30">
        <v>5963</v>
      </c>
      <c r="J114" s="30">
        <v>5747</v>
      </c>
      <c r="K114" s="30">
        <v>5852</v>
      </c>
      <c r="L114" s="30">
        <v>5873</v>
      </c>
      <c r="N114" s="713" t="s">
        <v>3312</v>
      </c>
      <c r="O114" s="70"/>
      <c r="Q114" s="4"/>
    </row>
    <row r="115" spans="1:17">
      <c r="A115" s="713" t="s">
        <v>6997</v>
      </c>
      <c r="B115" s="713" t="s">
        <v>2648</v>
      </c>
      <c r="C115" s="4" t="s">
        <v>11882</v>
      </c>
      <c r="D115" s="717">
        <v>5820</v>
      </c>
      <c r="E115" s="717">
        <v>5901</v>
      </c>
      <c r="F115" s="717">
        <v>5971</v>
      </c>
      <c r="G115" s="30">
        <v>5924</v>
      </c>
      <c r="H115" s="30">
        <v>5735</v>
      </c>
      <c r="I115" s="30">
        <v>5375</v>
      </c>
      <c r="J115" s="30">
        <v>5191</v>
      </c>
      <c r="K115" s="30">
        <v>5386</v>
      </c>
      <c r="L115" s="30">
        <v>5529</v>
      </c>
      <c r="N115" s="713" t="s">
        <v>3312</v>
      </c>
      <c r="O115" s="70"/>
      <c r="Q115" s="4"/>
    </row>
    <row r="116" spans="1:17">
      <c r="A116" s="713" t="s">
        <v>6999</v>
      </c>
      <c r="B116" s="713" t="s">
        <v>2659</v>
      </c>
      <c r="C116" s="4" t="s">
        <v>11883</v>
      </c>
      <c r="D116" s="717">
        <v>5427</v>
      </c>
      <c r="E116" s="717">
        <v>5323</v>
      </c>
      <c r="F116" s="717">
        <v>5509</v>
      </c>
      <c r="G116" s="30">
        <v>5542</v>
      </c>
      <c r="H116" s="30">
        <v>5571</v>
      </c>
      <c r="I116" s="30">
        <v>5287</v>
      </c>
      <c r="J116" s="30">
        <v>5040</v>
      </c>
      <c r="K116" s="30">
        <v>5111</v>
      </c>
      <c r="L116" s="30">
        <v>5224</v>
      </c>
      <c r="N116" s="713" t="s">
        <v>3312</v>
      </c>
      <c r="O116" s="70"/>
      <c r="Q116" s="4"/>
    </row>
    <row r="117" spans="1:17">
      <c r="A117" s="713" t="s">
        <v>7001</v>
      </c>
      <c r="B117" s="713" t="s">
        <v>2660</v>
      </c>
      <c r="C117" s="4" t="s">
        <v>11884</v>
      </c>
      <c r="D117" s="717">
        <v>6271</v>
      </c>
      <c r="E117" s="717">
        <v>6036</v>
      </c>
      <c r="F117" s="717">
        <v>6233</v>
      </c>
      <c r="G117" s="30">
        <v>6254</v>
      </c>
      <c r="H117" s="30">
        <v>6237</v>
      </c>
      <c r="I117" s="30">
        <v>5994</v>
      </c>
      <c r="J117" s="30">
        <v>5796</v>
      </c>
      <c r="K117" s="30">
        <v>6034</v>
      </c>
      <c r="L117" s="30">
        <v>6216</v>
      </c>
      <c r="N117" s="713" t="s">
        <v>3312</v>
      </c>
      <c r="O117" s="70"/>
      <c r="Q117" s="4"/>
    </row>
    <row r="118" spans="1:17">
      <c r="A118" s="713" t="s">
        <v>7003</v>
      </c>
      <c r="B118" s="713" t="s">
        <v>2661</v>
      </c>
      <c r="C118" s="4" t="s">
        <v>11885</v>
      </c>
      <c r="D118" s="717">
        <v>6105</v>
      </c>
      <c r="E118" s="717">
        <v>6112</v>
      </c>
      <c r="F118" s="717">
        <v>6091</v>
      </c>
      <c r="G118" s="30">
        <v>6122</v>
      </c>
      <c r="H118" s="30">
        <v>6145</v>
      </c>
      <c r="I118" s="30">
        <v>6056</v>
      </c>
      <c r="J118" s="30">
        <v>5862</v>
      </c>
      <c r="K118" s="30">
        <v>5982</v>
      </c>
      <c r="L118" s="30">
        <v>6018</v>
      </c>
      <c r="N118" s="713" t="s">
        <v>3312</v>
      </c>
      <c r="O118" s="70"/>
      <c r="Q118" s="4"/>
    </row>
    <row r="119" spans="1:17">
      <c r="A119" s="713" t="s">
        <v>7005</v>
      </c>
      <c r="B119" s="713" t="s">
        <v>6414</v>
      </c>
      <c r="C119" s="4" t="s">
        <v>11886</v>
      </c>
      <c r="D119" s="717">
        <v>6445</v>
      </c>
      <c r="E119" s="717">
        <v>6384</v>
      </c>
      <c r="F119" s="717">
        <v>6558</v>
      </c>
      <c r="G119" s="30">
        <v>5379</v>
      </c>
      <c r="H119" s="30">
        <v>6508</v>
      </c>
      <c r="I119" s="30">
        <v>6368</v>
      </c>
      <c r="J119" s="30">
        <v>6054</v>
      </c>
      <c r="K119" s="30">
        <v>6102</v>
      </c>
      <c r="L119" s="30">
        <v>6182</v>
      </c>
      <c r="N119" s="713" t="s">
        <v>3312</v>
      </c>
      <c r="O119" s="70"/>
      <c r="Q119" s="4"/>
    </row>
    <row r="120" spans="1:17">
      <c r="A120" s="713" t="s">
        <v>7007</v>
      </c>
      <c r="B120" s="713" t="s">
        <v>1563</v>
      </c>
      <c r="C120" s="4" t="s">
        <v>11887</v>
      </c>
      <c r="D120" s="723">
        <v>5943</v>
      </c>
      <c r="E120" s="723">
        <v>5904</v>
      </c>
      <c r="F120" s="723">
        <v>5952</v>
      </c>
      <c r="G120" s="30">
        <v>6439</v>
      </c>
      <c r="H120" s="30">
        <v>6028</v>
      </c>
      <c r="I120" s="30">
        <v>5916</v>
      </c>
      <c r="J120" s="30">
        <v>5912</v>
      </c>
      <c r="K120" s="30">
        <v>6111</v>
      </c>
      <c r="L120" s="30">
        <v>6202</v>
      </c>
      <c r="N120" s="713" t="s">
        <v>3312</v>
      </c>
      <c r="O120" s="70"/>
      <c r="Q120" s="4"/>
    </row>
    <row r="121" spans="1:17">
      <c r="A121" s="713" t="s">
        <v>7009</v>
      </c>
      <c r="B121" s="713" t="s">
        <v>2662</v>
      </c>
      <c r="C121" s="4" t="s">
        <v>11888</v>
      </c>
      <c r="D121" s="717">
        <v>5380</v>
      </c>
      <c r="E121" s="717">
        <v>5346</v>
      </c>
      <c r="F121" s="717">
        <v>5384</v>
      </c>
      <c r="G121" s="30">
        <v>6001</v>
      </c>
      <c r="H121" s="30">
        <v>5326</v>
      </c>
      <c r="I121" s="30">
        <v>5179</v>
      </c>
      <c r="J121" s="30">
        <v>5003</v>
      </c>
      <c r="K121" s="30">
        <v>5013</v>
      </c>
      <c r="L121" s="30">
        <v>4921</v>
      </c>
      <c r="N121" s="713" t="s">
        <v>3312</v>
      </c>
      <c r="O121" s="4"/>
      <c r="Q121" s="4"/>
    </row>
    <row r="122" spans="1:17">
      <c r="A122" s="713" t="s">
        <v>7011</v>
      </c>
      <c r="B122" s="713" t="s">
        <v>2663</v>
      </c>
      <c r="C122" s="4" t="s">
        <v>11889</v>
      </c>
      <c r="D122" s="717">
        <v>5385</v>
      </c>
      <c r="E122" s="717">
        <v>5296</v>
      </c>
      <c r="F122" s="717">
        <v>5358</v>
      </c>
      <c r="G122" s="30">
        <v>5292</v>
      </c>
      <c r="H122" s="30">
        <v>5273</v>
      </c>
      <c r="I122" s="30">
        <v>5068</v>
      </c>
      <c r="J122" s="30">
        <v>4910</v>
      </c>
      <c r="K122" s="30">
        <v>4955</v>
      </c>
      <c r="L122" s="30">
        <v>4931</v>
      </c>
      <c r="N122" s="713" t="s">
        <v>3312</v>
      </c>
      <c r="O122" s="70"/>
      <c r="Q122" s="4"/>
    </row>
    <row r="123" spans="1:17">
      <c r="A123" s="713" t="s">
        <v>7013</v>
      </c>
      <c r="B123" s="713" t="s">
        <v>4281</v>
      </c>
      <c r="C123" s="4" t="s">
        <v>11890</v>
      </c>
      <c r="D123" s="717">
        <v>5911</v>
      </c>
      <c r="E123" s="717">
        <v>5419</v>
      </c>
      <c r="F123" s="717">
        <v>5583</v>
      </c>
      <c r="G123" s="31">
        <v>5732</v>
      </c>
      <c r="H123" s="31">
        <v>5524</v>
      </c>
      <c r="I123" s="31">
        <v>5078</v>
      </c>
      <c r="J123" s="31">
        <v>4912</v>
      </c>
      <c r="K123" s="31">
        <v>5134</v>
      </c>
      <c r="L123" s="31">
        <v>5166</v>
      </c>
      <c r="N123" s="713" t="s">
        <v>3312</v>
      </c>
      <c r="O123" s="71"/>
      <c r="Q123" s="4"/>
    </row>
    <row r="124" spans="1:17">
      <c r="A124" s="713" t="s">
        <v>7015</v>
      </c>
      <c r="B124" s="713" t="s">
        <v>4091</v>
      </c>
      <c r="C124" s="4" t="s">
        <v>11891</v>
      </c>
      <c r="D124" s="717">
        <v>6289</v>
      </c>
      <c r="E124" s="717">
        <v>6063</v>
      </c>
      <c r="F124" s="717">
        <v>6217</v>
      </c>
      <c r="G124" s="30">
        <v>6194</v>
      </c>
      <c r="H124" s="30">
        <v>6201</v>
      </c>
      <c r="I124" s="30">
        <v>5947</v>
      </c>
      <c r="J124" s="30">
        <v>5655</v>
      </c>
      <c r="K124" s="30">
        <v>5784</v>
      </c>
      <c r="L124" s="30">
        <v>5792</v>
      </c>
      <c r="N124" s="713" t="s">
        <v>4298</v>
      </c>
      <c r="O124" s="70"/>
      <c r="Q124" s="4"/>
    </row>
    <row r="125" spans="1:17">
      <c r="A125" s="713" t="s">
        <v>7017</v>
      </c>
      <c r="B125" s="713" t="s">
        <v>1922</v>
      </c>
      <c r="C125" s="4" t="s">
        <v>11892</v>
      </c>
      <c r="D125" s="717">
        <v>6030</v>
      </c>
      <c r="E125" s="717">
        <v>5907</v>
      </c>
      <c r="F125" s="717">
        <v>5911</v>
      </c>
      <c r="G125" s="30">
        <v>5925</v>
      </c>
      <c r="H125" s="30">
        <v>5856</v>
      </c>
      <c r="I125" s="30">
        <v>5697</v>
      </c>
      <c r="J125" s="30">
        <v>5588</v>
      </c>
      <c r="K125" s="30">
        <v>5646</v>
      </c>
      <c r="L125" s="30">
        <v>5663</v>
      </c>
      <c r="N125" s="713" t="s">
        <v>4298</v>
      </c>
      <c r="O125" s="70"/>
      <c r="Q125" s="4"/>
    </row>
    <row r="126" spans="1:17">
      <c r="D126" s="717"/>
      <c r="E126" s="717"/>
      <c r="F126" s="717"/>
      <c r="G126" s="717"/>
      <c r="H126" s="717"/>
      <c r="I126" s="717"/>
      <c r="J126" s="717"/>
      <c r="K126" s="717"/>
      <c r="L126" s="717"/>
    </row>
    <row r="127" spans="1:17">
      <c r="A127" s="713" t="s">
        <v>2664</v>
      </c>
      <c r="D127" s="716">
        <f t="shared" ref="D127:I127" si="105">D113+D124+D125</f>
        <v>18218</v>
      </c>
      <c r="E127" s="716">
        <f t="shared" si="105"/>
        <v>17946</v>
      </c>
      <c r="F127" s="716">
        <f t="shared" si="105"/>
        <v>18033</v>
      </c>
      <c r="G127" s="716">
        <f t="shared" si="105"/>
        <v>17992</v>
      </c>
      <c r="H127" s="716">
        <f t="shared" si="105"/>
        <v>17891</v>
      </c>
      <c r="I127" s="716">
        <f t="shared" si="105"/>
        <v>17375</v>
      </c>
      <c r="J127" s="716">
        <f t="shared" ref="J127:K127" si="106">J113+J124+J125</f>
        <v>16825</v>
      </c>
      <c r="K127" s="716">
        <f t="shared" si="106"/>
        <v>17035</v>
      </c>
      <c r="L127" s="716">
        <f t="shared" ref="L127" si="107">L113+L124+L125</f>
        <v>17067</v>
      </c>
    </row>
    <row r="128" spans="1:17">
      <c r="A128" s="713" t="s">
        <v>3312</v>
      </c>
      <c r="D128" s="716">
        <f t="shared" ref="D128:I128" si="108">SUM(D110:D112)+D114+D115+SUM(D116:D123)</f>
        <v>76530</v>
      </c>
      <c r="E128" s="716">
        <f t="shared" si="108"/>
        <v>75195</v>
      </c>
      <c r="F128" s="716">
        <f t="shared" si="108"/>
        <v>76484</v>
      </c>
      <c r="G128" s="716">
        <f t="shared" si="108"/>
        <v>76115</v>
      </c>
      <c r="H128" s="716">
        <f t="shared" si="108"/>
        <v>76092</v>
      </c>
      <c r="I128" s="716">
        <f t="shared" si="108"/>
        <v>73133</v>
      </c>
      <c r="J128" s="716">
        <f t="shared" ref="J128:K128" si="109">SUM(J110:J112)+J114+J115+SUM(J116:J123)</f>
        <v>70702</v>
      </c>
      <c r="K128" s="716">
        <f t="shared" si="109"/>
        <v>72589</v>
      </c>
      <c r="L128" s="716">
        <f t="shared" ref="L128" si="110">SUM(L110:L112)+L114+L115+SUM(L116:L123)</f>
        <v>73477</v>
      </c>
    </row>
    <row r="129" spans="1:17">
      <c r="A129" s="713"/>
      <c r="D129" s="716"/>
      <c r="E129" s="716"/>
      <c r="F129" s="716"/>
      <c r="G129" s="716"/>
      <c r="H129" s="716"/>
      <c r="I129" s="716"/>
      <c r="J129" s="716"/>
      <c r="K129" s="716"/>
      <c r="L129" s="716"/>
    </row>
    <row r="130" spans="1:17">
      <c r="A130" s="713" t="s">
        <v>1661</v>
      </c>
      <c r="D130" s="716"/>
      <c r="E130" s="716"/>
      <c r="F130" s="716"/>
      <c r="G130" s="716"/>
      <c r="H130" s="716"/>
      <c r="I130" s="716"/>
      <c r="J130" s="716"/>
      <c r="K130" s="716"/>
      <c r="L130" s="716"/>
    </row>
    <row r="131" spans="1:17">
      <c r="A131" s="713"/>
      <c r="B131" s="713"/>
      <c r="D131" s="722"/>
      <c r="E131" s="722"/>
      <c r="F131" s="722"/>
      <c r="G131" s="722"/>
      <c r="H131" s="722"/>
      <c r="I131" s="722"/>
      <c r="J131" s="722"/>
      <c r="K131" s="722"/>
      <c r="L131" s="722"/>
    </row>
    <row r="132" spans="1:17">
      <c r="A132" s="713"/>
      <c r="B132" s="713"/>
      <c r="D132" s="722"/>
      <c r="E132" s="722"/>
      <c r="F132" s="722"/>
      <c r="G132" s="722"/>
      <c r="H132" s="722"/>
      <c r="I132" s="722"/>
      <c r="J132" s="722"/>
      <c r="K132" s="722"/>
      <c r="L132" s="722"/>
    </row>
    <row r="133" spans="1:17">
      <c r="E133" s="42" t="s">
        <v>2303</v>
      </c>
      <c r="F133" s="42"/>
      <c r="G133" s="42"/>
      <c r="H133" s="42"/>
      <c r="I133" s="42"/>
      <c r="J133" s="42"/>
      <c r="K133" s="42"/>
      <c r="L133" s="42"/>
      <c r="M133" s="109"/>
      <c r="N133" s="109" t="s">
        <v>13319</v>
      </c>
    </row>
    <row r="134" spans="1:17">
      <c r="D134" s="110">
        <v>2010</v>
      </c>
      <c r="E134" s="110">
        <v>2011</v>
      </c>
      <c r="F134" s="110">
        <v>2012</v>
      </c>
      <c r="G134" s="110">
        <v>2013</v>
      </c>
      <c r="H134" s="110">
        <v>2014</v>
      </c>
      <c r="I134" s="110">
        <v>2015</v>
      </c>
      <c r="J134" s="110">
        <v>2016</v>
      </c>
      <c r="K134" s="110">
        <v>2017</v>
      </c>
      <c r="L134" s="110">
        <v>2018</v>
      </c>
      <c r="M134" s="109"/>
      <c r="N134" s="112" t="s">
        <v>2304</v>
      </c>
    </row>
    <row r="135" spans="1:17">
      <c r="A135" s="713" t="s">
        <v>1662</v>
      </c>
      <c r="D135" s="716">
        <f t="shared" ref="D135:I135" si="111">SUM(D136:D159)+SUM(D160:D165)</f>
        <v>74950</v>
      </c>
      <c r="E135" s="716">
        <f t="shared" si="111"/>
        <v>75670</v>
      </c>
      <c r="F135" s="716">
        <f t="shared" si="111"/>
        <v>76313</v>
      </c>
      <c r="G135" s="716">
        <f t="shared" si="111"/>
        <v>76721</v>
      </c>
      <c r="H135" s="716">
        <f t="shared" si="111"/>
        <v>76808</v>
      </c>
      <c r="I135" s="716">
        <f t="shared" si="111"/>
        <v>76023</v>
      </c>
      <c r="J135" s="716">
        <f>SUM(J136:J159)+SUM(J160:J165)</f>
        <v>76018</v>
      </c>
      <c r="K135" s="716">
        <f>SUM(K136:K159)+SUM(K160:K165)</f>
        <v>79484</v>
      </c>
      <c r="L135" s="716">
        <f>SUM(L136:L159)+SUM(L160:L165)</f>
        <v>80113</v>
      </c>
    </row>
    <row r="136" spans="1:17">
      <c r="A136" s="713" t="s">
        <v>6957</v>
      </c>
      <c r="B136" s="713" t="s">
        <v>1663</v>
      </c>
      <c r="C136" s="4" t="s">
        <v>11893</v>
      </c>
      <c r="D136" s="717">
        <v>1966</v>
      </c>
      <c r="E136" s="717">
        <v>1965</v>
      </c>
      <c r="F136" s="717">
        <v>1967</v>
      </c>
      <c r="G136" s="717">
        <v>1958</v>
      </c>
      <c r="H136" s="30">
        <v>1950</v>
      </c>
      <c r="I136" s="30">
        <v>1940</v>
      </c>
      <c r="J136" s="30">
        <v>1925</v>
      </c>
      <c r="K136" s="30">
        <v>1974</v>
      </c>
      <c r="L136" s="30">
        <v>1959</v>
      </c>
      <c r="N136" s="713" t="s">
        <v>4295</v>
      </c>
      <c r="O136" s="70"/>
      <c r="Q136" s="4"/>
    </row>
    <row r="137" spans="1:17">
      <c r="A137" s="713" t="s">
        <v>6959</v>
      </c>
      <c r="B137" s="713" t="s">
        <v>1664</v>
      </c>
      <c r="C137" s="4" t="s">
        <v>11894</v>
      </c>
      <c r="D137" s="717">
        <v>2120</v>
      </c>
      <c r="E137" s="717">
        <v>2151</v>
      </c>
      <c r="F137" s="717">
        <v>2162</v>
      </c>
      <c r="G137" s="717">
        <v>2149</v>
      </c>
      <c r="H137" s="30">
        <v>2146</v>
      </c>
      <c r="I137" s="30">
        <v>2134</v>
      </c>
      <c r="J137" s="30">
        <v>2140</v>
      </c>
      <c r="K137" s="30">
        <v>2256</v>
      </c>
      <c r="L137" s="30">
        <v>2259</v>
      </c>
      <c r="N137" s="713" t="s">
        <v>4295</v>
      </c>
      <c r="O137" s="70"/>
      <c r="Q137" s="4"/>
    </row>
    <row r="138" spans="1:17">
      <c r="A138" s="713" t="s">
        <v>6961</v>
      </c>
      <c r="B138" s="713" t="s">
        <v>1665</v>
      </c>
      <c r="C138" s="4" t="s">
        <v>11895</v>
      </c>
      <c r="D138" s="717">
        <v>1811</v>
      </c>
      <c r="E138" s="717">
        <v>1801</v>
      </c>
      <c r="F138" s="717">
        <v>1814</v>
      </c>
      <c r="G138" s="717">
        <v>1812</v>
      </c>
      <c r="H138" s="31">
        <v>1860</v>
      </c>
      <c r="I138" s="31">
        <v>1816</v>
      </c>
      <c r="J138" s="31">
        <v>1785</v>
      </c>
      <c r="K138" s="31">
        <v>1836</v>
      </c>
      <c r="L138" s="31">
        <v>1813</v>
      </c>
      <c r="N138" s="713" t="s">
        <v>4298</v>
      </c>
      <c r="O138" s="71"/>
      <c r="Q138" s="4"/>
    </row>
    <row r="139" spans="1:17">
      <c r="A139" s="713" t="s">
        <v>6963</v>
      </c>
      <c r="B139" s="713" t="s">
        <v>1666</v>
      </c>
      <c r="C139" s="4" t="s">
        <v>11896</v>
      </c>
      <c r="D139" s="717">
        <v>3211</v>
      </c>
      <c r="E139" s="717">
        <v>3247</v>
      </c>
      <c r="F139" s="717">
        <v>3249</v>
      </c>
      <c r="G139" s="717">
        <v>3274</v>
      </c>
      <c r="H139" s="31">
        <v>3363</v>
      </c>
      <c r="I139" s="31">
        <v>3371</v>
      </c>
      <c r="J139" s="31">
        <v>3406</v>
      </c>
      <c r="K139" s="31">
        <v>3634</v>
      </c>
      <c r="L139" s="31">
        <v>3727</v>
      </c>
      <c r="N139" s="713" t="s">
        <v>4298</v>
      </c>
      <c r="O139" s="70"/>
      <c r="Q139" s="4"/>
    </row>
    <row r="140" spans="1:17">
      <c r="A140" s="713" t="s">
        <v>6965</v>
      </c>
      <c r="B140" s="713" t="s">
        <v>1667</v>
      </c>
      <c r="C140" s="4" t="s">
        <v>11897</v>
      </c>
      <c r="D140" s="717">
        <v>3609</v>
      </c>
      <c r="E140" s="717">
        <v>3655</v>
      </c>
      <c r="F140" s="717">
        <v>3751</v>
      </c>
      <c r="G140" s="717">
        <v>3733</v>
      </c>
      <c r="H140" s="31">
        <v>3683</v>
      </c>
      <c r="I140" s="31">
        <v>3624</v>
      </c>
      <c r="J140" s="31">
        <v>3604</v>
      </c>
      <c r="K140" s="31">
        <v>3804</v>
      </c>
      <c r="L140" s="31">
        <v>3750</v>
      </c>
      <c r="N140" s="713" t="s">
        <v>4298</v>
      </c>
      <c r="O140" s="70"/>
      <c r="Q140" s="4"/>
    </row>
    <row r="141" spans="1:17">
      <c r="A141" s="713" t="s">
        <v>6997</v>
      </c>
      <c r="B141" s="713" t="s">
        <v>1668</v>
      </c>
      <c r="C141" s="4" t="s">
        <v>11898</v>
      </c>
      <c r="D141" s="717">
        <v>1860</v>
      </c>
      <c r="E141" s="717">
        <v>1862</v>
      </c>
      <c r="F141" s="717">
        <v>1890</v>
      </c>
      <c r="G141" s="717">
        <v>1887</v>
      </c>
      <c r="H141" s="31">
        <v>1883</v>
      </c>
      <c r="I141" s="31">
        <v>1868</v>
      </c>
      <c r="J141" s="31">
        <v>1866</v>
      </c>
      <c r="K141" s="31">
        <v>1942</v>
      </c>
      <c r="L141" s="31">
        <v>1952</v>
      </c>
      <c r="N141" s="713" t="s">
        <v>4298</v>
      </c>
      <c r="O141" s="70"/>
      <c r="Q141" s="4"/>
    </row>
    <row r="142" spans="1:17">
      <c r="A142" s="713" t="s">
        <v>6999</v>
      </c>
      <c r="B142" s="713" t="s">
        <v>1669</v>
      </c>
      <c r="C142" s="4" t="s">
        <v>11899</v>
      </c>
      <c r="D142" s="717">
        <v>4146</v>
      </c>
      <c r="E142" s="717">
        <v>4168</v>
      </c>
      <c r="F142" s="717">
        <v>4198</v>
      </c>
      <c r="G142" s="717">
        <v>4220</v>
      </c>
      <c r="H142" s="30">
        <v>4238</v>
      </c>
      <c r="I142" s="30">
        <v>4214</v>
      </c>
      <c r="J142" s="30">
        <v>4195</v>
      </c>
      <c r="K142" s="30">
        <v>4393</v>
      </c>
      <c r="L142" s="30">
        <v>4427</v>
      </c>
      <c r="N142" s="713" t="s">
        <v>4295</v>
      </c>
      <c r="O142" s="71"/>
      <c r="Q142" s="4"/>
    </row>
    <row r="143" spans="1:17">
      <c r="A143" s="713" t="s">
        <v>7001</v>
      </c>
      <c r="B143" s="713" t="s">
        <v>1670</v>
      </c>
      <c r="C143" s="4" t="s">
        <v>11900</v>
      </c>
      <c r="D143" s="717">
        <v>1684</v>
      </c>
      <c r="E143" s="717">
        <v>1665</v>
      </c>
      <c r="F143" s="717">
        <v>1687</v>
      </c>
      <c r="G143" s="717">
        <v>1705</v>
      </c>
      <c r="H143" s="31">
        <v>1681</v>
      </c>
      <c r="I143" s="31">
        <v>1671</v>
      </c>
      <c r="J143" s="31">
        <v>1701</v>
      </c>
      <c r="K143" s="31">
        <v>1823</v>
      </c>
      <c r="L143" s="31">
        <v>1804</v>
      </c>
      <c r="N143" s="713" t="s">
        <v>4298</v>
      </c>
      <c r="O143" s="70"/>
      <c r="Q143" s="4"/>
    </row>
    <row r="144" spans="1:17">
      <c r="A144" s="713" t="s">
        <v>7003</v>
      </c>
      <c r="B144" s="713" t="s">
        <v>1671</v>
      </c>
      <c r="C144" s="4" t="s">
        <v>11901</v>
      </c>
      <c r="D144" s="717">
        <v>1878</v>
      </c>
      <c r="E144" s="717">
        <v>1888</v>
      </c>
      <c r="F144" s="717">
        <v>1876</v>
      </c>
      <c r="G144" s="717">
        <v>1899</v>
      </c>
      <c r="H144" s="31">
        <v>1946</v>
      </c>
      <c r="I144" s="31">
        <v>1942</v>
      </c>
      <c r="J144" s="31">
        <v>1931</v>
      </c>
      <c r="K144" s="31">
        <v>1995</v>
      </c>
      <c r="L144" s="31">
        <v>1976</v>
      </c>
      <c r="N144" s="713" t="s">
        <v>4298</v>
      </c>
      <c r="O144" s="70"/>
      <c r="Q144" s="4"/>
    </row>
    <row r="145" spans="1:17">
      <c r="A145" s="713" t="s">
        <v>7005</v>
      </c>
      <c r="B145" s="713" t="s">
        <v>1672</v>
      </c>
      <c r="C145" s="4" t="s">
        <v>11902</v>
      </c>
      <c r="D145" s="717">
        <v>2072</v>
      </c>
      <c r="E145" s="717">
        <v>2113</v>
      </c>
      <c r="F145" s="717">
        <v>2149</v>
      </c>
      <c r="G145" s="717">
        <v>2191</v>
      </c>
      <c r="H145" s="30">
        <v>2205</v>
      </c>
      <c r="I145" s="30">
        <v>2150</v>
      </c>
      <c r="J145" s="30">
        <v>2183</v>
      </c>
      <c r="K145" s="30">
        <v>2303</v>
      </c>
      <c r="L145" s="30">
        <v>2319</v>
      </c>
      <c r="N145" s="713" t="s">
        <v>4295</v>
      </c>
      <c r="O145" s="71"/>
      <c r="Q145" s="4"/>
    </row>
    <row r="146" spans="1:17">
      <c r="A146" s="713" t="s">
        <v>7007</v>
      </c>
      <c r="B146" s="713" t="s">
        <v>1673</v>
      </c>
      <c r="C146" s="4" t="s">
        <v>11903</v>
      </c>
      <c r="D146" s="717">
        <v>1758</v>
      </c>
      <c r="E146" s="717">
        <v>1768</v>
      </c>
      <c r="F146" s="717">
        <v>1789</v>
      </c>
      <c r="G146" s="717">
        <v>1781</v>
      </c>
      <c r="H146" s="30">
        <v>1747</v>
      </c>
      <c r="I146" s="30">
        <v>1753</v>
      </c>
      <c r="J146" s="30">
        <v>1746</v>
      </c>
      <c r="K146" s="30">
        <v>1814</v>
      </c>
      <c r="L146" s="30">
        <v>1841</v>
      </c>
      <c r="N146" s="713" t="s">
        <v>4295</v>
      </c>
      <c r="O146" s="71"/>
      <c r="Q146" s="4"/>
    </row>
    <row r="147" spans="1:17">
      <c r="A147" s="713" t="s">
        <v>7009</v>
      </c>
      <c r="B147" s="713" t="s">
        <v>1674</v>
      </c>
      <c r="C147" s="4" t="s">
        <v>11904</v>
      </c>
      <c r="D147" s="717">
        <v>1809</v>
      </c>
      <c r="E147" s="717">
        <v>1810</v>
      </c>
      <c r="F147" s="717">
        <v>1803</v>
      </c>
      <c r="G147" s="717">
        <v>1797</v>
      </c>
      <c r="H147" s="31">
        <v>1790</v>
      </c>
      <c r="I147" s="31">
        <v>1810</v>
      </c>
      <c r="J147" s="31">
        <v>1799</v>
      </c>
      <c r="K147" s="31">
        <v>1893</v>
      </c>
      <c r="L147" s="31">
        <v>1896</v>
      </c>
      <c r="N147" s="713" t="s">
        <v>4298</v>
      </c>
      <c r="O147" s="70"/>
      <c r="Q147" s="4"/>
    </row>
    <row r="148" spans="1:17">
      <c r="A148" s="713" t="s">
        <v>7011</v>
      </c>
      <c r="B148" s="713" t="s">
        <v>1675</v>
      </c>
      <c r="C148" s="4" t="s">
        <v>11905</v>
      </c>
      <c r="D148" s="717">
        <v>1691</v>
      </c>
      <c r="E148" s="717">
        <v>1727</v>
      </c>
      <c r="F148" s="717">
        <v>1726</v>
      </c>
      <c r="G148" s="717">
        <v>1761</v>
      </c>
      <c r="H148" s="31">
        <v>1738</v>
      </c>
      <c r="I148" s="31">
        <v>1700</v>
      </c>
      <c r="J148" s="31">
        <v>1670</v>
      </c>
      <c r="K148" s="31">
        <v>1755</v>
      </c>
      <c r="L148" s="31">
        <v>1754</v>
      </c>
      <c r="N148" s="713" t="s">
        <v>4298</v>
      </c>
      <c r="O148" s="70"/>
      <c r="Q148" s="4"/>
    </row>
    <row r="149" spans="1:17">
      <c r="A149" s="713" t="s">
        <v>7013</v>
      </c>
      <c r="B149" s="713" t="s">
        <v>1676</v>
      </c>
      <c r="C149" s="4" t="s">
        <v>11906</v>
      </c>
      <c r="D149" s="717">
        <v>1816</v>
      </c>
      <c r="E149" s="717">
        <v>1825</v>
      </c>
      <c r="F149" s="717">
        <v>1814</v>
      </c>
      <c r="G149" s="717">
        <v>1848</v>
      </c>
      <c r="H149" s="31">
        <v>1833</v>
      </c>
      <c r="I149" s="31">
        <v>1825</v>
      </c>
      <c r="J149" s="31">
        <v>1802</v>
      </c>
      <c r="K149" s="31">
        <v>1882</v>
      </c>
      <c r="L149" s="31">
        <v>1904</v>
      </c>
      <c r="N149" s="713" t="s">
        <v>4298</v>
      </c>
      <c r="O149" s="71"/>
      <c r="Q149" s="4"/>
    </row>
    <row r="150" spans="1:17">
      <c r="A150" s="713" t="s">
        <v>7015</v>
      </c>
      <c r="B150" s="713" t="s">
        <v>1677</v>
      </c>
      <c r="C150" s="4" t="s">
        <v>11907</v>
      </c>
      <c r="D150" s="717">
        <v>3646</v>
      </c>
      <c r="E150" s="717">
        <v>3634</v>
      </c>
      <c r="F150" s="717">
        <v>3620</v>
      </c>
      <c r="G150" s="717">
        <v>3652</v>
      </c>
      <c r="H150" s="30">
        <v>3651</v>
      </c>
      <c r="I150" s="30">
        <v>3551</v>
      </c>
      <c r="J150" s="30">
        <v>3647</v>
      </c>
      <c r="K150" s="30">
        <v>3821</v>
      </c>
      <c r="L150" s="30">
        <v>3803</v>
      </c>
      <c r="N150" s="713" t="s">
        <v>4295</v>
      </c>
      <c r="O150" s="71"/>
      <c r="Q150" s="4"/>
    </row>
    <row r="151" spans="1:17">
      <c r="A151" s="713" t="s">
        <v>7017</v>
      </c>
      <c r="B151" s="713" t="s">
        <v>1678</v>
      </c>
      <c r="C151" s="4" t="s">
        <v>11908</v>
      </c>
      <c r="D151" s="717">
        <v>1826</v>
      </c>
      <c r="E151" s="717">
        <v>1795</v>
      </c>
      <c r="F151" s="717">
        <v>1835</v>
      </c>
      <c r="G151" s="717">
        <v>1853</v>
      </c>
      <c r="H151" s="30">
        <v>1859</v>
      </c>
      <c r="I151" s="30">
        <v>1854</v>
      </c>
      <c r="J151" s="30">
        <v>1868</v>
      </c>
      <c r="K151" s="30">
        <v>1929</v>
      </c>
      <c r="L151" s="30">
        <v>1918</v>
      </c>
      <c r="N151" s="713" t="s">
        <v>4295</v>
      </c>
      <c r="O151" s="70"/>
      <c r="Q151" s="4"/>
    </row>
    <row r="152" spans="1:17">
      <c r="A152" s="713" t="s">
        <v>7019</v>
      </c>
      <c r="B152" s="713" t="s">
        <v>988</v>
      </c>
      <c r="C152" s="4" t="s">
        <v>11909</v>
      </c>
      <c r="D152" s="717">
        <v>1854</v>
      </c>
      <c r="E152" s="717">
        <v>1870</v>
      </c>
      <c r="F152" s="717">
        <v>1879</v>
      </c>
      <c r="G152" s="717">
        <v>1856</v>
      </c>
      <c r="H152" s="31">
        <v>1868</v>
      </c>
      <c r="I152" s="31">
        <v>1822</v>
      </c>
      <c r="J152" s="31">
        <v>1806</v>
      </c>
      <c r="K152" s="31">
        <v>1870</v>
      </c>
      <c r="L152" s="31">
        <v>1864</v>
      </c>
      <c r="N152" s="713" t="s">
        <v>4298</v>
      </c>
      <c r="O152" s="71"/>
      <c r="Q152" s="4"/>
    </row>
    <row r="153" spans="1:17">
      <c r="A153" s="713" t="s">
        <v>7021</v>
      </c>
      <c r="B153" s="713" t="s">
        <v>989</v>
      </c>
      <c r="C153" s="4" t="s">
        <v>11910</v>
      </c>
      <c r="D153" s="717">
        <v>1634</v>
      </c>
      <c r="E153" s="717">
        <v>1640</v>
      </c>
      <c r="F153" s="717">
        <v>1654</v>
      </c>
      <c r="G153" s="717">
        <v>1658</v>
      </c>
      <c r="H153" s="30">
        <v>1656</v>
      </c>
      <c r="I153" s="30">
        <v>1649</v>
      </c>
      <c r="J153" s="30">
        <v>1684</v>
      </c>
      <c r="K153" s="30">
        <v>1767</v>
      </c>
      <c r="L153" s="30">
        <v>1765</v>
      </c>
      <c r="N153" s="713" t="s">
        <v>4295</v>
      </c>
      <c r="O153" s="71"/>
      <c r="Q153" s="4"/>
    </row>
    <row r="154" spans="1:17">
      <c r="A154" s="713" t="s">
        <v>7023</v>
      </c>
      <c r="B154" s="713" t="s">
        <v>990</v>
      </c>
      <c r="C154" s="4" t="s">
        <v>11911</v>
      </c>
      <c r="D154" s="717">
        <v>3654</v>
      </c>
      <c r="E154" s="717">
        <v>3711</v>
      </c>
      <c r="F154" s="717">
        <v>3736</v>
      </c>
      <c r="G154" s="717">
        <v>3727</v>
      </c>
      <c r="H154" s="30">
        <v>3747</v>
      </c>
      <c r="I154" s="30">
        <v>3709</v>
      </c>
      <c r="J154" s="30">
        <v>3652</v>
      </c>
      <c r="K154" s="30">
        <v>3827</v>
      </c>
      <c r="L154" s="30">
        <v>3919</v>
      </c>
      <c r="N154" s="713" t="s">
        <v>4295</v>
      </c>
      <c r="O154" s="71"/>
      <c r="Q154" s="4"/>
    </row>
    <row r="155" spans="1:17">
      <c r="A155" s="713" t="s">
        <v>7025</v>
      </c>
      <c r="B155" s="713" t="s">
        <v>991</v>
      </c>
      <c r="C155" s="4" t="s">
        <v>11912</v>
      </c>
      <c r="D155" s="717">
        <v>2118</v>
      </c>
      <c r="E155" s="717">
        <v>2153</v>
      </c>
      <c r="F155" s="717">
        <v>2205</v>
      </c>
      <c r="G155" s="717">
        <v>2200</v>
      </c>
      <c r="H155" s="30">
        <v>2157</v>
      </c>
      <c r="I155" s="30">
        <v>2111</v>
      </c>
      <c r="J155" s="30">
        <v>2097</v>
      </c>
      <c r="K155" s="30">
        <v>2165</v>
      </c>
      <c r="L155" s="30">
        <v>2276</v>
      </c>
      <c r="N155" s="713" t="s">
        <v>4295</v>
      </c>
      <c r="O155" s="70"/>
      <c r="Q155" s="4"/>
    </row>
    <row r="156" spans="1:17">
      <c r="A156" s="713" t="s">
        <v>7570</v>
      </c>
      <c r="B156" s="713" t="s">
        <v>992</v>
      </c>
      <c r="C156" s="4" t="s">
        <v>11913</v>
      </c>
      <c r="D156" s="717">
        <v>3641</v>
      </c>
      <c r="E156" s="717">
        <v>3674</v>
      </c>
      <c r="F156" s="717">
        <v>3680</v>
      </c>
      <c r="G156" s="717">
        <v>3697</v>
      </c>
      <c r="H156" s="30">
        <v>3624</v>
      </c>
      <c r="I156" s="30">
        <v>3524</v>
      </c>
      <c r="J156" s="30">
        <v>3577</v>
      </c>
      <c r="K156" s="30">
        <v>3660</v>
      </c>
      <c r="L156" s="30">
        <v>3702</v>
      </c>
      <c r="N156" s="713" t="s">
        <v>4295</v>
      </c>
      <c r="O156" s="70"/>
      <c r="Q156" s="4"/>
    </row>
    <row r="157" spans="1:17">
      <c r="A157" s="713" t="s">
        <v>7572</v>
      </c>
      <c r="B157" s="713" t="s">
        <v>993</v>
      </c>
      <c r="C157" s="4" t="s">
        <v>11914</v>
      </c>
      <c r="D157" s="717">
        <v>6662</v>
      </c>
      <c r="E157" s="717">
        <v>6947</v>
      </c>
      <c r="F157" s="717">
        <v>7179</v>
      </c>
      <c r="G157" s="717">
        <v>7287</v>
      </c>
      <c r="H157" s="30">
        <v>7436</v>
      </c>
      <c r="I157" s="30">
        <v>7400</v>
      </c>
      <c r="J157" s="30">
        <v>7465</v>
      </c>
      <c r="K157" s="30">
        <v>7912</v>
      </c>
      <c r="L157" s="30">
        <v>8084</v>
      </c>
      <c r="N157" s="713" t="s">
        <v>4295</v>
      </c>
      <c r="O157" s="71"/>
      <c r="Q157" s="4"/>
    </row>
    <row r="158" spans="1:17">
      <c r="A158" s="713" t="s">
        <v>7573</v>
      </c>
      <c r="B158" s="713" t="s">
        <v>994</v>
      </c>
      <c r="C158" s="4" t="s">
        <v>11915</v>
      </c>
      <c r="D158" s="717">
        <v>3750</v>
      </c>
      <c r="E158" s="717">
        <v>3756</v>
      </c>
      <c r="F158" s="717">
        <v>3770</v>
      </c>
      <c r="G158" s="717">
        <v>3791</v>
      </c>
      <c r="H158" s="30">
        <v>3773</v>
      </c>
      <c r="I158" s="30">
        <v>3725</v>
      </c>
      <c r="J158" s="30">
        <v>3708</v>
      </c>
      <c r="K158" s="30">
        <v>3870</v>
      </c>
      <c r="L158" s="30">
        <v>3876</v>
      </c>
      <c r="N158" s="713" t="s">
        <v>4295</v>
      </c>
      <c r="O158" s="71"/>
      <c r="Q158" s="4"/>
    </row>
    <row r="159" spans="1:17">
      <c r="A159" s="713" t="s">
        <v>5798</v>
      </c>
      <c r="B159" s="713" t="s">
        <v>995</v>
      </c>
      <c r="C159" s="4" t="s">
        <v>11916</v>
      </c>
      <c r="D159" s="717">
        <v>1813</v>
      </c>
      <c r="E159" s="717">
        <v>1844</v>
      </c>
      <c r="F159" s="717">
        <v>1841</v>
      </c>
      <c r="G159" s="717">
        <v>1861</v>
      </c>
      <c r="H159" s="30">
        <v>1863</v>
      </c>
      <c r="I159" s="30">
        <v>1824</v>
      </c>
      <c r="J159" s="30">
        <v>1819</v>
      </c>
      <c r="K159" s="30">
        <v>1865</v>
      </c>
      <c r="L159" s="30">
        <v>1854</v>
      </c>
      <c r="N159" s="713" t="s">
        <v>4295</v>
      </c>
      <c r="O159" s="71"/>
      <c r="Q159" s="4"/>
    </row>
    <row r="160" spans="1:17">
      <c r="A160" s="713" t="s">
        <v>5799</v>
      </c>
      <c r="B160" s="713" t="s">
        <v>996</v>
      </c>
      <c r="C160" s="4" t="s">
        <v>11917</v>
      </c>
      <c r="D160" s="717">
        <v>2097</v>
      </c>
      <c r="E160" s="717">
        <v>2108</v>
      </c>
      <c r="F160" s="717">
        <v>2092</v>
      </c>
      <c r="G160" s="717">
        <v>2066</v>
      </c>
      <c r="H160" s="31">
        <v>2091</v>
      </c>
      <c r="I160" s="31">
        <v>2106</v>
      </c>
      <c r="J160" s="31">
        <v>2125</v>
      </c>
      <c r="K160" s="31">
        <v>2215</v>
      </c>
      <c r="L160" s="31">
        <v>2248</v>
      </c>
      <c r="N160" s="713" t="s">
        <v>4298</v>
      </c>
      <c r="O160" s="70"/>
      <c r="Q160" s="4"/>
    </row>
    <row r="161" spans="1:17">
      <c r="A161" s="713" t="s">
        <v>5801</v>
      </c>
      <c r="B161" s="713" t="s">
        <v>997</v>
      </c>
      <c r="C161" s="4" t="s">
        <v>11918</v>
      </c>
      <c r="D161" s="717">
        <v>1840</v>
      </c>
      <c r="E161" s="717">
        <v>1846</v>
      </c>
      <c r="F161" s="717">
        <v>1859</v>
      </c>
      <c r="G161" s="717">
        <v>1853</v>
      </c>
      <c r="H161" s="31">
        <v>1845</v>
      </c>
      <c r="I161" s="31">
        <v>1833</v>
      </c>
      <c r="J161" s="31">
        <v>1801</v>
      </c>
      <c r="K161" s="31">
        <v>1839</v>
      </c>
      <c r="L161" s="31">
        <v>1875</v>
      </c>
      <c r="N161" s="713" t="s">
        <v>4298</v>
      </c>
      <c r="O161" s="71"/>
      <c r="Q161" s="4"/>
    </row>
    <row r="162" spans="1:17">
      <c r="A162" s="713" t="s">
        <v>5927</v>
      </c>
      <c r="B162" s="713" t="s">
        <v>998</v>
      </c>
      <c r="C162" s="4" t="s">
        <v>11919</v>
      </c>
      <c r="D162" s="717">
        <v>3514</v>
      </c>
      <c r="E162" s="717">
        <v>3504</v>
      </c>
      <c r="F162" s="717">
        <v>3512</v>
      </c>
      <c r="G162" s="717">
        <v>3584</v>
      </c>
      <c r="H162" s="30">
        <v>3565</v>
      </c>
      <c r="I162" s="30">
        <v>3514</v>
      </c>
      <c r="J162" s="30">
        <v>3481</v>
      </c>
      <c r="K162" s="30">
        <v>3611</v>
      </c>
      <c r="L162" s="30">
        <v>3638</v>
      </c>
      <c r="N162" s="713" t="s">
        <v>4295</v>
      </c>
      <c r="O162" s="70"/>
      <c r="Q162" s="4"/>
    </row>
    <row r="163" spans="1:17">
      <c r="A163" s="713" t="s">
        <v>5929</v>
      </c>
      <c r="B163" s="713" t="s">
        <v>999</v>
      </c>
      <c r="C163" s="4" t="s">
        <v>11920</v>
      </c>
      <c r="D163" s="717">
        <v>1957</v>
      </c>
      <c r="E163" s="717">
        <v>1991</v>
      </c>
      <c r="F163" s="717">
        <v>2002</v>
      </c>
      <c r="G163" s="717">
        <v>2014</v>
      </c>
      <c r="H163" s="31">
        <v>2015</v>
      </c>
      <c r="I163" s="31">
        <v>2018</v>
      </c>
      <c r="J163" s="31">
        <v>1993</v>
      </c>
      <c r="K163" s="31">
        <v>2087</v>
      </c>
      <c r="L163" s="31">
        <v>2126</v>
      </c>
      <c r="N163" s="713" t="s">
        <v>4298</v>
      </c>
      <c r="O163" s="71"/>
      <c r="Q163" s="4"/>
    </row>
    <row r="164" spans="1:17">
      <c r="A164" s="713" t="s">
        <v>5931</v>
      </c>
      <c r="B164" s="713" t="s">
        <v>1000</v>
      </c>
      <c r="C164" s="4" t="s">
        <v>11921</v>
      </c>
      <c r="D164" s="717">
        <v>1619</v>
      </c>
      <c r="E164" s="717">
        <v>1632</v>
      </c>
      <c r="F164" s="717">
        <v>1639</v>
      </c>
      <c r="G164" s="717">
        <v>1657</v>
      </c>
      <c r="H164" s="31">
        <v>1659</v>
      </c>
      <c r="I164" s="31">
        <v>1638</v>
      </c>
      <c r="J164" s="31">
        <v>1619</v>
      </c>
      <c r="K164" s="31">
        <v>1726</v>
      </c>
      <c r="L164" s="31">
        <v>1740</v>
      </c>
      <c r="N164" s="713" t="s">
        <v>4295</v>
      </c>
      <c r="O164" s="70"/>
      <c r="Q164" s="4"/>
    </row>
    <row r="165" spans="1:17">
      <c r="A165" s="713" t="s">
        <v>5933</v>
      </c>
      <c r="B165" s="713" t="s">
        <v>1001</v>
      </c>
      <c r="C165" s="4" t="s">
        <v>11922</v>
      </c>
      <c r="D165" s="717">
        <v>1894</v>
      </c>
      <c r="E165" s="717">
        <v>1920</v>
      </c>
      <c r="F165" s="717">
        <v>1935</v>
      </c>
      <c r="G165" s="717">
        <v>1950</v>
      </c>
      <c r="H165" s="31">
        <v>1936</v>
      </c>
      <c r="I165" s="31">
        <v>1927</v>
      </c>
      <c r="J165" s="31">
        <v>1923</v>
      </c>
      <c r="K165" s="31">
        <v>2016</v>
      </c>
      <c r="L165" s="31">
        <v>2044</v>
      </c>
      <c r="N165" s="713" t="s">
        <v>4298</v>
      </c>
      <c r="O165" s="71"/>
      <c r="Q165" s="4"/>
    </row>
    <row r="166" spans="1:17">
      <c r="D166" s="717"/>
      <c r="E166" s="717"/>
      <c r="F166" s="717"/>
      <c r="G166" s="717"/>
      <c r="H166" s="717"/>
      <c r="I166" s="717"/>
      <c r="J166" s="717"/>
      <c r="K166" s="717"/>
      <c r="L166" s="717"/>
    </row>
    <row r="167" spans="1:17">
      <c r="A167" s="713" t="s">
        <v>1002</v>
      </c>
      <c r="D167" s="716">
        <f t="shared" ref="D167:I167" si="112">D136+D137+D142+D145+D146+D150+D151+SUM(D153:D159)+D162+D164</f>
        <v>45939</v>
      </c>
      <c r="E167" s="716">
        <f t="shared" si="112"/>
        <v>46455</v>
      </c>
      <c r="F167" s="716">
        <f t="shared" si="112"/>
        <v>46936</v>
      </c>
      <c r="G167" s="716">
        <f t="shared" si="112"/>
        <v>47266</v>
      </c>
      <c r="H167" s="716">
        <f t="shared" si="112"/>
        <v>47276</v>
      </c>
      <c r="I167" s="716">
        <f t="shared" si="112"/>
        <v>46690</v>
      </c>
      <c r="J167" s="716">
        <f t="shared" ref="J167:K167" si="113">J136+J137+J142+J145+J146+J150+J151+SUM(J153:J159)+J162+J164</f>
        <v>46806</v>
      </c>
      <c r="K167" s="716">
        <f t="shared" si="113"/>
        <v>48893</v>
      </c>
      <c r="L167" s="716">
        <f t="shared" ref="L167" si="114">L136+L137+L142+L145+L146+L150+L151+SUM(L153:L159)+L162+L164</f>
        <v>49380</v>
      </c>
    </row>
    <row r="168" spans="1:17">
      <c r="A168" s="713" t="s">
        <v>2664</v>
      </c>
      <c r="D168" s="716">
        <f t="shared" ref="D168:I168" si="115">SUM(D138:D141)+D143+D144+SUM(D147:D149)+D152+D160+D161+D163+D165</f>
        <v>29011</v>
      </c>
      <c r="E168" s="716">
        <f t="shared" si="115"/>
        <v>29215</v>
      </c>
      <c r="F168" s="716">
        <f t="shared" si="115"/>
        <v>29377</v>
      </c>
      <c r="G168" s="716">
        <f t="shared" si="115"/>
        <v>29455</v>
      </c>
      <c r="H168" s="716">
        <f t="shared" si="115"/>
        <v>29532</v>
      </c>
      <c r="I168" s="716">
        <f t="shared" si="115"/>
        <v>29333</v>
      </c>
      <c r="J168" s="716">
        <f t="shared" ref="J168:K168" si="116">SUM(J138:J141)+J143+J144+SUM(J147:J149)+J152+J160+J161+J163+J165</f>
        <v>29212</v>
      </c>
      <c r="K168" s="716">
        <f t="shared" si="116"/>
        <v>30591</v>
      </c>
      <c r="L168" s="716">
        <f t="shared" ref="L168" si="117">SUM(L138:L141)+L143+L144+SUM(L147:L149)+L152+L160+L161+L163+L165</f>
        <v>30733</v>
      </c>
    </row>
    <row r="169" spans="1:17">
      <c r="A169" s="713"/>
      <c r="D169" s="716"/>
      <c r="E169" s="716"/>
      <c r="F169" s="716"/>
      <c r="G169" s="716"/>
      <c r="H169" s="716"/>
      <c r="I169" s="716"/>
      <c r="J169" s="716"/>
      <c r="K169" s="716"/>
      <c r="L169" s="716"/>
    </row>
    <row r="170" spans="1:17">
      <c r="A170" s="713" t="s">
        <v>1003</v>
      </c>
      <c r="D170" s="716"/>
      <c r="E170" s="716"/>
      <c r="F170" s="716"/>
      <c r="G170" s="716"/>
      <c r="H170" s="716"/>
      <c r="I170" s="716"/>
      <c r="J170" s="716"/>
      <c r="K170" s="716"/>
      <c r="L170" s="716"/>
    </row>
    <row r="171" spans="1:17">
      <c r="A171" s="713"/>
      <c r="B171" s="713"/>
      <c r="D171" s="722"/>
      <c r="E171" s="722"/>
      <c r="F171" s="722"/>
      <c r="G171" s="722"/>
      <c r="H171" s="722"/>
      <c r="I171" s="722"/>
      <c r="J171" s="722"/>
      <c r="K171" s="722"/>
      <c r="L171" s="722"/>
    </row>
    <row r="172" spans="1:17">
      <c r="A172" s="713"/>
      <c r="B172" s="713"/>
      <c r="D172" s="722"/>
      <c r="E172" s="722"/>
      <c r="F172" s="722"/>
      <c r="G172" s="722"/>
      <c r="H172" s="722"/>
      <c r="I172" s="722"/>
      <c r="J172" s="722"/>
      <c r="K172" s="722"/>
      <c r="L172" s="722"/>
    </row>
    <row r="173" spans="1:17">
      <c r="E173" s="42" t="s">
        <v>2303</v>
      </c>
      <c r="F173" s="42"/>
      <c r="G173" s="42"/>
      <c r="H173" s="42"/>
      <c r="I173" s="42"/>
      <c r="J173" s="42"/>
      <c r="K173" s="42"/>
      <c r="L173" s="42"/>
      <c r="M173" s="109"/>
      <c r="N173" s="109" t="s">
        <v>13319</v>
      </c>
    </row>
    <row r="174" spans="1:17">
      <c r="D174" s="110">
        <v>2010</v>
      </c>
      <c r="E174" s="110">
        <v>2011</v>
      </c>
      <c r="F174" s="110">
        <v>2012</v>
      </c>
      <c r="G174" s="110">
        <v>2013</v>
      </c>
      <c r="H174" s="110">
        <v>2014</v>
      </c>
      <c r="I174" s="110">
        <v>2015</v>
      </c>
      <c r="J174" s="110">
        <v>2016</v>
      </c>
      <c r="K174" s="110">
        <v>2017</v>
      </c>
      <c r="L174" s="110">
        <v>2018</v>
      </c>
      <c r="M174" s="109"/>
      <c r="N174" s="112" t="s">
        <v>2304</v>
      </c>
    </row>
    <row r="175" spans="1:17">
      <c r="A175" s="713" t="s">
        <v>1004</v>
      </c>
      <c r="D175" s="716">
        <f t="shared" ref="D175:L175" si="118">SUM(D176:D206)</f>
        <v>79908</v>
      </c>
      <c r="E175" s="716">
        <f t="shared" si="118"/>
        <v>81408</v>
      </c>
      <c r="F175" s="716">
        <f t="shared" si="118"/>
        <v>81039</v>
      </c>
      <c r="G175" s="716">
        <f t="shared" si="118"/>
        <v>81327</v>
      </c>
      <c r="H175" s="716">
        <f t="shared" si="118"/>
        <v>80223</v>
      </c>
      <c r="I175" s="716">
        <f t="shared" si="118"/>
        <v>79718</v>
      </c>
      <c r="J175" s="716">
        <f t="shared" si="118"/>
        <v>76662</v>
      </c>
      <c r="K175" s="716">
        <f t="shared" si="118"/>
        <v>80852</v>
      </c>
      <c r="L175" s="716">
        <f t="shared" si="118"/>
        <v>79973</v>
      </c>
    </row>
    <row r="176" spans="1:17">
      <c r="A176" s="713" t="s">
        <v>6957</v>
      </c>
      <c r="B176" s="713" t="s">
        <v>1005</v>
      </c>
      <c r="C176" s="4" t="s">
        <v>11923</v>
      </c>
      <c r="D176" s="717">
        <v>3529</v>
      </c>
      <c r="E176" s="717">
        <v>3683</v>
      </c>
      <c r="F176" s="717">
        <v>3641</v>
      </c>
      <c r="G176" s="30">
        <v>3613</v>
      </c>
      <c r="H176" s="30">
        <v>3490</v>
      </c>
      <c r="I176" s="30">
        <v>3446</v>
      </c>
      <c r="J176" s="30">
        <v>3270</v>
      </c>
      <c r="K176" s="30">
        <v>3539</v>
      </c>
      <c r="L176" s="30">
        <v>3392</v>
      </c>
      <c r="N176" s="713" t="s">
        <v>4295</v>
      </c>
      <c r="O176" s="4"/>
      <c r="Q176" s="4"/>
    </row>
    <row r="177" spans="1:17">
      <c r="A177" s="713" t="s">
        <v>6959</v>
      </c>
      <c r="B177" s="713" t="s">
        <v>1006</v>
      </c>
      <c r="C177" s="4" t="s">
        <v>11924</v>
      </c>
      <c r="D177" s="717">
        <v>1965</v>
      </c>
      <c r="E177" s="717">
        <v>2006</v>
      </c>
      <c r="F177" s="717">
        <v>1993</v>
      </c>
      <c r="G177" s="31">
        <v>2049</v>
      </c>
      <c r="H177" s="31">
        <v>1984</v>
      </c>
      <c r="I177" s="31">
        <v>1973</v>
      </c>
      <c r="J177" s="31">
        <v>1941</v>
      </c>
      <c r="K177" s="31">
        <v>2064</v>
      </c>
      <c r="L177" s="31">
        <v>2028</v>
      </c>
      <c r="N177" s="713" t="s">
        <v>3317</v>
      </c>
      <c r="O177" s="4"/>
      <c r="Q177" s="4"/>
    </row>
    <row r="178" spans="1:17">
      <c r="A178" s="713" t="s">
        <v>6961</v>
      </c>
      <c r="B178" s="713" t="s">
        <v>1007</v>
      </c>
      <c r="C178" s="4" t="s">
        <v>11925</v>
      </c>
      <c r="D178" s="717">
        <v>2106</v>
      </c>
      <c r="E178" s="717">
        <v>2100</v>
      </c>
      <c r="F178" s="717">
        <v>2110</v>
      </c>
      <c r="G178" s="31">
        <v>2136</v>
      </c>
      <c r="H178" s="31">
        <v>2144</v>
      </c>
      <c r="I178" s="31">
        <v>2143</v>
      </c>
      <c r="J178" s="31">
        <v>2089</v>
      </c>
      <c r="K178" s="31">
        <v>2257</v>
      </c>
      <c r="L178" s="31">
        <v>2170</v>
      </c>
      <c r="N178" s="713" t="s">
        <v>3317</v>
      </c>
      <c r="O178" s="4"/>
      <c r="Q178" s="4"/>
    </row>
    <row r="179" spans="1:17">
      <c r="A179" s="713" t="s">
        <v>6963</v>
      </c>
      <c r="B179" s="713" t="s">
        <v>1008</v>
      </c>
      <c r="C179" s="4" t="s">
        <v>11926</v>
      </c>
      <c r="D179" s="717">
        <v>1772</v>
      </c>
      <c r="E179" s="717">
        <v>1801</v>
      </c>
      <c r="F179" s="717">
        <v>1823</v>
      </c>
      <c r="G179" s="31">
        <v>1815</v>
      </c>
      <c r="H179" s="31">
        <v>1828</v>
      </c>
      <c r="I179" s="31">
        <v>1811</v>
      </c>
      <c r="J179" s="31">
        <v>1795</v>
      </c>
      <c r="K179" s="31">
        <v>1950</v>
      </c>
      <c r="L179" s="31">
        <v>1986</v>
      </c>
      <c r="N179" s="713" t="s">
        <v>3317</v>
      </c>
      <c r="O179" s="4"/>
      <c r="Q179" s="4"/>
    </row>
    <row r="180" spans="1:17">
      <c r="A180" s="713" t="s">
        <v>6965</v>
      </c>
      <c r="B180" s="713" t="s">
        <v>8544</v>
      </c>
      <c r="C180" s="4" t="s">
        <v>11927</v>
      </c>
      <c r="D180" s="717">
        <v>1622</v>
      </c>
      <c r="E180" s="717">
        <v>1652</v>
      </c>
      <c r="F180" s="717">
        <v>1645</v>
      </c>
      <c r="G180" s="30">
        <v>1676</v>
      </c>
      <c r="H180" s="30">
        <v>1662</v>
      </c>
      <c r="I180" s="30">
        <v>1698</v>
      </c>
      <c r="J180" s="30">
        <v>1582</v>
      </c>
      <c r="K180" s="30">
        <v>1681</v>
      </c>
      <c r="L180" s="30">
        <v>1647</v>
      </c>
      <c r="N180" s="713" t="s">
        <v>3313</v>
      </c>
      <c r="O180" s="4"/>
      <c r="Q180" s="4"/>
    </row>
    <row r="181" spans="1:17">
      <c r="A181" s="713" t="s">
        <v>6997</v>
      </c>
      <c r="B181" s="713" t="s">
        <v>1009</v>
      </c>
      <c r="C181" s="4" t="s">
        <v>11928</v>
      </c>
      <c r="D181" s="723">
        <v>1725</v>
      </c>
      <c r="E181" s="723">
        <v>1720</v>
      </c>
      <c r="F181" s="723">
        <v>1725</v>
      </c>
      <c r="G181" s="31">
        <v>1742</v>
      </c>
      <c r="H181" s="31">
        <v>1740</v>
      </c>
      <c r="I181" s="31">
        <v>1733</v>
      </c>
      <c r="J181" s="31">
        <v>1670</v>
      </c>
      <c r="K181" s="31">
        <v>1774</v>
      </c>
      <c r="L181" s="31">
        <v>1774</v>
      </c>
      <c r="N181" s="713" t="s">
        <v>3317</v>
      </c>
      <c r="O181" s="4"/>
      <c r="Q181" s="4"/>
    </row>
    <row r="182" spans="1:17">
      <c r="A182" s="713" t="s">
        <v>6999</v>
      </c>
      <c r="B182" s="713" t="s">
        <v>2693</v>
      </c>
      <c r="C182" s="4" t="s">
        <v>11929</v>
      </c>
      <c r="D182" s="717">
        <v>1654</v>
      </c>
      <c r="E182" s="717">
        <v>1704</v>
      </c>
      <c r="F182" s="717">
        <v>1680</v>
      </c>
      <c r="G182" s="31">
        <v>1698</v>
      </c>
      <c r="H182" s="31">
        <v>1670</v>
      </c>
      <c r="I182" s="31">
        <v>1663</v>
      </c>
      <c r="J182" s="31">
        <v>1657</v>
      </c>
      <c r="K182" s="31">
        <v>1792</v>
      </c>
      <c r="L182" s="31">
        <v>1768</v>
      </c>
      <c r="N182" s="713" t="s">
        <v>3313</v>
      </c>
      <c r="O182" s="4"/>
      <c r="Q182" s="4"/>
    </row>
    <row r="183" spans="1:17">
      <c r="A183" s="713" t="s">
        <v>7001</v>
      </c>
      <c r="B183" s="713" t="s">
        <v>2694</v>
      </c>
      <c r="C183" s="4" t="s">
        <v>11930</v>
      </c>
      <c r="D183" s="717">
        <v>1716</v>
      </c>
      <c r="E183" s="717">
        <v>1809</v>
      </c>
      <c r="F183" s="717">
        <v>1768</v>
      </c>
      <c r="G183" s="30">
        <v>1752</v>
      </c>
      <c r="H183" s="30">
        <v>1676</v>
      </c>
      <c r="I183" s="30">
        <v>1758</v>
      </c>
      <c r="J183" s="30">
        <v>1691</v>
      </c>
      <c r="K183" s="30">
        <v>1750</v>
      </c>
      <c r="L183" s="30">
        <v>1778</v>
      </c>
      <c r="N183" s="713" t="s">
        <v>4295</v>
      </c>
      <c r="O183" s="4"/>
      <c r="Q183" s="4"/>
    </row>
    <row r="184" spans="1:17">
      <c r="A184" s="713" t="s">
        <v>7003</v>
      </c>
      <c r="B184" s="713" t="s">
        <v>1050</v>
      </c>
      <c r="C184" s="4" t="s">
        <v>11931</v>
      </c>
      <c r="D184" s="717">
        <v>1668</v>
      </c>
      <c r="E184" s="717">
        <v>1729</v>
      </c>
      <c r="F184" s="717">
        <v>1743</v>
      </c>
      <c r="G184" s="30">
        <v>1743</v>
      </c>
      <c r="H184" s="30">
        <v>1713</v>
      </c>
      <c r="I184" s="30">
        <v>1697</v>
      </c>
      <c r="J184" s="30">
        <v>1617</v>
      </c>
      <c r="K184" s="30">
        <v>1627</v>
      </c>
      <c r="L184" s="30">
        <v>1575</v>
      </c>
      <c r="N184" s="713" t="s">
        <v>4295</v>
      </c>
      <c r="O184" s="4"/>
      <c r="Q184" s="4"/>
    </row>
    <row r="185" spans="1:17">
      <c r="A185" s="713" t="s">
        <v>7005</v>
      </c>
      <c r="B185" s="713" t="s">
        <v>1051</v>
      </c>
      <c r="C185" s="4" t="s">
        <v>11932</v>
      </c>
      <c r="D185" s="717">
        <v>1768</v>
      </c>
      <c r="E185" s="717">
        <v>1771</v>
      </c>
      <c r="F185" s="717">
        <v>1766</v>
      </c>
      <c r="G185" s="30">
        <v>1773</v>
      </c>
      <c r="H185" s="30">
        <v>1774</v>
      </c>
      <c r="I185" s="30">
        <v>1756</v>
      </c>
      <c r="J185" s="30">
        <v>1716</v>
      </c>
      <c r="K185" s="30">
        <v>1779</v>
      </c>
      <c r="L185" s="30">
        <v>1772</v>
      </c>
      <c r="N185" s="713" t="s">
        <v>4295</v>
      </c>
      <c r="O185" s="4"/>
      <c r="Q185" s="4"/>
    </row>
    <row r="186" spans="1:17">
      <c r="A186" s="713" t="s">
        <v>7007</v>
      </c>
      <c r="B186" s="713" t="s">
        <v>1052</v>
      </c>
      <c r="C186" s="4" t="s">
        <v>11933</v>
      </c>
      <c r="D186" s="717">
        <v>5174</v>
      </c>
      <c r="E186" s="717">
        <v>5308</v>
      </c>
      <c r="F186" s="717">
        <v>5344</v>
      </c>
      <c r="G186" s="31">
        <v>5308</v>
      </c>
      <c r="H186" s="31">
        <v>5196</v>
      </c>
      <c r="I186" s="31">
        <v>5199</v>
      </c>
      <c r="J186" s="31">
        <v>4954</v>
      </c>
      <c r="K186" s="31">
        <v>5154</v>
      </c>
      <c r="L186" s="31">
        <v>5063</v>
      </c>
      <c r="N186" s="713" t="s">
        <v>3317</v>
      </c>
      <c r="O186" s="4"/>
      <c r="Q186" s="4"/>
    </row>
    <row r="187" spans="1:17">
      <c r="A187" s="713" t="s">
        <v>7009</v>
      </c>
      <c r="B187" s="713" t="s">
        <v>1053</v>
      </c>
      <c r="C187" s="4" t="s">
        <v>11934</v>
      </c>
      <c r="D187" s="717">
        <v>5600</v>
      </c>
      <c r="E187" s="717">
        <v>5554</v>
      </c>
      <c r="F187" s="717">
        <v>5596</v>
      </c>
      <c r="G187" s="31">
        <v>5602</v>
      </c>
      <c r="H187" s="31">
        <v>5544</v>
      </c>
      <c r="I187" s="31">
        <v>5426</v>
      </c>
      <c r="J187" s="31">
        <v>5192</v>
      </c>
      <c r="K187" s="31">
        <v>5403</v>
      </c>
      <c r="L187" s="31">
        <v>5428</v>
      </c>
      <c r="N187" s="713" t="s">
        <v>3317</v>
      </c>
      <c r="O187" s="4"/>
      <c r="Q187" s="4"/>
    </row>
    <row r="188" spans="1:17">
      <c r="A188" s="713" t="s">
        <v>7011</v>
      </c>
      <c r="B188" s="713" t="s">
        <v>142</v>
      </c>
      <c r="C188" s="4" t="s">
        <v>11935</v>
      </c>
      <c r="D188" s="717">
        <v>3506</v>
      </c>
      <c r="E188" s="717">
        <v>3666</v>
      </c>
      <c r="F188" s="717">
        <v>3644</v>
      </c>
      <c r="G188" s="31">
        <v>3721</v>
      </c>
      <c r="H188" s="31">
        <v>3605</v>
      </c>
      <c r="I188" s="31">
        <v>3590</v>
      </c>
      <c r="J188" s="31">
        <v>3439</v>
      </c>
      <c r="K188" s="31">
        <v>3680</v>
      </c>
      <c r="L188" s="31">
        <v>3658</v>
      </c>
      <c r="N188" s="713" t="s">
        <v>3317</v>
      </c>
      <c r="O188" s="4"/>
      <c r="Q188" s="4"/>
    </row>
    <row r="189" spans="1:17">
      <c r="A189" s="713" t="s">
        <v>7013</v>
      </c>
      <c r="B189" s="713" t="s">
        <v>143</v>
      </c>
      <c r="C189" s="4" t="s">
        <v>11936</v>
      </c>
      <c r="D189" s="717">
        <v>3807</v>
      </c>
      <c r="E189" s="717">
        <v>3895</v>
      </c>
      <c r="F189" s="717">
        <v>3916</v>
      </c>
      <c r="G189" s="31">
        <v>3993</v>
      </c>
      <c r="H189" s="31">
        <v>3900</v>
      </c>
      <c r="I189" s="31">
        <v>3880</v>
      </c>
      <c r="J189" s="31">
        <v>3675</v>
      </c>
      <c r="K189" s="31">
        <v>3776</v>
      </c>
      <c r="L189" s="31">
        <v>3729</v>
      </c>
      <c r="N189" s="713" t="s">
        <v>3317</v>
      </c>
      <c r="O189" s="4"/>
      <c r="Q189" s="4"/>
    </row>
    <row r="190" spans="1:17">
      <c r="A190" s="713" t="s">
        <v>7015</v>
      </c>
      <c r="B190" s="713" t="s">
        <v>1841</v>
      </c>
      <c r="C190" s="4" t="s">
        <v>11937</v>
      </c>
      <c r="D190" s="717">
        <v>1729</v>
      </c>
      <c r="E190" s="717">
        <v>1728</v>
      </c>
      <c r="F190" s="717">
        <v>1732</v>
      </c>
      <c r="G190" s="30">
        <v>1785</v>
      </c>
      <c r="H190" s="30">
        <v>1751</v>
      </c>
      <c r="I190" s="30">
        <v>1732</v>
      </c>
      <c r="J190" s="30">
        <v>1664</v>
      </c>
      <c r="K190" s="30">
        <v>1748</v>
      </c>
      <c r="L190" s="30">
        <v>1763</v>
      </c>
      <c r="N190" s="713" t="s">
        <v>4295</v>
      </c>
      <c r="O190" s="4"/>
      <c r="Q190" s="4"/>
    </row>
    <row r="191" spans="1:17">
      <c r="A191" s="713" t="s">
        <v>7017</v>
      </c>
      <c r="B191" s="713" t="s">
        <v>1842</v>
      </c>
      <c r="C191" s="4" t="s">
        <v>11938</v>
      </c>
      <c r="D191" s="717">
        <v>1764</v>
      </c>
      <c r="E191" s="717">
        <v>1751</v>
      </c>
      <c r="F191" s="717">
        <v>1737</v>
      </c>
      <c r="G191" s="31">
        <v>1735</v>
      </c>
      <c r="H191" s="31">
        <v>1724</v>
      </c>
      <c r="I191" s="31">
        <v>1697</v>
      </c>
      <c r="J191" s="31">
        <v>1669</v>
      </c>
      <c r="K191" s="31">
        <v>1792</v>
      </c>
      <c r="L191" s="31">
        <v>1746</v>
      </c>
      <c r="N191" s="713" t="s">
        <v>3317</v>
      </c>
      <c r="O191" s="4"/>
      <c r="Q191" s="4"/>
    </row>
    <row r="192" spans="1:17">
      <c r="A192" s="713" t="s">
        <v>7019</v>
      </c>
      <c r="B192" s="713" t="s">
        <v>1843</v>
      </c>
      <c r="C192" s="4" t="s">
        <v>11939</v>
      </c>
      <c r="D192" s="717">
        <v>1724</v>
      </c>
      <c r="E192" s="717">
        <v>1798</v>
      </c>
      <c r="F192" s="717">
        <v>1800</v>
      </c>
      <c r="G192" s="31">
        <v>1777</v>
      </c>
      <c r="H192" s="31">
        <v>1780</v>
      </c>
      <c r="I192" s="31">
        <v>1772</v>
      </c>
      <c r="J192" s="31">
        <v>1700</v>
      </c>
      <c r="K192" s="31">
        <v>1731</v>
      </c>
      <c r="L192" s="31">
        <v>1749</v>
      </c>
      <c r="N192" s="713" t="s">
        <v>3317</v>
      </c>
      <c r="O192" s="4"/>
      <c r="Q192" s="4"/>
    </row>
    <row r="193" spans="1:17">
      <c r="A193" s="713" t="s">
        <v>7021</v>
      </c>
      <c r="B193" s="713" t="s">
        <v>1844</v>
      </c>
      <c r="C193" s="4" t="s">
        <v>11940</v>
      </c>
      <c r="D193" s="717">
        <v>1588</v>
      </c>
      <c r="E193" s="717">
        <v>1598</v>
      </c>
      <c r="F193" s="717">
        <v>1578</v>
      </c>
      <c r="G193" s="31">
        <v>1564</v>
      </c>
      <c r="H193" s="31">
        <v>1540</v>
      </c>
      <c r="I193" s="31">
        <v>1544</v>
      </c>
      <c r="J193" s="31">
        <v>1526</v>
      </c>
      <c r="K193" s="31">
        <v>1701</v>
      </c>
      <c r="L193" s="31">
        <v>1672</v>
      </c>
      <c r="N193" s="713" t="s">
        <v>3317</v>
      </c>
      <c r="O193" s="4"/>
      <c r="Q193" s="4"/>
    </row>
    <row r="194" spans="1:17">
      <c r="A194" s="713" t="s">
        <v>7023</v>
      </c>
      <c r="B194" s="713" t="s">
        <v>1845</v>
      </c>
      <c r="C194" s="4" t="s">
        <v>11941</v>
      </c>
      <c r="D194" s="717">
        <v>3545</v>
      </c>
      <c r="E194" s="717">
        <v>3533</v>
      </c>
      <c r="F194" s="717">
        <v>3524</v>
      </c>
      <c r="G194" s="30">
        <v>3512</v>
      </c>
      <c r="H194" s="30">
        <v>3437</v>
      </c>
      <c r="I194" s="30">
        <v>3413</v>
      </c>
      <c r="J194" s="30">
        <v>3287</v>
      </c>
      <c r="K194" s="30">
        <v>3435</v>
      </c>
      <c r="L194" s="30">
        <v>3411</v>
      </c>
      <c r="N194" s="713" t="s">
        <v>4295</v>
      </c>
      <c r="O194" s="4"/>
      <c r="Q194" s="4"/>
    </row>
    <row r="195" spans="1:17">
      <c r="A195" s="713" t="s">
        <v>7025</v>
      </c>
      <c r="B195" s="713" t="s">
        <v>1846</v>
      </c>
      <c r="C195" s="4" t="s">
        <v>11942</v>
      </c>
      <c r="D195" s="717">
        <v>5232</v>
      </c>
      <c r="E195" s="717">
        <v>5490</v>
      </c>
      <c r="F195" s="717">
        <v>5522</v>
      </c>
      <c r="G195" s="30">
        <v>5530</v>
      </c>
      <c r="H195" s="30">
        <v>5455</v>
      </c>
      <c r="I195" s="30">
        <v>5448</v>
      </c>
      <c r="J195" s="30">
        <v>5182</v>
      </c>
      <c r="K195" s="30">
        <v>5298</v>
      </c>
      <c r="L195" s="30">
        <v>5330</v>
      </c>
      <c r="N195" s="713" t="s">
        <v>4295</v>
      </c>
      <c r="O195" s="4"/>
      <c r="Q195" s="4"/>
    </row>
    <row r="196" spans="1:17">
      <c r="A196" s="713" t="s">
        <v>7570</v>
      </c>
      <c r="B196" s="713" t="s">
        <v>5298</v>
      </c>
      <c r="C196" s="4" t="s">
        <v>11943</v>
      </c>
      <c r="D196" s="717">
        <v>1813</v>
      </c>
      <c r="E196" s="717">
        <v>1821</v>
      </c>
      <c r="F196" s="717">
        <v>1803</v>
      </c>
      <c r="G196" s="30">
        <v>1848</v>
      </c>
      <c r="H196" s="30">
        <v>1843</v>
      </c>
      <c r="I196" s="30">
        <v>1843</v>
      </c>
      <c r="J196" s="30">
        <v>1753</v>
      </c>
      <c r="K196" s="30">
        <v>1839</v>
      </c>
      <c r="L196" s="30">
        <v>1799</v>
      </c>
      <c r="N196" s="713" t="s">
        <v>4295</v>
      </c>
      <c r="O196" s="4"/>
      <c r="Q196" s="4"/>
    </row>
    <row r="197" spans="1:17">
      <c r="A197" s="713" t="s">
        <v>7572</v>
      </c>
      <c r="B197" s="713" t="s">
        <v>1847</v>
      </c>
      <c r="C197" s="4" t="s">
        <v>11944</v>
      </c>
      <c r="D197" s="717">
        <v>2455</v>
      </c>
      <c r="E197" s="717">
        <v>2513</v>
      </c>
      <c r="F197" s="717">
        <v>2137</v>
      </c>
      <c r="G197" s="30">
        <v>2113</v>
      </c>
      <c r="H197" s="30">
        <v>2069</v>
      </c>
      <c r="I197" s="30">
        <v>1941</v>
      </c>
      <c r="J197" s="30">
        <v>1907</v>
      </c>
      <c r="K197" s="30">
        <v>2057</v>
      </c>
      <c r="L197" s="30">
        <v>1972</v>
      </c>
      <c r="N197" s="713" t="s">
        <v>4295</v>
      </c>
      <c r="O197" s="4"/>
      <c r="Q197" s="4"/>
    </row>
    <row r="198" spans="1:17">
      <c r="A198" s="713" t="s">
        <v>7573</v>
      </c>
      <c r="B198" s="713" t="s">
        <v>1848</v>
      </c>
      <c r="C198" s="4" t="s">
        <v>11945</v>
      </c>
      <c r="D198" s="723">
        <v>1928</v>
      </c>
      <c r="E198" s="723">
        <v>1964</v>
      </c>
      <c r="F198" s="723">
        <v>1978</v>
      </c>
      <c r="G198" s="31">
        <v>1994</v>
      </c>
      <c r="H198" s="31">
        <v>1978</v>
      </c>
      <c r="I198" s="31">
        <v>1945</v>
      </c>
      <c r="J198" s="31">
        <v>1875</v>
      </c>
      <c r="K198" s="31">
        <v>1936</v>
      </c>
      <c r="L198" s="31">
        <v>1910</v>
      </c>
      <c r="N198" s="713" t="s">
        <v>3317</v>
      </c>
      <c r="O198" s="4"/>
      <c r="Q198" s="4"/>
    </row>
    <row r="199" spans="1:17">
      <c r="A199" s="713" t="s">
        <v>5798</v>
      </c>
      <c r="B199" s="713" t="s">
        <v>1849</v>
      </c>
      <c r="C199" s="4" t="s">
        <v>11946</v>
      </c>
      <c r="D199" s="717">
        <v>3411</v>
      </c>
      <c r="E199" s="717">
        <v>3553</v>
      </c>
      <c r="F199" s="717">
        <v>3495</v>
      </c>
      <c r="G199" s="30">
        <v>3502</v>
      </c>
      <c r="H199" s="30">
        <v>3434</v>
      </c>
      <c r="I199" s="30">
        <v>3387</v>
      </c>
      <c r="J199" s="30">
        <v>3248</v>
      </c>
      <c r="K199" s="30">
        <v>3284</v>
      </c>
      <c r="L199" s="30">
        <v>3305</v>
      </c>
      <c r="N199" s="713" t="s">
        <v>4295</v>
      </c>
      <c r="O199" s="4"/>
      <c r="Q199" s="4"/>
    </row>
    <row r="200" spans="1:17">
      <c r="A200" s="713" t="s">
        <v>5799</v>
      </c>
      <c r="B200" s="713" t="s">
        <v>1850</v>
      </c>
      <c r="C200" s="4" t="s">
        <v>11947</v>
      </c>
      <c r="D200" s="717">
        <v>1785</v>
      </c>
      <c r="E200" s="717">
        <v>1820</v>
      </c>
      <c r="F200" s="717">
        <v>1817</v>
      </c>
      <c r="G200" s="30">
        <v>1841</v>
      </c>
      <c r="H200" s="30">
        <v>1820</v>
      </c>
      <c r="I200" s="30">
        <v>1830</v>
      </c>
      <c r="J200" s="30">
        <v>1768</v>
      </c>
      <c r="K200" s="30">
        <v>1881</v>
      </c>
      <c r="L200" s="30">
        <v>1860</v>
      </c>
      <c r="N200" s="713" t="s">
        <v>4295</v>
      </c>
      <c r="O200" s="4"/>
      <c r="Q200" s="4"/>
    </row>
    <row r="201" spans="1:17">
      <c r="A201" s="713" t="s">
        <v>5801</v>
      </c>
      <c r="B201" s="713" t="s">
        <v>1851</v>
      </c>
      <c r="C201" s="4" t="s">
        <v>11948</v>
      </c>
      <c r="D201" s="717">
        <v>3216</v>
      </c>
      <c r="E201" s="717">
        <v>3237</v>
      </c>
      <c r="F201" s="717">
        <v>3296</v>
      </c>
      <c r="G201" s="30">
        <v>3301</v>
      </c>
      <c r="H201" s="30">
        <v>3304</v>
      </c>
      <c r="I201" s="30">
        <v>3294</v>
      </c>
      <c r="J201" s="30">
        <v>3080</v>
      </c>
      <c r="K201" s="30">
        <v>3296</v>
      </c>
      <c r="L201" s="30">
        <v>3345</v>
      </c>
      <c r="N201" s="713" t="s">
        <v>4295</v>
      </c>
      <c r="O201" s="4"/>
      <c r="Q201" s="4"/>
    </row>
    <row r="202" spans="1:17">
      <c r="A202" s="713" t="s">
        <v>5927</v>
      </c>
      <c r="B202" s="713" t="s">
        <v>1975</v>
      </c>
      <c r="C202" s="4" t="s">
        <v>11949</v>
      </c>
      <c r="D202" s="717">
        <v>3403</v>
      </c>
      <c r="E202" s="717">
        <v>3421</v>
      </c>
      <c r="F202" s="717">
        <v>3489</v>
      </c>
      <c r="G202" s="717">
        <v>3505</v>
      </c>
      <c r="H202" s="30">
        <v>3419</v>
      </c>
      <c r="I202" s="30">
        <v>3416</v>
      </c>
      <c r="J202" s="30">
        <v>3274</v>
      </c>
      <c r="K202" s="30">
        <v>3413</v>
      </c>
      <c r="L202" s="30">
        <v>3200</v>
      </c>
      <c r="N202" s="713" t="s">
        <v>4295</v>
      </c>
      <c r="O202" s="4"/>
      <c r="Q202" s="4"/>
    </row>
    <row r="203" spans="1:17">
      <c r="A203" s="713" t="s">
        <v>5929</v>
      </c>
      <c r="B203" s="713" t="s">
        <v>7185</v>
      </c>
      <c r="C203" s="4" t="s">
        <v>11950</v>
      </c>
      <c r="D203" s="717">
        <v>1969</v>
      </c>
      <c r="E203" s="717">
        <v>2001</v>
      </c>
      <c r="F203" s="717">
        <v>1985</v>
      </c>
      <c r="G203" s="31">
        <v>1982</v>
      </c>
      <c r="H203" s="31">
        <v>2022</v>
      </c>
      <c r="I203" s="31">
        <v>2022</v>
      </c>
      <c r="J203" s="31">
        <v>1991</v>
      </c>
      <c r="K203" s="31">
        <v>2205</v>
      </c>
      <c r="L203" s="31">
        <v>2206</v>
      </c>
      <c r="N203" s="713" t="s">
        <v>3317</v>
      </c>
      <c r="O203" s="4"/>
      <c r="Q203" s="4"/>
    </row>
    <row r="204" spans="1:17">
      <c r="A204" s="713" t="s">
        <v>5931</v>
      </c>
      <c r="B204" s="713" t="s">
        <v>4281</v>
      </c>
      <c r="C204" s="4" t="s">
        <v>11951</v>
      </c>
      <c r="D204" s="717">
        <v>3379</v>
      </c>
      <c r="E204" s="717">
        <v>3370</v>
      </c>
      <c r="F204" s="717">
        <v>3365</v>
      </c>
      <c r="G204" s="30">
        <v>3354</v>
      </c>
      <c r="H204" s="30">
        <v>3354</v>
      </c>
      <c r="I204" s="30">
        <v>3315</v>
      </c>
      <c r="J204" s="30">
        <v>3214</v>
      </c>
      <c r="K204" s="30">
        <v>3374</v>
      </c>
      <c r="L204" s="30">
        <v>3308</v>
      </c>
      <c r="N204" s="713" t="s">
        <v>4295</v>
      </c>
      <c r="O204" s="4"/>
      <c r="Q204" s="4"/>
    </row>
    <row r="205" spans="1:17">
      <c r="A205" s="713" t="s">
        <v>5933</v>
      </c>
      <c r="B205" s="713" t="s">
        <v>1852</v>
      </c>
      <c r="C205" s="4" t="s">
        <v>11952</v>
      </c>
      <c r="D205" s="717">
        <v>1768</v>
      </c>
      <c r="E205" s="717">
        <v>1783</v>
      </c>
      <c r="F205" s="717">
        <v>1767</v>
      </c>
      <c r="G205" s="31">
        <v>1755</v>
      </c>
      <c r="H205" s="31">
        <v>1780</v>
      </c>
      <c r="I205" s="31">
        <v>1767</v>
      </c>
      <c r="J205" s="31">
        <v>1680</v>
      </c>
      <c r="K205" s="31">
        <v>1837</v>
      </c>
      <c r="L205" s="31">
        <v>1812</v>
      </c>
      <c r="N205" s="713" t="s">
        <v>3317</v>
      </c>
      <c r="O205" s="4"/>
      <c r="Q205" s="4"/>
    </row>
    <row r="206" spans="1:17">
      <c r="A206" s="713" t="s">
        <v>7897</v>
      </c>
      <c r="B206" s="713" t="s">
        <v>1853</v>
      </c>
      <c r="C206" s="4" t="s">
        <v>11953</v>
      </c>
      <c r="D206" s="717">
        <v>1587</v>
      </c>
      <c r="E206" s="717">
        <v>1629</v>
      </c>
      <c r="F206" s="717">
        <v>1620</v>
      </c>
      <c r="G206" s="31">
        <v>1608</v>
      </c>
      <c r="H206" s="31">
        <v>1587</v>
      </c>
      <c r="I206" s="31">
        <v>1579</v>
      </c>
      <c r="J206" s="31">
        <v>1556</v>
      </c>
      <c r="K206" s="31">
        <v>1799</v>
      </c>
      <c r="L206" s="31">
        <v>1817</v>
      </c>
      <c r="N206" s="713" t="s">
        <v>3317</v>
      </c>
      <c r="O206" s="4"/>
      <c r="Q206" s="4"/>
    </row>
    <row r="207" spans="1:17">
      <c r="D207" s="717"/>
      <c r="E207" s="717"/>
      <c r="F207" s="717"/>
      <c r="G207" s="717"/>
      <c r="H207" s="717"/>
      <c r="I207" s="717"/>
      <c r="J207" s="717"/>
      <c r="K207" s="717"/>
      <c r="L207" s="717"/>
    </row>
    <row r="208" spans="1:17">
      <c r="A208" s="713" t="s">
        <v>1002</v>
      </c>
      <c r="D208" s="716">
        <f t="shared" ref="D208:L208" si="119">D176+SUM(D183:D185)+D190+SUM(D194:D197)+SUM(D199:D202)+D204</f>
        <v>38649</v>
      </c>
      <c r="E208" s="716">
        <f t="shared" si="119"/>
        <v>39478</v>
      </c>
      <c r="F208" s="716">
        <f t="shared" si="119"/>
        <v>39098</v>
      </c>
      <c r="G208" s="716">
        <f t="shared" si="119"/>
        <v>39172</v>
      </c>
      <c r="H208" s="716">
        <f t="shared" si="119"/>
        <v>38539</v>
      </c>
      <c r="I208" s="716">
        <f t="shared" si="119"/>
        <v>38276</v>
      </c>
      <c r="J208" s="716">
        <f t="shared" si="119"/>
        <v>36671</v>
      </c>
      <c r="K208" s="716">
        <f t="shared" si="119"/>
        <v>38320</v>
      </c>
      <c r="L208" s="716">
        <f t="shared" si="119"/>
        <v>37810</v>
      </c>
    </row>
    <row r="209" spans="1:17">
      <c r="A209" s="713" t="s">
        <v>4248</v>
      </c>
      <c r="D209" s="716">
        <f t="shared" ref="D209:I209" si="120">D180+D182</f>
        <v>3276</v>
      </c>
      <c r="E209" s="716">
        <f t="shared" si="120"/>
        <v>3356</v>
      </c>
      <c r="F209" s="716">
        <f t="shared" si="120"/>
        <v>3325</v>
      </c>
      <c r="G209" s="716">
        <f t="shared" si="120"/>
        <v>3374</v>
      </c>
      <c r="H209" s="716">
        <f t="shared" si="120"/>
        <v>3332</v>
      </c>
      <c r="I209" s="716">
        <f t="shared" si="120"/>
        <v>3361</v>
      </c>
      <c r="J209" s="716">
        <f t="shared" ref="J209:K209" si="121">J180+J182</f>
        <v>3239</v>
      </c>
      <c r="K209" s="716">
        <f t="shared" si="121"/>
        <v>3473</v>
      </c>
      <c r="L209" s="716">
        <f t="shared" ref="L209" si="122">L180+L182</f>
        <v>3415</v>
      </c>
    </row>
    <row r="210" spans="1:17">
      <c r="A210" s="713" t="s">
        <v>3480</v>
      </c>
      <c r="D210" s="716">
        <f t="shared" ref="D210:L210" si="123">SUM(D177:D179)+D181+SUM(D186:D189)+SUM(D191:D193)+D198+D203+D205+D206</f>
        <v>37983</v>
      </c>
      <c r="E210" s="716">
        <f t="shared" si="123"/>
        <v>38574</v>
      </c>
      <c r="F210" s="716">
        <f t="shared" si="123"/>
        <v>38616</v>
      </c>
      <c r="G210" s="716">
        <f t="shared" si="123"/>
        <v>38781</v>
      </c>
      <c r="H210" s="716">
        <f t="shared" si="123"/>
        <v>38352</v>
      </c>
      <c r="I210" s="716">
        <f t="shared" si="123"/>
        <v>38081</v>
      </c>
      <c r="J210" s="716">
        <f t="shared" si="123"/>
        <v>36752</v>
      </c>
      <c r="K210" s="716">
        <f t="shared" si="123"/>
        <v>39059</v>
      </c>
      <c r="L210" s="716">
        <f t="shared" si="123"/>
        <v>38748</v>
      </c>
    </row>
    <row r="211" spans="1:17">
      <c r="A211" s="713"/>
      <c r="D211" s="716"/>
      <c r="E211" s="716"/>
      <c r="F211" s="716"/>
      <c r="G211" s="716"/>
      <c r="H211" s="716"/>
      <c r="I211" s="716"/>
      <c r="J211" s="716"/>
      <c r="K211" s="716"/>
      <c r="L211" s="716"/>
    </row>
    <row r="212" spans="1:17">
      <c r="A212" s="713" t="s">
        <v>1854</v>
      </c>
      <c r="D212" s="716"/>
      <c r="E212" s="716"/>
      <c r="F212" s="716"/>
      <c r="G212" s="716"/>
      <c r="H212" s="716"/>
      <c r="I212" s="716"/>
      <c r="J212" s="716"/>
      <c r="K212" s="716"/>
      <c r="L212" s="716"/>
    </row>
    <row r="213" spans="1:17">
      <c r="A213" s="713"/>
      <c r="B213" s="713"/>
      <c r="D213" s="722"/>
      <c r="E213" s="722"/>
      <c r="F213" s="722"/>
      <c r="G213" s="722"/>
      <c r="H213" s="722"/>
      <c r="I213" s="722"/>
      <c r="J213" s="722"/>
      <c r="K213" s="722"/>
      <c r="L213" s="722"/>
    </row>
    <row r="214" spans="1:17">
      <c r="A214" s="713"/>
      <c r="B214" s="713"/>
      <c r="D214" s="722"/>
      <c r="E214" s="722"/>
      <c r="F214" s="722"/>
      <c r="G214" s="722"/>
      <c r="H214" s="722"/>
      <c r="I214" s="722"/>
      <c r="J214" s="722"/>
      <c r="K214" s="722"/>
      <c r="L214" s="722"/>
    </row>
    <row r="215" spans="1:17">
      <c r="E215" s="42" t="s">
        <v>2303</v>
      </c>
      <c r="F215" s="42"/>
      <c r="G215" s="42"/>
      <c r="H215" s="42"/>
      <c r="I215" s="42"/>
      <c r="J215" s="42"/>
      <c r="K215" s="42"/>
      <c r="L215" s="42"/>
      <c r="M215" s="109"/>
      <c r="N215" s="109" t="s">
        <v>13319</v>
      </c>
    </row>
    <row r="216" spans="1:17">
      <c r="D216" s="110">
        <v>2010</v>
      </c>
      <c r="E216" s="110">
        <v>2011</v>
      </c>
      <c r="F216" s="110">
        <v>2012</v>
      </c>
      <c r="G216" s="110">
        <v>2013</v>
      </c>
      <c r="H216" s="110">
        <v>2014</v>
      </c>
      <c r="I216" s="110">
        <v>2015</v>
      </c>
      <c r="J216" s="110">
        <v>2016</v>
      </c>
      <c r="K216" s="110">
        <v>2017</v>
      </c>
      <c r="L216" s="110">
        <v>2018</v>
      </c>
      <c r="M216" s="109"/>
      <c r="N216" s="112" t="s">
        <v>2304</v>
      </c>
    </row>
    <row r="217" spans="1:17">
      <c r="A217" s="713" t="s">
        <v>1855</v>
      </c>
      <c r="D217" s="716">
        <f>SUM(D218:D228)+SUM(D230:D245)+D247+D248</f>
        <v>95460</v>
      </c>
      <c r="E217" s="716">
        <f t="shared" ref="E217:J217" si="124">SUM(E218:E228)+SUM(E230:E245)+E247+E248</f>
        <v>95500</v>
      </c>
      <c r="F217" s="716">
        <f t="shared" si="124"/>
        <v>96210</v>
      </c>
      <c r="G217" s="716">
        <f t="shared" si="124"/>
        <v>96928</v>
      </c>
      <c r="H217" s="716">
        <f t="shared" si="124"/>
        <v>93136</v>
      </c>
      <c r="I217" s="716">
        <f t="shared" si="124"/>
        <v>94326</v>
      </c>
      <c r="J217" s="716">
        <f t="shared" si="124"/>
        <v>93970</v>
      </c>
      <c r="K217" s="716">
        <f t="shared" ref="K217:L217" si="125">SUM(K218:K228)+SUM(K230:K245)+K247+K248</f>
        <v>96661</v>
      </c>
      <c r="L217" s="716">
        <f t="shared" si="125"/>
        <v>97776</v>
      </c>
    </row>
    <row r="218" spans="1:17">
      <c r="A218" s="713" t="s">
        <v>6957</v>
      </c>
      <c r="B218" s="713" t="s">
        <v>1856</v>
      </c>
      <c r="C218" s="4" t="s">
        <v>15519</v>
      </c>
      <c r="D218" s="717">
        <v>66552</v>
      </c>
      <c r="E218" s="717">
        <v>66484</v>
      </c>
      <c r="F218" s="717">
        <v>67067</v>
      </c>
      <c r="G218" s="717">
        <v>67536</v>
      </c>
      <c r="H218" s="48">
        <v>64676</v>
      </c>
      <c r="I218" s="48">
        <v>65530</v>
      </c>
      <c r="J218" s="48">
        <v>3944</v>
      </c>
      <c r="K218" s="48">
        <v>4056</v>
      </c>
      <c r="L218" s="48">
        <v>4120</v>
      </c>
      <c r="N218" s="713" t="s">
        <v>3314</v>
      </c>
      <c r="O218" s="4"/>
      <c r="Q218" s="4"/>
    </row>
    <row r="219" spans="1:17">
      <c r="A219" s="713" t="s">
        <v>6959</v>
      </c>
      <c r="B219" s="713" t="s">
        <v>15520</v>
      </c>
      <c r="C219" s="4" t="s">
        <v>15530</v>
      </c>
      <c r="D219" s="717">
        <v>0</v>
      </c>
      <c r="E219" s="717">
        <v>0</v>
      </c>
      <c r="F219" s="717">
        <v>0</v>
      </c>
      <c r="G219" s="717">
        <v>0</v>
      </c>
      <c r="H219" s="717">
        <v>0</v>
      </c>
      <c r="I219" s="717">
        <v>0</v>
      </c>
      <c r="J219" s="48">
        <v>2048</v>
      </c>
      <c r="K219" s="48">
        <v>2138</v>
      </c>
      <c r="L219" s="48">
        <v>2140</v>
      </c>
      <c r="N219" s="713" t="s">
        <v>3314</v>
      </c>
      <c r="O219" s="4"/>
      <c r="Q219" s="4"/>
    </row>
    <row r="220" spans="1:17">
      <c r="A220" s="713" t="s">
        <v>6961</v>
      </c>
      <c r="B220" s="713" t="s">
        <v>1857</v>
      </c>
      <c r="C220" s="4" t="s">
        <v>15531</v>
      </c>
      <c r="D220" s="717">
        <v>0</v>
      </c>
      <c r="E220" s="717">
        <v>0</v>
      </c>
      <c r="F220" s="717">
        <v>0</v>
      </c>
      <c r="G220" s="717">
        <v>0</v>
      </c>
      <c r="H220" s="717">
        <v>0</v>
      </c>
      <c r="I220" s="717">
        <v>0</v>
      </c>
      <c r="J220" s="48">
        <v>4014</v>
      </c>
      <c r="K220" s="48">
        <v>4068</v>
      </c>
      <c r="L220" s="48">
        <v>4094</v>
      </c>
      <c r="N220" s="713" t="s">
        <v>3314</v>
      </c>
      <c r="O220" s="4"/>
      <c r="Q220" s="4"/>
    </row>
    <row r="221" spans="1:17">
      <c r="A221" s="713" t="s">
        <v>6963</v>
      </c>
      <c r="B221" s="713" t="s">
        <v>1858</v>
      </c>
      <c r="C221" s="4" t="s">
        <v>15532</v>
      </c>
      <c r="D221" s="717">
        <v>0</v>
      </c>
      <c r="E221" s="717">
        <v>0</v>
      </c>
      <c r="F221" s="717">
        <v>0</v>
      </c>
      <c r="G221" s="717">
        <v>0</v>
      </c>
      <c r="H221" s="717">
        <v>0</v>
      </c>
      <c r="I221" s="717">
        <v>0</v>
      </c>
      <c r="J221" s="48">
        <v>4433</v>
      </c>
      <c r="K221" s="48">
        <v>4554</v>
      </c>
      <c r="L221" s="48">
        <v>4632</v>
      </c>
      <c r="N221" s="713" t="s">
        <v>3314</v>
      </c>
      <c r="O221" s="4"/>
      <c r="Q221" s="4"/>
    </row>
    <row r="222" spans="1:17">
      <c r="A222" s="713" t="s">
        <v>6965</v>
      </c>
      <c r="B222" s="713" t="s">
        <v>1859</v>
      </c>
      <c r="C222" s="4" t="s">
        <v>15533</v>
      </c>
      <c r="D222" s="717">
        <v>0</v>
      </c>
      <c r="E222" s="717">
        <v>0</v>
      </c>
      <c r="F222" s="717">
        <v>0</v>
      </c>
      <c r="G222" s="717">
        <v>0</v>
      </c>
      <c r="H222" s="717">
        <v>0</v>
      </c>
      <c r="I222" s="717">
        <v>0</v>
      </c>
      <c r="J222" s="48">
        <v>4611</v>
      </c>
      <c r="K222" s="48">
        <v>4849</v>
      </c>
      <c r="L222" s="48">
        <v>4876</v>
      </c>
      <c r="N222" s="713" t="s">
        <v>3314</v>
      </c>
      <c r="O222" s="4"/>
      <c r="Q222" s="4"/>
    </row>
    <row r="223" spans="1:17">
      <c r="A223" s="713" t="s">
        <v>6997</v>
      </c>
      <c r="B223" s="713" t="s">
        <v>4475</v>
      </c>
      <c r="C223" s="4" t="s">
        <v>15534</v>
      </c>
      <c r="D223" s="717">
        <v>0</v>
      </c>
      <c r="E223" s="717">
        <v>0</v>
      </c>
      <c r="F223" s="717">
        <v>0</v>
      </c>
      <c r="G223" s="717">
        <v>0</v>
      </c>
      <c r="H223" s="717">
        <v>0</v>
      </c>
      <c r="I223" s="717">
        <v>0</v>
      </c>
      <c r="J223" s="48">
        <v>4555</v>
      </c>
      <c r="K223" s="48">
        <v>4668</v>
      </c>
      <c r="L223" s="48">
        <v>4678</v>
      </c>
      <c r="N223" s="713" t="s">
        <v>3314</v>
      </c>
      <c r="O223" s="4"/>
      <c r="Q223" s="4"/>
    </row>
    <row r="224" spans="1:17">
      <c r="A224" s="713" t="s">
        <v>6999</v>
      </c>
      <c r="B224" s="713" t="s">
        <v>4476</v>
      </c>
      <c r="C224" s="4" t="s">
        <v>15535</v>
      </c>
      <c r="D224" s="717">
        <v>28908</v>
      </c>
      <c r="E224" s="717">
        <v>29016</v>
      </c>
      <c r="F224" s="717">
        <v>29143</v>
      </c>
      <c r="G224" s="717">
        <v>29392</v>
      </c>
      <c r="H224" s="48">
        <v>28460</v>
      </c>
      <c r="I224" s="48">
        <v>28796</v>
      </c>
      <c r="J224" s="48">
        <v>4236</v>
      </c>
      <c r="K224" s="48">
        <v>4381</v>
      </c>
      <c r="L224" s="48">
        <v>4504</v>
      </c>
      <c r="N224" s="713" t="s">
        <v>4298</v>
      </c>
      <c r="O224" s="4"/>
      <c r="Q224" s="4"/>
    </row>
    <row r="225" spans="1:17">
      <c r="A225" s="713" t="s">
        <v>7001</v>
      </c>
      <c r="B225" s="713" t="s">
        <v>15521</v>
      </c>
      <c r="C225" s="4" t="s">
        <v>15536</v>
      </c>
      <c r="D225" s="717">
        <v>0</v>
      </c>
      <c r="E225" s="717">
        <v>0</v>
      </c>
      <c r="F225" s="717">
        <v>0</v>
      </c>
      <c r="G225" s="717">
        <v>0</v>
      </c>
      <c r="H225" s="717">
        <v>0</v>
      </c>
      <c r="I225" s="717">
        <v>0</v>
      </c>
      <c r="J225" s="48">
        <v>2470</v>
      </c>
      <c r="K225" s="48">
        <v>2569</v>
      </c>
      <c r="L225" s="48">
        <v>2600</v>
      </c>
      <c r="N225" s="713" t="s">
        <v>4298</v>
      </c>
      <c r="O225" s="4"/>
      <c r="Q225" s="4"/>
    </row>
    <row r="226" spans="1:17">
      <c r="A226" s="713" t="s">
        <v>7003</v>
      </c>
      <c r="B226" s="713" t="s">
        <v>4477</v>
      </c>
      <c r="C226" s="4" t="s">
        <v>15537</v>
      </c>
      <c r="D226" s="717">
        <v>0</v>
      </c>
      <c r="E226" s="717">
        <v>0</v>
      </c>
      <c r="F226" s="717">
        <v>0</v>
      </c>
      <c r="G226" s="717">
        <v>0</v>
      </c>
      <c r="H226" s="717">
        <v>0</v>
      </c>
      <c r="I226" s="717">
        <v>0</v>
      </c>
      <c r="J226" s="48">
        <v>2540</v>
      </c>
      <c r="K226" s="48">
        <v>2592</v>
      </c>
      <c r="L226" s="48">
        <v>2621</v>
      </c>
      <c r="N226" s="713" t="s">
        <v>4298</v>
      </c>
      <c r="O226" s="4"/>
      <c r="Q226" s="4"/>
    </row>
    <row r="227" spans="1:17">
      <c r="A227" s="713" t="s">
        <v>7005</v>
      </c>
      <c r="B227" s="713" t="s">
        <v>4478</v>
      </c>
      <c r="C227" s="4" t="s">
        <v>15538</v>
      </c>
      <c r="D227" s="717">
        <v>0</v>
      </c>
      <c r="E227" s="717">
        <v>0</v>
      </c>
      <c r="F227" s="717">
        <v>0</v>
      </c>
      <c r="G227" s="717">
        <v>0</v>
      </c>
      <c r="H227" s="717">
        <v>0</v>
      </c>
      <c r="I227" s="717">
        <v>0</v>
      </c>
      <c r="J227" s="48">
        <v>2220</v>
      </c>
      <c r="K227" s="48">
        <v>2320</v>
      </c>
      <c r="L227" s="48">
        <v>2336</v>
      </c>
      <c r="N227" s="713" t="s">
        <v>4298</v>
      </c>
      <c r="O227" s="4"/>
      <c r="Q227" s="4"/>
    </row>
    <row r="228" spans="1:17" ht="15.75" thickBot="1">
      <c r="A228" s="713"/>
      <c r="B228" s="713"/>
      <c r="C228" s="4" t="s">
        <v>15538</v>
      </c>
      <c r="D228" s="918">
        <v>0</v>
      </c>
      <c r="E228" s="918">
        <v>0</v>
      </c>
      <c r="F228" s="918">
        <v>0</v>
      </c>
      <c r="G228" s="918">
        <v>0</v>
      </c>
      <c r="H228" s="159">
        <v>0</v>
      </c>
      <c r="I228" s="159">
        <v>0</v>
      </c>
      <c r="J228" s="48">
        <v>232</v>
      </c>
      <c r="K228" s="48">
        <v>244</v>
      </c>
      <c r="L228" s="48">
        <v>243</v>
      </c>
      <c r="N228" s="713" t="s">
        <v>3314</v>
      </c>
      <c r="O228" s="4"/>
      <c r="Q228" s="4"/>
    </row>
    <row r="229" spans="1:17" ht="15.75" thickBot="1">
      <c r="A229" s="713"/>
      <c r="B229" s="713"/>
      <c r="C229" s="4" t="s">
        <v>15538</v>
      </c>
      <c r="D229" s="919">
        <f>D227+D228</f>
        <v>0</v>
      </c>
      <c r="E229" s="919">
        <f t="shared" ref="E229:L229" si="126">E227+E228</f>
        <v>0</v>
      </c>
      <c r="F229" s="919">
        <f t="shared" si="126"/>
        <v>0</v>
      </c>
      <c r="G229" s="919">
        <f t="shared" si="126"/>
        <v>0</v>
      </c>
      <c r="H229" s="919">
        <f t="shared" si="126"/>
        <v>0</v>
      </c>
      <c r="I229" s="919">
        <f t="shared" si="126"/>
        <v>0</v>
      </c>
      <c r="J229" s="919">
        <f t="shared" si="126"/>
        <v>2452</v>
      </c>
      <c r="K229" s="919">
        <f t="shared" si="126"/>
        <v>2564</v>
      </c>
      <c r="L229" s="919">
        <f t="shared" si="126"/>
        <v>2579</v>
      </c>
      <c r="N229" s="713"/>
      <c r="O229" s="4"/>
      <c r="Q229" s="4"/>
    </row>
    <row r="230" spans="1:17">
      <c r="A230" s="713" t="s">
        <v>7007</v>
      </c>
      <c r="B230" s="713" t="s">
        <v>2649</v>
      </c>
      <c r="C230" s="4" t="s">
        <v>15539</v>
      </c>
      <c r="D230" s="717">
        <v>0</v>
      </c>
      <c r="E230" s="717">
        <v>0</v>
      </c>
      <c r="F230" s="717">
        <v>0</v>
      </c>
      <c r="G230" s="717">
        <v>0</v>
      </c>
      <c r="H230" s="717">
        <v>0</v>
      </c>
      <c r="I230" s="717">
        <v>0</v>
      </c>
      <c r="J230" s="48">
        <v>4841</v>
      </c>
      <c r="K230" s="48">
        <v>4979</v>
      </c>
      <c r="L230" s="48">
        <v>4982</v>
      </c>
      <c r="N230" s="713" t="s">
        <v>4298</v>
      </c>
      <c r="O230" s="4"/>
      <c r="Q230" s="4"/>
    </row>
    <row r="231" spans="1:17">
      <c r="A231" s="713" t="s">
        <v>7009</v>
      </c>
      <c r="B231" s="713" t="s">
        <v>2650</v>
      </c>
      <c r="C231" s="4" t="s">
        <v>15540</v>
      </c>
      <c r="D231" s="717">
        <v>0</v>
      </c>
      <c r="E231" s="717">
        <v>0</v>
      </c>
      <c r="F231" s="717">
        <v>0</v>
      </c>
      <c r="G231" s="717">
        <v>0</v>
      </c>
      <c r="H231" s="717">
        <v>0</v>
      </c>
      <c r="I231" s="717">
        <v>0</v>
      </c>
      <c r="J231" s="48">
        <v>5333</v>
      </c>
      <c r="K231" s="48">
        <v>5388</v>
      </c>
      <c r="L231" s="48">
        <v>5334</v>
      </c>
      <c r="N231" s="713" t="s">
        <v>4298</v>
      </c>
      <c r="O231" s="4"/>
      <c r="Q231" s="4"/>
    </row>
    <row r="232" spans="1:17">
      <c r="A232" s="713" t="s">
        <v>7011</v>
      </c>
      <c r="B232" s="713" t="s">
        <v>15522</v>
      </c>
      <c r="C232" s="4" t="s">
        <v>15541</v>
      </c>
      <c r="D232" s="717">
        <v>0</v>
      </c>
      <c r="E232" s="717">
        <v>0</v>
      </c>
      <c r="F232" s="717">
        <v>0</v>
      </c>
      <c r="G232" s="717">
        <v>0</v>
      </c>
      <c r="H232" s="717">
        <v>0</v>
      </c>
      <c r="I232" s="717">
        <v>0</v>
      </c>
      <c r="J232" s="48">
        <v>2353</v>
      </c>
      <c r="K232" s="48">
        <v>2397</v>
      </c>
      <c r="L232" s="48">
        <v>2448</v>
      </c>
      <c r="N232" s="713" t="s">
        <v>3314</v>
      </c>
      <c r="O232" s="4"/>
      <c r="Q232" s="4"/>
    </row>
    <row r="233" spans="1:17">
      <c r="A233" s="713" t="s">
        <v>7013</v>
      </c>
      <c r="B233" s="713" t="s">
        <v>2651</v>
      </c>
      <c r="C233" s="4" t="s">
        <v>15542</v>
      </c>
      <c r="D233" s="717">
        <v>0</v>
      </c>
      <c r="E233" s="717">
        <v>0</v>
      </c>
      <c r="F233" s="717">
        <v>0</v>
      </c>
      <c r="G233" s="717">
        <v>0</v>
      </c>
      <c r="H233" s="717">
        <v>0</v>
      </c>
      <c r="I233" s="717">
        <v>0</v>
      </c>
      <c r="J233" s="48">
        <v>4469</v>
      </c>
      <c r="K233" s="48">
        <v>4592</v>
      </c>
      <c r="L233" s="48">
        <v>4695</v>
      </c>
      <c r="N233" s="713" t="s">
        <v>3314</v>
      </c>
      <c r="O233" s="4"/>
      <c r="Q233" s="4"/>
    </row>
    <row r="234" spans="1:17">
      <c r="A234" s="713" t="s">
        <v>7015</v>
      </c>
      <c r="B234" s="713" t="s">
        <v>2652</v>
      </c>
      <c r="C234" s="4" t="s">
        <v>15543</v>
      </c>
      <c r="D234" s="717">
        <v>0</v>
      </c>
      <c r="E234" s="717">
        <v>0</v>
      </c>
      <c r="F234" s="717">
        <v>0</v>
      </c>
      <c r="G234" s="717">
        <v>0</v>
      </c>
      <c r="H234" s="717">
        <v>0</v>
      </c>
      <c r="I234" s="717">
        <v>0</v>
      </c>
      <c r="J234" s="48">
        <v>3968</v>
      </c>
      <c r="K234" s="48">
        <v>4145</v>
      </c>
      <c r="L234" s="48">
        <v>4285</v>
      </c>
      <c r="N234" s="713" t="s">
        <v>3314</v>
      </c>
      <c r="O234" s="4"/>
      <c r="Q234" s="4"/>
    </row>
    <row r="235" spans="1:17">
      <c r="A235" s="713" t="s">
        <v>7017</v>
      </c>
      <c r="B235" s="713" t="s">
        <v>7645</v>
      </c>
      <c r="C235" s="4" t="s">
        <v>15544</v>
      </c>
      <c r="D235" s="717">
        <v>0</v>
      </c>
      <c r="E235" s="717">
        <v>0</v>
      </c>
      <c r="F235" s="717">
        <v>0</v>
      </c>
      <c r="G235" s="717">
        <v>0</v>
      </c>
      <c r="H235" s="717">
        <v>0</v>
      </c>
      <c r="I235" s="717">
        <v>0</v>
      </c>
      <c r="J235" s="48">
        <v>4637</v>
      </c>
      <c r="K235" s="48">
        <v>4725</v>
      </c>
      <c r="L235" s="48">
        <v>4762</v>
      </c>
      <c r="N235" s="713" t="s">
        <v>3314</v>
      </c>
      <c r="O235" s="4"/>
      <c r="Q235" s="4"/>
    </row>
    <row r="236" spans="1:17">
      <c r="A236" s="713" t="s">
        <v>7019</v>
      </c>
      <c r="B236" s="713" t="s">
        <v>15523</v>
      </c>
      <c r="C236" s="4" t="s">
        <v>15545</v>
      </c>
      <c r="D236" s="717">
        <v>0</v>
      </c>
      <c r="E236" s="717">
        <v>0</v>
      </c>
      <c r="F236" s="717">
        <v>0</v>
      </c>
      <c r="G236" s="717">
        <v>0</v>
      </c>
      <c r="H236" s="717">
        <v>0</v>
      </c>
      <c r="I236" s="717">
        <v>0</v>
      </c>
      <c r="J236" s="48">
        <v>2347</v>
      </c>
      <c r="K236" s="48">
        <v>2450</v>
      </c>
      <c r="L236" s="48">
        <v>2461</v>
      </c>
      <c r="N236" s="713" t="s">
        <v>3314</v>
      </c>
      <c r="O236" s="4"/>
      <c r="Q236" s="4"/>
    </row>
    <row r="237" spans="1:17">
      <c r="A237" s="713" t="s">
        <v>7021</v>
      </c>
      <c r="B237" s="713" t="s">
        <v>15524</v>
      </c>
      <c r="C237" s="4" t="s">
        <v>15546</v>
      </c>
      <c r="D237" s="717">
        <v>0</v>
      </c>
      <c r="E237" s="717">
        <v>0</v>
      </c>
      <c r="F237" s="717">
        <v>0</v>
      </c>
      <c r="G237" s="717">
        <v>0</v>
      </c>
      <c r="H237" s="717">
        <v>0</v>
      </c>
      <c r="I237" s="717">
        <v>0</v>
      </c>
      <c r="J237" s="48">
        <v>2278</v>
      </c>
      <c r="K237" s="48">
        <v>2326</v>
      </c>
      <c r="L237" s="48">
        <v>2331</v>
      </c>
      <c r="N237" s="713" t="s">
        <v>3314</v>
      </c>
      <c r="O237" s="4"/>
      <c r="Q237" s="4"/>
    </row>
    <row r="238" spans="1:17">
      <c r="A238" s="713" t="s">
        <v>7023</v>
      </c>
      <c r="B238" s="713" t="s">
        <v>15525</v>
      </c>
      <c r="C238" s="4" t="s">
        <v>15547</v>
      </c>
      <c r="D238" s="717">
        <v>0</v>
      </c>
      <c r="E238" s="717">
        <v>0</v>
      </c>
      <c r="F238" s="717">
        <v>0</v>
      </c>
      <c r="G238" s="717">
        <v>0</v>
      </c>
      <c r="H238" s="717">
        <v>0</v>
      </c>
      <c r="I238" s="717">
        <v>0</v>
      </c>
      <c r="J238" s="48">
        <v>2277</v>
      </c>
      <c r="K238" s="48">
        <v>2355</v>
      </c>
      <c r="L238" s="48">
        <v>2393</v>
      </c>
      <c r="N238" s="713" t="s">
        <v>3314</v>
      </c>
      <c r="O238" s="4"/>
      <c r="Q238" s="4"/>
    </row>
    <row r="239" spans="1:17">
      <c r="A239" s="713" t="s">
        <v>7025</v>
      </c>
      <c r="B239" s="713" t="s">
        <v>2653</v>
      </c>
      <c r="C239" s="4" t="s">
        <v>15548</v>
      </c>
      <c r="D239" s="717">
        <v>0</v>
      </c>
      <c r="E239" s="717">
        <v>0</v>
      </c>
      <c r="F239" s="717">
        <v>0</v>
      </c>
      <c r="G239" s="717">
        <v>0</v>
      </c>
      <c r="H239" s="717">
        <v>0</v>
      </c>
      <c r="I239" s="717">
        <v>0</v>
      </c>
      <c r="J239" s="48">
        <v>2123</v>
      </c>
      <c r="K239" s="48">
        <v>2199</v>
      </c>
      <c r="L239" s="48">
        <v>2197</v>
      </c>
      <c r="N239" s="713" t="s">
        <v>3314</v>
      </c>
      <c r="O239" s="4"/>
      <c r="Q239" s="4"/>
    </row>
    <row r="240" spans="1:17">
      <c r="A240" s="713" t="s">
        <v>7570</v>
      </c>
      <c r="B240" s="713" t="s">
        <v>2654</v>
      </c>
      <c r="C240" s="4" t="s">
        <v>15549</v>
      </c>
      <c r="D240" s="717">
        <v>0</v>
      </c>
      <c r="E240" s="717">
        <v>0</v>
      </c>
      <c r="F240" s="717">
        <v>0</v>
      </c>
      <c r="G240" s="717">
        <v>0</v>
      </c>
      <c r="H240" s="717">
        <v>0</v>
      </c>
      <c r="I240" s="717">
        <v>0</v>
      </c>
      <c r="J240" s="48">
        <v>4145</v>
      </c>
      <c r="K240" s="48">
        <v>4399</v>
      </c>
      <c r="L240" s="48">
        <v>4544</v>
      </c>
      <c r="N240" s="713" t="s">
        <v>3314</v>
      </c>
      <c r="O240" s="4"/>
      <c r="Q240" s="4"/>
    </row>
    <row r="241" spans="1:17">
      <c r="A241" s="713" t="s">
        <v>7572</v>
      </c>
      <c r="B241" s="713" t="s">
        <v>15526</v>
      </c>
      <c r="C241" s="4" t="s">
        <v>15550</v>
      </c>
      <c r="D241" s="717">
        <v>0</v>
      </c>
      <c r="E241" s="717">
        <v>0</v>
      </c>
      <c r="F241" s="717">
        <v>0</v>
      </c>
      <c r="G241" s="717">
        <v>0</v>
      </c>
      <c r="H241" s="717">
        <v>0</v>
      </c>
      <c r="I241" s="717">
        <v>0</v>
      </c>
      <c r="J241" s="48">
        <v>4243</v>
      </c>
      <c r="K241" s="48">
        <v>4290</v>
      </c>
      <c r="L241" s="48">
        <v>4382</v>
      </c>
      <c r="N241" s="713" t="s">
        <v>3314</v>
      </c>
      <c r="O241" s="4"/>
      <c r="Q241" s="4"/>
    </row>
    <row r="242" spans="1:17">
      <c r="A242" s="713" t="s">
        <v>7573</v>
      </c>
      <c r="B242" s="713" t="s">
        <v>1211</v>
      </c>
      <c r="C242" s="4" t="s">
        <v>15551</v>
      </c>
      <c r="D242" s="717">
        <v>0</v>
      </c>
      <c r="E242" s="717">
        <v>0</v>
      </c>
      <c r="F242" s="717">
        <v>0</v>
      </c>
      <c r="G242" s="717">
        <v>0</v>
      </c>
      <c r="H242" s="717">
        <v>0</v>
      </c>
      <c r="I242" s="717">
        <v>0</v>
      </c>
      <c r="J242" s="48">
        <v>4059</v>
      </c>
      <c r="K242" s="48">
        <v>4107</v>
      </c>
      <c r="L242" s="48">
        <v>4127</v>
      </c>
      <c r="N242" s="713" t="s">
        <v>4298</v>
      </c>
      <c r="O242" s="4"/>
      <c r="Q242" s="4"/>
    </row>
    <row r="243" spans="1:17">
      <c r="A243" s="713" t="s">
        <v>5798</v>
      </c>
      <c r="B243" s="713" t="s">
        <v>15527</v>
      </c>
      <c r="C243" s="4" t="s">
        <v>15552</v>
      </c>
      <c r="D243" s="717">
        <v>0</v>
      </c>
      <c r="E243" s="717">
        <v>0</v>
      </c>
      <c r="F243" s="717">
        <v>0</v>
      </c>
      <c r="G243" s="717">
        <v>0</v>
      </c>
      <c r="H243" s="717">
        <v>0</v>
      </c>
      <c r="I243" s="717">
        <v>0</v>
      </c>
      <c r="J243" s="48">
        <v>2177</v>
      </c>
      <c r="K243" s="48">
        <v>2298</v>
      </c>
      <c r="L243" s="48">
        <v>2336</v>
      </c>
      <c r="N243" s="713" t="s">
        <v>3314</v>
      </c>
      <c r="O243" s="4"/>
      <c r="Q243" s="4"/>
    </row>
    <row r="244" spans="1:17">
      <c r="A244" s="713" t="s">
        <v>5799</v>
      </c>
      <c r="B244" s="713" t="s">
        <v>2655</v>
      </c>
      <c r="C244" s="4" t="s">
        <v>15553</v>
      </c>
      <c r="D244" s="717">
        <v>0</v>
      </c>
      <c r="E244" s="717">
        <v>0</v>
      </c>
      <c r="F244" s="717">
        <v>0</v>
      </c>
      <c r="G244" s="717">
        <v>0</v>
      </c>
      <c r="H244" s="48">
        <v>0</v>
      </c>
      <c r="I244" s="48">
        <v>0</v>
      </c>
      <c r="J244" s="48">
        <v>2071</v>
      </c>
      <c r="K244" s="48">
        <v>2184</v>
      </c>
      <c r="L244" s="48">
        <v>2252</v>
      </c>
      <c r="N244" s="713" t="s">
        <v>4298</v>
      </c>
      <c r="O244" s="4"/>
      <c r="Q244" s="4"/>
    </row>
    <row r="245" spans="1:17" ht="15.75" thickBot="1">
      <c r="A245" s="713"/>
      <c r="B245" s="713"/>
      <c r="C245" s="4" t="s">
        <v>15553</v>
      </c>
      <c r="D245" s="918">
        <v>0</v>
      </c>
      <c r="E245" s="918">
        <v>0</v>
      </c>
      <c r="F245" s="918">
        <v>0</v>
      </c>
      <c r="G245" s="918">
        <v>0</v>
      </c>
      <c r="H245" s="159">
        <v>0</v>
      </c>
      <c r="I245" s="159">
        <v>0</v>
      </c>
      <c r="J245" s="48">
        <v>159</v>
      </c>
      <c r="K245" s="48">
        <v>162</v>
      </c>
      <c r="L245" s="48">
        <v>157</v>
      </c>
      <c r="N245" s="713" t="s">
        <v>3314</v>
      </c>
      <c r="O245" s="4"/>
      <c r="Q245" s="4"/>
    </row>
    <row r="246" spans="1:17" ht="15.75" thickBot="1">
      <c r="A246" s="713"/>
      <c r="B246" s="713"/>
      <c r="C246" s="4" t="s">
        <v>15553</v>
      </c>
      <c r="D246" s="919">
        <f>D244+D245</f>
        <v>0</v>
      </c>
      <c r="E246" s="919">
        <f t="shared" ref="E246:L246" si="127">E244+E245</f>
        <v>0</v>
      </c>
      <c r="F246" s="919">
        <f t="shared" si="127"/>
        <v>0</v>
      </c>
      <c r="G246" s="919">
        <f t="shared" si="127"/>
        <v>0</v>
      </c>
      <c r="H246" s="919">
        <f t="shared" si="127"/>
        <v>0</v>
      </c>
      <c r="I246" s="919">
        <f t="shared" si="127"/>
        <v>0</v>
      </c>
      <c r="J246" s="919">
        <f t="shared" si="127"/>
        <v>2230</v>
      </c>
      <c r="K246" s="919">
        <f t="shared" si="127"/>
        <v>2346</v>
      </c>
      <c r="L246" s="919">
        <f t="shared" si="127"/>
        <v>2409</v>
      </c>
      <c r="N246" s="713"/>
      <c r="O246" s="4"/>
      <c r="Q246" s="4"/>
    </row>
    <row r="247" spans="1:17">
      <c r="A247" s="713" t="s">
        <v>5801</v>
      </c>
      <c r="B247" s="713" t="s">
        <v>15528</v>
      </c>
      <c r="C247" s="4" t="s">
        <v>15554</v>
      </c>
      <c r="D247" s="717">
        <v>0</v>
      </c>
      <c r="E247" s="717">
        <v>0</v>
      </c>
      <c r="F247" s="717">
        <v>0</v>
      </c>
      <c r="G247" s="717">
        <v>0</v>
      </c>
      <c r="H247" s="48">
        <v>0</v>
      </c>
      <c r="I247" s="48">
        <v>0</v>
      </c>
      <c r="J247" s="48">
        <v>891</v>
      </c>
      <c r="K247" s="48">
        <v>903</v>
      </c>
      <c r="L247" s="48">
        <v>931</v>
      </c>
      <c r="N247" s="713" t="s">
        <v>4298</v>
      </c>
      <c r="O247" s="4"/>
      <c r="Q247" s="4"/>
    </row>
    <row r="248" spans="1:17" ht="15.75" thickBot="1">
      <c r="A248" s="713"/>
      <c r="B248" s="713"/>
      <c r="C248" s="4" t="s">
        <v>15554</v>
      </c>
      <c r="D248" s="918">
        <v>0</v>
      </c>
      <c r="E248" s="918">
        <v>0</v>
      </c>
      <c r="F248" s="918">
        <v>0</v>
      </c>
      <c r="G248" s="918">
        <v>0</v>
      </c>
      <c r="H248" s="159">
        <v>0</v>
      </c>
      <c r="I248" s="159">
        <v>0</v>
      </c>
      <c r="J248" s="48">
        <v>6296</v>
      </c>
      <c r="K248" s="48">
        <v>6323</v>
      </c>
      <c r="L248" s="48">
        <v>6315</v>
      </c>
      <c r="N248" s="713" t="s">
        <v>3314</v>
      </c>
      <c r="O248" s="4"/>
      <c r="Q248" s="4"/>
    </row>
    <row r="249" spans="1:17" ht="15.75" thickBot="1">
      <c r="A249" s="713"/>
      <c r="B249" s="713"/>
      <c r="C249" s="4" t="s">
        <v>15554</v>
      </c>
      <c r="D249" s="919">
        <f>D247+D248</f>
        <v>0</v>
      </c>
      <c r="E249" s="919">
        <f t="shared" ref="E249" si="128">E247+E248</f>
        <v>0</v>
      </c>
      <c r="F249" s="919">
        <f t="shared" ref="F249" si="129">F247+F248</f>
        <v>0</v>
      </c>
      <c r="G249" s="919">
        <f t="shared" ref="G249" si="130">G247+G248</f>
        <v>0</v>
      </c>
      <c r="H249" s="919">
        <f t="shared" ref="H249" si="131">H247+H248</f>
        <v>0</v>
      </c>
      <c r="I249" s="919">
        <f t="shared" ref="I249" si="132">I247+I248</f>
        <v>0</v>
      </c>
      <c r="J249" s="919">
        <f t="shared" ref="J249:K249" si="133">J247+J248</f>
        <v>7187</v>
      </c>
      <c r="K249" s="919">
        <f t="shared" si="133"/>
        <v>7226</v>
      </c>
      <c r="L249" s="919">
        <f t="shared" ref="L249" si="134">L247+L248</f>
        <v>7246</v>
      </c>
      <c r="N249" s="713"/>
      <c r="O249" s="4"/>
      <c r="Q249" s="4"/>
    </row>
    <row r="250" spans="1:17">
      <c r="D250" s="717"/>
      <c r="E250" s="717"/>
      <c r="F250" s="717"/>
      <c r="G250" s="717"/>
      <c r="H250" s="717"/>
      <c r="I250" s="717"/>
      <c r="J250" s="717"/>
      <c r="K250" s="717"/>
      <c r="L250" s="717"/>
    </row>
    <row r="251" spans="1:17">
      <c r="A251" s="713" t="s">
        <v>2664</v>
      </c>
      <c r="D251" s="716">
        <f>SUM(D224:D227)+D230+D231+D242+D244+D247</f>
        <v>28908</v>
      </c>
      <c r="E251" s="716">
        <f t="shared" ref="E251:I251" si="135">SUM(E224:E227)+E230+E231+E242+E244+E247</f>
        <v>29016</v>
      </c>
      <c r="F251" s="716">
        <f t="shared" si="135"/>
        <v>29143</v>
      </c>
      <c r="G251" s="716">
        <f t="shared" si="135"/>
        <v>29392</v>
      </c>
      <c r="H251" s="716">
        <f t="shared" si="135"/>
        <v>28460</v>
      </c>
      <c r="I251" s="716">
        <f t="shared" si="135"/>
        <v>28796</v>
      </c>
      <c r="J251" s="716">
        <f>SUM(J224:J227)+J230+J231+J242+J244+J247</f>
        <v>28661</v>
      </c>
      <c r="K251" s="716">
        <f t="shared" ref="K251:L251" si="136">SUM(K224:K227)+K230+K231+K242+K244+K247</f>
        <v>29423</v>
      </c>
      <c r="L251" s="716">
        <f t="shared" si="136"/>
        <v>29687</v>
      </c>
    </row>
    <row r="252" spans="1:17">
      <c r="A252" s="713" t="s">
        <v>4500</v>
      </c>
      <c r="D252" s="716">
        <f>SUM(D218:D223)+D228+SUM(D232:D241)+D243+D245+D248</f>
        <v>66552</v>
      </c>
      <c r="E252" s="716">
        <f t="shared" ref="E252:I252" si="137">SUM(E218:E223)+E228+SUM(E232:E241)+E243+E245+E248</f>
        <v>66484</v>
      </c>
      <c r="F252" s="716">
        <f t="shared" si="137"/>
        <v>67067</v>
      </c>
      <c r="G252" s="716">
        <f t="shared" si="137"/>
        <v>67536</v>
      </c>
      <c r="H252" s="716">
        <f t="shared" si="137"/>
        <v>64676</v>
      </c>
      <c r="I252" s="716">
        <f t="shared" si="137"/>
        <v>65530</v>
      </c>
      <c r="J252" s="716">
        <f>SUM(J218:J223)+J228+SUM(J232:J241)+J243+J245+J248</f>
        <v>65309</v>
      </c>
      <c r="K252" s="716">
        <f t="shared" ref="K252:L252" si="138">SUM(K218:K223)+K228+SUM(K232:K241)+K243+K245+K248</f>
        <v>67238</v>
      </c>
      <c r="L252" s="716">
        <f t="shared" si="138"/>
        <v>68089</v>
      </c>
    </row>
    <row r="253" spans="1:17">
      <c r="A253" s="713"/>
      <c r="D253" s="716"/>
      <c r="E253" s="716"/>
      <c r="F253" s="716"/>
      <c r="G253" s="716"/>
      <c r="H253" s="716"/>
      <c r="I253" s="716"/>
      <c r="J253" s="716"/>
      <c r="K253" s="716"/>
      <c r="L253" s="716"/>
    </row>
    <row r="254" spans="1:17">
      <c r="A254" s="713" t="s">
        <v>15529</v>
      </c>
      <c r="D254" s="716"/>
      <c r="E254" s="716"/>
      <c r="F254" s="716"/>
      <c r="G254" s="716"/>
      <c r="H254" s="716"/>
      <c r="I254" s="716"/>
      <c r="J254" s="716"/>
      <c r="K254" s="716"/>
      <c r="L254" s="716"/>
    </row>
    <row r="255" spans="1:17">
      <c r="A255" s="713"/>
      <c r="B255" s="713"/>
      <c r="D255" s="722"/>
      <c r="E255" s="722"/>
      <c r="F255" s="722"/>
      <c r="G255" s="722"/>
      <c r="H255" s="722"/>
      <c r="I255" s="722"/>
      <c r="J255" s="722"/>
      <c r="K255" s="722"/>
      <c r="L255" s="722"/>
    </row>
    <row r="256" spans="1:17">
      <c r="A256" s="713"/>
      <c r="B256" s="713"/>
      <c r="D256" s="722"/>
      <c r="E256" s="722"/>
      <c r="F256" s="722"/>
      <c r="G256" s="722"/>
      <c r="H256" s="722"/>
      <c r="I256" s="722"/>
      <c r="J256" s="722"/>
      <c r="K256" s="722"/>
      <c r="L256" s="722"/>
    </row>
    <row r="257" spans="1:17">
      <c r="E257" s="42" t="s">
        <v>2303</v>
      </c>
      <c r="F257" s="42"/>
      <c r="G257" s="42"/>
      <c r="H257" s="42"/>
      <c r="I257" s="42"/>
      <c r="J257" s="42"/>
      <c r="K257" s="42"/>
      <c r="L257" s="42"/>
      <c r="M257" s="109"/>
      <c r="N257" s="109" t="s">
        <v>13319</v>
      </c>
    </row>
    <row r="258" spans="1:17">
      <c r="D258" s="110">
        <v>2010</v>
      </c>
      <c r="E258" s="110">
        <v>2011</v>
      </c>
      <c r="F258" s="110">
        <v>2012</v>
      </c>
      <c r="G258" s="110">
        <v>2013</v>
      </c>
      <c r="H258" s="110">
        <v>2014</v>
      </c>
      <c r="I258" s="110">
        <v>2015</v>
      </c>
      <c r="J258" s="110">
        <v>2016</v>
      </c>
      <c r="K258" s="110">
        <v>2017</v>
      </c>
      <c r="L258" s="110">
        <v>2018</v>
      </c>
      <c r="M258" s="109"/>
      <c r="N258" s="112" t="s">
        <v>2304</v>
      </c>
    </row>
    <row r="259" spans="1:17">
      <c r="A259" s="713" t="s">
        <v>4501</v>
      </c>
      <c r="D259" s="716">
        <f t="shared" ref="D259:I259" si="139">SUM(D260:D282)</f>
        <v>89625</v>
      </c>
      <c r="E259" s="716">
        <f t="shared" si="139"/>
        <v>89580</v>
      </c>
      <c r="F259" s="716">
        <f t="shared" si="139"/>
        <v>89559</v>
      </c>
      <c r="G259" s="716">
        <f t="shared" si="139"/>
        <v>89489</v>
      </c>
      <c r="H259" s="716">
        <f t="shared" si="139"/>
        <v>90369</v>
      </c>
      <c r="I259" s="716">
        <f t="shared" si="139"/>
        <v>89402</v>
      </c>
      <c r="J259" s="716">
        <f t="shared" ref="J259:K259" si="140">SUM(J260:J282)</f>
        <v>87777</v>
      </c>
      <c r="K259" s="716">
        <f t="shared" si="140"/>
        <v>89601</v>
      </c>
      <c r="L259" s="716">
        <f t="shared" ref="L259" si="141">SUM(L260:L282)</f>
        <v>90376</v>
      </c>
    </row>
    <row r="260" spans="1:17">
      <c r="A260" s="713" t="s">
        <v>6957</v>
      </c>
      <c r="B260" s="713" t="s">
        <v>4502</v>
      </c>
      <c r="C260" s="4" t="s">
        <v>11954</v>
      </c>
      <c r="D260" s="717">
        <v>3898</v>
      </c>
      <c r="E260" s="717">
        <v>3991</v>
      </c>
      <c r="F260" s="717">
        <v>3996</v>
      </c>
      <c r="G260" s="30">
        <v>4041</v>
      </c>
      <c r="H260" s="30">
        <v>3975</v>
      </c>
      <c r="I260" s="30">
        <v>3953</v>
      </c>
      <c r="J260" s="30">
        <v>3876</v>
      </c>
      <c r="K260" s="30">
        <v>3971</v>
      </c>
      <c r="L260" s="30">
        <v>4028</v>
      </c>
      <c r="N260" s="713" t="s">
        <v>3316</v>
      </c>
      <c r="O260" s="4"/>
      <c r="Q260" s="4"/>
    </row>
    <row r="261" spans="1:17">
      <c r="A261" s="713" t="s">
        <v>6959</v>
      </c>
      <c r="B261" s="713" t="s">
        <v>4550</v>
      </c>
      <c r="C261" s="4" t="s">
        <v>11955</v>
      </c>
      <c r="D261" s="717">
        <v>3966</v>
      </c>
      <c r="E261" s="717">
        <v>3959</v>
      </c>
      <c r="F261" s="717">
        <v>3994</v>
      </c>
      <c r="G261" s="30">
        <v>4040</v>
      </c>
      <c r="H261" s="30">
        <v>4004</v>
      </c>
      <c r="I261" s="30">
        <v>3973</v>
      </c>
      <c r="J261" s="30">
        <v>3892</v>
      </c>
      <c r="K261" s="30">
        <v>3937</v>
      </c>
      <c r="L261" s="30">
        <v>3971</v>
      </c>
      <c r="N261" s="713" t="s">
        <v>3316</v>
      </c>
      <c r="O261" s="4"/>
      <c r="Q261" s="4"/>
    </row>
    <row r="262" spans="1:17">
      <c r="A262" s="713" t="s">
        <v>6961</v>
      </c>
      <c r="B262" s="713" t="s">
        <v>4551</v>
      </c>
      <c r="C262" s="4" t="s">
        <v>11956</v>
      </c>
      <c r="D262" s="717">
        <v>1787</v>
      </c>
      <c r="E262" s="717">
        <v>1760</v>
      </c>
      <c r="F262" s="717">
        <v>1772</v>
      </c>
      <c r="G262" s="30">
        <v>1743</v>
      </c>
      <c r="H262" s="30">
        <v>1747</v>
      </c>
      <c r="I262" s="30">
        <v>1730</v>
      </c>
      <c r="J262" s="30">
        <v>1710</v>
      </c>
      <c r="K262" s="30">
        <v>1705</v>
      </c>
      <c r="L262" s="30">
        <v>1746</v>
      </c>
      <c r="N262" s="713" t="s">
        <v>3314</v>
      </c>
      <c r="O262" s="4"/>
      <c r="Q262" s="4"/>
    </row>
    <row r="263" spans="1:17">
      <c r="A263" s="713" t="s">
        <v>6963</v>
      </c>
      <c r="B263" s="713" t="s">
        <v>1923</v>
      </c>
      <c r="C263" s="4" t="s">
        <v>11957</v>
      </c>
      <c r="D263" s="717">
        <v>3868</v>
      </c>
      <c r="E263" s="717">
        <v>3827</v>
      </c>
      <c r="F263" s="717">
        <v>3849</v>
      </c>
      <c r="G263" s="30">
        <v>3797</v>
      </c>
      <c r="H263" s="30">
        <v>3923</v>
      </c>
      <c r="I263" s="30">
        <v>3863</v>
      </c>
      <c r="J263" s="30">
        <v>3794</v>
      </c>
      <c r="K263" s="30">
        <v>3893</v>
      </c>
      <c r="L263" s="30">
        <v>3961</v>
      </c>
      <c r="N263" s="713" t="s">
        <v>3316</v>
      </c>
      <c r="O263" s="4"/>
      <c r="Q263" s="4"/>
    </row>
    <row r="264" spans="1:17">
      <c r="A264" s="713" t="s">
        <v>6965</v>
      </c>
      <c r="B264" s="713" t="s">
        <v>7587</v>
      </c>
      <c r="C264" s="4" t="s">
        <v>11958</v>
      </c>
      <c r="D264" s="717">
        <v>3507</v>
      </c>
      <c r="E264" s="717">
        <v>3480</v>
      </c>
      <c r="F264" s="717">
        <v>3465</v>
      </c>
      <c r="G264" s="30">
        <v>3471</v>
      </c>
      <c r="H264" s="30">
        <v>3504</v>
      </c>
      <c r="I264" s="30">
        <v>3484</v>
      </c>
      <c r="J264" s="30">
        <v>3425</v>
      </c>
      <c r="K264" s="30">
        <v>3464</v>
      </c>
      <c r="L264" s="30">
        <v>3481</v>
      </c>
      <c r="N264" s="713" t="s">
        <v>3316</v>
      </c>
      <c r="O264" s="4"/>
      <c r="Q264" s="4"/>
    </row>
    <row r="265" spans="1:17">
      <c r="A265" s="713" t="s">
        <v>6997</v>
      </c>
      <c r="B265" s="713" t="s">
        <v>1924</v>
      </c>
      <c r="C265" s="4" t="s">
        <v>11959</v>
      </c>
      <c r="D265" s="717">
        <v>6236</v>
      </c>
      <c r="E265" s="717">
        <v>6164</v>
      </c>
      <c r="F265" s="717">
        <v>6248</v>
      </c>
      <c r="G265" s="30">
        <v>6252</v>
      </c>
      <c r="H265" s="30">
        <v>6471</v>
      </c>
      <c r="I265" s="30">
        <v>6435</v>
      </c>
      <c r="J265" s="30">
        <v>6355</v>
      </c>
      <c r="K265" s="30">
        <v>6480</v>
      </c>
      <c r="L265" s="30">
        <v>6527</v>
      </c>
      <c r="N265" s="713" t="s">
        <v>3316</v>
      </c>
      <c r="O265" s="4"/>
      <c r="Q265" s="4"/>
    </row>
    <row r="266" spans="1:17">
      <c r="A266" s="713" t="s">
        <v>6999</v>
      </c>
      <c r="B266" s="713" t="s">
        <v>1925</v>
      </c>
      <c r="C266" s="4" t="s">
        <v>11960</v>
      </c>
      <c r="D266" s="717">
        <v>3727</v>
      </c>
      <c r="E266" s="717">
        <v>3715</v>
      </c>
      <c r="F266" s="717">
        <v>3696</v>
      </c>
      <c r="G266" s="30">
        <v>3736</v>
      </c>
      <c r="H266" s="30">
        <v>3760</v>
      </c>
      <c r="I266" s="30">
        <v>3724</v>
      </c>
      <c r="J266" s="30">
        <v>3732</v>
      </c>
      <c r="K266" s="30">
        <v>3782</v>
      </c>
      <c r="L266" s="30">
        <v>3807</v>
      </c>
      <c r="N266" s="713" t="s">
        <v>3316</v>
      </c>
      <c r="O266" s="4"/>
      <c r="Q266" s="4"/>
    </row>
    <row r="267" spans="1:17">
      <c r="A267" s="713" t="s">
        <v>7001</v>
      </c>
      <c r="B267" s="713" t="s">
        <v>1926</v>
      </c>
      <c r="C267" s="4" t="s">
        <v>11961</v>
      </c>
      <c r="D267" s="717">
        <v>3919</v>
      </c>
      <c r="E267" s="717">
        <v>3899</v>
      </c>
      <c r="F267" s="717">
        <v>3929</v>
      </c>
      <c r="G267" s="30">
        <v>3916</v>
      </c>
      <c r="H267" s="30">
        <v>4088</v>
      </c>
      <c r="I267" s="30">
        <v>3997</v>
      </c>
      <c r="J267" s="30">
        <v>3958</v>
      </c>
      <c r="K267" s="30">
        <v>4004</v>
      </c>
      <c r="L267" s="30">
        <v>3964</v>
      </c>
      <c r="N267" s="713" t="s">
        <v>3314</v>
      </c>
      <c r="O267" s="4"/>
      <c r="Q267" s="4"/>
    </row>
    <row r="268" spans="1:17">
      <c r="A268" s="713" t="s">
        <v>7003</v>
      </c>
      <c r="B268" s="713" t="s">
        <v>3074</v>
      </c>
      <c r="C268" s="4" t="s">
        <v>11962</v>
      </c>
      <c r="D268" s="717">
        <v>5567</v>
      </c>
      <c r="E268" s="717">
        <v>5664</v>
      </c>
      <c r="F268" s="717">
        <v>5740</v>
      </c>
      <c r="G268" s="30">
        <v>5680</v>
      </c>
      <c r="H268" s="30">
        <v>5660</v>
      </c>
      <c r="I268" s="30">
        <v>5484</v>
      </c>
      <c r="J268" s="30">
        <v>5197</v>
      </c>
      <c r="K268" s="30">
        <v>5470</v>
      </c>
      <c r="L268" s="30">
        <v>5619</v>
      </c>
      <c r="N268" s="713" t="s">
        <v>3316</v>
      </c>
      <c r="O268" s="4"/>
      <c r="Q268" s="4"/>
    </row>
    <row r="269" spans="1:17">
      <c r="A269" s="713" t="s">
        <v>7005</v>
      </c>
      <c r="B269" s="713" t="s">
        <v>1927</v>
      </c>
      <c r="C269" s="4" t="s">
        <v>11963</v>
      </c>
      <c r="D269" s="717">
        <v>4028</v>
      </c>
      <c r="E269" s="717">
        <v>4070</v>
      </c>
      <c r="F269" s="717">
        <v>4043</v>
      </c>
      <c r="G269" s="30">
        <v>4011</v>
      </c>
      <c r="H269" s="30">
        <v>4113</v>
      </c>
      <c r="I269" s="30">
        <v>4080</v>
      </c>
      <c r="J269" s="30">
        <v>3995</v>
      </c>
      <c r="K269" s="30">
        <v>4026</v>
      </c>
      <c r="L269" s="30">
        <v>4030</v>
      </c>
      <c r="N269" s="713" t="s">
        <v>3316</v>
      </c>
      <c r="O269" s="4"/>
      <c r="Q269" s="4"/>
    </row>
    <row r="270" spans="1:17">
      <c r="A270" s="713" t="s">
        <v>7007</v>
      </c>
      <c r="B270" s="713" t="s">
        <v>1928</v>
      </c>
      <c r="C270" s="4" t="s">
        <v>11964</v>
      </c>
      <c r="D270" s="717">
        <v>5378</v>
      </c>
      <c r="E270" s="717">
        <v>5398</v>
      </c>
      <c r="F270" s="717">
        <v>5335</v>
      </c>
      <c r="G270" s="30">
        <v>5302</v>
      </c>
      <c r="H270" s="30">
        <v>5354</v>
      </c>
      <c r="I270" s="30">
        <v>5191</v>
      </c>
      <c r="J270" s="30">
        <v>5060</v>
      </c>
      <c r="K270" s="30">
        <v>5263</v>
      </c>
      <c r="L270" s="30">
        <v>5326</v>
      </c>
      <c r="N270" s="713" t="s">
        <v>3316</v>
      </c>
      <c r="O270" s="4"/>
      <c r="Q270" s="4"/>
    </row>
    <row r="271" spans="1:17">
      <c r="A271" s="713" t="s">
        <v>7009</v>
      </c>
      <c r="B271" s="713" t="s">
        <v>6032</v>
      </c>
      <c r="C271" s="4" t="s">
        <v>11965</v>
      </c>
      <c r="D271" s="717">
        <v>1714</v>
      </c>
      <c r="E271" s="717">
        <v>1747</v>
      </c>
      <c r="F271" s="717">
        <v>1733</v>
      </c>
      <c r="G271" s="30">
        <v>1736</v>
      </c>
      <c r="H271" s="30">
        <v>1701</v>
      </c>
      <c r="I271" s="30">
        <v>1689</v>
      </c>
      <c r="J271" s="30">
        <v>1702</v>
      </c>
      <c r="K271" s="30">
        <v>1748</v>
      </c>
      <c r="L271" s="30">
        <v>1794</v>
      </c>
      <c r="N271" s="713" t="s">
        <v>3316</v>
      </c>
      <c r="O271" s="4"/>
      <c r="Q271" s="4"/>
    </row>
    <row r="272" spans="1:17">
      <c r="A272" s="713" t="s">
        <v>7011</v>
      </c>
      <c r="B272" s="713" t="s">
        <v>1929</v>
      </c>
      <c r="C272" s="4" t="s">
        <v>11966</v>
      </c>
      <c r="D272" s="717">
        <v>5298</v>
      </c>
      <c r="E272" s="717">
        <v>5306</v>
      </c>
      <c r="F272" s="717">
        <v>5282</v>
      </c>
      <c r="G272" s="30">
        <v>5225</v>
      </c>
      <c r="H272" s="30">
        <v>5142</v>
      </c>
      <c r="I272" s="30">
        <v>5153</v>
      </c>
      <c r="J272" s="30">
        <v>5034</v>
      </c>
      <c r="K272" s="30">
        <v>5254</v>
      </c>
      <c r="L272" s="30">
        <v>5284</v>
      </c>
      <c r="N272" s="713" t="s">
        <v>3316</v>
      </c>
      <c r="O272" s="4"/>
      <c r="Q272" s="4"/>
    </row>
    <row r="273" spans="1:17">
      <c r="A273" s="713" t="s">
        <v>7013</v>
      </c>
      <c r="B273" s="713" t="s">
        <v>1930</v>
      </c>
      <c r="C273" s="4" t="s">
        <v>11967</v>
      </c>
      <c r="D273" s="717">
        <v>3291</v>
      </c>
      <c r="E273" s="717">
        <v>3286</v>
      </c>
      <c r="F273" s="717">
        <v>3262</v>
      </c>
      <c r="G273" s="31">
        <v>3271</v>
      </c>
      <c r="H273" s="31">
        <v>3366</v>
      </c>
      <c r="I273" s="31">
        <v>3342</v>
      </c>
      <c r="J273" s="31">
        <v>3333</v>
      </c>
      <c r="K273" s="31">
        <v>3426</v>
      </c>
      <c r="L273" s="31">
        <v>3580</v>
      </c>
      <c r="N273" s="713" t="s">
        <v>3316</v>
      </c>
      <c r="O273" s="4"/>
      <c r="Q273" s="4"/>
    </row>
    <row r="274" spans="1:17">
      <c r="A274" s="713" t="s">
        <v>7015</v>
      </c>
      <c r="B274" s="713" t="s">
        <v>1931</v>
      </c>
      <c r="C274" s="4" t="s">
        <v>11968</v>
      </c>
      <c r="D274" s="717">
        <v>3770</v>
      </c>
      <c r="E274" s="717">
        <v>3733</v>
      </c>
      <c r="F274" s="717">
        <v>3750</v>
      </c>
      <c r="G274" s="31">
        <v>3738</v>
      </c>
      <c r="H274" s="31">
        <v>3834</v>
      </c>
      <c r="I274" s="31">
        <v>3817</v>
      </c>
      <c r="J274" s="31">
        <v>3744</v>
      </c>
      <c r="K274" s="31">
        <v>3770</v>
      </c>
      <c r="L274" s="31">
        <v>3755</v>
      </c>
      <c r="N274" s="713" t="s">
        <v>3316</v>
      </c>
      <c r="O274" s="4"/>
      <c r="Q274" s="4"/>
    </row>
    <row r="275" spans="1:17">
      <c r="A275" s="713" t="s">
        <v>7017</v>
      </c>
      <c r="B275" s="713" t="s">
        <v>1154</v>
      </c>
      <c r="C275" s="4" t="s">
        <v>11969</v>
      </c>
      <c r="D275" s="717">
        <v>5362</v>
      </c>
      <c r="E275" s="717">
        <v>5387</v>
      </c>
      <c r="F275" s="717">
        <v>5380</v>
      </c>
      <c r="G275" s="31">
        <v>5399</v>
      </c>
      <c r="H275" s="31">
        <v>5498</v>
      </c>
      <c r="I275" s="31">
        <v>5428</v>
      </c>
      <c r="J275" s="31">
        <v>5289</v>
      </c>
      <c r="K275" s="31">
        <v>5384</v>
      </c>
      <c r="L275" s="31">
        <v>5406</v>
      </c>
      <c r="N275" s="713" t="s">
        <v>3316</v>
      </c>
      <c r="O275" s="4"/>
      <c r="Q275" s="4"/>
    </row>
    <row r="276" spans="1:17">
      <c r="A276" s="713" t="s">
        <v>7019</v>
      </c>
      <c r="B276" s="713" t="s">
        <v>1563</v>
      </c>
      <c r="C276" s="4" t="s">
        <v>11970</v>
      </c>
      <c r="D276" s="717">
        <v>6371</v>
      </c>
      <c r="E276" s="717">
        <v>6354</v>
      </c>
      <c r="F276" s="717">
        <v>6370</v>
      </c>
      <c r="G276" s="31">
        <v>6395</v>
      </c>
      <c r="H276" s="31">
        <v>6351</v>
      </c>
      <c r="I276" s="31">
        <v>6283</v>
      </c>
      <c r="J276" s="31">
        <v>6186</v>
      </c>
      <c r="K276" s="31">
        <v>6300</v>
      </c>
      <c r="L276" s="31">
        <v>6372</v>
      </c>
      <c r="N276" s="713" t="s">
        <v>3316</v>
      </c>
      <c r="O276" s="4"/>
      <c r="Q276" s="4"/>
    </row>
    <row r="277" spans="1:17">
      <c r="A277" s="713" t="s">
        <v>7021</v>
      </c>
      <c r="B277" s="713" t="s">
        <v>1155</v>
      </c>
      <c r="C277" s="4" t="s">
        <v>11971</v>
      </c>
      <c r="D277" s="717">
        <v>3099</v>
      </c>
      <c r="E277" s="717">
        <v>2990</v>
      </c>
      <c r="F277" s="717">
        <v>2933</v>
      </c>
      <c r="G277" s="30">
        <v>2916</v>
      </c>
      <c r="H277" s="30">
        <v>2981</v>
      </c>
      <c r="I277" s="30">
        <v>2939</v>
      </c>
      <c r="J277" s="30">
        <v>2890</v>
      </c>
      <c r="K277" s="30">
        <v>2892</v>
      </c>
      <c r="L277" s="30">
        <v>2882</v>
      </c>
      <c r="N277" s="713" t="s">
        <v>3314</v>
      </c>
      <c r="O277" s="4"/>
      <c r="Q277" s="4"/>
    </row>
    <row r="278" spans="1:17">
      <c r="A278" s="713" t="s">
        <v>7023</v>
      </c>
      <c r="B278" s="713" t="s">
        <v>3225</v>
      </c>
      <c r="C278" s="4" t="s">
        <v>11972</v>
      </c>
      <c r="D278" s="723">
        <v>1808</v>
      </c>
      <c r="E278" s="723">
        <v>1816</v>
      </c>
      <c r="F278" s="723">
        <v>1820</v>
      </c>
      <c r="G278" s="31">
        <v>1831</v>
      </c>
      <c r="H278" s="31">
        <v>1820</v>
      </c>
      <c r="I278" s="31">
        <v>1803</v>
      </c>
      <c r="J278" s="31">
        <v>1805</v>
      </c>
      <c r="K278" s="31">
        <v>1805</v>
      </c>
      <c r="L278" s="31">
        <v>1800</v>
      </c>
      <c r="N278" s="713" t="s">
        <v>3316</v>
      </c>
      <c r="O278" s="4"/>
      <c r="Q278" s="4"/>
    </row>
    <row r="279" spans="1:17">
      <c r="A279" s="713" t="s">
        <v>7025</v>
      </c>
      <c r="B279" s="713" t="s">
        <v>1156</v>
      </c>
      <c r="C279" s="4" t="s">
        <v>11973</v>
      </c>
      <c r="D279" s="717">
        <v>1783</v>
      </c>
      <c r="E279" s="717">
        <v>1802</v>
      </c>
      <c r="F279" s="717">
        <v>1795</v>
      </c>
      <c r="G279" s="31">
        <v>1806</v>
      </c>
      <c r="H279" s="31">
        <v>1833</v>
      </c>
      <c r="I279" s="31">
        <v>1816</v>
      </c>
      <c r="J279" s="31">
        <v>1752</v>
      </c>
      <c r="K279" s="31">
        <v>1776</v>
      </c>
      <c r="L279" s="31">
        <v>1759</v>
      </c>
      <c r="N279" s="713" t="s">
        <v>3316</v>
      </c>
      <c r="O279" s="4"/>
      <c r="Q279" s="4"/>
    </row>
    <row r="280" spans="1:17">
      <c r="A280" s="713" t="s">
        <v>7570</v>
      </c>
      <c r="B280" s="713" t="s">
        <v>1922</v>
      </c>
      <c r="C280" s="4" t="s">
        <v>11974</v>
      </c>
      <c r="D280" s="717">
        <v>5779</v>
      </c>
      <c r="E280" s="717">
        <v>5722</v>
      </c>
      <c r="F280" s="717">
        <v>5706</v>
      </c>
      <c r="G280" s="31">
        <v>5705</v>
      </c>
      <c r="H280" s="31">
        <v>5707</v>
      </c>
      <c r="I280" s="31">
        <v>5670</v>
      </c>
      <c r="J280" s="31">
        <v>5542</v>
      </c>
      <c r="K280" s="31">
        <v>5692</v>
      </c>
      <c r="L280" s="31">
        <v>5700</v>
      </c>
      <c r="N280" s="713" t="s">
        <v>3316</v>
      </c>
      <c r="O280" s="4"/>
      <c r="Q280" s="4"/>
    </row>
    <row r="281" spans="1:17">
      <c r="A281" s="724">
        <v>22</v>
      </c>
      <c r="B281" s="713" t="s">
        <v>1157</v>
      </c>
      <c r="C281" s="4" t="s">
        <v>11975</v>
      </c>
      <c r="D281" s="717">
        <v>3684</v>
      </c>
      <c r="E281" s="717">
        <v>3711</v>
      </c>
      <c r="F281" s="717">
        <v>3681</v>
      </c>
      <c r="G281" s="31">
        <v>3680</v>
      </c>
      <c r="H281" s="31">
        <v>3716</v>
      </c>
      <c r="I281" s="31">
        <v>3725</v>
      </c>
      <c r="J281" s="31">
        <v>3695</v>
      </c>
      <c r="K281" s="31">
        <v>3727</v>
      </c>
      <c r="L281" s="31">
        <v>3737</v>
      </c>
      <c r="N281" s="713" t="s">
        <v>3316</v>
      </c>
      <c r="O281" s="4"/>
      <c r="Q281" s="4"/>
    </row>
    <row r="282" spans="1:17">
      <c r="A282" s="724">
        <v>23</v>
      </c>
      <c r="B282" s="713" t="s">
        <v>1158</v>
      </c>
      <c r="C282" s="4" t="s">
        <v>11976</v>
      </c>
      <c r="D282" s="717">
        <v>1785</v>
      </c>
      <c r="E282" s="717">
        <v>1799</v>
      </c>
      <c r="F282" s="717">
        <v>1780</v>
      </c>
      <c r="G282" s="30">
        <v>1798</v>
      </c>
      <c r="H282" s="30">
        <v>1821</v>
      </c>
      <c r="I282" s="30">
        <v>1823</v>
      </c>
      <c r="J282" s="30">
        <v>1811</v>
      </c>
      <c r="K282" s="30">
        <v>1832</v>
      </c>
      <c r="L282" s="30">
        <v>1847</v>
      </c>
      <c r="N282" s="713" t="s">
        <v>3314</v>
      </c>
      <c r="O282" s="4"/>
      <c r="Q282" s="4"/>
    </row>
    <row r="283" spans="1:17">
      <c r="D283" s="717"/>
      <c r="E283" s="717"/>
      <c r="F283" s="717"/>
      <c r="G283" s="717"/>
      <c r="H283" s="717"/>
      <c r="I283" s="717"/>
      <c r="J283" s="717"/>
      <c r="K283" s="717"/>
      <c r="L283" s="717"/>
    </row>
    <row r="284" spans="1:17">
      <c r="A284" s="713" t="s">
        <v>4500</v>
      </c>
      <c r="D284" s="716">
        <f t="shared" ref="D284:I284" si="142">D262+D267+D277+D282</f>
        <v>10590</v>
      </c>
      <c r="E284" s="716">
        <f t="shared" si="142"/>
        <v>10448</v>
      </c>
      <c r="F284" s="716">
        <f t="shared" si="142"/>
        <v>10414</v>
      </c>
      <c r="G284" s="716">
        <f t="shared" si="142"/>
        <v>10373</v>
      </c>
      <c r="H284" s="716">
        <f t="shared" si="142"/>
        <v>10637</v>
      </c>
      <c r="I284" s="716">
        <f t="shared" si="142"/>
        <v>10489</v>
      </c>
      <c r="J284" s="716">
        <f t="shared" ref="J284:K284" si="143">J262+J267+J277+J282</f>
        <v>10369</v>
      </c>
      <c r="K284" s="716">
        <f t="shared" si="143"/>
        <v>10433</v>
      </c>
      <c r="L284" s="716">
        <f t="shared" ref="L284" si="144">L262+L267+L277+L282</f>
        <v>10439</v>
      </c>
    </row>
    <row r="285" spans="1:17">
      <c r="A285" s="713" t="s">
        <v>3316</v>
      </c>
      <c r="D285" s="716">
        <f t="shared" ref="D285:I285" si="145">D260+D261+SUM(D263:D266)+SUM(D268:D276)+SUM(D278:D281)</f>
        <v>79035</v>
      </c>
      <c r="E285" s="716">
        <f t="shared" si="145"/>
        <v>79132</v>
      </c>
      <c r="F285" s="716">
        <f t="shared" si="145"/>
        <v>79145</v>
      </c>
      <c r="G285" s="716">
        <f t="shared" si="145"/>
        <v>79116</v>
      </c>
      <c r="H285" s="716">
        <f t="shared" si="145"/>
        <v>79732</v>
      </c>
      <c r="I285" s="716">
        <f t="shared" si="145"/>
        <v>78913</v>
      </c>
      <c r="J285" s="716">
        <f t="shared" ref="J285:K285" si="146">J260+J261+SUM(J263:J266)+SUM(J268:J276)+SUM(J278:J281)</f>
        <v>77408</v>
      </c>
      <c r="K285" s="716">
        <f t="shared" si="146"/>
        <v>79168</v>
      </c>
      <c r="L285" s="716">
        <f t="shared" ref="L285" si="147">L260+L261+SUM(L263:L266)+SUM(L268:L276)+SUM(L278:L281)</f>
        <v>79937</v>
      </c>
    </row>
    <row r="287" spans="1:17">
      <c r="A287" s="714" t="s">
        <v>1159</v>
      </c>
    </row>
  </sheetData>
  <sortState ref="O260:Q282">
    <sortCondition ref="O260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ignoredErrors>
    <ignoredError sqref="D284:D285 D259:K259 D135:K135 D167:D168 D49:K49 D78:K78 D102:K102 D86:K86 D109:K109 D127:D128 D175:K175 D208:D210 D3:D12 E284:E285 E167:E168 E208:E210 E127:E128 E3:E12 F127:F128 F167:F168 F208:F210 F284:F285 F3:F12 G127:G128 G167:G168 G208:G210 G284:G285 G3:G12 D13 E13 F13 G13 D14:D44 E14:E44 F14:F44 G14:G44 H284:H285 H167:H168 H208:H210 H3:H12 H127:H128 H13:H44 I284:I285 I167:I168 I127:I128 I208:I210 I3:I44 J127:J128 J167:J168 J208:J210 J284:J285 D217:K217 D252:I252 J3:J44 K252 K127:K128 K167:K168 K284:K285 K208:K210 K3:K44 L3:L285" unlockedFormula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67"/>
  <sheetViews>
    <sheetView showGridLines="0" zoomScaleNormal="100" workbookViewId="0"/>
  </sheetViews>
  <sheetFormatPr defaultColWidth="12.5703125" defaultRowHeight="15"/>
  <cols>
    <col min="1" max="1" width="4.85546875" style="726" customWidth="1"/>
    <col min="2" max="2" width="43.28515625" style="726" customWidth="1"/>
    <col min="3" max="3" width="11.5703125" style="726" customWidth="1"/>
    <col min="4" max="12" width="10.140625" style="726" customWidth="1"/>
    <col min="13" max="13" width="2.28515625" style="726" customWidth="1"/>
    <col min="14" max="14" width="33.140625" style="726" customWidth="1"/>
    <col min="15" max="16384" width="12.5703125" style="726"/>
  </cols>
  <sheetData>
    <row r="1" spans="1:14">
      <c r="A1" s="725" t="s">
        <v>8847</v>
      </c>
      <c r="D1" s="727">
        <v>2010</v>
      </c>
      <c r="E1" s="727">
        <v>2011</v>
      </c>
      <c r="F1" s="727">
        <v>2012</v>
      </c>
      <c r="G1" s="727">
        <v>2013</v>
      </c>
      <c r="H1" s="727">
        <v>2014</v>
      </c>
      <c r="I1" s="727">
        <v>2015</v>
      </c>
      <c r="J1" s="727">
        <v>2016</v>
      </c>
      <c r="K1" s="727">
        <v>2017</v>
      </c>
      <c r="L1" s="727">
        <v>2018</v>
      </c>
    </row>
    <row r="3" spans="1:14">
      <c r="A3" s="725" t="s">
        <v>6937</v>
      </c>
      <c r="D3" s="728">
        <f t="shared" ref="D3:I3" si="0">SUM(D5:D15)</f>
        <v>819336</v>
      </c>
      <c r="E3" s="728">
        <f t="shared" si="0"/>
        <v>827318</v>
      </c>
      <c r="F3" s="728">
        <f t="shared" si="0"/>
        <v>832233</v>
      </c>
      <c r="G3" s="728">
        <f t="shared" si="0"/>
        <v>836261</v>
      </c>
      <c r="H3" s="728">
        <f t="shared" si="0"/>
        <v>835720</v>
      </c>
      <c r="I3" s="728">
        <f t="shared" si="0"/>
        <v>819537</v>
      </c>
      <c r="J3" s="728">
        <f t="shared" ref="J3:K3" si="1">SUM(J5:J15)</f>
        <v>816524</v>
      </c>
      <c r="K3" s="728">
        <f t="shared" si="1"/>
        <v>836225</v>
      </c>
      <c r="L3" s="728">
        <f t="shared" ref="L3" si="2">SUM(L5:L15)</f>
        <v>833435</v>
      </c>
    </row>
    <row r="4" spans="1:14">
      <c r="D4" s="729"/>
      <c r="E4" s="729"/>
      <c r="F4" s="729"/>
      <c r="G4" s="729"/>
      <c r="H4" s="729"/>
      <c r="I4" s="729"/>
      <c r="J4" s="729"/>
      <c r="K4" s="729"/>
      <c r="L4" s="729"/>
    </row>
    <row r="5" spans="1:14">
      <c r="A5" s="725" t="s">
        <v>2774</v>
      </c>
      <c r="C5" s="725"/>
      <c r="D5" s="728">
        <f t="shared" ref="D5:I5" si="3">D65</f>
        <v>90315</v>
      </c>
      <c r="E5" s="728">
        <f t="shared" si="3"/>
        <v>92023</v>
      </c>
      <c r="F5" s="728">
        <f t="shared" si="3"/>
        <v>92628</v>
      </c>
      <c r="G5" s="728">
        <f t="shared" si="3"/>
        <v>92704</v>
      </c>
      <c r="H5" s="728">
        <f t="shared" si="3"/>
        <v>93112</v>
      </c>
      <c r="I5" s="728">
        <f t="shared" si="3"/>
        <v>93133</v>
      </c>
      <c r="J5" s="728">
        <f t="shared" ref="J5:K5" si="4">J65</f>
        <v>93712</v>
      </c>
      <c r="K5" s="728">
        <f t="shared" si="4"/>
        <v>93430</v>
      </c>
      <c r="L5" s="728">
        <f t="shared" ref="L5" si="5">L65</f>
        <v>94347</v>
      </c>
      <c r="N5" s="730"/>
    </row>
    <row r="6" spans="1:14">
      <c r="A6" s="725" t="s">
        <v>2775</v>
      </c>
      <c r="C6" s="725"/>
      <c r="D6" s="728">
        <f t="shared" ref="D6:I6" si="6">D97</f>
        <v>53928</v>
      </c>
      <c r="E6" s="728">
        <f t="shared" si="6"/>
        <v>54598</v>
      </c>
      <c r="F6" s="728">
        <f t="shared" si="6"/>
        <v>54941</v>
      </c>
      <c r="G6" s="728">
        <f t="shared" si="6"/>
        <v>55132</v>
      </c>
      <c r="H6" s="728">
        <f t="shared" si="6"/>
        <v>55744</v>
      </c>
      <c r="I6" s="728">
        <f t="shared" si="6"/>
        <v>54392</v>
      </c>
      <c r="J6" s="728">
        <f t="shared" ref="J6:K6" si="7">J97</f>
        <v>54801</v>
      </c>
      <c r="K6" s="728">
        <f t="shared" si="7"/>
        <v>55898</v>
      </c>
      <c r="L6" s="728">
        <f t="shared" ref="L6" si="8">L97</f>
        <v>56141</v>
      </c>
      <c r="N6" s="730"/>
    </row>
    <row r="7" spans="1:14">
      <c r="A7" s="725" t="s">
        <v>2776</v>
      </c>
      <c r="C7" s="725"/>
      <c r="D7" s="728">
        <f t="shared" ref="D7:I7" si="9">D119</f>
        <v>99998</v>
      </c>
      <c r="E7" s="728">
        <f t="shared" si="9"/>
        <v>101014</v>
      </c>
      <c r="F7" s="728">
        <f t="shared" si="9"/>
        <v>101584</v>
      </c>
      <c r="G7" s="728">
        <f t="shared" si="9"/>
        <v>101190</v>
      </c>
      <c r="H7" s="728">
        <f t="shared" si="9"/>
        <v>101541</v>
      </c>
      <c r="I7" s="728">
        <f t="shared" si="9"/>
        <v>96215</v>
      </c>
      <c r="J7" s="728">
        <f t="shared" ref="J7:K7" si="10">J119</f>
        <v>98505</v>
      </c>
      <c r="K7" s="728">
        <f t="shared" si="10"/>
        <v>99304</v>
      </c>
      <c r="L7" s="728">
        <f t="shared" ref="L7" si="11">L119</f>
        <v>96712</v>
      </c>
      <c r="N7" s="730"/>
    </row>
    <row r="8" spans="1:14">
      <c r="A8" s="725" t="s">
        <v>2777</v>
      </c>
      <c r="C8" s="725"/>
      <c r="D8" s="728">
        <f t="shared" ref="D8:I8" si="12">D153</f>
        <v>65013</v>
      </c>
      <c r="E8" s="728">
        <f t="shared" si="12"/>
        <v>65486</v>
      </c>
      <c r="F8" s="728">
        <f t="shared" si="12"/>
        <v>66175</v>
      </c>
      <c r="G8" s="728">
        <f t="shared" si="12"/>
        <v>66206</v>
      </c>
      <c r="H8" s="728">
        <f t="shared" si="12"/>
        <v>66931</v>
      </c>
      <c r="I8" s="728">
        <f t="shared" si="12"/>
        <v>65841</v>
      </c>
      <c r="J8" s="728">
        <f t="shared" ref="J8:K8" si="13">J153</f>
        <v>64797</v>
      </c>
      <c r="K8" s="728">
        <f t="shared" si="13"/>
        <v>66601</v>
      </c>
      <c r="L8" s="728">
        <f t="shared" ref="L8" si="14">L153</f>
        <v>66457</v>
      </c>
      <c r="N8" s="730"/>
    </row>
    <row r="9" spans="1:14">
      <c r="A9" s="725" t="s">
        <v>1212</v>
      </c>
      <c r="C9" s="725"/>
      <c r="D9" s="728">
        <f t="shared" ref="D9:I9" si="15">D184</f>
        <v>98331</v>
      </c>
      <c r="E9" s="728">
        <f t="shared" si="15"/>
        <v>99470</v>
      </c>
      <c r="F9" s="728">
        <f t="shared" si="15"/>
        <v>100036</v>
      </c>
      <c r="G9" s="728">
        <f t="shared" si="15"/>
        <v>100486</v>
      </c>
      <c r="H9" s="728">
        <f t="shared" si="15"/>
        <v>99449</v>
      </c>
      <c r="I9" s="728">
        <f t="shared" si="15"/>
        <v>101001</v>
      </c>
      <c r="J9" s="728">
        <f t="shared" ref="J9:K9" si="16">J184</f>
        <v>99976</v>
      </c>
      <c r="K9" s="728">
        <f t="shared" si="16"/>
        <v>101796</v>
      </c>
      <c r="L9" s="728">
        <f t="shared" ref="L9" si="17">L184</f>
        <v>101943</v>
      </c>
      <c r="N9" s="730"/>
    </row>
    <row r="10" spans="1:14">
      <c r="A10" s="725" t="s">
        <v>1175</v>
      </c>
      <c r="C10" s="725"/>
      <c r="D10" s="728">
        <f t="shared" ref="D10:I10" si="18">D214</f>
        <v>57856</v>
      </c>
      <c r="E10" s="728">
        <f t="shared" si="18"/>
        <v>58619</v>
      </c>
      <c r="F10" s="728">
        <f t="shared" si="18"/>
        <v>58962</v>
      </c>
      <c r="G10" s="728">
        <f t="shared" si="18"/>
        <v>59436</v>
      </c>
      <c r="H10" s="728">
        <f t="shared" si="18"/>
        <v>60363</v>
      </c>
      <c r="I10" s="728">
        <f t="shared" si="18"/>
        <v>56471</v>
      </c>
      <c r="J10" s="728">
        <f t="shared" ref="J10:K10" si="19">J214</f>
        <v>55472</v>
      </c>
      <c r="K10" s="728">
        <f t="shared" si="19"/>
        <v>57951</v>
      </c>
      <c r="L10" s="728">
        <f t="shared" ref="L10" si="20">L214</f>
        <v>56357</v>
      </c>
      <c r="N10" s="730"/>
    </row>
    <row r="11" spans="1:14">
      <c r="A11" s="725" t="s">
        <v>1176</v>
      </c>
      <c r="C11" s="725"/>
      <c r="D11" s="728">
        <f t="shared" ref="D11:I11" si="21">D237</f>
        <v>70962</v>
      </c>
      <c r="E11" s="728">
        <f t="shared" si="21"/>
        <v>71211</v>
      </c>
      <c r="F11" s="728">
        <f t="shared" si="21"/>
        <v>72000</v>
      </c>
      <c r="G11" s="728">
        <f t="shared" si="21"/>
        <v>72547</v>
      </c>
      <c r="H11" s="728">
        <f t="shared" si="21"/>
        <v>72660</v>
      </c>
      <c r="I11" s="728">
        <f t="shared" si="21"/>
        <v>70607</v>
      </c>
      <c r="J11" s="728">
        <f t="shared" ref="J11:K11" si="22">J237</f>
        <v>70299</v>
      </c>
      <c r="K11" s="728">
        <f t="shared" si="22"/>
        <v>71962</v>
      </c>
      <c r="L11" s="728">
        <f t="shared" ref="L11" si="23">L237</f>
        <v>72030</v>
      </c>
      <c r="N11" s="730"/>
    </row>
    <row r="12" spans="1:14">
      <c r="A12" s="725" t="s">
        <v>1177</v>
      </c>
      <c r="C12" s="725"/>
      <c r="D12" s="728">
        <f t="shared" ref="D12:I12" si="24">D259</f>
        <v>62445</v>
      </c>
      <c r="E12" s="728">
        <f t="shared" si="24"/>
        <v>63565</v>
      </c>
      <c r="F12" s="728">
        <f t="shared" si="24"/>
        <v>64145</v>
      </c>
      <c r="G12" s="728">
        <f t="shared" si="24"/>
        <v>64550</v>
      </c>
      <c r="H12" s="728">
        <f t="shared" si="24"/>
        <v>64430</v>
      </c>
      <c r="I12" s="728">
        <f t="shared" si="24"/>
        <v>63007</v>
      </c>
      <c r="J12" s="728">
        <f t="shared" ref="J12:K12" si="25">J259</f>
        <v>62634</v>
      </c>
      <c r="K12" s="728">
        <f t="shared" si="25"/>
        <v>64729</v>
      </c>
      <c r="L12" s="728">
        <f t="shared" ref="L12" si="26">L259</f>
        <v>64728</v>
      </c>
      <c r="N12" s="730"/>
    </row>
    <row r="13" spans="1:14">
      <c r="A13" s="725" t="s">
        <v>1178</v>
      </c>
      <c r="C13" s="725"/>
      <c r="D13" s="728">
        <f t="shared" ref="D13:I13" si="27">D284</f>
        <v>61007</v>
      </c>
      <c r="E13" s="728">
        <f t="shared" si="27"/>
        <v>61056</v>
      </c>
      <c r="F13" s="728">
        <f t="shared" si="27"/>
        <v>61146</v>
      </c>
      <c r="G13" s="728">
        <f t="shared" si="27"/>
        <v>61590</v>
      </c>
      <c r="H13" s="728">
        <f t="shared" si="27"/>
        <v>59190</v>
      </c>
      <c r="I13" s="728">
        <f t="shared" si="27"/>
        <v>60213</v>
      </c>
      <c r="J13" s="728">
        <f t="shared" ref="J13:K13" si="28">J284</f>
        <v>60505</v>
      </c>
      <c r="K13" s="728">
        <f t="shared" si="28"/>
        <v>63409</v>
      </c>
      <c r="L13" s="728">
        <f t="shared" ref="L13" si="29">L284</f>
        <v>63562</v>
      </c>
      <c r="N13" s="730"/>
    </row>
    <row r="14" spans="1:14">
      <c r="A14" s="725" t="s">
        <v>1179</v>
      </c>
      <c r="C14" s="725"/>
      <c r="D14" s="728">
        <f t="shared" ref="D14:I14" si="30">D314</f>
        <v>90872</v>
      </c>
      <c r="E14" s="728">
        <f t="shared" si="30"/>
        <v>90491</v>
      </c>
      <c r="F14" s="728">
        <f t="shared" si="30"/>
        <v>91140</v>
      </c>
      <c r="G14" s="728">
        <f t="shared" si="30"/>
        <v>91916</v>
      </c>
      <c r="H14" s="728">
        <f t="shared" si="30"/>
        <v>92504</v>
      </c>
      <c r="I14" s="728">
        <f t="shared" si="30"/>
        <v>90183</v>
      </c>
      <c r="J14" s="728">
        <f t="shared" ref="J14:K14" si="31">J314</f>
        <v>88240</v>
      </c>
      <c r="K14" s="728">
        <f t="shared" si="31"/>
        <v>91510</v>
      </c>
      <c r="L14" s="728">
        <f t="shared" ref="L14" si="32">L314</f>
        <v>91395</v>
      </c>
      <c r="N14" s="730"/>
    </row>
    <row r="15" spans="1:14">
      <c r="A15" s="725" t="s">
        <v>1180</v>
      </c>
      <c r="C15" s="725"/>
      <c r="D15" s="728">
        <f t="shared" ref="D15:I15" si="33">D353</f>
        <v>68609</v>
      </c>
      <c r="E15" s="728">
        <f t="shared" si="33"/>
        <v>69785</v>
      </c>
      <c r="F15" s="728">
        <f t="shared" si="33"/>
        <v>69476</v>
      </c>
      <c r="G15" s="728">
        <f t="shared" si="33"/>
        <v>70504</v>
      </c>
      <c r="H15" s="728">
        <f t="shared" si="33"/>
        <v>69796</v>
      </c>
      <c r="I15" s="728">
        <f t="shared" si="33"/>
        <v>68474</v>
      </c>
      <c r="J15" s="728">
        <f t="shared" ref="J15:K15" si="34">J353</f>
        <v>67583</v>
      </c>
      <c r="K15" s="728">
        <f t="shared" si="34"/>
        <v>69635</v>
      </c>
      <c r="L15" s="728">
        <f t="shared" ref="L15" si="35">L353</f>
        <v>69763</v>
      </c>
      <c r="N15" s="730"/>
    </row>
    <row r="17" spans="1:14">
      <c r="A17" s="725" t="s">
        <v>6900</v>
      </c>
      <c r="D17" s="728">
        <f t="shared" ref="D17:I17" si="36">D3/11</f>
        <v>74485.090909090912</v>
      </c>
      <c r="E17" s="728">
        <f t="shared" si="36"/>
        <v>75210.727272727279</v>
      </c>
      <c r="F17" s="728">
        <f t="shared" si="36"/>
        <v>75657.545454545456</v>
      </c>
      <c r="G17" s="728">
        <f t="shared" si="36"/>
        <v>76023.727272727279</v>
      </c>
      <c r="H17" s="728">
        <f t="shared" si="36"/>
        <v>75974.545454545456</v>
      </c>
      <c r="I17" s="728">
        <f t="shared" si="36"/>
        <v>74503.363636363632</v>
      </c>
      <c r="J17" s="728">
        <f t="shared" ref="J17:K17" si="37">J3/11</f>
        <v>74229.454545454544</v>
      </c>
      <c r="K17" s="728">
        <f t="shared" si="37"/>
        <v>76020.454545454544</v>
      </c>
      <c r="L17" s="728">
        <f t="shared" ref="L17" si="38">L3/11</f>
        <v>75766.818181818177</v>
      </c>
    </row>
    <row r="18" spans="1:14">
      <c r="A18" s="725"/>
      <c r="D18" s="731"/>
      <c r="E18" s="731"/>
      <c r="F18" s="731"/>
      <c r="G18" s="731"/>
      <c r="H18" s="731"/>
      <c r="I18" s="731"/>
      <c r="J18" s="731"/>
      <c r="K18" s="731"/>
      <c r="L18" s="731"/>
    </row>
    <row r="19" spans="1:14">
      <c r="A19" s="725" t="s">
        <v>1181</v>
      </c>
      <c r="D19" s="728">
        <f t="shared" ref="D19:I19" si="39">D205</f>
        <v>15840</v>
      </c>
      <c r="E19" s="728">
        <f t="shared" si="39"/>
        <v>16089</v>
      </c>
      <c r="F19" s="728">
        <f t="shared" si="39"/>
        <v>16227</v>
      </c>
      <c r="G19" s="728">
        <f t="shared" si="39"/>
        <v>16143</v>
      </c>
      <c r="H19" s="728">
        <f t="shared" si="39"/>
        <v>16196</v>
      </c>
      <c r="I19" s="728">
        <f t="shared" si="39"/>
        <v>16582</v>
      </c>
      <c r="J19" s="728">
        <f t="shared" ref="J19:K19" si="40">J205</f>
        <v>16641</v>
      </c>
      <c r="K19" s="728">
        <f t="shared" si="40"/>
        <v>17174</v>
      </c>
      <c r="L19" s="728">
        <f t="shared" ref="L19" si="41">L205</f>
        <v>17273</v>
      </c>
      <c r="N19" s="725" t="s">
        <v>1182</v>
      </c>
    </row>
    <row r="20" spans="1:14" ht="15.75" thickBot="1">
      <c r="D20" s="732">
        <f t="shared" ref="D20:I20" si="42">D306</f>
        <v>61007</v>
      </c>
      <c r="E20" s="732">
        <f t="shared" si="42"/>
        <v>61056</v>
      </c>
      <c r="F20" s="732">
        <f t="shared" si="42"/>
        <v>61146</v>
      </c>
      <c r="G20" s="732">
        <f t="shared" si="42"/>
        <v>61590</v>
      </c>
      <c r="H20" s="732">
        <f t="shared" si="42"/>
        <v>59190</v>
      </c>
      <c r="I20" s="732">
        <f t="shared" si="42"/>
        <v>60213</v>
      </c>
      <c r="J20" s="732">
        <f t="shared" ref="J20:K20" si="43">J306</f>
        <v>60505</v>
      </c>
      <c r="K20" s="732">
        <f t="shared" si="43"/>
        <v>63409</v>
      </c>
      <c r="L20" s="732">
        <f t="shared" ref="L20" si="44">L306</f>
        <v>63562</v>
      </c>
      <c r="N20" s="725" t="s">
        <v>6934</v>
      </c>
    </row>
    <row r="21" spans="1:14" ht="15.75" thickBot="1">
      <c r="D21" s="732">
        <f t="shared" ref="D21:I21" si="45">D19+D20</f>
        <v>76847</v>
      </c>
      <c r="E21" s="732">
        <f t="shared" si="45"/>
        <v>77145</v>
      </c>
      <c r="F21" s="732">
        <f t="shared" si="45"/>
        <v>77373</v>
      </c>
      <c r="G21" s="732">
        <f t="shared" si="45"/>
        <v>77733</v>
      </c>
      <c r="H21" s="732">
        <f t="shared" si="45"/>
        <v>75386</v>
      </c>
      <c r="I21" s="732">
        <f t="shared" si="45"/>
        <v>76795</v>
      </c>
      <c r="J21" s="732">
        <f t="shared" ref="J21:K21" si="46">J19+J20</f>
        <v>77146</v>
      </c>
      <c r="K21" s="732">
        <f t="shared" si="46"/>
        <v>80583</v>
      </c>
      <c r="L21" s="732">
        <f t="shared" ref="L21" si="47">L19+L20</f>
        <v>80835</v>
      </c>
    </row>
    <row r="22" spans="1:14">
      <c r="D22" s="729"/>
      <c r="E22" s="729"/>
      <c r="F22" s="729"/>
      <c r="G22" s="729"/>
      <c r="H22" s="729"/>
      <c r="I22" s="729"/>
      <c r="J22" s="729"/>
      <c r="K22" s="729"/>
      <c r="L22" s="729"/>
    </row>
    <row r="23" spans="1:14">
      <c r="A23" s="725" t="s">
        <v>1183</v>
      </c>
      <c r="D23" s="728">
        <f t="shared" ref="D23:I23" si="48">D112</f>
        <v>53928</v>
      </c>
      <c r="E23" s="728">
        <f t="shared" si="48"/>
        <v>54598</v>
      </c>
      <c r="F23" s="728">
        <f t="shared" si="48"/>
        <v>54941</v>
      </c>
      <c r="G23" s="728">
        <f t="shared" si="48"/>
        <v>55132</v>
      </c>
      <c r="H23" s="728">
        <f t="shared" si="48"/>
        <v>55744</v>
      </c>
      <c r="I23" s="728">
        <f t="shared" si="48"/>
        <v>54392</v>
      </c>
      <c r="J23" s="728">
        <f t="shared" ref="J23:K23" si="49">J112</f>
        <v>54801</v>
      </c>
      <c r="K23" s="728">
        <f t="shared" si="49"/>
        <v>55898</v>
      </c>
      <c r="L23" s="728">
        <f t="shared" ref="L23" si="50">L112</f>
        <v>56141</v>
      </c>
      <c r="N23" s="725" t="s">
        <v>3434</v>
      </c>
    </row>
    <row r="24" spans="1:14">
      <c r="D24" s="733">
        <f t="shared" ref="D24:I24" si="51">D176</f>
        <v>10866</v>
      </c>
      <c r="E24" s="733">
        <f t="shared" si="51"/>
        <v>10980</v>
      </c>
      <c r="F24" s="733">
        <f t="shared" si="51"/>
        <v>11114</v>
      </c>
      <c r="G24" s="733">
        <f t="shared" si="51"/>
        <v>11192</v>
      </c>
      <c r="H24" s="733">
        <f t="shared" si="51"/>
        <v>11322</v>
      </c>
      <c r="I24" s="733">
        <f t="shared" si="51"/>
        <v>11106</v>
      </c>
      <c r="J24" s="733">
        <f t="shared" ref="J24:K24" si="52">J176</f>
        <v>11059</v>
      </c>
      <c r="K24" s="733">
        <f t="shared" si="52"/>
        <v>11304</v>
      </c>
      <c r="L24" s="733">
        <f t="shared" ref="L24" si="53">L176</f>
        <v>11333</v>
      </c>
      <c r="N24" s="725" t="s">
        <v>1184</v>
      </c>
    </row>
    <row r="25" spans="1:14" ht="15.75" thickBot="1">
      <c r="D25" s="732">
        <f t="shared" ref="D25:I25" si="54">D206</f>
        <v>11258</v>
      </c>
      <c r="E25" s="732">
        <f t="shared" si="54"/>
        <v>11338</v>
      </c>
      <c r="F25" s="732">
        <f t="shared" si="54"/>
        <v>11371</v>
      </c>
      <c r="G25" s="732">
        <f t="shared" si="54"/>
        <v>11574</v>
      </c>
      <c r="H25" s="732">
        <f t="shared" si="54"/>
        <v>11437</v>
      </c>
      <c r="I25" s="732">
        <f t="shared" si="54"/>
        <v>11633</v>
      </c>
      <c r="J25" s="732">
        <f t="shared" ref="J25:K25" si="55">J206</f>
        <v>11557</v>
      </c>
      <c r="K25" s="732">
        <f t="shared" si="55"/>
        <v>11782</v>
      </c>
      <c r="L25" s="732">
        <f t="shared" ref="L25" si="56">L206</f>
        <v>11815</v>
      </c>
      <c r="N25" s="725" t="s">
        <v>1182</v>
      </c>
    </row>
    <row r="26" spans="1:14" ht="15.75" thickBot="1">
      <c r="D26" s="732">
        <f t="shared" ref="D26:I26" si="57">SUM(D23:D25)</f>
        <v>76052</v>
      </c>
      <c r="E26" s="732">
        <f t="shared" si="57"/>
        <v>76916</v>
      </c>
      <c r="F26" s="732">
        <f t="shared" si="57"/>
        <v>77426</v>
      </c>
      <c r="G26" s="732">
        <f t="shared" si="57"/>
        <v>77898</v>
      </c>
      <c r="H26" s="732">
        <f t="shared" si="57"/>
        <v>78503</v>
      </c>
      <c r="I26" s="732">
        <f t="shared" si="57"/>
        <v>77131</v>
      </c>
      <c r="J26" s="732">
        <f t="shared" ref="J26:K26" si="58">SUM(J23:J25)</f>
        <v>77417</v>
      </c>
      <c r="K26" s="732">
        <f t="shared" si="58"/>
        <v>78984</v>
      </c>
      <c r="L26" s="732">
        <f t="shared" ref="L26" si="59">SUM(L23:L25)</f>
        <v>79289</v>
      </c>
    </row>
    <row r="27" spans="1:14">
      <c r="D27" s="729"/>
      <c r="E27" s="729"/>
      <c r="F27" s="729"/>
      <c r="G27" s="729"/>
      <c r="H27" s="729"/>
      <c r="I27" s="729"/>
      <c r="J27" s="729"/>
      <c r="K27" s="729"/>
      <c r="L27" s="729"/>
    </row>
    <row r="28" spans="1:14">
      <c r="A28" s="725" t="s">
        <v>1185</v>
      </c>
      <c r="D28" s="728">
        <f t="shared" ref="D28:I28" si="60">D89</f>
        <v>75716</v>
      </c>
      <c r="E28" s="728">
        <f t="shared" si="60"/>
        <v>76962</v>
      </c>
      <c r="F28" s="728">
        <f t="shared" si="60"/>
        <v>77537</v>
      </c>
      <c r="G28" s="728">
        <f t="shared" si="60"/>
        <v>77681</v>
      </c>
      <c r="H28" s="728">
        <f t="shared" si="60"/>
        <v>78131</v>
      </c>
      <c r="I28" s="728">
        <f t="shared" si="60"/>
        <v>78216</v>
      </c>
      <c r="J28" s="728">
        <f t="shared" ref="J28:K28" si="61">J89</f>
        <v>78545</v>
      </c>
      <c r="K28" s="728">
        <f t="shared" si="61"/>
        <v>78303</v>
      </c>
      <c r="L28" s="728">
        <f t="shared" ref="L28" si="62">L89</f>
        <v>79010</v>
      </c>
      <c r="N28" s="725" t="s">
        <v>1186</v>
      </c>
    </row>
    <row r="29" spans="1:14">
      <c r="D29" s="729"/>
      <c r="E29" s="729"/>
      <c r="F29" s="729"/>
      <c r="G29" s="729"/>
      <c r="H29" s="729"/>
      <c r="I29" s="729"/>
      <c r="J29" s="729"/>
      <c r="K29" s="729"/>
      <c r="L29" s="729"/>
    </row>
    <row r="30" spans="1:14">
      <c r="A30" s="725" t="s">
        <v>1187</v>
      </c>
      <c r="D30" s="728">
        <f t="shared" ref="D30:I30" si="63">D143</f>
        <v>62683</v>
      </c>
      <c r="E30" s="728">
        <f t="shared" si="63"/>
        <v>63521</v>
      </c>
      <c r="F30" s="728">
        <f t="shared" si="63"/>
        <v>63913</v>
      </c>
      <c r="G30" s="728">
        <f t="shared" si="63"/>
        <v>63612</v>
      </c>
      <c r="H30" s="728">
        <f t="shared" si="63"/>
        <v>63584</v>
      </c>
      <c r="I30" s="728">
        <f t="shared" si="63"/>
        <v>58757</v>
      </c>
      <c r="J30" s="728">
        <f t="shared" ref="J30:K30" si="64">J143</f>
        <v>60331</v>
      </c>
      <c r="K30" s="728">
        <f t="shared" si="64"/>
        <v>60516</v>
      </c>
      <c r="L30" s="728">
        <f t="shared" ref="L30" si="65">L143</f>
        <v>58856</v>
      </c>
      <c r="N30" s="725" t="s">
        <v>1188</v>
      </c>
    </row>
    <row r="31" spans="1:14" ht="15.75" thickBot="1">
      <c r="D31" s="732">
        <f t="shared" ref="D31:I31" si="66">D345</f>
        <v>14153</v>
      </c>
      <c r="E31" s="732">
        <f t="shared" si="66"/>
        <v>13996</v>
      </c>
      <c r="F31" s="732">
        <f t="shared" si="66"/>
        <v>14052</v>
      </c>
      <c r="G31" s="732">
        <f t="shared" si="66"/>
        <v>14205</v>
      </c>
      <c r="H31" s="732">
        <f t="shared" si="66"/>
        <v>14366</v>
      </c>
      <c r="I31" s="732">
        <f t="shared" si="66"/>
        <v>13957</v>
      </c>
      <c r="J31" s="732">
        <f t="shared" ref="J31:K31" si="67">J345</f>
        <v>13746</v>
      </c>
      <c r="K31" s="732">
        <f t="shared" si="67"/>
        <v>14159</v>
      </c>
      <c r="L31" s="732">
        <f t="shared" ref="L31" si="68">L345</f>
        <v>14076</v>
      </c>
      <c r="N31" s="725" t="s">
        <v>1189</v>
      </c>
    </row>
    <row r="32" spans="1:14" ht="15.75" thickBot="1">
      <c r="D32" s="732">
        <f t="shared" ref="D32:I32" si="69">D30+D31</f>
        <v>76836</v>
      </c>
      <c r="E32" s="732">
        <f t="shared" si="69"/>
        <v>77517</v>
      </c>
      <c r="F32" s="732">
        <f t="shared" si="69"/>
        <v>77965</v>
      </c>
      <c r="G32" s="732">
        <f t="shared" si="69"/>
        <v>77817</v>
      </c>
      <c r="H32" s="732">
        <f t="shared" si="69"/>
        <v>77950</v>
      </c>
      <c r="I32" s="732">
        <f t="shared" si="69"/>
        <v>72714</v>
      </c>
      <c r="J32" s="732">
        <f t="shared" ref="J32:K32" si="70">J30+J31</f>
        <v>74077</v>
      </c>
      <c r="K32" s="732">
        <f t="shared" si="70"/>
        <v>74675</v>
      </c>
      <c r="L32" s="732">
        <f t="shared" ref="L32" si="71">L30+L31</f>
        <v>72932</v>
      </c>
    </row>
    <row r="33" spans="1:14">
      <c r="D33" s="729"/>
      <c r="E33" s="729"/>
      <c r="F33" s="729"/>
      <c r="G33" s="729"/>
      <c r="H33" s="729"/>
      <c r="I33" s="729"/>
      <c r="J33" s="729"/>
      <c r="K33" s="729"/>
      <c r="L33" s="729"/>
    </row>
    <row r="34" spans="1:14">
      <c r="A34" s="725" t="s">
        <v>1190</v>
      </c>
      <c r="D34" s="728">
        <f t="shared" ref="D34:I34" si="72">D144</f>
        <v>17963</v>
      </c>
      <c r="E34" s="728">
        <f t="shared" si="72"/>
        <v>18062</v>
      </c>
      <c r="F34" s="728">
        <f t="shared" si="72"/>
        <v>18254</v>
      </c>
      <c r="G34" s="728">
        <f t="shared" si="72"/>
        <v>18374</v>
      </c>
      <c r="H34" s="728">
        <f t="shared" si="72"/>
        <v>18423</v>
      </c>
      <c r="I34" s="728">
        <f t="shared" si="72"/>
        <v>18241</v>
      </c>
      <c r="J34" s="728">
        <f t="shared" ref="J34:K34" si="73">J144</f>
        <v>18662</v>
      </c>
      <c r="K34" s="728">
        <f t="shared" si="73"/>
        <v>18927</v>
      </c>
      <c r="L34" s="728">
        <f t="shared" ref="L34" si="74">L144</f>
        <v>18553</v>
      </c>
      <c r="N34" s="725" t="s">
        <v>1188</v>
      </c>
    </row>
    <row r="35" spans="1:14" ht="15.75" thickBot="1">
      <c r="D35" s="732">
        <f t="shared" ref="D35:I35" si="75">D177</f>
        <v>54147</v>
      </c>
      <c r="E35" s="732">
        <f t="shared" si="75"/>
        <v>54506</v>
      </c>
      <c r="F35" s="732">
        <f t="shared" si="75"/>
        <v>55061</v>
      </c>
      <c r="G35" s="732">
        <f t="shared" si="75"/>
        <v>55014</v>
      </c>
      <c r="H35" s="732">
        <f t="shared" si="75"/>
        <v>55609</v>
      </c>
      <c r="I35" s="732">
        <f t="shared" si="75"/>
        <v>54735</v>
      </c>
      <c r="J35" s="732">
        <f t="shared" ref="J35:K35" si="76">J177</f>
        <v>53738</v>
      </c>
      <c r="K35" s="732">
        <f t="shared" si="76"/>
        <v>55297</v>
      </c>
      <c r="L35" s="732">
        <f t="shared" ref="L35" si="77">L177</f>
        <v>55124</v>
      </c>
      <c r="N35" s="725" t="s">
        <v>1184</v>
      </c>
    </row>
    <row r="36" spans="1:14" ht="15.75" thickBot="1">
      <c r="D36" s="732">
        <f t="shared" ref="D36:I36" si="78">D34+D35</f>
        <v>72110</v>
      </c>
      <c r="E36" s="732">
        <f t="shared" si="78"/>
        <v>72568</v>
      </c>
      <c r="F36" s="732">
        <f t="shared" si="78"/>
        <v>73315</v>
      </c>
      <c r="G36" s="732">
        <f t="shared" si="78"/>
        <v>73388</v>
      </c>
      <c r="H36" s="732">
        <f t="shared" si="78"/>
        <v>74032</v>
      </c>
      <c r="I36" s="732">
        <f t="shared" si="78"/>
        <v>72976</v>
      </c>
      <c r="J36" s="732">
        <f t="shared" ref="J36:K36" si="79">J34+J35</f>
        <v>72400</v>
      </c>
      <c r="K36" s="732">
        <f t="shared" si="79"/>
        <v>74224</v>
      </c>
      <c r="L36" s="732">
        <f t="shared" ref="L36" si="80">L34+L35</f>
        <v>73677</v>
      </c>
    </row>
    <row r="37" spans="1:14">
      <c r="D37" s="729"/>
      <c r="E37" s="729"/>
      <c r="F37" s="729"/>
      <c r="G37" s="729"/>
      <c r="H37" s="729"/>
      <c r="I37" s="729"/>
      <c r="J37" s="729"/>
      <c r="K37" s="729"/>
      <c r="L37" s="729"/>
    </row>
    <row r="38" spans="1:14">
      <c r="A38" s="725" t="s">
        <v>1191</v>
      </c>
      <c r="D38" s="728">
        <f t="shared" ref="D38:I38" si="81">D207</f>
        <v>71233</v>
      </c>
      <c r="E38" s="728">
        <f t="shared" si="81"/>
        <v>72043</v>
      </c>
      <c r="F38" s="728">
        <f t="shared" si="81"/>
        <v>72438</v>
      </c>
      <c r="G38" s="728">
        <f t="shared" si="81"/>
        <v>72769</v>
      </c>
      <c r="H38" s="728">
        <f t="shared" si="81"/>
        <v>71816</v>
      </c>
      <c r="I38" s="728">
        <f t="shared" si="81"/>
        <v>72786</v>
      </c>
      <c r="J38" s="728">
        <f t="shared" ref="J38:K38" si="82">J207</f>
        <v>71778</v>
      </c>
      <c r="K38" s="728">
        <f t="shared" si="82"/>
        <v>72840</v>
      </c>
      <c r="L38" s="728">
        <f t="shared" ref="L38" si="83">L207</f>
        <v>72855</v>
      </c>
      <c r="N38" s="725" t="s">
        <v>1182</v>
      </c>
    </row>
    <row r="39" spans="1:14">
      <c r="D39" s="729"/>
      <c r="E39" s="729"/>
      <c r="F39" s="729"/>
      <c r="G39" s="729"/>
      <c r="H39" s="729"/>
      <c r="I39" s="729"/>
      <c r="J39" s="729"/>
      <c r="K39" s="729"/>
      <c r="L39" s="729"/>
    </row>
    <row r="40" spans="1:14">
      <c r="A40" s="725" t="s">
        <v>1192</v>
      </c>
      <c r="D40" s="728">
        <f t="shared" ref="D40:I40" si="84">D90</f>
        <v>14599</v>
      </c>
      <c r="E40" s="728">
        <f t="shared" si="84"/>
        <v>15061</v>
      </c>
      <c r="F40" s="728">
        <f t="shared" si="84"/>
        <v>15091</v>
      </c>
      <c r="G40" s="728">
        <f t="shared" si="84"/>
        <v>15023</v>
      </c>
      <c r="H40" s="728">
        <f t="shared" si="84"/>
        <v>14981</v>
      </c>
      <c r="I40" s="728">
        <f t="shared" si="84"/>
        <v>14917</v>
      </c>
      <c r="J40" s="728">
        <f t="shared" ref="J40:K40" si="85">J90</f>
        <v>15167</v>
      </c>
      <c r="K40" s="728">
        <f t="shared" si="85"/>
        <v>15127</v>
      </c>
      <c r="L40" s="728">
        <f t="shared" ref="L40" si="86">L90</f>
        <v>15337</v>
      </c>
      <c r="N40" s="725" t="s">
        <v>1186</v>
      </c>
    </row>
    <row r="41" spans="1:14" ht="15.75" thickBot="1">
      <c r="D41" s="732">
        <f t="shared" ref="D41:I41" si="87">D230</f>
        <v>57856</v>
      </c>
      <c r="E41" s="732">
        <f t="shared" si="87"/>
        <v>58619</v>
      </c>
      <c r="F41" s="732">
        <f t="shared" si="87"/>
        <v>58962</v>
      </c>
      <c r="G41" s="732">
        <f t="shared" si="87"/>
        <v>59436</v>
      </c>
      <c r="H41" s="732">
        <f t="shared" si="87"/>
        <v>60363</v>
      </c>
      <c r="I41" s="732">
        <f t="shared" si="87"/>
        <v>56471</v>
      </c>
      <c r="J41" s="732">
        <f t="shared" ref="J41:K41" si="88">J230</f>
        <v>55472</v>
      </c>
      <c r="K41" s="732">
        <f t="shared" si="88"/>
        <v>57951</v>
      </c>
      <c r="L41" s="732">
        <f t="shared" ref="L41" si="89">L230</f>
        <v>56357</v>
      </c>
      <c r="N41" s="725" t="s">
        <v>3438</v>
      </c>
    </row>
    <row r="42" spans="1:14" ht="15.75" thickBot="1">
      <c r="D42" s="732">
        <f t="shared" ref="D42:I42" si="90">SUM(D40:D41)</f>
        <v>72455</v>
      </c>
      <c r="E42" s="732">
        <f t="shared" si="90"/>
        <v>73680</v>
      </c>
      <c r="F42" s="732">
        <f t="shared" si="90"/>
        <v>74053</v>
      </c>
      <c r="G42" s="732">
        <f t="shared" si="90"/>
        <v>74459</v>
      </c>
      <c r="H42" s="732">
        <f t="shared" si="90"/>
        <v>75344</v>
      </c>
      <c r="I42" s="732">
        <f t="shared" si="90"/>
        <v>71388</v>
      </c>
      <c r="J42" s="732">
        <f t="shared" ref="J42:K42" si="91">SUM(J40:J41)</f>
        <v>70639</v>
      </c>
      <c r="K42" s="732">
        <f t="shared" si="91"/>
        <v>73078</v>
      </c>
      <c r="L42" s="732">
        <f t="shared" ref="L42" si="92">SUM(L40:L41)</f>
        <v>71694</v>
      </c>
    </row>
    <row r="43" spans="1:14">
      <c r="D43" s="729"/>
      <c r="E43" s="729"/>
      <c r="F43" s="729"/>
      <c r="G43" s="729"/>
      <c r="H43" s="729"/>
      <c r="I43" s="729"/>
      <c r="J43" s="729"/>
      <c r="K43" s="729"/>
      <c r="L43" s="729"/>
    </row>
    <row r="44" spans="1:14">
      <c r="A44" s="725" t="s">
        <v>1193</v>
      </c>
      <c r="D44" s="728">
        <f t="shared" ref="D44:I44" si="93">D346</f>
        <v>76719</v>
      </c>
      <c r="E44" s="728">
        <f t="shared" si="93"/>
        <v>76495</v>
      </c>
      <c r="F44" s="728">
        <f t="shared" si="93"/>
        <v>77088</v>
      </c>
      <c r="G44" s="728">
        <f t="shared" si="93"/>
        <v>77711</v>
      </c>
      <c r="H44" s="728">
        <f t="shared" si="93"/>
        <v>78138</v>
      </c>
      <c r="I44" s="728">
        <f t="shared" si="93"/>
        <v>76226</v>
      </c>
      <c r="J44" s="728">
        <f t="shared" ref="J44:K44" si="94">J346</f>
        <v>74494</v>
      </c>
      <c r="K44" s="728">
        <f t="shared" si="94"/>
        <v>77351</v>
      </c>
      <c r="L44" s="728">
        <f t="shared" ref="L44" si="95">L346</f>
        <v>77319</v>
      </c>
      <c r="N44" s="725" t="s">
        <v>1189</v>
      </c>
    </row>
    <row r="45" spans="1:14">
      <c r="D45" s="729"/>
      <c r="E45" s="729"/>
      <c r="F45" s="729"/>
      <c r="G45" s="729"/>
      <c r="H45" s="729"/>
      <c r="I45" s="729"/>
      <c r="J45" s="729"/>
      <c r="K45" s="729"/>
      <c r="L45" s="729"/>
    </row>
    <row r="46" spans="1:14">
      <c r="A46" s="725" t="s">
        <v>1194</v>
      </c>
      <c r="D46" s="733">
        <f t="shared" ref="D46:I46" si="96">D252</f>
        <v>70962</v>
      </c>
      <c r="E46" s="733">
        <f t="shared" si="96"/>
        <v>71211</v>
      </c>
      <c r="F46" s="733">
        <f t="shared" si="96"/>
        <v>72000</v>
      </c>
      <c r="G46" s="733">
        <f t="shared" si="96"/>
        <v>72547</v>
      </c>
      <c r="H46" s="733">
        <f t="shared" si="96"/>
        <v>72660</v>
      </c>
      <c r="I46" s="733">
        <f t="shared" si="96"/>
        <v>70607</v>
      </c>
      <c r="J46" s="733">
        <f t="shared" ref="J46:K46" si="97">J252</f>
        <v>70299</v>
      </c>
      <c r="K46" s="733">
        <f t="shared" si="97"/>
        <v>71962</v>
      </c>
      <c r="L46" s="733">
        <f t="shared" ref="L46" si="98">L252</f>
        <v>72030</v>
      </c>
      <c r="N46" s="725" t="s">
        <v>6932</v>
      </c>
    </row>
    <row r="47" spans="1:14">
      <c r="D47" s="729"/>
      <c r="E47" s="729"/>
      <c r="F47" s="729"/>
      <c r="G47" s="729"/>
      <c r="H47" s="729"/>
      <c r="I47" s="729"/>
      <c r="J47" s="729"/>
      <c r="K47" s="729"/>
      <c r="L47" s="729"/>
    </row>
    <row r="48" spans="1:14">
      <c r="A48" s="725" t="s">
        <v>1195</v>
      </c>
      <c r="D48" s="728">
        <f t="shared" ref="D48:I48" si="99">D145</f>
        <v>14897</v>
      </c>
      <c r="E48" s="728">
        <f t="shared" si="99"/>
        <v>14888</v>
      </c>
      <c r="F48" s="728">
        <f t="shared" si="99"/>
        <v>14928</v>
      </c>
      <c r="G48" s="728">
        <f t="shared" si="99"/>
        <v>14850</v>
      </c>
      <c r="H48" s="728">
        <f t="shared" si="99"/>
        <v>15083</v>
      </c>
      <c r="I48" s="728">
        <f t="shared" si="99"/>
        <v>14842</v>
      </c>
      <c r="J48" s="728">
        <f t="shared" ref="J48:K48" si="100">J145</f>
        <v>14951</v>
      </c>
      <c r="K48" s="728">
        <f t="shared" si="100"/>
        <v>15244</v>
      </c>
      <c r="L48" s="728">
        <f t="shared" ref="L48" si="101">L145</f>
        <v>14956</v>
      </c>
      <c r="N48" s="725" t="s">
        <v>1188</v>
      </c>
    </row>
    <row r="49" spans="1:14" ht="15.75" thickBot="1">
      <c r="D49" s="732">
        <f t="shared" ref="D49:I49" si="102">D277</f>
        <v>62445</v>
      </c>
      <c r="E49" s="732">
        <f t="shared" si="102"/>
        <v>63565</v>
      </c>
      <c r="F49" s="732">
        <f t="shared" si="102"/>
        <v>64145</v>
      </c>
      <c r="G49" s="732">
        <f t="shared" si="102"/>
        <v>64550</v>
      </c>
      <c r="H49" s="732">
        <f t="shared" si="102"/>
        <v>64430</v>
      </c>
      <c r="I49" s="732">
        <f t="shared" si="102"/>
        <v>63007</v>
      </c>
      <c r="J49" s="732">
        <f t="shared" ref="J49:K49" si="103">J277</f>
        <v>62634</v>
      </c>
      <c r="K49" s="732">
        <f t="shared" si="103"/>
        <v>64729</v>
      </c>
      <c r="L49" s="732">
        <f t="shared" ref="L49" si="104">L277</f>
        <v>64728</v>
      </c>
      <c r="N49" s="725" t="s">
        <v>6933</v>
      </c>
    </row>
    <row r="50" spans="1:14" ht="15.75" thickBot="1">
      <c r="D50" s="732">
        <f t="shared" ref="D50:I50" si="105">D48+D49</f>
        <v>77342</v>
      </c>
      <c r="E50" s="732">
        <f t="shared" si="105"/>
        <v>78453</v>
      </c>
      <c r="F50" s="732">
        <f t="shared" si="105"/>
        <v>79073</v>
      </c>
      <c r="G50" s="732">
        <f t="shared" si="105"/>
        <v>79400</v>
      </c>
      <c r="H50" s="732">
        <f t="shared" si="105"/>
        <v>79513</v>
      </c>
      <c r="I50" s="732">
        <f t="shared" si="105"/>
        <v>77849</v>
      </c>
      <c r="J50" s="732">
        <f t="shared" ref="J50:K50" si="106">J48+J49</f>
        <v>77585</v>
      </c>
      <c r="K50" s="732">
        <f t="shared" si="106"/>
        <v>79973</v>
      </c>
      <c r="L50" s="732">
        <f t="shared" ref="L50" si="107">L48+L49</f>
        <v>79684</v>
      </c>
    </row>
    <row r="51" spans="1:14">
      <c r="D51" s="729"/>
      <c r="E51" s="729"/>
      <c r="F51" s="729"/>
      <c r="G51" s="729"/>
      <c r="H51" s="729"/>
      <c r="I51" s="729"/>
      <c r="J51" s="729"/>
      <c r="K51" s="729"/>
      <c r="L51" s="729"/>
    </row>
    <row r="52" spans="1:14">
      <c r="A52" s="725" t="s">
        <v>1196</v>
      </c>
      <c r="D52" s="728">
        <f t="shared" ref="D52:I52" si="108">D146</f>
        <v>4455</v>
      </c>
      <c r="E52" s="728">
        <f t="shared" si="108"/>
        <v>4543</v>
      </c>
      <c r="F52" s="728">
        <f t="shared" si="108"/>
        <v>4489</v>
      </c>
      <c r="G52" s="728">
        <f t="shared" si="108"/>
        <v>4354</v>
      </c>
      <c r="H52" s="728">
        <f t="shared" si="108"/>
        <v>4451</v>
      </c>
      <c r="I52" s="728">
        <f t="shared" si="108"/>
        <v>4375</v>
      </c>
      <c r="J52" s="728">
        <f t="shared" ref="J52:K52" si="109">J146</f>
        <v>4561</v>
      </c>
      <c r="K52" s="728">
        <f t="shared" si="109"/>
        <v>4617</v>
      </c>
      <c r="L52" s="728">
        <f t="shared" ref="L52" si="110">L146</f>
        <v>4347</v>
      </c>
      <c r="N52" s="725" t="s">
        <v>1188</v>
      </c>
    </row>
    <row r="53" spans="1:14" ht="15.75" thickBot="1">
      <c r="D53" s="732">
        <f t="shared" ref="D53:I53" si="111">D365</f>
        <v>68609</v>
      </c>
      <c r="E53" s="732">
        <f t="shared" si="111"/>
        <v>69785</v>
      </c>
      <c r="F53" s="732">
        <f t="shared" si="111"/>
        <v>69476</v>
      </c>
      <c r="G53" s="732">
        <f t="shared" si="111"/>
        <v>70504</v>
      </c>
      <c r="H53" s="732">
        <f t="shared" si="111"/>
        <v>69796</v>
      </c>
      <c r="I53" s="732">
        <f t="shared" si="111"/>
        <v>68474</v>
      </c>
      <c r="J53" s="732">
        <f t="shared" ref="J53:K53" si="112">J365</f>
        <v>67583</v>
      </c>
      <c r="K53" s="732">
        <f t="shared" si="112"/>
        <v>69635</v>
      </c>
      <c r="L53" s="732">
        <f t="shared" ref="L53" si="113">L365</f>
        <v>69763</v>
      </c>
      <c r="N53" s="725" t="s">
        <v>6936</v>
      </c>
    </row>
    <row r="54" spans="1:14" ht="15.75" thickBot="1">
      <c r="D54" s="732">
        <f t="shared" ref="D54:I54" si="114">D52+D53</f>
        <v>73064</v>
      </c>
      <c r="E54" s="732">
        <f t="shared" si="114"/>
        <v>74328</v>
      </c>
      <c r="F54" s="732">
        <f t="shared" si="114"/>
        <v>73965</v>
      </c>
      <c r="G54" s="732">
        <f t="shared" si="114"/>
        <v>74858</v>
      </c>
      <c r="H54" s="732">
        <f t="shared" si="114"/>
        <v>74247</v>
      </c>
      <c r="I54" s="732">
        <f t="shared" si="114"/>
        <v>72849</v>
      </c>
      <c r="J54" s="732">
        <f t="shared" ref="J54:K54" si="115">J52+J53</f>
        <v>72144</v>
      </c>
      <c r="K54" s="732">
        <f t="shared" si="115"/>
        <v>74252</v>
      </c>
      <c r="L54" s="732">
        <f t="shared" ref="L54" si="116">L52+L53</f>
        <v>74110</v>
      </c>
    </row>
    <row r="55" spans="1:14">
      <c r="D55" s="729"/>
      <c r="E55" s="729"/>
      <c r="F55" s="729"/>
      <c r="G55" s="729"/>
      <c r="H55" s="729"/>
      <c r="I55" s="729"/>
      <c r="J55" s="729"/>
      <c r="K55" s="729"/>
      <c r="L55" s="729"/>
    </row>
    <row r="56" spans="1:14">
      <c r="A56" s="725" t="s">
        <v>8697</v>
      </c>
      <c r="D56" s="728">
        <f t="shared" ref="D56:I56" si="117">D21+D26+D28+D32+D36+D38+D42+D44+D46+D50+D54</f>
        <v>819336</v>
      </c>
      <c r="E56" s="728">
        <f t="shared" si="117"/>
        <v>827318</v>
      </c>
      <c r="F56" s="728">
        <f t="shared" si="117"/>
        <v>832233</v>
      </c>
      <c r="G56" s="728">
        <f t="shared" si="117"/>
        <v>836261</v>
      </c>
      <c r="H56" s="728">
        <f t="shared" si="117"/>
        <v>835720</v>
      </c>
      <c r="I56" s="728">
        <f t="shared" si="117"/>
        <v>819537</v>
      </c>
      <c r="J56" s="728">
        <f t="shared" ref="J56:K56" si="118">J21+J26+J28+J32+J36+J38+J42+J44+J46+J50+J54</f>
        <v>816524</v>
      </c>
      <c r="K56" s="728">
        <f t="shared" si="118"/>
        <v>836225</v>
      </c>
      <c r="L56" s="728">
        <f t="shared" ref="L56" si="119">L21+L26+L28+L32+L36+L38+L42+L44+L46+L50+L54</f>
        <v>833435</v>
      </c>
    </row>
    <row r="57" spans="1:14">
      <c r="D57" s="729"/>
      <c r="E57" s="729"/>
      <c r="F57" s="729"/>
      <c r="G57" s="729"/>
      <c r="H57" s="729"/>
      <c r="I57" s="729"/>
      <c r="J57" s="729"/>
      <c r="K57" s="729"/>
      <c r="L57" s="729"/>
    </row>
    <row r="58" spans="1:14">
      <c r="A58" s="725" t="s">
        <v>8698</v>
      </c>
      <c r="D58" s="728">
        <f t="shared" ref="D58:I58" si="120">MAX(D21,D26,D28,D32,D36,D38,D42,D44,D46,D50,D54)-MIN(D21,D26,D28,D32,D36,D38,D42,D44,D46,D50,D54)</f>
        <v>6380</v>
      </c>
      <c r="E58" s="728">
        <f t="shared" si="120"/>
        <v>7242</v>
      </c>
      <c r="F58" s="728">
        <f t="shared" si="120"/>
        <v>7073</v>
      </c>
      <c r="G58" s="728">
        <f t="shared" si="120"/>
        <v>6853</v>
      </c>
      <c r="H58" s="728">
        <f t="shared" si="120"/>
        <v>7697</v>
      </c>
      <c r="I58" s="728">
        <f t="shared" si="120"/>
        <v>7609</v>
      </c>
      <c r="J58" s="728">
        <f t="shared" ref="J58:K58" si="121">MAX(J21,J26,J28,J32,J36,J38,J42,J44,J46,J50,J54)-MIN(J21,J26,J28,J32,J36,J38,J42,J44,J46,J50,J54)</f>
        <v>8246</v>
      </c>
      <c r="K58" s="728">
        <f t="shared" si="121"/>
        <v>8621</v>
      </c>
      <c r="L58" s="728">
        <f t="shared" ref="L58" si="122">MAX(L21,L26,L28,L32,L36,L38,L42,L44,L46,L50,L54)-MIN(L21,L26,L28,L32,L36,L38,L42,L44,L46,L50,L54)</f>
        <v>9141</v>
      </c>
    </row>
    <row r="59" spans="1:14">
      <c r="D59" s="729"/>
      <c r="E59" s="729"/>
      <c r="F59" s="729"/>
      <c r="G59" s="729"/>
      <c r="H59" s="729"/>
      <c r="I59" s="729"/>
      <c r="J59" s="729"/>
      <c r="K59" s="729"/>
      <c r="L59" s="729"/>
    </row>
    <row r="60" spans="1:14">
      <c r="A60" s="734" t="s">
        <v>8701</v>
      </c>
      <c r="D60" s="728">
        <f t="shared" ref="D60:I60" si="123">STDEVP(D21,D26,D28,D32,D36,D38,D42,D44,D46,D50,D54)</f>
        <v>2393.1359971440079</v>
      </c>
      <c r="E60" s="728">
        <f t="shared" si="123"/>
        <v>2399.5370800108731</v>
      </c>
      <c r="F60" s="728">
        <f t="shared" si="123"/>
        <v>2399.0215567501818</v>
      </c>
      <c r="G60" s="728">
        <f t="shared" si="123"/>
        <v>2337.0188893665791</v>
      </c>
      <c r="H60" s="728">
        <f t="shared" si="123"/>
        <v>2485.020152237159</v>
      </c>
      <c r="I60" s="728">
        <f t="shared" si="123"/>
        <v>2632.1190313208335</v>
      </c>
      <c r="J60" s="728">
        <f t="shared" ref="J60:K60" si="124">STDEVP(J21,J26,J28,J32,J36,J38,J42,J44,J46,J50,J54)</f>
        <v>2871.3161177296174</v>
      </c>
      <c r="K60" s="728">
        <f t="shared" si="124"/>
        <v>2948.2154036154998</v>
      </c>
      <c r="L60" s="728">
        <f t="shared" ref="L60" si="125">STDEVP(L21,L26,L28,L32,L36,L38,L42,L44,L46,L50,L54)</f>
        <v>3310.3551805641041</v>
      </c>
    </row>
    <row r="61" spans="1:14">
      <c r="A61" s="734"/>
      <c r="D61" s="731"/>
      <c r="E61" s="731"/>
      <c r="F61" s="731"/>
      <c r="G61" s="731"/>
      <c r="H61" s="731"/>
      <c r="I61" s="731"/>
      <c r="J61" s="731"/>
      <c r="K61" s="731"/>
      <c r="L61" s="731"/>
    </row>
    <row r="63" spans="1:14">
      <c r="E63" s="42" t="s">
        <v>2303</v>
      </c>
      <c r="F63" s="42"/>
      <c r="G63" s="42"/>
      <c r="H63" s="42"/>
      <c r="I63" s="42"/>
      <c r="J63" s="42"/>
      <c r="K63" s="42"/>
      <c r="L63" s="42"/>
      <c r="M63" s="109"/>
      <c r="N63" s="109" t="s">
        <v>13319</v>
      </c>
    </row>
    <row r="64" spans="1:14">
      <c r="D64" s="727">
        <v>2010</v>
      </c>
      <c r="E64" s="727">
        <v>2011</v>
      </c>
      <c r="F64" s="727">
        <v>2012</v>
      </c>
      <c r="G64" s="727">
        <v>2013</v>
      </c>
      <c r="H64" s="727">
        <v>2014</v>
      </c>
      <c r="I64" s="727">
        <v>2015</v>
      </c>
      <c r="J64" s="727">
        <v>2016</v>
      </c>
      <c r="K64" s="727">
        <v>2017</v>
      </c>
      <c r="L64" s="727">
        <v>2018</v>
      </c>
      <c r="N64" s="112" t="s">
        <v>2304</v>
      </c>
    </row>
    <row r="65" spans="1:17">
      <c r="A65" s="725" t="s">
        <v>1197</v>
      </c>
      <c r="C65" s="725"/>
      <c r="D65" s="728">
        <f>SUM(D66:D75)+SUM(D77:D80)+SUM(D82:D86)</f>
        <v>90315</v>
      </c>
      <c r="E65" s="728">
        <f t="shared" ref="E65:K65" si="126">SUM(E66:E75)+SUM(E77:E80)+SUM(E82:E86)</f>
        <v>92023</v>
      </c>
      <c r="F65" s="728">
        <f t="shared" si="126"/>
        <v>92628</v>
      </c>
      <c r="G65" s="728">
        <f t="shared" si="126"/>
        <v>92704</v>
      </c>
      <c r="H65" s="728">
        <f t="shared" si="126"/>
        <v>93112</v>
      </c>
      <c r="I65" s="728">
        <f t="shared" si="126"/>
        <v>93133</v>
      </c>
      <c r="J65" s="728">
        <f t="shared" si="126"/>
        <v>93712</v>
      </c>
      <c r="K65" s="728">
        <f t="shared" si="126"/>
        <v>93430</v>
      </c>
      <c r="L65" s="728">
        <f t="shared" ref="L65" si="127">SUM(L66:L75)+SUM(L77:L80)+SUM(L82:L86)</f>
        <v>94347</v>
      </c>
    </row>
    <row r="66" spans="1:17">
      <c r="A66" s="725" t="s">
        <v>6957</v>
      </c>
      <c r="B66" s="725" t="s">
        <v>1198</v>
      </c>
      <c r="C66" s="4" t="s">
        <v>16254</v>
      </c>
      <c r="D66" s="728">
        <v>75716</v>
      </c>
      <c r="E66" s="728">
        <v>76962</v>
      </c>
      <c r="F66" s="728">
        <v>77537</v>
      </c>
      <c r="G66" s="48">
        <v>77681</v>
      </c>
      <c r="H66" s="48">
        <v>78131</v>
      </c>
      <c r="I66" s="48">
        <v>78216</v>
      </c>
      <c r="J66" s="48">
        <v>78545</v>
      </c>
      <c r="K66" s="48">
        <v>5368</v>
      </c>
      <c r="L66" s="48">
        <v>5393</v>
      </c>
      <c r="N66" s="725" t="s">
        <v>1185</v>
      </c>
      <c r="O66" s="4"/>
      <c r="Q66" s="4"/>
    </row>
    <row r="67" spans="1:17">
      <c r="A67" s="725" t="s">
        <v>6959</v>
      </c>
      <c r="B67" s="725" t="s">
        <v>16253</v>
      </c>
      <c r="C67" s="4" t="s">
        <v>16255</v>
      </c>
      <c r="D67" s="728">
        <v>0</v>
      </c>
      <c r="E67" s="728">
        <v>0</v>
      </c>
      <c r="F67" s="72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5965</v>
      </c>
      <c r="L67" s="48">
        <v>6025</v>
      </c>
      <c r="N67" s="725" t="s">
        <v>1185</v>
      </c>
      <c r="O67" s="4"/>
      <c r="Q67" s="4"/>
    </row>
    <row r="68" spans="1:17">
      <c r="A68" s="725" t="s">
        <v>6961</v>
      </c>
      <c r="B68" s="725" t="s">
        <v>1199</v>
      </c>
      <c r="C68" s="4" t="s">
        <v>16256</v>
      </c>
      <c r="D68" s="728">
        <v>0</v>
      </c>
      <c r="E68" s="728">
        <v>0</v>
      </c>
      <c r="F68" s="72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6068</v>
      </c>
      <c r="L68" s="48">
        <v>6191</v>
      </c>
      <c r="N68" s="725" t="s">
        <v>1185</v>
      </c>
      <c r="O68" s="4"/>
      <c r="Q68" s="4"/>
    </row>
    <row r="69" spans="1:17">
      <c r="A69" s="725" t="s">
        <v>6963</v>
      </c>
      <c r="B69" s="725" t="s">
        <v>16270</v>
      </c>
      <c r="C69" s="4" t="s">
        <v>16257</v>
      </c>
      <c r="D69" s="728">
        <v>0</v>
      </c>
      <c r="E69" s="728">
        <v>0</v>
      </c>
      <c r="F69" s="72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5852</v>
      </c>
      <c r="L69" s="48">
        <v>5920</v>
      </c>
      <c r="N69" s="725" t="s">
        <v>1185</v>
      </c>
      <c r="O69" s="4"/>
      <c r="Q69" s="4"/>
    </row>
    <row r="70" spans="1:17">
      <c r="A70" s="725" t="s">
        <v>6965</v>
      </c>
      <c r="B70" s="725" t="s">
        <v>16271</v>
      </c>
      <c r="C70" s="4" t="s">
        <v>16258</v>
      </c>
      <c r="D70" s="728">
        <v>0</v>
      </c>
      <c r="E70" s="728">
        <v>0</v>
      </c>
      <c r="F70" s="72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6203</v>
      </c>
      <c r="L70" s="48">
        <v>6204</v>
      </c>
      <c r="N70" s="725" t="s">
        <v>1185</v>
      </c>
      <c r="O70" s="4"/>
      <c r="Q70" s="4"/>
    </row>
    <row r="71" spans="1:17">
      <c r="A71" s="725" t="s">
        <v>6997</v>
      </c>
      <c r="B71" s="725" t="s">
        <v>3777</v>
      </c>
      <c r="C71" s="4" t="s">
        <v>16259</v>
      </c>
      <c r="D71" s="728">
        <v>0</v>
      </c>
      <c r="E71" s="728">
        <v>0</v>
      </c>
      <c r="F71" s="72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5096</v>
      </c>
      <c r="L71" s="48">
        <v>5057</v>
      </c>
      <c r="N71" s="725" t="s">
        <v>1185</v>
      </c>
      <c r="O71" s="4"/>
      <c r="Q71" s="4"/>
    </row>
    <row r="72" spans="1:17">
      <c r="A72" s="725" t="s">
        <v>6999</v>
      </c>
      <c r="B72" s="725" t="s">
        <v>3778</v>
      </c>
      <c r="C72" s="4" t="s">
        <v>16260</v>
      </c>
      <c r="D72" s="728">
        <v>0</v>
      </c>
      <c r="E72" s="728">
        <v>0</v>
      </c>
      <c r="F72" s="72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6227</v>
      </c>
      <c r="L72" s="48">
        <v>6259</v>
      </c>
      <c r="N72" s="725" t="s">
        <v>1185</v>
      </c>
      <c r="O72" s="4"/>
      <c r="Q72" s="4"/>
    </row>
    <row r="73" spans="1:17">
      <c r="A73" s="725" t="s">
        <v>7001</v>
      </c>
      <c r="B73" s="725" t="s">
        <v>16272</v>
      </c>
      <c r="C73" s="4" t="s">
        <v>16261</v>
      </c>
      <c r="D73" s="728">
        <v>0</v>
      </c>
      <c r="E73" s="728">
        <v>0</v>
      </c>
      <c r="F73" s="72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6288</v>
      </c>
      <c r="L73" s="48">
        <v>6363</v>
      </c>
      <c r="N73" s="725" t="s">
        <v>1185</v>
      </c>
      <c r="O73" s="4"/>
      <c r="Q73" s="4"/>
    </row>
    <row r="74" spans="1:17">
      <c r="A74" s="725" t="s">
        <v>7003</v>
      </c>
      <c r="B74" s="725" t="s">
        <v>16273</v>
      </c>
      <c r="C74" s="4" t="s">
        <v>16262</v>
      </c>
      <c r="D74" s="728">
        <v>0</v>
      </c>
      <c r="E74" s="728">
        <v>0</v>
      </c>
      <c r="F74" s="72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1215</v>
      </c>
      <c r="L74" s="48">
        <v>1241</v>
      </c>
      <c r="N74" s="725" t="s">
        <v>1185</v>
      </c>
      <c r="O74" s="4"/>
      <c r="Q74" s="4"/>
    </row>
    <row r="75" spans="1:17" ht="15.75" thickBot="1">
      <c r="A75" s="725"/>
      <c r="B75" s="725"/>
      <c r="C75" s="4" t="s">
        <v>16262</v>
      </c>
      <c r="D75" s="732">
        <v>0</v>
      </c>
      <c r="E75" s="732">
        <v>0</v>
      </c>
      <c r="F75" s="732">
        <v>0</v>
      </c>
      <c r="G75" s="159">
        <v>0</v>
      </c>
      <c r="H75" s="159">
        <v>0</v>
      </c>
      <c r="I75" s="159">
        <v>0</v>
      </c>
      <c r="J75" s="159">
        <v>0</v>
      </c>
      <c r="K75" s="159">
        <v>4295</v>
      </c>
      <c r="L75" s="159">
        <v>4320</v>
      </c>
      <c r="N75" s="725" t="s">
        <v>1192</v>
      </c>
      <c r="O75" s="4"/>
      <c r="Q75" s="4"/>
    </row>
    <row r="76" spans="1:17" ht="15.75" thickBot="1">
      <c r="A76" s="725"/>
      <c r="B76" s="725"/>
      <c r="C76" s="4" t="s">
        <v>16262</v>
      </c>
      <c r="D76" s="732">
        <f t="shared" ref="D76:L76" si="128">SUM(D74:D75)</f>
        <v>0</v>
      </c>
      <c r="E76" s="732">
        <f t="shared" si="128"/>
        <v>0</v>
      </c>
      <c r="F76" s="732">
        <f t="shared" si="128"/>
        <v>0</v>
      </c>
      <c r="G76" s="732">
        <f t="shared" si="128"/>
        <v>0</v>
      </c>
      <c r="H76" s="732">
        <f t="shared" si="128"/>
        <v>0</v>
      </c>
      <c r="I76" s="732">
        <f t="shared" si="128"/>
        <v>0</v>
      </c>
      <c r="J76" s="732">
        <f t="shared" si="128"/>
        <v>0</v>
      </c>
      <c r="K76" s="732">
        <f t="shared" si="128"/>
        <v>5510</v>
      </c>
      <c r="L76" s="732">
        <f t="shared" si="128"/>
        <v>5561</v>
      </c>
      <c r="N76" s="725"/>
      <c r="O76" s="4"/>
      <c r="Q76" s="4"/>
    </row>
    <row r="77" spans="1:17">
      <c r="A77" s="725" t="s">
        <v>7005</v>
      </c>
      <c r="B77" s="725" t="s">
        <v>16274</v>
      </c>
      <c r="C77" s="4" t="s">
        <v>16263</v>
      </c>
      <c r="D77" s="728">
        <v>0</v>
      </c>
      <c r="E77" s="728">
        <v>0</v>
      </c>
      <c r="F77" s="72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5990</v>
      </c>
      <c r="L77" s="48">
        <v>6148</v>
      </c>
      <c r="N77" s="725" t="s">
        <v>1185</v>
      </c>
      <c r="O77" s="4"/>
      <c r="Q77" s="4"/>
    </row>
    <row r="78" spans="1:17">
      <c r="A78" s="725" t="s">
        <v>7007</v>
      </c>
      <c r="B78" s="725" t="s">
        <v>3779</v>
      </c>
      <c r="C78" s="4" t="s">
        <v>16264</v>
      </c>
      <c r="D78" s="728">
        <v>0</v>
      </c>
      <c r="E78" s="728">
        <v>0</v>
      </c>
      <c r="F78" s="72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6190</v>
      </c>
      <c r="L78" s="48">
        <v>6251</v>
      </c>
      <c r="N78" s="725" t="s">
        <v>1185</v>
      </c>
      <c r="O78" s="4"/>
      <c r="Q78" s="4"/>
    </row>
    <row r="79" spans="1:17">
      <c r="A79" s="725" t="s">
        <v>7009</v>
      </c>
      <c r="B79" s="725" t="s">
        <v>2842</v>
      </c>
      <c r="C79" s="4" t="s">
        <v>16265</v>
      </c>
      <c r="D79" s="728">
        <v>0</v>
      </c>
      <c r="E79" s="728">
        <v>0</v>
      </c>
      <c r="F79" s="72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5348</v>
      </c>
      <c r="L79" s="48">
        <v>5378</v>
      </c>
      <c r="N79" s="725" t="s">
        <v>1185</v>
      </c>
      <c r="O79" s="4"/>
      <c r="Q79" s="4"/>
    </row>
    <row r="80" spans="1:17" ht="15.75" thickBot="1">
      <c r="A80" s="725"/>
      <c r="B80" s="725"/>
      <c r="C80" s="4" t="s">
        <v>16265</v>
      </c>
      <c r="D80" s="732">
        <v>0</v>
      </c>
      <c r="E80" s="732">
        <v>0</v>
      </c>
      <c r="F80" s="732">
        <v>0</v>
      </c>
      <c r="G80" s="159">
        <v>0</v>
      </c>
      <c r="H80" s="159">
        <v>0</v>
      </c>
      <c r="I80" s="159">
        <v>0</v>
      </c>
      <c r="J80" s="159">
        <v>0</v>
      </c>
      <c r="K80" s="159">
        <v>205</v>
      </c>
      <c r="L80" s="159">
        <v>207</v>
      </c>
      <c r="N80" s="725" t="s">
        <v>1192</v>
      </c>
      <c r="O80" s="4"/>
      <c r="Q80" s="4"/>
    </row>
    <row r="81" spans="1:17" ht="15.75" thickBot="1">
      <c r="A81" s="725"/>
      <c r="B81" s="725"/>
      <c r="C81" s="4" t="s">
        <v>16265</v>
      </c>
      <c r="D81" s="732">
        <f t="shared" ref="D81:L81" si="129">SUM(D79:D80)</f>
        <v>0</v>
      </c>
      <c r="E81" s="732">
        <f t="shared" si="129"/>
        <v>0</v>
      </c>
      <c r="F81" s="732">
        <f t="shared" si="129"/>
        <v>0</v>
      </c>
      <c r="G81" s="732">
        <f t="shared" si="129"/>
        <v>0</v>
      </c>
      <c r="H81" s="732">
        <f t="shared" si="129"/>
        <v>0</v>
      </c>
      <c r="I81" s="732">
        <f t="shared" si="129"/>
        <v>0</v>
      </c>
      <c r="J81" s="732">
        <f t="shared" si="129"/>
        <v>0</v>
      </c>
      <c r="K81" s="732">
        <f t="shared" si="129"/>
        <v>5553</v>
      </c>
      <c r="L81" s="732">
        <f t="shared" si="129"/>
        <v>5585</v>
      </c>
      <c r="N81" s="725"/>
      <c r="O81" s="4"/>
      <c r="Q81" s="4"/>
    </row>
    <row r="82" spans="1:17">
      <c r="A82" s="725" t="s">
        <v>7011</v>
      </c>
      <c r="B82" s="725" t="s">
        <v>2843</v>
      </c>
      <c r="C82" s="4" t="s">
        <v>16266</v>
      </c>
      <c r="D82" s="728">
        <v>0</v>
      </c>
      <c r="E82" s="728">
        <v>0</v>
      </c>
      <c r="F82" s="72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5557</v>
      </c>
      <c r="L82" s="48">
        <v>5621</v>
      </c>
      <c r="N82" s="725" t="s">
        <v>1185</v>
      </c>
      <c r="O82" s="4"/>
      <c r="Q82" s="4"/>
    </row>
    <row r="83" spans="1:17">
      <c r="A83" s="725" t="s">
        <v>7013</v>
      </c>
      <c r="B83" s="725" t="s">
        <v>2844</v>
      </c>
      <c r="C83" s="4" t="s">
        <v>16267</v>
      </c>
      <c r="D83" s="728">
        <v>0</v>
      </c>
      <c r="E83" s="728">
        <v>0</v>
      </c>
      <c r="F83" s="72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6288</v>
      </c>
      <c r="L83" s="48">
        <v>6311</v>
      </c>
      <c r="N83" s="725" t="s">
        <v>1185</v>
      </c>
      <c r="O83" s="4"/>
      <c r="Q83" s="4"/>
    </row>
    <row r="84" spans="1:17">
      <c r="A84" s="725" t="s">
        <v>7015</v>
      </c>
      <c r="B84" s="725" t="s">
        <v>16275</v>
      </c>
      <c r="C84" s="4" t="s">
        <v>16268</v>
      </c>
      <c r="D84" s="728">
        <v>14599</v>
      </c>
      <c r="E84" s="728">
        <v>15061</v>
      </c>
      <c r="F84" s="728">
        <v>15091</v>
      </c>
      <c r="G84" s="48">
        <v>15023</v>
      </c>
      <c r="H84" s="48">
        <v>14981</v>
      </c>
      <c r="I84" s="48">
        <v>14917</v>
      </c>
      <c r="J84" s="48">
        <v>15167</v>
      </c>
      <c r="K84" s="48">
        <v>5486</v>
      </c>
      <c r="L84" s="48">
        <v>5529</v>
      </c>
      <c r="N84" s="725" t="s">
        <v>1192</v>
      </c>
      <c r="O84" s="4"/>
      <c r="Q84" s="4"/>
    </row>
    <row r="85" spans="1:17">
      <c r="A85" s="725" t="s">
        <v>7017</v>
      </c>
      <c r="B85" s="725" t="s">
        <v>16276</v>
      </c>
      <c r="C85" s="4" t="s">
        <v>16269</v>
      </c>
      <c r="D85" s="728">
        <v>0</v>
      </c>
      <c r="E85" s="728">
        <v>0</v>
      </c>
      <c r="F85" s="72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648</v>
      </c>
      <c r="L85" s="48">
        <v>648</v>
      </c>
      <c r="N85" s="725" t="s">
        <v>1185</v>
      </c>
      <c r="O85" s="4"/>
      <c r="Q85" s="4"/>
    </row>
    <row r="86" spans="1:17" ht="15.75" thickBot="1">
      <c r="A86" s="725"/>
      <c r="B86" s="725"/>
      <c r="C86" s="4" t="s">
        <v>16269</v>
      </c>
      <c r="D86" s="732">
        <v>0</v>
      </c>
      <c r="E86" s="732">
        <v>0</v>
      </c>
      <c r="F86" s="732">
        <v>0</v>
      </c>
      <c r="G86" s="159">
        <v>0</v>
      </c>
      <c r="H86" s="159">
        <v>0</v>
      </c>
      <c r="I86" s="159">
        <v>0</v>
      </c>
      <c r="J86" s="159">
        <v>0</v>
      </c>
      <c r="K86" s="159">
        <v>5141</v>
      </c>
      <c r="L86" s="159">
        <v>5281</v>
      </c>
      <c r="N86" s="725" t="s">
        <v>1192</v>
      </c>
      <c r="O86" s="4"/>
      <c r="Q86" s="4"/>
    </row>
    <row r="87" spans="1:17" ht="15.75" thickBot="1">
      <c r="A87" s="725"/>
      <c r="B87" s="725"/>
      <c r="C87" s="4" t="s">
        <v>16269</v>
      </c>
      <c r="D87" s="732">
        <f t="shared" ref="D87:K87" si="130">SUM(D85:D86)</f>
        <v>0</v>
      </c>
      <c r="E87" s="732">
        <f t="shared" si="130"/>
        <v>0</v>
      </c>
      <c r="F87" s="732">
        <f t="shared" si="130"/>
        <v>0</v>
      </c>
      <c r="G87" s="732">
        <f t="shared" si="130"/>
        <v>0</v>
      </c>
      <c r="H87" s="732">
        <f t="shared" si="130"/>
        <v>0</v>
      </c>
      <c r="I87" s="732">
        <f t="shared" si="130"/>
        <v>0</v>
      </c>
      <c r="J87" s="732">
        <f t="shared" si="130"/>
        <v>0</v>
      </c>
      <c r="K87" s="732">
        <f t="shared" si="130"/>
        <v>5789</v>
      </c>
      <c r="L87" s="732">
        <f t="shared" ref="L87" si="131">SUM(L85:L86)</f>
        <v>5929</v>
      </c>
      <c r="N87" s="725"/>
      <c r="O87" s="4"/>
      <c r="Q87" s="4"/>
    </row>
    <row r="88" spans="1:17">
      <c r="A88" s="725"/>
      <c r="B88" s="725"/>
      <c r="C88" s="4"/>
      <c r="D88" s="728"/>
      <c r="E88" s="728"/>
      <c r="F88" s="728"/>
      <c r="G88" s="48"/>
      <c r="H88" s="48"/>
      <c r="I88" s="48"/>
      <c r="J88" s="48"/>
      <c r="K88" s="48"/>
      <c r="L88" s="48"/>
      <c r="N88" s="725"/>
      <c r="O88" s="4"/>
      <c r="Q88" s="4"/>
    </row>
    <row r="89" spans="1:17">
      <c r="A89" s="725" t="s">
        <v>1185</v>
      </c>
      <c r="D89" s="728">
        <f>SUM(D66:D74)+SUM(D77:D79)+D82+D83+D85</f>
        <v>75716</v>
      </c>
      <c r="E89" s="728">
        <f t="shared" ref="E89:K89" si="132">SUM(E66:E74)+SUM(E77:E79)+E82+E83+E85</f>
        <v>76962</v>
      </c>
      <c r="F89" s="728">
        <f t="shared" si="132"/>
        <v>77537</v>
      </c>
      <c r="G89" s="728">
        <f t="shared" si="132"/>
        <v>77681</v>
      </c>
      <c r="H89" s="728">
        <f t="shared" si="132"/>
        <v>78131</v>
      </c>
      <c r="I89" s="728">
        <f t="shared" si="132"/>
        <v>78216</v>
      </c>
      <c r="J89" s="728">
        <f t="shared" si="132"/>
        <v>78545</v>
      </c>
      <c r="K89" s="728">
        <f t="shared" si="132"/>
        <v>78303</v>
      </c>
      <c r="L89" s="728">
        <f t="shared" ref="L89" si="133">SUM(L66:L74)+SUM(L77:L79)+L82+L83+L85</f>
        <v>79010</v>
      </c>
      <c r="O89" s="4"/>
      <c r="Q89" s="4"/>
    </row>
    <row r="90" spans="1:17">
      <c r="A90" s="725" t="s">
        <v>2845</v>
      </c>
      <c r="D90" s="728">
        <f>D75+D80+D84+D86</f>
        <v>14599</v>
      </c>
      <c r="E90" s="728">
        <f t="shared" ref="E90:K90" si="134">E75+E80+E84+E86</f>
        <v>15061</v>
      </c>
      <c r="F90" s="728">
        <f t="shared" si="134"/>
        <v>15091</v>
      </c>
      <c r="G90" s="728">
        <f t="shared" si="134"/>
        <v>15023</v>
      </c>
      <c r="H90" s="728">
        <f t="shared" si="134"/>
        <v>14981</v>
      </c>
      <c r="I90" s="728">
        <f t="shared" si="134"/>
        <v>14917</v>
      </c>
      <c r="J90" s="728">
        <f t="shared" si="134"/>
        <v>15167</v>
      </c>
      <c r="K90" s="728">
        <f t="shared" si="134"/>
        <v>15127</v>
      </c>
      <c r="L90" s="728">
        <f t="shared" ref="L90" si="135">L75+L80+L84+L86</f>
        <v>15337</v>
      </c>
      <c r="O90" s="4"/>
      <c r="Q90" s="4"/>
    </row>
    <row r="92" spans="1:17">
      <c r="A92" s="725" t="s">
        <v>16277</v>
      </c>
    </row>
    <row r="93" spans="1:17">
      <c r="A93" s="725"/>
    </row>
    <row r="94" spans="1:17">
      <c r="A94" s="725"/>
    </row>
    <row r="95" spans="1:17">
      <c r="E95" s="42" t="s">
        <v>2303</v>
      </c>
      <c r="F95" s="42"/>
      <c r="G95" s="42"/>
      <c r="H95" s="42"/>
      <c r="I95" s="42"/>
      <c r="J95" s="42"/>
      <c r="K95" s="42"/>
      <c r="L95" s="42"/>
      <c r="M95" s="109"/>
      <c r="N95" s="109" t="s">
        <v>13319</v>
      </c>
    </row>
    <row r="96" spans="1:17">
      <c r="D96" s="727">
        <v>2010</v>
      </c>
      <c r="E96" s="727">
        <v>2011</v>
      </c>
      <c r="F96" s="727">
        <v>2012</v>
      </c>
      <c r="G96" s="727">
        <v>2013</v>
      </c>
      <c r="H96" s="727">
        <v>2014</v>
      </c>
      <c r="I96" s="727">
        <v>2015</v>
      </c>
      <c r="J96" s="727">
        <v>2016</v>
      </c>
      <c r="K96" s="727">
        <v>2017</v>
      </c>
      <c r="L96" s="727">
        <v>2018</v>
      </c>
      <c r="N96" s="112" t="s">
        <v>2304</v>
      </c>
    </row>
    <row r="97" spans="1:17">
      <c r="A97" s="725" t="s">
        <v>2846</v>
      </c>
      <c r="D97" s="728">
        <f t="shared" ref="D97:I97" si="136">SUM(D98:D107)+SUM(D108:D110)</f>
        <v>53928</v>
      </c>
      <c r="E97" s="728">
        <f t="shared" si="136"/>
        <v>54598</v>
      </c>
      <c r="F97" s="728">
        <f t="shared" si="136"/>
        <v>54941</v>
      </c>
      <c r="G97" s="728">
        <f t="shared" si="136"/>
        <v>55132</v>
      </c>
      <c r="H97" s="728">
        <f t="shared" si="136"/>
        <v>55744</v>
      </c>
      <c r="I97" s="728">
        <f t="shared" si="136"/>
        <v>54392</v>
      </c>
      <c r="J97" s="728">
        <f t="shared" ref="J97:K97" si="137">SUM(J98:J107)+SUM(J108:J110)</f>
        <v>54801</v>
      </c>
      <c r="K97" s="728">
        <f t="shared" si="137"/>
        <v>55898</v>
      </c>
      <c r="L97" s="728">
        <f t="shared" ref="L97" si="138">SUM(L98:L107)+SUM(L108:L110)</f>
        <v>56141</v>
      </c>
    </row>
    <row r="98" spans="1:17">
      <c r="A98" s="725" t="s">
        <v>6957</v>
      </c>
      <c r="B98" s="725" t="s">
        <v>2847</v>
      </c>
      <c r="C98" s="4" t="s">
        <v>11028</v>
      </c>
      <c r="D98" s="728">
        <v>2890</v>
      </c>
      <c r="E98" s="728">
        <v>2914</v>
      </c>
      <c r="F98" s="728">
        <v>2990</v>
      </c>
      <c r="G98" s="30">
        <v>3003</v>
      </c>
      <c r="H98" s="30">
        <v>3015</v>
      </c>
      <c r="I98" s="30">
        <v>2946</v>
      </c>
      <c r="J98" s="30">
        <v>2959</v>
      </c>
      <c r="K98" s="30">
        <v>3043</v>
      </c>
      <c r="L98" s="30">
        <v>3017</v>
      </c>
      <c r="N98" s="725" t="s">
        <v>1183</v>
      </c>
    </row>
    <row r="99" spans="1:17">
      <c r="A99" s="725" t="s">
        <v>6959</v>
      </c>
      <c r="B99" s="725" t="s">
        <v>2177</v>
      </c>
      <c r="C99" s="4" t="s">
        <v>11029</v>
      </c>
      <c r="D99" s="728">
        <v>4157</v>
      </c>
      <c r="E99" s="728">
        <v>4205</v>
      </c>
      <c r="F99" s="728">
        <v>4237</v>
      </c>
      <c r="G99" s="30">
        <v>4272</v>
      </c>
      <c r="H99" s="30">
        <v>4266</v>
      </c>
      <c r="I99" s="30">
        <v>4130</v>
      </c>
      <c r="J99" s="30">
        <v>4162</v>
      </c>
      <c r="K99" s="30">
        <v>4206</v>
      </c>
      <c r="L99" s="30">
        <v>4175</v>
      </c>
      <c r="N99" s="725" t="s">
        <v>1183</v>
      </c>
    </row>
    <row r="100" spans="1:17">
      <c r="A100" s="725" t="s">
        <v>6961</v>
      </c>
      <c r="B100" s="725" t="s">
        <v>1096</v>
      </c>
      <c r="C100" s="4" t="s">
        <v>11030</v>
      </c>
      <c r="D100" s="728">
        <v>4062</v>
      </c>
      <c r="E100" s="728">
        <v>4185</v>
      </c>
      <c r="F100" s="728">
        <v>4487</v>
      </c>
      <c r="G100" s="30">
        <v>4692</v>
      </c>
      <c r="H100" s="30">
        <v>4693</v>
      </c>
      <c r="I100" s="30">
        <v>4565</v>
      </c>
      <c r="J100" s="30">
        <v>4567</v>
      </c>
      <c r="K100" s="30">
        <v>4632</v>
      </c>
      <c r="L100" s="30">
        <v>4595</v>
      </c>
      <c r="N100" s="725" t="s">
        <v>1183</v>
      </c>
      <c r="O100" s="4"/>
      <c r="Q100" s="4"/>
    </row>
    <row r="101" spans="1:17">
      <c r="A101" s="725" t="s">
        <v>6963</v>
      </c>
      <c r="B101" s="725" t="s">
        <v>1097</v>
      </c>
      <c r="C101" s="4" t="s">
        <v>11031</v>
      </c>
      <c r="D101" s="728">
        <v>4470</v>
      </c>
      <c r="E101" s="728">
        <v>4513</v>
      </c>
      <c r="F101" s="728">
        <v>4497</v>
      </c>
      <c r="G101" s="30">
        <v>4486</v>
      </c>
      <c r="H101" s="30">
        <v>4458</v>
      </c>
      <c r="I101" s="30">
        <v>4354</v>
      </c>
      <c r="J101" s="30">
        <v>4365</v>
      </c>
      <c r="K101" s="30">
        <v>4390</v>
      </c>
      <c r="L101" s="30">
        <v>4401</v>
      </c>
      <c r="N101" s="725" t="s">
        <v>1183</v>
      </c>
      <c r="O101" s="4"/>
      <c r="Q101" s="4"/>
    </row>
    <row r="102" spans="1:17">
      <c r="A102" s="725" t="s">
        <v>6965</v>
      </c>
      <c r="B102" s="725" t="s">
        <v>1098</v>
      </c>
      <c r="C102" s="4" t="s">
        <v>11032</v>
      </c>
      <c r="D102" s="728">
        <v>4148</v>
      </c>
      <c r="E102" s="728">
        <v>4178</v>
      </c>
      <c r="F102" s="728">
        <v>4273</v>
      </c>
      <c r="G102" s="30">
        <v>4260</v>
      </c>
      <c r="H102" s="30">
        <v>4290</v>
      </c>
      <c r="I102" s="30">
        <v>4114</v>
      </c>
      <c r="J102" s="30">
        <v>4122</v>
      </c>
      <c r="K102" s="30">
        <v>4175</v>
      </c>
      <c r="L102" s="30">
        <v>4237</v>
      </c>
      <c r="N102" s="725" t="s">
        <v>1183</v>
      </c>
      <c r="O102" s="4"/>
      <c r="Q102" s="4"/>
    </row>
    <row r="103" spans="1:17">
      <c r="A103" s="725" t="s">
        <v>6997</v>
      </c>
      <c r="B103" s="725" t="s">
        <v>1099</v>
      </c>
      <c r="C103" s="4" t="s">
        <v>11033</v>
      </c>
      <c r="D103" s="728">
        <v>4198</v>
      </c>
      <c r="E103" s="728">
        <v>4216</v>
      </c>
      <c r="F103" s="728">
        <v>4220</v>
      </c>
      <c r="G103" s="30">
        <v>4215</v>
      </c>
      <c r="H103" s="30">
        <v>4324</v>
      </c>
      <c r="I103" s="30">
        <v>4200</v>
      </c>
      <c r="J103" s="30">
        <v>4201</v>
      </c>
      <c r="K103" s="30">
        <v>4226</v>
      </c>
      <c r="L103" s="30">
        <v>4242</v>
      </c>
      <c r="N103" s="725" t="s">
        <v>1183</v>
      </c>
      <c r="O103" s="4"/>
      <c r="Q103" s="4"/>
    </row>
    <row r="104" spans="1:17">
      <c r="A104" s="725" t="s">
        <v>6999</v>
      </c>
      <c r="B104" s="725" t="s">
        <v>2832</v>
      </c>
      <c r="C104" s="4" t="s">
        <v>11034</v>
      </c>
      <c r="D104" s="728">
        <v>4299</v>
      </c>
      <c r="E104" s="728">
        <v>4319</v>
      </c>
      <c r="F104" s="728">
        <v>4308</v>
      </c>
      <c r="G104" s="30">
        <v>4316</v>
      </c>
      <c r="H104" s="30">
        <v>4351</v>
      </c>
      <c r="I104" s="30">
        <v>4315</v>
      </c>
      <c r="J104" s="30">
        <v>4302</v>
      </c>
      <c r="K104" s="30">
        <v>4349</v>
      </c>
      <c r="L104" s="30">
        <v>4478</v>
      </c>
      <c r="N104" s="725" t="s">
        <v>1183</v>
      </c>
      <c r="O104" s="4"/>
      <c r="Q104" s="4"/>
    </row>
    <row r="105" spans="1:17">
      <c r="A105" s="725" t="s">
        <v>7001</v>
      </c>
      <c r="B105" s="725" t="s">
        <v>4698</v>
      </c>
      <c r="C105" s="4" t="s">
        <v>11035</v>
      </c>
      <c r="D105" s="728">
        <v>4371</v>
      </c>
      <c r="E105" s="728">
        <v>4406</v>
      </c>
      <c r="F105" s="728">
        <v>4384</v>
      </c>
      <c r="G105" s="30">
        <v>4387</v>
      </c>
      <c r="H105" s="30">
        <v>4343</v>
      </c>
      <c r="I105" s="30">
        <v>4250</v>
      </c>
      <c r="J105" s="30">
        <v>4301</v>
      </c>
      <c r="K105" s="30">
        <v>4421</v>
      </c>
      <c r="L105" s="30">
        <v>4340</v>
      </c>
      <c r="N105" s="725" t="s">
        <v>1183</v>
      </c>
      <c r="O105" s="4"/>
      <c r="Q105" s="4"/>
    </row>
    <row r="106" spans="1:17">
      <c r="A106" s="725" t="s">
        <v>7003</v>
      </c>
      <c r="B106" s="725" t="s">
        <v>4699</v>
      </c>
      <c r="C106" s="4" t="s">
        <v>11036</v>
      </c>
      <c r="D106" s="728">
        <v>4359</v>
      </c>
      <c r="E106" s="728">
        <v>4353</v>
      </c>
      <c r="F106" s="728">
        <v>4388</v>
      </c>
      <c r="G106" s="30">
        <v>4421</v>
      </c>
      <c r="H106" s="30">
        <v>4822</v>
      </c>
      <c r="I106" s="30">
        <v>4817</v>
      </c>
      <c r="J106" s="30">
        <v>4944</v>
      </c>
      <c r="K106" s="30">
        <v>5157</v>
      </c>
      <c r="L106" s="30">
        <v>5216</v>
      </c>
      <c r="N106" s="725" t="s">
        <v>1183</v>
      </c>
      <c r="O106" s="4"/>
      <c r="Q106" s="4"/>
    </row>
    <row r="107" spans="1:17">
      <c r="A107" s="725" t="s">
        <v>7005</v>
      </c>
      <c r="B107" s="725" t="s">
        <v>6742</v>
      </c>
      <c r="C107" s="4" t="s">
        <v>11037</v>
      </c>
      <c r="D107" s="728">
        <v>3722</v>
      </c>
      <c r="E107" s="728">
        <v>3710</v>
      </c>
      <c r="F107" s="728">
        <v>3657</v>
      </c>
      <c r="G107" s="30">
        <v>3701</v>
      </c>
      <c r="H107" s="30">
        <v>3641</v>
      </c>
      <c r="I107" s="30">
        <v>3566</v>
      </c>
      <c r="J107" s="30">
        <v>3603</v>
      </c>
      <c r="K107" s="30">
        <v>3657</v>
      </c>
      <c r="L107" s="30">
        <v>3622</v>
      </c>
      <c r="N107" s="725" t="s">
        <v>1183</v>
      </c>
      <c r="O107" s="4"/>
      <c r="Q107" s="4"/>
    </row>
    <row r="108" spans="1:17">
      <c r="A108" s="725" t="s">
        <v>7007</v>
      </c>
      <c r="B108" s="725" t="s">
        <v>4381</v>
      </c>
      <c r="C108" s="4" t="s">
        <v>11038</v>
      </c>
      <c r="D108" s="728">
        <v>4569</v>
      </c>
      <c r="E108" s="728">
        <v>4732</v>
      </c>
      <c r="F108" s="728">
        <v>4642</v>
      </c>
      <c r="G108" s="30">
        <v>4418</v>
      </c>
      <c r="H108" s="30">
        <v>4518</v>
      </c>
      <c r="I108" s="30">
        <v>4328</v>
      </c>
      <c r="J108" s="30">
        <v>4468</v>
      </c>
      <c r="K108" s="30">
        <v>4705</v>
      </c>
      <c r="L108" s="30">
        <v>4850</v>
      </c>
      <c r="N108" s="725" t="s">
        <v>1183</v>
      </c>
      <c r="O108" s="4"/>
      <c r="Q108" s="4"/>
    </row>
    <row r="109" spans="1:17">
      <c r="A109" s="725" t="s">
        <v>7009</v>
      </c>
      <c r="B109" s="725" t="s">
        <v>4700</v>
      </c>
      <c r="C109" s="4" t="s">
        <v>11039</v>
      </c>
      <c r="D109" s="728">
        <v>4585</v>
      </c>
      <c r="E109" s="728">
        <v>4618</v>
      </c>
      <c r="F109" s="728">
        <v>4629</v>
      </c>
      <c r="G109" s="30">
        <v>4622</v>
      </c>
      <c r="H109" s="30">
        <v>4638</v>
      </c>
      <c r="I109" s="30">
        <v>4520</v>
      </c>
      <c r="J109" s="30">
        <v>4544</v>
      </c>
      <c r="K109" s="30">
        <v>4599</v>
      </c>
      <c r="L109" s="30">
        <v>4613</v>
      </c>
      <c r="N109" s="725" t="s">
        <v>1183</v>
      </c>
      <c r="O109" s="4"/>
      <c r="Q109" s="4"/>
    </row>
    <row r="110" spans="1:17">
      <c r="A110" s="725" t="s">
        <v>7011</v>
      </c>
      <c r="B110" s="725" t="s">
        <v>4977</v>
      </c>
      <c r="C110" s="4" t="s">
        <v>11040</v>
      </c>
      <c r="D110" s="728">
        <v>4098</v>
      </c>
      <c r="E110" s="728">
        <v>4249</v>
      </c>
      <c r="F110" s="728">
        <v>4229</v>
      </c>
      <c r="G110" s="30">
        <v>4339</v>
      </c>
      <c r="H110" s="30">
        <v>4385</v>
      </c>
      <c r="I110" s="30">
        <v>4287</v>
      </c>
      <c r="J110" s="30">
        <v>4263</v>
      </c>
      <c r="K110" s="30">
        <v>4338</v>
      </c>
      <c r="L110" s="30">
        <v>4355</v>
      </c>
      <c r="N110" s="725" t="s">
        <v>1183</v>
      </c>
      <c r="O110" s="4"/>
      <c r="Q110" s="4"/>
    </row>
    <row r="111" spans="1:17">
      <c r="D111" s="729"/>
      <c r="E111" s="729"/>
      <c r="F111" s="729"/>
      <c r="G111" s="729"/>
      <c r="H111" s="729"/>
      <c r="I111" s="729"/>
      <c r="J111" s="729"/>
      <c r="K111" s="729"/>
      <c r="L111" s="729"/>
      <c r="O111" s="4"/>
      <c r="Q111" s="4"/>
    </row>
    <row r="112" spans="1:17">
      <c r="A112" s="725" t="s">
        <v>4701</v>
      </c>
      <c r="D112" s="728">
        <f t="shared" ref="D112:I112" si="139">SUM(D98:D107)+SUM(D108:D110)</f>
        <v>53928</v>
      </c>
      <c r="E112" s="728">
        <f t="shared" si="139"/>
        <v>54598</v>
      </c>
      <c r="F112" s="728">
        <f t="shared" si="139"/>
        <v>54941</v>
      </c>
      <c r="G112" s="728">
        <f t="shared" si="139"/>
        <v>55132</v>
      </c>
      <c r="H112" s="728">
        <f t="shared" si="139"/>
        <v>55744</v>
      </c>
      <c r="I112" s="728">
        <f t="shared" si="139"/>
        <v>54392</v>
      </c>
      <c r="J112" s="728">
        <f t="shared" ref="J112:K112" si="140">SUM(J98:J107)+SUM(J108:J110)</f>
        <v>54801</v>
      </c>
      <c r="K112" s="728">
        <f t="shared" si="140"/>
        <v>55898</v>
      </c>
      <c r="L112" s="728">
        <f t="shared" ref="L112" si="141">SUM(L98:L107)+SUM(L108:L110)</f>
        <v>56141</v>
      </c>
      <c r="O112" s="4"/>
      <c r="Q112" s="4"/>
    </row>
    <row r="114" spans="1:17">
      <c r="A114" s="725" t="s">
        <v>4702</v>
      </c>
    </row>
    <row r="115" spans="1:17">
      <c r="A115" s="725"/>
    </row>
    <row r="116" spans="1:17">
      <c r="A116" s="725"/>
    </row>
    <row r="117" spans="1:17">
      <c r="E117" s="42" t="s">
        <v>2303</v>
      </c>
      <c r="F117" s="42"/>
      <c r="G117" s="42"/>
      <c r="H117" s="42"/>
      <c r="I117" s="42"/>
      <c r="J117" s="42"/>
      <c r="K117" s="42"/>
      <c r="L117" s="42"/>
      <c r="M117" s="109"/>
      <c r="N117" s="109" t="s">
        <v>13319</v>
      </c>
    </row>
    <row r="118" spans="1:17">
      <c r="D118" s="727">
        <v>2010</v>
      </c>
      <c r="E118" s="727">
        <v>2011</v>
      </c>
      <c r="F118" s="727">
        <v>2012</v>
      </c>
      <c r="G118" s="727">
        <v>2013</v>
      </c>
      <c r="H118" s="727">
        <v>2014</v>
      </c>
      <c r="I118" s="727">
        <v>2015</v>
      </c>
      <c r="J118" s="727">
        <v>2016</v>
      </c>
      <c r="K118" s="727">
        <v>2017</v>
      </c>
      <c r="L118" s="727">
        <v>2018</v>
      </c>
      <c r="N118" s="112" t="s">
        <v>2304</v>
      </c>
    </row>
    <row r="119" spans="1:17">
      <c r="A119" s="725" t="s">
        <v>4703</v>
      </c>
      <c r="D119" s="728">
        <f t="shared" ref="D119:I119" si="142">SUM(D120:D141)</f>
        <v>99998</v>
      </c>
      <c r="E119" s="728">
        <f t="shared" si="142"/>
        <v>101014</v>
      </c>
      <c r="F119" s="728">
        <f t="shared" si="142"/>
        <v>101584</v>
      </c>
      <c r="G119" s="728">
        <f t="shared" si="142"/>
        <v>101190</v>
      </c>
      <c r="H119" s="728">
        <f t="shared" si="142"/>
        <v>101541</v>
      </c>
      <c r="I119" s="728">
        <f t="shared" si="142"/>
        <v>96215</v>
      </c>
      <c r="J119" s="728">
        <f t="shared" ref="J119:K119" si="143">SUM(J120:J141)</f>
        <v>98505</v>
      </c>
      <c r="K119" s="728">
        <f t="shared" si="143"/>
        <v>99304</v>
      </c>
      <c r="L119" s="728">
        <f t="shared" ref="L119" si="144">SUM(L120:L141)</f>
        <v>96712</v>
      </c>
    </row>
    <row r="120" spans="1:17">
      <c r="A120" s="725" t="s">
        <v>6957</v>
      </c>
      <c r="B120" s="725" t="s">
        <v>4704</v>
      </c>
      <c r="C120" s="4" t="s">
        <v>11041</v>
      </c>
      <c r="D120" s="728">
        <v>5997</v>
      </c>
      <c r="E120" s="728">
        <v>5988</v>
      </c>
      <c r="F120" s="728">
        <v>5990</v>
      </c>
      <c r="G120" s="48">
        <v>6013</v>
      </c>
      <c r="H120" s="48">
        <v>6093</v>
      </c>
      <c r="I120" s="48">
        <v>6002</v>
      </c>
      <c r="J120" s="48">
        <v>5958</v>
      </c>
      <c r="K120" s="48">
        <v>6222</v>
      </c>
      <c r="L120" s="48">
        <v>6081</v>
      </c>
      <c r="N120" s="725" t="s">
        <v>1195</v>
      </c>
      <c r="O120" s="4"/>
      <c r="Q120" s="4"/>
    </row>
    <row r="121" spans="1:17">
      <c r="A121" s="725" t="s">
        <v>6959</v>
      </c>
      <c r="B121" s="725" t="s">
        <v>4705</v>
      </c>
      <c r="C121" s="4" t="s">
        <v>11042</v>
      </c>
      <c r="D121" s="728">
        <v>4238</v>
      </c>
      <c r="E121" s="728">
        <v>4169</v>
      </c>
      <c r="F121" s="728">
        <v>4172</v>
      </c>
      <c r="G121" s="48">
        <v>4120</v>
      </c>
      <c r="H121" s="48">
        <v>4272</v>
      </c>
      <c r="I121" s="48">
        <v>4202</v>
      </c>
      <c r="J121" s="48">
        <v>4276</v>
      </c>
      <c r="K121" s="48">
        <v>4386</v>
      </c>
      <c r="L121" s="48">
        <v>4324</v>
      </c>
      <c r="N121" s="725" t="s">
        <v>1195</v>
      </c>
      <c r="O121" s="4"/>
      <c r="Q121" s="4"/>
    </row>
    <row r="122" spans="1:17">
      <c r="A122" s="725" t="s">
        <v>6961</v>
      </c>
      <c r="B122" s="725" t="s">
        <v>4706</v>
      </c>
      <c r="C122" s="4" t="s">
        <v>11043</v>
      </c>
      <c r="D122" s="728">
        <v>4662</v>
      </c>
      <c r="E122" s="728">
        <v>4731</v>
      </c>
      <c r="F122" s="728">
        <v>4766</v>
      </c>
      <c r="G122" s="48">
        <v>4717</v>
      </c>
      <c r="H122" s="48">
        <v>4718</v>
      </c>
      <c r="I122" s="48">
        <v>4638</v>
      </c>
      <c r="J122" s="48">
        <v>4717</v>
      </c>
      <c r="K122" s="48">
        <v>4636</v>
      </c>
      <c r="L122" s="48">
        <v>4551</v>
      </c>
      <c r="N122" s="725" t="s">
        <v>1195</v>
      </c>
      <c r="O122" s="4"/>
      <c r="Q122" s="4"/>
    </row>
    <row r="123" spans="1:17">
      <c r="A123" s="725" t="s">
        <v>6963</v>
      </c>
      <c r="B123" s="725" t="s">
        <v>4707</v>
      </c>
      <c r="C123" s="4" t="s">
        <v>11044</v>
      </c>
      <c r="D123" s="728">
        <v>4035</v>
      </c>
      <c r="E123" s="728">
        <v>4086</v>
      </c>
      <c r="F123" s="728">
        <v>4123</v>
      </c>
      <c r="G123" s="48">
        <v>4165</v>
      </c>
      <c r="H123" s="48">
        <v>4156</v>
      </c>
      <c r="I123" s="48">
        <v>4113</v>
      </c>
      <c r="J123" s="48">
        <v>4097</v>
      </c>
      <c r="K123" s="48">
        <v>4203</v>
      </c>
      <c r="L123" s="48">
        <v>4066</v>
      </c>
      <c r="N123" s="725" t="s">
        <v>1187</v>
      </c>
    </row>
    <row r="124" spans="1:17">
      <c r="A124" s="725" t="s">
        <v>6965</v>
      </c>
      <c r="B124" s="725" t="s">
        <v>5003</v>
      </c>
      <c r="C124" s="4" t="s">
        <v>11045</v>
      </c>
      <c r="D124" s="728">
        <v>3824</v>
      </c>
      <c r="E124" s="728">
        <v>3869</v>
      </c>
      <c r="F124" s="728">
        <v>3970</v>
      </c>
      <c r="G124" s="48">
        <v>4072</v>
      </c>
      <c r="H124" s="48">
        <v>4078</v>
      </c>
      <c r="I124" s="48">
        <v>3981</v>
      </c>
      <c r="J124" s="48">
        <v>4012</v>
      </c>
      <c r="K124" s="48">
        <v>4148</v>
      </c>
      <c r="L124" s="48">
        <v>4008</v>
      </c>
      <c r="N124" s="725" t="s">
        <v>1187</v>
      </c>
    </row>
    <row r="125" spans="1:17">
      <c r="A125" s="725" t="s">
        <v>6997</v>
      </c>
      <c r="B125" s="725" t="s">
        <v>4708</v>
      </c>
      <c r="C125" s="4" t="s">
        <v>11046</v>
      </c>
      <c r="D125" s="728">
        <v>6705</v>
      </c>
      <c r="E125" s="728">
        <v>6737</v>
      </c>
      <c r="F125" s="728">
        <v>6807</v>
      </c>
      <c r="G125" s="48">
        <v>6879</v>
      </c>
      <c r="H125" s="48">
        <v>6845</v>
      </c>
      <c r="I125" s="48">
        <v>6801</v>
      </c>
      <c r="J125" s="48">
        <v>6886</v>
      </c>
      <c r="K125" s="48">
        <v>7005</v>
      </c>
      <c r="L125" s="48">
        <v>6845</v>
      </c>
      <c r="N125" s="725" t="s">
        <v>1190</v>
      </c>
      <c r="O125" s="4"/>
      <c r="Q125" s="4"/>
    </row>
    <row r="126" spans="1:17">
      <c r="A126" s="725" t="s">
        <v>6999</v>
      </c>
      <c r="B126" s="725" t="s">
        <v>4709</v>
      </c>
      <c r="C126" s="4" t="s">
        <v>11047</v>
      </c>
      <c r="D126" s="728">
        <v>2048</v>
      </c>
      <c r="E126" s="728">
        <v>2036</v>
      </c>
      <c r="F126" s="728">
        <v>2056</v>
      </c>
      <c r="G126" s="48">
        <v>2061</v>
      </c>
      <c r="H126" s="48">
        <v>2069</v>
      </c>
      <c r="I126" s="48">
        <v>2036</v>
      </c>
      <c r="J126" s="48">
        <v>2089</v>
      </c>
      <c r="K126" s="48">
        <v>2094</v>
      </c>
      <c r="L126" s="48">
        <v>2054</v>
      </c>
      <c r="N126" s="725" t="s">
        <v>1190</v>
      </c>
      <c r="O126" s="4"/>
      <c r="Q126" s="4"/>
    </row>
    <row r="127" spans="1:17">
      <c r="A127" s="725" t="s">
        <v>7001</v>
      </c>
      <c r="B127" s="725" t="s">
        <v>4710</v>
      </c>
      <c r="C127" s="4" t="s">
        <v>11048</v>
      </c>
      <c r="D127" s="728">
        <v>6493</v>
      </c>
      <c r="E127" s="728">
        <v>6521</v>
      </c>
      <c r="F127" s="728">
        <v>6604</v>
      </c>
      <c r="G127" s="48">
        <v>6555</v>
      </c>
      <c r="H127" s="48">
        <v>6340</v>
      </c>
      <c r="I127" s="48">
        <v>5902</v>
      </c>
      <c r="J127" s="48">
        <v>5727</v>
      </c>
      <c r="K127" s="48">
        <v>6122</v>
      </c>
      <c r="L127" s="48">
        <v>5897</v>
      </c>
      <c r="N127" s="725" t="s">
        <v>1187</v>
      </c>
      <c r="O127" s="4"/>
      <c r="Q127" s="4"/>
    </row>
    <row r="128" spans="1:17">
      <c r="A128" s="725" t="s">
        <v>7003</v>
      </c>
      <c r="B128" s="725" t="s">
        <v>4711</v>
      </c>
      <c r="C128" s="4" t="s">
        <v>11049</v>
      </c>
      <c r="D128" s="728">
        <v>5536</v>
      </c>
      <c r="E128" s="728">
        <v>5589</v>
      </c>
      <c r="F128" s="728">
        <v>5581</v>
      </c>
      <c r="G128" s="48">
        <v>5635</v>
      </c>
      <c r="H128" s="48">
        <v>5564</v>
      </c>
      <c r="I128" s="48">
        <v>5397</v>
      </c>
      <c r="J128" s="48">
        <v>5480</v>
      </c>
      <c r="K128" s="48">
        <v>5640</v>
      </c>
      <c r="L128" s="48">
        <v>5383</v>
      </c>
      <c r="N128" s="725" t="s">
        <v>1187</v>
      </c>
      <c r="O128" s="4"/>
      <c r="Q128" s="4"/>
    </row>
    <row r="129" spans="1:17">
      <c r="A129" s="725" t="s">
        <v>7005</v>
      </c>
      <c r="B129" s="725" t="s">
        <v>4712</v>
      </c>
      <c r="C129" s="4" t="s">
        <v>11050</v>
      </c>
      <c r="D129" s="728">
        <v>1806</v>
      </c>
      <c r="E129" s="728">
        <v>1799</v>
      </c>
      <c r="F129" s="728">
        <v>1791</v>
      </c>
      <c r="G129" s="48">
        <v>1770</v>
      </c>
      <c r="H129" s="48">
        <v>1816</v>
      </c>
      <c r="I129" s="48">
        <v>1790</v>
      </c>
      <c r="J129" s="48">
        <v>1884</v>
      </c>
      <c r="K129" s="48">
        <v>1962</v>
      </c>
      <c r="L129" s="48">
        <v>1897</v>
      </c>
      <c r="N129" s="725" t="s">
        <v>1190</v>
      </c>
      <c r="O129" s="4"/>
      <c r="Q129" s="4"/>
    </row>
    <row r="130" spans="1:17">
      <c r="A130" s="725" t="s">
        <v>7007</v>
      </c>
      <c r="B130" s="725" t="s">
        <v>4713</v>
      </c>
      <c r="C130" s="4" t="s">
        <v>11051</v>
      </c>
      <c r="D130" s="728">
        <v>5908</v>
      </c>
      <c r="E130" s="728">
        <v>5882</v>
      </c>
      <c r="F130" s="728">
        <v>5897</v>
      </c>
      <c r="G130" s="48">
        <v>5904</v>
      </c>
      <c r="H130" s="48">
        <v>5849</v>
      </c>
      <c r="I130" s="48">
        <v>5730</v>
      </c>
      <c r="J130" s="48">
        <v>5825</v>
      </c>
      <c r="K130" s="48">
        <v>5827</v>
      </c>
      <c r="L130" s="48">
        <v>5733</v>
      </c>
      <c r="N130" s="725" t="s">
        <v>1187</v>
      </c>
      <c r="O130" s="4"/>
      <c r="Q130" s="4"/>
    </row>
    <row r="131" spans="1:17">
      <c r="A131" s="725" t="s">
        <v>7009</v>
      </c>
      <c r="B131" s="725" t="s">
        <v>1341</v>
      </c>
      <c r="C131" s="4" t="s">
        <v>11052</v>
      </c>
      <c r="D131" s="728">
        <v>2342</v>
      </c>
      <c r="E131" s="728">
        <v>2380</v>
      </c>
      <c r="F131" s="728">
        <v>2401</v>
      </c>
      <c r="G131" s="48">
        <v>2407</v>
      </c>
      <c r="H131" s="48">
        <v>2435</v>
      </c>
      <c r="I131" s="48">
        <v>2431</v>
      </c>
      <c r="J131" s="48">
        <v>2478</v>
      </c>
      <c r="K131" s="48">
        <v>2496</v>
      </c>
      <c r="L131" s="48">
        <v>2420</v>
      </c>
      <c r="N131" s="725" t="s">
        <v>1196</v>
      </c>
      <c r="O131" s="4"/>
      <c r="Q131" s="4"/>
    </row>
    <row r="132" spans="1:17">
      <c r="A132" s="725" t="s">
        <v>7011</v>
      </c>
      <c r="B132" s="725" t="s">
        <v>1342</v>
      </c>
      <c r="C132" s="4" t="s">
        <v>11053</v>
      </c>
      <c r="D132" s="728">
        <v>6638</v>
      </c>
      <c r="E132" s="728">
        <v>7014</v>
      </c>
      <c r="F132" s="728">
        <v>6970</v>
      </c>
      <c r="G132" s="48">
        <v>6687</v>
      </c>
      <c r="H132" s="48">
        <v>7251</v>
      </c>
      <c r="I132" s="48">
        <v>4498</v>
      </c>
      <c r="J132" s="48">
        <v>5188</v>
      </c>
      <c r="K132" s="48">
        <v>4448</v>
      </c>
      <c r="L132" s="48">
        <v>4663</v>
      </c>
      <c r="N132" s="725" t="s">
        <v>1187</v>
      </c>
      <c r="O132" s="4"/>
      <c r="Q132" s="4"/>
    </row>
    <row r="133" spans="1:17">
      <c r="A133" s="725" t="s">
        <v>7013</v>
      </c>
      <c r="B133" s="725" t="s">
        <v>1343</v>
      </c>
      <c r="C133" s="4" t="s">
        <v>11054</v>
      </c>
      <c r="D133" s="728">
        <v>1919</v>
      </c>
      <c r="E133" s="728">
        <v>1940</v>
      </c>
      <c r="F133" s="728">
        <v>1929</v>
      </c>
      <c r="G133" s="48">
        <v>1966</v>
      </c>
      <c r="H133" s="48">
        <v>2003</v>
      </c>
      <c r="I133" s="48">
        <v>1960</v>
      </c>
      <c r="J133" s="48">
        <v>1980</v>
      </c>
      <c r="K133" s="48">
        <v>2004</v>
      </c>
      <c r="L133" s="48">
        <v>1933</v>
      </c>
      <c r="N133" s="725" t="s">
        <v>1187</v>
      </c>
      <c r="O133" s="4"/>
      <c r="Q133" s="4"/>
    </row>
    <row r="134" spans="1:17">
      <c r="A134" s="725" t="s">
        <v>7015</v>
      </c>
      <c r="B134" s="725" t="s">
        <v>1344</v>
      </c>
      <c r="C134" s="4" t="s">
        <v>11055</v>
      </c>
      <c r="D134" s="728">
        <v>2113</v>
      </c>
      <c r="E134" s="728">
        <v>2163</v>
      </c>
      <c r="F134" s="728">
        <v>2088</v>
      </c>
      <c r="G134" s="48">
        <v>1947</v>
      </c>
      <c r="H134" s="48">
        <v>2016</v>
      </c>
      <c r="I134" s="48">
        <v>1944</v>
      </c>
      <c r="J134" s="48">
        <v>2083</v>
      </c>
      <c r="K134" s="48">
        <v>2121</v>
      </c>
      <c r="L134" s="48">
        <v>1927</v>
      </c>
      <c r="N134" s="725" t="s">
        <v>1196</v>
      </c>
      <c r="O134" s="4"/>
      <c r="Q134" s="4"/>
    </row>
    <row r="135" spans="1:17">
      <c r="A135" s="725" t="s">
        <v>7017</v>
      </c>
      <c r="B135" s="725" t="s">
        <v>3083</v>
      </c>
      <c r="C135" s="4" t="s">
        <v>11056</v>
      </c>
      <c r="D135" s="728">
        <v>3235</v>
      </c>
      <c r="E135" s="728">
        <v>3264</v>
      </c>
      <c r="F135" s="728">
        <v>3318</v>
      </c>
      <c r="G135" s="48">
        <v>3334</v>
      </c>
      <c r="H135" s="48">
        <v>3343</v>
      </c>
      <c r="I135" s="48">
        <v>3338</v>
      </c>
      <c r="J135" s="48">
        <v>3409</v>
      </c>
      <c r="K135" s="48">
        <v>3422</v>
      </c>
      <c r="L135" s="48">
        <v>3350</v>
      </c>
      <c r="N135" s="725" t="s">
        <v>1190</v>
      </c>
      <c r="O135" s="4"/>
      <c r="Q135" s="4"/>
    </row>
    <row r="136" spans="1:17">
      <c r="A136" s="725" t="s">
        <v>7019</v>
      </c>
      <c r="B136" s="725" t="s">
        <v>3084</v>
      </c>
      <c r="C136" s="4" t="s">
        <v>11057</v>
      </c>
      <c r="D136" s="728">
        <v>4237</v>
      </c>
      <c r="E136" s="728">
        <v>4250</v>
      </c>
      <c r="F136" s="728">
        <v>4247</v>
      </c>
      <c r="G136" s="48">
        <v>4247</v>
      </c>
      <c r="H136" s="48">
        <v>4286</v>
      </c>
      <c r="I136" s="48">
        <v>4210</v>
      </c>
      <c r="J136" s="48">
        <v>4179</v>
      </c>
      <c r="K136" s="48">
        <v>4232</v>
      </c>
      <c r="L136" s="48">
        <v>4107</v>
      </c>
      <c r="N136" s="725" t="s">
        <v>1187</v>
      </c>
      <c r="O136" s="4"/>
      <c r="Q136" s="4"/>
    </row>
    <row r="137" spans="1:17">
      <c r="A137" s="725" t="s">
        <v>7021</v>
      </c>
      <c r="B137" s="725" t="s">
        <v>2084</v>
      </c>
      <c r="C137" s="4" t="s">
        <v>11058</v>
      </c>
      <c r="D137" s="728">
        <v>4405</v>
      </c>
      <c r="E137" s="728">
        <v>4443</v>
      </c>
      <c r="F137" s="728">
        <v>4502</v>
      </c>
      <c r="G137" s="48">
        <v>4434</v>
      </c>
      <c r="H137" s="48">
        <v>4411</v>
      </c>
      <c r="I137" s="48">
        <v>4323</v>
      </c>
      <c r="J137" s="48">
        <v>4304</v>
      </c>
      <c r="K137" s="48">
        <v>4349</v>
      </c>
      <c r="L137" s="48">
        <v>4226</v>
      </c>
      <c r="N137" s="725" t="s">
        <v>1187</v>
      </c>
      <c r="O137" s="4"/>
      <c r="Q137" s="4"/>
    </row>
    <row r="138" spans="1:17">
      <c r="A138" s="725" t="s">
        <v>7023</v>
      </c>
      <c r="B138" s="725" t="s">
        <v>3085</v>
      </c>
      <c r="C138" s="4" t="s">
        <v>11059</v>
      </c>
      <c r="D138" s="728">
        <v>6892</v>
      </c>
      <c r="E138" s="728">
        <v>6966</v>
      </c>
      <c r="F138" s="728">
        <v>7027</v>
      </c>
      <c r="G138" s="48">
        <v>7116</v>
      </c>
      <c r="H138" s="48">
        <v>7008</v>
      </c>
      <c r="I138" s="48">
        <v>6440</v>
      </c>
      <c r="J138" s="48">
        <v>6790</v>
      </c>
      <c r="K138" s="48">
        <v>6807</v>
      </c>
      <c r="L138" s="48">
        <v>6589</v>
      </c>
      <c r="N138" s="725" t="s">
        <v>1187</v>
      </c>
      <c r="O138" s="4"/>
      <c r="Q138" s="4"/>
    </row>
    <row r="139" spans="1:17">
      <c r="A139" s="725" t="s">
        <v>7025</v>
      </c>
      <c r="B139" s="725" t="s">
        <v>3086</v>
      </c>
      <c r="C139" s="4" t="s">
        <v>11060</v>
      </c>
      <c r="D139" s="728">
        <v>4169</v>
      </c>
      <c r="E139" s="728">
        <v>4226</v>
      </c>
      <c r="F139" s="728">
        <v>4282</v>
      </c>
      <c r="G139" s="48">
        <v>4330</v>
      </c>
      <c r="H139" s="48">
        <v>4350</v>
      </c>
      <c r="I139" s="48">
        <v>4276</v>
      </c>
      <c r="J139" s="48">
        <v>4394</v>
      </c>
      <c r="K139" s="48">
        <v>4444</v>
      </c>
      <c r="L139" s="48">
        <v>4407</v>
      </c>
      <c r="N139" s="725" t="s">
        <v>1190</v>
      </c>
      <c r="O139" s="4"/>
      <c r="Q139" s="4"/>
    </row>
    <row r="140" spans="1:17">
      <c r="A140" s="725" t="s">
        <v>7570</v>
      </c>
      <c r="B140" s="725" t="s">
        <v>3371</v>
      </c>
      <c r="C140" s="4" t="s">
        <v>11061</v>
      </c>
      <c r="D140" s="728">
        <v>6477</v>
      </c>
      <c r="E140" s="728">
        <v>6526</v>
      </c>
      <c r="F140" s="728">
        <v>6472</v>
      </c>
      <c r="G140" s="48">
        <v>6263</v>
      </c>
      <c r="H140" s="48">
        <v>6109</v>
      </c>
      <c r="I140" s="48">
        <v>5812</v>
      </c>
      <c r="J140" s="48">
        <v>6255</v>
      </c>
      <c r="K140" s="48">
        <v>6314</v>
      </c>
      <c r="L140" s="48">
        <v>5993</v>
      </c>
      <c r="N140" s="725" t="s">
        <v>1187</v>
      </c>
      <c r="O140" s="4"/>
      <c r="Q140" s="4"/>
    </row>
    <row r="141" spans="1:17">
      <c r="A141" s="735">
        <v>22</v>
      </c>
      <c r="B141" s="725" t="s">
        <v>3087</v>
      </c>
      <c r="C141" s="4" t="s">
        <v>11062</v>
      </c>
      <c r="D141" s="728">
        <v>6319</v>
      </c>
      <c r="E141" s="728">
        <v>6435</v>
      </c>
      <c r="F141" s="728">
        <v>6591</v>
      </c>
      <c r="G141" s="48">
        <v>6568</v>
      </c>
      <c r="H141" s="48">
        <v>6529</v>
      </c>
      <c r="I141" s="48">
        <v>6391</v>
      </c>
      <c r="J141" s="48">
        <v>6494</v>
      </c>
      <c r="K141" s="48">
        <v>6422</v>
      </c>
      <c r="L141" s="48">
        <v>6258</v>
      </c>
      <c r="N141" s="725" t="s">
        <v>1187</v>
      </c>
      <c r="O141" s="4"/>
      <c r="Q141" s="4"/>
    </row>
    <row r="142" spans="1:17">
      <c r="D142" s="729"/>
      <c r="E142" s="729"/>
      <c r="F142" s="729"/>
      <c r="G142" s="729"/>
      <c r="H142" s="729"/>
      <c r="I142" s="729"/>
      <c r="J142" s="729"/>
      <c r="K142" s="729"/>
      <c r="L142" s="729"/>
      <c r="O142" s="4"/>
      <c r="Q142" s="4"/>
    </row>
    <row r="143" spans="1:17">
      <c r="A143" s="725" t="s">
        <v>2145</v>
      </c>
      <c r="D143" s="728">
        <f t="shared" ref="D143:I143" si="145">D123+D124+D127+D128+D130+D132+D133+SUM(D136:D138)+D140+D141</f>
        <v>62683</v>
      </c>
      <c r="E143" s="728">
        <f t="shared" si="145"/>
        <v>63521</v>
      </c>
      <c r="F143" s="728">
        <f t="shared" si="145"/>
        <v>63913</v>
      </c>
      <c r="G143" s="728">
        <f t="shared" si="145"/>
        <v>63612</v>
      </c>
      <c r="H143" s="728">
        <f t="shared" si="145"/>
        <v>63584</v>
      </c>
      <c r="I143" s="728">
        <f t="shared" si="145"/>
        <v>58757</v>
      </c>
      <c r="J143" s="728">
        <f t="shared" ref="J143:K143" si="146">J123+J124+J127+J128+J130+J132+J133+SUM(J136:J138)+J140+J141</f>
        <v>60331</v>
      </c>
      <c r="K143" s="728">
        <f t="shared" si="146"/>
        <v>60516</v>
      </c>
      <c r="L143" s="728">
        <f t="shared" ref="L143" si="147">L123+L124+L127+L128+L130+L132+L133+SUM(L136:L138)+L140+L141</f>
        <v>58856</v>
      </c>
      <c r="O143" s="4"/>
      <c r="Q143" s="4"/>
    </row>
    <row r="144" spans="1:17">
      <c r="A144" s="725" t="s">
        <v>2146</v>
      </c>
      <c r="D144" s="728">
        <f t="shared" ref="D144:I144" si="148">D125+D126+D129+D135+D139</f>
        <v>17963</v>
      </c>
      <c r="E144" s="728">
        <f t="shared" si="148"/>
        <v>18062</v>
      </c>
      <c r="F144" s="728">
        <f t="shared" si="148"/>
        <v>18254</v>
      </c>
      <c r="G144" s="728">
        <f t="shared" si="148"/>
        <v>18374</v>
      </c>
      <c r="H144" s="728">
        <f t="shared" si="148"/>
        <v>18423</v>
      </c>
      <c r="I144" s="728">
        <f t="shared" si="148"/>
        <v>18241</v>
      </c>
      <c r="J144" s="728">
        <f t="shared" ref="J144:K144" si="149">J125+J126+J129+J135+J139</f>
        <v>18662</v>
      </c>
      <c r="K144" s="728">
        <f t="shared" si="149"/>
        <v>18927</v>
      </c>
      <c r="L144" s="728">
        <f t="shared" ref="L144" si="150">L125+L126+L129+L135+L139</f>
        <v>18553</v>
      </c>
    </row>
    <row r="145" spans="1:17">
      <c r="A145" s="725" t="s">
        <v>2147</v>
      </c>
      <c r="D145" s="728">
        <f t="shared" ref="D145:I145" si="151">SUM(D120:D122)</f>
        <v>14897</v>
      </c>
      <c r="E145" s="728">
        <f t="shared" si="151"/>
        <v>14888</v>
      </c>
      <c r="F145" s="728">
        <f t="shared" si="151"/>
        <v>14928</v>
      </c>
      <c r="G145" s="728">
        <f t="shared" si="151"/>
        <v>14850</v>
      </c>
      <c r="H145" s="728">
        <f t="shared" si="151"/>
        <v>15083</v>
      </c>
      <c r="I145" s="728">
        <f t="shared" si="151"/>
        <v>14842</v>
      </c>
      <c r="J145" s="728">
        <f t="shared" ref="J145:K145" si="152">SUM(J120:J122)</f>
        <v>14951</v>
      </c>
      <c r="K145" s="728">
        <f t="shared" si="152"/>
        <v>15244</v>
      </c>
      <c r="L145" s="728">
        <f t="shared" ref="L145" si="153">SUM(L120:L122)</f>
        <v>14956</v>
      </c>
    </row>
    <row r="146" spans="1:17">
      <c r="A146" s="725" t="s">
        <v>2148</v>
      </c>
      <c r="D146" s="728">
        <f t="shared" ref="D146:I146" si="154">D131+D134</f>
        <v>4455</v>
      </c>
      <c r="E146" s="728">
        <f t="shared" si="154"/>
        <v>4543</v>
      </c>
      <c r="F146" s="728">
        <f t="shared" si="154"/>
        <v>4489</v>
      </c>
      <c r="G146" s="728">
        <f t="shared" si="154"/>
        <v>4354</v>
      </c>
      <c r="H146" s="728">
        <f t="shared" si="154"/>
        <v>4451</v>
      </c>
      <c r="I146" s="728">
        <f t="shared" si="154"/>
        <v>4375</v>
      </c>
      <c r="J146" s="728">
        <f t="shared" ref="J146:K146" si="155">J131+J134</f>
        <v>4561</v>
      </c>
      <c r="K146" s="728">
        <f t="shared" si="155"/>
        <v>4617</v>
      </c>
      <c r="L146" s="728">
        <f t="shared" ref="L146" si="156">L131+L134</f>
        <v>4347</v>
      </c>
    </row>
    <row r="147" spans="1:17">
      <c r="A147" s="725"/>
      <c r="B147" s="725"/>
      <c r="C147" s="725"/>
      <c r="D147" s="736"/>
      <c r="E147" s="736"/>
      <c r="F147" s="736"/>
      <c r="G147" s="736"/>
      <c r="H147" s="736"/>
      <c r="I147" s="736"/>
      <c r="J147" s="736"/>
      <c r="K147" s="736"/>
      <c r="L147" s="736"/>
    </row>
    <row r="148" spans="1:17">
      <c r="A148" s="725" t="s">
        <v>48</v>
      </c>
      <c r="B148" s="725"/>
      <c r="C148" s="725"/>
      <c r="D148" s="736"/>
      <c r="E148" s="736"/>
      <c r="F148" s="736"/>
      <c r="G148" s="736"/>
      <c r="H148" s="736"/>
      <c r="I148" s="736"/>
      <c r="J148" s="736"/>
      <c r="K148" s="736"/>
      <c r="L148" s="736"/>
    </row>
    <row r="149" spans="1:17">
      <c r="A149" s="725"/>
      <c r="B149" s="725"/>
      <c r="C149" s="725"/>
      <c r="D149" s="736"/>
      <c r="E149" s="736"/>
      <c r="F149" s="736"/>
      <c r="G149" s="736"/>
      <c r="H149" s="736"/>
      <c r="I149" s="736"/>
      <c r="J149" s="736"/>
      <c r="K149" s="736"/>
      <c r="L149" s="736"/>
    </row>
    <row r="150" spans="1:17">
      <c r="A150" s="725"/>
      <c r="B150" s="725"/>
      <c r="C150" s="725"/>
      <c r="D150" s="736"/>
      <c r="E150" s="736"/>
      <c r="F150" s="736"/>
      <c r="G150" s="736"/>
      <c r="H150" s="736"/>
      <c r="I150" s="736"/>
      <c r="J150" s="736"/>
      <c r="K150" s="736"/>
      <c r="L150" s="736"/>
    </row>
    <row r="151" spans="1:17">
      <c r="E151" s="42" t="s">
        <v>2303</v>
      </c>
      <c r="F151" s="42"/>
      <c r="G151" s="42"/>
      <c r="H151" s="42"/>
      <c r="I151" s="42"/>
      <c r="J151" s="42"/>
      <c r="K151" s="42"/>
      <c r="L151" s="42"/>
      <c r="M151" s="109"/>
      <c r="N151" s="109" t="s">
        <v>13319</v>
      </c>
    </row>
    <row r="152" spans="1:17">
      <c r="D152" s="727">
        <v>2010</v>
      </c>
      <c r="E152" s="727">
        <v>2011</v>
      </c>
      <c r="F152" s="727">
        <v>2012</v>
      </c>
      <c r="G152" s="727">
        <v>2013</v>
      </c>
      <c r="H152" s="727">
        <v>2014</v>
      </c>
      <c r="I152" s="727">
        <v>2015</v>
      </c>
      <c r="J152" s="727">
        <v>2016</v>
      </c>
      <c r="K152" s="727">
        <v>2017</v>
      </c>
      <c r="L152" s="727">
        <v>2018</v>
      </c>
      <c r="N152" s="112" t="s">
        <v>2304</v>
      </c>
    </row>
    <row r="153" spans="1:17">
      <c r="A153" s="725" t="s">
        <v>49</v>
      </c>
      <c r="C153" s="725"/>
      <c r="D153" s="728">
        <f t="shared" ref="D153:I153" si="157">SUM(D154:D174)</f>
        <v>65013</v>
      </c>
      <c r="E153" s="728">
        <f t="shared" si="157"/>
        <v>65486</v>
      </c>
      <c r="F153" s="728">
        <f t="shared" si="157"/>
        <v>66175</v>
      </c>
      <c r="G153" s="728">
        <f t="shared" si="157"/>
        <v>66206</v>
      </c>
      <c r="H153" s="728">
        <f t="shared" si="157"/>
        <v>66931</v>
      </c>
      <c r="I153" s="728">
        <f t="shared" si="157"/>
        <v>65841</v>
      </c>
      <c r="J153" s="728">
        <f t="shared" ref="J153:K153" si="158">SUM(J154:J174)</f>
        <v>64797</v>
      </c>
      <c r="K153" s="728">
        <f t="shared" si="158"/>
        <v>66601</v>
      </c>
      <c r="L153" s="728">
        <f t="shared" ref="L153" si="159">SUM(L154:L174)</f>
        <v>66457</v>
      </c>
    </row>
    <row r="154" spans="1:17">
      <c r="A154" s="725" t="s">
        <v>6957</v>
      </c>
      <c r="B154" s="725" t="s">
        <v>50</v>
      </c>
      <c r="C154" s="4" t="s">
        <v>11063</v>
      </c>
      <c r="D154" s="728">
        <v>3199</v>
      </c>
      <c r="E154" s="728">
        <v>3204</v>
      </c>
      <c r="F154" s="728">
        <v>3193</v>
      </c>
      <c r="G154" s="30">
        <v>3194</v>
      </c>
      <c r="H154" s="30">
        <v>3220</v>
      </c>
      <c r="I154" s="30">
        <v>3159</v>
      </c>
      <c r="J154" s="30">
        <v>3195</v>
      </c>
      <c r="K154" s="30">
        <v>3243</v>
      </c>
      <c r="L154" s="30">
        <v>3218</v>
      </c>
      <c r="N154" s="725" t="s">
        <v>1183</v>
      </c>
    </row>
    <row r="155" spans="1:17" ht="15" customHeight="1">
      <c r="A155" s="725" t="s">
        <v>6959</v>
      </c>
      <c r="B155" s="725" t="s">
        <v>51</v>
      </c>
      <c r="C155" s="4" t="s">
        <v>11064</v>
      </c>
      <c r="D155" s="728">
        <v>3147</v>
      </c>
      <c r="E155" s="728">
        <v>3231</v>
      </c>
      <c r="F155" s="728">
        <v>3314</v>
      </c>
      <c r="G155" s="30">
        <v>3386</v>
      </c>
      <c r="H155" s="30">
        <v>3474</v>
      </c>
      <c r="I155" s="30">
        <v>3406</v>
      </c>
      <c r="J155" s="30">
        <v>3341</v>
      </c>
      <c r="K155" s="30">
        <v>3442</v>
      </c>
      <c r="L155" s="30">
        <v>3483</v>
      </c>
      <c r="N155" s="725" t="s">
        <v>1183</v>
      </c>
    </row>
    <row r="156" spans="1:17">
      <c r="A156" s="725" t="s">
        <v>6961</v>
      </c>
      <c r="B156" s="725" t="s">
        <v>52</v>
      </c>
      <c r="C156" s="4" t="s">
        <v>11065</v>
      </c>
      <c r="D156" s="728">
        <v>4520</v>
      </c>
      <c r="E156" s="728">
        <v>4545</v>
      </c>
      <c r="F156" s="728">
        <v>4607</v>
      </c>
      <c r="G156" s="30">
        <v>4612</v>
      </c>
      <c r="H156" s="30">
        <v>4628</v>
      </c>
      <c r="I156" s="30">
        <v>4541</v>
      </c>
      <c r="J156" s="30">
        <v>4523</v>
      </c>
      <c r="K156" s="30">
        <v>4619</v>
      </c>
      <c r="L156" s="30">
        <v>4632</v>
      </c>
      <c r="N156" s="725" t="s">
        <v>1183</v>
      </c>
      <c r="O156" s="4"/>
      <c r="Q156" s="4"/>
    </row>
    <row r="157" spans="1:17">
      <c r="A157" s="725" t="s">
        <v>6963</v>
      </c>
      <c r="B157" s="725" t="s">
        <v>53</v>
      </c>
      <c r="C157" s="4" t="s">
        <v>11066</v>
      </c>
      <c r="D157" s="728">
        <v>1516</v>
      </c>
      <c r="E157" s="728">
        <v>1525</v>
      </c>
      <c r="F157" s="728">
        <v>1536</v>
      </c>
      <c r="G157" s="30">
        <v>1528</v>
      </c>
      <c r="H157" s="30">
        <v>1516</v>
      </c>
      <c r="I157" s="30">
        <v>1490</v>
      </c>
      <c r="J157" s="30">
        <v>1521</v>
      </c>
      <c r="K157" s="30">
        <v>1573</v>
      </c>
      <c r="L157" s="30">
        <v>1537</v>
      </c>
      <c r="N157" s="725" t="s">
        <v>1190</v>
      </c>
      <c r="O157" s="4"/>
      <c r="Q157" s="4"/>
    </row>
    <row r="158" spans="1:17">
      <c r="A158" s="725" t="s">
        <v>6965</v>
      </c>
      <c r="B158" s="725" t="s">
        <v>54</v>
      </c>
      <c r="C158" s="4" t="s">
        <v>11067</v>
      </c>
      <c r="D158" s="728">
        <v>4581</v>
      </c>
      <c r="E158" s="728">
        <v>4580</v>
      </c>
      <c r="F158" s="728">
        <v>4632</v>
      </c>
      <c r="G158" s="30">
        <v>4606</v>
      </c>
      <c r="H158" s="30">
        <v>4588</v>
      </c>
      <c r="I158" s="30">
        <v>4518</v>
      </c>
      <c r="J158" s="30">
        <v>4486</v>
      </c>
      <c r="K158" s="30">
        <v>4604</v>
      </c>
      <c r="L158" s="30">
        <v>4570</v>
      </c>
      <c r="N158" s="725" t="s">
        <v>1190</v>
      </c>
      <c r="O158" s="4"/>
      <c r="Q158" s="4"/>
    </row>
    <row r="159" spans="1:17">
      <c r="A159" s="725" t="s">
        <v>6997</v>
      </c>
      <c r="B159" s="725" t="s">
        <v>55</v>
      </c>
      <c r="C159" s="4" t="s">
        <v>11068</v>
      </c>
      <c r="D159" s="728">
        <v>4378</v>
      </c>
      <c r="E159" s="728">
        <v>4419</v>
      </c>
      <c r="F159" s="728">
        <v>4436</v>
      </c>
      <c r="G159" s="30">
        <v>4448</v>
      </c>
      <c r="H159" s="30">
        <v>4546</v>
      </c>
      <c r="I159" s="30">
        <v>4467</v>
      </c>
      <c r="J159" s="30">
        <v>4405</v>
      </c>
      <c r="K159" s="30">
        <v>4431</v>
      </c>
      <c r="L159" s="30">
        <v>4447</v>
      </c>
      <c r="N159" s="725" t="s">
        <v>1190</v>
      </c>
      <c r="O159" s="4"/>
      <c r="Q159" s="4"/>
    </row>
    <row r="160" spans="1:17">
      <c r="A160" s="725" t="s">
        <v>6999</v>
      </c>
      <c r="B160" s="725" t="s">
        <v>56</v>
      </c>
      <c r="C160" s="4" t="s">
        <v>11069</v>
      </c>
      <c r="D160" s="728">
        <v>1729</v>
      </c>
      <c r="E160" s="728">
        <v>1749</v>
      </c>
      <c r="F160" s="728">
        <v>1728</v>
      </c>
      <c r="G160" s="30">
        <v>1748</v>
      </c>
      <c r="H160" s="30">
        <v>1754</v>
      </c>
      <c r="I160" s="30">
        <v>1723</v>
      </c>
      <c r="J160" s="30">
        <v>1706</v>
      </c>
      <c r="K160" s="30">
        <v>1715</v>
      </c>
      <c r="L160" s="30">
        <v>1697</v>
      </c>
      <c r="N160" s="725" t="s">
        <v>1190</v>
      </c>
      <c r="O160" s="4"/>
      <c r="Q160" s="4"/>
    </row>
    <row r="161" spans="1:17">
      <c r="A161" s="725" t="s">
        <v>7001</v>
      </c>
      <c r="B161" s="725" t="s">
        <v>57</v>
      </c>
      <c r="C161" s="4" t="s">
        <v>11070</v>
      </c>
      <c r="D161" s="728">
        <v>3507</v>
      </c>
      <c r="E161" s="728">
        <v>3572</v>
      </c>
      <c r="F161" s="728">
        <v>3595</v>
      </c>
      <c r="G161" s="30">
        <v>3541</v>
      </c>
      <c r="H161" s="30">
        <v>3568</v>
      </c>
      <c r="I161" s="30">
        <v>3534</v>
      </c>
      <c r="J161" s="30">
        <v>3480</v>
      </c>
      <c r="K161" s="30">
        <v>3582</v>
      </c>
      <c r="L161" s="30">
        <v>3584</v>
      </c>
      <c r="N161" s="725" t="s">
        <v>1190</v>
      </c>
      <c r="O161" s="4"/>
      <c r="Q161" s="4"/>
    </row>
    <row r="162" spans="1:17">
      <c r="A162" s="725" t="s">
        <v>7003</v>
      </c>
      <c r="B162" s="726" t="s">
        <v>58</v>
      </c>
      <c r="C162" s="4" t="s">
        <v>11071</v>
      </c>
      <c r="D162" s="728">
        <v>3307</v>
      </c>
      <c r="E162" s="728">
        <v>3357</v>
      </c>
      <c r="F162" s="728">
        <v>3392</v>
      </c>
      <c r="G162" s="30">
        <v>3380</v>
      </c>
      <c r="H162" s="30">
        <v>3417</v>
      </c>
      <c r="I162" s="30">
        <v>3357</v>
      </c>
      <c r="J162" s="30">
        <v>3259</v>
      </c>
      <c r="K162" s="30">
        <v>3402</v>
      </c>
      <c r="L162" s="30">
        <v>3432</v>
      </c>
      <c r="N162" s="725" t="s">
        <v>1190</v>
      </c>
      <c r="O162" s="4"/>
      <c r="Q162" s="4"/>
    </row>
    <row r="163" spans="1:17">
      <c r="A163" s="725" t="s">
        <v>7005</v>
      </c>
      <c r="B163" s="725" t="s">
        <v>59</v>
      </c>
      <c r="C163" s="4" t="s">
        <v>11072</v>
      </c>
      <c r="D163" s="728">
        <v>1731</v>
      </c>
      <c r="E163" s="728">
        <v>1747</v>
      </c>
      <c r="F163" s="728">
        <v>1784</v>
      </c>
      <c r="G163" s="30">
        <v>1787</v>
      </c>
      <c r="H163" s="30">
        <v>1800</v>
      </c>
      <c r="I163" s="30">
        <v>1788</v>
      </c>
      <c r="J163" s="30">
        <v>1751</v>
      </c>
      <c r="K163" s="30">
        <v>1823</v>
      </c>
      <c r="L163" s="30">
        <v>1826</v>
      </c>
      <c r="N163" s="725" t="s">
        <v>1190</v>
      </c>
      <c r="O163" s="4"/>
      <c r="Q163" s="4"/>
    </row>
    <row r="164" spans="1:17">
      <c r="A164" s="725" t="s">
        <v>7007</v>
      </c>
      <c r="B164" s="725" t="s">
        <v>60</v>
      </c>
      <c r="C164" s="4" t="s">
        <v>11073</v>
      </c>
      <c r="D164" s="728">
        <v>3121</v>
      </c>
      <c r="E164" s="728">
        <v>3152</v>
      </c>
      <c r="F164" s="728">
        <v>3159</v>
      </c>
      <c r="G164" s="30">
        <v>3117</v>
      </c>
      <c r="H164" s="30">
        <v>3204</v>
      </c>
      <c r="I164" s="30">
        <v>3175</v>
      </c>
      <c r="J164" s="30">
        <v>3123</v>
      </c>
      <c r="K164" s="30">
        <v>3234</v>
      </c>
      <c r="L164" s="30">
        <v>3231</v>
      </c>
      <c r="N164" s="725" t="s">
        <v>1190</v>
      </c>
      <c r="O164" s="4"/>
      <c r="Q164" s="4"/>
    </row>
    <row r="165" spans="1:17">
      <c r="A165" s="725" t="s">
        <v>7009</v>
      </c>
      <c r="B165" s="725" t="s">
        <v>61</v>
      </c>
      <c r="C165" s="4" t="s">
        <v>11074</v>
      </c>
      <c r="D165" s="728">
        <v>5297</v>
      </c>
      <c r="E165" s="728">
        <v>5302</v>
      </c>
      <c r="F165" s="728">
        <v>5421</v>
      </c>
      <c r="G165" s="30">
        <v>5389</v>
      </c>
      <c r="H165" s="30">
        <v>5482</v>
      </c>
      <c r="I165" s="30">
        <v>5411</v>
      </c>
      <c r="J165" s="30">
        <v>5346</v>
      </c>
      <c r="K165" s="30">
        <v>5600</v>
      </c>
      <c r="L165" s="30">
        <v>5569</v>
      </c>
      <c r="N165" s="725" t="s">
        <v>1190</v>
      </c>
      <c r="O165" s="4"/>
      <c r="Q165" s="4"/>
    </row>
    <row r="166" spans="1:17">
      <c r="A166" s="725" t="s">
        <v>7011</v>
      </c>
      <c r="B166" s="725" t="s">
        <v>62</v>
      </c>
      <c r="C166" s="4" t="s">
        <v>11075</v>
      </c>
      <c r="D166" s="728">
        <v>3027</v>
      </c>
      <c r="E166" s="728">
        <v>3047</v>
      </c>
      <c r="F166" s="728">
        <v>3075</v>
      </c>
      <c r="G166" s="30">
        <v>3064</v>
      </c>
      <c r="H166" s="30">
        <v>3069</v>
      </c>
      <c r="I166" s="30">
        <v>3062</v>
      </c>
      <c r="J166" s="30">
        <v>3022</v>
      </c>
      <c r="K166" s="30">
        <v>3100</v>
      </c>
      <c r="L166" s="30">
        <v>3067</v>
      </c>
      <c r="N166" s="725" t="s">
        <v>1190</v>
      </c>
      <c r="O166" s="4"/>
      <c r="Q166" s="4"/>
    </row>
    <row r="167" spans="1:17">
      <c r="A167" s="725" t="s">
        <v>7013</v>
      </c>
      <c r="B167" s="725" t="s">
        <v>63</v>
      </c>
      <c r="C167" s="4" t="s">
        <v>11076</v>
      </c>
      <c r="D167" s="728">
        <v>3070</v>
      </c>
      <c r="E167" s="728">
        <v>3113</v>
      </c>
      <c r="F167" s="728">
        <v>3130</v>
      </c>
      <c r="G167" s="30">
        <v>3147</v>
      </c>
      <c r="H167" s="30">
        <v>3178</v>
      </c>
      <c r="I167" s="30">
        <v>3116</v>
      </c>
      <c r="J167" s="30">
        <v>3109</v>
      </c>
      <c r="K167" s="30">
        <v>3171</v>
      </c>
      <c r="L167" s="30">
        <v>3145</v>
      </c>
      <c r="N167" s="725" t="s">
        <v>1190</v>
      </c>
      <c r="O167" s="4"/>
      <c r="Q167" s="4"/>
    </row>
    <row r="168" spans="1:17">
      <c r="A168" s="725" t="s">
        <v>7015</v>
      </c>
      <c r="B168" s="725" t="s">
        <v>64</v>
      </c>
      <c r="C168" s="4" t="s">
        <v>11077</v>
      </c>
      <c r="D168" s="728">
        <v>4823</v>
      </c>
      <c r="E168" s="728">
        <v>4821</v>
      </c>
      <c r="F168" s="728">
        <v>4843</v>
      </c>
      <c r="G168" s="30">
        <v>4861</v>
      </c>
      <c r="H168" s="30">
        <v>4932</v>
      </c>
      <c r="I168" s="30">
        <v>4814</v>
      </c>
      <c r="J168" s="30">
        <v>4677</v>
      </c>
      <c r="K168" s="30">
        <v>4815</v>
      </c>
      <c r="L168" s="30">
        <v>4752</v>
      </c>
      <c r="N168" s="725" t="s">
        <v>1190</v>
      </c>
      <c r="O168" s="4"/>
      <c r="Q168" s="4"/>
    </row>
    <row r="169" spans="1:17">
      <c r="A169" s="725" t="s">
        <v>7017</v>
      </c>
      <c r="B169" s="725" t="s">
        <v>65</v>
      </c>
      <c r="C169" s="4" t="s">
        <v>11078</v>
      </c>
      <c r="D169" s="728">
        <v>4872</v>
      </c>
      <c r="E169" s="728">
        <v>4927</v>
      </c>
      <c r="F169" s="728">
        <v>4983</v>
      </c>
      <c r="G169" s="31">
        <v>4950</v>
      </c>
      <c r="H169" s="31">
        <v>4941</v>
      </c>
      <c r="I169" s="31">
        <v>4807</v>
      </c>
      <c r="J169" s="31">
        <v>4617</v>
      </c>
      <c r="K169" s="31">
        <v>4754</v>
      </c>
      <c r="L169" s="31">
        <v>4772</v>
      </c>
      <c r="N169" s="725" t="s">
        <v>1190</v>
      </c>
      <c r="O169" s="4"/>
      <c r="Q169" s="4"/>
    </row>
    <row r="170" spans="1:17">
      <c r="A170" s="725" t="s">
        <v>7019</v>
      </c>
      <c r="B170" s="725" t="s">
        <v>66</v>
      </c>
      <c r="C170" s="4" t="s">
        <v>11079</v>
      </c>
      <c r="D170" s="733">
        <v>3298</v>
      </c>
      <c r="E170" s="733">
        <v>3283</v>
      </c>
      <c r="F170" s="733">
        <v>3322</v>
      </c>
      <c r="G170" s="31">
        <v>3355</v>
      </c>
      <c r="H170" s="31">
        <v>3457</v>
      </c>
      <c r="I170" s="31">
        <v>3398</v>
      </c>
      <c r="J170" s="31">
        <v>3245</v>
      </c>
      <c r="K170" s="31">
        <v>3344</v>
      </c>
      <c r="L170" s="31">
        <v>3373</v>
      </c>
      <c r="N170" s="725" t="s">
        <v>1190</v>
      </c>
      <c r="O170" s="4"/>
      <c r="Q170" s="4"/>
    </row>
    <row r="171" spans="1:17">
      <c r="A171" s="725" t="s">
        <v>7021</v>
      </c>
      <c r="B171" s="725" t="s">
        <v>67</v>
      </c>
      <c r="C171" s="4" t="s">
        <v>11080</v>
      </c>
      <c r="D171" s="728">
        <v>1278</v>
      </c>
      <c r="E171" s="728">
        <v>1295</v>
      </c>
      <c r="F171" s="728">
        <v>1326</v>
      </c>
      <c r="G171" s="31">
        <v>1335</v>
      </c>
      <c r="H171" s="31">
        <v>1340</v>
      </c>
      <c r="I171" s="31">
        <v>1337</v>
      </c>
      <c r="J171" s="31">
        <v>1312</v>
      </c>
      <c r="K171" s="31">
        <v>1332</v>
      </c>
      <c r="L171" s="31">
        <v>1315</v>
      </c>
      <c r="N171" s="725" t="s">
        <v>1190</v>
      </c>
      <c r="O171" s="4"/>
      <c r="Q171" s="4"/>
    </row>
    <row r="172" spans="1:17">
      <c r="A172" s="725" t="s">
        <v>7023</v>
      </c>
      <c r="B172" s="725" t="s">
        <v>1304</v>
      </c>
      <c r="C172" s="4" t="s">
        <v>11081</v>
      </c>
      <c r="D172" s="728">
        <v>1488</v>
      </c>
      <c r="E172" s="728">
        <v>1512</v>
      </c>
      <c r="F172" s="728">
        <v>1519</v>
      </c>
      <c r="G172" s="31">
        <v>1526</v>
      </c>
      <c r="H172" s="31">
        <v>1530</v>
      </c>
      <c r="I172" s="31">
        <v>1498</v>
      </c>
      <c r="J172" s="31">
        <v>1488</v>
      </c>
      <c r="K172" s="31">
        <v>1542</v>
      </c>
      <c r="L172" s="31">
        <v>1534</v>
      </c>
      <c r="N172" s="725" t="s">
        <v>1190</v>
      </c>
      <c r="O172" s="4"/>
      <c r="Q172" s="4"/>
    </row>
    <row r="173" spans="1:17">
      <c r="A173" s="725" t="s">
        <v>7025</v>
      </c>
      <c r="B173" s="725" t="s">
        <v>2974</v>
      </c>
      <c r="C173" s="4" t="s">
        <v>11082</v>
      </c>
      <c r="D173" s="728">
        <v>1430</v>
      </c>
      <c r="E173" s="728">
        <v>1431</v>
      </c>
      <c r="F173" s="728">
        <v>1459</v>
      </c>
      <c r="G173" s="31">
        <v>1482</v>
      </c>
      <c r="H173" s="31">
        <v>1482</v>
      </c>
      <c r="I173" s="31">
        <v>1462</v>
      </c>
      <c r="J173" s="31">
        <v>1437</v>
      </c>
      <c r="K173" s="31">
        <v>1455</v>
      </c>
      <c r="L173" s="31">
        <v>1463</v>
      </c>
      <c r="N173" s="725" t="s">
        <v>1190</v>
      </c>
      <c r="O173" s="4"/>
      <c r="Q173" s="4"/>
    </row>
    <row r="174" spans="1:17">
      <c r="A174" s="725" t="s">
        <v>7570</v>
      </c>
      <c r="B174" s="725" t="s">
        <v>2975</v>
      </c>
      <c r="C174" s="4" t="s">
        <v>11083</v>
      </c>
      <c r="D174" s="728">
        <v>1694</v>
      </c>
      <c r="E174" s="728">
        <v>1674</v>
      </c>
      <c r="F174" s="728">
        <v>1721</v>
      </c>
      <c r="G174" s="31">
        <v>1750</v>
      </c>
      <c r="H174" s="31">
        <v>1805</v>
      </c>
      <c r="I174" s="31">
        <v>1778</v>
      </c>
      <c r="J174" s="31">
        <v>1754</v>
      </c>
      <c r="K174" s="31">
        <v>1820</v>
      </c>
      <c r="L174" s="31">
        <v>1810</v>
      </c>
      <c r="N174" s="725" t="s">
        <v>1190</v>
      </c>
      <c r="O174" s="4"/>
      <c r="Q174" s="4"/>
    </row>
    <row r="175" spans="1:17">
      <c r="D175" s="729"/>
      <c r="E175" s="729"/>
      <c r="F175" s="729"/>
      <c r="G175" s="729"/>
      <c r="H175" s="729"/>
      <c r="I175" s="729"/>
      <c r="J175" s="729"/>
      <c r="K175" s="729"/>
      <c r="L175" s="729"/>
      <c r="O175" s="4"/>
      <c r="Q175" s="4"/>
    </row>
    <row r="176" spans="1:17">
      <c r="A176" s="725" t="s">
        <v>4701</v>
      </c>
      <c r="D176" s="728">
        <f t="shared" ref="D176:I176" si="160">D154+D155+D156</f>
        <v>10866</v>
      </c>
      <c r="E176" s="728">
        <f t="shared" si="160"/>
        <v>10980</v>
      </c>
      <c r="F176" s="728">
        <f t="shared" si="160"/>
        <v>11114</v>
      </c>
      <c r="G176" s="728">
        <f t="shared" si="160"/>
        <v>11192</v>
      </c>
      <c r="H176" s="728">
        <f t="shared" si="160"/>
        <v>11322</v>
      </c>
      <c r="I176" s="728">
        <f t="shared" si="160"/>
        <v>11106</v>
      </c>
      <c r="J176" s="728">
        <f t="shared" ref="J176:K176" si="161">J154+J155+J156</f>
        <v>11059</v>
      </c>
      <c r="K176" s="728">
        <f t="shared" si="161"/>
        <v>11304</v>
      </c>
      <c r="L176" s="728">
        <f t="shared" ref="L176" si="162">L154+L155+L156</f>
        <v>11333</v>
      </c>
      <c r="O176" s="4"/>
      <c r="Q176" s="4"/>
    </row>
    <row r="177" spans="1:17">
      <c r="A177" s="725" t="s">
        <v>2146</v>
      </c>
      <c r="D177" s="728">
        <f t="shared" ref="D177:I177" si="163">SUM(D157:D174)</f>
        <v>54147</v>
      </c>
      <c r="E177" s="728">
        <f t="shared" si="163"/>
        <v>54506</v>
      </c>
      <c r="F177" s="728">
        <f t="shared" si="163"/>
        <v>55061</v>
      </c>
      <c r="G177" s="728">
        <f t="shared" si="163"/>
        <v>55014</v>
      </c>
      <c r="H177" s="728">
        <f t="shared" si="163"/>
        <v>55609</v>
      </c>
      <c r="I177" s="728">
        <f t="shared" si="163"/>
        <v>54735</v>
      </c>
      <c r="J177" s="728">
        <f t="shared" ref="J177:K177" si="164">SUM(J157:J174)</f>
        <v>53738</v>
      </c>
      <c r="K177" s="728">
        <f t="shared" si="164"/>
        <v>55297</v>
      </c>
      <c r="L177" s="728">
        <f t="shared" ref="L177" si="165">SUM(L157:L174)</f>
        <v>55124</v>
      </c>
    </row>
    <row r="179" spans="1:17">
      <c r="A179" s="725" t="s">
        <v>2976</v>
      </c>
    </row>
    <row r="180" spans="1:17">
      <c r="A180" s="725"/>
    </row>
    <row r="181" spans="1:17">
      <c r="A181" s="725"/>
    </row>
    <row r="182" spans="1:17">
      <c r="E182" s="42" t="s">
        <v>2303</v>
      </c>
      <c r="F182" s="42"/>
      <c r="G182" s="42"/>
      <c r="H182" s="42"/>
      <c r="I182" s="42"/>
      <c r="J182" s="42"/>
      <c r="K182" s="42"/>
      <c r="L182" s="42"/>
      <c r="M182" s="109"/>
      <c r="N182" s="109" t="s">
        <v>13319</v>
      </c>
    </row>
    <row r="183" spans="1:17">
      <c r="D183" s="727">
        <v>2010</v>
      </c>
      <c r="E183" s="727">
        <v>2011</v>
      </c>
      <c r="F183" s="727">
        <v>2012</v>
      </c>
      <c r="G183" s="727">
        <v>2013</v>
      </c>
      <c r="H183" s="727">
        <v>2014</v>
      </c>
      <c r="I183" s="727">
        <v>2015</v>
      </c>
      <c r="J183" s="727">
        <v>2016</v>
      </c>
      <c r="K183" s="727">
        <v>2017</v>
      </c>
      <c r="L183" s="727">
        <v>2018</v>
      </c>
      <c r="N183" s="112" t="s">
        <v>2304</v>
      </c>
    </row>
    <row r="184" spans="1:17">
      <c r="A184" s="725" t="s">
        <v>2977</v>
      </c>
      <c r="C184" s="725"/>
      <c r="D184" s="728">
        <f t="shared" ref="D184:I184" si="166">SUM(D185:D203)</f>
        <v>98331</v>
      </c>
      <c r="E184" s="728">
        <f t="shared" si="166"/>
        <v>99470</v>
      </c>
      <c r="F184" s="728">
        <f t="shared" si="166"/>
        <v>100036</v>
      </c>
      <c r="G184" s="728">
        <f t="shared" si="166"/>
        <v>100486</v>
      </c>
      <c r="H184" s="728">
        <f t="shared" si="166"/>
        <v>99449</v>
      </c>
      <c r="I184" s="728">
        <f t="shared" si="166"/>
        <v>101001</v>
      </c>
      <c r="J184" s="728">
        <f t="shared" ref="J184:K184" si="167">SUM(J185:J203)</f>
        <v>99976</v>
      </c>
      <c r="K184" s="728">
        <f t="shared" si="167"/>
        <v>101796</v>
      </c>
      <c r="L184" s="728">
        <f t="shared" ref="L184" si="168">SUM(L185:L203)</f>
        <v>101943</v>
      </c>
    </row>
    <row r="185" spans="1:17">
      <c r="A185" s="725" t="s">
        <v>6957</v>
      </c>
      <c r="B185" s="725" t="s">
        <v>2978</v>
      </c>
      <c r="C185" s="4" t="s">
        <v>11084</v>
      </c>
      <c r="D185" s="728">
        <v>6352</v>
      </c>
      <c r="E185" s="728">
        <v>6351</v>
      </c>
      <c r="F185" s="728">
        <v>6404</v>
      </c>
      <c r="G185" s="48">
        <v>6400</v>
      </c>
      <c r="H185" s="30">
        <v>6269</v>
      </c>
      <c r="I185" s="30">
        <v>6295</v>
      </c>
      <c r="J185" s="30">
        <v>6119</v>
      </c>
      <c r="K185" s="30">
        <v>6192</v>
      </c>
      <c r="L185" s="30">
        <v>6090</v>
      </c>
      <c r="N185" s="725" t="s">
        <v>1191</v>
      </c>
      <c r="O185" s="4"/>
      <c r="Q185" s="4"/>
    </row>
    <row r="186" spans="1:17">
      <c r="A186" s="725" t="s">
        <v>6959</v>
      </c>
      <c r="B186" s="725" t="s">
        <v>2979</v>
      </c>
      <c r="C186" s="4" t="s">
        <v>11085</v>
      </c>
      <c r="D186" s="728">
        <v>6499</v>
      </c>
      <c r="E186" s="728">
        <v>6570</v>
      </c>
      <c r="F186" s="728">
        <v>6628</v>
      </c>
      <c r="G186" s="48">
        <v>6602</v>
      </c>
      <c r="H186" s="30">
        <v>6536</v>
      </c>
      <c r="I186" s="30">
        <v>6587</v>
      </c>
      <c r="J186" s="30">
        <v>6528</v>
      </c>
      <c r="K186" s="30">
        <v>6619</v>
      </c>
      <c r="L186" s="30">
        <v>6587</v>
      </c>
      <c r="N186" s="725" t="s">
        <v>1191</v>
      </c>
      <c r="O186" s="4"/>
      <c r="Q186" s="4"/>
    </row>
    <row r="187" spans="1:17">
      <c r="A187" s="725" t="s">
        <v>6961</v>
      </c>
      <c r="B187" s="725" t="s">
        <v>2980</v>
      </c>
      <c r="C187" s="4" t="s">
        <v>11086</v>
      </c>
      <c r="D187" s="728">
        <v>6265</v>
      </c>
      <c r="E187" s="728">
        <v>6294</v>
      </c>
      <c r="F187" s="728">
        <v>6371</v>
      </c>
      <c r="G187" s="48">
        <v>6410</v>
      </c>
      <c r="H187" s="30">
        <v>6201</v>
      </c>
      <c r="I187" s="30">
        <v>6284</v>
      </c>
      <c r="J187" s="30">
        <v>6255</v>
      </c>
      <c r="K187" s="30">
        <v>6363</v>
      </c>
      <c r="L187" s="30">
        <v>6359</v>
      </c>
      <c r="N187" s="725" t="s">
        <v>1191</v>
      </c>
      <c r="O187" s="4"/>
      <c r="Q187" s="4"/>
    </row>
    <row r="188" spans="1:17">
      <c r="A188" s="725" t="s">
        <v>6963</v>
      </c>
      <c r="B188" s="725" t="s">
        <v>2981</v>
      </c>
      <c r="C188" s="4" t="s">
        <v>11087</v>
      </c>
      <c r="D188" s="728">
        <v>5939</v>
      </c>
      <c r="E188" s="728">
        <v>6003</v>
      </c>
      <c r="F188" s="728">
        <v>4523</v>
      </c>
      <c r="G188" s="48">
        <v>5928</v>
      </c>
      <c r="H188" s="30">
        <v>5825</v>
      </c>
      <c r="I188" s="30">
        <v>5858</v>
      </c>
      <c r="J188" s="30">
        <v>5851</v>
      </c>
      <c r="K188" s="30">
        <v>6047</v>
      </c>
      <c r="L188" s="30">
        <v>6058</v>
      </c>
      <c r="N188" s="725" t="s">
        <v>1181</v>
      </c>
    </row>
    <row r="189" spans="1:17">
      <c r="A189" s="725" t="s">
        <v>6965</v>
      </c>
      <c r="B189" s="725" t="s">
        <v>1415</v>
      </c>
      <c r="C189" s="4" t="s">
        <v>11088</v>
      </c>
      <c r="D189" s="728">
        <v>4136</v>
      </c>
      <c r="E189" s="728">
        <v>4329</v>
      </c>
      <c r="F189" s="728">
        <v>5969</v>
      </c>
      <c r="G189" s="48">
        <v>4548</v>
      </c>
      <c r="H189" s="30">
        <v>4712</v>
      </c>
      <c r="I189" s="30">
        <v>4992</v>
      </c>
      <c r="J189" s="30">
        <v>5145</v>
      </c>
      <c r="K189" s="30">
        <v>5391</v>
      </c>
      <c r="L189" s="30">
        <v>5451</v>
      </c>
      <c r="N189" s="725" t="s">
        <v>1181</v>
      </c>
    </row>
    <row r="190" spans="1:17">
      <c r="A190" s="725" t="s">
        <v>6997</v>
      </c>
      <c r="B190" s="725" t="s">
        <v>1416</v>
      </c>
      <c r="C190" s="4" t="s">
        <v>11089</v>
      </c>
      <c r="D190" s="728">
        <v>5765</v>
      </c>
      <c r="E190" s="728">
        <v>5757</v>
      </c>
      <c r="F190" s="728">
        <v>5735</v>
      </c>
      <c r="G190" s="48">
        <v>5667</v>
      </c>
      <c r="H190" s="30">
        <v>5659</v>
      </c>
      <c r="I190" s="30">
        <v>5732</v>
      </c>
      <c r="J190" s="30">
        <v>5645</v>
      </c>
      <c r="K190" s="30">
        <v>5736</v>
      </c>
      <c r="L190" s="30">
        <v>5764</v>
      </c>
      <c r="N190" s="725" t="s">
        <v>1181</v>
      </c>
      <c r="O190" s="4"/>
      <c r="Q190" s="4"/>
    </row>
    <row r="191" spans="1:17">
      <c r="A191" s="725" t="s">
        <v>6999</v>
      </c>
      <c r="B191" s="725" t="s">
        <v>1417</v>
      </c>
      <c r="C191" s="4" t="s">
        <v>11090</v>
      </c>
      <c r="D191" s="728">
        <v>5342</v>
      </c>
      <c r="E191" s="728">
        <v>5359</v>
      </c>
      <c r="F191" s="728">
        <v>5370</v>
      </c>
      <c r="G191" s="48">
        <v>5391</v>
      </c>
      <c r="H191" s="30">
        <v>5455</v>
      </c>
      <c r="I191" s="30">
        <v>5564</v>
      </c>
      <c r="J191" s="30">
        <v>5489</v>
      </c>
      <c r="K191" s="30">
        <v>5518</v>
      </c>
      <c r="L191" s="30">
        <v>5534</v>
      </c>
      <c r="N191" s="725" t="s">
        <v>1191</v>
      </c>
      <c r="O191" s="4"/>
      <c r="Q191" s="4"/>
    </row>
    <row r="192" spans="1:17">
      <c r="A192" s="725" t="s">
        <v>7001</v>
      </c>
      <c r="B192" s="725" t="s">
        <v>1418</v>
      </c>
      <c r="C192" s="4" t="s">
        <v>11091</v>
      </c>
      <c r="D192" s="728">
        <v>5547</v>
      </c>
      <c r="E192" s="728">
        <v>5600</v>
      </c>
      <c r="F192" s="728">
        <v>5590</v>
      </c>
      <c r="G192" s="48">
        <v>5659</v>
      </c>
      <c r="H192" s="30">
        <v>5549</v>
      </c>
      <c r="I192" s="30">
        <v>5634</v>
      </c>
      <c r="J192" s="30">
        <v>5520</v>
      </c>
      <c r="K192" s="30">
        <v>5664</v>
      </c>
      <c r="L192" s="30">
        <v>5700</v>
      </c>
      <c r="N192" s="725" t="s">
        <v>1191</v>
      </c>
      <c r="O192" s="4"/>
      <c r="Q192" s="4"/>
    </row>
    <row r="193" spans="1:17">
      <c r="A193" s="725" t="s">
        <v>7003</v>
      </c>
      <c r="B193" s="725" t="s">
        <v>1419</v>
      </c>
      <c r="C193" s="4" t="s">
        <v>11092</v>
      </c>
      <c r="D193" s="728">
        <v>5569</v>
      </c>
      <c r="E193" s="728">
        <v>5607</v>
      </c>
      <c r="F193" s="728">
        <v>5577</v>
      </c>
      <c r="G193" s="48">
        <v>5592</v>
      </c>
      <c r="H193" s="30">
        <v>5462</v>
      </c>
      <c r="I193" s="30">
        <v>5525</v>
      </c>
      <c r="J193" s="30">
        <v>5483</v>
      </c>
      <c r="K193" s="30">
        <v>5578</v>
      </c>
      <c r="L193" s="30">
        <v>5607</v>
      </c>
      <c r="N193" s="725" t="s">
        <v>1191</v>
      </c>
      <c r="O193" s="4"/>
      <c r="Q193" s="4"/>
    </row>
    <row r="194" spans="1:17">
      <c r="A194" s="725" t="s">
        <v>7005</v>
      </c>
      <c r="B194" s="725" t="s">
        <v>1420</v>
      </c>
      <c r="C194" s="4" t="s">
        <v>11093</v>
      </c>
      <c r="D194" s="728">
        <v>5712</v>
      </c>
      <c r="E194" s="728">
        <v>5765</v>
      </c>
      <c r="F194" s="728">
        <v>5837</v>
      </c>
      <c r="G194" s="48">
        <v>5999</v>
      </c>
      <c r="H194" s="30">
        <v>5917</v>
      </c>
      <c r="I194" s="30">
        <v>6015</v>
      </c>
      <c r="J194" s="30">
        <v>6035</v>
      </c>
      <c r="K194" s="30">
        <v>6154</v>
      </c>
      <c r="L194" s="30">
        <v>6180</v>
      </c>
      <c r="N194" s="725" t="s">
        <v>1183</v>
      </c>
      <c r="O194" s="4"/>
      <c r="Q194" s="4"/>
    </row>
    <row r="195" spans="1:17">
      <c r="A195" s="725" t="s">
        <v>7007</v>
      </c>
      <c r="B195" s="725" t="s">
        <v>5081</v>
      </c>
      <c r="C195" s="4" t="s">
        <v>11094</v>
      </c>
      <c r="D195" s="728">
        <v>1886</v>
      </c>
      <c r="E195" s="728">
        <v>1898</v>
      </c>
      <c r="F195" s="728">
        <v>1891</v>
      </c>
      <c r="G195" s="48">
        <v>1877</v>
      </c>
      <c r="H195" s="30">
        <v>1856</v>
      </c>
      <c r="I195" s="30">
        <v>1907</v>
      </c>
      <c r="J195" s="30">
        <v>1874</v>
      </c>
      <c r="K195" s="30">
        <v>1936</v>
      </c>
      <c r="L195" s="30">
        <v>2016</v>
      </c>
      <c r="N195" s="725" t="s">
        <v>1191</v>
      </c>
      <c r="O195" s="4"/>
      <c r="Q195" s="4"/>
    </row>
    <row r="196" spans="1:17">
      <c r="A196" s="725" t="s">
        <v>7009</v>
      </c>
      <c r="B196" s="725" t="s">
        <v>1421</v>
      </c>
      <c r="C196" s="4" t="s">
        <v>11095</v>
      </c>
      <c r="D196" s="728">
        <v>6322</v>
      </c>
      <c r="E196" s="728">
        <v>6609</v>
      </c>
      <c r="F196" s="728">
        <v>6780</v>
      </c>
      <c r="G196" s="48">
        <v>6949</v>
      </c>
      <c r="H196" s="30">
        <v>6739</v>
      </c>
      <c r="I196" s="30">
        <v>6901</v>
      </c>
      <c r="J196" s="30">
        <v>6869</v>
      </c>
      <c r="K196" s="30">
        <v>6956</v>
      </c>
      <c r="L196" s="30">
        <v>6858</v>
      </c>
      <c r="N196" s="725" t="s">
        <v>1191</v>
      </c>
      <c r="O196" s="4"/>
      <c r="Q196" s="4"/>
    </row>
    <row r="197" spans="1:17">
      <c r="A197" s="725" t="s">
        <v>7011</v>
      </c>
      <c r="B197" s="725" t="s">
        <v>1422</v>
      </c>
      <c r="C197" s="4" t="s">
        <v>11096</v>
      </c>
      <c r="D197" s="728">
        <v>5657</v>
      </c>
      <c r="E197" s="728">
        <v>5649</v>
      </c>
      <c r="F197" s="728">
        <v>5700</v>
      </c>
      <c r="G197" s="48">
        <v>5732</v>
      </c>
      <c r="H197" s="30">
        <v>5586</v>
      </c>
      <c r="I197" s="30">
        <v>5702</v>
      </c>
      <c r="J197" s="30">
        <v>5666</v>
      </c>
      <c r="K197" s="30">
        <v>5689</v>
      </c>
      <c r="L197" s="30">
        <v>5760</v>
      </c>
      <c r="N197" s="725" t="s">
        <v>1191</v>
      </c>
      <c r="O197" s="4"/>
      <c r="Q197" s="4"/>
    </row>
    <row r="198" spans="1:17">
      <c r="A198" s="725" t="s">
        <v>7013</v>
      </c>
      <c r="B198" s="725" t="s">
        <v>1423</v>
      </c>
      <c r="C198" s="4" t="s">
        <v>11097</v>
      </c>
      <c r="D198" s="728">
        <v>5248</v>
      </c>
      <c r="E198" s="728">
        <v>5291</v>
      </c>
      <c r="F198" s="728">
        <v>5325</v>
      </c>
      <c r="G198" s="48">
        <v>5388</v>
      </c>
      <c r="H198" s="30">
        <v>5280</v>
      </c>
      <c r="I198" s="30">
        <v>5258</v>
      </c>
      <c r="J198" s="30">
        <v>5195</v>
      </c>
      <c r="K198" s="30">
        <v>5240</v>
      </c>
      <c r="L198" s="30">
        <v>5225</v>
      </c>
      <c r="N198" s="725" t="s">
        <v>1191</v>
      </c>
      <c r="O198" s="4"/>
      <c r="Q198" s="4"/>
    </row>
    <row r="199" spans="1:17">
      <c r="A199" s="725" t="s">
        <v>7015</v>
      </c>
      <c r="B199" s="725" t="s">
        <v>1424</v>
      </c>
      <c r="C199" s="4" t="s">
        <v>11098</v>
      </c>
      <c r="D199" s="728">
        <v>3965</v>
      </c>
      <c r="E199" s="728">
        <v>3997</v>
      </c>
      <c r="F199" s="728">
        <v>4019</v>
      </c>
      <c r="G199" s="48">
        <v>4056</v>
      </c>
      <c r="H199" s="31">
        <v>4142</v>
      </c>
      <c r="I199" s="31">
        <v>4190</v>
      </c>
      <c r="J199" s="31">
        <v>4130</v>
      </c>
      <c r="K199" s="31">
        <v>4178</v>
      </c>
      <c r="L199" s="31">
        <v>4180</v>
      </c>
      <c r="N199" s="725" t="s">
        <v>1191</v>
      </c>
      <c r="O199" s="4"/>
      <c r="Q199" s="4"/>
    </row>
    <row r="200" spans="1:17">
      <c r="A200" s="725" t="s">
        <v>7017</v>
      </c>
      <c r="B200" s="725" t="s">
        <v>1425</v>
      </c>
      <c r="C200" s="4" t="s">
        <v>11099</v>
      </c>
      <c r="D200" s="728">
        <v>2001</v>
      </c>
      <c r="E200" s="728">
        <v>2024</v>
      </c>
      <c r="F200" s="728">
        <v>2051</v>
      </c>
      <c r="G200" s="48">
        <v>2053</v>
      </c>
      <c r="H200" s="31">
        <v>2030</v>
      </c>
      <c r="I200" s="31">
        <v>2066</v>
      </c>
      <c r="J200" s="31">
        <v>2045</v>
      </c>
      <c r="K200" s="31">
        <v>2117</v>
      </c>
      <c r="L200" s="31">
        <v>2139</v>
      </c>
      <c r="N200" s="725" t="s">
        <v>1191</v>
      </c>
      <c r="O200" s="4"/>
      <c r="Q200" s="4"/>
    </row>
    <row r="201" spans="1:17">
      <c r="A201" s="725" t="s">
        <v>7019</v>
      </c>
      <c r="B201" s="725" t="s">
        <v>1426</v>
      </c>
      <c r="C201" s="4" t="s">
        <v>11100</v>
      </c>
      <c r="D201" s="728">
        <v>5210</v>
      </c>
      <c r="E201" s="728">
        <v>5323</v>
      </c>
      <c r="F201" s="728">
        <v>5273</v>
      </c>
      <c r="G201" s="48">
        <v>5209</v>
      </c>
      <c r="H201" s="31">
        <v>5235</v>
      </c>
      <c r="I201" s="31">
        <v>5344</v>
      </c>
      <c r="J201" s="31">
        <v>5192</v>
      </c>
      <c r="K201" s="31">
        <v>5308</v>
      </c>
      <c r="L201" s="31">
        <v>5278</v>
      </c>
      <c r="N201" s="725" t="s">
        <v>1191</v>
      </c>
      <c r="O201" s="4"/>
      <c r="Q201" s="4"/>
    </row>
    <row r="202" spans="1:17">
      <c r="A202" s="725" t="s">
        <v>7021</v>
      </c>
      <c r="B202" s="725" t="s">
        <v>1427</v>
      </c>
      <c r="C202" s="4" t="s">
        <v>11101</v>
      </c>
      <c r="D202" s="728">
        <v>5370</v>
      </c>
      <c r="E202" s="728">
        <v>5471</v>
      </c>
      <c r="F202" s="728">
        <v>5459</v>
      </c>
      <c r="G202" s="48">
        <v>5451</v>
      </c>
      <c r="H202" s="31">
        <v>5476</v>
      </c>
      <c r="I202" s="31">
        <v>5529</v>
      </c>
      <c r="J202" s="31">
        <v>5413</v>
      </c>
      <c r="K202" s="31">
        <v>5482</v>
      </c>
      <c r="L202" s="31">
        <v>5522</v>
      </c>
      <c r="N202" s="725" t="s">
        <v>1191</v>
      </c>
      <c r="O202" s="4"/>
      <c r="Q202" s="4"/>
    </row>
    <row r="203" spans="1:17">
      <c r="A203" s="735">
        <v>19</v>
      </c>
      <c r="B203" s="725" t="s">
        <v>3150</v>
      </c>
      <c r="C203" s="4" t="s">
        <v>11102</v>
      </c>
      <c r="D203" s="728">
        <v>5546</v>
      </c>
      <c r="E203" s="728">
        <v>5573</v>
      </c>
      <c r="F203" s="728">
        <v>5534</v>
      </c>
      <c r="G203" s="48">
        <v>5575</v>
      </c>
      <c r="H203" s="30">
        <v>5520</v>
      </c>
      <c r="I203" s="30">
        <v>5618</v>
      </c>
      <c r="J203" s="30">
        <v>5522</v>
      </c>
      <c r="K203" s="30">
        <v>5628</v>
      </c>
      <c r="L203" s="30">
        <v>5635</v>
      </c>
      <c r="N203" s="725" t="s">
        <v>1183</v>
      </c>
      <c r="O203" s="4"/>
      <c r="Q203" s="4"/>
    </row>
    <row r="204" spans="1:17">
      <c r="D204" s="729"/>
      <c r="E204" s="729"/>
      <c r="F204" s="729"/>
      <c r="G204" s="729"/>
      <c r="H204" s="729"/>
      <c r="I204" s="729"/>
      <c r="J204" s="729"/>
      <c r="K204" s="729"/>
      <c r="L204" s="729"/>
      <c r="O204" s="4"/>
      <c r="Q204" s="4"/>
    </row>
    <row r="205" spans="1:17">
      <c r="A205" s="725" t="s">
        <v>3151</v>
      </c>
      <c r="D205" s="728">
        <f t="shared" ref="D205:I205" si="169">SUM(D188:D190)</f>
        <v>15840</v>
      </c>
      <c r="E205" s="728">
        <f t="shared" si="169"/>
        <v>16089</v>
      </c>
      <c r="F205" s="728">
        <f t="shared" si="169"/>
        <v>16227</v>
      </c>
      <c r="G205" s="728">
        <f t="shared" si="169"/>
        <v>16143</v>
      </c>
      <c r="H205" s="728">
        <f t="shared" si="169"/>
        <v>16196</v>
      </c>
      <c r="I205" s="728">
        <f t="shared" si="169"/>
        <v>16582</v>
      </c>
      <c r="J205" s="728">
        <f>SUM(J188:J190)</f>
        <v>16641</v>
      </c>
      <c r="K205" s="728">
        <f t="shared" ref="K205" si="170">SUM(K188:K190)</f>
        <v>17174</v>
      </c>
      <c r="L205" s="728">
        <f t="shared" ref="L205" si="171">SUM(L188:L190)</f>
        <v>17273</v>
      </c>
      <c r="O205" s="4"/>
      <c r="Q205" s="4"/>
    </row>
    <row r="206" spans="1:17">
      <c r="A206" s="725" t="s">
        <v>4701</v>
      </c>
      <c r="D206" s="728">
        <f t="shared" ref="D206:I206" si="172">D194+D203</f>
        <v>11258</v>
      </c>
      <c r="E206" s="728">
        <f t="shared" si="172"/>
        <v>11338</v>
      </c>
      <c r="F206" s="728">
        <f t="shared" si="172"/>
        <v>11371</v>
      </c>
      <c r="G206" s="728">
        <f t="shared" si="172"/>
        <v>11574</v>
      </c>
      <c r="H206" s="728">
        <f t="shared" si="172"/>
        <v>11437</v>
      </c>
      <c r="I206" s="728">
        <f t="shared" si="172"/>
        <v>11633</v>
      </c>
      <c r="J206" s="728">
        <f>J194+J203</f>
        <v>11557</v>
      </c>
      <c r="K206" s="728">
        <f t="shared" ref="K206" si="173">K194+K203</f>
        <v>11782</v>
      </c>
      <c r="L206" s="728">
        <f t="shared" ref="L206" si="174">L194+L203</f>
        <v>11815</v>
      </c>
    </row>
    <row r="207" spans="1:17">
      <c r="A207" s="725" t="s">
        <v>1191</v>
      </c>
      <c r="D207" s="728">
        <f t="shared" ref="D207:I207" si="175">SUM(D185:D187)+SUM(D191:D193)+SUM(D195:D202)</f>
        <v>71233</v>
      </c>
      <c r="E207" s="728">
        <f t="shared" si="175"/>
        <v>72043</v>
      </c>
      <c r="F207" s="728">
        <f t="shared" si="175"/>
        <v>72438</v>
      </c>
      <c r="G207" s="728">
        <f t="shared" si="175"/>
        <v>72769</v>
      </c>
      <c r="H207" s="728">
        <f t="shared" si="175"/>
        <v>71816</v>
      </c>
      <c r="I207" s="728">
        <f t="shared" si="175"/>
        <v>72786</v>
      </c>
      <c r="J207" s="728">
        <f>SUM(J185:J187)+SUM(J191:J193)+SUM(J195:J202)</f>
        <v>71778</v>
      </c>
      <c r="K207" s="728">
        <f t="shared" ref="K207" si="176">SUM(K185:K187)+SUM(K191:K193)+SUM(K195:K202)</f>
        <v>72840</v>
      </c>
      <c r="L207" s="728">
        <f t="shared" ref="L207" si="177">SUM(L185:L187)+SUM(L191:L193)+SUM(L195:L202)</f>
        <v>72855</v>
      </c>
    </row>
    <row r="208" spans="1:17">
      <c r="A208" s="725"/>
      <c r="B208" s="725"/>
      <c r="D208" s="728"/>
      <c r="E208" s="728"/>
      <c r="F208" s="728"/>
      <c r="G208" s="728"/>
      <c r="H208" s="728"/>
      <c r="I208" s="728"/>
      <c r="J208" s="728"/>
      <c r="K208" s="728"/>
      <c r="L208" s="728"/>
    </row>
    <row r="209" spans="1:17">
      <c r="A209" s="725" t="s">
        <v>3152</v>
      </c>
      <c r="B209" s="725"/>
      <c r="D209" s="728"/>
      <c r="E209" s="728"/>
      <c r="F209" s="728"/>
      <c r="G209" s="728"/>
      <c r="H209" s="728"/>
      <c r="I209" s="728"/>
      <c r="J209" s="728"/>
      <c r="K209" s="728"/>
      <c r="L209" s="728"/>
    </row>
    <row r="210" spans="1:17">
      <c r="A210" s="725"/>
      <c r="B210" s="725"/>
      <c r="D210" s="736"/>
      <c r="E210" s="736"/>
      <c r="F210" s="736"/>
      <c r="G210" s="736"/>
      <c r="H210" s="736"/>
      <c r="I210" s="736"/>
      <c r="J210" s="736"/>
      <c r="K210" s="736"/>
      <c r="L210" s="736"/>
    </row>
    <row r="211" spans="1:17">
      <c r="A211" s="725"/>
      <c r="B211" s="725"/>
      <c r="D211" s="736"/>
      <c r="E211" s="736"/>
      <c r="F211" s="736"/>
      <c r="G211" s="736"/>
      <c r="H211" s="736"/>
      <c r="I211" s="736"/>
      <c r="J211" s="736"/>
      <c r="K211" s="736"/>
      <c r="L211" s="736"/>
    </row>
    <row r="212" spans="1:17">
      <c r="E212" s="42" t="s">
        <v>2303</v>
      </c>
      <c r="F212" s="42"/>
      <c r="G212" s="42"/>
      <c r="H212" s="42"/>
      <c r="I212" s="42"/>
      <c r="J212" s="42"/>
      <c r="K212" s="42"/>
      <c r="L212" s="42"/>
      <c r="M212" s="109"/>
      <c r="N212" s="109" t="s">
        <v>13319</v>
      </c>
    </row>
    <row r="213" spans="1:17">
      <c r="D213" s="727">
        <v>2010</v>
      </c>
      <c r="E213" s="727">
        <v>2011</v>
      </c>
      <c r="F213" s="727">
        <v>2012</v>
      </c>
      <c r="G213" s="727">
        <v>2013</v>
      </c>
      <c r="H213" s="727">
        <v>2014</v>
      </c>
      <c r="I213" s="727">
        <v>2015</v>
      </c>
      <c r="J213" s="727">
        <v>2016</v>
      </c>
      <c r="K213" s="727">
        <v>2017</v>
      </c>
      <c r="L213" s="727">
        <v>2018</v>
      </c>
      <c r="N213" s="112" t="s">
        <v>2304</v>
      </c>
    </row>
    <row r="214" spans="1:17">
      <c r="A214" s="725" t="s">
        <v>3153</v>
      </c>
      <c r="D214" s="728">
        <f t="shared" ref="D214:I214" si="178">SUM(D215:D228)</f>
        <v>57856</v>
      </c>
      <c r="E214" s="728">
        <f t="shared" si="178"/>
        <v>58619</v>
      </c>
      <c r="F214" s="728">
        <f t="shared" si="178"/>
        <v>58962</v>
      </c>
      <c r="G214" s="728">
        <f t="shared" si="178"/>
        <v>59436</v>
      </c>
      <c r="H214" s="728">
        <f t="shared" si="178"/>
        <v>60363</v>
      </c>
      <c r="I214" s="728">
        <f t="shared" si="178"/>
        <v>56471</v>
      </c>
      <c r="J214" s="728">
        <f t="shared" ref="J214:K214" si="179">SUM(J215:J228)</f>
        <v>55472</v>
      </c>
      <c r="K214" s="728">
        <f t="shared" si="179"/>
        <v>57951</v>
      </c>
      <c r="L214" s="728">
        <f t="shared" ref="L214" si="180">SUM(L215:L228)</f>
        <v>56357</v>
      </c>
    </row>
    <row r="215" spans="1:17">
      <c r="A215" s="725" t="s">
        <v>6957</v>
      </c>
      <c r="B215" s="725" t="s">
        <v>3154</v>
      </c>
      <c r="C215" s="4" t="s">
        <v>11103</v>
      </c>
      <c r="D215" s="728">
        <v>4098</v>
      </c>
      <c r="E215" s="728">
        <v>4209</v>
      </c>
      <c r="F215" s="728">
        <v>4248</v>
      </c>
      <c r="G215" s="30">
        <v>4274</v>
      </c>
      <c r="H215" s="30">
        <v>4280</v>
      </c>
      <c r="I215" s="30">
        <v>4169</v>
      </c>
      <c r="J215" s="30">
        <v>4005</v>
      </c>
      <c r="K215" s="30">
        <v>4087</v>
      </c>
      <c r="L215" s="30">
        <v>4056</v>
      </c>
      <c r="N215" s="725" t="s">
        <v>1192</v>
      </c>
    </row>
    <row r="216" spans="1:17">
      <c r="A216" s="725" t="s">
        <v>6959</v>
      </c>
      <c r="B216" s="725" t="s">
        <v>3155</v>
      </c>
      <c r="C216" s="4" t="s">
        <v>11104</v>
      </c>
      <c r="D216" s="728">
        <v>4127</v>
      </c>
      <c r="E216" s="728">
        <v>4193</v>
      </c>
      <c r="F216" s="728">
        <v>4351</v>
      </c>
      <c r="G216" s="30">
        <v>4372</v>
      </c>
      <c r="H216" s="30">
        <v>4499</v>
      </c>
      <c r="I216" s="30">
        <v>4337</v>
      </c>
      <c r="J216" s="30">
        <v>4226</v>
      </c>
      <c r="K216" s="30">
        <v>4413</v>
      </c>
      <c r="L216" s="30">
        <v>4448</v>
      </c>
      <c r="N216" s="725" t="s">
        <v>1192</v>
      </c>
    </row>
    <row r="217" spans="1:17">
      <c r="A217" s="725" t="s">
        <v>6961</v>
      </c>
      <c r="B217" s="725" t="s">
        <v>3156</v>
      </c>
      <c r="C217" s="4" t="s">
        <v>11105</v>
      </c>
      <c r="D217" s="728">
        <v>4283</v>
      </c>
      <c r="E217" s="728">
        <v>4377</v>
      </c>
      <c r="F217" s="728">
        <v>4396</v>
      </c>
      <c r="G217" s="30">
        <v>4436</v>
      </c>
      <c r="H217" s="30">
        <v>4417</v>
      </c>
      <c r="I217" s="30">
        <v>4285</v>
      </c>
      <c r="J217" s="30">
        <v>4227</v>
      </c>
      <c r="K217" s="30">
        <v>4413</v>
      </c>
      <c r="L217" s="30">
        <v>4405</v>
      </c>
      <c r="N217" s="725" t="s">
        <v>1192</v>
      </c>
      <c r="O217" s="4"/>
      <c r="Q217" s="4"/>
    </row>
    <row r="218" spans="1:17">
      <c r="A218" s="725" t="s">
        <v>6963</v>
      </c>
      <c r="B218" s="725" t="s">
        <v>4828</v>
      </c>
      <c r="C218" s="4" t="s">
        <v>11106</v>
      </c>
      <c r="D218" s="728">
        <v>4641</v>
      </c>
      <c r="E218" s="728">
        <v>4757</v>
      </c>
      <c r="F218" s="728">
        <v>4796</v>
      </c>
      <c r="G218" s="30">
        <v>4862</v>
      </c>
      <c r="H218" s="30">
        <v>4898</v>
      </c>
      <c r="I218" s="30">
        <v>4773</v>
      </c>
      <c r="J218" s="30">
        <v>4638</v>
      </c>
      <c r="K218" s="30">
        <v>4745</v>
      </c>
      <c r="L218" s="30">
        <v>4514</v>
      </c>
      <c r="N218" s="725" t="s">
        <v>1192</v>
      </c>
      <c r="O218" s="4"/>
      <c r="Q218" s="4"/>
    </row>
    <row r="219" spans="1:17">
      <c r="A219" s="725" t="s">
        <v>6965</v>
      </c>
      <c r="B219" s="725" t="s">
        <v>4829</v>
      </c>
      <c r="C219" s="4" t="s">
        <v>11107</v>
      </c>
      <c r="D219" s="728">
        <v>4051</v>
      </c>
      <c r="E219" s="728">
        <v>4080</v>
      </c>
      <c r="F219" s="728">
        <v>4056</v>
      </c>
      <c r="G219" s="30">
        <v>4153</v>
      </c>
      <c r="H219" s="30">
        <v>4264</v>
      </c>
      <c r="I219" s="30">
        <v>4194</v>
      </c>
      <c r="J219" s="30">
        <v>4259</v>
      </c>
      <c r="K219" s="30">
        <v>4512</v>
      </c>
      <c r="L219" s="30">
        <v>4655</v>
      </c>
      <c r="N219" s="725" t="s">
        <v>1192</v>
      </c>
      <c r="O219" s="4"/>
      <c r="Q219" s="4"/>
    </row>
    <row r="220" spans="1:17">
      <c r="A220" s="725" t="s">
        <v>6997</v>
      </c>
      <c r="B220" s="725" t="s">
        <v>4830</v>
      </c>
      <c r="C220" s="4" t="s">
        <v>11108</v>
      </c>
      <c r="D220" s="728">
        <v>4572</v>
      </c>
      <c r="E220" s="728">
        <v>4676</v>
      </c>
      <c r="F220" s="728">
        <v>4755</v>
      </c>
      <c r="G220" s="30">
        <v>4765</v>
      </c>
      <c r="H220" s="30">
        <v>4835</v>
      </c>
      <c r="I220" s="30">
        <v>4675</v>
      </c>
      <c r="J220" s="30">
        <v>4510</v>
      </c>
      <c r="K220" s="30">
        <v>4616</v>
      </c>
      <c r="L220" s="30">
        <v>4596</v>
      </c>
      <c r="N220" s="725" t="s">
        <v>1192</v>
      </c>
      <c r="O220" s="4"/>
      <c r="Q220" s="4"/>
    </row>
    <row r="221" spans="1:17">
      <c r="A221" s="725" t="s">
        <v>6999</v>
      </c>
      <c r="B221" s="726" t="s">
        <v>3179</v>
      </c>
      <c r="C221" s="4" t="s">
        <v>11109</v>
      </c>
      <c r="D221" s="728">
        <v>4062</v>
      </c>
      <c r="E221" s="728">
        <v>4076</v>
      </c>
      <c r="F221" s="728">
        <v>4046</v>
      </c>
      <c r="G221" s="30">
        <v>4231</v>
      </c>
      <c r="H221" s="30">
        <v>4474</v>
      </c>
      <c r="I221" s="30">
        <v>3936</v>
      </c>
      <c r="J221" s="30">
        <v>3912</v>
      </c>
      <c r="K221" s="30">
        <v>3979</v>
      </c>
      <c r="L221" s="30">
        <v>3775</v>
      </c>
      <c r="N221" s="725" t="s">
        <v>1192</v>
      </c>
      <c r="O221" s="4"/>
      <c r="Q221" s="4"/>
    </row>
    <row r="222" spans="1:17">
      <c r="A222" s="725" t="s">
        <v>7001</v>
      </c>
      <c r="B222" s="725" t="s">
        <v>3180</v>
      </c>
      <c r="C222" s="4" t="s">
        <v>11110</v>
      </c>
      <c r="D222" s="728">
        <v>3857</v>
      </c>
      <c r="E222" s="728">
        <v>3795</v>
      </c>
      <c r="F222" s="728">
        <v>3776</v>
      </c>
      <c r="G222" s="30">
        <v>3788</v>
      </c>
      <c r="H222" s="30">
        <v>3903</v>
      </c>
      <c r="I222" s="30">
        <v>2085</v>
      </c>
      <c r="J222" s="30">
        <v>2146</v>
      </c>
      <c r="K222" s="30">
        <v>3053</v>
      </c>
      <c r="L222" s="30">
        <v>2173</v>
      </c>
      <c r="N222" s="725" t="s">
        <v>1192</v>
      </c>
      <c r="O222" s="4"/>
      <c r="Q222" s="4"/>
    </row>
    <row r="223" spans="1:17">
      <c r="A223" s="725" t="s">
        <v>7003</v>
      </c>
      <c r="B223" s="725" t="s">
        <v>3181</v>
      </c>
      <c r="C223" s="4" t="s">
        <v>11111</v>
      </c>
      <c r="D223" s="728">
        <v>3348</v>
      </c>
      <c r="E223" s="728">
        <v>3358</v>
      </c>
      <c r="F223" s="728">
        <v>3405</v>
      </c>
      <c r="G223" s="30">
        <v>3312</v>
      </c>
      <c r="H223" s="30">
        <v>3380</v>
      </c>
      <c r="I223" s="30">
        <v>3123</v>
      </c>
      <c r="J223" s="30">
        <v>3142</v>
      </c>
      <c r="K223" s="30">
        <v>3208</v>
      </c>
      <c r="L223" s="30">
        <v>3061</v>
      </c>
      <c r="N223" s="725" t="s">
        <v>1192</v>
      </c>
      <c r="O223" s="4"/>
      <c r="Q223" s="4"/>
    </row>
    <row r="224" spans="1:17">
      <c r="A224" s="725" t="s">
        <v>7005</v>
      </c>
      <c r="B224" s="725" t="s">
        <v>3182</v>
      </c>
      <c r="C224" s="4" t="s">
        <v>11112</v>
      </c>
      <c r="D224" s="728">
        <v>4106</v>
      </c>
      <c r="E224" s="728">
        <v>4190</v>
      </c>
      <c r="F224" s="728">
        <v>4148</v>
      </c>
      <c r="G224" s="30">
        <v>4176</v>
      </c>
      <c r="H224" s="30">
        <v>4213</v>
      </c>
      <c r="I224" s="30">
        <v>4106</v>
      </c>
      <c r="J224" s="30">
        <v>3995</v>
      </c>
      <c r="K224" s="30">
        <v>4127</v>
      </c>
      <c r="L224" s="30">
        <v>4019</v>
      </c>
      <c r="N224" s="725" t="s">
        <v>1192</v>
      </c>
      <c r="O224" s="4"/>
      <c r="Q224" s="4"/>
    </row>
    <row r="225" spans="1:17">
      <c r="A225" s="725" t="s">
        <v>7007</v>
      </c>
      <c r="B225" s="725" t="s">
        <v>3183</v>
      </c>
      <c r="C225" s="4" t="s">
        <v>11113</v>
      </c>
      <c r="D225" s="728">
        <v>4273</v>
      </c>
      <c r="E225" s="728">
        <v>4329</v>
      </c>
      <c r="F225" s="728">
        <v>4384</v>
      </c>
      <c r="G225" s="30">
        <v>4398</v>
      </c>
      <c r="H225" s="30">
        <v>4489</v>
      </c>
      <c r="I225" s="30">
        <v>4345</v>
      </c>
      <c r="J225" s="30">
        <v>4211</v>
      </c>
      <c r="K225" s="30">
        <v>4335</v>
      </c>
      <c r="L225" s="30">
        <v>4290</v>
      </c>
      <c r="N225" s="725" t="s">
        <v>1192</v>
      </c>
      <c r="O225" s="4"/>
      <c r="Q225" s="4"/>
    </row>
    <row r="226" spans="1:17">
      <c r="A226" s="725" t="s">
        <v>7009</v>
      </c>
      <c r="B226" s="725" t="s">
        <v>3370</v>
      </c>
      <c r="C226" s="4" t="s">
        <v>11114</v>
      </c>
      <c r="D226" s="728">
        <v>4237</v>
      </c>
      <c r="E226" s="728">
        <v>4217</v>
      </c>
      <c r="F226" s="728">
        <v>4253</v>
      </c>
      <c r="G226" s="30">
        <v>4274</v>
      </c>
      <c r="H226" s="30">
        <v>4330</v>
      </c>
      <c r="I226" s="30">
        <v>4230</v>
      </c>
      <c r="J226" s="30">
        <v>4119</v>
      </c>
      <c r="K226" s="30">
        <v>4254</v>
      </c>
      <c r="L226" s="30">
        <v>4166</v>
      </c>
      <c r="N226" s="725" t="s">
        <v>1192</v>
      </c>
      <c r="O226" s="4"/>
      <c r="Q226" s="4"/>
    </row>
    <row r="227" spans="1:17">
      <c r="A227" s="725" t="s">
        <v>7011</v>
      </c>
      <c r="B227" s="725" t="s">
        <v>3184</v>
      </c>
      <c r="C227" s="4" t="s">
        <v>11115</v>
      </c>
      <c r="D227" s="728">
        <v>4032</v>
      </c>
      <c r="E227" s="728">
        <v>4194</v>
      </c>
      <c r="F227" s="728">
        <v>4121</v>
      </c>
      <c r="G227" s="30">
        <v>4155</v>
      </c>
      <c r="H227" s="30">
        <v>4092</v>
      </c>
      <c r="I227" s="30">
        <v>3990</v>
      </c>
      <c r="J227" s="30">
        <v>3936</v>
      </c>
      <c r="K227" s="30">
        <v>3977</v>
      </c>
      <c r="L227" s="30">
        <v>4005</v>
      </c>
      <c r="N227" s="725" t="s">
        <v>1192</v>
      </c>
      <c r="O227" s="4"/>
      <c r="Q227" s="4"/>
    </row>
    <row r="228" spans="1:17">
      <c r="A228" s="725" t="s">
        <v>7013</v>
      </c>
      <c r="B228" s="725" t="s">
        <v>3185</v>
      </c>
      <c r="C228" s="4" t="s">
        <v>11116</v>
      </c>
      <c r="D228" s="728">
        <v>4169</v>
      </c>
      <c r="E228" s="728">
        <v>4168</v>
      </c>
      <c r="F228" s="728">
        <v>4227</v>
      </c>
      <c r="G228" s="30">
        <v>4240</v>
      </c>
      <c r="H228" s="30">
        <v>4289</v>
      </c>
      <c r="I228" s="30">
        <v>4223</v>
      </c>
      <c r="J228" s="30">
        <v>4146</v>
      </c>
      <c r="K228" s="30">
        <v>4232</v>
      </c>
      <c r="L228" s="30">
        <v>4194</v>
      </c>
      <c r="N228" s="725" t="s">
        <v>1192</v>
      </c>
      <c r="O228" s="4"/>
      <c r="Q228" s="4"/>
    </row>
    <row r="229" spans="1:17">
      <c r="D229" s="729"/>
      <c r="E229" s="729"/>
      <c r="F229" s="729"/>
      <c r="G229" s="729"/>
      <c r="H229" s="729"/>
      <c r="I229" s="729"/>
      <c r="J229" s="729"/>
      <c r="K229" s="729"/>
      <c r="L229" s="729"/>
      <c r="O229" s="4"/>
      <c r="Q229" s="4"/>
    </row>
    <row r="230" spans="1:17">
      <c r="A230" s="725" t="s">
        <v>3186</v>
      </c>
      <c r="D230" s="728">
        <f>SUM(D215:D228)</f>
        <v>57856</v>
      </c>
      <c r="E230" s="728">
        <f t="shared" ref="E230:I230" si="181">SUM(E215:E228)</f>
        <v>58619</v>
      </c>
      <c r="F230" s="728">
        <f t="shared" si="181"/>
        <v>58962</v>
      </c>
      <c r="G230" s="728">
        <f t="shared" si="181"/>
        <v>59436</v>
      </c>
      <c r="H230" s="728">
        <f t="shared" si="181"/>
        <v>60363</v>
      </c>
      <c r="I230" s="728">
        <f t="shared" si="181"/>
        <v>56471</v>
      </c>
      <c r="J230" s="728">
        <f t="shared" ref="J230:K230" si="182">SUM(J215:J228)</f>
        <v>55472</v>
      </c>
      <c r="K230" s="728">
        <f t="shared" si="182"/>
        <v>57951</v>
      </c>
      <c r="L230" s="728">
        <f t="shared" ref="L230" si="183">SUM(L215:L228)</f>
        <v>56357</v>
      </c>
      <c r="O230" s="4"/>
      <c r="Q230" s="4"/>
    </row>
    <row r="231" spans="1:17">
      <c r="A231" s="725"/>
      <c r="B231" s="725"/>
    </row>
    <row r="232" spans="1:17">
      <c r="A232" s="725" t="s">
        <v>1391</v>
      </c>
      <c r="B232" s="725"/>
    </row>
    <row r="233" spans="1:17">
      <c r="A233" s="725"/>
      <c r="B233" s="725"/>
    </row>
    <row r="234" spans="1:17">
      <c r="A234" s="725"/>
      <c r="B234" s="725"/>
    </row>
    <row r="235" spans="1:17">
      <c r="E235" s="42" t="s">
        <v>2303</v>
      </c>
      <c r="F235" s="42"/>
      <c r="G235" s="42"/>
      <c r="H235" s="42"/>
      <c r="I235" s="42"/>
      <c r="J235" s="42"/>
      <c r="K235" s="42"/>
      <c r="L235" s="42"/>
      <c r="M235" s="109"/>
      <c r="N235" s="109" t="s">
        <v>13319</v>
      </c>
    </row>
    <row r="236" spans="1:17">
      <c r="D236" s="727">
        <v>2010</v>
      </c>
      <c r="E236" s="727">
        <v>2011</v>
      </c>
      <c r="F236" s="727">
        <v>2012</v>
      </c>
      <c r="G236" s="727">
        <v>2013</v>
      </c>
      <c r="H236" s="727">
        <v>2014</v>
      </c>
      <c r="I236" s="727">
        <v>2015</v>
      </c>
      <c r="J236" s="727">
        <v>2016</v>
      </c>
      <c r="K236" s="727">
        <v>2017</v>
      </c>
      <c r="L236" s="727">
        <v>2018</v>
      </c>
      <c r="N236" s="112" t="s">
        <v>2304</v>
      </c>
    </row>
    <row r="237" spans="1:17">
      <c r="A237" s="725" t="s">
        <v>1392</v>
      </c>
      <c r="D237" s="728">
        <f t="shared" ref="D237:I237" si="184">SUM(D238:D250)</f>
        <v>70962</v>
      </c>
      <c r="E237" s="728">
        <f t="shared" si="184"/>
        <v>71211</v>
      </c>
      <c r="F237" s="728">
        <f t="shared" si="184"/>
        <v>72000</v>
      </c>
      <c r="G237" s="728">
        <f t="shared" si="184"/>
        <v>72547</v>
      </c>
      <c r="H237" s="728">
        <f t="shared" si="184"/>
        <v>72660</v>
      </c>
      <c r="I237" s="728">
        <f t="shared" si="184"/>
        <v>70607</v>
      </c>
      <c r="J237" s="728">
        <f t="shared" ref="J237:K237" si="185">SUM(J238:J250)</f>
        <v>70299</v>
      </c>
      <c r="K237" s="728">
        <f t="shared" si="185"/>
        <v>71962</v>
      </c>
      <c r="L237" s="728">
        <f t="shared" ref="L237" si="186">SUM(L238:L250)</f>
        <v>72030</v>
      </c>
    </row>
    <row r="238" spans="1:17">
      <c r="A238" s="725" t="s">
        <v>6957</v>
      </c>
      <c r="B238" s="725" t="s">
        <v>1393</v>
      </c>
      <c r="C238" s="4" t="s">
        <v>11117</v>
      </c>
      <c r="D238" s="728">
        <v>6001</v>
      </c>
      <c r="E238" s="728">
        <v>6047</v>
      </c>
      <c r="F238" s="728">
        <v>6124</v>
      </c>
      <c r="G238" s="48">
        <v>6289</v>
      </c>
      <c r="H238" s="48">
        <v>6310</v>
      </c>
      <c r="I238" s="48">
        <v>6150</v>
      </c>
      <c r="J238" s="48">
        <v>6049</v>
      </c>
      <c r="K238" s="48">
        <v>6159</v>
      </c>
      <c r="L238" s="48">
        <v>6157</v>
      </c>
      <c r="N238" s="725" t="s">
        <v>1194</v>
      </c>
    </row>
    <row r="239" spans="1:17">
      <c r="A239" s="725" t="s">
        <v>6959</v>
      </c>
      <c r="B239" s="725" t="s">
        <v>2324</v>
      </c>
      <c r="C239" s="4" t="s">
        <v>11118</v>
      </c>
      <c r="D239" s="728">
        <v>5558</v>
      </c>
      <c r="E239" s="728">
        <v>5606</v>
      </c>
      <c r="F239" s="728">
        <v>5675</v>
      </c>
      <c r="G239" s="48">
        <v>5713</v>
      </c>
      <c r="H239" s="48">
        <v>5770</v>
      </c>
      <c r="I239" s="48">
        <v>5672</v>
      </c>
      <c r="J239" s="48">
        <v>5619</v>
      </c>
      <c r="K239" s="48">
        <v>5759</v>
      </c>
      <c r="L239" s="48">
        <v>5705</v>
      </c>
      <c r="N239" s="725" t="s">
        <v>1194</v>
      </c>
    </row>
    <row r="240" spans="1:17">
      <c r="A240" s="725" t="s">
        <v>6961</v>
      </c>
      <c r="B240" s="725" t="s">
        <v>2325</v>
      </c>
      <c r="C240" s="4" t="s">
        <v>11119</v>
      </c>
      <c r="D240" s="728">
        <v>5641</v>
      </c>
      <c r="E240" s="728">
        <v>5604</v>
      </c>
      <c r="F240" s="728">
        <v>5679</v>
      </c>
      <c r="G240" s="48">
        <v>5713</v>
      </c>
      <c r="H240" s="48">
        <v>5843</v>
      </c>
      <c r="I240" s="48">
        <v>5672</v>
      </c>
      <c r="J240" s="48">
        <v>5814</v>
      </c>
      <c r="K240" s="48">
        <v>6015</v>
      </c>
      <c r="L240" s="48">
        <v>6074</v>
      </c>
      <c r="N240" s="725" t="s">
        <v>1194</v>
      </c>
      <c r="O240" s="4"/>
      <c r="Q240" s="4"/>
    </row>
    <row r="241" spans="1:17">
      <c r="A241" s="725" t="s">
        <v>6963</v>
      </c>
      <c r="B241" s="725" t="s">
        <v>2326</v>
      </c>
      <c r="C241" s="4" t="s">
        <v>11120</v>
      </c>
      <c r="D241" s="728">
        <v>5323</v>
      </c>
      <c r="E241" s="728">
        <v>5329</v>
      </c>
      <c r="F241" s="728">
        <v>5387</v>
      </c>
      <c r="G241" s="48">
        <v>5400</v>
      </c>
      <c r="H241" s="48">
        <v>5430</v>
      </c>
      <c r="I241" s="48">
        <v>5334</v>
      </c>
      <c r="J241" s="48">
        <v>5265</v>
      </c>
      <c r="K241" s="48">
        <v>5330</v>
      </c>
      <c r="L241" s="48">
        <v>5280</v>
      </c>
      <c r="N241" s="725" t="s">
        <v>1194</v>
      </c>
      <c r="O241" s="4"/>
      <c r="Q241" s="4"/>
    </row>
    <row r="242" spans="1:17">
      <c r="A242" s="725" t="s">
        <v>6965</v>
      </c>
      <c r="B242" s="725" t="s">
        <v>2327</v>
      </c>
      <c r="C242" s="4" t="s">
        <v>11121</v>
      </c>
      <c r="D242" s="728">
        <v>4675</v>
      </c>
      <c r="E242" s="728">
        <v>4704</v>
      </c>
      <c r="F242" s="728">
        <v>4750</v>
      </c>
      <c r="G242" s="48">
        <v>4786</v>
      </c>
      <c r="H242" s="48">
        <v>4735</v>
      </c>
      <c r="I242" s="48">
        <v>4595</v>
      </c>
      <c r="J242" s="48">
        <v>4679</v>
      </c>
      <c r="K242" s="48">
        <v>4782</v>
      </c>
      <c r="L242" s="48">
        <v>4789</v>
      </c>
      <c r="N242" s="725" t="s">
        <v>1194</v>
      </c>
      <c r="O242" s="4"/>
      <c r="Q242" s="4"/>
    </row>
    <row r="243" spans="1:17">
      <c r="A243" s="725" t="s">
        <v>6997</v>
      </c>
      <c r="B243" s="725" t="s">
        <v>2328</v>
      </c>
      <c r="C243" s="4" t="s">
        <v>11122</v>
      </c>
      <c r="D243" s="728">
        <v>5992</v>
      </c>
      <c r="E243" s="728">
        <v>6063</v>
      </c>
      <c r="F243" s="728">
        <v>6139</v>
      </c>
      <c r="G243" s="48">
        <v>6185</v>
      </c>
      <c r="H243" s="48">
        <v>6126</v>
      </c>
      <c r="I243" s="48">
        <v>5852</v>
      </c>
      <c r="J243" s="48">
        <v>5900</v>
      </c>
      <c r="K243" s="48">
        <v>6083</v>
      </c>
      <c r="L243" s="48">
        <v>6045</v>
      </c>
      <c r="N243" s="725" t="s">
        <v>1194</v>
      </c>
      <c r="O243" s="4"/>
      <c r="Q243" s="4"/>
    </row>
    <row r="244" spans="1:17">
      <c r="A244" s="725" t="s">
        <v>6999</v>
      </c>
      <c r="B244" s="726" t="s">
        <v>1458</v>
      </c>
      <c r="C244" s="4" t="s">
        <v>11123</v>
      </c>
      <c r="D244" s="728">
        <v>5273</v>
      </c>
      <c r="E244" s="728">
        <v>5271</v>
      </c>
      <c r="F244" s="728">
        <v>5287</v>
      </c>
      <c r="G244" s="48">
        <v>5330</v>
      </c>
      <c r="H244" s="48">
        <v>5319</v>
      </c>
      <c r="I244" s="48">
        <v>5221</v>
      </c>
      <c r="J244" s="48">
        <v>5170</v>
      </c>
      <c r="K244" s="48">
        <v>5175</v>
      </c>
      <c r="L244" s="48">
        <v>5180</v>
      </c>
      <c r="N244" s="725" t="s">
        <v>1194</v>
      </c>
      <c r="O244" s="4"/>
      <c r="Q244" s="4"/>
    </row>
    <row r="245" spans="1:17">
      <c r="A245" s="725" t="s">
        <v>7001</v>
      </c>
      <c r="B245" s="725" t="s">
        <v>1459</v>
      </c>
      <c r="C245" s="4" t="s">
        <v>11124</v>
      </c>
      <c r="D245" s="728">
        <v>5316</v>
      </c>
      <c r="E245" s="728">
        <v>5393</v>
      </c>
      <c r="F245" s="728">
        <v>5448</v>
      </c>
      <c r="G245" s="48">
        <v>5461</v>
      </c>
      <c r="H245" s="48">
        <v>5501</v>
      </c>
      <c r="I245" s="48">
        <v>5339</v>
      </c>
      <c r="J245" s="48">
        <v>5243</v>
      </c>
      <c r="K245" s="48">
        <v>5400</v>
      </c>
      <c r="L245" s="48">
        <v>5386</v>
      </c>
      <c r="N245" s="725" t="s">
        <v>1194</v>
      </c>
      <c r="O245" s="4"/>
      <c r="Q245" s="4"/>
    </row>
    <row r="246" spans="1:17">
      <c r="A246" s="725" t="s">
        <v>7003</v>
      </c>
      <c r="B246" s="725" t="s">
        <v>1460</v>
      </c>
      <c r="C246" s="4" t="s">
        <v>11125</v>
      </c>
      <c r="D246" s="733">
        <v>5483</v>
      </c>
      <c r="E246" s="733">
        <v>5574</v>
      </c>
      <c r="F246" s="733">
        <v>5638</v>
      </c>
      <c r="G246" s="48">
        <v>5671</v>
      </c>
      <c r="H246" s="48">
        <v>5708</v>
      </c>
      <c r="I246" s="48">
        <v>5406</v>
      </c>
      <c r="J246" s="48">
        <v>5430</v>
      </c>
      <c r="K246" s="48">
        <v>5582</v>
      </c>
      <c r="L246" s="48">
        <v>5607</v>
      </c>
      <c r="N246" s="725" t="s">
        <v>1194</v>
      </c>
      <c r="O246" s="4"/>
      <c r="Q246" s="4"/>
    </row>
    <row r="247" spans="1:17">
      <c r="A247" s="725" t="s">
        <v>7005</v>
      </c>
      <c r="B247" s="725" t="s">
        <v>1461</v>
      </c>
      <c r="C247" s="4" t="s">
        <v>11126</v>
      </c>
      <c r="D247" s="728">
        <v>5237</v>
      </c>
      <c r="E247" s="728">
        <v>5219</v>
      </c>
      <c r="F247" s="728">
        <v>5267</v>
      </c>
      <c r="G247" s="48">
        <v>5297</v>
      </c>
      <c r="H247" s="48">
        <v>5296</v>
      </c>
      <c r="I247" s="48">
        <v>5229</v>
      </c>
      <c r="J247" s="48">
        <v>5145</v>
      </c>
      <c r="K247" s="48">
        <v>5247</v>
      </c>
      <c r="L247" s="48">
        <v>5255</v>
      </c>
      <c r="N247" s="725" t="s">
        <v>1194</v>
      </c>
      <c r="O247" s="4"/>
      <c r="Q247" s="4"/>
    </row>
    <row r="248" spans="1:17">
      <c r="A248" s="725" t="s">
        <v>7007</v>
      </c>
      <c r="B248" s="725" t="s">
        <v>1462</v>
      </c>
      <c r="C248" s="4" t="s">
        <v>11127</v>
      </c>
      <c r="D248" s="728">
        <v>5485</v>
      </c>
      <c r="E248" s="728">
        <v>5394</v>
      </c>
      <c r="F248" s="728">
        <v>5484</v>
      </c>
      <c r="G248" s="48">
        <v>5507</v>
      </c>
      <c r="H248" s="48">
        <v>5480</v>
      </c>
      <c r="I248" s="48">
        <v>5283</v>
      </c>
      <c r="J248" s="48">
        <v>5356</v>
      </c>
      <c r="K248" s="48">
        <v>5418</v>
      </c>
      <c r="L248" s="48">
        <v>5464</v>
      </c>
      <c r="N248" s="725" t="s">
        <v>1194</v>
      </c>
      <c r="O248" s="4"/>
      <c r="Q248" s="4"/>
    </row>
    <row r="249" spans="1:17">
      <c r="A249" s="725" t="s">
        <v>7009</v>
      </c>
      <c r="B249" s="725" t="s">
        <v>1463</v>
      </c>
      <c r="C249" s="4" t="s">
        <v>11128</v>
      </c>
      <c r="D249" s="728">
        <v>5686</v>
      </c>
      <c r="E249" s="728">
        <v>5688</v>
      </c>
      <c r="F249" s="728">
        <v>5752</v>
      </c>
      <c r="G249" s="48">
        <v>5793</v>
      </c>
      <c r="H249" s="48">
        <v>5766</v>
      </c>
      <c r="I249" s="48">
        <v>5565</v>
      </c>
      <c r="J249" s="48">
        <v>5470</v>
      </c>
      <c r="K249" s="48">
        <v>5655</v>
      </c>
      <c r="L249" s="48">
        <v>5594</v>
      </c>
      <c r="N249" s="725" t="s">
        <v>1194</v>
      </c>
      <c r="O249" s="4"/>
      <c r="Q249" s="4"/>
    </row>
    <row r="250" spans="1:17">
      <c r="A250" s="725" t="s">
        <v>7011</v>
      </c>
      <c r="B250" s="725" t="s">
        <v>1464</v>
      </c>
      <c r="C250" s="4" t="s">
        <v>11129</v>
      </c>
      <c r="D250" s="728">
        <v>5292</v>
      </c>
      <c r="E250" s="728">
        <v>5319</v>
      </c>
      <c r="F250" s="728">
        <v>5370</v>
      </c>
      <c r="G250" s="48">
        <v>5402</v>
      </c>
      <c r="H250" s="48">
        <v>5376</v>
      </c>
      <c r="I250" s="48">
        <v>5289</v>
      </c>
      <c r="J250" s="48">
        <v>5159</v>
      </c>
      <c r="K250" s="48">
        <v>5357</v>
      </c>
      <c r="L250" s="48">
        <v>5494</v>
      </c>
      <c r="N250" s="725" t="s">
        <v>1194</v>
      </c>
      <c r="O250" s="4"/>
      <c r="Q250" s="4"/>
    </row>
    <row r="251" spans="1:17">
      <c r="D251" s="729"/>
      <c r="E251" s="729"/>
      <c r="F251" s="729"/>
      <c r="G251" s="729"/>
      <c r="H251" s="729"/>
      <c r="I251" s="729"/>
      <c r="J251" s="729"/>
      <c r="K251" s="729"/>
      <c r="L251" s="729"/>
      <c r="O251" s="4"/>
      <c r="Q251" s="4"/>
    </row>
    <row r="252" spans="1:17">
      <c r="A252" s="725" t="s">
        <v>1194</v>
      </c>
      <c r="D252" s="728">
        <f t="shared" ref="D252:I252" si="187">SUM(D238:D244)+D245+SUM(D246:D250)</f>
        <v>70962</v>
      </c>
      <c r="E252" s="728">
        <f t="shared" si="187"/>
        <v>71211</v>
      </c>
      <c r="F252" s="728">
        <f t="shared" si="187"/>
        <v>72000</v>
      </c>
      <c r="G252" s="728">
        <f t="shared" si="187"/>
        <v>72547</v>
      </c>
      <c r="H252" s="728">
        <f t="shared" si="187"/>
        <v>72660</v>
      </c>
      <c r="I252" s="728">
        <f t="shared" si="187"/>
        <v>70607</v>
      </c>
      <c r="J252" s="728">
        <f t="shared" ref="J252:K252" si="188">SUM(J238:J244)+J245+SUM(J246:J250)</f>
        <v>70299</v>
      </c>
      <c r="K252" s="728">
        <f t="shared" si="188"/>
        <v>71962</v>
      </c>
      <c r="L252" s="728">
        <f t="shared" ref="L252" si="189">SUM(L238:L244)+L245+SUM(L246:L250)</f>
        <v>72030</v>
      </c>
      <c r="O252" s="4"/>
      <c r="Q252" s="4"/>
    </row>
    <row r="254" spans="1:17">
      <c r="A254" s="725" t="s">
        <v>4044</v>
      </c>
    </row>
    <row r="257" spans="1:17">
      <c r="E257" s="42" t="s">
        <v>2303</v>
      </c>
      <c r="F257" s="42"/>
      <c r="G257" s="42"/>
      <c r="H257" s="42"/>
      <c r="I257" s="42"/>
      <c r="J257" s="42"/>
      <c r="K257" s="42"/>
      <c r="L257" s="42"/>
      <c r="M257" s="109"/>
      <c r="N257" s="109" t="s">
        <v>13319</v>
      </c>
    </row>
    <row r="258" spans="1:17">
      <c r="D258" s="727">
        <v>2010</v>
      </c>
      <c r="E258" s="727">
        <v>2011</v>
      </c>
      <c r="F258" s="727">
        <v>2012</v>
      </c>
      <c r="G258" s="727">
        <v>2013</v>
      </c>
      <c r="H258" s="727">
        <v>2014</v>
      </c>
      <c r="I258" s="727">
        <v>2015</v>
      </c>
      <c r="J258" s="727">
        <v>2016</v>
      </c>
      <c r="K258" s="727">
        <v>2017</v>
      </c>
      <c r="L258" s="727">
        <v>2018</v>
      </c>
      <c r="N258" s="112" t="s">
        <v>2304</v>
      </c>
    </row>
    <row r="259" spans="1:17">
      <c r="A259" s="725" t="s">
        <v>4045</v>
      </c>
      <c r="D259" s="728">
        <f t="shared" ref="D259:I259" si="190">SUM(D260:D275)</f>
        <v>62445</v>
      </c>
      <c r="E259" s="728">
        <f t="shared" si="190"/>
        <v>63565</v>
      </c>
      <c r="F259" s="728">
        <f t="shared" si="190"/>
        <v>64145</v>
      </c>
      <c r="G259" s="728">
        <f t="shared" si="190"/>
        <v>64550</v>
      </c>
      <c r="H259" s="728">
        <f t="shared" si="190"/>
        <v>64430</v>
      </c>
      <c r="I259" s="728">
        <f t="shared" si="190"/>
        <v>63007</v>
      </c>
      <c r="J259" s="728">
        <f t="shared" ref="J259:K259" si="191">SUM(J260:J275)</f>
        <v>62634</v>
      </c>
      <c r="K259" s="728">
        <f t="shared" si="191"/>
        <v>64729</v>
      </c>
      <c r="L259" s="728">
        <f t="shared" ref="L259" si="192">SUM(L260:L275)</f>
        <v>64728</v>
      </c>
    </row>
    <row r="260" spans="1:17">
      <c r="A260" s="725" t="s">
        <v>6957</v>
      </c>
      <c r="B260" s="725" t="s">
        <v>4046</v>
      </c>
      <c r="C260" s="4" t="s">
        <v>11130</v>
      </c>
      <c r="D260" s="728">
        <v>4203</v>
      </c>
      <c r="E260" s="728">
        <v>4301</v>
      </c>
      <c r="F260" s="728">
        <v>4460</v>
      </c>
      <c r="G260" s="30">
        <v>4607</v>
      </c>
      <c r="H260" s="30">
        <v>4624</v>
      </c>
      <c r="I260" s="30">
        <v>4445</v>
      </c>
      <c r="J260" s="30">
        <v>4411</v>
      </c>
      <c r="K260" s="30">
        <v>4419</v>
      </c>
      <c r="L260" s="30">
        <v>4374</v>
      </c>
      <c r="N260" s="725" t="s">
        <v>1195</v>
      </c>
    </row>
    <row r="261" spans="1:17">
      <c r="A261" s="725" t="s">
        <v>6959</v>
      </c>
      <c r="B261" s="725" t="s">
        <v>4179</v>
      </c>
      <c r="C261" s="4" t="s">
        <v>11131</v>
      </c>
      <c r="D261" s="728">
        <v>2665</v>
      </c>
      <c r="E261" s="728">
        <v>2734</v>
      </c>
      <c r="F261" s="728">
        <v>2708</v>
      </c>
      <c r="G261" s="30">
        <v>2697</v>
      </c>
      <c r="H261" s="30">
        <v>2700</v>
      </c>
      <c r="I261" s="30">
        <v>2655</v>
      </c>
      <c r="J261" s="30">
        <v>2610</v>
      </c>
      <c r="K261" s="30">
        <v>2694</v>
      </c>
      <c r="L261" s="30">
        <v>2709</v>
      </c>
      <c r="N261" s="725" t="s">
        <v>1195</v>
      </c>
    </row>
    <row r="262" spans="1:17">
      <c r="A262" s="725" t="s">
        <v>6961</v>
      </c>
      <c r="B262" s="725" t="s">
        <v>4047</v>
      </c>
      <c r="C262" s="4" t="s">
        <v>11132</v>
      </c>
      <c r="D262" s="728">
        <v>2955</v>
      </c>
      <c r="E262" s="728">
        <v>2992</v>
      </c>
      <c r="F262" s="728">
        <v>3016</v>
      </c>
      <c r="G262" s="30">
        <v>3008</v>
      </c>
      <c r="H262" s="30">
        <v>2990</v>
      </c>
      <c r="I262" s="30">
        <v>2979</v>
      </c>
      <c r="J262" s="30">
        <v>2895</v>
      </c>
      <c r="K262" s="30">
        <v>3015</v>
      </c>
      <c r="L262" s="30">
        <v>3015</v>
      </c>
      <c r="N262" s="725" t="s">
        <v>1195</v>
      </c>
      <c r="O262" s="4"/>
      <c r="Q262" s="4"/>
    </row>
    <row r="263" spans="1:17">
      <c r="A263" s="725" t="s">
        <v>6963</v>
      </c>
      <c r="B263" s="725" t="s">
        <v>4048</v>
      </c>
      <c r="C263" s="4" t="s">
        <v>11133</v>
      </c>
      <c r="D263" s="728">
        <v>4330</v>
      </c>
      <c r="E263" s="728">
        <v>4418</v>
      </c>
      <c r="F263" s="728">
        <v>4462</v>
      </c>
      <c r="G263" s="30">
        <v>4538</v>
      </c>
      <c r="H263" s="30">
        <v>4536</v>
      </c>
      <c r="I263" s="30">
        <v>4418</v>
      </c>
      <c r="J263" s="30">
        <v>4444</v>
      </c>
      <c r="K263" s="30">
        <v>4524</v>
      </c>
      <c r="L263" s="30">
        <v>4591</v>
      </c>
      <c r="N263" s="725" t="s">
        <v>1195</v>
      </c>
      <c r="O263" s="4"/>
      <c r="Q263" s="4"/>
    </row>
    <row r="264" spans="1:17">
      <c r="A264" s="725" t="s">
        <v>6965</v>
      </c>
      <c r="B264" s="725" t="s">
        <v>4049</v>
      </c>
      <c r="C264" s="4" t="s">
        <v>11134</v>
      </c>
      <c r="D264" s="728">
        <v>4346</v>
      </c>
      <c r="E264" s="728">
        <v>4359</v>
      </c>
      <c r="F264" s="728">
        <v>4415</v>
      </c>
      <c r="G264" s="30">
        <v>4419</v>
      </c>
      <c r="H264" s="30">
        <v>4425</v>
      </c>
      <c r="I264" s="30">
        <v>4336</v>
      </c>
      <c r="J264" s="30">
        <v>4249</v>
      </c>
      <c r="K264" s="30">
        <v>4397</v>
      </c>
      <c r="L264" s="30">
        <v>4363</v>
      </c>
      <c r="N264" s="725" t="s">
        <v>1195</v>
      </c>
      <c r="O264" s="4"/>
      <c r="Q264" s="4"/>
    </row>
    <row r="265" spans="1:17">
      <c r="A265" s="725" t="s">
        <v>6997</v>
      </c>
      <c r="B265" s="725" t="s">
        <v>4050</v>
      </c>
      <c r="C265" s="4" t="s">
        <v>11135</v>
      </c>
      <c r="D265" s="728">
        <v>4472</v>
      </c>
      <c r="E265" s="728">
        <v>4519</v>
      </c>
      <c r="F265" s="728">
        <v>4552</v>
      </c>
      <c r="G265" s="30">
        <v>4592</v>
      </c>
      <c r="H265" s="30">
        <v>4543</v>
      </c>
      <c r="I265" s="30">
        <v>4491</v>
      </c>
      <c r="J265" s="30">
        <v>4479</v>
      </c>
      <c r="K265" s="30">
        <v>4626</v>
      </c>
      <c r="L265" s="30">
        <v>4654</v>
      </c>
      <c r="N265" s="725" t="s">
        <v>1195</v>
      </c>
      <c r="O265" s="4"/>
      <c r="Q265" s="4"/>
    </row>
    <row r="266" spans="1:17">
      <c r="A266" s="725" t="s">
        <v>6999</v>
      </c>
      <c r="B266" s="725" t="s">
        <v>4051</v>
      </c>
      <c r="C266" s="4" t="s">
        <v>11136</v>
      </c>
      <c r="D266" s="728">
        <v>5283</v>
      </c>
      <c r="E266" s="728">
        <v>5356</v>
      </c>
      <c r="F266" s="728">
        <v>5402</v>
      </c>
      <c r="G266" s="30">
        <v>5419</v>
      </c>
      <c r="H266" s="30">
        <v>5451</v>
      </c>
      <c r="I266" s="30">
        <v>5339</v>
      </c>
      <c r="J266" s="30">
        <v>5260</v>
      </c>
      <c r="K266" s="30">
        <v>5366</v>
      </c>
      <c r="L266" s="30">
        <v>5354</v>
      </c>
      <c r="N266" s="725" t="s">
        <v>1195</v>
      </c>
      <c r="O266" s="4"/>
      <c r="Q266" s="4"/>
    </row>
    <row r="267" spans="1:17">
      <c r="A267" s="725" t="s">
        <v>7001</v>
      </c>
      <c r="B267" s="725" t="s">
        <v>4052</v>
      </c>
      <c r="C267" s="4" t="s">
        <v>11137</v>
      </c>
      <c r="D267" s="728">
        <v>4922</v>
      </c>
      <c r="E267" s="728">
        <v>5009</v>
      </c>
      <c r="F267" s="728">
        <v>5078</v>
      </c>
      <c r="G267" s="30">
        <v>5048</v>
      </c>
      <c r="H267" s="30">
        <v>5050</v>
      </c>
      <c r="I267" s="30">
        <v>4888</v>
      </c>
      <c r="J267" s="30">
        <v>4929</v>
      </c>
      <c r="K267" s="30">
        <v>5180</v>
      </c>
      <c r="L267" s="30">
        <v>5192</v>
      </c>
      <c r="N267" s="725" t="s">
        <v>1195</v>
      </c>
      <c r="O267" s="4"/>
      <c r="Q267" s="4"/>
    </row>
    <row r="268" spans="1:17">
      <c r="A268" s="725" t="s">
        <v>7003</v>
      </c>
      <c r="B268" s="725" t="s">
        <v>4053</v>
      </c>
      <c r="C268" s="4" t="s">
        <v>11138</v>
      </c>
      <c r="D268" s="728">
        <v>3068</v>
      </c>
      <c r="E268" s="728">
        <v>3114</v>
      </c>
      <c r="F268" s="728">
        <v>3136</v>
      </c>
      <c r="G268" s="30">
        <v>3137</v>
      </c>
      <c r="H268" s="30">
        <v>3133</v>
      </c>
      <c r="I268" s="30">
        <v>3042</v>
      </c>
      <c r="J268" s="30">
        <v>3012</v>
      </c>
      <c r="K268" s="30">
        <v>3128</v>
      </c>
      <c r="L268" s="30">
        <v>3060</v>
      </c>
      <c r="N268" s="725" t="s">
        <v>1195</v>
      </c>
      <c r="O268" s="4"/>
      <c r="Q268" s="4"/>
    </row>
    <row r="269" spans="1:17">
      <c r="A269" s="725" t="s">
        <v>7005</v>
      </c>
      <c r="B269" s="725" t="s">
        <v>4694</v>
      </c>
      <c r="C269" s="4" t="s">
        <v>11139</v>
      </c>
      <c r="D269" s="728">
        <v>4690</v>
      </c>
      <c r="E269" s="728">
        <v>4772</v>
      </c>
      <c r="F269" s="728">
        <v>4827</v>
      </c>
      <c r="G269" s="30">
        <v>4827</v>
      </c>
      <c r="H269" s="30">
        <v>4816</v>
      </c>
      <c r="I269" s="30">
        <v>4693</v>
      </c>
      <c r="J269" s="30">
        <v>4791</v>
      </c>
      <c r="K269" s="30">
        <v>4854</v>
      </c>
      <c r="L269" s="30">
        <v>4780</v>
      </c>
      <c r="N269" s="725" t="s">
        <v>1195</v>
      </c>
      <c r="O269" s="4"/>
      <c r="Q269" s="4"/>
    </row>
    <row r="270" spans="1:17">
      <c r="A270" s="725" t="s">
        <v>7007</v>
      </c>
      <c r="B270" s="725" t="s">
        <v>1508</v>
      </c>
      <c r="C270" s="4" t="s">
        <v>11140</v>
      </c>
      <c r="D270" s="728">
        <v>3467</v>
      </c>
      <c r="E270" s="728">
        <v>3606</v>
      </c>
      <c r="F270" s="728">
        <v>3567</v>
      </c>
      <c r="G270" s="30">
        <v>3611</v>
      </c>
      <c r="H270" s="30">
        <v>3538</v>
      </c>
      <c r="I270" s="30">
        <v>3460</v>
      </c>
      <c r="J270" s="30">
        <v>3508</v>
      </c>
      <c r="K270" s="30">
        <v>3891</v>
      </c>
      <c r="L270" s="30">
        <v>3996</v>
      </c>
      <c r="N270" s="725" t="s">
        <v>1195</v>
      </c>
      <c r="O270" s="4"/>
      <c r="Q270" s="4"/>
    </row>
    <row r="271" spans="1:17">
      <c r="A271" s="725" t="s">
        <v>7009</v>
      </c>
      <c r="B271" s="725" t="s">
        <v>4074</v>
      </c>
      <c r="C271" s="4" t="s">
        <v>11141</v>
      </c>
      <c r="D271" s="728">
        <v>4420</v>
      </c>
      <c r="E271" s="728">
        <v>4522</v>
      </c>
      <c r="F271" s="728">
        <v>4549</v>
      </c>
      <c r="G271" s="30">
        <v>4556</v>
      </c>
      <c r="H271" s="30">
        <v>4563</v>
      </c>
      <c r="I271" s="30">
        <v>4512</v>
      </c>
      <c r="J271" s="30">
        <v>4452</v>
      </c>
      <c r="K271" s="30">
        <v>4548</v>
      </c>
      <c r="L271" s="30">
        <v>4540</v>
      </c>
      <c r="N271" s="725" t="s">
        <v>1195</v>
      </c>
      <c r="O271" s="4"/>
      <c r="Q271" s="4"/>
    </row>
    <row r="272" spans="1:17">
      <c r="A272" s="725" t="s">
        <v>7011</v>
      </c>
      <c r="B272" s="725" t="s">
        <v>4381</v>
      </c>
      <c r="C272" s="4" t="s">
        <v>11142</v>
      </c>
      <c r="D272" s="728">
        <v>3330</v>
      </c>
      <c r="E272" s="728">
        <v>3427</v>
      </c>
      <c r="F272" s="728">
        <v>3468</v>
      </c>
      <c r="G272" s="30">
        <v>3541</v>
      </c>
      <c r="H272" s="30">
        <v>3542</v>
      </c>
      <c r="I272" s="30">
        <v>3401</v>
      </c>
      <c r="J272" s="30">
        <v>3378</v>
      </c>
      <c r="K272" s="30">
        <v>3585</v>
      </c>
      <c r="L272" s="30">
        <v>3616</v>
      </c>
      <c r="N272" s="725" t="s">
        <v>1195</v>
      </c>
      <c r="O272" s="4"/>
      <c r="Q272" s="4"/>
    </row>
    <row r="273" spans="1:17">
      <c r="A273" s="725" t="s">
        <v>7013</v>
      </c>
      <c r="B273" s="725" t="s">
        <v>4054</v>
      </c>
      <c r="C273" s="4" t="s">
        <v>11143</v>
      </c>
      <c r="D273" s="728">
        <v>3674</v>
      </c>
      <c r="E273" s="728">
        <v>3755</v>
      </c>
      <c r="F273" s="728">
        <v>3810</v>
      </c>
      <c r="G273" s="30">
        <v>3804</v>
      </c>
      <c r="H273" s="30">
        <v>3812</v>
      </c>
      <c r="I273" s="30">
        <v>3715</v>
      </c>
      <c r="J273" s="30">
        <v>3652</v>
      </c>
      <c r="K273" s="30">
        <v>3776</v>
      </c>
      <c r="L273" s="30">
        <v>3780</v>
      </c>
      <c r="N273" s="725" t="s">
        <v>1195</v>
      </c>
      <c r="O273" s="4"/>
      <c r="Q273" s="4"/>
    </row>
    <row r="274" spans="1:17">
      <c r="A274" s="725" t="s">
        <v>7015</v>
      </c>
      <c r="B274" s="725" t="s">
        <v>1170</v>
      </c>
      <c r="C274" s="4" t="s">
        <v>11144</v>
      </c>
      <c r="D274" s="728">
        <v>3340</v>
      </c>
      <c r="E274" s="728">
        <v>3365</v>
      </c>
      <c r="F274" s="728">
        <v>3361</v>
      </c>
      <c r="G274" s="30">
        <v>3408</v>
      </c>
      <c r="H274" s="30">
        <v>3406</v>
      </c>
      <c r="I274" s="30">
        <v>3381</v>
      </c>
      <c r="J274" s="30">
        <v>3308</v>
      </c>
      <c r="K274" s="30">
        <v>3397</v>
      </c>
      <c r="L274" s="30">
        <v>3399</v>
      </c>
      <c r="N274" s="725" t="s">
        <v>1195</v>
      </c>
      <c r="O274" s="4"/>
      <c r="Q274" s="4"/>
    </row>
    <row r="275" spans="1:17">
      <c r="A275" s="725" t="s">
        <v>7017</v>
      </c>
      <c r="B275" s="725" t="s">
        <v>4055</v>
      </c>
      <c r="C275" s="4" t="s">
        <v>11145</v>
      </c>
      <c r="D275" s="728">
        <v>3280</v>
      </c>
      <c r="E275" s="728">
        <v>3316</v>
      </c>
      <c r="F275" s="728">
        <v>3334</v>
      </c>
      <c r="G275" s="31">
        <v>3338</v>
      </c>
      <c r="H275" s="31">
        <v>3301</v>
      </c>
      <c r="I275" s="31">
        <v>3252</v>
      </c>
      <c r="J275" s="31">
        <v>3256</v>
      </c>
      <c r="K275" s="31">
        <v>3329</v>
      </c>
      <c r="L275" s="31">
        <v>3305</v>
      </c>
      <c r="N275" s="725" t="s">
        <v>1195</v>
      </c>
      <c r="O275" s="4"/>
      <c r="Q275" s="4"/>
    </row>
    <row r="276" spans="1:17">
      <c r="D276" s="729"/>
      <c r="E276" s="729"/>
      <c r="F276" s="729"/>
      <c r="G276" s="729"/>
      <c r="H276" s="729"/>
      <c r="I276" s="729"/>
      <c r="J276" s="729"/>
      <c r="K276" s="729"/>
      <c r="L276" s="729"/>
      <c r="O276" s="4"/>
      <c r="Q276" s="4"/>
    </row>
    <row r="277" spans="1:17">
      <c r="A277" s="725" t="s">
        <v>2147</v>
      </c>
      <c r="D277" s="728">
        <f t="shared" ref="D277:I277" si="193">SUM(D260:D275)</f>
        <v>62445</v>
      </c>
      <c r="E277" s="728">
        <f t="shared" si="193"/>
        <v>63565</v>
      </c>
      <c r="F277" s="728">
        <f t="shared" si="193"/>
        <v>64145</v>
      </c>
      <c r="G277" s="728">
        <f t="shared" si="193"/>
        <v>64550</v>
      </c>
      <c r="H277" s="728">
        <f t="shared" si="193"/>
        <v>64430</v>
      </c>
      <c r="I277" s="728">
        <f t="shared" si="193"/>
        <v>63007</v>
      </c>
      <c r="J277" s="728">
        <f t="shared" ref="J277:K277" si="194">SUM(J260:J275)</f>
        <v>62634</v>
      </c>
      <c r="K277" s="728">
        <f t="shared" si="194"/>
        <v>64729</v>
      </c>
      <c r="L277" s="728">
        <f t="shared" ref="L277" si="195">SUM(L260:L275)</f>
        <v>64728</v>
      </c>
      <c r="O277" s="4"/>
      <c r="Q277" s="4"/>
    </row>
    <row r="278" spans="1:17">
      <c r="A278" s="725"/>
      <c r="B278" s="725"/>
      <c r="D278" s="736"/>
      <c r="E278" s="736"/>
      <c r="F278" s="736"/>
      <c r="G278" s="736"/>
      <c r="H278" s="736"/>
      <c r="I278" s="736"/>
      <c r="J278" s="736"/>
      <c r="K278" s="736"/>
      <c r="L278" s="736"/>
    </row>
    <row r="279" spans="1:17">
      <c r="A279" s="725" t="s">
        <v>4056</v>
      </c>
      <c r="B279" s="725"/>
      <c r="D279" s="736"/>
      <c r="E279" s="736"/>
      <c r="F279" s="736"/>
      <c r="G279" s="736"/>
      <c r="H279" s="736"/>
      <c r="I279" s="736"/>
      <c r="J279" s="736"/>
      <c r="K279" s="736"/>
      <c r="L279" s="736"/>
    </row>
    <row r="280" spans="1:17">
      <c r="A280" s="725"/>
      <c r="B280" s="725"/>
      <c r="D280" s="736"/>
      <c r="E280" s="736"/>
      <c r="F280" s="736"/>
      <c r="G280" s="736"/>
      <c r="H280" s="736"/>
      <c r="I280" s="736"/>
      <c r="J280" s="736"/>
      <c r="K280" s="736"/>
      <c r="L280" s="736"/>
    </row>
    <row r="281" spans="1:17">
      <c r="A281" s="725"/>
      <c r="B281" s="725"/>
      <c r="D281" s="736"/>
      <c r="E281" s="736"/>
      <c r="F281" s="736"/>
      <c r="G281" s="736"/>
      <c r="H281" s="736"/>
      <c r="I281" s="736"/>
      <c r="J281" s="736"/>
      <c r="K281" s="736"/>
      <c r="L281" s="736"/>
    </row>
    <row r="282" spans="1:17">
      <c r="E282" s="42" t="s">
        <v>2303</v>
      </c>
      <c r="F282" s="42"/>
      <c r="G282" s="42"/>
      <c r="H282" s="42"/>
      <c r="I282" s="42"/>
      <c r="J282" s="42"/>
      <c r="K282" s="42"/>
      <c r="L282" s="42"/>
      <c r="M282" s="109"/>
      <c r="N282" s="109" t="s">
        <v>13319</v>
      </c>
    </row>
    <row r="283" spans="1:17">
      <c r="D283" s="727">
        <v>2010</v>
      </c>
      <c r="E283" s="727">
        <v>2011</v>
      </c>
      <c r="F283" s="727">
        <v>2012</v>
      </c>
      <c r="G283" s="727">
        <v>2013</v>
      </c>
      <c r="H283" s="727">
        <v>2014</v>
      </c>
      <c r="I283" s="727">
        <v>2015</v>
      </c>
      <c r="J283" s="727">
        <v>2016</v>
      </c>
      <c r="K283" s="727">
        <v>2017</v>
      </c>
      <c r="L283" s="727">
        <v>2018</v>
      </c>
      <c r="N283" s="112" t="s">
        <v>2304</v>
      </c>
    </row>
    <row r="284" spans="1:17">
      <c r="A284" s="725" t="s">
        <v>4057</v>
      </c>
      <c r="D284" s="728">
        <f t="shared" ref="D284:I284" si="196">SUM(D285:D304)</f>
        <v>61007</v>
      </c>
      <c r="E284" s="728">
        <f t="shared" si="196"/>
        <v>61056</v>
      </c>
      <c r="F284" s="728">
        <f t="shared" si="196"/>
        <v>61146</v>
      </c>
      <c r="G284" s="728">
        <f t="shared" si="196"/>
        <v>61590</v>
      </c>
      <c r="H284" s="728">
        <f t="shared" si="196"/>
        <v>59190</v>
      </c>
      <c r="I284" s="728">
        <f t="shared" si="196"/>
        <v>60213</v>
      </c>
      <c r="J284" s="728">
        <f t="shared" ref="J284:K284" si="197">SUM(J285:J304)</f>
        <v>60505</v>
      </c>
      <c r="K284" s="728">
        <f t="shared" si="197"/>
        <v>63409</v>
      </c>
      <c r="L284" s="728">
        <f t="shared" ref="L284" si="198">SUM(L285:L304)</f>
        <v>63562</v>
      </c>
    </row>
    <row r="285" spans="1:17">
      <c r="A285" s="725" t="s">
        <v>6957</v>
      </c>
      <c r="B285" s="725" t="s">
        <v>4058</v>
      </c>
      <c r="C285" s="4" t="s">
        <v>11164</v>
      </c>
      <c r="D285" s="728">
        <v>4294</v>
      </c>
      <c r="E285" s="728">
        <v>4295</v>
      </c>
      <c r="F285" s="728">
        <v>4296</v>
      </c>
      <c r="G285" s="48">
        <v>4296</v>
      </c>
      <c r="H285" s="48">
        <v>4157</v>
      </c>
      <c r="I285" s="48">
        <v>4168</v>
      </c>
      <c r="J285" s="48">
        <v>4155</v>
      </c>
      <c r="K285" s="48">
        <v>4343</v>
      </c>
      <c r="L285" s="48">
        <v>4363</v>
      </c>
      <c r="N285" s="725" t="s">
        <v>1181</v>
      </c>
    </row>
    <row r="286" spans="1:17">
      <c r="A286" s="725" t="s">
        <v>6959</v>
      </c>
      <c r="B286" s="725" t="s">
        <v>5764</v>
      </c>
      <c r="C286" s="4" t="s">
        <v>11165</v>
      </c>
      <c r="D286" s="728">
        <v>4502</v>
      </c>
      <c r="E286" s="728">
        <v>4494</v>
      </c>
      <c r="F286" s="728">
        <v>4530</v>
      </c>
      <c r="G286" s="48">
        <v>4546</v>
      </c>
      <c r="H286" s="48">
        <v>4255</v>
      </c>
      <c r="I286" s="48">
        <v>4380</v>
      </c>
      <c r="J286" s="48">
        <v>4399</v>
      </c>
      <c r="K286" s="48">
        <v>4666</v>
      </c>
      <c r="L286" s="48">
        <v>4684</v>
      </c>
      <c r="N286" s="725" t="s">
        <v>1181</v>
      </c>
    </row>
    <row r="287" spans="1:17">
      <c r="A287" s="725" t="s">
        <v>6961</v>
      </c>
      <c r="B287" s="725" t="s">
        <v>5765</v>
      </c>
      <c r="C287" s="4" t="s">
        <v>11146</v>
      </c>
      <c r="D287" s="728">
        <v>1391</v>
      </c>
      <c r="E287" s="728">
        <v>1425</v>
      </c>
      <c r="F287" s="728">
        <v>1410</v>
      </c>
      <c r="G287" s="48">
        <v>1414</v>
      </c>
      <c r="H287" s="48">
        <v>1388</v>
      </c>
      <c r="I287" s="48">
        <v>1383</v>
      </c>
      <c r="J287" s="48">
        <v>1379</v>
      </c>
      <c r="K287" s="48">
        <v>1419</v>
      </c>
      <c r="L287" s="48">
        <v>1413</v>
      </c>
      <c r="N287" s="725" t="s">
        <v>1181</v>
      </c>
      <c r="O287" s="4"/>
      <c r="Q287" s="4"/>
    </row>
    <row r="288" spans="1:17">
      <c r="A288" s="725" t="s">
        <v>6963</v>
      </c>
      <c r="B288" s="725" t="s">
        <v>5766</v>
      </c>
      <c r="C288" s="4" t="s">
        <v>11147</v>
      </c>
      <c r="D288" s="728">
        <v>2851</v>
      </c>
      <c r="E288" s="728">
        <v>2833</v>
      </c>
      <c r="F288" s="728">
        <v>2828</v>
      </c>
      <c r="G288" s="48">
        <v>2816</v>
      </c>
      <c r="H288" s="48">
        <v>2895</v>
      </c>
      <c r="I288" s="48">
        <v>1480</v>
      </c>
      <c r="J288" s="48">
        <v>2894</v>
      </c>
      <c r="K288" s="48">
        <v>3026</v>
      </c>
      <c r="L288" s="48">
        <v>3060</v>
      </c>
      <c r="N288" s="725" t="s">
        <v>1181</v>
      </c>
      <c r="O288" s="4"/>
      <c r="Q288" s="4"/>
    </row>
    <row r="289" spans="1:17">
      <c r="A289" s="725" t="s">
        <v>6965</v>
      </c>
      <c r="B289" s="725" t="s">
        <v>5767</v>
      </c>
      <c r="C289" s="4" t="s">
        <v>11148</v>
      </c>
      <c r="D289" s="728">
        <v>1668</v>
      </c>
      <c r="E289" s="728">
        <v>1706</v>
      </c>
      <c r="F289" s="728">
        <v>1677</v>
      </c>
      <c r="G289" s="48">
        <v>1678</v>
      </c>
      <c r="H289" s="48">
        <v>1607</v>
      </c>
      <c r="I289" s="48">
        <v>2908</v>
      </c>
      <c r="J289" s="48">
        <v>1671</v>
      </c>
      <c r="K289" s="48">
        <v>1703</v>
      </c>
      <c r="L289" s="48">
        <v>1733</v>
      </c>
      <c r="N289" s="725" t="s">
        <v>1181</v>
      </c>
      <c r="O289" s="4"/>
      <c r="Q289" s="4"/>
    </row>
    <row r="290" spans="1:17">
      <c r="A290" s="725" t="s">
        <v>6997</v>
      </c>
      <c r="B290" s="725" t="s">
        <v>5768</v>
      </c>
      <c r="C290" s="4" t="s">
        <v>11149</v>
      </c>
      <c r="D290" s="728">
        <v>4310</v>
      </c>
      <c r="E290" s="728">
        <v>4315</v>
      </c>
      <c r="F290" s="728">
        <v>4265</v>
      </c>
      <c r="G290" s="48">
        <v>4256</v>
      </c>
      <c r="H290" s="48">
        <v>4014</v>
      </c>
      <c r="I290" s="48">
        <v>1641</v>
      </c>
      <c r="J290" s="48">
        <v>4193</v>
      </c>
      <c r="K290" s="48">
        <v>4419</v>
      </c>
      <c r="L290" s="48">
        <v>4441</v>
      </c>
      <c r="N290" s="725" t="s">
        <v>1181</v>
      </c>
      <c r="O290" s="4"/>
      <c r="Q290" s="4"/>
    </row>
    <row r="291" spans="1:17">
      <c r="A291" s="725" t="s">
        <v>6999</v>
      </c>
      <c r="B291" s="725" t="s">
        <v>5769</v>
      </c>
      <c r="C291" s="4" t="s">
        <v>11150</v>
      </c>
      <c r="D291" s="728">
        <v>2920</v>
      </c>
      <c r="E291" s="728">
        <v>2960</v>
      </c>
      <c r="F291" s="728">
        <v>2981</v>
      </c>
      <c r="G291" s="48">
        <v>2995</v>
      </c>
      <c r="H291" s="48">
        <v>2918</v>
      </c>
      <c r="I291" s="48">
        <v>4091</v>
      </c>
      <c r="J291" s="48">
        <v>2978</v>
      </c>
      <c r="K291" s="48">
        <v>3083</v>
      </c>
      <c r="L291" s="48">
        <v>3084</v>
      </c>
      <c r="N291" s="725" t="s">
        <v>1181</v>
      </c>
      <c r="O291" s="4"/>
      <c r="Q291" s="4"/>
    </row>
    <row r="292" spans="1:17">
      <c r="A292" s="725" t="s">
        <v>7001</v>
      </c>
      <c r="B292" s="725" t="s">
        <v>5770</v>
      </c>
      <c r="C292" s="4" t="s">
        <v>11151</v>
      </c>
      <c r="D292" s="728">
        <v>2795</v>
      </c>
      <c r="E292" s="728">
        <v>2772</v>
      </c>
      <c r="F292" s="728">
        <v>2769</v>
      </c>
      <c r="G292" s="48">
        <v>2803</v>
      </c>
      <c r="H292" s="48">
        <v>2684</v>
      </c>
      <c r="I292" s="48">
        <v>2972</v>
      </c>
      <c r="J292" s="48">
        <v>2739</v>
      </c>
      <c r="K292" s="48">
        <v>2851</v>
      </c>
      <c r="L292" s="48">
        <v>2838</v>
      </c>
      <c r="N292" s="725" t="s">
        <v>1181</v>
      </c>
      <c r="O292" s="4"/>
      <c r="Q292" s="4"/>
    </row>
    <row r="293" spans="1:17">
      <c r="A293" s="725" t="s">
        <v>7003</v>
      </c>
      <c r="B293" s="725" t="s">
        <v>7615</v>
      </c>
      <c r="C293" s="4" t="s">
        <v>11152</v>
      </c>
      <c r="D293" s="728">
        <v>3174</v>
      </c>
      <c r="E293" s="728">
        <v>3179</v>
      </c>
      <c r="F293" s="728">
        <v>3171</v>
      </c>
      <c r="G293" s="48">
        <v>3224</v>
      </c>
      <c r="H293" s="48">
        <v>3104</v>
      </c>
      <c r="I293" s="48">
        <v>2733</v>
      </c>
      <c r="J293" s="48">
        <v>3124</v>
      </c>
      <c r="K293" s="48">
        <v>3257</v>
      </c>
      <c r="L293" s="48">
        <v>3242</v>
      </c>
      <c r="N293" s="725" t="s">
        <v>1181</v>
      </c>
      <c r="O293" s="4"/>
      <c r="Q293" s="4"/>
    </row>
    <row r="294" spans="1:17">
      <c r="A294" s="725" t="s">
        <v>7005</v>
      </c>
      <c r="B294" s="725" t="s">
        <v>7616</v>
      </c>
      <c r="C294" s="4" t="s">
        <v>11153</v>
      </c>
      <c r="D294" s="728">
        <v>4303</v>
      </c>
      <c r="E294" s="728">
        <v>4311</v>
      </c>
      <c r="F294" s="728">
        <v>4311</v>
      </c>
      <c r="G294" s="48">
        <v>4339</v>
      </c>
      <c r="H294" s="48">
        <v>4261</v>
      </c>
      <c r="I294" s="48">
        <v>3171</v>
      </c>
      <c r="J294" s="48">
        <v>4197</v>
      </c>
      <c r="K294" s="48">
        <v>4385</v>
      </c>
      <c r="L294" s="48">
        <v>4326</v>
      </c>
      <c r="N294" s="725" t="s">
        <v>1181</v>
      </c>
      <c r="O294" s="4"/>
      <c r="Q294" s="4"/>
    </row>
    <row r="295" spans="1:17">
      <c r="A295" s="725" t="s">
        <v>7007</v>
      </c>
      <c r="B295" s="725" t="s">
        <v>7617</v>
      </c>
      <c r="C295" s="4" t="s">
        <v>11154</v>
      </c>
      <c r="D295" s="728">
        <v>4378</v>
      </c>
      <c r="E295" s="728">
        <v>4406</v>
      </c>
      <c r="F295" s="728">
        <v>4436</v>
      </c>
      <c r="G295" s="48">
        <v>4473</v>
      </c>
      <c r="H295" s="48">
        <v>4209</v>
      </c>
      <c r="I295" s="48">
        <v>4227</v>
      </c>
      <c r="J295" s="48">
        <v>4351</v>
      </c>
      <c r="K295" s="48">
        <v>4621</v>
      </c>
      <c r="L295" s="48">
        <v>4706</v>
      </c>
      <c r="N295" s="725" t="s">
        <v>1181</v>
      </c>
      <c r="O295" s="4"/>
      <c r="Q295" s="4"/>
    </row>
    <row r="296" spans="1:17">
      <c r="A296" s="725" t="s">
        <v>7009</v>
      </c>
      <c r="B296" s="725" t="s">
        <v>7618</v>
      </c>
      <c r="C296" s="4" t="s">
        <v>11155</v>
      </c>
      <c r="D296" s="728">
        <v>3251</v>
      </c>
      <c r="E296" s="728">
        <v>3225</v>
      </c>
      <c r="F296" s="728">
        <v>3222</v>
      </c>
      <c r="G296" s="48">
        <v>3227</v>
      </c>
      <c r="H296" s="48">
        <v>3027</v>
      </c>
      <c r="I296" s="48">
        <v>4297</v>
      </c>
      <c r="J296" s="48">
        <v>3208</v>
      </c>
      <c r="K296" s="48">
        <v>3308</v>
      </c>
      <c r="L296" s="48">
        <v>3316</v>
      </c>
      <c r="N296" s="725" t="s">
        <v>1181</v>
      </c>
      <c r="O296" s="4"/>
      <c r="Q296" s="4"/>
    </row>
    <row r="297" spans="1:17">
      <c r="A297" s="725" t="s">
        <v>7011</v>
      </c>
      <c r="B297" s="725" t="s">
        <v>5322</v>
      </c>
      <c r="C297" s="4" t="s">
        <v>11156</v>
      </c>
      <c r="D297" s="728">
        <v>2764</v>
      </c>
      <c r="E297" s="728">
        <v>2756</v>
      </c>
      <c r="F297" s="728">
        <v>2785</v>
      </c>
      <c r="G297" s="48">
        <v>2895</v>
      </c>
      <c r="H297" s="48">
        <v>2741</v>
      </c>
      <c r="I297" s="48">
        <v>3123</v>
      </c>
      <c r="J297" s="48">
        <v>2793</v>
      </c>
      <c r="K297" s="48">
        <v>2890</v>
      </c>
      <c r="L297" s="48">
        <v>2895</v>
      </c>
      <c r="N297" s="725" t="s">
        <v>1181</v>
      </c>
      <c r="O297" s="4"/>
      <c r="Q297" s="4"/>
    </row>
    <row r="298" spans="1:17">
      <c r="A298" s="725" t="s">
        <v>7013</v>
      </c>
      <c r="B298" s="726" t="s">
        <v>7619</v>
      </c>
      <c r="C298" s="4" t="s">
        <v>11157</v>
      </c>
      <c r="D298" s="728">
        <v>1477</v>
      </c>
      <c r="E298" s="728">
        <v>1486</v>
      </c>
      <c r="F298" s="728">
        <v>1487</v>
      </c>
      <c r="G298" s="48">
        <v>1473</v>
      </c>
      <c r="H298" s="48">
        <v>1461</v>
      </c>
      <c r="I298" s="48">
        <v>2808</v>
      </c>
      <c r="J298" s="48">
        <v>1488</v>
      </c>
      <c r="K298" s="48">
        <v>1540</v>
      </c>
      <c r="L298" s="48">
        <v>1540</v>
      </c>
      <c r="N298" s="725" t="s">
        <v>1181</v>
      </c>
      <c r="O298" s="4"/>
      <c r="Q298" s="4"/>
    </row>
    <row r="299" spans="1:17">
      <c r="A299" s="725" t="s">
        <v>7015</v>
      </c>
      <c r="B299" s="725" t="s">
        <v>7796</v>
      </c>
      <c r="C299" s="4" t="s">
        <v>11158</v>
      </c>
      <c r="D299" s="728">
        <v>2845</v>
      </c>
      <c r="E299" s="728">
        <v>2845</v>
      </c>
      <c r="F299" s="728">
        <v>2880</v>
      </c>
      <c r="G299" s="48">
        <v>2902</v>
      </c>
      <c r="H299" s="48">
        <v>2731</v>
      </c>
      <c r="I299" s="48">
        <v>2805</v>
      </c>
      <c r="J299" s="48">
        <v>2863</v>
      </c>
      <c r="K299" s="48">
        <v>3108</v>
      </c>
      <c r="L299" s="48">
        <v>3135</v>
      </c>
      <c r="N299" s="725" t="s">
        <v>1181</v>
      </c>
      <c r="O299" s="4"/>
      <c r="Q299" s="4"/>
    </row>
    <row r="300" spans="1:17">
      <c r="A300" s="725" t="s">
        <v>7017</v>
      </c>
      <c r="B300" s="725" t="s">
        <v>2368</v>
      </c>
      <c r="C300" s="4" t="s">
        <v>11159</v>
      </c>
      <c r="D300" s="728">
        <v>4244</v>
      </c>
      <c r="E300" s="728">
        <v>4232</v>
      </c>
      <c r="F300" s="728">
        <v>4282</v>
      </c>
      <c r="G300" s="48">
        <v>4277</v>
      </c>
      <c r="H300" s="48">
        <v>3997</v>
      </c>
      <c r="I300" s="48">
        <v>4082</v>
      </c>
      <c r="J300" s="48">
        <v>4147</v>
      </c>
      <c r="K300" s="48">
        <v>4344</v>
      </c>
      <c r="L300" s="48">
        <v>4358</v>
      </c>
      <c r="N300" s="725" t="s">
        <v>1181</v>
      </c>
      <c r="O300" s="4"/>
      <c r="Q300" s="4"/>
    </row>
    <row r="301" spans="1:17">
      <c r="A301" s="725" t="s">
        <v>7019</v>
      </c>
      <c r="B301" s="725" t="s">
        <v>2369</v>
      </c>
      <c r="C301" s="4" t="s">
        <v>11160</v>
      </c>
      <c r="D301" s="728">
        <v>2681</v>
      </c>
      <c r="E301" s="728">
        <v>2659</v>
      </c>
      <c r="F301" s="728">
        <v>2643</v>
      </c>
      <c r="G301" s="48">
        <v>2675</v>
      </c>
      <c r="H301" s="48">
        <v>2600</v>
      </c>
      <c r="I301" s="48">
        <v>2663</v>
      </c>
      <c r="J301" s="48">
        <v>2636</v>
      </c>
      <c r="K301" s="48">
        <v>2695</v>
      </c>
      <c r="L301" s="48">
        <v>2681</v>
      </c>
      <c r="N301" s="725" t="s">
        <v>1181</v>
      </c>
      <c r="O301" s="4"/>
      <c r="Q301" s="4"/>
    </row>
    <row r="302" spans="1:17">
      <c r="A302" s="725" t="s">
        <v>7021</v>
      </c>
      <c r="B302" s="725" t="s">
        <v>2370</v>
      </c>
      <c r="C302" s="4" t="s">
        <v>11161</v>
      </c>
      <c r="D302" s="728">
        <v>2920</v>
      </c>
      <c r="E302" s="728">
        <v>2938</v>
      </c>
      <c r="F302" s="728">
        <v>2934</v>
      </c>
      <c r="G302" s="48">
        <v>2981</v>
      </c>
      <c r="H302" s="48">
        <v>2891</v>
      </c>
      <c r="I302" s="48">
        <v>2961</v>
      </c>
      <c r="J302" s="48">
        <v>3078</v>
      </c>
      <c r="K302" s="48">
        <v>3275</v>
      </c>
      <c r="L302" s="48">
        <v>3335</v>
      </c>
      <c r="N302" s="725" t="s">
        <v>1181</v>
      </c>
      <c r="O302" s="4"/>
      <c r="Q302" s="4"/>
    </row>
    <row r="303" spans="1:17">
      <c r="A303" s="725" t="s">
        <v>7023</v>
      </c>
      <c r="B303" s="725" t="s">
        <v>2371</v>
      </c>
      <c r="C303" s="4" t="s">
        <v>11162</v>
      </c>
      <c r="D303" s="728">
        <v>2687</v>
      </c>
      <c r="E303" s="728">
        <v>2687</v>
      </c>
      <c r="F303" s="728">
        <v>2702</v>
      </c>
      <c r="G303" s="48">
        <v>2789</v>
      </c>
      <c r="H303" s="48">
        <v>2798</v>
      </c>
      <c r="I303" s="48">
        <v>2875</v>
      </c>
      <c r="J303" s="48">
        <v>2775</v>
      </c>
      <c r="K303" s="48">
        <v>2988</v>
      </c>
      <c r="L303" s="48">
        <v>2949</v>
      </c>
      <c r="N303" s="725" t="s">
        <v>1181</v>
      </c>
      <c r="O303" s="4"/>
      <c r="Q303" s="4"/>
    </row>
    <row r="304" spans="1:17">
      <c r="A304" s="725" t="s">
        <v>7025</v>
      </c>
      <c r="B304" s="725" t="s">
        <v>2372</v>
      </c>
      <c r="C304" s="4" t="s">
        <v>11163</v>
      </c>
      <c r="D304" s="728">
        <v>1552</v>
      </c>
      <c r="E304" s="728">
        <v>1532</v>
      </c>
      <c r="F304" s="728">
        <v>1537</v>
      </c>
      <c r="G304" s="48">
        <v>1531</v>
      </c>
      <c r="H304" s="48">
        <v>1452</v>
      </c>
      <c r="I304" s="48">
        <v>1445</v>
      </c>
      <c r="J304" s="48">
        <v>1437</v>
      </c>
      <c r="K304" s="48">
        <v>1488</v>
      </c>
      <c r="L304" s="48">
        <v>1463</v>
      </c>
      <c r="N304" s="725" t="s">
        <v>1181</v>
      </c>
      <c r="O304" s="4"/>
      <c r="Q304" s="4"/>
    </row>
    <row r="305" spans="1:17">
      <c r="D305" s="729"/>
      <c r="E305" s="729"/>
      <c r="F305" s="729"/>
      <c r="G305" s="729"/>
      <c r="H305" s="729"/>
      <c r="I305" s="729"/>
      <c r="J305" s="729"/>
      <c r="K305" s="729"/>
      <c r="L305" s="729"/>
      <c r="O305" s="4"/>
      <c r="Q305" s="4"/>
    </row>
    <row r="306" spans="1:17" ht="16.5" customHeight="1">
      <c r="A306" s="725" t="s">
        <v>3151</v>
      </c>
      <c r="D306" s="728">
        <f t="shared" ref="D306:I306" si="199">SUM(D285:D304)</f>
        <v>61007</v>
      </c>
      <c r="E306" s="728">
        <f t="shared" si="199"/>
        <v>61056</v>
      </c>
      <c r="F306" s="728">
        <f t="shared" si="199"/>
        <v>61146</v>
      </c>
      <c r="G306" s="728">
        <f t="shared" si="199"/>
        <v>61590</v>
      </c>
      <c r="H306" s="728">
        <f t="shared" si="199"/>
        <v>59190</v>
      </c>
      <c r="I306" s="728">
        <f t="shared" si="199"/>
        <v>60213</v>
      </c>
      <c r="J306" s="728">
        <f t="shared" ref="J306:K306" si="200">SUM(J285:J304)</f>
        <v>60505</v>
      </c>
      <c r="K306" s="728">
        <f t="shared" si="200"/>
        <v>63409</v>
      </c>
      <c r="L306" s="728">
        <f t="shared" ref="L306" si="201">SUM(L285:L304)</f>
        <v>63562</v>
      </c>
      <c r="O306" s="4"/>
      <c r="Q306" s="4"/>
    </row>
    <row r="307" spans="1:17">
      <c r="A307" s="725"/>
      <c r="B307" s="725"/>
      <c r="D307" s="736"/>
      <c r="E307" s="736"/>
      <c r="F307" s="736"/>
      <c r="G307" s="736"/>
      <c r="H307" s="736"/>
      <c r="I307" s="736"/>
      <c r="J307" s="736"/>
      <c r="K307" s="736"/>
      <c r="L307" s="736"/>
    </row>
    <row r="308" spans="1:17">
      <c r="A308" s="725" t="s">
        <v>1394</v>
      </c>
      <c r="B308" s="725"/>
      <c r="D308" s="736"/>
      <c r="E308" s="736"/>
      <c r="F308" s="736"/>
      <c r="G308" s="736"/>
      <c r="H308" s="736"/>
      <c r="I308" s="736"/>
      <c r="J308" s="736"/>
      <c r="K308" s="736"/>
      <c r="L308" s="736"/>
    </row>
    <row r="309" spans="1:17">
      <c r="A309" s="725" t="s">
        <v>1395</v>
      </c>
      <c r="B309" s="725"/>
      <c r="D309" s="736"/>
      <c r="E309" s="736"/>
      <c r="F309" s="736"/>
      <c r="G309" s="736"/>
      <c r="H309" s="736"/>
      <c r="I309" s="736"/>
      <c r="J309" s="736"/>
      <c r="K309" s="736"/>
      <c r="L309" s="736"/>
    </row>
    <row r="310" spans="1:17">
      <c r="A310" s="725"/>
      <c r="B310" s="725"/>
      <c r="C310" s="725"/>
      <c r="D310" s="736"/>
      <c r="E310" s="736"/>
      <c r="F310" s="736"/>
      <c r="G310" s="736"/>
      <c r="H310" s="736"/>
      <c r="I310" s="736"/>
      <c r="J310" s="736"/>
      <c r="K310" s="736"/>
      <c r="L310" s="736"/>
    </row>
    <row r="311" spans="1:17">
      <c r="A311" s="725"/>
      <c r="B311" s="725"/>
      <c r="C311" s="725"/>
      <c r="D311" s="736"/>
      <c r="E311" s="736"/>
      <c r="F311" s="736"/>
      <c r="G311" s="736"/>
      <c r="H311" s="736"/>
      <c r="I311" s="736"/>
      <c r="J311" s="736"/>
      <c r="K311" s="736"/>
      <c r="L311" s="736"/>
    </row>
    <row r="312" spans="1:17">
      <c r="E312" s="42" t="s">
        <v>2303</v>
      </c>
      <c r="F312" s="42"/>
      <c r="G312" s="42"/>
      <c r="H312" s="42"/>
      <c r="I312" s="42"/>
      <c r="J312" s="42"/>
      <c r="K312" s="42"/>
      <c r="L312" s="42"/>
      <c r="M312" s="109"/>
      <c r="N312" s="109" t="s">
        <v>13319</v>
      </c>
    </row>
    <row r="313" spans="1:17">
      <c r="D313" s="727">
        <v>2010</v>
      </c>
      <c r="E313" s="727">
        <v>2011</v>
      </c>
      <c r="F313" s="727">
        <v>2012</v>
      </c>
      <c r="G313" s="727">
        <v>2013</v>
      </c>
      <c r="H313" s="727">
        <v>2014</v>
      </c>
      <c r="I313" s="727">
        <v>2015</v>
      </c>
      <c r="J313" s="727">
        <v>2016</v>
      </c>
      <c r="K313" s="727">
        <v>2017</v>
      </c>
      <c r="L313" s="727">
        <v>2018</v>
      </c>
      <c r="N313" s="112" t="s">
        <v>2304</v>
      </c>
    </row>
    <row r="314" spans="1:17">
      <c r="A314" s="725" t="s">
        <v>1396</v>
      </c>
      <c r="C314" s="725"/>
      <c r="D314" s="728">
        <f t="shared" ref="D314:I314" si="202">SUM(D315:D343)</f>
        <v>90872</v>
      </c>
      <c r="E314" s="728">
        <f t="shared" si="202"/>
        <v>90491</v>
      </c>
      <c r="F314" s="728">
        <f t="shared" si="202"/>
        <v>91140</v>
      </c>
      <c r="G314" s="728">
        <f t="shared" si="202"/>
        <v>91916</v>
      </c>
      <c r="H314" s="728">
        <f t="shared" si="202"/>
        <v>92504</v>
      </c>
      <c r="I314" s="728">
        <f t="shared" si="202"/>
        <v>90183</v>
      </c>
      <c r="J314" s="728">
        <f t="shared" ref="J314:K314" si="203">SUM(J315:J343)</f>
        <v>88240</v>
      </c>
      <c r="K314" s="728">
        <f t="shared" si="203"/>
        <v>91510</v>
      </c>
      <c r="L314" s="728">
        <f t="shared" ref="L314" si="204">SUM(L315:L343)</f>
        <v>91395</v>
      </c>
    </row>
    <row r="315" spans="1:17">
      <c r="A315" s="725" t="s">
        <v>6957</v>
      </c>
      <c r="B315" s="725" t="s">
        <v>1397</v>
      </c>
      <c r="C315" s="4" t="s">
        <v>11166</v>
      </c>
      <c r="D315" s="728">
        <v>1519</v>
      </c>
      <c r="E315" s="728">
        <v>1495</v>
      </c>
      <c r="F315" s="728">
        <v>1536</v>
      </c>
      <c r="G315" s="30">
        <v>1561</v>
      </c>
      <c r="H315" s="30">
        <v>1584</v>
      </c>
      <c r="I315" s="30">
        <v>1521</v>
      </c>
      <c r="J315" s="30">
        <v>1494</v>
      </c>
      <c r="K315" s="30">
        <v>1509</v>
      </c>
      <c r="L315" s="30">
        <v>1511</v>
      </c>
      <c r="N315" s="725" t="s">
        <v>1187</v>
      </c>
    </row>
    <row r="316" spans="1:17">
      <c r="A316" s="725" t="s">
        <v>6959</v>
      </c>
      <c r="B316" s="725" t="s">
        <v>4897</v>
      </c>
      <c r="C316" s="4" t="s">
        <v>11167</v>
      </c>
      <c r="D316" s="728">
        <v>1456</v>
      </c>
      <c r="E316" s="728">
        <v>1457</v>
      </c>
      <c r="F316" s="728">
        <v>1467</v>
      </c>
      <c r="G316" s="30">
        <v>1478</v>
      </c>
      <c r="H316" s="30">
        <v>1487</v>
      </c>
      <c r="I316" s="30">
        <v>1457</v>
      </c>
      <c r="J316" s="30">
        <v>1420</v>
      </c>
      <c r="K316" s="30">
        <v>1483</v>
      </c>
      <c r="L316" s="30">
        <v>1500</v>
      </c>
      <c r="N316" s="725" t="s">
        <v>1187</v>
      </c>
    </row>
    <row r="317" spans="1:17">
      <c r="A317" s="725" t="s">
        <v>6961</v>
      </c>
      <c r="B317" s="725" t="s">
        <v>4898</v>
      </c>
      <c r="C317" s="4" t="s">
        <v>11168</v>
      </c>
      <c r="D317" s="733">
        <v>3448</v>
      </c>
      <c r="E317" s="733">
        <v>3439</v>
      </c>
      <c r="F317" s="733">
        <v>3403</v>
      </c>
      <c r="G317" s="30">
        <v>3441</v>
      </c>
      <c r="H317" s="30">
        <v>3502</v>
      </c>
      <c r="I317" s="30">
        <v>3401</v>
      </c>
      <c r="J317" s="30">
        <v>3333</v>
      </c>
      <c r="K317" s="30">
        <v>3519</v>
      </c>
      <c r="L317" s="30">
        <v>3575</v>
      </c>
      <c r="N317" s="725" t="s">
        <v>1193</v>
      </c>
      <c r="O317" s="4"/>
      <c r="Q317" s="4"/>
    </row>
    <row r="318" spans="1:17">
      <c r="A318" s="725" t="s">
        <v>6963</v>
      </c>
      <c r="B318" s="725" t="s">
        <v>4899</v>
      </c>
      <c r="C318" s="4" t="s">
        <v>11169</v>
      </c>
      <c r="D318" s="728">
        <v>2965</v>
      </c>
      <c r="E318" s="728">
        <v>2998</v>
      </c>
      <c r="F318" s="728">
        <v>2964</v>
      </c>
      <c r="G318" s="30">
        <v>3027</v>
      </c>
      <c r="H318" s="30">
        <v>3010</v>
      </c>
      <c r="I318" s="30">
        <v>2973</v>
      </c>
      <c r="J318" s="30">
        <v>2929</v>
      </c>
      <c r="K318" s="30">
        <v>2993</v>
      </c>
      <c r="L318" s="30">
        <v>3007</v>
      </c>
      <c r="N318" s="725" t="s">
        <v>1193</v>
      </c>
      <c r="O318" s="4"/>
      <c r="Q318" s="4"/>
    </row>
    <row r="319" spans="1:17">
      <c r="A319" s="725" t="s">
        <v>6965</v>
      </c>
      <c r="B319" s="726" t="s">
        <v>4900</v>
      </c>
      <c r="C319" s="4" t="s">
        <v>11170</v>
      </c>
      <c r="D319" s="728">
        <v>5117</v>
      </c>
      <c r="E319" s="728">
        <v>5054</v>
      </c>
      <c r="F319" s="728">
        <v>5034</v>
      </c>
      <c r="G319" s="30">
        <v>5061</v>
      </c>
      <c r="H319" s="30">
        <v>5104</v>
      </c>
      <c r="I319" s="30">
        <v>5001</v>
      </c>
      <c r="J319" s="30">
        <v>4946</v>
      </c>
      <c r="K319" s="30">
        <v>5120</v>
      </c>
      <c r="L319" s="30">
        <v>5048</v>
      </c>
      <c r="N319" s="726" t="s">
        <v>1187</v>
      </c>
      <c r="O319" s="4"/>
      <c r="Q319" s="4"/>
    </row>
    <row r="320" spans="1:17">
      <c r="A320" s="725" t="s">
        <v>6997</v>
      </c>
      <c r="B320" s="725" t="s">
        <v>4901</v>
      </c>
      <c r="C320" s="4" t="s">
        <v>11171</v>
      </c>
      <c r="D320" s="728">
        <v>3102</v>
      </c>
      <c r="E320" s="728">
        <v>3076</v>
      </c>
      <c r="F320" s="728">
        <v>3098</v>
      </c>
      <c r="G320" s="30">
        <v>3182</v>
      </c>
      <c r="H320" s="30">
        <v>3228</v>
      </c>
      <c r="I320" s="30">
        <v>3071</v>
      </c>
      <c r="J320" s="30">
        <v>2994</v>
      </c>
      <c r="K320" s="30">
        <v>3033</v>
      </c>
      <c r="L320" s="30">
        <v>3032</v>
      </c>
      <c r="N320" s="725" t="s">
        <v>1187</v>
      </c>
      <c r="O320" s="4"/>
      <c r="Q320" s="4"/>
    </row>
    <row r="321" spans="1:17">
      <c r="A321" s="725" t="s">
        <v>6999</v>
      </c>
      <c r="B321" s="725" t="s">
        <v>4921</v>
      </c>
      <c r="C321" s="4" t="s">
        <v>11172</v>
      </c>
      <c r="D321" s="728">
        <v>3011</v>
      </c>
      <c r="E321" s="728">
        <v>2980</v>
      </c>
      <c r="F321" s="728">
        <v>3035</v>
      </c>
      <c r="G321" s="30">
        <v>3078</v>
      </c>
      <c r="H321" s="30">
        <v>3108</v>
      </c>
      <c r="I321" s="30">
        <v>3078</v>
      </c>
      <c r="J321" s="30">
        <v>3002</v>
      </c>
      <c r="K321" s="30">
        <v>3098</v>
      </c>
      <c r="L321" s="30">
        <v>3081</v>
      </c>
      <c r="N321" s="725" t="s">
        <v>1193</v>
      </c>
      <c r="O321" s="4"/>
      <c r="Q321" s="4"/>
    </row>
    <row r="322" spans="1:17">
      <c r="A322" s="725" t="s">
        <v>7001</v>
      </c>
      <c r="B322" s="725" t="s">
        <v>4922</v>
      </c>
      <c r="C322" s="4" t="s">
        <v>11173</v>
      </c>
      <c r="D322" s="728">
        <v>1615</v>
      </c>
      <c r="E322" s="728">
        <v>1569</v>
      </c>
      <c r="F322" s="728">
        <v>1581</v>
      </c>
      <c r="G322" s="30">
        <v>1592</v>
      </c>
      <c r="H322" s="30">
        <v>1607</v>
      </c>
      <c r="I322" s="30">
        <v>1565</v>
      </c>
      <c r="J322" s="30">
        <v>1575</v>
      </c>
      <c r="K322" s="30">
        <v>1661</v>
      </c>
      <c r="L322" s="30">
        <v>1648</v>
      </c>
      <c r="N322" s="725" t="s">
        <v>1187</v>
      </c>
      <c r="O322" s="4"/>
      <c r="Q322" s="4"/>
    </row>
    <row r="323" spans="1:17">
      <c r="A323" s="725" t="s">
        <v>7003</v>
      </c>
      <c r="B323" s="725" t="s">
        <v>4923</v>
      </c>
      <c r="C323" s="4" t="s">
        <v>11174</v>
      </c>
      <c r="D323" s="728">
        <v>3126</v>
      </c>
      <c r="E323" s="728">
        <v>3079</v>
      </c>
      <c r="F323" s="728">
        <v>3117</v>
      </c>
      <c r="G323" s="30">
        <v>3157</v>
      </c>
      <c r="H323" s="30">
        <v>3224</v>
      </c>
      <c r="I323" s="30">
        <v>3212</v>
      </c>
      <c r="J323" s="30">
        <v>3103</v>
      </c>
      <c r="K323" s="30">
        <v>3178</v>
      </c>
      <c r="L323" s="30">
        <v>3194</v>
      </c>
      <c r="N323" s="725" t="s">
        <v>1193</v>
      </c>
      <c r="O323" s="4"/>
      <c r="Q323" s="4"/>
    </row>
    <row r="324" spans="1:17">
      <c r="A324" s="725" t="s">
        <v>7005</v>
      </c>
      <c r="B324" s="725" t="s">
        <v>3237</v>
      </c>
      <c r="C324" s="4" t="s">
        <v>11175</v>
      </c>
      <c r="D324" s="728">
        <v>3302</v>
      </c>
      <c r="E324" s="728">
        <v>3262</v>
      </c>
      <c r="F324" s="728">
        <v>3319</v>
      </c>
      <c r="G324" s="30">
        <v>3257</v>
      </c>
      <c r="H324" s="30">
        <v>3048</v>
      </c>
      <c r="I324" s="30">
        <v>2950</v>
      </c>
      <c r="J324" s="30">
        <v>2939</v>
      </c>
      <c r="K324" s="30">
        <v>3097</v>
      </c>
      <c r="L324" s="30">
        <v>3141</v>
      </c>
      <c r="N324" s="725" t="s">
        <v>1193</v>
      </c>
      <c r="O324" s="4"/>
      <c r="Q324" s="4"/>
    </row>
    <row r="325" spans="1:17">
      <c r="A325" s="725" t="s">
        <v>7007</v>
      </c>
      <c r="B325" s="725" t="s">
        <v>3238</v>
      </c>
      <c r="C325" s="4" t="s">
        <v>11176</v>
      </c>
      <c r="D325" s="728">
        <v>3174</v>
      </c>
      <c r="E325" s="728">
        <v>3145</v>
      </c>
      <c r="F325" s="728">
        <v>3111</v>
      </c>
      <c r="G325" s="30">
        <v>3209</v>
      </c>
      <c r="H325" s="30">
        <v>3257</v>
      </c>
      <c r="I325" s="30">
        <v>3140</v>
      </c>
      <c r="J325" s="30">
        <v>3036</v>
      </c>
      <c r="K325" s="30">
        <v>3155</v>
      </c>
      <c r="L325" s="30">
        <v>3148</v>
      </c>
      <c r="N325" s="725" t="s">
        <v>1193</v>
      </c>
      <c r="O325" s="4"/>
      <c r="Q325" s="4"/>
    </row>
    <row r="326" spans="1:17">
      <c r="A326" s="725" t="s">
        <v>7009</v>
      </c>
      <c r="B326" s="725" t="s">
        <v>3239</v>
      </c>
      <c r="C326" s="4" t="s">
        <v>11177</v>
      </c>
      <c r="D326" s="728">
        <v>3264</v>
      </c>
      <c r="E326" s="728">
        <v>3280</v>
      </c>
      <c r="F326" s="728">
        <v>3329</v>
      </c>
      <c r="G326" s="30">
        <v>3328</v>
      </c>
      <c r="H326" s="30">
        <v>3326</v>
      </c>
      <c r="I326" s="30">
        <v>3255</v>
      </c>
      <c r="J326" s="30">
        <v>3165</v>
      </c>
      <c r="K326" s="30">
        <v>3299</v>
      </c>
      <c r="L326" s="30">
        <v>3324</v>
      </c>
      <c r="N326" s="725" t="s">
        <v>1193</v>
      </c>
      <c r="O326" s="4"/>
      <c r="Q326" s="4"/>
    </row>
    <row r="327" spans="1:17">
      <c r="A327" s="725" t="s">
        <v>7011</v>
      </c>
      <c r="B327" s="725" t="s">
        <v>3240</v>
      </c>
      <c r="C327" s="4" t="s">
        <v>11178</v>
      </c>
      <c r="D327" s="728">
        <v>3469</v>
      </c>
      <c r="E327" s="728">
        <v>3549</v>
      </c>
      <c r="F327" s="728">
        <v>3632</v>
      </c>
      <c r="G327" s="30">
        <v>3597</v>
      </c>
      <c r="H327" s="30">
        <v>3717</v>
      </c>
      <c r="I327" s="30">
        <v>3549</v>
      </c>
      <c r="J327" s="30">
        <v>3505</v>
      </c>
      <c r="K327" s="30">
        <v>3677</v>
      </c>
      <c r="L327" s="30">
        <v>3628</v>
      </c>
      <c r="N327" s="725" t="s">
        <v>1193</v>
      </c>
      <c r="O327" s="4"/>
      <c r="Q327" s="4"/>
    </row>
    <row r="328" spans="1:17">
      <c r="A328" s="725" t="s">
        <v>7013</v>
      </c>
      <c r="B328" s="725" t="s">
        <v>3241</v>
      </c>
      <c r="C328" s="4" t="s">
        <v>11179</v>
      </c>
      <c r="D328" s="728">
        <v>3066</v>
      </c>
      <c r="E328" s="728">
        <v>3094</v>
      </c>
      <c r="F328" s="728">
        <v>3125</v>
      </c>
      <c r="G328" s="30">
        <v>3159</v>
      </c>
      <c r="H328" s="30">
        <v>3192</v>
      </c>
      <c r="I328" s="30">
        <v>3106</v>
      </c>
      <c r="J328" s="30">
        <v>3107</v>
      </c>
      <c r="K328" s="30">
        <v>3200</v>
      </c>
      <c r="L328" s="30">
        <v>3206</v>
      </c>
      <c r="N328" s="725" t="s">
        <v>1193</v>
      </c>
      <c r="O328" s="4"/>
      <c r="Q328" s="4"/>
    </row>
    <row r="329" spans="1:17">
      <c r="A329" s="725" t="s">
        <v>7015</v>
      </c>
      <c r="B329" s="725" t="s">
        <v>3242</v>
      </c>
      <c r="C329" s="4" t="s">
        <v>11180</v>
      </c>
      <c r="D329" s="728">
        <v>3158</v>
      </c>
      <c r="E329" s="728">
        <v>3125</v>
      </c>
      <c r="F329" s="728">
        <v>3145</v>
      </c>
      <c r="G329" s="31">
        <v>3188</v>
      </c>
      <c r="H329" s="31">
        <v>3258</v>
      </c>
      <c r="I329" s="31">
        <v>3179</v>
      </c>
      <c r="J329" s="31">
        <v>3052</v>
      </c>
      <c r="K329" s="31">
        <v>3137</v>
      </c>
      <c r="L329" s="31">
        <v>3139</v>
      </c>
      <c r="N329" s="725" t="s">
        <v>1193</v>
      </c>
      <c r="O329" s="4"/>
      <c r="Q329" s="4"/>
    </row>
    <row r="330" spans="1:17">
      <c r="A330" s="725" t="s">
        <v>7017</v>
      </c>
      <c r="B330" s="725" t="s">
        <v>3243</v>
      </c>
      <c r="C330" s="4" t="s">
        <v>11181</v>
      </c>
      <c r="D330" s="728">
        <v>3351</v>
      </c>
      <c r="E330" s="728">
        <v>3340</v>
      </c>
      <c r="F330" s="728">
        <v>3370</v>
      </c>
      <c r="G330" s="31">
        <v>3372</v>
      </c>
      <c r="H330" s="31">
        <v>3406</v>
      </c>
      <c r="I330" s="31">
        <v>3371</v>
      </c>
      <c r="J330" s="31">
        <v>3242</v>
      </c>
      <c r="K330" s="31">
        <v>3363</v>
      </c>
      <c r="L330" s="31">
        <v>3392</v>
      </c>
      <c r="N330" s="725" t="s">
        <v>1193</v>
      </c>
      <c r="O330" s="4"/>
      <c r="Q330" s="4"/>
    </row>
    <row r="331" spans="1:17">
      <c r="A331" s="725" t="s">
        <v>7019</v>
      </c>
      <c r="B331" s="725" t="s">
        <v>3244</v>
      </c>
      <c r="C331" s="4" t="s">
        <v>11182</v>
      </c>
      <c r="D331" s="728">
        <v>3315</v>
      </c>
      <c r="E331" s="728">
        <v>3272</v>
      </c>
      <c r="F331" s="728">
        <v>3336</v>
      </c>
      <c r="G331" s="31">
        <v>3375</v>
      </c>
      <c r="H331" s="31">
        <v>3433</v>
      </c>
      <c r="I331" s="31">
        <v>3364</v>
      </c>
      <c r="J331" s="31">
        <v>3271</v>
      </c>
      <c r="K331" s="31">
        <v>3345</v>
      </c>
      <c r="L331" s="31">
        <v>3340</v>
      </c>
      <c r="N331" s="725" t="s">
        <v>1193</v>
      </c>
      <c r="O331" s="4"/>
      <c r="Q331" s="4"/>
    </row>
    <row r="332" spans="1:17">
      <c r="A332" s="725" t="s">
        <v>7021</v>
      </c>
      <c r="B332" s="725" t="s">
        <v>1535</v>
      </c>
      <c r="C332" s="4" t="s">
        <v>11183</v>
      </c>
      <c r="D332" s="728">
        <v>3114</v>
      </c>
      <c r="E332" s="728">
        <v>3119</v>
      </c>
      <c r="F332" s="728">
        <v>3173</v>
      </c>
      <c r="G332" s="31">
        <v>3215</v>
      </c>
      <c r="H332" s="31">
        <v>3231</v>
      </c>
      <c r="I332" s="31">
        <v>3175</v>
      </c>
      <c r="J332" s="31">
        <v>3045</v>
      </c>
      <c r="K332" s="31">
        <v>3127</v>
      </c>
      <c r="L332" s="31">
        <v>3103</v>
      </c>
      <c r="N332" s="725" t="s">
        <v>1193</v>
      </c>
      <c r="O332" s="4"/>
      <c r="Q332" s="4"/>
    </row>
    <row r="333" spans="1:17">
      <c r="A333" s="725" t="s">
        <v>7023</v>
      </c>
      <c r="B333" s="725" t="s">
        <v>1536</v>
      </c>
      <c r="C333" s="4" t="s">
        <v>11184</v>
      </c>
      <c r="D333" s="728">
        <v>3172</v>
      </c>
      <c r="E333" s="728">
        <v>3152</v>
      </c>
      <c r="F333" s="728">
        <v>3144</v>
      </c>
      <c r="G333" s="31">
        <v>3123</v>
      </c>
      <c r="H333" s="31">
        <v>3123</v>
      </c>
      <c r="I333" s="31">
        <v>3053</v>
      </c>
      <c r="J333" s="31">
        <v>3001</v>
      </c>
      <c r="K333" s="31">
        <v>3075</v>
      </c>
      <c r="L333" s="31">
        <v>3019</v>
      </c>
      <c r="N333" s="725" t="s">
        <v>1193</v>
      </c>
      <c r="O333" s="4"/>
      <c r="Q333" s="4"/>
    </row>
    <row r="334" spans="1:17">
      <c r="A334" s="725" t="s">
        <v>7025</v>
      </c>
      <c r="B334" s="725" t="s">
        <v>1537</v>
      </c>
      <c r="C334" s="4" t="s">
        <v>11185</v>
      </c>
      <c r="D334" s="728">
        <v>3343</v>
      </c>
      <c r="E334" s="728">
        <v>3400</v>
      </c>
      <c r="F334" s="728">
        <v>3443</v>
      </c>
      <c r="G334" s="31">
        <v>3456</v>
      </c>
      <c r="H334" s="31">
        <v>3484</v>
      </c>
      <c r="I334" s="31">
        <v>3337</v>
      </c>
      <c r="J334" s="31">
        <v>3219</v>
      </c>
      <c r="K334" s="31">
        <v>3373</v>
      </c>
      <c r="L334" s="31">
        <v>3501</v>
      </c>
      <c r="N334" s="725" t="s">
        <v>1193</v>
      </c>
      <c r="O334" s="4"/>
      <c r="Q334" s="4"/>
    </row>
    <row r="335" spans="1:17">
      <c r="A335" s="725" t="s">
        <v>7570</v>
      </c>
      <c r="B335" s="725" t="s">
        <v>1538</v>
      </c>
      <c r="C335" s="4" t="s">
        <v>11186</v>
      </c>
      <c r="D335" s="728">
        <v>2756</v>
      </c>
      <c r="E335" s="728">
        <v>2719</v>
      </c>
      <c r="F335" s="728">
        <v>2737</v>
      </c>
      <c r="G335" s="31">
        <v>2759</v>
      </c>
      <c r="H335" s="31">
        <v>2819</v>
      </c>
      <c r="I335" s="31">
        <v>2741</v>
      </c>
      <c r="J335" s="31">
        <v>2642</v>
      </c>
      <c r="K335" s="31">
        <v>2737</v>
      </c>
      <c r="L335" s="31">
        <v>2703</v>
      </c>
      <c r="N335" s="725" t="s">
        <v>1193</v>
      </c>
      <c r="O335" s="4"/>
      <c r="Q335" s="4"/>
    </row>
    <row r="336" spans="1:17">
      <c r="A336" s="725" t="s">
        <v>7572</v>
      </c>
      <c r="B336" s="725" t="s">
        <v>1539</v>
      </c>
      <c r="C336" s="4" t="s">
        <v>11187</v>
      </c>
      <c r="D336" s="728">
        <v>3461</v>
      </c>
      <c r="E336" s="728">
        <v>3489</v>
      </c>
      <c r="F336" s="728">
        <v>3456</v>
      </c>
      <c r="G336" s="31">
        <v>3521</v>
      </c>
      <c r="H336" s="31">
        <v>3552</v>
      </c>
      <c r="I336" s="31">
        <v>3467</v>
      </c>
      <c r="J336" s="31">
        <v>3497</v>
      </c>
      <c r="K336" s="31">
        <v>3666</v>
      </c>
      <c r="L336" s="31">
        <v>3566</v>
      </c>
      <c r="N336" s="725" t="s">
        <v>1193</v>
      </c>
      <c r="O336" s="4"/>
      <c r="Q336" s="4"/>
    </row>
    <row r="337" spans="1:17">
      <c r="A337" s="725" t="s">
        <v>7573</v>
      </c>
      <c r="B337" s="725" t="s">
        <v>1540</v>
      </c>
      <c r="C337" s="4" t="s">
        <v>11188</v>
      </c>
      <c r="D337" s="728">
        <v>3307</v>
      </c>
      <c r="E337" s="728">
        <v>3257</v>
      </c>
      <c r="F337" s="728">
        <v>3266</v>
      </c>
      <c r="G337" s="31">
        <v>3323</v>
      </c>
      <c r="H337" s="31">
        <v>3291</v>
      </c>
      <c r="I337" s="31">
        <v>3241</v>
      </c>
      <c r="J337" s="31">
        <v>3196</v>
      </c>
      <c r="K337" s="31">
        <v>3315</v>
      </c>
      <c r="L337" s="31">
        <v>3335</v>
      </c>
      <c r="N337" s="725" t="s">
        <v>1193</v>
      </c>
      <c r="O337" s="4"/>
      <c r="Q337" s="4"/>
    </row>
    <row r="338" spans="1:17">
      <c r="A338" s="725" t="s">
        <v>5798</v>
      </c>
      <c r="B338" s="725" t="s">
        <v>6656</v>
      </c>
      <c r="C338" s="4" t="s">
        <v>11189</v>
      </c>
      <c r="D338" s="728">
        <v>4439</v>
      </c>
      <c r="E338" s="728">
        <v>4396</v>
      </c>
      <c r="F338" s="728">
        <v>4509</v>
      </c>
      <c r="G338" s="31">
        <v>4558</v>
      </c>
      <c r="H338" s="31">
        <v>4596</v>
      </c>
      <c r="I338" s="31">
        <v>4396</v>
      </c>
      <c r="J338" s="31">
        <v>4313</v>
      </c>
      <c r="K338" s="31">
        <v>4466</v>
      </c>
      <c r="L338" s="31">
        <v>4421</v>
      </c>
      <c r="N338" s="725" t="s">
        <v>1193</v>
      </c>
      <c r="O338" s="4"/>
      <c r="Q338" s="4"/>
    </row>
    <row r="339" spans="1:17">
      <c r="A339" s="725" t="s">
        <v>5799</v>
      </c>
      <c r="B339" s="725" t="s">
        <v>6657</v>
      </c>
      <c r="C339" s="4" t="s">
        <v>11190</v>
      </c>
      <c r="D339" s="729">
        <v>4984</v>
      </c>
      <c r="E339" s="729">
        <v>5040</v>
      </c>
      <c r="F339" s="729">
        <v>5050</v>
      </c>
      <c r="G339" s="31">
        <v>5046</v>
      </c>
      <c r="H339" s="31">
        <v>5043</v>
      </c>
      <c r="I339" s="31">
        <v>4938</v>
      </c>
      <c r="J339" s="31">
        <v>4897</v>
      </c>
      <c r="K339" s="31">
        <v>5149</v>
      </c>
      <c r="L339" s="31">
        <v>5103</v>
      </c>
      <c r="N339" s="725" t="s">
        <v>1193</v>
      </c>
      <c r="O339" s="4"/>
      <c r="Q339" s="4"/>
    </row>
    <row r="340" spans="1:17">
      <c r="A340" s="725" t="s">
        <v>5801</v>
      </c>
      <c r="B340" s="725" t="s">
        <v>6658</v>
      </c>
      <c r="C340" s="4" t="s">
        <v>11191</v>
      </c>
      <c r="D340" s="728">
        <v>3275</v>
      </c>
      <c r="E340" s="728">
        <v>3221</v>
      </c>
      <c r="F340" s="728">
        <v>3230</v>
      </c>
      <c r="G340" s="31">
        <v>3278</v>
      </c>
      <c r="H340" s="31">
        <v>3268</v>
      </c>
      <c r="I340" s="31">
        <v>3198</v>
      </c>
      <c r="J340" s="31">
        <v>3108</v>
      </c>
      <c r="K340" s="31">
        <v>3266</v>
      </c>
      <c r="L340" s="31">
        <v>3253</v>
      </c>
      <c r="N340" s="725" t="s">
        <v>1193</v>
      </c>
      <c r="O340" s="4"/>
      <c r="Q340" s="4"/>
    </row>
    <row r="341" spans="1:17">
      <c r="A341" s="725" t="s">
        <v>5927</v>
      </c>
      <c r="B341" s="725" t="s">
        <v>2154</v>
      </c>
      <c r="C341" s="4" t="s">
        <v>11192</v>
      </c>
      <c r="D341" s="728">
        <v>3132</v>
      </c>
      <c r="E341" s="728">
        <v>3104</v>
      </c>
      <c r="F341" s="728">
        <v>3156</v>
      </c>
      <c r="G341" s="31">
        <v>3187</v>
      </c>
      <c r="H341" s="31">
        <v>3211</v>
      </c>
      <c r="I341" s="31">
        <v>3142</v>
      </c>
      <c r="J341" s="31">
        <v>3007</v>
      </c>
      <c r="K341" s="31">
        <v>3116</v>
      </c>
      <c r="L341" s="31">
        <v>3139</v>
      </c>
      <c r="N341" s="725" t="s">
        <v>1193</v>
      </c>
      <c r="O341" s="4"/>
      <c r="Q341" s="4"/>
    </row>
    <row r="342" spans="1:17">
      <c r="A342" s="725" t="s">
        <v>5929</v>
      </c>
      <c r="B342" s="725" t="s">
        <v>6659</v>
      </c>
      <c r="C342" s="4" t="s">
        <v>11193</v>
      </c>
      <c r="D342" s="728">
        <v>1344</v>
      </c>
      <c r="E342" s="728">
        <v>1345</v>
      </c>
      <c r="F342" s="728">
        <v>1336</v>
      </c>
      <c r="G342" s="30">
        <v>1331</v>
      </c>
      <c r="H342" s="30">
        <v>1356</v>
      </c>
      <c r="I342" s="30">
        <v>1342</v>
      </c>
      <c r="J342" s="30">
        <v>1317</v>
      </c>
      <c r="K342" s="30">
        <v>1353</v>
      </c>
      <c r="L342" s="30">
        <v>1337</v>
      </c>
      <c r="N342" s="725" t="s">
        <v>1187</v>
      </c>
      <c r="O342" s="4"/>
      <c r="Q342" s="4"/>
    </row>
    <row r="343" spans="1:17">
      <c r="A343" s="735">
        <v>29</v>
      </c>
      <c r="B343" s="725" t="s">
        <v>6660</v>
      </c>
      <c r="C343" s="4" t="s">
        <v>11194</v>
      </c>
      <c r="D343" s="728">
        <v>3087</v>
      </c>
      <c r="E343" s="728">
        <v>3035</v>
      </c>
      <c r="F343" s="728">
        <v>3038</v>
      </c>
      <c r="G343" s="31">
        <v>3057</v>
      </c>
      <c r="H343" s="31">
        <v>3039</v>
      </c>
      <c r="I343" s="31">
        <v>2960</v>
      </c>
      <c r="J343" s="31">
        <v>2885</v>
      </c>
      <c r="K343" s="31">
        <v>3000</v>
      </c>
      <c r="L343" s="31">
        <v>3001</v>
      </c>
      <c r="N343" s="725" t="s">
        <v>1193</v>
      </c>
      <c r="O343" s="4"/>
      <c r="Q343" s="4"/>
    </row>
    <row r="344" spans="1:17">
      <c r="D344" s="729"/>
      <c r="E344" s="729"/>
      <c r="F344" s="729"/>
      <c r="G344" s="729"/>
      <c r="H344" s="729"/>
      <c r="I344" s="729"/>
      <c r="J344" s="729"/>
      <c r="K344" s="729"/>
      <c r="L344" s="729"/>
      <c r="O344" s="4"/>
      <c r="Q344" s="4"/>
    </row>
    <row r="345" spans="1:17">
      <c r="A345" s="725" t="s">
        <v>2145</v>
      </c>
      <c r="D345" s="728">
        <f t="shared" ref="D345:I345" si="205">D315+D316+D319+D320+D322+D342</f>
        <v>14153</v>
      </c>
      <c r="E345" s="728">
        <f t="shared" si="205"/>
        <v>13996</v>
      </c>
      <c r="F345" s="728">
        <f t="shared" si="205"/>
        <v>14052</v>
      </c>
      <c r="G345" s="728">
        <f t="shared" si="205"/>
        <v>14205</v>
      </c>
      <c r="H345" s="728">
        <f t="shared" si="205"/>
        <v>14366</v>
      </c>
      <c r="I345" s="728">
        <f t="shared" si="205"/>
        <v>13957</v>
      </c>
      <c r="J345" s="728">
        <f t="shared" ref="J345:K345" si="206">J315+J316+J319+J320+J322+J342</f>
        <v>13746</v>
      </c>
      <c r="K345" s="728">
        <f t="shared" si="206"/>
        <v>14159</v>
      </c>
      <c r="L345" s="728">
        <f t="shared" ref="L345" si="207">L315+L316+L319+L320+L322+L342</f>
        <v>14076</v>
      </c>
      <c r="O345" s="4"/>
      <c r="Q345" s="4"/>
    </row>
    <row r="346" spans="1:17">
      <c r="A346" s="725" t="s">
        <v>1193</v>
      </c>
      <c r="D346" s="728">
        <f t="shared" ref="D346:I346" si="208">D317+D318+D321+SUM(D323:D341)+D343</f>
        <v>76719</v>
      </c>
      <c r="E346" s="728">
        <f t="shared" si="208"/>
        <v>76495</v>
      </c>
      <c r="F346" s="728">
        <f t="shared" si="208"/>
        <v>77088</v>
      </c>
      <c r="G346" s="728">
        <f t="shared" si="208"/>
        <v>77711</v>
      </c>
      <c r="H346" s="728">
        <f t="shared" si="208"/>
        <v>78138</v>
      </c>
      <c r="I346" s="728">
        <f t="shared" si="208"/>
        <v>76226</v>
      </c>
      <c r="J346" s="728">
        <f t="shared" ref="J346:K346" si="209">J317+J318+J321+SUM(J323:J341)+J343</f>
        <v>74494</v>
      </c>
      <c r="K346" s="728">
        <f t="shared" si="209"/>
        <v>77351</v>
      </c>
      <c r="L346" s="728">
        <f t="shared" ref="L346" si="210">L317+L318+L321+SUM(L323:L341)+L343</f>
        <v>77319</v>
      </c>
    </row>
    <row r="347" spans="1:17">
      <c r="A347" s="725"/>
      <c r="B347" s="725"/>
      <c r="D347" s="736"/>
      <c r="E347" s="736"/>
      <c r="F347" s="736"/>
      <c r="G347" s="736"/>
      <c r="H347" s="736"/>
      <c r="I347" s="736"/>
      <c r="J347" s="736"/>
      <c r="K347" s="736"/>
      <c r="L347" s="736"/>
    </row>
    <row r="348" spans="1:17">
      <c r="A348" s="725" t="s">
        <v>6661</v>
      </c>
      <c r="B348" s="725"/>
      <c r="C348" s="725"/>
      <c r="D348" s="736"/>
      <c r="E348" s="736"/>
      <c r="F348" s="736"/>
      <c r="G348" s="736"/>
      <c r="H348" s="736"/>
      <c r="I348" s="736"/>
      <c r="J348" s="736"/>
      <c r="K348" s="736"/>
      <c r="L348" s="736"/>
    </row>
    <row r="349" spans="1:17">
      <c r="A349" s="725"/>
      <c r="B349" s="725"/>
      <c r="C349" s="725"/>
      <c r="D349" s="736"/>
      <c r="E349" s="736"/>
      <c r="F349" s="736"/>
      <c r="G349" s="736"/>
      <c r="H349" s="736"/>
      <c r="I349" s="736"/>
      <c r="J349" s="736"/>
      <c r="K349" s="736"/>
      <c r="L349" s="736"/>
    </row>
    <row r="350" spans="1:17">
      <c r="A350" s="725"/>
      <c r="B350" s="725"/>
      <c r="C350" s="725"/>
      <c r="D350" s="736"/>
      <c r="E350" s="736"/>
      <c r="F350" s="736"/>
      <c r="G350" s="736"/>
      <c r="H350" s="736"/>
      <c r="I350" s="736"/>
      <c r="J350" s="736"/>
      <c r="K350" s="736"/>
      <c r="L350" s="736"/>
    </row>
    <row r="351" spans="1:17">
      <c r="E351" s="42" t="s">
        <v>2303</v>
      </c>
      <c r="F351" s="42"/>
      <c r="G351" s="42"/>
      <c r="H351" s="42"/>
      <c r="I351" s="42"/>
      <c r="J351" s="42"/>
      <c r="K351" s="42"/>
      <c r="L351" s="42"/>
      <c r="M351" s="109"/>
      <c r="N351" s="109" t="s">
        <v>13319</v>
      </c>
    </row>
    <row r="352" spans="1:17">
      <c r="D352" s="727">
        <v>2010</v>
      </c>
      <c r="E352" s="727">
        <v>2011</v>
      </c>
      <c r="F352" s="727">
        <v>2012</v>
      </c>
      <c r="G352" s="727">
        <v>2013</v>
      </c>
      <c r="H352" s="727">
        <v>2014</v>
      </c>
      <c r="I352" s="727">
        <v>2015</v>
      </c>
      <c r="J352" s="727">
        <v>2016</v>
      </c>
      <c r="K352" s="727">
        <v>2017</v>
      </c>
      <c r="L352" s="727">
        <v>2018</v>
      </c>
      <c r="N352" s="112" t="s">
        <v>2304</v>
      </c>
    </row>
    <row r="353" spans="1:17">
      <c r="A353" s="725" t="s">
        <v>6662</v>
      </c>
      <c r="C353" s="725"/>
      <c r="D353" s="728">
        <f>SUM(D354:D363)</f>
        <v>68609</v>
      </c>
      <c r="E353" s="728">
        <f t="shared" ref="E353:K353" si="211">SUM(E354:E363)</f>
        <v>69785</v>
      </c>
      <c r="F353" s="728">
        <f t="shared" si="211"/>
        <v>69476</v>
      </c>
      <c r="G353" s="728">
        <f t="shared" si="211"/>
        <v>70504</v>
      </c>
      <c r="H353" s="728">
        <f t="shared" si="211"/>
        <v>69796</v>
      </c>
      <c r="I353" s="728">
        <f t="shared" si="211"/>
        <v>68474</v>
      </c>
      <c r="J353" s="728">
        <f t="shared" si="211"/>
        <v>67583</v>
      </c>
      <c r="K353" s="728">
        <f t="shared" si="211"/>
        <v>69635</v>
      </c>
      <c r="L353" s="728">
        <f t="shared" ref="L353" si="212">SUM(L354:L363)</f>
        <v>69763</v>
      </c>
    </row>
    <row r="354" spans="1:17">
      <c r="A354" s="725" t="s">
        <v>6957</v>
      </c>
      <c r="B354" s="725" t="s">
        <v>15881</v>
      </c>
      <c r="C354" s="4" t="s">
        <v>15882</v>
      </c>
      <c r="D354" s="728">
        <v>68609</v>
      </c>
      <c r="E354" s="728">
        <v>69785</v>
      </c>
      <c r="F354" s="728">
        <v>69476</v>
      </c>
      <c r="G354" s="30">
        <v>70504</v>
      </c>
      <c r="H354" s="30">
        <v>69796</v>
      </c>
      <c r="I354" s="30">
        <v>68474</v>
      </c>
      <c r="J354" s="30">
        <v>67583</v>
      </c>
      <c r="K354" s="30">
        <v>8169</v>
      </c>
      <c r="L354" s="30">
        <v>8277</v>
      </c>
      <c r="N354" s="725" t="s">
        <v>1196</v>
      </c>
    </row>
    <row r="355" spans="1:17">
      <c r="A355" s="725" t="s">
        <v>6959</v>
      </c>
      <c r="B355" s="725" t="s">
        <v>15892</v>
      </c>
      <c r="C355" s="4" t="s">
        <v>15883</v>
      </c>
      <c r="D355" s="728">
        <v>0</v>
      </c>
      <c r="E355" s="728">
        <v>0</v>
      </c>
      <c r="F355" s="728">
        <v>0</v>
      </c>
      <c r="G355" s="728">
        <v>0</v>
      </c>
      <c r="H355" s="728">
        <v>0</v>
      </c>
      <c r="I355" s="728">
        <v>0</v>
      </c>
      <c r="J355" s="30">
        <v>0</v>
      </c>
      <c r="K355" s="30">
        <v>6739</v>
      </c>
      <c r="L355" s="30">
        <v>6710</v>
      </c>
      <c r="N355" s="725" t="s">
        <v>1196</v>
      </c>
    </row>
    <row r="356" spans="1:17">
      <c r="A356" s="725" t="s">
        <v>6961</v>
      </c>
      <c r="B356" s="725" t="s">
        <v>15893</v>
      </c>
      <c r="C356" s="4" t="s">
        <v>15884</v>
      </c>
      <c r="D356" s="728">
        <v>0</v>
      </c>
      <c r="E356" s="728">
        <v>0</v>
      </c>
      <c r="F356" s="728">
        <v>0</v>
      </c>
      <c r="G356" s="728">
        <v>0</v>
      </c>
      <c r="H356" s="728">
        <v>0</v>
      </c>
      <c r="I356" s="728">
        <v>0</v>
      </c>
      <c r="J356" s="30">
        <v>0</v>
      </c>
      <c r="K356" s="30">
        <v>6614</v>
      </c>
      <c r="L356" s="30">
        <v>6523</v>
      </c>
      <c r="N356" s="725" t="s">
        <v>1196</v>
      </c>
      <c r="O356" s="4"/>
      <c r="Q356" s="4"/>
    </row>
    <row r="357" spans="1:17">
      <c r="A357" s="725" t="s">
        <v>6963</v>
      </c>
      <c r="B357" s="725" t="s">
        <v>15894</v>
      </c>
      <c r="C357" s="4" t="s">
        <v>15885</v>
      </c>
      <c r="D357" s="728">
        <v>0</v>
      </c>
      <c r="E357" s="728">
        <v>0</v>
      </c>
      <c r="F357" s="728">
        <v>0</v>
      </c>
      <c r="G357" s="728">
        <v>0</v>
      </c>
      <c r="H357" s="728">
        <v>0</v>
      </c>
      <c r="I357" s="728">
        <v>0</v>
      </c>
      <c r="J357" s="30">
        <v>0</v>
      </c>
      <c r="K357" s="30">
        <v>6747</v>
      </c>
      <c r="L357" s="30">
        <v>6743</v>
      </c>
      <c r="N357" s="725" t="s">
        <v>1196</v>
      </c>
      <c r="O357" s="4"/>
      <c r="Q357" s="4"/>
    </row>
    <row r="358" spans="1:17">
      <c r="A358" s="725" t="s">
        <v>6965</v>
      </c>
      <c r="B358" s="726" t="s">
        <v>15895</v>
      </c>
      <c r="C358" s="4" t="s">
        <v>15886</v>
      </c>
      <c r="D358" s="728">
        <v>0</v>
      </c>
      <c r="E358" s="728">
        <v>0</v>
      </c>
      <c r="F358" s="728">
        <v>0</v>
      </c>
      <c r="G358" s="728">
        <v>0</v>
      </c>
      <c r="H358" s="728">
        <v>0</v>
      </c>
      <c r="I358" s="728">
        <v>0</v>
      </c>
      <c r="J358" s="30">
        <v>0</v>
      </c>
      <c r="K358" s="30">
        <v>6208</v>
      </c>
      <c r="L358" s="30">
        <v>6484</v>
      </c>
      <c r="N358" s="725" t="s">
        <v>1196</v>
      </c>
      <c r="O358" s="4"/>
      <c r="Q358" s="4"/>
    </row>
    <row r="359" spans="1:17">
      <c r="A359" s="725" t="s">
        <v>6997</v>
      </c>
      <c r="B359" s="725" t="s">
        <v>15896</v>
      </c>
      <c r="C359" s="4" t="s">
        <v>15887</v>
      </c>
      <c r="D359" s="728">
        <v>0</v>
      </c>
      <c r="E359" s="728">
        <v>0</v>
      </c>
      <c r="F359" s="728">
        <v>0</v>
      </c>
      <c r="G359" s="728">
        <v>0</v>
      </c>
      <c r="H359" s="728">
        <v>0</v>
      </c>
      <c r="I359" s="728">
        <v>0</v>
      </c>
      <c r="J359" s="30">
        <v>0</v>
      </c>
      <c r="K359" s="30">
        <v>6997</v>
      </c>
      <c r="L359" s="30">
        <v>6920</v>
      </c>
      <c r="N359" s="725" t="s">
        <v>1196</v>
      </c>
      <c r="O359" s="4"/>
      <c r="Q359" s="4"/>
    </row>
    <row r="360" spans="1:17">
      <c r="A360" s="725" t="s">
        <v>6999</v>
      </c>
      <c r="B360" s="725" t="s">
        <v>6663</v>
      </c>
      <c r="C360" s="4" t="s">
        <v>15888</v>
      </c>
      <c r="D360" s="728">
        <v>0</v>
      </c>
      <c r="E360" s="728">
        <v>0</v>
      </c>
      <c r="F360" s="728">
        <v>0</v>
      </c>
      <c r="G360" s="728">
        <v>0</v>
      </c>
      <c r="H360" s="728">
        <v>0</v>
      </c>
      <c r="I360" s="728">
        <v>0</v>
      </c>
      <c r="J360" s="30">
        <v>0</v>
      </c>
      <c r="K360" s="30">
        <v>7488</v>
      </c>
      <c r="L360" s="30">
        <v>7608</v>
      </c>
      <c r="N360" s="725" t="s">
        <v>1196</v>
      </c>
      <c r="O360" s="4"/>
      <c r="Q360" s="4"/>
    </row>
    <row r="361" spans="1:17">
      <c r="A361" s="725" t="s">
        <v>7001</v>
      </c>
      <c r="B361" s="725" t="s">
        <v>15897</v>
      </c>
      <c r="C361" s="4" t="s">
        <v>15889</v>
      </c>
      <c r="D361" s="728">
        <v>0</v>
      </c>
      <c r="E361" s="728">
        <v>0</v>
      </c>
      <c r="F361" s="728">
        <v>0</v>
      </c>
      <c r="G361" s="728">
        <v>0</v>
      </c>
      <c r="H361" s="728">
        <v>0</v>
      </c>
      <c r="I361" s="728">
        <v>0</v>
      </c>
      <c r="J361" s="30">
        <v>0</v>
      </c>
      <c r="K361" s="30">
        <v>6661</v>
      </c>
      <c r="L361" s="30">
        <v>6574</v>
      </c>
      <c r="N361" s="725" t="s">
        <v>1196</v>
      </c>
      <c r="O361" s="4"/>
      <c r="Q361" s="4"/>
    </row>
    <row r="362" spans="1:17">
      <c r="A362" s="725" t="s">
        <v>7003</v>
      </c>
      <c r="B362" s="725" t="s">
        <v>1040</v>
      </c>
      <c r="C362" s="4" t="s">
        <v>15890</v>
      </c>
      <c r="D362" s="728">
        <v>0</v>
      </c>
      <c r="E362" s="728">
        <v>0</v>
      </c>
      <c r="F362" s="728">
        <v>0</v>
      </c>
      <c r="G362" s="728">
        <v>0</v>
      </c>
      <c r="H362" s="728">
        <v>0</v>
      </c>
      <c r="I362" s="728">
        <v>0</v>
      </c>
      <c r="J362" s="30">
        <v>0</v>
      </c>
      <c r="K362" s="30">
        <v>7135</v>
      </c>
      <c r="L362" s="30">
        <v>7142</v>
      </c>
      <c r="N362" s="725" t="s">
        <v>1196</v>
      </c>
      <c r="O362" s="4"/>
      <c r="Q362" s="4"/>
    </row>
    <row r="363" spans="1:17">
      <c r="A363" s="725" t="s">
        <v>7005</v>
      </c>
      <c r="B363" s="725" t="s">
        <v>6414</v>
      </c>
      <c r="C363" s="4" t="s">
        <v>15891</v>
      </c>
      <c r="D363" s="728">
        <v>0</v>
      </c>
      <c r="E363" s="728">
        <v>0</v>
      </c>
      <c r="F363" s="728">
        <v>0</v>
      </c>
      <c r="G363" s="728">
        <v>0</v>
      </c>
      <c r="H363" s="728">
        <v>0</v>
      </c>
      <c r="I363" s="728">
        <v>0</v>
      </c>
      <c r="J363" s="30">
        <v>0</v>
      </c>
      <c r="K363" s="30">
        <v>6877</v>
      </c>
      <c r="L363" s="30">
        <v>6782</v>
      </c>
      <c r="N363" s="725" t="s">
        <v>1196</v>
      </c>
      <c r="O363" s="4"/>
      <c r="Q363" s="4"/>
    </row>
    <row r="364" spans="1:17">
      <c r="D364" s="729"/>
      <c r="E364" s="729"/>
      <c r="F364" s="729"/>
      <c r="G364" s="729"/>
      <c r="H364" s="729"/>
      <c r="I364" s="729"/>
      <c r="J364" s="729"/>
      <c r="K364" s="729"/>
      <c r="L364" s="729"/>
      <c r="O364" s="4"/>
      <c r="Q364" s="4"/>
    </row>
    <row r="365" spans="1:17">
      <c r="A365" s="725" t="s">
        <v>2148</v>
      </c>
      <c r="D365" s="728">
        <f>SUM(D354:D363)</f>
        <v>68609</v>
      </c>
      <c r="E365" s="728">
        <f t="shared" ref="E365:L365" si="213">SUM(E354:E363)</f>
        <v>69785</v>
      </c>
      <c r="F365" s="728">
        <f t="shared" si="213"/>
        <v>69476</v>
      </c>
      <c r="G365" s="728">
        <f t="shared" si="213"/>
        <v>70504</v>
      </c>
      <c r="H365" s="728">
        <f t="shared" si="213"/>
        <v>69796</v>
      </c>
      <c r="I365" s="728">
        <f t="shared" si="213"/>
        <v>68474</v>
      </c>
      <c r="J365" s="728">
        <f t="shared" si="213"/>
        <v>67583</v>
      </c>
      <c r="K365" s="728">
        <f t="shared" si="213"/>
        <v>69635</v>
      </c>
      <c r="L365" s="728">
        <f t="shared" si="213"/>
        <v>69763</v>
      </c>
      <c r="O365" s="4"/>
      <c r="Q365" s="4"/>
    </row>
    <row r="367" spans="1:17">
      <c r="A367" s="726" t="s">
        <v>15880</v>
      </c>
    </row>
  </sheetData>
  <sortState ref="O354:Q363">
    <sortCondition ref="O354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58" orientation="portrait" horizontalDpi="300" verticalDpi="300" r:id="rId1"/>
  <headerFooter alignWithMargins="0">
    <oddFooter>&amp;C&amp;8&amp;P of &amp;N</oddFooter>
  </headerFooter>
  <ignoredErrors>
    <ignoredError sqref="D277:K277 D259:K259 D214:K214 D184:E184 D112:K112 D97:K97 D252:K252 D237:K237 D345:D346 D314:K314 D176 D153:K153 D306:K306 D284:K284 D143:D144 D146 D119:K119 D3:D16 E345:E346 E143:E144 E146 E176 D206:D207 E206:E207 E3:E16 F143:F144 F146 F176 F345:F346 F3:F16 G176 G184:K184 G143:G144 G146 G345:G346 G3:G16 D17:D60 E17:E60 F17:F60 G17:G60 H176 H345:H346 H143:H144 H146 H3:H16 H17:H60 I345:I346 I143:I144 I146:I147 D230:K230 I176 I3:I60 J143:J144 J146 J176 J345:J346 J3:J60 D353:K353 D90:J90 D65:K65 D365:K365 K345:K346 K143:K144 K146 K176 K3:K60 L3:L365" unlockedFormula="1"/>
    <ignoredError sqref="D177:K177 D145:K145 D205:E205 F184 F205:F207 G205:G207 H205:H207 I205:I207 D76:K76 D81:K81 D89:J89 D87:K87 K205:K207 K89:K90" formulaRange="1" unlockedFormula="1"/>
    <ignoredError sqref="F178:F183" formulaRange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37"/>
  <sheetViews>
    <sheetView showGridLines="0" zoomScaleNormal="100" workbookViewId="0"/>
  </sheetViews>
  <sheetFormatPr defaultColWidth="12.5703125" defaultRowHeight="15"/>
  <cols>
    <col min="1" max="1" width="4.85546875" style="269" customWidth="1"/>
    <col min="2" max="2" width="40.7109375" style="269" customWidth="1"/>
    <col min="3" max="3" width="11.5703125" style="269" customWidth="1"/>
    <col min="4" max="12" width="10" style="269" customWidth="1"/>
    <col min="13" max="13" width="2.28515625" style="269" customWidth="1"/>
    <col min="14" max="14" width="33.140625" style="269" customWidth="1"/>
    <col min="15" max="16384" width="12.5703125" style="269"/>
  </cols>
  <sheetData>
    <row r="1" spans="1:14">
      <c r="A1" s="268" t="s">
        <v>7342</v>
      </c>
      <c r="D1" s="270">
        <v>2010</v>
      </c>
      <c r="E1" s="270">
        <v>2011</v>
      </c>
      <c r="F1" s="270">
        <v>2012</v>
      </c>
      <c r="G1" s="270">
        <v>2013</v>
      </c>
      <c r="H1" s="270">
        <v>2014</v>
      </c>
      <c r="I1" s="270">
        <v>2015</v>
      </c>
      <c r="J1" s="270">
        <v>2016</v>
      </c>
      <c r="K1" s="270">
        <v>2017</v>
      </c>
      <c r="L1" s="270">
        <v>2018</v>
      </c>
    </row>
    <row r="3" spans="1:14">
      <c r="A3" s="268" t="s">
        <v>1160</v>
      </c>
      <c r="D3" s="271">
        <f t="shared" ref="D3:I3" si="0">SUM(D17:D34)</f>
        <v>132884</v>
      </c>
      <c r="E3" s="271">
        <f t="shared" si="0"/>
        <v>133615</v>
      </c>
      <c r="F3" s="271">
        <f t="shared" si="0"/>
        <v>137484</v>
      </c>
      <c r="G3" s="271">
        <f t="shared" si="0"/>
        <v>139068</v>
      </c>
      <c r="H3" s="271">
        <f t="shared" si="0"/>
        <v>140022</v>
      </c>
      <c r="I3" s="271">
        <f t="shared" si="0"/>
        <v>139084</v>
      </c>
      <c r="J3" s="271">
        <f t="shared" ref="J3:K3" si="1">SUM(J17:J34)</f>
        <v>136004</v>
      </c>
      <c r="K3" s="271">
        <f t="shared" si="1"/>
        <v>139836</v>
      </c>
      <c r="L3" s="271">
        <f t="shared" ref="L3" si="2">SUM(L17:L34)</f>
        <v>141056</v>
      </c>
    </row>
    <row r="5" spans="1:14">
      <c r="A5" s="268" t="s">
        <v>7343</v>
      </c>
      <c r="D5" s="271">
        <f t="shared" ref="D5:I5" si="3">D3/2</f>
        <v>66442</v>
      </c>
      <c r="E5" s="271">
        <f t="shared" si="3"/>
        <v>66807.5</v>
      </c>
      <c r="F5" s="271">
        <f t="shared" si="3"/>
        <v>68742</v>
      </c>
      <c r="G5" s="271">
        <f t="shared" si="3"/>
        <v>69534</v>
      </c>
      <c r="H5" s="271">
        <f t="shared" si="3"/>
        <v>70011</v>
      </c>
      <c r="I5" s="271">
        <f t="shared" si="3"/>
        <v>69542</v>
      </c>
      <c r="J5" s="271">
        <f t="shared" ref="J5:K5" si="4">J3/2</f>
        <v>68002</v>
      </c>
      <c r="K5" s="271">
        <f t="shared" si="4"/>
        <v>69918</v>
      </c>
      <c r="L5" s="271">
        <f t="shared" ref="L5" si="5">L3/2</f>
        <v>70528</v>
      </c>
    </row>
    <row r="6" spans="1:14">
      <c r="D6" s="272"/>
      <c r="E6" s="272"/>
      <c r="F6" s="272"/>
      <c r="G6" s="272"/>
      <c r="H6" s="272"/>
      <c r="I6" s="272"/>
      <c r="J6" s="272"/>
      <c r="K6" s="272"/>
      <c r="L6" s="272"/>
    </row>
    <row r="7" spans="1:14">
      <c r="A7" s="268" t="s">
        <v>1161</v>
      </c>
      <c r="D7" s="271">
        <f t="shared" ref="D7:I7" si="6">D17+D18+D20+D21+D24+SUM(D30:D33)</f>
        <v>66634</v>
      </c>
      <c r="E7" s="271">
        <f t="shared" si="6"/>
        <v>67044</v>
      </c>
      <c r="F7" s="271">
        <f t="shared" si="6"/>
        <v>68700</v>
      </c>
      <c r="G7" s="271">
        <f t="shared" si="6"/>
        <v>69666</v>
      </c>
      <c r="H7" s="271">
        <f t="shared" si="6"/>
        <v>70384</v>
      </c>
      <c r="I7" s="271">
        <f t="shared" si="6"/>
        <v>70002</v>
      </c>
      <c r="J7" s="271">
        <f t="shared" ref="J7:K7" si="7">J17+J18+J20+J21+J24+SUM(J30:J33)</f>
        <v>68304</v>
      </c>
      <c r="K7" s="271">
        <f t="shared" si="7"/>
        <v>70258</v>
      </c>
      <c r="L7" s="271">
        <f t="shared" ref="L7" si="8">L17+L18+L20+L21+L24+SUM(L30:L33)</f>
        <v>70937</v>
      </c>
      <c r="N7" s="268" t="s">
        <v>1162</v>
      </c>
    </row>
    <row r="8" spans="1:14">
      <c r="D8" s="272"/>
      <c r="E8" s="272"/>
      <c r="F8" s="272"/>
      <c r="G8" s="272"/>
      <c r="H8" s="272"/>
      <c r="I8" s="272"/>
      <c r="J8" s="272"/>
      <c r="K8" s="272"/>
      <c r="L8" s="272"/>
    </row>
    <row r="9" spans="1:14">
      <c r="A9" s="268" t="s">
        <v>1163</v>
      </c>
      <c r="D9" s="273">
        <f t="shared" ref="D9:I9" si="9">D19+D22+D23+SUM(D25:D28)+D29+D34</f>
        <v>66250</v>
      </c>
      <c r="E9" s="273">
        <f t="shared" si="9"/>
        <v>66571</v>
      </c>
      <c r="F9" s="273">
        <f t="shared" si="9"/>
        <v>68784</v>
      </c>
      <c r="G9" s="273">
        <f t="shared" si="9"/>
        <v>69402</v>
      </c>
      <c r="H9" s="273">
        <f t="shared" si="9"/>
        <v>69638</v>
      </c>
      <c r="I9" s="273">
        <f t="shared" si="9"/>
        <v>69082</v>
      </c>
      <c r="J9" s="273">
        <f t="shared" ref="J9:K9" si="10">J19+J22+J23+SUM(J25:J28)+J29+J34</f>
        <v>67700</v>
      </c>
      <c r="K9" s="273">
        <f t="shared" si="10"/>
        <v>69578</v>
      </c>
      <c r="L9" s="273">
        <f t="shared" ref="L9" si="11">L19+L22+L23+SUM(L25:L28)+L29+L34</f>
        <v>70119</v>
      </c>
      <c r="N9" s="268" t="s">
        <v>1162</v>
      </c>
    </row>
    <row r="10" spans="1:14">
      <c r="D10" s="272"/>
      <c r="E10" s="272"/>
      <c r="F10" s="272"/>
      <c r="G10" s="272"/>
      <c r="H10" s="272"/>
      <c r="I10" s="272"/>
      <c r="J10" s="272"/>
      <c r="K10" s="272"/>
      <c r="L10" s="272"/>
    </row>
    <row r="11" spans="1:14">
      <c r="A11" s="268" t="s">
        <v>8697</v>
      </c>
      <c r="D11" s="271">
        <f t="shared" ref="D11:I11" si="12">D7+D9</f>
        <v>132884</v>
      </c>
      <c r="E11" s="271">
        <f t="shared" si="12"/>
        <v>133615</v>
      </c>
      <c r="F11" s="271">
        <f t="shared" si="12"/>
        <v>137484</v>
      </c>
      <c r="G11" s="271">
        <f t="shared" si="12"/>
        <v>139068</v>
      </c>
      <c r="H11" s="271">
        <f t="shared" si="12"/>
        <v>140022</v>
      </c>
      <c r="I11" s="271">
        <f t="shared" si="12"/>
        <v>139084</v>
      </c>
      <c r="J11" s="271">
        <f t="shared" ref="J11:K11" si="13">J7+J9</f>
        <v>136004</v>
      </c>
      <c r="K11" s="271">
        <f t="shared" si="13"/>
        <v>139836</v>
      </c>
      <c r="L11" s="271">
        <f t="shared" ref="L11" si="14">L7+L9</f>
        <v>141056</v>
      </c>
    </row>
    <row r="12" spans="1:14">
      <c r="D12" s="272"/>
      <c r="E12" s="272"/>
      <c r="F12" s="272"/>
      <c r="G12" s="272"/>
      <c r="H12" s="272"/>
      <c r="I12" s="272"/>
      <c r="J12" s="272"/>
      <c r="K12" s="272"/>
      <c r="L12" s="272"/>
    </row>
    <row r="13" spans="1:14">
      <c r="A13" s="268" t="s">
        <v>8698</v>
      </c>
      <c r="D13" s="271">
        <f t="shared" ref="D13:I13" si="15">MAX(D7,D9)-MIN(D7,D9)</f>
        <v>384</v>
      </c>
      <c r="E13" s="271">
        <f t="shared" si="15"/>
        <v>473</v>
      </c>
      <c r="F13" s="271">
        <f t="shared" si="15"/>
        <v>84</v>
      </c>
      <c r="G13" s="271">
        <f t="shared" si="15"/>
        <v>264</v>
      </c>
      <c r="H13" s="271">
        <f t="shared" si="15"/>
        <v>746</v>
      </c>
      <c r="I13" s="271">
        <f t="shared" si="15"/>
        <v>920</v>
      </c>
      <c r="J13" s="271">
        <f t="shared" ref="J13:K13" si="16">MAX(J7,J9)-MIN(J7,J9)</f>
        <v>604</v>
      </c>
      <c r="K13" s="271">
        <f t="shared" si="16"/>
        <v>680</v>
      </c>
      <c r="L13" s="271">
        <f t="shared" ref="L13" si="17">MAX(L7,L9)-MIN(L7,L9)</f>
        <v>818</v>
      </c>
    </row>
    <row r="14" spans="1:14">
      <c r="D14" s="272"/>
      <c r="E14" s="272"/>
      <c r="F14" s="272"/>
      <c r="G14" s="272"/>
      <c r="H14" s="272"/>
      <c r="I14" s="272"/>
      <c r="J14" s="272"/>
      <c r="K14" s="272"/>
      <c r="L14" s="272"/>
    </row>
    <row r="15" spans="1:14">
      <c r="A15" s="268" t="s">
        <v>8701</v>
      </c>
      <c r="D15" s="271">
        <f t="shared" ref="D15:I15" si="18">STDEVP(D7,D9)</f>
        <v>192</v>
      </c>
      <c r="E15" s="271">
        <f t="shared" si="18"/>
        <v>236.5</v>
      </c>
      <c r="F15" s="271">
        <f t="shared" si="18"/>
        <v>42</v>
      </c>
      <c r="G15" s="271">
        <f t="shared" si="18"/>
        <v>132</v>
      </c>
      <c r="H15" s="271">
        <f t="shared" si="18"/>
        <v>373</v>
      </c>
      <c r="I15" s="271">
        <f t="shared" si="18"/>
        <v>460</v>
      </c>
      <c r="J15" s="271">
        <f t="shared" ref="J15:K15" si="19">STDEVP(J7,J9)</f>
        <v>302</v>
      </c>
      <c r="K15" s="271">
        <f t="shared" si="19"/>
        <v>340</v>
      </c>
      <c r="L15" s="271">
        <f t="shared" ref="L15" si="20">STDEVP(L7,L9)</f>
        <v>409</v>
      </c>
    </row>
    <row r="16" spans="1:14">
      <c r="D16" s="272"/>
      <c r="E16" s="272"/>
      <c r="F16" s="272"/>
      <c r="G16" s="272"/>
      <c r="H16" s="272"/>
      <c r="I16" s="272"/>
      <c r="J16" s="272"/>
      <c r="K16" s="272"/>
      <c r="L16" s="272"/>
    </row>
    <row r="17" spans="1:18">
      <c r="A17" s="268" t="s">
        <v>6957</v>
      </c>
      <c r="B17" s="268" t="s">
        <v>1164</v>
      </c>
      <c r="C17" s="4" t="s">
        <v>8899</v>
      </c>
      <c r="D17" s="274">
        <v>7505</v>
      </c>
      <c r="E17" s="274">
        <v>7412</v>
      </c>
      <c r="F17" s="274">
        <v>7657</v>
      </c>
      <c r="G17" s="274">
        <v>7761</v>
      </c>
      <c r="H17" s="48">
        <v>7775</v>
      </c>
      <c r="I17" s="48">
        <v>7776</v>
      </c>
      <c r="J17" s="48">
        <v>7636</v>
      </c>
      <c r="K17" s="48">
        <v>7807</v>
      </c>
      <c r="L17" s="48">
        <v>7788</v>
      </c>
      <c r="N17" s="268" t="s">
        <v>1161</v>
      </c>
      <c r="P17" s="4"/>
      <c r="R17" s="4"/>
    </row>
    <row r="18" spans="1:18">
      <c r="A18" s="268" t="s">
        <v>6959</v>
      </c>
      <c r="B18" s="268" t="s">
        <v>1165</v>
      </c>
      <c r="C18" s="4" t="s">
        <v>8900</v>
      </c>
      <c r="D18" s="274">
        <v>7562</v>
      </c>
      <c r="E18" s="274">
        <v>7723</v>
      </c>
      <c r="F18" s="274">
        <v>7886</v>
      </c>
      <c r="G18" s="274">
        <v>7980</v>
      </c>
      <c r="H18" s="48">
        <v>7974</v>
      </c>
      <c r="I18" s="48">
        <v>7953</v>
      </c>
      <c r="J18" s="48">
        <v>7734</v>
      </c>
      <c r="K18" s="48">
        <v>8007</v>
      </c>
      <c r="L18" s="48">
        <v>8205</v>
      </c>
      <c r="N18" s="268" t="s">
        <v>1161</v>
      </c>
      <c r="P18" s="4"/>
      <c r="R18" s="4"/>
    </row>
    <row r="19" spans="1:18">
      <c r="A19" s="268" t="s">
        <v>6961</v>
      </c>
      <c r="B19" s="268" t="s">
        <v>5938</v>
      </c>
      <c r="C19" s="4" t="s">
        <v>8901</v>
      </c>
      <c r="D19" s="273">
        <v>7052</v>
      </c>
      <c r="E19" s="273">
        <v>7183</v>
      </c>
      <c r="F19" s="273">
        <v>7476</v>
      </c>
      <c r="G19" s="273">
        <v>7514</v>
      </c>
      <c r="H19" s="48">
        <v>7453</v>
      </c>
      <c r="I19" s="48">
        <v>7378</v>
      </c>
      <c r="J19" s="48">
        <v>7275</v>
      </c>
      <c r="K19" s="48">
        <v>7459</v>
      </c>
      <c r="L19" s="48">
        <v>7451</v>
      </c>
      <c r="N19" s="268" t="s">
        <v>1163</v>
      </c>
      <c r="P19" s="4"/>
      <c r="R19" s="4"/>
    </row>
    <row r="20" spans="1:18">
      <c r="A20" s="268" t="s">
        <v>6963</v>
      </c>
      <c r="B20" s="268" t="s">
        <v>2829</v>
      </c>
      <c r="C20" s="4" t="s">
        <v>8902</v>
      </c>
      <c r="D20" s="271">
        <v>7176</v>
      </c>
      <c r="E20" s="271">
        <v>7279</v>
      </c>
      <c r="F20" s="271">
        <v>7492</v>
      </c>
      <c r="G20" s="271">
        <v>7597</v>
      </c>
      <c r="H20" s="48">
        <v>7709</v>
      </c>
      <c r="I20" s="48">
        <v>7696</v>
      </c>
      <c r="J20" s="48">
        <v>7529</v>
      </c>
      <c r="K20" s="48">
        <v>7726</v>
      </c>
      <c r="L20" s="48">
        <v>7795</v>
      </c>
      <c r="N20" s="268" t="s">
        <v>1161</v>
      </c>
      <c r="P20" s="4"/>
      <c r="R20" s="4"/>
    </row>
    <row r="21" spans="1:18">
      <c r="A21" s="268" t="s">
        <v>6965</v>
      </c>
      <c r="B21" s="268" t="s">
        <v>2830</v>
      </c>
      <c r="C21" s="4" t="s">
        <v>8903</v>
      </c>
      <c r="D21" s="274">
        <v>7281</v>
      </c>
      <c r="E21" s="274">
        <v>7220</v>
      </c>
      <c r="F21" s="274">
        <v>7386</v>
      </c>
      <c r="G21" s="274">
        <v>7412</v>
      </c>
      <c r="H21" s="48">
        <v>7602</v>
      </c>
      <c r="I21" s="48">
        <v>7610</v>
      </c>
      <c r="J21" s="48">
        <v>7523</v>
      </c>
      <c r="K21" s="48">
        <v>7677</v>
      </c>
      <c r="L21" s="48">
        <v>7709</v>
      </c>
      <c r="N21" s="268" t="s">
        <v>1161</v>
      </c>
      <c r="P21" s="4"/>
      <c r="R21" s="4"/>
    </row>
    <row r="22" spans="1:18">
      <c r="A22" s="268" t="s">
        <v>6997</v>
      </c>
      <c r="B22" s="268" t="s">
        <v>2831</v>
      </c>
      <c r="C22" s="4" t="s">
        <v>8904</v>
      </c>
      <c r="D22" s="274">
        <v>7643</v>
      </c>
      <c r="E22" s="274">
        <v>7611</v>
      </c>
      <c r="F22" s="274">
        <v>7760</v>
      </c>
      <c r="G22" s="274">
        <v>7891</v>
      </c>
      <c r="H22" s="48">
        <v>7970</v>
      </c>
      <c r="I22" s="48">
        <v>7917</v>
      </c>
      <c r="J22" s="48">
        <v>7852</v>
      </c>
      <c r="K22" s="48">
        <v>8027</v>
      </c>
      <c r="L22" s="48">
        <v>8119</v>
      </c>
      <c r="N22" s="268" t="s">
        <v>1163</v>
      </c>
      <c r="P22" s="4"/>
      <c r="R22" s="4"/>
    </row>
    <row r="23" spans="1:18">
      <c r="A23" s="268" t="s">
        <v>6999</v>
      </c>
      <c r="B23" s="268" t="s">
        <v>2832</v>
      </c>
      <c r="C23" s="4" t="s">
        <v>8905</v>
      </c>
      <c r="D23" s="274">
        <v>7900</v>
      </c>
      <c r="E23" s="274">
        <v>7807</v>
      </c>
      <c r="F23" s="274">
        <v>8020</v>
      </c>
      <c r="G23" s="274">
        <v>8032</v>
      </c>
      <c r="H23" s="48">
        <v>8130</v>
      </c>
      <c r="I23" s="48">
        <v>8091</v>
      </c>
      <c r="J23" s="48">
        <v>7922</v>
      </c>
      <c r="K23" s="48">
        <v>8042</v>
      </c>
      <c r="L23" s="48">
        <v>8005</v>
      </c>
      <c r="N23" s="268" t="s">
        <v>1163</v>
      </c>
      <c r="P23" s="4"/>
      <c r="R23" s="4"/>
    </row>
    <row r="24" spans="1:18">
      <c r="A24" s="268" t="s">
        <v>7001</v>
      </c>
      <c r="B24" s="268" t="s">
        <v>7584</v>
      </c>
      <c r="C24" s="4" t="s">
        <v>8906</v>
      </c>
      <c r="D24" s="274">
        <v>7427</v>
      </c>
      <c r="E24" s="274">
        <v>7500</v>
      </c>
      <c r="F24" s="274">
        <v>7762</v>
      </c>
      <c r="G24" s="274">
        <v>7799</v>
      </c>
      <c r="H24" s="48">
        <v>7868</v>
      </c>
      <c r="I24" s="48">
        <v>7819</v>
      </c>
      <c r="J24" s="48">
        <v>7544</v>
      </c>
      <c r="K24" s="48">
        <v>7813</v>
      </c>
      <c r="L24" s="48">
        <v>7908</v>
      </c>
      <c r="N24" s="268" t="s">
        <v>1161</v>
      </c>
      <c r="P24" s="4"/>
      <c r="R24" s="4"/>
    </row>
    <row r="25" spans="1:18">
      <c r="A25" s="268" t="s">
        <v>7003</v>
      </c>
      <c r="B25" s="268" t="s">
        <v>2833</v>
      </c>
      <c r="C25" s="4" t="s">
        <v>8907</v>
      </c>
      <c r="D25" s="274">
        <v>7764</v>
      </c>
      <c r="E25" s="274">
        <v>7866</v>
      </c>
      <c r="F25" s="274">
        <v>8030</v>
      </c>
      <c r="G25" s="274">
        <v>8011</v>
      </c>
      <c r="H25" s="48">
        <v>8081</v>
      </c>
      <c r="I25" s="48">
        <v>8130</v>
      </c>
      <c r="J25" s="48">
        <v>8007</v>
      </c>
      <c r="K25" s="48">
        <v>8157</v>
      </c>
      <c r="L25" s="48">
        <v>8111</v>
      </c>
      <c r="N25" s="268" t="s">
        <v>1163</v>
      </c>
      <c r="P25" s="4"/>
      <c r="R25" s="4"/>
    </row>
    <row r="26" spans="1:18">
      <c r="A26" s="268" t="s">
        <v>7005</v>
      </c>
      <c r="B26" s="268" t="s">
        <v>2834</v>
      </c>
      <c r="C26" s="4" t="s">
        <v>8908</v>
      </c>
      <c r="D26" s="274">
        <v>6769</v>
      </c>
      <c r="E26" s="274">
        <v>6926</v>
      </c>
      <c r="F26" s="274">
        <v>7321</v>
      </c>
      <c r="G26" s="274">
        <v>7388</v>
      </c>
      <c r="H26" s="48">
        <v>7389</v>
      </c>
      <c r="I26" s="48">
        <v>7352</v>
      </c>
      <c r="J26" s="48">
        <v>7145</v>
      </c>
      <c r="K26" s="48">
        <v>7555</v>
      </c>
      <c r="L26" s="48">
        <v>7839</v>
      </c>
      <c r="N26" s="268" t="s">
        <v>1163</v>
      </c>
      <c r="P26" s="4"/>
      <c r="R26" s="4"/>
    </row>
    <row r="27" spans="1:18">
      <c r="A27" s="268" t="s">
        <v>7007</v>
      </c>
      <c r="B27" s="268" t="s">
        <v>2835</v>
      </c>
      <c r="C27" s="4" t="s">
        <v>8909</v>
      </c>
      <c r="D27" s="274">
        <v>7177</v>
      </c>
      <c r="E27" s="274">
        <v>7171</v>
      </c>
      <c r="F27" s="274">
        <v>7310</v>
      </c>
      <c r="G27" s="274">
        <v>7398</v>
      </c>
      <c r="H27" s="48">
        <v>7416</v>
      </c>
      <c r="I27" s="48">
        <v>7357</v>
      </c>
      <c r="J27" s="48">
        <v>7189</v>
      </c>
      <c r="K27" s="48">
        <v>7350</v>
      </c>
      <c r="L27" s="48">
        <v>7377</v>
      </c>
      <c r="N27" s="268" t="s">
        <v>1163</v>
      </c>
      <c r="P27" s="4"/>
      <c r="R27" s="4"/>
    </row>
    <row r="28" spans="1:18">
      <c r="A28" s="268" t="s">
        <v>7009</v>
      </c>
      <c r="B28" s="268" t="s">
        <v>2836</v>
      </c>
      <c r="C28" s="4" t="s">
        <v>8910</v>
      </c>
      <c r="D28" s="273">
        <v>6543</v>
      </c>
      <c r="E28" s="273">
        <v>6646</v>
      </c>
      <c r="F28" s="273">
        <v>6881</v>
      </c>
      <c r="G28" s="273">
        <v>6973</v>
      </c>
      <c r="H28" s="48">
        <v>6953</v>
      </c>
      <c r="I28" s="48">
        <v>6779</v>
      </c>
      <c r="J28" s="48">
        <v>6664</v>
      </c>
      <c r="K28" s="48">
        <v>6827</v>
      </c>
      <c r="L28" s="48">
        <v>6939</v>
      </c>
      <c r="N28" s="268" t="s">
        <v>1163</v>
      </c>
      <c r="P28" s="4"/>
      <c r="R28" s="4"/>
    </row>
    <row r="29" spans="1:18">
      <c r="A29" s="268" t="s">
        <v>7011</v>
      </c>
      <c r="B29" s="268" t="s">
        <v>2837</v>
      </c>
      <c r="C29" s="4" t="s">
        <v>8911</v>
      </c>
      <c r="D29" s="274">
        <v>7355</v>
      </c>
      <c r="E29" s="274">
        <v>7375</v>
      </c>
      <c r="F29" s="274">
        <v>7554</v>
      </c>
      <c r="G29" s="274">
        <v>7618</v>
      </c>
      <c r="H29" s="48">
        <v>7643</v>
      </c>
      <c r="I29" s="48">
        <v>7562</v>
      </c>
      <c r="J29" s="48">
        <v>7322</v>
      </c>
      <c r="K29" s="48">
        <v>7582</v>
      </c>
      <c r="L29" s="48">
        <v>7595</v>
      </c>
      <c r="N29" s="268" t="s">
        <v>1163</v>
      </c>
      <c r="P29" s="4"/>
      <c r="R29" s="4"/>
    </row>
    <row r="30" spans="1:18">
      <c r="A30" s="268" t="s">
        <v>7013</v>
      </c>
      <c r="B30" s="268" t="s">
        <v>2838</v>
      </c>
      <c r="C30" s="4" t="s">
        <v>8912</v>
      </c>
      <c r="D30" s="271">
        <v>7418</v>
      </c>
      <c r="E30" s="271">
        <v>7442</v>
      </c>
      <c r="F30" s="271">
        <v>7520</v>
      </c>
      <c r="G30" s="271">
        <v>7519</v>
      </c>
      <c r="H30" s="48">
        <v>7498</v>
      </c>
      <c r="I30" s="48">
        <v>7517</v>
      </c>
      <c r="J30" s="48">
        <v>7439</v>
      </c>
      <c r="K30" s="48">
        <v>7651</v>
      </c>
      <c r="L30" s="48">
        <v>7709</v>
      </c>
      <c r="N30" s="268" t="s">
        <v>1161</v>
      </c>
      <c r="P30" s="4"/>
      <c r="R30" s="4"/>
    </row>
    <row r="31" spans="1:18">
      <c r="A31" s="268" t="s">
        <v>7015</v>
      </c>
      <c r="B31" s="268" t="s">
        <v>2839</v>
      </c>
      <c r="C31" s="4" t="s">
        <v>8913</v>
      </c>
      <c r="D31" s="274">
        <v>7516</v>
      </c>
      <c r="E31" s="274">
        <v>7537</v>
      </c>
      <c r="F31" s="274">
        <v>7696</v>
      </c>
      <c r="G31" s="274">
        <v>8026</v>
      </c>
      <c r="H31" s="48">
        <v>8170</v>
      </c>
      <c r="I31" s="48">
        <v>8047</v>
      </c>
      <c r="J31" s="48">
        <v>7749</v>
      </c>
      <c r="K31" s="48">
        <v>8034</v>
      </c>
      <c r="L31" s="48">
        <v>8174</v>
      </c>
      <c r="N31" s="268" t="s">
        <v>1161</v>
      </c>
      <c r="P31" s="4"/>
      <c r="R31" s="4"/>
    </row>
    <row r="32" spans="1:18">
      <c r="A32" s="268" t="s">
        <v>7017</v>
      </c>
      <c r="B32" s="268" t="s">
        <v>2840</v>
      </c>
      <c r="C32" s="4" t="s">
        <v>8914</v>
      </c>
      <c r="D32" s="274">
        <v>7481</v>
      </c>
      <c r="E32" s="274">
        <v>7523</v>
      </c>
      <c r="F32" s="274">
        <v>7664</v>
      </c>
      <c r="G32" s="274">
        <v>7800</v>
      </c>
      <c r="H32" s="48">
        <v>7833</v>
      </c>
      <c r="I32" s="48">
        <v>7726</v>
      </c>
      <c r="J32" s="48">
        <v>7496</v>
      </c>
      <c r="K32" s="48">
        <v>7740</v>
      </c>
      <c r="L32" s="48">
        <v>7757</v>
      </c>
      <c r="N32" s="268" t="s">
        <v>1161</v>
      </c>
      <c r="P32" s="4"/>
      <c r="R32" s="4"/>
    </row>
    <row r="33" spans="1:18">
      <c r="A33" s="268" t="s">
        <v>7019</v>
      </c>
      <c r="B33" s="268" t="s">
        <v>2841</v>
      </c>
      <c r="C33" s="4" t="s">
        <v>8915</v>
      </c>
      <c r="D33" s="274">
        <v>7268</v>
      </c>
      <c r="E33" s="274">
        <v>7408</v>
      </c>
      <c r="F33" s="274">
        <v>7637</v>
      </c>
      <c r="G33" s="274">
        <v>7772</v>
      </c>
      <c r="H33" s="48">
        <v>7955</v>
      </c>
      <c r="I33" s="48">
        <v>7858</v>
      </c>
      <c r="J33" s="48">
        <v>7654</v>
      </c>
      <c r="K33" s="48">
        <v>7803</v>
      </c>
      <c r="L33" s="48">
        <v>7892</v>
      </c>
      <c r="N33" s="268" t="s">
        <v>1161</v>
      </c>
      <c r="P33" s="4"/>
      <c r="R33" s="4"/>
    </row>
    <row r="34" spans="1:18">
      <c r="A34" s="268" t="s">
        <v>7021</v>
      </c>
      <c r="B34" s="268" t="s">
        <v>4583</v>
      </c>
      <c r="C34" s="4" t="s">
        <v>8916</v>
      </c>
      <c r="D34" s="274">
        <v>8047</v>
      </c>
      <c r="E34" s="274">
        <v>7986</v>
      </c>
      <c r="F34" s="274">
        <v>8432</v>
      </c>
      <c r="G34" s="274">
        <v>8577</v>
      </c>
      <c r="H34" s="48">
        <v>8603</v>
      </c>
      <c r="I34" s="48">
        <v>8516</v>
      </c>
      <c r="J34" s="48">
        <v>8324</v>
      </c>
      <c r="K34" s="48">
        <v>8579</v>
      </c>
      <c r="L34" s="48">
        <v>8683</v>
      </c>
      <c r="N34" s="268" t="s">
        <v>1163</v>
      </c>
      <c r="P34" s="4"/>
      <c r="R34" s="4"/>
    </row>
    <row r="35" spans="1:18">
      <c r="A35" s="268"/>
      <c r="B35" s="268"/>
      <c r="C35" s="268"/>
      <c r="D35" s="271"/>
      <c r="E35" s="271"/>
      <c r="F35" s="271"/>
      <c r="G35" s="271"/>
      <c r="H35" s="271"/>
      <c r="I35" s="271"/>
      <c r="J35" s="271"/>
      <c r="K35" s="271"/>
      <c r="L35" s="271"/>
      <c r="N35" s="268"/>
    </row>
    <row r="36" spans="1:18">
      <c r="A36" s="268" t="s">
        <v>1865</v>
      </c>
    </row>
    <row r="37" spans="1:18">
      <c r="A37" s="275"/>
    </row>
  </sheetData>
  <sortState ref="O17:Q34">
    <sortCondition ref="O1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5 E5:E15 F5:F15 G5:G15 H3:H4 H5:H15 I3:I15 J3:J15 K3:K15 L3:L15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53"/>
  <sheetViews>
    <sheetView showGridLines="0" zoomScaleNormal="100" workbookViewId="0"/>
  </sheetViews>
  <sheetFormatPr defaultColWidth="10" defaultRowHeight="15"/>
  <cols>
    <col min="1" max="1" width="4.85546875" style="583" customWidth="1"/>
    <col min="2" max="2" width="35.85546875" style="583" customWidth="1"/>
    <col min="3" max="3" width="11.5703125" style="583" customWidth="1"/>
    <col min="4" max="12" width="10" style="583" customWidth="1"/>
    <col min="13" max="13" width="2.28515625" style="583" customWidth="1"/>
    <col min="14" max="14" width="29.28515625" style="583" customWidth="1"/>
    <col min="15" max="16384" width="10" style="583"/>
  </cols>
  <sheetData>
    <row r="1" spans="1:14">
      <c r="A1" s="582" t="s">
        <v>7342</v>
      </c>
      <c r="D1" s="584">
        <v>2010</v>
      </c>
      <c r="E1" s="584">
        <v>2011</v>
      </c>
      <c r="F1" s="584">
        <v>2012</v>
      </c>
      <c r="G1" s="584">
        <v>2013</v>
      </c>
      <c r="H1" s="584">
        <v>2014</v>
      </c>
      <c r="I1" s="584">
        <v>2015</v>
      </c>
      <c r="J1" s="584">
        <v>2016</v>
      </c>
      <c r="K1" s="584">
        <v>2017</v>
      </c>
      <c r="L1" s="584">
        <v>2018</v>
      </c>
    </row>
    <row r="3" spans="1:14">
      <c r="A3" s="582" t="s">
        <v>6277</v>
      </c>
      <c r="D3" s="585">
        <f t="shared" ref="D3:I3" si="0">SUM(D25:D45)</f>
        <v>170905</v>
      </c>
      <c r="E3" s="585">
        <f t="shared" si="0"/>
        <v>169394</v>
      </c>
      <c r="F3" s="585">
        <f t="shared" si="0"/>
        <v>172498</v>
      </c>
      <c r="G3" s="585">
        <f t="shared" si="0"/>
        <v>173162</v>
      </c>
      <c r="H3" s="585">
        <f t="shared" si="0"/>
        <v>174087</v>
      </c>
      <c r="I3" s="585">
        <f t="shared" si="0"/>
        <v>171079</v>
      </c>
      <c r="J3" s="585">
        <f t="shared" ref="J3:K3" si="1">SUM(J25:J45)</f>
        <v>165238</v>
      </c>
      <c r="K3" s="585">
        <f t="shared" si="1"/>
        <v>168638</v>
      </c>
      <c r="L3" s="585">
        <f t="shared" ref="L3" si="2">SUM(L25:L45)</f>
        <v>169261</v>
      </c>
    </row>
    <row r="4" spans="1:14">
      <c r="A4" s="582"/>
      <c r="D4" s="585"/>
      <c r="E4" s="585"/>
      <c r="F4" s="585"/>
      <c r="G4" s="585"/>
      <c r="H4" s="585"/>
      <c r="I4" s="585"/>
      <c r="J4" s="585"/>
      <c r="K4" s="585"/>
      <c r="L4" s="585"/>
      <c r="M4" s="586"/>
      <c r="N4" s="586"/>
    </row>
    <row r="5" spans="1:14">
      <c r="A5" s="582" t="s">
        <v>7343</v>
      </c>
      <c r="D5" s="585">
        <f t="shared" ref="D5:K5" si="3">D3/2</f>
        <v>85452.5</v>
      </c>
      <c r="E5" s="585">
        <f t="shared" si="3"/>
        <v>84697</v>
      </c>
      <c r="F5" s="585">
        <f t="shared" si="3"/>
        <v>86249</v>
      </c>
      <c r="G5" s="585">
        <f t="shared" si="3"/>
        <v>86581</v>
      </c>
      <c r="H5" s="585">
        <f t="shared" si="3"/>
        <v>87043.5</v>
      </c>
      <c r="I5" s="585">
        <f t="shared" si="3"/>
        <v>85539.5</v>
      </c>
      <c r="J5" s="585">
        <f t="shared" si="3"/>
        <v>82619</v>
      </c>
      <c r="K5" s="585">
        <f t="shared" si="3"/>
        <v>84319</v>
      </c>
      <c r="L5" s="585">
        <f t="shared" ref="L5" si="4">L3/2</f>
        <v>84630.5</v>
      </c>
    </row>
    <row r="6" spans="1:14">
      <c r="D6" s="587"/>
      <c r="E6" s="587"/>
      <c r="F6" s="587"/>
      <c r="G6" s="587"/>
      <c r="H6" s="587"/>
      <c r="I6" s="587"/>
      <c r="J6" s="587"/>
      <c r="K6" s="587"/>
      <c r="L6" s="587"/>
    </row>
    <row r="7" spans="1:14">
      <c r="A7" s="582" t="s">
        <v>6278</v>
      </c>
      <c r="D7" s="585">
        <f t="shared" ref="D7:I7" si="5">D25+SUM(D29:D32)+D34+D40+D43</f>
        <v>64791</v>
      </c>
      <c r="E7" s="585">
        <f t="shared" si="5"/>
        <v>64144</v>
      </c>
      <c r="F7" s="585">
        <f t="shared" si="5"/>
        <v>65252</v>
      </c>
      <c r="G7" s="585">
        <f t="shared" si="5"/>
        <v>65515</v>
      </c>
      <c r="H7" s="585">
        <f t="shared" si="5"/>
        <v>65942</v>
      </c>
      <c r="I7" s="585">
        <f t="shared" si="5"/>
        <v>65029</v>
      </c>
      <c r="J7" s="585">
        <f>J25+SUM(J29:J32)+J34+J40+J43</f>
        <v>63243</v>
      </c>
      <c r="K7" s="585">
        <f>K25+SUM(K29:K32)+K34+K40+K43</f>
        <v>64731</v>
      </c>
      <c r="L7" s="585">
        <f>L25+SUM(L29:L32)+L34+L40+L43</f>
        <v>65015</v>
      </c>
      <c r="M7" s="582"/>
      <c r="N7" s="582" t="s">
        <v>6982</v>
      </c>
    </row>
    <row r="8" spans="1:14">
      <c r="D8" s="587"/>
      <c r="E8" s="587"/>
      <c r="F8" s="587"/>
      <c r="G8" s="587"/>
      <c r="H8" s="587"/>
      <c r="I8" s="587"/>
      <c r="J8" s="587"/>
      <c r="K8" s="587"/>
      <c r="L8" s="587"/>
    </row>
    <row r="9" spans="1:14">
      <c r="A9" s="582" t="s">
        <v>6983</v>
      </c>
      <c r="D9" s="585">
        <f t="shared" ref="D9:K9" si="6">D26+D36+D38+D41+D45</f>
        <v>40735</v>
      </c>
      <c r="E9" s="585">
        <f t="shared" si="6"/>
        <v>40089</v>
      </c>
      <c r="F9" s="585">
        <f t="shared" si="6"/>
        <v>40875</v>
      </c>
      <c r="G9" s="585">
        <f t="shared" si="6"/>
        <v>40846</v>
      </c>
      <c r="H9" s="585">
        <f t="shared" si="6"/>
        <v>40891</v>
      </c>
      <c r="I9" s="585">
        <f t="shared" si="6"/>
        <v>39908</v>
      </c>
      <c r="J9" s="585">
        <f t="shared" si="6"/>
        <v>37799</v>
      </c>
      <c r="K9" s="585">
        <f t="shared" si="6"/>
        <v>38622</v>
      </c>
      <c r="L9" s="585">
        <f t="shared" ref="L9" si="7">L26+L36+L38+L41+L45</f>
        <v>38687</v>
      </c>
      <c r="M9" s="582"/>
      <c r="N9" s="582" t="s">
        <v>6982</v>
      </c>
    </row>
    <row r="10" spans="1:14" ht="15.75" thickBot="1">
      <c r="D10" s="588">
        <f>GREENWICH!D10</f>
        <v>28275</v>
      </c>
      <c r="E10" s="588">
        <f>GREENWICH!E10</f>
        <v>29629</v>
      </c>
      <c r="F10" s="588">
        <f>GREENWICH!F10</f>
        <v>29446</v>
      </c>
      <c r="G10" s="588">
        <f>GREENWICH!G10</f>
        <v>29462</v>
      </c>
      <c r="H10" s="588">
        <f>GREENWICH!H10</f>
        <v>29722</v>
      </c>
      <c r="I10" s="588">
        <f>GREENWICH!I10</f>
        <v>29892</v>
      </c>
      <c r="J10" s="588">
        <f>GREENWICH!J10</f>
        <v>28956</v>
      </c>
      <c r="K10" s="588">
        <f>GREENWICH!K10</f>
        <v>29355</v>
      </c>
      <c r="L10" s="588">
        <f>GREENWICH!L10</f>
        <v>29694</v>
      </c>
      <c r="M10" s="582"/>
      <c r="N10" s="582" t="s">
        <v>6984</v>
      </c>
    </row>
    <row r="11" spans="1:14" ht="15.75" thickBot="1">
      <c r="D11" s="588">
        <f t="shared" ref="D11:K11" si="8">D9+D10</f>
        <v>69010</v>
      </c>
      <c r="E11" s="588">
        <f t="shared" si="8"/>
        <v>69718</v>
      </c>
      <c r="F11" s="588">
        <f t="shared" si="8"/>
        <v>70321</v>
      </c>
      <c r="G11" s="588">
        <f t="shared" si="8"/>
        <v>70308</v>
      </c>
      <c r="H11" s="588">
        <f t="shared" si="8"/>
        <v>70613</v>
      </c>
      <c r="I11" s="588">
        <f t="shared" si="8"/>
        <v>69800</v>
      </c>
      <c r="J11" s="588">
        <f t="shared" si="8"/>
        <v>66755</v>
      </c>
      <c r="K11" s="588">
        <f t="shared" si="8"/>
        <v>67977</v>
      </c>
      <c r="L11" s="588">
        <f t="shared" ref="L11" si="9">L9+L10</f>
        <v>68381</v>
      </c>
    </row>
    <row r="12" spans="1:14">
      <c r="D12" s="587"/>
      <c r="E12" s="587"/>
      <c r="F12" s="587"/>
      <c r="G12" s="587"/>
      <c r="H12" s="587"/>
      <c r="I12" s="587"/>
      <c r="J12" s="587"/>
      <c r="K12" s="587"/>
      <c r="L12" s="587"/>
    </row>
    <row r="13" spans="1:14">
      <c r="A13" s="582" t="s">
        <v>6985</v>
      </c>
      <c r="D13" s="585">
        <f t="shared" ref="D13:I13" si="10">D27+D28+D33+D35+D37+D39+D42+D44</f>
        <v>65379</v>
      </c>
      <c r="E13" s="585">
        <f t="shared" si="10"/>
        <v>65161</v>
      </c>
      <c r="F13" s="585">
        <f t="shared" si="10"/>
        <v>66371</v>
      </c>
      <c r="G13" s="585">
        <f t="shared" si="10"/>
        <v>66801</v>
      </c>
      <c r="H13" s="585">
        <f t="shared" si="10"/>
        <v>67254</v>
      </c>
      <c r="I13" s="585">
        <f t="shared" si="10"/>
        <v>66142</v>
      </c>
      <c r="J13" s="585">
        <f>J27+J28+J33+J35+J37+J39+J42+J44</f>
        <v>64196</v>
      </c>
      <c r="K13" s="585">
        <f>K27+K28+K33+K35+K37+K39+K42+K44</f>
        <v>65285</v>
      </c>
      <c r="L13" s="585">
        <f>L27+L28+L33+L35+L37+L39+L42+L44</f>
        <v>65559</v>
      </c>
      <c r="M13" s="582"/>
      <c r="N13" s="582" t="s">
        <v>6982</v>
      </c>
    </row>
    <row r="14" spans="1:14" s="20" customFormat="1">
      <c r="D14" s="21"/>
      <c r="E14" s="21"/>
      <c r="F14" s="21"/>
      <c r="G14" s="21"/>
      <c r="H14" s="21"/>
      <c r="I14" s="21"/>
      <c r="J14" s="21"/>
      <c r="K14" s="21"/>
      <c r="L14" s="21"/>
    </row>
    <row r="15" spans="1:14">
      <c r="A15" s="582" t="s">
        <v>6986</v>
      </c>
      <c r="D15" s="585">
        <f>GREENWICH!D7</f>
        <v>62005</v>
      </c>
      <c r="E15" s="585">
        <f>GREENWICH!E7</f>
        <v>63059</v>
      </c>
      <c r="F15" s="585">
        <f>GREENWICH!F7</f>
        <v>61991</v>
      </c>
      <c r="G15" s="585">
        <f>GREENWICH!G7</f>
        <v>62204</v>
      </c>
      <c r="H15" s="585">
        <f>GREENWICH!H7</f>
        <v>61972</v>
      </c>
      <c r="I15" s="585">
        <f>GREENWICH!I7</f>
        <v>62156</v>
      </c>
      <c r="J15" s="585">
        <f>GREENWICH!J7</f>
        <v>61794</v>
      </c>
      <c r="K15" s="585">
        <f>GREENWICH!K7</f>
        <v>62575</v>
      </c>
      <c r="L15" s="585">
        <f>GREENWICH!L7</f>
        <v>62325</v>
      </c>
      <c r="M15" s="582"/>
      <c r="N15" s="582" t="s">
        <v>6984</v>
      </c>
    </row>
    <row r="16" spans="1:14" s="20" customFormat="1">
      <c r="D16" s="21"/>
      <c r="E16" s="21"/>
      <c r="F16" s="21"/>
      <c r="G16" s="21"/>
      <c r="H16" s="21"/>
      <c r="I16" s="21"/>
      <c r="J16" s="21"/>
      <c r="K16" s="21"/>
      <c r="L16" s="21"/>
    </row>
    <row r="17" spans="1:19">
      <c r="A17" s="582" t="s">
        <v>6987</v>
      </c>
      <c r="D17" s="585">
        <f>GREENWICH!D13</f>
        <v>62950</v>
      </c>
      <c r="E17" s="585">
        <f>GREENWICH!E13</f>
        <v>66982</v>
      </c>
      <c r="F17" s="585">
        <f>GREENWICH!F13</f>
        <v>67334</v>
      </c>
      <c r="G17" s="585">
        <f>GREENWICH!G13</f>
        <v>68203</v>
      </c>
      <c r="H17" s="585">
        <f>GREENWICH!H13</f>
        <v>68195</v>
      </c>
      <c r="I17" s="585">
        <f>GREENWICH!I13</f>
        <v>69120</v>
      </c>
      <c r="J17" s="585">
        <f>GREENWICH!J13</f>
        <v>69753</v>
      </c>
      <c r="K17" s="585">
        <f>GREENWICH!K13</f>
        <v>72412</v>
      </c>
      <c r="L17" s="585">
        <f>GREENWICH!L13</f>
        <v>73671</v>
      </c>
      <c r="M17" s="582"/>
      <c r="N17" s="582" t="s">
        <v>6984</v>
      </c>
    </row>
    <row r="18" spans="1:19">
      <c r="D18" s="587"/>
      <c r="E18" s="587"/>
      <c r="F18" s="587"/>
      <c r="G18" s="587"/>
      <c r="H18" s="587"/>
      <c r="I18" s="587"/>
      <c r="J18" s="587"/>
      <c r="K18" s="587"/>
      <c r="L18" s="587"/>
    </row>
    <row r="19" spans="1:19">
      <c r="A19" s="582" t="s">
        <v>8697</v>
      </c>
      <c r="D19" s="585">
        <f t="shared" ref="D19:K19" si="11">D7+D9+D13</f>
        <v>170905</v>
      </c>
      <c r="E19" s="585">
        <f t="shared" si="11"/>
        <v>169394</v>
      </c>
      <c r="F19" s="585">
        <f t="shared" si="11"/>
        <v>172498</v>
      </c>
      <c r="G19" s="585">
        <f t="shared" si="11"/>
        <v>173162</v>
      </c>
      <c r="H19" s="585">
        <f t="shared" si="11"/>
        <v>174087</v>
      </c>
      <c r="I19" s="585">
        <f t="shared" si="11"/>
        <v>171079</v>
      </c>
      <c r="J19" s="585">
        <f t="shared" si="11"/>
        <v>165238</v>
      </c>
      <c r="K19" s="585">
        <f t="shared" si="11"/>
        <v>168638</v>
      </c>
      <c r="L19" s="585">
        <f t="shared" ref="L19" si="12">L7+L9+L13</f>
        <v>169261</v>
      </c>
    </row>
    <row r="20" spans="1:19">
      <c r="D20" s="587"/>
      <c r="E20" s="587"/>
      <c r="F20" s="587"/>
      <c r="G20" s="587"/>
      <c r="H20" s="587"/>
      <c r="I20" s="587"/>
      <c r="J20" s="587"/>
      <c r="K20" s="587"/>
      <c r="L20" s="587"/>
    </row>
    <row r="21" spans="1:19">
      <c r="A21" s="582" t="s">
        <v>8698</v>
      </c>
      <c r="D21" s="585">
        <f t="shared" ref="D21:K21" si="13">MAX(D7,D11,D13,D15,D17)-MIN(D7,D11,D13,D15,D17)</f>
        <v>7005</v>
      </c>
      <c r="E21" s="585">
        <f t="shared" si="13"/>
        <v>6659</v>
      </c>
      <c r="F21" s="585">
        <f t="shared" si="13"/>
        <v>8330</v>
      </c>
      <c r="G21" s="585">
        <f t="shared" si="13"/>
        <v>8104</v>
      </c>
      <c r="H21" s="585">
        <f t="shared" si="13"/>
        <v>8641</v>
      </c>
      <c r="I21" s="585">
        <f t="shared" si="13"/>
        <v>7644</v>
      </c>
      <c r="J21" s="585">
        <f t="shared" si="13"/>
        <v>7959</v>
      </c>
      <c r="K21" s="585">
        <f t="shared" si="13"/>
        <v>9837</v>
      </c>
      <c r="L21" s="585">
        <f t="shared" ref="L21" si="14">MAX(L7,L11,L13,L15,L17)-MIN(L7,L11,L13,L15,L17)</f>
        <v>11346</v>
      </c>
      <c r="P21" s="582"/>
      <c r="Q21" s="582"/>
    </row>
    <row r="22" spans="1:19">
      <c r="D22" s="587"/>
      <c r="E22" s="587"/>
      <c r="F22" s="587"/>
      <c r="G22" s="587"/>
      <c r="H22" s="587"/>
      <c r="I22" s="587"/>
      <c r="J22" s="587"/>
      <c r="K22" s="587"/>
      <c r="L22" s="587"/>
      <c r="P22" s="582"/>
      <c r="Q22" s="582"/>
    </row>
    <row r="23" spans="1:19">
      <c r="A23" s="582" t="s">
        <v>8701</v>
      </c>
      <c r="D23" s="585">
        <f t="shared" ref="D23:K23" si="15">STDEVP(D7,D11,D13,D15,D17)</f>
        <v>2420.3430335388412</v>
      </c>
      <c r="E23" s="585">
        <f t="shared" si="15"/>
        <v>2341.3998718715261</v>
      </c>
      <c r="F23" s="585">
        <f t="shared" si="15"/>
        <v>2716.5327459833793</v>
      </c>
      <c r="G23" s="585">
        <f t="shared" si="15"/>
        <v>2715.184074791247</v>
      </c>
      <c r="H23" s="585">
        <f t="shared" si="15"/>
        <v>2854.3560674870259</v>
      </c>
      <c r="I23" s="585">
        <f t="shared" si="15"/>
        <v>2789.4063597833856</v>
      </c>
      <c r="J23" s="585">
        <f t="shared" si="15"/>
        <v>2813.2941118908984</v>
      </c>
      <c r="K23" s="585">
        <f t="shared" si="15"/>
        <v>3379.3018213826358</v>
      </c>
      <c r="L23" s="585">
        <f t="shared" ref="L23" si="16">STDEVP(L7,L11,L13,L15,L17)</f>
        <v>3854.3806973364735</v>
      </c>
    </row>
    <row r="24" spans="1:19">
      <c r="D24" s="587"/>
      <c r="E24" s="587"/>
      <c r="F24" s="587"/>
      <c r="G24" s="587"/>
      <c r="H24" s="587"/>
      <c r="I24" s="587"/>
      <c r="J24" s="587"/>
      <c r="K24" s="587"/>
      <c r="L24" s="587"/>
    </row>
    <row r="25" spans="1:19">
      <c r="A25" s="582" t="s">
        <v>6957</v>
      </c>
      <c r="B25" s="582" t="s">
        <v>6988</v>
      </c>
      <c r="C25" s="4" t="s">
        <v>16599</v>
      </c>
      <c r="D25" s="589">
        <v>8005</v>
      </c>
      <c r="E25" s="589">
        <v>7973</v>
      </c>
      <c r="F25" s="589">
        <v>8064</v>
      </c>
      <c r="G25" s="589">
        <v>8112</v>
      </c>
      <c r="H25" s="48">
        <v>8103</v>
      </c>
      <c r="I25" s="48">
        <v>8124</v>
      </c>
      <c r="J25" s="48">
        <v>8017</v>
      </c>
      <c r="K25" s="48">
        <v>8140</v>
      </c>
      <c r="L25" s="48">
        <v>8162</v>
      </c>
      <c r="M25" s="582"/>
      <c r="N25" s="582" t="s">
        <v>6278</v>
      </c>
      <c r="Q25" s="4"/>
      <c r="S25" s="4"/>
    </row>
    <row r="26" spans="1:19">
      <c r="A26" s="582" t="s">
        <v>6959</v>
      </c>
      <c r="B26" s="582" t="s">
        <v>6989</v>
      </c>
      <c r="C26" s="4" t="s">
        <v>16600</v>
      </c>
      <c r="D26" s="590">
        <v>8233</v>
      </c>
      <c r="E26" s="590">
        <v>8122</v>
      </c>
      <c r="F26" s="590">
        <v>8268</v>
      </c>
      <c r="G26" s="590">
        <v>8323</v>
      </c>
      <c r="H26" s="48">
        <v>8453</v>
      </c>
      <c r="I26" s="48">
        <v>8363</v>
      </c>
      <c r="J26" s="48">
        <v>7977</v>
      </c>
      <c r="K26" s="48">
        <v>8168</v>
      </c>
      <c r="L26" s="48">
        <v>8220</v>
      </c>
      <c r="M26" s="582"/>
      <c r="N26" s="582" t="s">
        <v>6983</v>
      </c>
      <c r="Q26" s="4"/>
      <c r="S26" s="4"/>
    </row>
    <row r="27" spans="1:19">
      <c r="A27" s="582" t="s">
        <v>6961</v>
      </c>
      <c r="B27" s="582" t="s">
        <v>16601</v>
      </c>
      <c r="C27" s="4" t="s">
        <v>16602</v>
      </c>
      <c r="D27" s="589">
        <v>8063</v>
      </c>
      <c r="E27" s="589">
        <v>8031</v>
      </c>
      <c r="F27" s="589">
        <v>8058</v>
      </c>
      <c r="G27" s="589">
        <v>8146</v>
      </c>
      <c r="H27" s="48">
        <v>8134</v>
      </c>
      <c r="I27" s="48">
        <v>8000</v>
      </c>
      <c r="J27" s="48">
        <v>7845</v>
      </c>
      <c r="K27" s="48">
        <v>7985</v>
      </c>
      <c r="L27" s="48">
        <v>7953</v>
      </c>
      <c r="M27" s="582"/>
      <c r="N27" s="582" t="s">
        <v>6985</v>
      </c>
      <c r="Q27" s="4"/>
      <c r="S27" s="4"/>
    </row>
    <row r="28" spans="1:19">
      <c r="A28" s="582" t="s">
        <v>6963</v>
      </c>
      <c r="B28" s="582" t="s">
        <v>16603</v>
      </c>
      <c r="C28" s="4" t="s">
        <v>16604</v>
      </c>
      <c r="D28" s="589">
        <v>8332</v>
      </c>
      <c r="E28" s="589">
        <v>8325</v>
      </c>
      <c r="F28" s="589">
        <v>8378</v>
      </c>
      <c r="G28" s="589">
        <v>8410</v>
      </c>
      <c r="H28" s="48">
        <v>8371</v>
      </c>
      <c r="I28" s="48">
        <v>8285</v>
      </c>
      <c r="J28" s="48">
        <v>8100</v>
      </c>
      <c r="K28" s="48">
        <v>8252</v>
      </c>
      <c r="L28" s="48">
        <v>8274</v>
      </c>
      <c r="M28" s="582"/>
      <c r="N28" s="582" t="s">
        <v>6985</v>
      </c>
      <c r="Q28" s="4"/>
      <c r="S28" s="4"/>
    </row>
    <row r="29" spans="1:19">
      <c r="A29" s="582" t="s">
        <v>6965</v>
      </c>
      <c r="B29" s="582" t="s">
        <v>6990</v>
      </c>
      <c r="C29" s="4" t="s">
        <v>16605</v>
      </c>
      <c r="D29" s="585">
        <v>8343</v>
      </c>
      <c r="E29" s="585">
        <v>8386</v>
      </c>
      <c r="F29" s="585">
        <v>8467</v>
      </c>
      <c r="G29" s="585">
        <v>8485</v>
      </c>
      <c r="H29" s="48">
        <v>8475</v>
      </c>
      <c r="I29" s="48">
        <v>8354</v>
      </c>
      <c r="J29" s="48">
        <v>8171</v>
      </c>
      <c r="K29" s="48">
        <v>8246</v>
      </c>
      <c r="L29" s="48">
        <v>8232</v>
      </c>
      <c r="M29" s="582"/>
      <c r="N29" s="582" t="s">
        <v>6278</v>
      </c>
      <c r="Q29" s="4"/>
      <c r="S29" s="4"/>
    </row>
    <row r="30" spans="1:19">
      <c r="A30" s="582" t="s">
        <v>6997</v>
      </c>
      <c r="B30" s="582" t="s">
        <v>5003</v>
      </c>
      <c r="C30" s="4" t="s">
        <v>16606</v>
      </c>
      <c r="D30" s="589">
        <v>8361</v>
      </c>
      <c r="E30" s="589">
        <v>8293</v>
      </c>
      <c r="F30" s="589">
        <v>8433</v>
      </c>
      <c r="G30" s="589">
        <v>8505</v>
      </c>
      <c r="H30" s="48">
        <v>8533</v>
      </c>
      <c r="I30" s="48">
        <v>8390</v>
      </c>
      <c r="J30" s="48">
        <v>8117</v>
      </c>
      <c r="K30" s="48">
        <v>8303</v>
      </c>
      <c r="L30" s="48">
        <v>8347</v>
      </c>
      <c r="M30" s="582"/>
      <c r="N30" s="582" t="s">
        <v>6278</v>
      </c>
      <c r="Q30" s="4"/>
      <c r="S30" s="4"/>
    </row>
    <row r="31" spans="1:19">
      <c r="A31" s="582" t="s">
        <v>6999</v>
      </c>
      <c r="B31" s="582" t="s">
        <v>16607</v>
      </c>
      <c r="C31" s="4" t="s">
        <v>16608</v>
      </c>
      <c r="D31" s="585">
        <v>8063</v>
      </c>
      <c r="E31" s="585">
        <v>7866</v>
      </c>
      <c r="F31" s="585">
        <v>7983</v>
      </c>
      <c r="G31" s="585">
        <v>7729</v>
      </c>
      <c r="H31" s="48">
        <v>7582</v>
      </c>
      <c r="I31" s="48">
        <v>7398</v>
      </c>
      <c r="J31" s="48">
        <v>7179</v>
      </c>
      <c r="K31" s="48">
        <v>7507</v>
      </c>
      <c r="L31" s="48">
        <v>7642</v>
      </c>
      <c r="M31" s="582"/>
      <c r="N31" s="582" t="s">
        <v>6278</v>
      </c>
      <c r="Q31" s="4"/>
      <c r="S31" s="4"/>
    </row>
    <row r="32" spans="1:19">
      <c r="A32" s="582" t="s">
        <v>7001</v>
      </c>
      <c r="B32" s="582" t="s">
        <v>6991</v>
      </c>
      <c r="C32" s="4" t="s">
        <v>16609</v>
      </c>
      <c r="D32" s="589">
        <v>8279</v>
      </c>
      <c r="E32" s="589">
        <v>8138</v>
      </c>
      <c r="F32" s="589">
        <v>8260</v>
      </c>
      <c r="G32" s="589">
        <v>8550</v>
      </c>
      <c r="H32" s="48">
        <v>9033</v>
      </c>
      <c r="I32" s="48">
        <v>8931</v>
      </c>
      <c r="J32" s="48">
        <v>8631</v>
      </c>
      <c r="K32" s="48">
        <v>8799</v>
      </c>
      <c r="L32" s="48">
        <v>8790</v>
      </c>
      <c r="M32" s="582"/>
      <c r="N32" s="582" t="s">
        <v>6985</v>
      </c>
      <c r="Q32" s="4"/>
      <c r="S32" s="4"/>
    </row>
    <row r="33" spans="1:19">
      <c r="A33" s="582" t="s">
        <v>7003</v>
      </c>
      <c r="B33" s="582" t="s">
        <v>16610</v>
      </c>
      <c r="C33" s="4" t="s">
        <v>16611</v>
      </c>
      <c r="D33" s="589">
        <v>8236</v>
      </c>
      <c r="E33" s="589">
        <v>8148</v>
      </c>
      <c r="F33" s="589">
        <v>8414</v>
      </c>
      <c r="G33" s="589">
        <v>8438</v>
      </c>
      <c r="H33" s="48">
        <v>8476</v>
      </c>
      <c r="I33" s="48">
        <v>8319</v>
      </c>
      <c r="J33" s="48">
        <v>8012</v>
      </c>
      <c r="K33" s="48">
        <v>8137</v>
      </c>
      <c r="L33" s="48">
        <v>8161</v>
      </c>
      <c r="M33" s="582"/>
      <c r="N33" s="582" t="s">
        <v>6278</v>
      </c>
      <c r="Q33" s="4"/>
      <c r="S33" s="4"/>
    </row>
    <row r="34" spans="1:19">
      <c r="A34" s="582" t="s">
        <v>7005</v>
      </c>
      <c r="B34" s="582" t="s">
        <v>16612</v>
      </c>
      <c r="C34" s="4" t="s">
        <v>16613</v>
      </c>
      <c r="D34" s="589">
        <v>8123</v>
      </c>
      <c r="E34" s="589">
        <v>8121</v>
      </c>
      <c r="F34" s="589">
        <v>8297</v>
      </c>
      <c r="G34" s="589">
        <v>8307</v>
      </c>
      <c r="H34" s="48">
        <v>8277</v>
      </c>
      <c r="I34" s="48">
        <v>8129</v>
      </c>
      <c r="J34" s="48">
        <v>7845</v>
      </c>
      <c r="K34" s="48">
        <v>8009</v>
      </c>
      <c r="L34" s="48">
        <v>8012</v>
      </c>
      <c r="M34" s="582"/>
      <c r="N34" s="582" t="s">
        <v>6278</v>
      </c>
      <c r="Q34" s="4"/>
      <c r="S34" s="4"/>
    </row>
    <row r="35" spans="1:19">
      <c r="A35" s="582" t="s">
        <v>7007</v>
      </c>
      <c r="B35" s="582" t="s">
        <v>6992</v>
      </c>
      <c r="C35" s="4" t="s">
        <v>16614</v>
      </c>
      <c r="D35" s="589">
        <v>8049</v>
      </c>
      <c r="E35" s="589">
        <v>7952</v>
      </c>
      <c r="F35" s="589">
        <v>8217</v>
      </c>
      <c r="G35" s="589">
        <v>8282</v>
      </c>
      <c r="H35" s="48">
        <v>8308</v>
      </c>
      <c r="I35" s="48">
        <v>8205</v>
      </c>
      <c r="J35" s="48">
        <v>7868</v>
      </c>
      <c r="K35" s="48">
        <v>8060</v>
      </c>
      <c r="L35" s="48">
        <v>8104</v>
      </c>
      <c r="M35" s="582"/>
      <c r="N35" s="582" t="s">
        <v>6985</v>
      </c>
      <c r="Q35" s="4"/>
      <c r="S35" s="4"/>
    </row>
    <row r="36" spans="1:19">
      <c r="A36" s="582" t="s">
        <v>7009</v>
      </c>
      <c r="B36" s="582" t="s">
        <v>6993</v>
      </c>
      <c r="C36" s="4" t="s">
        <v>16615</v>
      </c>
      <c r="D36" s="937">
        <v>8206</v>
      </c>
      <c r="E36" s="937">
        <v>8060</v>
      </c>
      <c r="F36" s="937">
        <v>8284</v>
      </c>
      <c r="G36" s="937">
        <v>8222</v>
      </c>
      <c r="H36" s="48">
        <v>8193</v>
      </c>
      <c r="I36" s="48">
        <v>8091</v>
      </c>
      <c r="J36" s="48">
        <v>7568</v>
      </c>
      <c r="K36" s="48">
        <v>7849</v>
      </c>
      <c r="L36" s="48">
        <v>7879</v>
      </c>
      <c r="M36" s="582"/>
      <c r="N36" s="582" t="s">
        <v>6983</v>
      </c>
      <c r="Q36" s="4"/>
      <c r="S36" s="4"/>
    </row>
    <row r="37" spans="1:19">
      <c r="A37" s="582" t="s">
        <v>7011</v>
      </c>
      <c r="B37" s="582" t="s">
        <v>16616</v>
      </c>
      <c r="C37" s="4" t="s">
        <v>16617</v>
      </c>
      <c r="D37" s="589">
        <v>8124</v>
      </c>
      <c r="E37" s="589">
        <v>8098</v>
      </c>
      <c r="F37" s="589">
        <v>8264</v>
      </c>
      <c r="G37" s="589">
        <v>8321</v>
      </c>
      <c r="H37" s="48">
        <v>8396</v>
      </c>
      <c r="I37" s="48">
        <v>8262</v>
      </c>
      <c r="J37" s="48">
        <v>7966</v>
      </c>
      <c r="K37" s="48">
        <v>8073</v>
      </c>
      <c r="L37" s="48">
        <v>8047</v>
      </c>
      <c r="M37" s="582"/>
      <c r="N37" s="582" t="s">
        <v>6985</v>
      </c>
      <c r="Q37" s="4"/>
      <c r="S37" s="4"/>
    </row>
    <row r="38" spans="1:19">
      <c r="A38" s="582" t="s">
        <v>7013</v>
      </c>
      <c r="B38" s="582" t="s">
        <v>16618</v>
      </c>
      <c r="C38" s="4" t="s">
        <v>16619</v>
      </c>
      <c r="D38" s="589">
        <v>8377</v>
      </c>
      <c r="E38" s="589">
        <v>8300</v>
      </c>
      <c r="F38" s="589">
        <v>8366</v>
      </c>
      <c r="G38" s="589">
        <v>8344</v>
      </c>
      <c r="H38" s="48">
        <v>8353</v>
      </c>
      <c r="I38" s="48">
        <v>8105</v>
      </c>
      <c r="J38" s="48">
        <v>7725</v>
      </c>
      <c r="K38" s="48">
        <v>7788</v>
      </c>
      <c r="L38" s="48">
        <v>7666</v>
      </c>
      <c r="M38" s="582"/>
      <c r="N38" s="582" t="s">
        <v>6983</v>
      </c>
      <c r="Q38" s="4"/>
      <c r="S38" s="4"/>
    </row>
    <row r="39" spans="1:19">
      <c r="A39" s="582" t="s">
        <v>7015</v>
      </c>
      <c r="B39" s="582" t="s">
        <v>8832</v>
      </c>
      <c r="C39" s="4" t="s">
        <v>16620</v>
      </c>
      <c r="D39" s="589">
        <v>8070</v>
      </c>
      <c r="E39" s="589">
        <v>8167</v>
      </c>
      <c r="F39" s="589">
        <v>8258</v>
      </c>
      <c r="G39" s="589">
        <v>8285</v>
      </c>
      <c r="H39" s="48">
        <v>8280</v>
      </c>
      <c r="I39" s="48">
        <v>8034</v>
      </c>
      <c r="J39" s="48">
        <v>7828</v>
      </c>
      <c r="K39" s="48">
        <v>7906</v>
      </c>
      <c r="L39" s="48">
        <v>8015</v>
      </c>
      <c r="M39" s="582"/>
      <c r="N39" s="582" t="s">
        <v>6985</v>
      </c>
      <c r="Q39" s="4"/>
      <c r="S39" s="4"/>
    </row>
    <row r="40" spans="1:19">
      <c r="A40" s="582" t="s">
        <v>7017</v>
      </c>
      <c r="B40" s="582" t="s">
        <v>8833</v>
      </c>
      <c r="C40" s="4" t="s">
        <v>16621</v>
      </c>
      <c r="D40" s="589">
        <v>7631</v>
      </c>
      <c r="E40" s="589">
        <v>7437</v>
      </c>
      <c r="F40" s="589">
        <v>7639</v>
      </c>
      <c r="G40" s="589">
        <v>7643</v>
      </c>
      <c r="H40" s="48">
        <v>7723</v>
      </c>
      <c r="I40" s="48">
        <v>7561</v>
      </c>
      <c r="J40" s="48">
        <v>7329</v>
      </c>
      <c r="K40" s="48">
        <v>7641</v>
      </c>
      <c r="L40" s="48">
        <v>7751</v>
      </c>
      <c r="M40" s="582"/>
      <c r="N40" s="582" t="s">
        <v>6278</v>
      </c>
      <c r="Q40" s="4"/>
      <c r="S40" s="4"/>
    </row>
    <row r="41" spans="1:19">
      <c r="A41" s="582" t="s">
        <v>7019</v>
      </c>
      <c r="B41" s="582" t="s">
        <v>8834</v>
      </c>
      <c r="C41" s="4" t="s">
        <v>16622</v>
      </c>
      <c r="D41" s="589">
        <v>7838</v>
      </c>
      <c r="E41" s="589">
        <v>7799</v>
      </c>
      <c r="F41" s="589">
        <v>7927</v>
      </c>
      <c r="G41" s="589">
        <v>8037</v>
      </c>
      <c r="H41" s="48">
        <v>8071</v>
      </c>
      <c r="I41" s="48">
        <v>7922</v>
      </c>
      <c r="J41" s="48">
        <v>7836</v>
      </c>
      <c r="K41" s="48">
        <v>7906</v>
      </c>
      <c r="L41" s="48">
        <v>7931</v>
      </c>
      <c r="M41" s="582"/>
      <c r="N41" s="582" t="s">
        <v>6983</v>
      </c>
      <c r="Q41" s="4"/>
      <c r="S41" s="4"/>
    </row>
    <row r="42" spans="1:19">
      <c r="A42" s="582" t="s">
        <v>7021</v>
      </c>
      <c r="B42" s="582" t="s">
        <v>8835</v>
      </c>
      <c r="C42" s="4" t="s">
        <v>16623</v>
      </c>
      <c r="D42" s="589">
        <v>8138</v>
      </c>
      <c r="E42" s="589">
        <v>8159</v>
      </c>
      <c r="F42" s="589">
        <v>8278</v>
      </c>
      <c r="G42" s="589">
        <v>8297</v>
      </c>
      <c r="H42" s="48">
        <v>8400</v>
      </c>
      <c r="I42" s="48">
        <v>8293</v>
      </c>
      <c r="J42" s="48">
        <v>8229</v>
      </c>
      <c r="K42" s="48">
        <v>8336</v>
      </c>
      <c r="L42" s="48">
        <v>8397</v>
      </c>
      <c r="M42" s="582"/>
      <c r="N42" s="582" t="s">
        <v>6985</v>
      </c>
      <c r="Q42" s="4"/>
      <c r="S42" s="4"/>
    </row>
    <row r="43" spans="1:19">
      <c r="A43" s="582" t="s">
        <v>7023</v>
      </c>
      <c r="B43" s="582" t="s">
        <v>8836</v>
      </c>
      <c r="C43" s="4" t="s">
        <v>16624</v>
      </c>
      <c r="D43" s="589">
        <v>7986</v>
      </c>
      <c r="E43" s="589">
        <v>7930</v>
      </c>
      <c r="F43" s="589">
        <v>8109</v>
      </c>
      <c r="G43" s="589">
        <v>8184</v>
      </c>
      <c r="H43" s="48">
        <v>8216</v>
      </c>
      <c r="I43" s="48">
        <v>8142</v>
      </c>
      <c r="J43" s="48">
        <v>7954</v>
      </c>
      <c r="K43" s="48">
        <v>8086</v>
      </c>
      <c r="L43" s="48">
        <v>8079</v>
      </c>
      <c r="M43" s="582"/>
      <c r="N43" s="582" t="s">
        <v>6278</v>
      </c>
      <c r="Q43" s="4"/>
      <c r="S43" s="4"/>
    </row>
    <row r="44" spans="1:19">
      <c r="A44" s="582" t="s">
        <v>7025</v>
      </c>
      <c r="B44" s="582" t="s">
        <v>8837</v>
      </c>
      <c r="C44" s="4" t="s">
        <v>16625</v>
      </c>
      <c r="D44" s="589">
        <v>8367</v>
      </c>
      <c r="E44" s="589">
        <v>8281</v>
      </c>
      <c r="F44" s="589">
        <v>8504</v>
      </c>
      <c r="G44" s="589">
        <v>8622</v>
      </c>
      <c r="H44" s="48">
        <v>8889</v>
      </c>
      <c r="I44" s="48">
        <v>8744</v>
      </c>
      <c r="J44" s="48">
        <v>8348</v>
      </c>
      <c r="K44" s="48">
        <v>8536</v>
      </c>
      <c r="L44" s="48">
        <v>8608</v>
      </c>
      <c r="M44" s="582"/>
      <c r="N44" s="582" t="s">
        <v>6985</v>
      </c>
      <c r="Q44" s="4"/>
      <c r="S44" s="4"/>
    </row>
    <row r="45" spans="1:19">
      <c r="A45" s="582" t="s">
        <v>7570</v>
      </c>
      <c r="B45" s="582" t="s">
        <v>8838</v>
      </c>
      <c r="C45" s="4" t="s">
        <v>16626</v>
      </c>
      <c r="D45" s="589">
        <v>8081</v>
      </c>
      <c r="E45" s="589">
        <v>7808</v>
      </c>
      <c r="F45" s="589">
        <v>8030</v>
      </c>
      <c r="G45" s="589">
        <v>7920</v>
      </c>
      <c r="H45" s="48">
        <v>7821</v>
      </c>
      <c r="I45" s="48">
        <v>7427</v>
      </c>
      <c r="J45" s="48">
        <v>6693</v>
      </c>
      <c r="K45" s="48">
        <v>6911</v>
      </c>
      <c r="L45" s="4">
        <v>6991</v>
      </c>
      <c r="M45" s="582"/>
      <c r="N45" s="582" t="s">
        <v>6983</v>
      </c>
      <c r="Q45" s="4"/>
      <c r="S45" s="4"/>
    </row>
    <row r="46" spans="1:19">
      <c r="N46" s="582"/>
      <c r="Q46" s="4"/>
      <c r="S46" s="4"/>
    </row>
    <row r="47" spans="1:19">
      <c r="A47" s="583" t="s">
        <v>16627</v>
      </c>
      <c r="N47" s="582"/>
      <c r="Q47" s="4"/>
      <c r="S47" s="4"/>
    </row>
    <row r="48" spans="1:19">
      <c r="A48" s="583" t="s">
        <v>8839</v>
      </c>
      <c r="N48" s="582"/>
      <c r="Q48" s="4"/>
      <c r="S48" s="4"/>
    </row>
    <row r="49" spans="1:19">
      <c r="A49" s="582"/>
      <c r="B49" s="582"/>
      <c r="C49" s="4"/>
      <c r="D49" s="589"/>
      <c r="E49" s="589"/>
      <c r="F49" s="589"/>
      <c r="G49" s="589"/>
      <c r="H49" s="48"/>
      <c r="I49" s="48"/>
      <c r="J49" s="48"/>
      <c r="K49" s="48"/>
      <c r="L49" s="48"/>
      <c r="N49" s="582"/>
      <c r="Q49" s="4"/>
      <c r="S49" s="4"/>
    </row>
    <row r="50" spans="1:19">
      <c r="A50" s="582"/>
      <c r="B50" s="582"/>
      <c r="C50" s="4"/>
      <c r="D50" s="589"/>
      <c r="E50" s="589"/>
      <c r="F50" s="589"/>
      <c r="G50" s="589"/>
      <c r="H50" s="48"/>
      <c r="I50" s="48"/>
      <c r="J50" s="48"/>
      <c r="K50" s="48"/>
      <c r="L50" s="48"/>
      <c r="N50" s="582"/>
      <c r="Q50" s="4"/>
      <c r="S50" s="4"/>
    </row>
    <row r="51" spans="1:19">
      <c r="A51" s="582"/>
      <c r="B51" s="582"/>
      <c r="C51" s="4"/>
      <c r="D51" s="589"/>
      <c r="E51" s="589"/>
      <c r="F51" s="589"/>
      <c r="G51" s="589"/>
      <c r="H51" s="48"/>
      <c r="I51" s="48"/>
      <c r="J51" s="48"/>
      <c r="K51" s="48"/>
      <c r="L51" s="48"/>
      <c r="N51" s="582"/>
      <c r="Q51" s="4"/>
      <c r="S51" s="4"/>
    </row>
    <row r="52" spans="1:19">
      <c r="A52" s="582"/>
      <c r="B52" s="582"/>
      <c r="C52" s="4"/>
      <c r="D52" s="589"/>
      <c r="E52" s="589"/>
      <c r="F52" s="589"/>
      <c r="G52" s="589"/>
      <c r="H52" s="589"/>
      <c r="I52" s="589"/>
      <c r="J52" s="589"/>
      <c r="K52" s="589"/>
      <c r="L52" s="589"/>
      <c r="N52" s="582"/>
      <c r="Q52" s="4"/>
      <c r="S52" s="4"/>
    </row>
    <row r="53" spans="1:19">
      <c r="A53" s="582"/>
      <c r="B53" s="582"/>
      <c r="C53" s="4"/>
      <c r="N53" s="582"/>
      <c r="Q53" s="4"/>
      <c r="S53" s="4"/>
    </row>
  </sheetData>
  <sortState ref="O25:P45">
    <sortCondition ref="P25:P45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&amp;C&amp;"Times New Roman,Regular"&amp;8&amp;P of &amp;N</oddFooter>
  </headerFooter>
  <ignoredErrors>
    <ignoredError sqref="D3:L23" unlocked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45"/>
  <sheetViews>
    <sheetView showGridLines="0" zoomScaleNormal="100" workbookViewId="0"/>
  </sheetViews>
  <sheetFormatPr defaultColWidth="12.5703125" defaultRowHeight="15"/>
  <cols>
    <col min="1" max="1" width="4.85546875" style="485" customWidth="1"/>
    <col min="2" max="2" width="35.85546875" style="485" customWidth="1"/>
    <col min="3" max="3" width="11.5703125" style="485" customWidth="1"/>
    <col min="4" max="12" width="10.140625" style="485" customWidth="1"/>
    <col min="13" max="13" width="2.5703125" style="485" customWidth="1"/>
    <col min="14" max="14" width="26.85546875" style="485" customWidth="1"/>
    <col min="15" max="16384" width="12.5703125" style="485"/>
  </cols>
  <sheetData>
    <row r="1" spans="1:14">
      <c r="A1" s="484" t="s">
        <v>8847</v>
      </c>
      <c r="D1" s="486">
        <v>2010</v>
      </c>
      <c r="E1" s="486">
        <v>2011</v>
      </c>
      <c r="F1" s="486">
        <v>2012</v>
      </c>
      <c r="G1" s="486">
        <v>2013</v>
      </c>
      <c r="H1" s="486">
        <v>2014</v>
      </c>
      <c r="I1" s="486">
        <v>2015</v>
      </c>
      <c r="J1" s="486">
        <v>2016</v>
      </c>
      <c r="K1" s="486">
        <v>2017</v>
      </c>
      <c r="L1" s="486">
        <v>2018</v>
      </c>
      <c r="M1" s="486"/>
    </row>
    <row r="3" spans="1:14">
      <c r="A3" s="484" t="s">
        <v>1866</v>
      </c>
      <c r="D3" s="492">
        <f>SUM(D17:D21)+SUM(D23:D29)+SUM(D31:D40)</f>
        <v>151386</v>
      </c>
      <c r="E3" s="492">
        <f t="shared" ref="E3:G3" si="0">SUM(E17:E21)+SUM(E23:E29)+SUM(E31:E40)</f>
        <v>152937</v>
      </c>
      <c r="F3" s="492">
        <f t="shared" si="0"/>
        <v>154468</v>
      </c>
      <c r="G3" s="492">
        <f t="shared" si="0"/>
        <v>156044</v>
      </c>
      <c r="H3" s="492">
        <f t="shared" ref="H3" si="1">SUM(H17:H21)+SUM(H23:H29)+SUM(H31:H40)</f>
        <v>154606</v>
      </c>
      <c r="I3" s="492">
        <f>SUM(I17:I21)+SUM(I23:I29)+SUM(I31:I40)</f>
        <v>153139</v>
      </c>
      <c r="J3" s="492">
        <f>SUM(J17:J21)+SUM(J23:J29)+SUM(J31:J40)</f>
        <v>148586</v>
      </c>
      <c r="K3" s="492">
        <f>SUM(K17:K21)+SUM(K23:K29)+SUM(K31:K40)</f>
        <v>149999</v>
      </c>
      <c r="L3" s="492">
        <f>SUM(L17:L21)+SUM(L23:L29)+SUM(L31:L40)</f>
        <v>152843</v>
      </c>
      <c r="M3" s="852"/>
    </row>
    <row r="4" spans="1:14">
      <c r="D4" s="489"/>
      <c r="E4" s="489"/>
      <c r="F4" s="489"/>
      <c r="G4" s="489"/>
      <c r="H4" s="489"/>
      <c r="I4" s="489"/>
      <c r="J4" s="489"/>
      <c r="K4" s="489"/>
      <c r="L4" s="489"/>
    </row>
    <row r="5" spans="1:14">
      <c r="A5" s="484" t="s">
        <v>3520</v>
      </c>
      <c r="D5" s="487">
        <f t="shared" ref="D5:I5" si="2">D3/2</f>
        <v>75693</v>
      </c>
      <c r="E5" s="487">
        <f t="shared" si="2"/>
        <v>76468.5</v>
      </c>
      <c r="F5" s="487">
        <f t="shared" si="2"/>
        <v>77234</v>
      </c>
      <c r="G5" s="487">
        <f t="shared" si="2"/>
        <v>78022</v>
      </c>
      <c r="H5" s="487">
        <f t="shared" si="2"/>
        <v>77303</v>
      </c>
      <c r="I5" s="487">
        <f t="shared" si="2"/>
        <v>76569.5</v>
      </c>
      <c r="J5" s="487">
        <f t="shared" ref="J5:K5" si="3">J3/2</f>
        <v>74293</v>
      </c>
      <c r="K5" s="487">
        <f t="shared" si="3"/>
        <v>74999.5</v>
      </c>
      <c r="L5" s="487">
        <f t="shared" ref="L5" si="4">L3/2</f>
        <v>76421.5</v>
      </c>
      <c r="M5" s="490"/>
    </row>
    <row r="6" spans="1:14">
      <c r="D6" s="489"/>
      <c r="E6" s="489"/>
      <c r="F6" s="489"/>
      <c r="G6" s="489"/>
      <c r="H6" s="489"/>
      <c r="I6" s="489"/>
      <c r="J6" s="489"/>
      <c r="K6" s="489"/>
      <c r="L6" s="489"/>
    </row>
    <row r="7" spans="1:14">
      <c r="A7" s="484" t="s">
        <v>1867</v>
      </c>
      <c r="D7" s="492">
        <f>D17+D20+D24+D25+D28+D32+D33+SUM(D35:D37)</f>
        <v>78583</v>
      </c>
      <c r="E7" s="492">
        <f t="shared" ref="E7:G7" si="5">E17+E20+E24+E25+E28+E32+E33+SUM(E35:E37)</f>
        <v>79488</v>
      </c>
      <c r="F7" s="492">
        <f t="shared" si="5"/>
        <v>80224</v>
      </c>
      <c r="G7" s="492">
        <f t="shared" si="5"/>
        <v>81183</v>
      </c>
      <c r="H7" s="492">
        <f t="shared" ref="H7" si="6">H17+H20+H24+H25+H28+H32+H33+SUM(H35:H37)</f>
        <v>80774</v>
      </c>
      <c r="I7" s="492">
        <f t="shared" ref="I7:J7" si="7">I17+I20+I24+I25+I28+I32+I33+SUM(I35:I37)</f>
        <v>80129</v>
      </c>
      <c r="J7" s="492">
        <f t="shared" si="7"/>
        <v>78158</v>
      </c>
      <c r="K7" s="492">
        <f t="shared" ref="K7:L7" si="8">K17+K20+K24+K25+K28+K32+K33+SUM(K35:K37)</f>
        <v>79063</v>
      </c>
      <c r="L7" s="492">
        <f t="shared" si="8"/>
        <v>80620</v>
      </c>
      <c r="M7" s="488"/>
      <c r="N7" s="484" t="s">
        <v>1868</v>
      </c>
    </row>
    <row r="8" spans="1:14">
      <c r="D8" s="489"/>
      <c r="E8" s="489"/>
      <c r="F8" s="489"/>
      <c r="G8" s="489"/>
      <c r="H8" s="489"/>
      <c r="I8" s="489"/>
      <c r="J8" s="489"/>
      <c r="K8" s="489"/>
      <c r="L8" s="489"/>
    </row>
    <row r="9" spans="1:14">
      <c r="A9" s="484" t="s">
        <v>1869</v>
      </c>
      <c r="D9" s="487">
        <f>D18+D19+D21+D23+D26+D27+D29+D31+D34+SUM(D38:D40)</f>
        <v>72803</v>
      </c>
      <c r="E9" s="487">
        <f t="shared" ref="E9:G9" si="9">E18+E19+E21+E23+E26+E27+E29+E31+E34+SUM(E38:E40)</f>
        <v>73449</v>
      </c>
      <c r="F9" s="487">
        <f t="shared" si="9"/>
        <v>74244</v>
      </c>
      <c r="G9" s="487">
        <f t="shared" si="9"/>
        <v>74861</v>
      </c>
      <c r="H9" s="487">
        <f t="shared" ref="H9" si="10">H18+H19+H21+H23+H26+H27+H29+H31+H34+SUM(H38:H40)</f>
        <v>73832</v>
      </c>
      <c r="I9" s="487">
        <f t="shared" ref="I9:J9" si="11">I18+I19+I21+I23+I26+I27+I29+I31+I34+SUM(I38:I40)</f>
        <v>73010</v>
      </c>
      <c r="J9" s="487">
        <f t="shared" si="11"/>
        <v>70428</v>
      </c>
      <c r="K9" s="487">
        <f t="shared" ref="K9:L9" si="12">K18+K19+K21+K23+K26+K27+K29+K31+K34+SUM(K38:K40)</f>
        <v>70936</v>
      </c>
      <c r="L9" s="487">
        <f t="shared" si="12"/>
        <v>72223</v>
      </c>
      <c r="M9" s="488"/>
      <c r="N9" s="484" t="s">
        <v>1868</v>
      </c>
    </row>
    <row r="10" spans="1:14">
      <c r="D10" s="489"/>
      <c r="E10" s="489"/>
      <c r="F10" s="489"/>
      <c r="G10" s="489"/>
      <c r="H10" s="489"/>
      <c r="I10" s="489"/>
      <c r="J10" s="489"/>
      <c r="K10" s="489"/>
      <c r="L10" s="489"/>
    </row>
    <row r="11" spans="1:14">
      <c r="A11" s="484" t="s">
        <v>8697</v>
      </c>
      <c r="D11" s="487">
        <f t="shared" ref="D11:H11" si="13">D7+D9</f>
        <v>151386</v>
      </c>
      <c r="E11" s="487">
        <f t="shared" si="13"/>
        <v>152937</v>
      </c>
      <c r="F11" s="487">
        <f t="shared" si="13"/>
        <v>154468</v>
      </c>
      <c r="G11" s="487">
        <f t="shared" si="13"/>
        <v>156044</v>
      </c>
      <c r="H11" s="487">
        <f t="shared" si="13"/>
        <v>154606</v>
      </c>
      <c r="I11" s="487">
        <f t="shared" ref="I11:J11" si="14">I7+I9</f>
        <v>153139</v>
      </c>
      <c r="J11" s="487">
        <f t="shared" si="14"/>
        <v>148586</v>
      </c>
      <c r="K11" s="487">
        <f t="shared" ref="K11:L11" si="15">K7+K9</f>
        <v>149999</v>
      </c>
      <c r="L11" s="487">
        <f t="shared" si="15"/>
        <v>152843</v>
      </c>
      <c r="M11" s="488"/>
    </row>
    <row r="12" spans="1:14">
      <c r="A12" s="484"/>
      <c r="D12" s="487"/>
      <c r="E12" s="487"/>
      <c r="F12" s="487"/>
      <c r="G12" s="487"/>
      <c r="H12" s="487"/>
      <c r="I12" s="487"/>
      <c r="J12" s="487"/>
      <c r="K12" s="487"/>
      <c r="L12" s="487"/>
      <c r="M12" s="488"/>
    </row>
    <row r="13" spans="1:14">
      <c r="A13" s="484" t="s">
        <v>8698</v>
      </c>
      <c r="D13" s="487">
        <f t="shared" ref="D13:H13" si="16">MAX(D7,D9)-MIN(D7,D9)</f>
        <v>5780</v>
      </c>
      <c r="E13" s="487">
        <f t="shared" si="16"/>
        <v>6039</v>
      </c>
      <c r="F13" s="487">
        <f t="shared" si="16"/>
        <v>5980</v>
      </c>
      <c r="G13" s="487">
        <f t="shared" si="16"/>
        <v>6322</v>
      </c>
      <c r="H13" s="487">
        <f t="shared" si="16"/>
        <v>6942</v>
      </c>
      <c r="I13" s="487">
        <f t="shared" ref="I13:J13" si="17">MAX(I7,I9)-MIN(I7,I9)</f>
        <v>7119</v>
      </c>
      <c r="J13" s="487">
        <f t="shared" si="17"/>
        <v>7730</v>
      </c>
      <c r="K13" s="487">
        <f t="shared" ref="K13:L13" si="18">MAX(K7,K9)-MIN(K7,K9)</f>
        <v>8127</v>
      </c>
      <c r="L13" s="487">
        <f t="shared" si="18"/>
        <v>8397</v>
      </c>
      <c r="M13" s="488"/>
    </row>
    <row r="14" spans="1:14">
      <c r="A14" s="484"/>
      <c r="D14" s="487"/>
      <c r="E14" s="487"/>
      <c r="F14" s="487"/>
      <c r="G14" s="487"/>
      <c r="H14" s="487"/>
      <c r="I14" s="487"/>
      <c r="J14" s="487"/>
      <c r="K14" s="487"/>
      <c r="L14" s="487"/>
      <c r="M14" s="488"/>
    </row>
    <row r="15" spans="1:14">
      <c r="A15" s="484" t="s">
        <v>8701</v>
      </c>
      <c r="D15" s="487">
        <f t="shared" ref="D15:H15" si="19">STDEVP(D7,D9)</f>
        <v>2890</v>
      </c>
      <c r="E15" s="487">
        <f t="shared" si="19"/>
        <v>3019.5</v>
      </c>
      <c r="F15" s="487">
        <f t="shared" si="19"/>
        <v>2990</v>
      </c>
      <c r="G15" s="487">
        <f t="shared" si="19"/>
        <v>3161</v>
      </c>
      <c r="H15" s="487">
        <f t="shared" si="19"/>
        <v>3471</v>
      </c>
      <c r="I15" s="487">
        <f t="shared" ref="I15:J15" si="20">STDEVP(I7,I9)</f>
        <v>3559.5</v>
      </c>
      <c r="J15" s="487">
        <f t="shared" si="20"/>
        <v>3865</v>
      </c>
      <c r="K15" s="487">
        <f t="shared" ref="K15:L15" si="21">STDEVP(K7,K9)</f>
        <v>4063.5</v>
      </c>
      <c r="L15" s="487">
        <f t="shared" si="21"/>
        <v>4198.5</v>
      </c>
      <c r="M15" s="490"/>
    </row>
    <row r="17" spans="1:17">
      <c r="A17" s="484" t="s">
        <v>6957</v>
      </c>
      <c r="B17" s="484" t="s">
        <v>13163</v>
      </c>
      <c r="C17" s="4" t="s">
        <v>15556</v>
      </c>
      <c r="D17" s="487">
        <v>78583</v>
      </c>
      <c r="E17" s="487">
        <v>79488</v>
      </c>
      <c r="F17" s="487">
        <v>80224</v>
      </c>
      <c r="G17" s="30">
        <v>8764</v>
      </c>
      <c r="H17" s="30">
        <v>8738</v>
      </c>
      <c r="I17" s="30">
        <v>8756</v>
      </c>
      <c r="J17" s="30">
        <v>8634</v>
      </c>
      <c r="K17" s="30">
        <v>8713</v>
      </c>
      <c r="L17" s="30">
        <v>8697</v>
      </c>
      <c r="M17" s="488"/>
      <c r="N17" s="484" t="s">
        <v>1867</v>
      </c>
      <c r="O17" s="4"/>
      <c r="Q17" s="4"/>
    </row>
    <row r="18" spans="1:17">
      <c r="A18" s="484" t="s">
        <v>6959</v>
      </c>
      <c r="B18" s="484" t="s">
        <v>7725</v>
      </c>
      <c r="C18" s="4" t="s">
        <v>13175</v>
      </c>
      <c r="D18" s="487">
        <v>72803</v>
      </c>
      <c r="E18" s="487">
        <v>73449</v>
      </c>
      <c r="F18" s="487">
        <v>74244</v>
      </c>
      <c r="G18" s="30">
        <v>7178</v>
      </c>
      <c r="H18" s="30">
        <v>6923</v>
      </c>
      <c r="I18" s="30">
        <v>6950</v>
      </c>
      <c r="J18" s="30">
        <v>6607</v>
      </c>
      <c r="K18" s="30">
        <v>6606</v>
      </c>
      <c r="L18" s="30">
        <v>6856</v>
      </c>
      <c r="M18" s="488"/>
      <c r="N18" s="484" t="s">
        <v>1869</v>
      </c>
      <c r="O18" s="4"/>
      <c r="Q18" s="4"/>
    </row>
    <row r="19" spans="1:17">
      <c r="A19" s="484" t="s">
        <v>6961</v>
      </c>
      <c r="B19" s="484" t="s">
        <v>13164</v>
      </c>
      <c r="C19" s="4" t="s">
        <v>13176</v>
      </c>
      <c r="D19" s="487">
        <v>0</v>
      </c>
      <c r="E19" s="487">
        <v>0</v>
      </c>
      <c r="F19" s="487">
        <v>0</v>
      </c>
      <c r="G19" s="30">
        <v>4721</v>
      </c>
      <c r="H19" s="30">
        <v>4643</v>
      </c>
      <c r="I19" s="30">
        <v>4624</v>
      </c>
      <c r="J19" s="30">
        <v>4663</v>
      </c>
      <c r="K19" s="30">
        <v>5078</v>
      </c>
      <c r="L19" s="30">
        <v>5333</v>
      </c>
      <c r="M19" s="488"/>
      <c r="N19" s="484" t="s">
        <v>1869</v>
      </c>
      <c r="O19" s="4"/>
      <c r="Q19" s="4"/>
    </row>
    <row r="20" spans="1:17">
      <c r="A20" s="484" t="s">
        <v>6963</v>
      </c>
      <c r="B20" s="484" t="s">
        <v>13165</v>
      </c>
      <c r="C20" s="4" t="s">
        <v>13177</v>
      </c>
      <c r="D20" s="487">
        <v>0</v>
      </c>
      <c r="E20" s="487">
        <v>0</v>
      </c>
      <c r="F20" s="487">
        <v>0</v>
      </c>
      <c r="G20" s="30">
        <v>7187</v>
      </c>
      <c r="H20" s="30">
        <v>7132</v>
      </c>
      <c r="I20" s="30">
        <v>7081</v>
      </c>
      <c r="J20" s="30">
        <v>6800</v>
      </c>
      <c r="K20" s="30">
        <v>6859</v>
      </c>
      <c r="L20" s="30">
        <v>6827</v>
      </c>
      <c r="M20" s="488"/>
      <c r="N20" s="484" t="s">
        <v>1867</v>
      </c>
      <c r="O20" s="4"/>
      <c r="Q20" s="4"/>
    </row>
    <row r="21" spans="1:17" ht="15.75" thickBot="1">
      <c r="A21" s="484"/>
      <c r="B21" s="484"/>
      <c r="C21" s="4" t="s">
        <v>13177</v>
      </c>
      <c r="D21" s="491">
        <v>0</v>
      </c>
      <c r="E21" s="491">
        <v>0</v>
      </c>
      <c r="F21" s="491">
        <v>0</v>
      </c>
      <c r="G21" s="30">
        <v>1706</v>
      </c>
      <c r="H21" s="30">
        <v>1711</v>
      </c>
      <c r="I21" s="30">
        <v>1687</v>
      </c>
      <c r="J21" s="30">
        <v>1613</v>
      </c>
      <c r="K21" s="30">
        <v>1649</v>
      </c>
      <c r="L21" s="30">
        <v>1659</v>
      </c>
      <c r="M21" s="488"/>
      <c r="N21" s="484" t="s">
        <v>1869</v>
      </c>
      <c r="O21" s="4"/>
      <c r="Q21" s="4"/>
    </row>
    <row r="22" spans="1:17" ht="15.75" thickBot="1">
      <c r="A22" s="484"/>
      <c r="B22" s="484"/>
      <c r="C22" s="4" t="s">
        <v>13177</v>
      </c>
      <c r="D22" s="493">
        <f>D20+D21</f>
        <v>0</v>
      </c>
      <c r="E22" s="493">
        <f t="shared" ref="E22:L22" si="22">E20+E21</f>
        <v>0</v>
      </c>
      <c r="F22" s="493">
        <f t="shared" si="22"/>
        <v>0</v>
      </c>
      <c r="G22" s="493">
        <f t="shared" si="22"/>
        <v>8893</v>
      </c>
      <c r="H22" s="493">
        <f t="shared" si="22"/>
        <v>8843</v>
      </c>
      <c r="I22" s="493">
        <f t="shared" si="22"/>
        <v>8768</v>
      </c>
      <c r="J22" s="493">
        <f t="shared" si="22"/>
        <v>8413</v>
      </c>
      <c r="K22" s="493">
        <f t="shared" si="22"/>
        <v>8508</v>
      </c>
      <c r="L22" s="493">
        <f t="shared" si="22"/>
        <v>8486</v>
      </c>
      <c r="M22" s="488"/>
      <c r="N22" s="484"/>
      <c r="O22" s="4"/>
      <c r="Q22" s="4"/>
    </row>
    <row r="23" spans="1:17">
      <c r="A23" s="484" t="s">
        <v>6965</v>
      </c>
      <c r="B23" s="484" t="s">
        <v>2771</v>
      </c>
      <c r="C23" s="4" t="s">
        <v>13178</v>
      </c>
      <c r="D23" s="487">
        <v>0</v>
      </c>
      <c r="E23" s="487">
        <v>0</v>
      </c>
      <c r="F23" s="487">
        <v>0</v>
      </c>
      <c r="G23" s="30">
        <v>7222</v>
      </c>
      <c r="H23" s="30">
        <v>6889</v>
      </c>
      <c r="I23" s="30">
        <v>6740</v>
      </c>
      <c r="J23" s="30">
        <v>6430</v>
      </c>
      <c r="K23" s="30">
        <v>6525</v>
      </c>
      <c r="L23" s="30">
        <v>6689</v>
      </c>
      <c r="M23" s="488"/>
      <c r="N23" s="484" t="s">
        <v>1869</v>
      </c>
      <c r="O23" s="4"/>
      <c r="Q23" s="4"/>
    </row>
    <row r="24" spans="1:17">
      <c r="A24" s="484" t="s">
        <v>6997</v>
      </c>
      <c r="B24" s="484" t="s">
        <v>2772</v>
      </c>
      <c r="C24" s="4" t="s">
        <v>13179</v>
      </c>
      <c r="D24" s="487">
        <v>0</v>
      </c>
      <c r="E24" s="487">
        <v>0</v>
      </c>
      <c r="F24" s="487">
        <v>0</v>
      </c>
      <c r="G24" s="30">
        <v>8768</v>
      </c>
      <c r="H24" s="30">
        <v>8543</v>
      </c>
      <c r="I24" s="30">
        <v>8482</v>
      </c>
      <c r="J24" s="30">
        <v>8209</v>
      </c>
      <c r="K24" s="30">
        <v>8147</v>
      </c>
      <c r="L24" s="30">
        <v>8334</v>
      </c>
      <c r="M24" s="488"/>
      <c r="N24" s="484" t="s">
        <v>1867</v>
      </c>
      <c r="O24" s="4"/>
      <c r="Q24" s="4"/>
    </row>
    <row r="25" spans="1:17">
      <c r="A25" s="484" t="s">
        <v>6999</v>
      </c>
      <c r="B25" s="484" t="s">
        <v>2773</v>
      </c>
      <c r="C25" s="4" t="s">
        <v>15555</v>
      </c>
      <c r="D25" s="487">
        <v>0</v>
      </c>
      <c r="E25" s="487">
        <v>0</v>
      </c>
      <c r="F25" s="487">
        <v>0</v>
      </c>
      <c r="G25" s="30">
        <v>9152</v>
      </c>
      <c r="H25" s="30">
        <v>9151</v>
      </c>
      <c r="I25" s="30">
        <v>8990</v>
      </c>
      <c r="J25" s="30">
        <v>8779</v>
      </c>
      <c r="K25" s="30">
        <v>8785</v>
      </c>
      <c r="L25" s="30">
        <v>8849</v>
      </c>
      <c r="M25" s="488"/>
      <c r="N25" s="484" t="s">
        <v>1867</v>
      </c>
      <c r="O25" s="4"/>
      <c r="Q25" s="4"/>
    </row>
    <row r="26" spans="1:17">
      <c r="A26" s="484" t="s">
        <v>7001</v>
      </c>
      <c r="B26" s="484" t="s">
        <v>13166</v>
      </c>
      <c r="C26" s="4" t="s">
        <v>13180</v>
      </c>
      <c r="D26" s="487">
        <v>0</v>
      </c>
      <c r="E26" s="487">
        <v>0</v>
      </c>
      <c r="F26" s="487">
        <v>0</v>
      </c>
      <c r="G26" s="30">
        <v>8593</v>
      </c>
      <c r="H26" s="30">
        <v>8505</v>
      </c>
      <c r="I26" s="30">
        <v>8450</v>
      </c>
      <c r="J26" s="30">
        <v>8073</v>
      </c>
      <c r="K26" s="30">
        <v>7943</v>
      </c>
      <c r="L26" s="30">
        <v>7969</v>
      </c>
      <c r="M26" s="488"/>
      <c r="N26" s="484" t="s">
        <v>1869</v>
      </c>
      <c r="O26" s="4"/>
      <c r="Q26" s="4"/>
    </row>
    <row r="27" spans="1:17">
      <c r="A27" s="853">
        <v>9</v>
      </c>
      <c r="B27" s="484" t="s">
        <v>13167</v>
      </c>
      <c r="C27" s="4" t="s">
        <v>13181</v>
      </c>
      <c r="D27" s="487">
        <v>0</v>
      </c>
      <c r="E27" s="487">
        <v>0</v>
      </c>
      <c r="F27" s="487">
        <v>0</v>
      </c>
      <c r="G27" s="31">
        <v>8485</v>
      </c>
      <c r="H27" s="31">
        <v>8366</v>
      </c>
      <c r="I27" s="31">
        <v>8307</v>
      </c>
      <c r="J27" s="31">
        <v>8061</v>
      </c>
      <c r="K27" s="31">
        <v>8060</v>
      </c>
      <c r="L27" s="31">
        <v>8173</v>
      </c>
      <c r="M27" s="488"/>
      <c r="N27" s="484" t="s">
        <v>1869</v>
      </c>
      <c r="O27" s="4"/>
      <c r="Q27" s="4"/>
    </row>
    <row r="28" spans="1:17">
      <c r="A28" s="853">
        <v>10</v>
      </c>
      <c r="B28" s="484" t="s">
        <v>13168</v>
      </c>
      <c r="C28" s="4" t="s">
        <v>13182</v>
      </c>
      <c r="D28" s="487">
        <v>0</v>
      </c>
      <c r="E28" s="487">
        <v>0</v>
      </c>
      <c r="F28" s="487">
        <v>0</v>
      </c>
      <c r="G28" s="30">
        <v>3793</v>
      </c>
      <c r="H28" s="30">
        <v>3716</v>
      </c>
      <c r="I28" s="30">
        <v>3703</v>
      </c>
      <c r="J28" s="30">
        <v>3517</v>
      </c>
      <c r="K28" s="30">
        <v>3517</v>
      </c>
      <c r="L28" s="30">
        <v>3640</v>
      </c>
      <c r="M28" s="488"/>
      <c r="N28" s="484" t="s">
        <v>1867</v>
      </c>
      <c r="O28" s="4"/>
      <c r="Q28" s="4"/>
    </row>
    <row r="29" spans="1:17" ht="15.75" thickBot="1">
      <c r="A29" s="853"/>
      <c r="B29" s="484"/>
      <c r="C29" s="4" t="s">
        <v>13182</v>
      </c>
      <c r="D29" s="491">
        <v>0</v>
      </c>
      <c r="E29" s="491">
        <v>0</v>
      </c>
      <c r="F29" s="491">
        <v>0</v>
      </c>
      <c r="G29" s="31">
        <v>3325</v>
      </c>
      <c r="H29" s="31">
        <v>3257</v>
      </c>
      <c r="I29" s="31">
        <v>3205</v>
      </c>
      <c r="J29" s="31">
        <v>3131</v>
      </c>
      <c r="K29" s="31">
        <v>3055</v>
      </c>
      <c r="L29" s="31">
        <v>3112</v>
      </c>
      <c r="M29" s="488"/>
      <c r="N29" s="484" t="s">
        <v>1869</v>
      </c>
      <c r="O29" s="4"/>
      <c r="Q29" s="4"/>
    </row>
    <row r="30" spans="1:17" ht="15.75" thickBot="1">
      <c r="A30" s="853"/>
      <c r="B30" s="484"/>
      <c r="C30" s="4" t="s">
        <v>13182</v>
      </c>
      <c r="D30" s="493">
        <f>D28+D29</f>
        <v>0</v>
      </c>
      <c r="E30" s="493">
        <f t="shared" ref="E30" si="23">E28+E29</f>
        <v>0</v>
      </c>
      <c r="F30" s="493">
        <f t="shared" ref="F30" si="24">F28+F29</f>
        <v>0</v>
      </c>
      <c r="G30" s="493">
        <f t="shared" ref="G30:L30" si="25">G28+G29</f>
        <v>7118</v>
      </c>
      <c r="H30" s="493">
        <f t="shared" si="25"/>
        <v>6973</v>
      </c>
      <c r="I30" s="493">
        <f t="shared" si="25"/>
        <v>6908</v>
      </c>
      <c r="J30" s="493">
        <f t="shared" si="25"/>
        <v>6648</v>
      </c>
      <c r="K30" s="493">
        <f t="shared" si="25"/>
        <v>6572</v>
      </c>
      <c r="L30" s="493">
        <f t="shared" si="25"/>
        <v>6752</v>
      </c>
      <c r="M30" s="488"/>
      <c r="N30" s="484"/>
      <c r="O30" s="4"/>
      <c r="Q30" s="4"/>
    </row>
    <row r="31" spans="1:17">
      <c r="A31" s="853">
        <v>11</v>
      </c>
      <c r="B31" s="484" t="s">
        <v>3707</v>
      </c>
      <c r="C31" s="4" t="s">
        <v>13183</v>
      </c>
      <c r="D31" s="487">
        <v>0</v>
      </c>
      <c r="E31" s="487">
        <v>0</v>
      </c>
      <c r="F31" s="487">
        <v>0</v>
      </c>
      <c r="G31" s="31">
        <v>7449</v>
      </c>
      <c r="H31" s="31">
        <v>7610</v>
      </c>
      <c r="I31" s="31">
        <v>7439</v>
      </c>
      <c r="J31" s="31">
        <v>7248</v>
      </c>
      <c r="K31" s="31">
        <v>7451</v>
      </c>
      <c r="L31" s="31">
        <v>7518</v>
      </c>
      <c r="M31" s="488"/>
      <c r="N31" s="484" t="s">
        <v>1869</v>
      </c>
      <c r="O31" s="4"/>
      <c r="Q31" s="4"/>
    </row>
    <row r="32" spans="1:17">
      <c r="A32" s="853">
        <v>12</v>
      </c>
      <c r="B32" s="484" t="s">
        <v>13169</v>
      </c>
      <c r="C32" s="4" t="s">
        <v>15557</v>
      </c>
      <c r="D32" s="487">
        <v>0</v>
      </c>
      <c r="E32" s="487">
        <v>0</v>
      </c>
      <c r="F32" s="487">
        <v>0</v>
      </c>
      <c r="G32" s="30">
        <v>9251</v>
      </c>
      <c r="H32" s="30">
        <v>9354</v>
      </c>
      <c r="I32" s="30">
        <v>9305</v>
      </c>
      <c r="J32" s="30">
        <v>9100</v>
      </c>
      <c r="K32" s="30">
        <v>8992</v>
      </c>
      <c r="L32" s="30">
        <v>9194</v>
      </c>
      <c r="M32" s="488"/>
      <c r="N32" s="484" t="s">
        <v>1867</v>
      </c>
      <c r="O32" s="4"/>
      <c r="Q32" s="4"/>
    </row>
    <row r="33" spans="1:17">
      <c r="A33" s="484" t="s">
        <v>7011</v>
      </c>
      <c r="B33" s="484" t="s">
        <v>13170</v>
      </c>
      <c r="C33" s="4" t="s">
        <v>13184</v>
      </c>
      <c r="D33" s="487">
        <v>0</v>
      </c>
      <c r="E33" s="487">
        <v>0</v>
      </c>
      <c r="F33" s="487">
        <v>0</v>
      </c>
      <c r="G33" s="30">
        <v>8499</v>
      </c>
      <c r="H33" s="30">
        <v>8376</v>
      </c>
      <c r="I33" s="30">
        <v>8270</v>
      </c>
      <c r="J33" s="30">
        <v>7986</v>
      </c>
      <c r="K33" s="30">
        <v>8052</v>
      </c>
      <c r="L33" s="30">
        <v>8211</v>
      </c>
      <c r="M33" s="488"/>
      <c r="N33" s="484" t="s">
        <v>1867</v>
      </c>
      <c r="O33" s="4"/>
      <c r="Q33" s="4"/>
    </row>
    <row r="34" spans="1:17">
      <c r="A34" s="484" t="s">
        <v>7013</v>
      </c>
      <c r="B34" s="484" t="s">
        <v>8438</v>
      </c>
      <c r="C34" s="4" t="s">
        <v>13185</v>
      </c>
      <c r="D34" s="487">
        <v>0</v>
      </c>
      <c r="E34" s="487">
        <v>0</v>
      </c>
      <c r="F34" s="487">
        <v>0</v>
      </c>
      <c r="G34" s="31">
        <v>2559</v>
      </c>
      <c r="H34" s="31">
        <v>2585</v>
      </c>
      <c r="I34" s="31">
        <v>2557</v>
      </c>
      <c r="J34" s="31">
        <v>2484</v>
      </c>
      <c r="K34" s="31">
        <v>2547</v>
      </c>
      <c r="L34" s="31">
        <v>2562</v>
      </c>
      <c r="M34" s="488"/>
      <c r="N34" s="484" t="s">
        <v>1869</v>
      </c>
      <c r="O34" s="4"/>
      <c r="Q34" s="4"/>
    </row>
    <row r="35" spans="1:17">
      <c r="A35" s="484" t="s">
        <v>7015</v>
      </c>
      <c r="B35" s="484" t="s">
        <v>13171</v>
      </c>
      <c r="C35" s="4" t="s">
        <v>13186</v>
      </c>
      <c r="D35" s="487">
        <v>0</v>
      </c>
      <c r="E35" s="487">
        <v>0</v>
      </c>
      <c r="F35" s="487">
        <v>0</v>
      </c>
      <c r="G35" s="30">
        <v>8924</v>
      </c>
      <c r="H35" s="30">
        <v>8879</v>
      </c>
      <c r="I35" s="30">
        <v>8886</v>
      </c>
      <c r="J35" s="30">
        <v>8678</v>
      </c>
      <c r="K35" s="30">
        <v>8654</v>
      </c>
      <c r="L35" s="30">
        <v>8774</v>
      </c>
      <c r="M35" s="488"/>
      <c r="N35" s="484" t="s">
        <v>1867</v>
      </c>
      <c r="O35" s="4"/>
      <c r="Q35" s="4"/>
    </row>
    <row r="36" spans="1:17">
      <c r="A36" s="853">
        <v>16</v>
      </c>
      <c r="B36" s="484" t="s">
        <v>6139</v>
      </c>
      <c r="C36" s="4" t="s">
        <v>13187</v>
      </c>
      <c r="D36" s="487">
        <v>0</v>
      </c>
      <c r="E36" s="487">
        <v>0</v>
      </c>
      <c r="F36" s="487">
        <v>0</v>
      </c>
      <c r="G36" s="30">
        <v>7596</v>
      </c>
      <c r="H36" s="30">
        <v>7636</v>
      </c>
      <c r="I36" s="30">
        <v>7578</v>
      </c>
      <c r="J36" s="31">
        <v>7613</v>
      </c>
      <c r="K36" s="30">
        <v>8286</v>
      </c>
      <c r="L36" s="30">
        <v>9005</v>
      </c>
      <c r="M36" s="488"/>
      <c r="N36" s="484" t="s">
        <v>1867</v>
      </c>
      <c r="O36" s="4"/>
      <c r="Q36" s="4"/>
    </row>
    <row r="37" spans="1:17">
      <c r="A37" s="853">
        <v>17</v>
      </c>
      <c r="B37" s="484" t="s">
        <v>13172</v>
      </c>
      <c r="C37" s="4" t="s">
        <v>13188</v>
      </c>
      <c r="D37" s="487">
        <v>0</v>
      </c>
      <c r="E37" s="487">
        <v>0</v>
      </c>
      <c r="F37" s="487">
        <v>0</v>
      </c>
      <c r="G37" s="30">
        <v>9249</v>
      </c>
      <c r="H37" s="30">
        <v>9249</v>
      </c>
      <c r="I37" s="30">
        <v>9078</v>
      </c>
      <c r="J37" s="30">
        <v>8842</v>
      </c>
      <c r="K37" s="30">
        <v>9058</v>
      </c>
      <c r="L37" s="30">
        <v>9089</v>
      </c>
      <c r="M37" s="488"/>
      <c r="N37" s="484" t="s">
        <v>1867</v>
      </c>
      <c r="O37" s="4"/>
      <c r="Q37" s="4"/>
    </row>
    <row r="38" spans="1:17">
      <c r="A38" s="853">
        <v>18</v>
      </c>
      <c r="B38" s="484" t="s">
        <v>5597</v>
      </c>
      <c r="C38" s="4" t="s">
        <v>13189</v>
      </c>
      <c r="D38" s="487">
        <v>0</v>
      </c>
      <c r="E38" s="487">
        <v>0</v>
      </c>
      <c r="F38" s="487">
        <v>0</v>
      </c>
      <c r="G38" s="31">
        <v>8294</v>
      </c>
      <c r="H38" s="31">
        <v>8210</v>
      </c>
      <c r="I38" s="31">
        <v>8092</v>
      </c>
      <c r="J38" s="30">
        <v>7799</v>
      </c>
      <c r="K38" s="31">
        <v>7732</v>
      </c>
      <c r="L38" s="31">
        <v>7831</v>
      </c>
      <c r="M38" s="488"/>
      <c r="N38" s="484" t="s">
        <v>1869</v>
      </c>
      <c r="O38" s="4"/>
      <c r="Q38" s="4"/>
    </row>
    <row r="39" spans="1:17">
      <c r="A39" s="853">
        <v>19</v>
      </c>
      <c r="B39" s="484" t="s">
        <v>13173</v>
      </c>
      <c r="C39" s="4" t="s">
        <v>13190</v>
      </c>
      <c r="D39" s="487">
        <v>0</v>
      </c>
      <c r="E39" s="487">
        <v>0</v>
      </c>
      <c r="F39" s="487">
        <v>0</v>
      </c>
      <c r="G39" s="31">
        <v>8902</v>
      </c>
      <c r="H39" s="31">
        <v>8746</v>
      </c>
      <c r="I39" s="31">
        <v>8689</v>
      </c>
      <c r="J39" s="31">
        <v>8250</v>
      </c>
      <c r="K39" s="31">
        <v>8156</v>
      </c>
      <c r="L39" s="31">
        <v>8319</v>
      </c>
      <c r="M39" s="488"/>
      <c r="N39" s="484" t="s">
        <v>1869</v>
      </c>
      <c r="O39" s="4"/>
      <c r="Q39" s="4"/>
    </row>
    <row r="40" spans="1:17">
      <c r="A40" s="853">
        <v>20</v>
      </c>
      <c r="B40" s="484" t="s">
        <v>13174</v>
      </c>
      <c r="C40" s="4" t="s">
        <v>13191</v>
      </c>
      <c r="D40" s="487">
        <v>0</v>
      </c>
      <c r="E40" s="487">
        <v>0</v>
      </c>
      <c r="F40" s="487">
        <v>0</v>
      </c>
      <c r="G40" s="31">
        <v>6427</v>
      </c>
      <c r="H40" s="31">
        <v>6387</v>
      </c>
      <c r="I40" s="31">
        <v>6270</v>
      </c>
      <c r="J40" s="31">
        <v>6069</v>
      </c>
      <c r="K40" s="31">
        <v>6134</v>
      </c>
      <c r="L40" s="31">
        <v>6202</v>
      </c>
      <c r="M40" s="488"/>
      <c r="N40" s="484" t="s">
        <v>1869</v>
      </c>
      <c r="O40" s="4"/>
      <c r="Q40" s="4"/>
    </row>
    <row r="41" spans="1:17">
      <c r="D41" s="487"/>
      <c r="E41" s="487"/>
      <c r="F41" s="487"/>
      <c r="G41" s="487"/>
      <c r="H41" s="487"/>
      <c r="I41" s="487"/>
      <c r="J41" s="487"/>
      <c r="K41" s="487"/>
      <c r="L41" s="487"/>
    </row>
    <row r="42" spans="1:17">
      <c r="A42" s="484" t="s">
        <v>15558</v>
      </c>
    </row>
    <row r="43" spans="1:17">
      <c r="A43" s="484" t="s">
        <v>15559</v>
      </c>
    </row>
    <row r="44" spans="1:17">
      <c r="A44" s="484"/>
    </row>
    <row r="45" spans="1:17">
      <c r="D45" s="42"/>
      <c r="E45" s="42"/>
      <c r="F45" s="42"/>
      <c r="G45" s="42"/>
      <c r="H45" s="42"/>
      <c r="I45" s="42"/>
      <c r="J45" s="42"/>
      <c r="K45" s="42"/>
      <c r="L45" s="42"/>
      <c r="M45" s="43"/>
      <c r="N45" s="43"/>
    </row>
  </sheetData>
  <phoneticPr fontId="7" type="noConversion"/>
  <printOptions gridLinesSet="0"/>
  <pageMargins left="0.51181102362204722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&amp;C&amp;8&amp;P of &amp;N</oddFooter>
  </headerFooter>
  <ignoredErrors>
    <ignoredError sqref="D4 E4 F4 D22:G22 D30:G30 D10:D15 E10:E15 F10:F15 D8 D7:F7 D9:F9 E8:F8 D3:F3 G3:G4 D5:D6 E5:E6 F5:F6 G5:G15 H4 H22:H30 H5:H15 I22:K22 I30:K30 I4:I15 J3:J15 K3:K15 L3:L30" unlockedFormula="1"/>
    <ignoredError sqref="H3:I3" formula="1" unlocked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0"/>
  <sheetViews>
    <sheetView showGridLines="0" zoomScaleNormal="100" workbookViewId="0"/>
  </sheetViews>
  <sheetFormatPr defaultColWidth="12.5703125" defaultRowHeight="15"/>
  <cols>
    <col min="1" max="1" width="4.85546875" style="635" customWidth="1"/>
    <col min="2" max="2" width="40.7109375" style="635" customWidth="1"/>
    <col min="3" max="3" width="11.5703125" style="635" customWidth="1"/>
    <col min="4" max="12" width="10" style="635" customWidth="1"/>
    <col min="13" max="13" width="2.28515625" style="635" customWidth="1"/>
    <col min="14" max="14" width="33" style="635" customWidth="1"/>
    <col min="15" max="15" width="12.5703125" style="635"/>
    <col min="16" max="16" width="24" style="635" bestFit="1" customWidth="1"/>
    <col min="17" max="16384" width="12.5703125" style="635"/>
  </cols>
  <sheetData>
    <row r="1" spans="1:14">
      <c r="A1" s="634" t="s">
        <v>7342</v>
      </c>
      <c r="D1" s="636">
        <v>2010</v>
      </c>
      <c r="E1" s="636">
        <v>2011</v>
      </c>
      <c r="F1" s="636">
        <v>2012</v>
      </c>
      <c r="G1" s="636">
        <v>2013</v>
      </c>
      <c r="H1" s="636">
        <v>2014</v>
      </c>
      <c r="I1" s="636">
        <v>2015</v>
      </c>
      <c r="J1" s="636">
        <v>2016</v>
      </c>
      <c r="K1" s="636">
        <v>2017</v>
      </c>
      <c r="L1" s="636">
        <v>2018</v>
      </c>
    </row>
    <row r="3" spans="1:14">
      <c r="A3" s="634" t="s">
        <v>5529</v>
      </c>
      <c r="D3" s="637">
        <f t="shared" ref="D3:H3" si="0">SUM(D17:D37)</f>
        <v>147152</v>
      </c>
      <c r="E3" s="637">
        <f t="shared" si="0"/>
        <v>154500</v>
      </c>
      <c r="F3" s="637">
        <f t="shared" si="0"/>
        <v>155182</v>
      </c>
      <c r="G3" s="637">
        <f t="shared" si="0"/>
        <v>145170</v>
      </c>
      <c r="H3" s="637">
        <f t="shared" si="0"/>
        <v>157521</v>
      </c>
      <c r="I3" s="637">
        <f>SUM(I17:I37)</f>
        <v>153335</v>
      </c>
      <c r="J3" s="637">
        <f>SUM(J17:J37)</f>
        <v>151151</v>
      </c>
      <c r="K3" s="637">
        <f>SUM(K17:K37)</f>
        <v>151383</v>
      </c>
      <c r="L3" s="637">
        <f>SUM(L17:L37)</f>
        <v>167267</v>
      </c>
    </row>
    <row r="5" spans="1:14">
      <c r="A5" s="634" t="s">
        <v>7343</v>
      </c>
      <c r="D5" s="637">
        <f t="shared" ref="D5:I5" si="1">D3/2</f>
        <v>73576</v>
      </c>
      <c r="E5" s="637">
        <f t="shared" si="1"/>
        <v>77250</v>
      </c>
      <c r="F5" s="637">
        <f t="shared" si="1"/>
        <v>77591</v>
      </c>
      <c r="G5" s="637">
        <f t="shared" si="1"/>
        <v>72585</v>
      </c>
      <c r="H5" s="637">
        <f t="shared" si="1"/>
        <v>78760.5</v>
      </c>
      <c r="I5" s="637">
        <f t="shared" si="1"/>
        <v>76667.5</v>
      </c>
      <c r="J5" s="637">
        <f t="shared" ref="J5:K5" si="2">J3/2</f>
        <v>75575.5</v>
      </c>
      <c r="K5" s="637">
        <f t="shared" si="2"/>
        <v>75691.5</v>
      </c>
      <c r="L5" s="637">
        <f t="shared" ref="L5" si="3">L3/2</f>
        <v>83633.5</v>
      </c>
    </row>
    <row r="6" spans="1:14">
      <c r="D6" s="638"/>
      <c r="E6" s="638"/>
      <c r="F6" s="638"/>
      <c r="G6" s="638"/>
      <c r="H6" s="638"/>
      <c r="I6" s="638"/>
      <c r="J6" s="638"/>
      <c r="K6" s="638"/>
      <c r="L6" s="638"/>
    </row>
    <row r="7" spans="1:14">
      <c r="A7" s="634" t="s">
        <v>8231</v>
      </c>
      <c r="D7" s="637">
        <f t="shared" ref="D7:H7" si="4">D17+D19+D20+D29+D31+SUM(D33:D36)</f>
        <v>76272</v>
      </c>
      <c r="E7" s="637">
        <f t="shared" si="4"/>
        <v>79581</v>
      </c>
      <c r="F7" s="637">
        <f t="shared" si="4"/>
        <v>79121</v>
      </c>
      <c r="G7" s="637">
        <f t="shared" si="4"/>
        <v>73224</v>
      </c>
      <c r="H7" s="637">
        <f t="shared" si="4"/>
        <v>79658</v>
      </c>
      <c r="I7" s="637">
        <f>I17+I19+I20+I29+I31+SUM(I33:I36)</f>
        <v>75914</v>
      </c>
      <c r="J7" s="637">
        <f>J17+J19+J20+J31+J29+SUM(J33:J36)</f>
        <v>75002</v>
      </c>
      <c r="K7" s="637">
        <f>K17+K19+K20+K31+K29+SUM(K33:K36)</f>
        <v>75088</v>
      </c>
      <c r="L7" s="637">
        <f>L17+L19+L20+L31+L29+SUM(L33:L36)</f>
        <v>82056</v>
      </c>
      <c r="N7" s="634" t="s">
        <v>8232</v>
      </c>
    </row>
    <row r="8" spans="1:14">
      <c r="D8" s="638"/>
      <c r="E8" s="638"/>
      <c r="F8" s="638"/>
      <c r="G8" s="638"/>
      <c r="H8" s="638"/>
      <c r="I8" s="638"/>
      <c r="J8" s="638"/>
      <c r="K8" s="638"/>
      <c r="L8" s="638"/>
    </row>
    <row r="9" spans="1:14" ht="16.5" customHeight="1">
      <c r="A9" s="634" t="s">
        <v>6720</v>
      </c>
      <c r="D9" s="639">
        <f t="shared" ref="D9:H9" si="5">D18+SUM(D21:D28)+D30+D32+D37</f>
        <v>70880</v>
      </c>
      <c r="E9" s="639">
        <f t="shared" si="5"/>
        <v>74919</v>
      </c>
      <c r="F9" s="639">
        <f t="shared" si="5"/>
        <v>76061</v>
      </c>
      <c r="G9" s="639">
        <f t="shared" si="5"/>
        <v>71946</v>
      </c>
      <c r="H9" s="639">
        <f t="shared" si="5"/>
        <v>77863</v>
      </c>
      <c r="I9" s="639">
        <f>I18+SUM(I21:I28)+I30+I32+I37</f>
        <v>77421</v>
      </c>
      <c r="J9" s="639">
        <f>J18+SUM(J21:J28)+J32+J30+J37</f>
        <v>76149</v>
      </c>
      <c r="K9" s="639">
        <f>K18+SUM(K21:K28)+K32+K30+K37</f>
        <v>76295</v>
      </c>
      <c r="L9" s="639">
        <f>L18+SUM(L21:L28)+L32+L30+L37</f>
        <v>85211</v>
      </c>
      <c r="N9" s="634" t="s">
        <v>8232</v>
      </c>
    </row>
    <row r="10" spans="1:14">
      <c r="D10" s="638"/>
      <c r="E10" s="638"/>
      <c r="F10" s="638"/>
      <c r="G10" s="638"/>
      <c r="H10" s="638"/>
      <c r="I10" s="638"/>
      <c r="J10" s="638"/>
      <c r="K10" s="638"/>
      <c r="L10" s="638"/>
    </row>
    <row r="11" spans="1:14">
      <c r="A11" s="634" t="s">
        <v>8697</v>
      </c>
      <c r="D11" s="637">
        <f t="shared" ref="D11:I11" si="6">D7+D9</f>
        <v>147152</v>
      </c>
      <c r="E11" s="637">
        <f t="shared" si="6"/>
        <v>154500</v>
      </c>
      <c r="F11" s="637">
        <f t="shared" si="6"/>
        <v>155182</v>
      </c>
      <c r="G11" s="637">
        <f t="shared" si="6"/>
        <v>145170</v>
      </c>
      <c r="H11" s="637">
        <f t="shared" si="6"/>
        <v>157521</v>
      </c>
      <c r="I11" s="637">
        <f t="shared" si="6"/>
        <v>153335</v>
      </c>
      <c r="J11" s="637">
        <f t="shared" ref="J11:K11" si="7">J7+J9</f>
        <v>151151</v>
      </c>
      <c r="K11" s="637">
        <f t="shared" si="7"/>
        <v>151383</v>
      </c>
      <c r="L11" s="637">
        <f t="shared" ref="L11" si="8">L7+L9</f>
        <v>167267</v>
      </c>
    </row>
    <row r="12" spans="1:14">
      <c r="D12" s="638"/>
      <c r="E12" s="638"/>
      <c r="F12" s="638"/>
      <c r="G12" s="638"/>
      <c r="H12" s="638"/>
      <c r="I12" s="638"/>
      <c r="J12" s="638"/>
      <c r="K12" s="638"/>
      <c r="L12" s="638"/>
    </row>
    <row r="13" spans="1:14">
      <c r="A13" s="634" t="s">
        <v>8698</v>
      </c>
      <c r="D13" s="637">
        <f t="shared" ref="D13:I13" si="9">MAX(D7,D9)-MIN(D7,D9)</f>
        <v>5392</v>
      </c>
      <c r="E13" s="637">
        <f t="shared" si="9"/>
        <v>4662</v>
      </c>
      <c r="F13" s="637">
        <f t="shared" si="9"/>
        <v>3060</v>
      </c>
      <c r="G13" s="637">
        <f t="shared" si="9"/>
        <v>1278</v>
      </c>
      <c r="H13" s="637">
        <f t="shared" si="9"/>
        <v>1795</v>
      </c>
      <c r="I13" s="637">
        <f t="shared" si="9"/>
        <v>1507</v>
      </c>
      <c r="J13" s="637">
        <f t="shared" ref="J13:K13" si="10">MAX(J7,J9)-MIN(J7,J9)</f>
        <v>1147</v>
      </c>
      <c r="K13" s="637">
        <f t="shared" si="10"/>
        <v>1207</v>
      </c>
      <c r="L13" s="637">
        <f t="shared" ref="L13" si="11">MAX(L7,L9)-MIN(L7,L9)</f>
        <v>3155</v>
      </c>
    </row>
    <row r="14" spans="1:14">
      <c r="D14" s="638"/>
      <c r="E14" s="638"/>
      <c r="F14" s="638"/>
      <c r="G14" s="638"/>
      <c r="H14" s="638"/>
      <c r="I14" s="638"/>
      <c r="J14" s="638"/>
      <c r="K14" s="638"/>
      <c r="L14" s="638"/>
    </row>
    <row r="15" spans="1:14">
      <c r="A15" s="640" t="s">
        <v>8701</v>
      </c>
      <c r="D15" s="637">
        <f t="shared" ref="D15:I15" si="12">STDEVP(D7,D9)</f>
        <v>2696</v>
      </c>
      <c r="E15" s="637">
        <f t="shared" si="12"/>
        <v>2331</v>
      </c>
      <c r="F15" s="637">
        <f t="shared" si="12"/>
        <v>1530</v>
      </c>
      <c r="G15" s="637">
        <f t="shared" si="12"/>
        <v>639</v>
      </c>
      <c r="H15" s="637">
        <f t="shared" si="12"/>
        <v>897.5</v>
      </c>
      <c r="I15" s="637">
        <f t="shared" si="12"/>
        <v>753.5</v>
      </c>
      <c r="J15" s="637">
        <f t="shared" ref="J15:K15" si="13">STDEVP(J7,J9)</f>
        <v>573.5</v>
      </c>
      <c r="K15" s="637">
        <f t="shared" si="13"/>
        <v>603.5</v>
      </c>
      <c r="L15" s="637">
        <f t="shared" ref="L15" si="14">STDEVP(L7,L9)</f>
        <v>1577.5</v>
      </c>
    </row>
    <row r="16" spans="1:14">
      <c r="D16" s="638"/>
      <c r="E16" s="638"/>
      <c r="F16" s="638"/>
      <c r="G16" s="638"/>
      <c r="H16" s="638"/>
      <c r="I16" s="638"/>
      <c r="J16" s="638"/>
      <c r="K16" s="638"/>
      <c r="L16" s="638"/>
    </row>
    <row r="17" spans="1:18">
      <c r="A17" s="634" t="s">
        <v>6957</v>
      </c>
      <c r="B17" s="634" t="s">
        <v>13699</v>
      </c>
      <c r="C17" s="72" t="s">
        <v>13711</v>
      </c>
      <c r="D17" s="641">
        <v>76272</v>
      </c>
      <c r="E17" s="641">
        <v>79581</v>
      </c>
      <c r="F17" s="641">
        <v>79121</v>
      </c>
      <c r="G17" s="641">
        <v>73224</v>
      </c>
      <c r="H17" s="30">
        <v>79658</v>
      </c>
      <c r="I17" s="30">
        <v>11120</v>
      </c>
      <c r="J17" s="30">
        <v>11043</v>
      </c>
      <c r="K17" s="30">
        <v>11053</v>
      </c>
      <c r="L17" s="30">
        <v>12227</v>
      </c>
      <c r="N17" s="634" t="s">
        <v>8231</v>
      </c>
      <c r="P17" s="72"/>
      <c r="R17" s="4"/>
    </row>
    <row r="18" spans="1:18">
      <c r="A18" s="634" t="s">
        <v>6959</v>
      </c>
      <c r="B18" s="634" t="s">
        <v>13700</v>
      </c>
      <c r="C18" s="72" t="s">
        <v>13712</v>
      </c>
      <c r="D18" s="641">
        <v>70880</v>
      </c>
      <c r="E18" s="641">
        <v>74919</v>
      </c>
      <c r="F18" s="641">
        <v>76061</v>
      </c>
      <c r="G18" s="641">
        <v>71946</v>
      </c>
      <c r="H18" s="30">
        <v>77863</v>
      </c>
      <c r="I18" s="30">
        <v>7599</v>
      </c>
      <c r="J18" s="30">
        <v>7284</v>
      </c>
      <c r="K18" s="30">
        <v>7297</v>
      </c>
      <c r="L18" s="30">
        <v>9304</v>
      </c>
      <c r="N18" s="634" t="s">
        <v>6720</v>
      </c>
      <c r="P18" s="72"/>
      <c r="R18" s="4"/>
    </row>
    <row r="19" spans="1:18">
      <c r="A19" s="634" t="s">
        <v>6961</v>
      </c>
      <c r="B19" s="634" t="s">
        <v>1595</v>
      </c>
      <c r="C19" s="72" t="s">
        <v>13713</v>
      </c>
      <c r="D19" s="641">
        <v>0</v>
      </c>
      <c r="E19" s="641">
        <v>0</v>
      </c>
      <c r="F19" s="641">
        <v>0</v>
      </c>
      <c r="G19" s="641">
        <v>0</v>
      </c>
      <c r="H19" s="641">
        <v>0</v>
      </c>
      <c r="I19" s="30">
        <v>9812</v>
      </c>
      <c r="J19" s="30">
        <v>10427</v>
      </c>
      <c r="K19" s="30">
        <v>10434</v>
      </c>
      <c r="L19" s="30">
        <v>11297</v>
      </c>
      <c r="N19" s="634" t="s">
        <v>8231</v>
      </c>
      <c r="P19" s="72"/>
      <c r="R19" s="4"/>
    </row>
    <row r="20" spans="1:18">
      <c r="A20" s="634" t="s">
        <v>6963</v>
      </c>
      <c r="B20" s="634" t="s">
        <v>1596</v>
      </c>
      <c r="C20" s="72" t="s">
        <v>13714</v>
      </c>
      <c r="D20" s="641">
        <v>0</v>
      </c>
      <c r="E20" s="641">
        <v>0</v>
      </c>
      <c r="F20" s="641">
        <v>0</v>
      </c>
      <c r="G20" s="641">
        <v>0</v>
      </c>
      <c r="H20" s="641">
        <v>0</v>
      </c>
      <c r="I20" s="30">
        <v>8105</v>
      </c>
      <c r="J20" s="30">
        <v>7850</v>
      </c>
      <c r="K20" s="30">
        <v>7856</v>
      </c>
      <c r="L20" s="30">
        <v>8449</v>
      </c>
      <c r="N20" s="634" t="s">
        <v>8231</v>
      </c>
      <c r="P20" s="72"/>
      <c r="R20" s="4"/>
    </row>
    <row r="21" spans="1:18">
      <c r="A21" s="634" t="s">
        <v>6965</v>
      </c>
      <c r="B21" s="634" t="s">
        <v>13701</v>
      </c>
      <c r="C21" s="72" t="s">
        <v>13715</v>
      </c>
      <c r="D21" s="641">
        <v>0</v>
      </c>
      <c r="E21" s="641">
        <v>0</v>
      </c>
      <c r="F21" s="641">
        <v>0</v>
      </c>
      <c r="G21" s="641">
        <v>0</v>
      </c>
      <c r="H21" s="641">
        <v>0</v>
      </c>
      <c r="I21" s="30">
        <v>5992</v>
      </c>
      <c r="J21" s="30">
        <v>5980</v>
      </c>
      <c r="K21" s="30">
        <v>5981</v>
      </c>
      <c r="L21" s="30">
        <v>6585</v>
      </c>
      <c r="N21" s="634" t="s">
        <v>6720</v>
      </c>
      <c r="P21" s="72"/>
      <c r="R21" s="4"/>
    </row>
    <row r="22" spans="1:18">
      <c r="A22" s="634" t="s">
        <v>6997</v>
      </c>
      <c r="B22" s="634" t="s">
        <v>13702</v>
      </c>
      <c r="C22" s="72" t="s">
        <v>13716</v>
      </c>
      <c r="D22" s="641">
        <v>0</v>
      </c>
      <c r="E22" s="641">
        <v>0</v>
      </c>
      <c r="F22" s="641">
        <v>0</v>
      </c>
      <c r="G22" s="641">
        <v>0</v>
      </c>
      <c r="H22" s="641">
        <v>0</v>
      </c>
      <c r="I22" s="30">
        <v>6515</v>
      </c>
      <c r="J22" s="30">
        <v>6532</v>
      </c>
      <c r="K22" s="30">
        <v>6533</v>
      </c>
      <c r="L22" s="30">
        <v>7366</v>
      </c>
      <c r="N22" s="634" t="s">
        <v>6720</v>
      </c>
      <c r="P22" s="72"/>
      <c r="R22" s="4"/>
    </row>
    <row r="23" spans="1:18">
      <c r="A23" s="634" t="s">
        <v>6999</v>
      </c>
      <c r="B23" s="634" t="s">
        <v>13703</v>
      </c>
      <c r="C23" s="72" t="s">
        <v>13717</v>
      </c>
      <c r="D23" s="641">
        <v>0</v>
      </c>
      <c r="E23" s="641">
        <v>0</v>
      </c>
      <c r="F23" s="641">
        <v>0</v>
      </c>
      <c r="G23" s="641">
        <v>0</v>
      </c>
      <c r="H23" s="641">
        <v>0</v>
      </c>
      <c r="I23" s="30">
        <v>6636</v>
      </c>
      <c r="J23" s="30">
        <v>6517</v>
      </c>
      <c r="K23" s="30">
        <v>6536</v>
      </c>
      <c r="L23" s="30">
        <v>7541</v>
      </c>
      <c r="N23" s="634" t="s">
        <v>6720</v>
      </c>
      <c r="P23" s="72"/>
      <c r="R23" s="4"/>
    </row>
    <row r="24" spans="1:18">
      <c r="A24" s="634" t="s">
        <v>7001</v>
      </c>
      <c r="B24" s="634" t="s">
        <v>13704</v>
      </c>
      <c r="C24" s="72" t="s">
        <v>13718</v>
      </c>
      <c r="D24" s="641">
        <v>0</v>
      </c>
      <c r="E24" s="641">
        <v>0</v>
      </c>
      <c r="F24" s="641">
        <v>0</v>
      </c>
      <c r="G24" s="641">
        <v>0</v>
      </c>
      <c r="H24" s="641">
        <v>0</v>
      </c>
      <c r="I24" s="30">
        <v>7368</v>
      </c>
      <c r="J24" s="30">
        <v>7220</v>
      </c>
      <c r="K24" s="30">
        <v>7251</v>
      </c>
      <c r="L24" s="30">
        <v>7891</v>
      </c>
      <c r="N24" s="634" t="s">
        <v>6720</v>
      </c>
      <c r="P24" s="72"/>
      <c r="R24" s="4"/>
    </row>
    <row r="25" spans="1:18">
      <c r="A25" s="634" t="s">
        <v>7003</v>
      </c>
      <c r="B25" s="634" t="s">
        <v>13705</v>
      </c>
      <c r="C25" s="72" t="s">
        <v>13719</v>
      </c>
      <c r="D25" s="641">
        <v>0</v>
      </c>
      <c r="E25" s="641">
        <v>0</v>
      </c>
      <c r="F25" s="641">
        <v>0</v>
      </c>
      <c r="G25" s="641">
        <v>0</v>
      </c>
      <c r="H25" s="641">
        <v>0</v>
      </c>
      <c r="I25" s="30">
        <v>9499</v>
      </c>
      <c r="J25" s="30">
        <v>9623</v>
      </c>
      <c r="K25" s="30">
        <v>9642</v>
      </c>
      <c r="L25" s="30">
        <v>10559</v>
      </c>
      <c r="N25" s="634" t="s">
        <v>6720</v>
      </c>
      <c r="P25" s="72"/>
      <c r="R25" s="4"/>
    </row>
    <row r="26" spans="1:18">
      <c r="A26" s="634" t="s">
        <v>7005</v>
      </c>
      <c r="B26" s="634" t="s">
        <v>6721</v>
      </c>
      <c r="C26" s="72" t="s">
        <v>13720</v>
      </c>
      <c r="D26" s="641">
        <v>0</v>
      </c>
      <c r="E26" s="641">
        <v>0</v>
      </c>
      <c r="F26" s="641">
        <v>0</v>
      </c>
      <c r="G26" s="641">
        <v>0</v>
      </c>
      <c r="H26" s="641">
        <v>0</v>
      </c>
      <c r="I26" s="31">
        <v>3612</v>
      </c>
      <c r="J26" s="31">
        <v>3659</v>
      </c>
      <c r="K26" s="31">
        <v>3670</v>
      </c>
      <c r="L26" s="31">
        <v>4003</v>
      </c>
      <c r="N26" s="634" t="s">
        <v>6720</v>
      </c>
      <c r="P26" s="72"/>
      <c r="R26" s="4"/>
    </row>
    <row r="27" spans="1:18">
      <c r="A27" s="634" t="s">
        <v>7007</v>
      </c>
      <c r="B27" s="634" t="s">
        <v>2485</v>
      </c>
      <c r="C27" s="72" t="s">
        <v>13721</v>
      </c>
      <c r="D27" s="641">
        <v>0</v>
      </c>
      <c r="E27" s="641">
        <v>0</v>
      </c>
      <c r="F27" s="641">
        <v>0</v>
      </c>
      <c r="G27" s="641">
        <v>0</v>
      </c>
      <c r="H27" s="641">
        <v>0</v>
      </c>
      <c r="I27" s="31">
        <v>10342</v>
      </c>
      <c r="J27" s="31">
        <v>10236</v>
      </c>
      <c r="K27" s="31">
        <v>10255</v>
      </c>
      <c r="L27" s="31">
        <v>11273</v>
      </c>
      <c r="N27" s="634" t="s">
        <v>6720</v>
      </c>
      <c r="P27" s="72"/>
      <c r="R27" s="4"/>
    </row>
    <row r="28" spans="1:18">
      <c r="A28" s="634" t="s">
        <v>7009</v>
      </c>
      <c r="B28" s="634" t="s">
        <v>3755</v>
      </c>
      <c r="C28" s="72" t="s">
        <v>13722</v>
      </c>
      <c r="D28" s="641">
        <v>0</v>
      </c>
      <c r="E28" s="641">
        <v>0</v>
      </c>
      <c r="F28" s="641">
        <v>0</v>
      </c>
      <c r="G28" s="641">
        <v>0</v>
      </c>
      <c r="H28" s="641">
        <v>0</v>
      </c>
      <c r="I28" s="31">
        <v>3710</v>
      </c>
      <c r="J28" s="31">
        <v>3418</v>
      </c>
      <c r="K28" s="31">
        <v>3419</v>
      </c>
      <c r="L28" s="31">
        <v>3891</v>
      </c>
      <c r="N28" s="634" t="s">
        <v>6720</v>
      </c>
      <c r="P28" s="72"/>
      <c r="R28" s="4"/>
    </row>
    <row r="29" spans="1:18">
      <c r="A29" s="634" t="s">
        <v>7011</v>
      </c>
      <c r="B29" s="634" t="s">
        <v>13706</v>
      </c>
      <c r="C29" s="72" t="s">
        <v>13723</v>
      </c>
      <c r="D29" s="639">
        <v>0</v>
      </c>
      <c r="E29" s="639">
        <v>0</v>
      </c>
      <c r="F29" s="639">
        <v>0</v>
      </c>
      <c r="G29" s="639">
        <v>0</v>
      </c>
      <c r="H29" s="639">
        <v>0</v>
      </c>
      <c r="I29" s="31">
        <v>7494</v>
      </c>
      <c r="J29" s="30">
        <v>7336</v>
      </c>
      <c r="K29" s="30">
        <v>7342</v>
      </c>
      <c r="L29" s="30">
        <v>7971</v>
      </c>
      <c r="N29" s="634" t="s">
        <v>8231</v>
      </c>
      <c r="P29" s="72"/>
      <c r="R29" s="4"/>
    </row>
    <row r="30" spans="1:18">
      <c r="A30" s="634" t="s">
        <v>7013</v>
      </c>
      <c r="B30" s="634" t="s">
        <v>13707</v>
      </c>
      <c r="C30" s="72" t="s">
        <v>13724</v>
      </c>
      <c r="D30" s="639">
        <v>0</v>
      </c>
      <c r="E30" s="639">
        <v>0</v>
      </c>
      <c r="F30" s="639">
        <v>0</v>
      </c>
      <c r="G30" s="639">
        <v>0</v>
      </c>
      <c r="H30" s="639">
        <v>0</v>
      </c>
      <c r="I30" s="30">
        <v>6770</v>
      </c>
      <c r="J30" s="31">
        <v>6728</v>
      </c>
      <c r="K30" s="31">
        <v>6754</v>
      </c>
      <c r="L30" s="31">
        <v>7356</v>
      </c>
      <c r="N30" s="634" t="s">
        <v>6720</v>
      </c>
      <c r="P30" s="72"/>
      <c r="R30" s="4"/>
    </row>
    <row r="31" spans="1:18">
      <c r="A31" s="634" t="s">
        <v>7015</v>
      </c>
      <c r="B31" s="634" t="s">
        <v>8607</v>
      </c>
      <c r="C31" s="72" t="s">
        <v>13725</v>
      </c>
      <c r="D31" s="641">
        <v>0</v>
      </c>
      <c r="E31" s="641">
        <v>0</v>
      </c>
      <c r="F31" s="641">
        <v>0</v>
      </c>
      <c r="G31" s="641">
        <v>0</v>
      </c>
      <c r="H31" s="641">
        <v>0</v>
      </c>
      <c r="I31" s="30">
        <v>10844</v>
      </c>
      <c r="J31" s="30">
        <v>10598</v>
      </c>
      <c r="K31" s="30">
        <v>10620</v>
      </c>
      <c r="L31" s="30">
        <v>11844</v>
      </c>
      <c r="N31" s="634" t="s">
        <v>8231</v>
      </c>
      <c r="P31" s="72"/>
      <c r="R31" s="4"/>
    </row>
    <row r="32" spans="1:18">
      <c r="A32" s="634" t="s">
        <v>7017</v>
      </c>
      <c r="B32" s="634" t="s">
        <v>4979</v>
      </c>
      <c r="C32" s="72" t="s">
        <v>13726</v>
      </c>
      <c r="D32" s="641">
        <v>0</v>
      </c>
      <c r="E32" s="641">
        <v>0</v>
      </c>
      <c r="F32" s="641">
        <v>0</v>
      </c>
      <c r="G32" s="641">
        <v>0</v>
      </c>
      <c r="H32" s="641">
        <v>0</v>
      </c>
      <c r="I32" s="31">
        <v>7451</v>
      </c>
      <c r="J32" s="31">
        <v>7086</v>
      </c>
      <c r="K32" s="31">
        <v>7092</v>
      </c>
      <c r="L32" s="31">
        <v>7527</v>
      </c>
      <c r="N32" s="634" t="s">
        <v>6720</v>
      </c>
      <c r="P32" s="72"/>
      <c r="R32" s="4"/>
    </row>
    <row r="33" spans="1:18">
      <c r="A33" s="634" t="s">
        <v>7019</v>
      </c>
      <c r="B33" s="634" t="s">
        <v>13708</v>
      </c>
      <c r="C33" s="72" t="s">
        <v>13727</v>
      </c>
      <c r="D33" s="641">
        <v>0</v>
      </c>
      <c r="E33" s="641">
        <v>0</v>
      </c>
      <c r="F33" s="641">
        <v>0</v>
      </c>
      <c r="G33" s="641">
        <v>0</v>
      </c>
      <c r="H33" s="641">
        <v>0</v>
      </c>
      <c r="I33" s="30">
        <v>7231</v>
      </c>
      <c r="J33" s="30">
        <v>6792</v>
      </c>
      <c r="K33" s="30">
        <v>6795</v>
      </c>
      <c r="L33" s="30">
        <v>7518</v>
      </c>
      <c r="N33" s="634" t="s">
        <v>8231</v>
      </c>
      <c r="P33" s="72"/>
      <c r="R33" s="4"/>
    </row>
    <row r="34" spans="1:18">
      <c r="A34" s="512">
        <v>18</v>
      </c>
      <c r="B34" s="634" t="s">
        <v>13709</v>
      </c>
      <c r="C34" s="72" t="s">
        <v>13728</v>
      </c>
      <c r="D34" s="641">
        <v>0</v>
      </c>
      <c r="E34" s="641">
        <v>0</v>
      </c>
      <c r="F34" s="641">
        <v>0</v>
      </c>
      <c r="G34" s="641">
        <v>0</v>
      </c>
      <c r="H34" s="641">
        <v>0</v>
      </c>
      <c r="I34" s="30">
        <v>7176</v>
      </c>
      <c r="J34" s="30">
        <v>7232</v>
      </c>
      <c r="K34" s="30">
        <v>7234</v>
      </c>
      <c r="L34" s="30">
        <v>7490</v>
      </c>
      <c r="N34" s="634" t="s">
        <v>8231</v>
      </c>
      <c r="P34" s="72"/>
      <c r="R34" s="4"/>
    </row>
    <row r="35" spans="1:18">
      <c r="A35" s="512">
        <v>19</v>
      </c>
      <c r="B35" s="634" t="s">
        <v>4980</v>
      </c>
      <c r="C35" s="72" t="s">
        <v>13729</v>
      </c>
      <c r="D35" s="641">
        <v>0</v>
      </c>
      <c r="E35" s="641">
        <v>0</v>
      </c>
      <c r="F35" s="641">
        <v>0</v>
      </c>
      <c r="G35" s="641">
        <v>0</v>
      </c>
      <c r="H35" s="641">
        <v>0</v>
      </c>
      <c r="I35" s="30">
        <v>7491</v>
      </c>
      <c r="J35" s="30">
        <v>7443</v>
      </c>
      <c r="K35" s="30">
        <v>7459</v>
      </c>
      <c r="L35" s="30">
        <v>8025</v>
      </c>
      <c r="N35" s="634" t="s">
        <v>8231</v>
      </c>
      <c r="P35" s="72"/>
      <c r="R35" s="4"/>
    </row>
    <row r="36" spans="1:18">
      <c r="A36" s="512">
        <v>20</v>
      </c>
      <c r="B36" s="635" t="s">
        <v>4981</v>
      </c>
      <c r="C36" s="72" t="s">
        <v>13730</v>
      </c>
      <c r="D36" s="641">
        <v>0</v>
      </c>
      <c r="E36" s="641">
        <v>0</v>
      </c>
      <c r="F36" s="641">
        <v>0</v>
      </c>
      <c r="G36" s="641">
        <v>0</v>
      </c>
      <c r="H36" s="641">
        <v>0</v>
      </c>
      <c r="I36" s="30">
        <v>6641</v>
      </c>
      <c r="J36" s="30">
        <v>6281</v>
      </c>
      <c r="K36" s="30">
        <v>6295</v>
      </c>
      <c r="L36" s="30">
        <v>7235</v>
      </c>
      <c r="N36" s="634" t="s">
        <v>8231</v>
      </c>
      <c r="P36" s="72"/>
      <c r="R36" s="4"/>
    </row>
    <row r="37" spans="1:18" ht="15.75" thickBot="1">
      <c r="A37" s="634"/>
      <c r="C37" s="72" t="s">
        <v>13730</v>
      </c>
      <c r="D37" s="800">
        <v>0</v>
      </c>
      <c r="E37" s="800">
        <v>0</v>
      </c>
      <c r="F37" s="800">
        <v>0</v>
      </c>
      <c r="G37" s="800">
        <v>0</v>
      </c>
      <c r="H37" s="800">
        <v>0</v>
      </c>
      <c r="I37" s="31">
        <v>1927</v>
      </c>
      <c r="J37" s="31">
        <v>1866</v>
      </c>
      <c r="K37" s="31">
        <v>1865</v>
      </c>
      <c r="L37" s="31">
        <v>1915</v>
      </c>
      <c r="N37" s="634" t="s">
        <v>6720</v>
      </c>
      <c r="P37" s="4"/>
      <c r="R37" s="4"/>
    </row>
    <row r="38" spans="1:18" ht="15.75" thickBot="1">
      <c r="A38" s="634"/>
      <c r="C38" s="72" t="s">
        <v>13730</v>
      </c>
      <c r="D38" s="898">
        <f t="shared" ref="D38:H38" si="15">D36+D37</f>
        <v>0</v>
      </c>
      <c r="E38" s="898">
        <f t="shared" si="15"/>
        <v>0</v>
      </c>
      <c r="F38" s="898">
        <f t="shared" si="15"/>
        <v>0</v>
      </c>
      <c r="G38" s="898">
        <f t="shared" si="15"/>
        <v>0</v>
      </c>
      <c r="H38" s="898">
        <f t="shared" si="15"/>
        <v>0</v>
      </c>
      <c r="I38" s="898">
        <f>I36+I37</f>
        <v>8568</v>
      </c>
      <c r="J38" s="898">
        <f>J36+J37</f>
        <v>8147</v>
      </c>
      <c r="K38" s="898">
        <f>K36+K37</f>
        <v>8160</v>
      </c>
      <c r="L38" s="898">
        <f>L36+L37</f>
        <v>9150</v>
      </c>
      <c r="N38" s="634"/>
      <c r="P38" s="4"/>
      <c r="R38" s="4"/>
    </row>
    <row r="39" spans="1:18">
      <c r="A39" s="634"/>
      <c r="C39" s="4"/>
      <c r="D39" s="641"/>
      <c r="E39" s="641"/>
      <c r="F39" s="641"/>
      <c r="G39" s="641"/>
      <c r="H39" s="641"/>
      <c r="I39" s="641"/>
      <c r="J39" s="641"/>
      <c r="K39" s="641"/>
      <c r="L39" s="641"/>
      <c r="N39" s="634"/>
      <c r="P39" s="4"/>
      <c r="R39" s="4"/>
    </row>
    <row r="40" spans="1:18">
      <c r="A40" s="635" t="s">
        <v>13710</v>
      </c>
      <c r="D40" s="637"/>
      <c r="E40" s="637"/>
      <c r="F40" s="637"/>
      <c r="G40" s="637"/>
      <c r="H40" s="637"/>
      <c r="I40" s="637"/>
      <c r="J40" s="637"/>
      <c r="K40" s="637"/>
      <c r="L40" s="637"/>
      <c r="N40" s="634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10:D15 E10:E15 F10:F15 G10:G15 H10:H15 H4 D3:H3 D7:H9 D4:G4 D38:K38 H5:H6 D5:G6 I3:I15 J3:J15 K3:K15 L3:L38" unlockedFormula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26"/>
  <sheetViews>
    <sheetView showGridLines="0" zoomScaleNormal="100" workbookViewId="0"/>
  </sheetViews>
  <sheetFormatPr defaultColWidth="12.5703125" defaultRowHeight="15"/>
  <cols>
    <col min="1" max="1" width="4.85546875" style="161" customWidth="1"/>
    <col min="2" max="2" width="40.7109375" style="161" customWidth="1"/>
    <col min="3" max="3" width="11.5703125" style="161" customWidth="1"/>
    <col min="4" max="12" width="10.140625" style="161" customWidth="1"/>
    <col min="13" max="13" width="2.28515625" style="161" customWidth="1"/>
    <col min="14" max="14" width="35.85546875" style="161" customWidth="1"/>
    <col min="15" max="15" width="27.5703125" style="161" bestFit="1" customWidth="1"/>
    <col min="16" max="16384" width="12.5703125" style="161"/>
  </cols>
  <sheetData>
    <row r="1" spans="1:14">
      <c r="A1" s="160" t="s">
        <v>8847</v>
      </c>
      <c r="D1" s="162">
        <v>2010</v>
      </c>
      <c r="E1" s="162">
        <v>2011</v>
      </c>
      <c r="F1" s="162">
        <v>2012</v>
      </c>
      <c r="G1" s="162">
        <v>2013</v>
      </c>
      <c r="H1" s="162">
        <v>2014</v>
      </c>
      <c r="I1" s="162">
        <v>2015</v>
      </c>
      <c r="J1" s="162">
        <v>2016</v>
      </c>
      <c r="K1" s="162">
        <v>2017</v>
      </c>
      <c r="L1" s="162">
        <v>2018</v>
      </c>
    </row>
    <row r="3" spans="1:14">
      <c r="A3" s="160" t="s">
        <v>5794</v>
      </c>
      <c r="D3" s="163">
        <f t="shared" ref="D3:I3" si="0">SUM(D5:D9)</f>
        <v>823202</v>
      </c>
      <c r="E3" s="163">
        <f t="shared" si="0"/>
        <v>828252</v>
      </c>
      <c r="F3" s="163">
        <f t="shared" si="0"/>
        <v>836803</v>
      </c>
      <c r="G3" s="163">
        <f t="shared" si="0"/>
        <v>838301</v>
      </c>
      <c r="H3" s="163">
        <f t="shared" si="0"/>
        <v>829792</v>
      </c>
      <c r="I3" s="163">
        <f t="shared" si="0"/>
        <v>798880</v>
      </c>
      <c r="J3" s="163">
        <f t="shared" ref="J3:K3" si="1">SUM(J5:J9)</f>
        <v>792738</v>
      </c>
      <c r="K3" s="163">
        <f t="shared" si="1"/>
        <v>805406</v>
      </c>
      <c r="L3" s="163">
        <f t="shared" ref="L3" si="2">SUM(L5:L9)</f>
        <v>796044</v>
      </c>
    </row>
    <row r="4" spans="1:14">
      <c r="D4" s="164"/>
      <c r="E4" s="164"/>
      <c r="F4" s="164"/>
      <c r="G4" s="164"/>
      <c r="H4" s="164"/>
      <c r="I4" s="164"/>
      <c r="J4" s="164"/>
      <c r="K4" s="164"/>
      <c r="L4" s="164"/>
    </row>
    <row r="5" spans="1:14">
      <c r="A5" s="160" t="s">
        <v>4982</v>
      </c>
      <c r="C5" s="160"/>
      <c r="D5" s="163">
        <f t="shared" ref="D5:I5" si="3">D53</f>
        <v>147060</v>
      </c>
      <c r="E5" s="163">
        <f t="shared" si="3"/>
        <v>147346</v>
      </c>
      <c r="F5" s="163">
        <f t="shared" si="3"/>
        <v>146978</v>
      </c>
      <c r="G5" s="163">
        <f t="shared" si="3"/>
        <v>148302</v>
      </c>
      <c r="H5" s="163">
        <f t="shared" si="3"/>
        <v>146899</v>
      </c>
      <c r="I5" s="163">
        <f t="shared" si="3"/>
        <v>140622</v>
      </c>
      <c r="J5" s="163">
        <f t="shared" ref="J5:K5" si="4">J53</f>
        <v>140942</v>
      </c>
      <c r="K5" s="163">
        <f t="shared" si="4"/>
        <v>143984</v>
      </c>
      <c r="L5" s="163">
        <f t="shared" ref="L5" si="5">L53</f>
        <v>144581</v>
      </c>
      <c r="N5" s="165"/>
    </row>
    <row r="6" spans="1:14">
      <c r="A6" s="160" t="s">
        <v>4983</v>
      </c>
      <c r="C6" s="160"/>
      <c r="D6" s="163">
        <f t="shared" ref="D6:I6" si="6">D90</f>
        <v>192497</v>
      </c>
      <c r="E6" s="163">
        <f t="shared" si="6"/>
        <v>193399</v>
      </c>
      <c r="F6" s="163">
        <f t="shared" si="6"/>
        <v>198963</v>
      </c>
      <c r="G6" s="163">
        <f t="shared" si="6"/>
        <v>200692</v>
      </c>
      <c r="H6" s="163">
        <f t="shared" si="6"/>
        <v>196986</v>
      </c>
      <c r="I6" s="163">
        <f t="shared" si="6"/>
        <v>180481</v>
      </c>
      <c r="J6" s="163">
        <f t="shared" ref="J6:K6" si="7">J90</f>
        <v>180183</v>
      </c>
      <c r="K6" s="163">
        <f t="shared" si="7"/>
        <v>189242</v>
      </c>
      <c r="L6" s="163">
        <f t="shared" ref="L6" si="8">L90</f>
        <v>178361</v>
      </c>
      <c r="N6" s="165"/>
    </row>
    <row r="7" spans="1:14">
      <c r="A7" s="160" t="s">
        <v>4984</v>
      </c>
      <c r="C7" s="160"/>
      <c r="D7" s="163">
        <f t="shared" ref="D7:I7" si="9">D137</f>
        <v>154834</v>
      </c>
      <c r="E7" s="163">
        <f t="shared" si="9"/>
        <v>155235</v>
      </c>
      <c r="F7" s="163">
        <f t="shared" si="9"/>
        <v>156824</v>
      </c>
      <c r="G7" s="163">
        <f t="shared" si="9"/>
        <v>157479</v>
      </c>
      <c r="H7" s="163">
        <f t="shared" si="9"/>
        <v>157043</v>
      </c>
      <c r="I7" s="163">
        <f t="shared" si="9"/>
        <v>154774</v>
      </c>
      <c r="J7" s="163">
        <f t="shared" ref="J7:K7" si="10">J137</f>
        <v>151045</v>
      </c>
      <c r="K7" s="163">
        <f t="shared" si="10"/>
        <v>154638</v>
      </c>
      <c r="L7" s="163">
        <f t="shared" ref="L7" si="11">L137</f>
        <v>153243</v>
      </c>
      <c r="N7" s="165"/>
    </row>
    <row r="8" spans="1:14">
      <c r="A8" s="160" t="s">
        <v>4985</v>
      </c>
      <c r="C8" s="160"/>
      <c r="D8" s="163">
        <f t="shared" ref="D8:I8" si="12">D167</f>
        <v>115648</v>
      </c>
      <c r="E8" s="163">
        <f t="shared" si="12"/>
        <v>115688</v>
      </c>
      <c r="F8" s="163">
        <f t="shared" si="12"/>
        <v>115818</v>
      </c>
      <c r="G8" s="163">
        <f t="shared" si="12"/>
        <v>116396</v>
      </c>
      <c r="H8" s="163">
        <f t="shared" si="12"/>
        <v>115153</v>
      </c>
      <c r="I8" s="163">
        <f t="shared" si="12"/>
        <v>114494</v>
      </c>
      <c r="J8" s="163">
        <f t="shared" ref="J8:K8" si="13">J167</f>
        <v>115022</v>
      </c>
      <c r="K8" s="163">
        <f t="shared" si="13"/>
        <v>115223</v>
      </c>
      <c r="L8" s="163">
        <f t="shared" ref="L8" si="14">L167</f>
        <v>115083</v>
      </c>
      <c r="N8" s="165"/>
    </row>
    <row r="9" spans="1:14">
      <c r="A9" s="160" t="s">
        <v>4986</v>
      </c>
      <c r="C9" s="160"/>
      <c r="D9" s="163">
        <f t="shared" ref="D9:I9" si="15">D195</f>
        <v>213163</v>
      </c>
      <c r="E9" s="163">
        <f t="shared" si="15"/>
        <v>216584</v>
      </c>
      <c r="F9" s="163">
        <f t="shared" si="15"/>
        <v>218220</v>
      </c>
      <c r="G9" s="163">
        <f t="shared" si="15"/>
        <v>215432</v>
      </c>
      <c r="H9" s="163">
        <f t="shared" si="15"/>
        <v>213711</v>
      </c>
      <c r="I9" s="163">
        <f t="shared" si="15"/>
        <v>208509</v>
      </c>
      <c r="J9" s="163">
        <f t="shared" ref="J9:K9" si="16">J195</f>
        <v>205546</v>
      </c>
      <c r="K9" s="163">
        <f t="shared" si="16"/>
        <v>202319</v>
      </c>
      <c r="L9" s="163">
        <f t="shared" ref="L9" si="17">L195</f>
        <v>204776</v>
      </c>
      <c r="N9" s="165"/>
    </row>
    <row r="11" spans="1:14">
      <c r="A11" s="160" t="s">
        <v>6900</v>
      </c>
      <c r="D11" s="163">
        <f t="shared" ref="D11:I11" si="18">D3/11</f>
        <v>74836.545454545456</v>
      </c>
      <c r="E11" s="163">
        <f t="shared" si="18"/>
        <v>75295.636363636368</v>
      </c>
      <c r="F11" s="163">
        <f t="shared" si="18"/>
        <v>76073</v>
      </c>
      <c r="G11" s="163">
        <f t="shared" si="18"/>
        <v>76209.181818181823</v>
      </c>
      <c r="H11" s="163">
        <f t="shared" si="18"/>
        <v>75435.636363636368</v>
      </c>
      <c r="I11" s="163">
        <f t="shared" si="18"/>
        <v>72625.454545454544</v>
      </c>
      <c r="J11" s="163">
        <f t="shared" ref="J11:K11" si="19">J3/11</f>
        <v>72067.090909090912</v>
      </c>
      <c r="K11" s="163">
        <f t="shared" si="19"/>
        <v>73218.727272727279</v>
      </c>
      <c r="L11" s="163">
        <f t="shared" ref="L11" si="20">L3/11</f>
        <v>72367.636363636368</v>
      </c>
    </row>
    <row r="12" spans="1:14">
      <c r="A12" s="160" t="s">
        <v>14377</v>
      </c>
      <c r="D12" s="163">
        <f>D3/10</f>
        <v>82320.2</v>
      </c>
      <c r="E12" s="163">
        <f t="shared" ref="E12:I12" si="21">E3/10</f>
        <v>82825.2</v>
      </c>
      <c r="F12" s="163">
        <f t="shared" si="21"/>
        <v>83680.3</v>
      </c>
      <c r="G12" s="163">
        <f t="shared" si="21"/>
        <v>83830.100000000006</v>
      </c>
      <c r="H12" s="163">
        <f t="shared" si="21"/>
        <v>82979.199999999997</v>
      </c>
      <c r="I12" s="163">
        <f t="shared" si="21"/>
        <v>79888</v>
      </c>
      <c r="J12" s="163">
        <f t="shared" ref="J12:K12" si="22">J3/10</f>
        <v>79273.8</v>
      </c>
      <c r="K12" s="163">
        <f t="shared" si="22"/>
        <v>80540.600000000006</v>
      </c>
      <c r="L12" s="163">
        <f t="shared" ref="L12" si="23">L3/10</f>
        <v>79604.399999999994</v>
      </c>
    </row>
    <row r="13" spans="1:14">
      <c r="D13" s="164"/>
      <c r="E13" s="164"/>
      <c r="F13" s="164"/>
      <c r="G13" s="164"/>
      <c r="H13" s="164"/>
      <c r="I13" s="164"/>
      <c r="J13" s="164"/>
      <c r="K13" s="164"/>
      <c r="L13" s="164"/>
    </row>
    <row r="14" spans="1:14">
      <c r="A14" s="160" t="s">
        <v>4987</v>
      </c>
      <c r="D14" s="163">
        <f t="shared" ref="D14:I14" si="24">D79</f>
        <v>67791</v>
      </c>
      <c r="E14" s="163">
        <f t="shared" si="24"/>
        <v>68156</v>
      </c>
      <c r="F14" s="163">
        <f t="shared" si="24"/>
        <v>68166</v>
      </c>
      <c r="G14" s="163">
        <f t="shared" si="24"/>
        <v>68777</v>
      </c>
      <c r="H14" s="163">
        <f t="shared" si="24"/>
        <v>68332</v>
      </c>
      <c r="I14" s="163">
        <f t="shared" si="24"/>
        <v>66305</v>
      </c>
      <c r="J14" s="163">
        <f t="shared" ref="J14:K14" si="25">J79</f>
        <v>66409</v>
      </c>
      <c r="K14" s="163">
        <f t="shared" si="25"/>
        <v>67591</v>
      </c>
      <c r="L14" s="163">
        <f t="shared" ref="L14" si="26">L79</f>
        <v>67527</v>
      </c>
      <c r="N14" s="160" t="s">
        <v>4988</v>
      </c>
    </row>
    <row r="15" spans="1:14">
      <c r="D15" s="164"/>
      <c r="E15" s="164"/>
      <c r="F15" s="164"/>
      <c r="G15" s="164"/>
      <c r="H15" s="164"/>
      <c r="I15" s="164"/>
      <c r="J15" s="164"/>
      <c r="K15" s="164"/>
      <c r="L15" s="164"/>
    </row>
    <row r="16" spans="1:14">
      <c r="A16" s="160" t="s">
        <v>4989</v>
      </c>
      <c r="D16" s="163">
        <f t="shared" ref="D16:I16" si="27">D80</f>
        <v>66250</v>
      </c>
      <c r="E16" s="163">
        <f t="shared" si="27"/>
        <v>66066</v>
      </c>
      <c r="F16" s="163">
        <f t="shared" si="27"/>
        <v>65745</v>
      </c>
      <c r="G16" s="163">
        <f t="shared" si="27"/>
        <v>66395</v>
      </c>
      <c r="H16" s="163">
        <f t="shared" si="27"/>
        <v>65600</v>
      </c>
      <c r="I16" s="163">
        <f t="shared" si="27"/>
        <v>62048</v>
      </c>
      <c r="J16" s="163">
        <f t="shared" ref="J16:K16" si="28">J80</f>
        <v>62188</v>
      </c>
      <c r="K16" s="163">
        <f t="shared" si="28"/>
        <v>63769</v>
      </c>
      <c r="L16" s="163">
        <f t="shared" ref="L16" si="29">L80</f>
        <v>64357</v>
      </c>
      <c r="N16" s="160" t="s">
        <v>4988</v>
      </c>
    </row>
    <row r="17" spans="1:14">
      <c r="D17" s="164"/>
      <c r="E17" s="164"/>
      <c r="F17" s="164"/>
      <c r="G17" s="164"/>
      <c r="H17" s="164"/>
      <c r="I17" s="164"/>
      <c r="J17" s="164"/>
      <c r="K17" s="164"/>
      <c r="L17" s="164"/>
    </row>
    <row r="18" spans="1:14">
      <c r="A18" s="161" t="s">
        <v>1689</v>
      </c>
      <c r="D18" s="164">
        <f>D81</f>
        <v>0</v>
      </c>
      <c r="E18" s="164">
        <f t="shared" ref="E18:H18" si="30">E81</f>
        <v>0</v>
      </c>
      <c r="F18" s="164">
        <f t="shared" si="30"/>
        <v>0</v>
      </c>
      <c r="G18" s="164">
        <f t="shared" si="30"/>
        <v>0</v>
      </c>
      <c r="H18" s="164">
        <f t="shared" si="30"/>
        <v>0</v>
      </c>
      <c r="I18" s="164">
        <f t="shared" ref="I18:J18" si="31">I81</f>
        <v>0</v>
      </c>
      <c r="J18" s="164">
        <f t="shared" si="31"/>
        <v>0</v>
      </c>
      <c r="K18" s="164">
        <f t="shared" ref="K18:L18" si="32">K81</f>
        <v>0</v>
      </c>
      <c r="L18" s="164">
        <f t="shared" si="32"/>
        <v>0</v>
      </c>
      <c r="N18" s="160" t="s">
        <v>4988</v>
      </c>
    </row>
    <row r="19" spans="1:14" ht="15.75" thickBot="1">
      <c r="D19" s="167">
        <f>NORTHUMBERLAND!D12</f>
        <v>61085</v>
      </c>
      <c r="E19" s="167">
        <f>NORTHUMBERLAND!E12</f>
        <v>60499</v>
      </c>
      <c r="F19" s="167">
        <f>NORTHUMBERLAND!F12</f>
        <v>60590</v>
      </c>
      <c r="G19" s="167">
        <f>NORTHUMBERLAND!G12</f>
        <v>60978</v>
      </c>
      <c r="H19" s="167">
        <f>NORTHUMBERLAND!H12</f>
        <v>60260</v>
      </c>
      <c r="I19" s="167">
        <f>NORTHUMBERLAND!I12</f>
        <v>60232</v>
      </c>
      <c r="J19" s="167">
        <f>NORTHUMBERLAND!J12</f>
        <v>58198</v>
      </c>
      <c r="K19" s="167">
        <f>NORTHUMBERLAND!K12</f>
        <v>58698</v>
      </c>
      <c r="L19" s="167">
        <f>NORTHUMBERLAND!L12</f>
        <v>59856</v>
      </c>
      <c r="N19" s="160" t="s">
        <v>1687</v>
      </c>
    </row>
    <row r="20" spans="1:14" ht="15.75" thickBot="1">
      <c r="D20" s="166">
        <f t="shared" ref="D20:I20" si="33">D18+D19</f>
        <v>61085</v>
      </c>
      <c r="E20" s="166">
        <f t="shared" si="33"/>
        <v>60499</v>
      </c>
      <c r="F20" s="166">
        <f t="shared" si="33"/>
        <v>60590</v>
      </c>
      <c r="G20" s="166">
        <f t="shared" si="33"/>
        <v>60978</v>
      </c>
      <c r="H20" s="166">
        <f t="shared" si="33"/>
        <v>60260</v>
      </c>
      <c r="I20" s="166">
        <f t="shared" si="33"/>
        <v>60232</v>
      </c>
      <c r="J20" s="166">
        <f t="shared" ref="J20:K20" si="34">J18+J19</f>
        <v>58198</v>
      </c>
      <c r="K20" s="166">
        <f t="shared" si="34"/>
        <v>58698</v>
      </c>
      <c r="L20" s="166">
        <f t="shared" ref="L20" si="35">L18+L19</f>
        <v>59856</v>
      </c>
    </row>
    <row r="21" spans="1:14">
      <c r="D21" s="164"/>
      <c r="E21" s="164"/>
      <c r="F21" s="164"/>
      <c r="G21" s="164"/>
      <c r="H21" s="164"/>
      <c r="I21" s="164"/>
      <c r="J21" s="164"/>
      <c r="K21" s="164"/>
      <c r="L21" s="164"/>
    </row>
    <row r="22" spans="1:14">
      <c r="A22" s="160" t="s">
        <v>4990</v>
      </c>
      <c r="D22" s="163">
        <f t="shared" ref="D22:I22" si="36">D222</f>
        <v>69190</v>
      </c>
      <c r="E22" s="163">
        <f t="shared" si="36"/>
        <v>70115</v>
      </c>
      <c r="F22" s="163">
        <f t="shared" si="36"/>
        <v>70685</v>
      </c>
      <c r="G22" s="163">
        <f t="shared" si="36"/>
        <v>70241</v>
      </c>
      <c r="H22" s="163">
        <f t="shared" si="36"/>
        <v>69780</v>
      </c>
      <c r="I22" s="163">
        <f t="shared" si="36"/>
        <v>68216</v>
      </c>
      <c r="J22" s="163">
        <f t="shared" ref="J22:K22" si="37">J222</f>
        <v>67329</v>
      </c>
      <c r="K22" s="163">
        <f t="shared" si="37"/>
        <v>66274</v>
      </c>
      <c r="L22" s="163">
        <f t="shared" ref="L22" si="38">L222</f>
        <v>67391</v>
      </c>
      <c r="N22" s="160" t="s">
        <v>4991</v>
      </c>
    </row>
    <row r="23" spans="1:14">
      <c r="D23" s="164"/>
      <c r="E23" s="164"/>
      <c r="F23" s="164"/>
      <c r="G23" s="164"/>
      <c r="H23" s="164"/>
      <c r="I23" s="164"/>
      <c r="J23" s="164"/>
      <c r="K23" s="164"/>
      <c r="L23" s="164"/>
    </row>
    <row r="24" spans="1:14">
      <c r="A24" s="160" t="s">
        <v>4992</v>
      </c>
      <c r="D24" s="163">
        <f t="shared" ref="D24:I24" si="39">D82</f>
        <v>13019</v>
      </c>
      <c r="E24" s="163">
        <f t="shared" si="39"/>
        <v>13124</v>
      </c>
      <c r="F24" s="163">
        <f t="shared" si="39"/>
        <v>13067</v>
      </c>
      <c r="G24" s="163">
        <f t="shared" si="39"/>
        <v>13130</v>
      </c>
      <c r="H24" s="163">
        <f t="shared" si="39"/>
        <v>12967</v>
      </c>
      <c r="I24" s="163">
        <f t="shared" si="39"/>
        <v>12269</v>
      </c>
      <c r="J24" s="163">
        <f t="shared" ref="J24:K24" si="40">J82</f>
        <v>12345</v>
      </c>
      <c r="K24" s="163">
        <f t="shared" si="40"/>
        <v>12624</v>
      </c>
      <c r="L24" s="163">
        <f t="shared" ref="L24" si="41">L82</f>
        <v>12697</v>
      </c>
      <c r="N24" s="160" t="s">
        <v>4988</v>
      </c>
    </row>
    <row r="25" spans="1:14" ht="15.75" thickBot="1">
      <c r="D25" s="166">
        <f t="shared" ref="D25:I25" si="42">D187</f>
        <v>51807</v>
      </c>
      <c r="E25" s="166">
        <f t="shared" si="42"/>
        <v>51923</v>
      </c>
      <c r="F25" s="166">
        <f t="shared" si="42"/>
        <v>51848</v>
      </c>
      <c r="G25" s="166">
        <f t="shared" si="42"/>
        <v>52160</v>
      </c>
      <c r="H25" s="166">
        <f t="shared" si="42"/>
        <v>51715</v>
      </c>
      <c r="I25" s="166">
        <f t="shared" si="42"/>
        <v>51548</v>
      </c>
      <c r="J25" s="166">
        <f t="shared" ref="J25:K25" si="43">J187</f>
        <v>51867</v>
      </c>
      <c r="K25" s="166">
        <f t="shared" si="43"/>
        <v>51964</v>
      </c>
      <c r="L25" s="166">
        <f t="shared" ref="L25" si="44">L187</f>
        <v>52080</v>
      </c>
      <c r="N25" s="160" t="s">
        <v>4993</v>
      </c>
    </row>
    <row r="26" spans="1:14" ht="15.75" thickBot="1">
      <c r="D26" s="166">
        <f t="shared" ref="D26:I26" si="45">D24+D25</f>
        <v>64826</v>
      </c>
      <c r="E26" s="166">
        <f t="shared" si="45"/>
        <v>65047</v>
      </c>
      <c r="F26" s="166">
        <f t="shared" si="45"/>
        <v>64915</v>
      </c>
      <c r="G26" s="166">
        <f t="shared" si="45"/>
        <v>65290</v>
      </c>
      <c r="H26" s="166">
        <f t="shared" si="45"/>
        <v>64682</v>
      </c>
      <c r="I26" s="166">
        <f t="shared" si="45"/>
        <v>63817</v>
      </c>
      <c r="J26" s="166">
        <f t="shared" ref="J26:K26" si="46">J24+J25</f>
        <v>64212</v>
      </c>
      <c r="K26" s="166">
        <f t="shared" si="46"/>
        <v>64588</v>
      </c>
      <c r="L26" s="166">
        <f t="shared" ref="L26" si="47">L24+L25</f>
        <v>64777</v>
      </c>
    </row>
    <row r="27" spans="1:14">
      <c r="D27" s="164"/>
      <c r="E27" s="164"/>
      <c r="F27" s="164"/>
      <c r="G27" s="164"/>
      <c r="H27" s="164"/>
      <c r="I27" s="164"/>
      <c r="J27" s="164"/>
      <c r="K27" s="164"/>
      <c r="L27" s="164"/>
    </row>
    <row r="28" spans="1:14">
      <c r="A28" s="160" t="s">
        <v>4994</v>
      </c>
      <c r="D28" s="163">
        <f t="shared" ref="D28:I28" si="48">D128</f>
        <v>60565</v>
      </c>
      <c r="E28" s="163">
        <f t="shared" si="48"/>
        <v>60795</v>
      </c>
      <c r="F28" s="163">
        <f t="shared" si="48"/>
        <v>61943</v>
      </c>
      <c r="G28" s="163">
        <f t="shared" si="48"/>
        <v>62464</v>
      </c>
      <c r="H28" s="163">
        <f t="shared" si="48"/>
        <v>60853</v>
      </c>
      <c r="I28" s="163">
        <f t="shared" si="48"/>
        <v>55337</v>
      </c>
      <c r="J28" s="163">
        <f t="shared" ref="J28:K28" si="49">J128</f>
        <v>55483</v>
      </c>
      <c r="K28" s="163">
        <f t="shared" si="49"/>
        <v>58571</v>
      </c>
      <c r="L28" s="163">
        <f t="shared" ref="L28" si="50">L128</f>
        <v>53420</v>
      </c>
      <c r="N28" s="160" t="s">
        <v>4995</v>
      </c>
    </row>
    <row r="29" spans="1:14">
      <c r="D29" s="164"/>
      <c r="E29" s="164"/>
      <c r="F29" s="164"/>
      <c r="G29" s="164"/>
      <c r="H29" s="164"/>
      <c r="I29" s="164"/>
      <c r="J29" s="164"/>
      <c r="K29" s="164"/>
      <c r="L29" s="164"/>
    </row>
    <row r="30" spans="1:14">
      <c r="A30" s="160" t="s">
        <v>4996</v>
      </c>
      <c r="D30" s="163">
        <f t="shared" ref="D30:I30" si="51">D129</f>
        <v>64647</v>
      </c>
      <c r="E30" s="163">
        <f t="shared" si="51"/>
        <v>65203</v>
      </c>
      <c r="F30" s="163">
        <f t="shared" si="51"/>
        <v>68908</v>
      </c>
      <c r="G30" s="163">
        <f t="shared" si="51"/>
        <v>69589</v>
      </c>
      <c r="H30" s="163">
        <f t="shared" si="51"/>
        <v>67945</v>
      </c>
      <c r="I30" s="163">
        <f t="shared" si="51"/>
        <v>58557</v>
      </c>
      <c r="J30" s="163">
        <f t="shared" ref="J30:K30" si="52">J129</f>
        <v>58407</v>
      </c>
      <c r="K30" s="163">
        <f t="shared" si="52"/>
        <v>62469</v>
      </c>
      <c r="L30" s="163">
        <f t="shared" ref="L30" si="53">L129</f>
        <v>58877</v>
      </c>
      <c r="N30" s="160" t="s">
        <v>4995</v>
      </c>
    </row>
    <row r="31" spans="1:14">
      <c r="D31" s="164"/>
      <c r="E31" s="164"/>
      <c r="F31" s="164"/>
      <c r="G31" s="164"/>
      <c r="H31" s="164"/>
      <c r="I31" s="164"/>
      <c r="J31" s="164"/>
      <c r="K31" s="164"/>
      <c r="L31" s="164"/>
    </row>
    <row r="32" spans="1:14">
      <c r="A32" s="160" t="s">
        <v>6817</v>
      </c>
      <c r="D32" s="163">
        <f t="shared" ref="D32:I32" si="54">D130</f>
        <v>67285</v>
      </c>
      <c r="E32" s="163">
        <f t="shared" si="54"/>
        <v>67401</v>
      </c>
      <c r="F32" s="163">
        <f t="shared" si="54"/>
        <v>68112</v>
      </c>
      <c r="G32" s="163">
        <f t="shared" si="54"/>
        <v>68639</v>
      </c>
      <c r="H32" s="163">
        <f t="shared" si="54"/>
        <v>68188</v>
      </c>
      <c r="I32" s="163">
        <f t="shared" si="54"/>
        <v>66587</v>
      </c>
      <c r="J32" s="163">
        <f t="shared" ref="J32:K32" si="55">J130</f>
        <v>66293</v>
      </c>
      <c r="K32" s="163">
        <f t="shared" si="55"/>
        <v>68202</v>
      </c>
      <c r="L32" s="163">
        <f t="shared" ref="L32" si="56">L130</f>
        <v>66064</v>
      </c>
      <c r="N32" s="160" t="s">
        <v>4995</v>
      </c>
    </row>
    <row r="33" spans="1:14">
      <c r="D33" s="164"/>
      <c r="E33" s="164"/>
      <c r="F33" s="164"/>
      <c r="G33" s="164"/>
      <c r="H33" s="164"/>
      <c r="I33" s="164"/>
      <c r="J33" s="164"/>
      <c r="K33" s="164"/>
      <c r="L33" s="164"/>
    </row>
    <row r="34" spans="1:14">
      <c r="A34" s="160" t="s">
        <v>6818</v>
      </c>
      <c r="D34" s="163">
        <f t="shared" ref="D34:I34" si="57">D159</f>
        <v>78389</v>
      </c>
      <c r="E34" s="163">
        <f t="shared" si="57"/>
        <v>78617</v>
      </c>
      <c r="F34" s="163">
        <f t="shared" si="57"/>
        <v>79376</v>
      </c>
      <c r="G34" s="163">
        <f t="shared" si="57"/>
        <v>79681</v>
      </c>
      <c r="H34" s="163">
        <f t="shared" si="57"/>
        <v>79565</v>
      </c>
      <c r="I34" s="163">
        <f t="shared" si="57"/>
        <v>78182</v>
      </c>
      <c r="J34" s="163">
        <f t="shared" ref="J34:K34" si="58">J159</f>
        <v>76427</v>
      </c>
      <c r="K34" s="163">
        <f t="shared" si="58"/>
        <v>78191</v>
      </c>
      <c r="L34" s="163">
        <f t="shared" ref="L34" si="59">L159</f>
        <v>77252</v>
      </c>
      <c r="N34" s="160" t="s">
        <v>6819</v>
      </c>
    </row>
    <row r="35" spans="1:14">
      <c r="D35" s="164"/>
      <c r="E35" s="164"/>
      <c r="F35" s="164"/>
      <c r="G35" s="164"/>
      <c r="H35" s="164"/>
      <c r="I35" s="164"/>
      <c r="J35" s="164"/>
      <c r="K35" s="164"/>
      <c r="L35" s="164"/>
    </row>
    <row r="36" spans="1:14">
      <c r="A36" s="160" t="s">
        <v>6820</v>
      </c>
      <c r="D36" s="163">
        <f t="shared" ref="D36:I36" si="60">D188</f>
        <v>63841</v>
      </c>
      <c r="E36" s="163">
        <f t="shared" si="60"/>
        <v>63765</v>
      </c>
      <c r="F36" s="163">
        <f t="shared" si="60"/>
        <v>63970</v>
      </c>
      <c r="G36" s="163">
        <f t="shared" si="60"/>
        <v>64236</v>
      </c>
      <c r="H36" s="163">
        <f t="shared" si="60"/>
        <v>63438</v>
      </c>
      <c r="I36" s="163">
        <f t="shared" si="60"/>
        <v>62946</v>
      </c>
      <c r="J36" s="163">
        <f t="shared" ref="J36:K36" si="61">J188</f>
        <v>63155</v>
      </c>
      <c r="K36" s="163">
        <f t="shared" si="61"/>
        <v>63259</v>
      </c>
      <c r="L36" s="163">
        <f t="shared" ref="L36" si="62">L188</f>
        <v>63003</v>
      </c>
      <c r="N36" s="160" t="s">
        <v>4993</v>
      </c>
    </row>
    <row r="37" spans="1:14">
      <c r="D37" s="164"/>
      <c r="E37" s="164"/>
      <c r="F37" s="164"/>
      <c r="G37" s="164"/>
      <c r="H37" s="164"/>
      <c r="I37" s="164"/>
      <c r="J37" s="164"/>
      <c r="K37" s="164"/>
      <c r="L37" s="164"/>
    </row>
    <row r="38" spans="1:14">
      <c r="A38" s="160" t="s">
        <v>6821</v>
      </c>
      <c r="D38" s="163">
        <f t="shared" ref="D38:I38" si="63">D223</f>
        <v>74668</v>
      </c>
      <c r="E38" s="163">
        <f t="shared" si="63"/>
        <v>76292</v>
      </c>
      <c r="F38" s="163">
        <f t="shared" si="63"/>
        <v>77216</v>
      </c>
      <c r="G38" s="163">
        <f t="shared" si="63"/>
        <v>75346</v>
      </c>
      <c r="H38" s="163">
        <f t="shared" si="63"/>
        <v>74366</v>
      </c>
      <c r="I38" s="163">
        <f t="shared" si="63"/>
        <v>72238</v>
      </c>
      <c r="J38" s="163">
        <f t="shared" ref="J38:K38" si="64">J223</f>
        <v>71232</v>
      </c>
      <c r="K38" s="163">
        <f t="shared" si="64"/>
        <v>70478</v>
      </c>
      <c r="L38" s="163">
        <f t="shared" ref="L38" si="65">L223</f>
        <v>71432</v>
      </c>
      <c r="N38" s="160" t="s">
        <v>4991</v>
      </c>
    </row>
    <row r="39" spans="1:14">
      <c r="D39" s="164"/>
      <c r="E39" s="164"/>
      <c r="F39" s="164"/>
      <c r="G39" s="164"/>
      <c r="H39" s="164"/>
      <c r="I39" s="164"/>
      <c r="J39" s="164"/>
      <c r="K39" s="164"/>
      <c r="L39" s="164"/>
    </row>
    <row r="40" spans="1:14">
      <c r="A40" s="160" t="s">
        <v>6822</v>
      </c>
      <c r="D40" s="163">
        <f t="shared" ref="D40:I40" si="66">D160</f>
        <v>76445</v>
      </c>
      <c r="E40" s="163">
        <f t="shared" si="66"/>
        <v>76618</v>
      </c>
      <c r="F40" s="163">
        <f t="shared" si="66"/>
        <v>77448</v>
      </c>
      <c r="G40" s="163">
        <f t="shared" si="66"/>
        <v>77798</v>
      </c>
      <c r="H40" s="163">
        <f t="shared" si="66"/>
        <v>77478</v>
      </c>
      <c r="I40" s="163">
        <f t="shared" si="66"/>
        <v>76592</v>
      </c>
      <c r="J40" s="163">
        <f t="shared" ref="J40:K40" si="67">J160</f>
        <v>74618</v>
      </c>
      <c r="K40" s="163">
        <f t="shared" si="67"/>
        <v>76447</v>
      </c>
      <c r="L40" s="163">
        <f t="shared" ref="L40" si="68">L160</f>
        <v>75991</v>
      </c>
      <c r="N40" s="160" t="s">
        <v>6819</v>
      </c>
    </row>
    <row r="41" spans="1:14">
      <c r="D41" s="164"/>
      <c r="E41" s="164"/>
      <c r="F41" s="164"/>
      <c r="G41" s="164"/>
      <c r="H41" s="164"/>
      <c r="I41" s="164"/>
      <c r="J41" s="164"/>
      <c r="K41" s="164"/>
      <c r="L41" s="164"/>
    </row>
    <row r="42" spans="1:14">
      <c r="A42" s="160" t="s">
        <v>6823</v>
      </c>
      <c r="D42" s="163">
        <f t="shared" ref="D42:I42" si="69">D224</f>
        <v>69305</v>
      </c>
      <c r="E42" s="163">
        <f t="shared" si="69"/>
        <v>70177</v>
      </c>
      <c r="F42" s="163">
        <f t="shared" si="69"/>
        <v>70319</v>
      </c>
      <c r="G42" s="163">
        <f t="shared" si="69"/>
        <v>69845</v>
      </c>
      <c r="H42" s="163">
        <f t="shared" si="69"/>
        <v>69565</v>
      </c>
      <c r="I42" s="163">
        <f t="shared" si="69"/>
        <v>68055</v>
      </c>
      <c r="J42" s="163">
        <f t="shared" ref="J42:K42" si="70">J224</f>
        <v>66985</v>
      </c>
      <c r="K42" s="163">
        <f t="shared" si="70"/>
        <v>65567</v>
      </c>
      <c r="L42" s="163">
        <f t="shared" ref="L42" si="71">L224</f>
        <v>65953</v>
      </c>
      <c r="N42" s="160" t="s">
        <v>4991</v>
      </c>
    </row>
    <row r="43" spans="1:14">
      <c r="D43" s="164"/>
      <c r="E43" s="164"/>
      <c r="F43" s="164"/>
      <c r="G43" s="164"/>
      <c r="H43" s="164"/>
      <c r="I43" s="164"/>
      <c r="J43" s="164"/>
      <c r="K43" s="164"/>
      <c r="L43" s="164"/>
    </row>
    <row r="44" spans="1:14">
      <c r="A44" s="160" t="s">
        <v>8697</v>
      </c>
      <c r="D44" s="163">
        <f t="shared" ref="D44:I44" si="72">D14+D16+D22+D26+D28+D30+D32+D34+D36+D38+D42+D40</f>
        <v>823202</v>
      </c>
      <c r="E44" s="163">
        <f t="shared" si="72"/>
        <v>828252</v>
      </c>
      <c r="F44" s="163">
        <f t="shared" si="72"/>
        <v>836803</v>
      </c>
      <c r="G44" s="163">
        <f t="shared" si="72"/>
        <v>838301</v>
      </c>
      <c r="H44" s="163">
        <f t="shared" si="72"/>
        <v>829792</v>
      </c>
      <c r="I44" s="163">
        <f t="shared" si="72"/>
        <v>798880</v>
      </c>
      <c r="J44" s="163">
        <f t="shared" ref="J44:K44" si="73">J14+J16+J22+J26+J28+J30+J32+J34+J36+J38+J42+J40</f>
        <v>792738</v>
      </c>
      <c r="K44" s="163">
        <f t="shared" si="73"/>
        <v>805406</v>
      </c>
      <c r="L44" s="163">
        <f t="shared" ref="L44" si="74">L14+L16+L22+L26+L28+L30+L32+L34+L36+L38+L42+L40</f>
        <v>796044</v>
      </c>
    </row>
    <row r="45" spans="1:14">
      <c r="D45" s="164"/>
      <c r="E45" s="164"/>
      <c r="F45" s="164"/>
      <c r="G45" s="164"/>
      <c r="H45" s="164"/>
      <c r="I45" s="164"/>
      <c r="J45" s="164"/>
      <c r="K45" s="164"/>
      <c r="L45" s="164"/>
    </row>
    <row r="46" spans="1:14">
      <c r="A46" s="160" t="s">
        <v>8698</v>
      </c>
      <c r="D46" s="163">
        <f t="shared" ref="D46:I46" si="75">MAX(D14,D16,D22,D26,D28,D30,D32,D34,D36,D38,D42,D40)-MIN(D14,D16,D22,D26,D28,D30,D32,D34,D36,D38,D42,D40)</f>
        <v>17824</v>
      </c>
      <c r="E46" s="163">
        <f t="shared" si="75"/>
        <v>17822</v>
      </c>
      <c r="F46" s="163">
        <f t="shared" si="75"/>
        <v>17433</v>
      </c>
      <c r="G46" s="163">
        <f t="shared" si="75"/>
        <v>17217</v>
      </c>
      <c r="H46" s="163">
        <f t="shared" si="75"/>
        <v>18712</v>
      </c>
      <c r="I46" s="163">
        <f t="shared" si="75"/>
        <v>22845</v>
      </c>
      <c r="J46" s="163">
        <f t="shared" ref="J46:K46" si="76">MAX(J14,J16,J22,J26,J28,J30,J32,J34,J36,J38,J42,J40)-MIN(J14,J16,J22,J26,J28,J30,J32,J34,J36,J38,J42,J40)</f>
        <v>20944</v>
      </c>
      <c r="K46" s="163">
        <f t="shared" si="76"/>
        <v>19620</v>
      </c>
      <c r="L46" s="163">
        <f t="shared" ref="L46" si="77">MAX(L14,L16,L22,L26,L28,L30,L32,L34,L36,L38,L42,L40)-MIN(L14,L16,L22,L26,L28,L30,L32,L34,L36,L38,L42,L40)</f>
        <v>23832</v>
      </c>
    </row>
    <row r="47" spans="1:14">
      <c r="D47" s="164"/>
      <c r="E47" s="164"/>
      <c r="F47" s="164"/>
      <c r="G47" s="164"/>
      <c r="H47" s="164"/>
      <c r="I47" s="164"/>
      <c r="J47" s="164"/>
      <c r="K47" s="164"/>
      <c r="L47" s="164"/>
    </row>
    <row r="48" spans="1:14">
      <c r="A48" s="168" t="s">
        <v>8701</v>
      </c>
      <c r="D48" s="163">
        <f t="shared" ref="D48:I48" si="78">STDEVP(D14,D16,D22,D26,D28,D30,D32,D34,D36,D38,D42,D40)</f>
        <v>5164.1318378686738</v>
      </c>
      <c r="E48" s="163">
        <f t="shared" si="78"/>
        <v>5346.0678696277946</v>
      </c>
      <c r="F48" s="163">
        <f t="shared" si="78"/>
        <v>5389.2713709482305</v>
      </c>
      <c r="G48" s="163">
        <f t="shared" si="78"/>
        <v>5096.2725342210215</v>
      </c>
      <c r="H48" s="163">
        <f t="shared" si="78"/>
        <v>5343.8660682651425</v>
      </c>
      <c r="I48" s="163">
        <f t="shared" si="78"/>
        <v>6480.351717992542</v>
      </c>
      <c r="J48" s="163">
        <f t="shared" ref="J48:K48" si="79">STDEVP(J14,J16,J22,J26,J28,J30,J32,J34,J36,J38,J42,J40)</f>
        <v>5826.6166354640718</v>
      </c>
      <c r="K48" s="163">
        <f t="shared" si="79"/>
        <v>5420.8000306432832</v>
      </c>
      <c r="L48" s="163">
        <f t="shared" ref="L48" si="80">STDEVP(L14,L16,L22,L26,L28,L30,L32,L34,L36,L38,L42,L40)</f>
        <v>6331.2387676767758</v>
      </c>
    </row>
    <row r="49" spans="1:18">
      <c r="A49" s="168"/>
      <c r="D49" s="169"/>
      <c r="E49" s="169"/>
      <c r="F49" s="169"/>
      <c r="G49" s="169"/>
      <c r="H49" s="169"/>
      <c r="I49" s="169"/>
      <c r="J49" s="169"/>
      <c r="K49" s="169"/>
      <c r="L49" s="169"/>
    </row>
    <row r="50" spans="1:18">
      <c r="A50" s="168"/>
      <c r="D50" s="169"/>
      <c r="E50" s="169"/>
      <c r="F50" s="169"/>
      <c r="G50" s="169"/>
      <c r="H50" s="169"/>
      <c r="I50" s="169"/>
      <c r="J50" s="169"/>
      <c r="K50" s="169"/>
      <c r="L50" s="169"/>
    </row>
    <row r="51" spans="1:18">
      <c r="E51" s="42" t="s">
        <v>2303</v>
      </c>
      <c r="F51" s="42"/>
      <c r="G51" s="42"/>
      <c r="H51" s="42"/>
      <c r="I51" s="42"/>
      <c r="J51" s="42"/>
      <c r="K51" s="42"/>
      <c r="L51" s="42"/>
      <c r="M51" s="43"/>
      <c r="N51" s="43" t="s">
        <v>13319</v>
      </c>
    </row>
    <row r="52" spans="1:18">
      <c r="D52" s="162">
        <v>2010</v>
      </c>
      <c r="E52" s="162">
        <v>2011</v>
      </c>
      <c r="F52" s="162">
        <v>2012</v>
      </c>
      <c r="G52" s="162">
        <v>2013</v>
      </c>
      <c r="H52" s="162">
        <v>2014</v>
      </c>
      <c r="I52" s="162">
        <v>2015</v>
      </c>
      <c r="J52" s="162">
        <v>2016</v>
      </c>
      <c r="K52" s="162">
        <v>2017</v>
      </c>
      <c r="L52" s="162">
        <v>2018</v>
      </c>
      <c r="N52" s="44" t="s">
        <v>2304</v>
      </c>
    </row>
    <row r="53" spans="1:18">
      <c r="A53" s="160" t="s">
        <v>6824</v>
      </c>
      <c r="C53" s="160"/>
      <c r="D53" s="163">
        <f>SUM(D54:D58)+SUM(D60:D77)</f>
        <v>147060</v>
      </c>
      <c r="E53" s="163">
        <f t="shared" ref="E53:H53" si="81">SUM(E54:E58)+SUM(E60:E77)</f>
        <v>147346</v>
      </c>
      <c r="F53" s="163">
        <f t="shared" si="81"/>
        <v>146978</v>
      </c>
      <c r="G53" s="163">
        <f t="shared" si="81"/>
        <v>148302</v>
      </c>
      <c r="H53" s="163">
        <f t="shared" si="81"/>
        <v>146899</v>
      </c>
      <c r="I53" s="163">
        <f t="shared" ref="I53:J53" si="82">SUM(I54:I58)+SUM(I60:I77)</f>
        <v>140622</v>
      </c>
      <c r="J53" s="163">
        <f t="shared" si="82"/>
        <v>140942</v>
      </c>
      <c r="K53" s="163">
        <f t="shared" ref="K53:L53" si="83">SUM(K54:K58)+SUM(K60:K77)</f>
        <v>143984</v>
      </c>
      <c r="L53" s="163">
        <f t="shared" si="83"/>
        <v>144581</v>
      </c>
    </row>
    <row r="54" spans="1:18">
      <c r="A54" s="160" t="s">
        <v>6957</v>
      </c>
      <c r="B54" s="160" t="s">
        <v>6825</v>
      </c>
      <c r="C54" s="4" t="s">
        <v>9323</v>
      </c>
      <c r="D54" s="163">
        <v>6301</v>
      </c>
      <c r="E54" s="163">
        <v>6321</v>
      </c>
      <c r="F54" s="163">
        <v>6316</v>
      </c>
      <c r="G54" s="163">
        <v>6399</v>
      </c>
      <c r="H54" s="30">
        <v>6196</v>
      </c>
      <c r="I54" s="30">
        <v>6123</v>
      </c>
      <c r="J54" s="30">
        <v>5984</v>
      </c>
      <c r="K54" s="30">
        <v>6165</v>
      </c>
      <c r="L54" s="30">
        <v>6185</v>
      </c>
      <c r="N54" s="160" t="s">
        <v>4987</v>
      </c>
      <c r="P54" s="4"/>
      <c r="R54" s="4"/>
    </row>
    <row r="55" spans="1:18">
      <c r="A55" s="160" t="s">
        <v>6959</v>
      </c>
      <c r="B55" s="160" t="s">
        <v>6826</v>
      </c>
      <c r="C55" s="4" t="s">
        <v>9324</v>
      </c>
      <c r="D55" s="163">
        <v>7231</v>
      </c>
      <c r="E55" s="163">
        <v>7357</v>
      </c>
      <c r="F55" s="163">
        <v>7395</v>
      </c>
      <c r="G55" s="163">
        <v>7501</v>
      </c>
      <c r="H55" s="30">
        <v>7303</v>
      </c>
      <c r="I55" s="30">
        <v>6790</v>
      </c>
      <c r="J55" s="30">
        <v>6953</v>
      </c>
      <c r="K55" s="30">
        <v>7149</v>
      </c>
      <c r="L55" s="30">
        <v>7111</v>
      </c>
      <c r="N55" s="160" t="s">
        <v>4987</v>
      </c>
      <c r="P55" s="4"/>
      <c r="R55" s="4"/>
    </row>
    <row r="56" spans="1:18">
      <c r="A56" s="160" t="s">
        <v>6961</v>
      </c>
      <c r="B56" s="160" t="s">
        <v>6827</v>
      </c>
      <c r="C56" s="4" t="s">
        <v>9325</v>
      </c>
      <c r="D56" s="163">
        <v>5605</v>
      </c>
      <c r="E56" s="163">
        <v>5702</v>
      </c>
      <c r="F56" s="163">
        <v>5431</v>
      </c>
      <c r="G56" s="163">
        <v>5456</v>
      </c>
      <c r="H56" s="30">
        <v>5403</v>
      </c>
      <c r="I56" s="30">
        <v>5189</v>
      </c>
      <c r="J56" s="30">
        <v>5316</v>
      </c>
      <c r="K56" s="30">
        <v>5559</v>
      </c>
      <c r="L56" s="30">
        <v>5614</v>
      </c>
      <c r="N56" s="160" t="s">
        <v>4989</v>
      </c>
      <c r="P56" s="4"/>
      <c r="R56" s="4"/>
    </row>
    <row r="57" spans="1:18">
      <c r="A57" s="160" t="s">
        <v>6963</v>
      </c>
      <c r="B57" s="160" t="s">
        <v>6828</v>
      </c>
      <c r="C57" s="72" t="s">
        <v>13798</v>
      </c>
      <c r="D57" s="163">
        <v>7240</v>
      </c>
      <c r="E57" s="163">
        <v>7269</v>
      </c>
      <c r="F57" s="163">
        <v>7242</v>
      </c>
      <c r="G57" s="163">
        <v>7358</v>
      </c>
      <c r="H57" s="30">
        <v>7228</v>
      </c>
      <c r="I57" s="30">
        <v>6959</v>
      </c>
      <c r="J57" s="30">
        <v>6954</v>
      </c>
      <c r="K57" s="30">
        <v>6978</v>
      </c>
      <c r="L57" s="30">
        <v>6957</v>
      </c>
      <c r="N57" s="160" t="s">
        <v>4987</v>
      </c>
      <c r="P57" s="4"/>
      <c r="R57" s="4"/>
    </row>
    <row r="58" spans="1:18" ht="15.75" thickBot="1">
      <c r="A58" s="160"/>
      <c r="B58" s="160"/>
      <c r="C58" s="72" t="s">
        <v>13798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71">
        <v>0</v>
      </c>
      <c r="J58" s="171">
        <v>0</v>
      </c>
      <c r="K58" s="171">
        <v>0</v>
      </c>
      <c r="L58" s="171">
        <v>0</v>
      </c>
      <c r="N58" s="160" t="s">
        <v>1689</v>
      </c>
      <c r="P58" s="4"/>
      <c r="R58" s="4"/>
    </row>
    <row r="59" spans="1:18" ht="15.75" thickBot="1">
      <c r="A59" s="160"/>
      <c r="B59" s="160"/>
      <c r="C59" s="72" t="s">
        <v>13798</v>
      </c>
      <c r="D59" s="170">
        <f>D57+D58</f>
        <v>7240</v>
      </c>
      <c r="E59" s="170">
        <f t="shared" ref="E59:L59" si="84">E57+E58</f>
        <v>7269</v>
      </c>
      <c r="F59" s="170">
        <f t="shared" si="84"/>
        <v>7242</v>
      </c>
      <c r="G59" s="170">
        <f t="shared" si="84"/>
        <v>7358</v>
      </c>
      <c r="H59" s="170">
        <f t="shared" si="84"/>
        <v>7228</v>
      </c>
      <c r="I59" s="170">
        <f t="shared" si="84"/>
        <v>6959</v>
      </c>
      <c r="J59" s="922">
        <f t="shared" si="84"/>
        <v>6954</v>
      </c>
      <c r="K59" s="922">
        <f t="shared" si="84"/>
        <v>6978</v>
      </c>
      <c r="L59" s="922">
        <f t="shared" si="84"/>
        <v>6957</v>
      </c>
      <c r="N59" s="160"/>
      <c r="P59" s="4"/>
      <c r="R59" s="4"/>
    </row>
    <row r="60" spans="1:18">
      <c r="A60" s="160" t="s">
        <v>6965</v>
      </c>
      <c r="B60" s="160" t="s">
        <v>6829</v>
      </c>
      <c r="C60" s="4" t="s">
        <v>9326</v>
      </c>
      <c r="D60" s="163">
        <v>7186</v>
      </c>
      <c r="E60" s="163">
        <v>7214</v>
      </c>
      <c r="F60" s="163">
        <v>7233</v>
      </c>
      <c r="G60" s="163">
        <v>7282</v>
      </c>
      <c r="H60" s="30">
        <v>7196</v>
      </c>
      <c r="I60" s="30">
        <v>6957</v>
      </c>
      <c r="J60" s="30">
        <v>6892</v>
      </c>
      <c r="K60" s="30">
        <v>6977</v>
      </c>
      <c r="L60" s="30">
        <v>7016</v>
      </c>
      <c r="N60" s="160" t="s">
        <v>4989</v>
      </c>
      <c r="P60" s="4"/>
      <c r="R60" s="4"/>
    </row>
    <row r="61" spans="1:18">
      <c r="A61" s="160" t="s">
        <v>6997</v>
      </c>
      <c r="B61" s="160" t="s">
        <v>6830</v>
      </c>
      <c r="C61" s="4" t="s">
        <v>9327</v>
      </c>
      <c r="D61" s="163">
        <v>6708</v>
      </c>
      <c r="E61" s="163">
        <v>6764</v>
      </c>
      <c r="F61" s="163">
        <v>6755</v>
      </c>
      <c r="G61" s="163">
        <v>6806</v>
      </c>
      <c r="H61" s="30">
        <v>6773</v>
      </c>
      <c r="I61" s="30">
        <v>6702</v>
      </c>
      <c r="J61" s="30">
        <v>6659</v>
      </c>
      <c r="K61" s="30">
        <v>6741</v>
      </c>
      <c r="L61" s="30">
        <v>6749</v>
      </c>
      <c r="N61" s="160" t="s">
        <v>4987</v>
      </c>
      <c r="P61" s="4"/>
      <c r="R61" s="4"/>
    </row>
    <row r="62" spans="1:18">
      <c r="A62" s="160" t="s">
        <v>6999</v>
      </c>
      <c r="B62" s="160" t="s">
        <v>6831</v>
      </c>
      <c r="C62" s="4" t="s">
        <v>9328</v>
      </c>
      <c r="D62" s="163">
        <v>6696</v>
      </c>
      <c r="E62" s="163">
        <v>6758</v>
      </c>
      <c r="F62" s="163">
        <v>6727</v>
      </c>
      <c r="G62" s="163">
        <v>6764</v>
      </c>
      <c r="H62" s="30">
        <v>6718</v>
      </c>
      <c r="I62" s="30">
        <v>6367</v>
      </c>
      <c r="J62" s="30">
        <v>6371</v>
      </c>
      <c r="K62" s="30">
        <v>6530</v>
      </c>
      <c r="L62" s="30">
        <v>6493</v>
      </c>
      <c r="N62" s="160" t="s">
        <v>4989</v>
      </c>
      <c r="P62" s="4"/>
      <c r="R62" s="4"/>
    </row>
    <row r="63" spans="1:18">
      <c r="A63" s="160" t="s">
        <v>7001</v>
      </c>
      <c r="B63" s="160" t="s">
        <v>6832</v>
      </c>
      <c r="C63" s="4" t="s">
        <v>9329</v>
      </c>
      <c r="D63" s="163">
        <v>6345</v>
      </c>
      <c r="E63" s="163">
        <v>6258</v>
      </c>
      <c r="F63" s="163">
        <v>6244</v>
      </c>
      <c r="G63" s="163">
        <v>6364</v>
      </c>
      <c r="H63" s="30">
        <v>6224</v>
      </c>
      <c r="I63" s="30">
        <v>5658</v>
      </c>
      <c r="J63" s="30">
        <v>5823</v>
      </c>
      <c r="K63" s="30">
        <v>6098</v>
      </c>
      <c r="L63" s="30">
        <v>6281</v>
      </c>
      <c r="N63" s="160" t="s">
        <v>4989</v>
      </c>
      <c r="P63" s="4"/>
      <c r="R63" s="4"/>
    </row>
    <row r="64" spans="1:18">
      <c r="A64" s="160" t="s">
        <v>7003</v>
      </c>
      <c r="B64" s="160" t="s">
        <v>6833</v>
      </c>
      <c r="C64" s="4" t="s">
        <v>9330</v>
      </c>
      <c r="D64" s="163">
        <v>6864</v>
      </c>
      <c r="E64" s="163">
        <v>6863</v>
      </c>
      <c r="F64" s="163">
        <v>6853</v>
      </c>
      <c r="G64" s="163">
        <v>6803</v>
      </c>
      <c r="H64" s="30">
        <v>6774</v>
      </c>
      <c r="I64" s="30">
        <v>6556</v>
      </c>
      <c r="J64" s="30">
        <v>6586</v>
      </c>
      <c r="K64" s="30">
        <v>6804</v>
      </c>
      <c r="L64" s="30">
        <v>6756</v>
      </c>
      <c r="N64" s="160" t="s">
        <v>4987</v>
      </c>
      <c r="P64" s="4"/>
      <c r="R64" s="4"/>
    </row>
    <row r="65" spans="1:18">
      <c r="A65" s="160" t="s">
        <v>7005</v>
      </c>
      <c r="B65" s="160" t="s">
        <v>6834</v>
      </c>
      <c r="C65" s="4" t="s">
        <v>9331</v>
      </c>
      <c r="D65" s="163">
        <v>5655</v>
      </c>
      <c r="E65" s="163">
        <v>5741</v>
      </c>
      <c r="F65" s="163">
        <v>5684</v>
      </c>
      <c r="G65" s="163">
        <v>5805</v>
      </c>
      <c r="H65" s="30">
        <v>5945</v>
      </c>
      <c r="I65" s="30">
        <v>5597</v>
      </c>
      <c r="J65" s="30">
        <v>5586</v>
      </c>
      <c r="K65" s="30">
        <v>5683</v>
      </c>
      <c r="L65" s="30">
        <v>5695</v>
      </c>
      <c r="N65" s="160" t="s">
        <v>4989</v>
      </c>
      <c r="P65" s="4"/>
      <c r="R65" s="4"/>
    </row>
    <row r="66" spans="1:18">
      <c r="A66" s="160" t="s">
        <v>7007</v>
      </c>
      <c r="B66" s="160" t="s">
        <v>6835</v>
      </c>
      <c r="C66" s="4" t="s">
        <v>9332</v>
      </c>
      <c r="D66" s="163">
        <v>6586</v>
      </c>
      <c r="E66" s="163">
        <v>6580</v>
      </c>
      <c r="F66" s="163">
        <v>6541</v>
      </c>
      <c r="G66" s="163">
        <v>6563</v>
      </c>
      <c r="H66" s="31">
        <v>6340</v>
      </c>
      <c r="I66" s="31">
        <v>5955</v>
      </c>
      <c r="J66" s="31">
        <v>5895</v>
      </c>
      <c r="K66" s="31">
        <v>6110</v>
      </c>
      <c r="L66" s="31">
        <v>6088</v>
      </c>
      <c r="N66" s="160" t="s">
        <v>4989</v>
      </c>
      <c r="P66" s="4"/>
      <c r="R66" s="4"/>
    </row>
    <row r="67" spans="1:18">
      <c r="A67" s="160" t="s">
        <v>7009</v>
      </c>
      <c r="B67" s="160" t="s">
        <v>6836</v>
      </c>
      <c r="C67" s="4" t="s">
        <v>9333</v>
      </c>
      <c r="D67" s="163">
        <v>6784</v>
      </c>
      <c r="E67" s="163">
        <v>6849</v>
      </c>
      <c r="F67" s="163">
        <v>6799</v>
      </c>
      <c r="G67" s="163">
        <v>6951</v>
      </c>
      <c r="H67" s="30">
        <v>7177</v>
      </c>
      <c r="I67" s="30">
        <v>6897</v>
      </c>
      <c r="J67" s="30">
        <v>6963</v>
      </c>
      <c r="K67" s="30">
        <v>7142</v>
      </c>
      <c r="L67" s="30">
        <v>7153</v>
      </c>
      <c r="N67" s="160" t="s">
        <v>4987</v>
      </c>
      <c r="P67" s="4"/>
      <c r="R67" s="4"/>
    </row>
    <row r="68" spans="1:18">
      <c r="A68" s="160" t="s">
        <v>7011</v>
      </c>
      <c r="B68" s="160" t="s">
        <v>6837</v>
      </c>
      <c r="C68" s="4" t="s">
        <v>9334</v>
      </c>
      <c r="D68" s="163">
        <v>7405</v>
      </c>
      <c r="E68" s="163">
        <v>7251</v>
      </c>
      <c r="F68" s="163">
        <v>7408</v>
      </c>
      <c r="G68" s="163">
        <v>7560</v>
      </c>
      <c r="H68" s="31">
        <v>7376</v>
      </c>
      <c r="I68" s="31">
        <v>6983</v>
      </c>
      <c r="J68" s="31">
        <v>6860</v>
      </c>
      <c r="K68" s="31">
        <v>6990</v>
      </c>
      <c r="L68" s="31">
        <v>7045</v>
      </c>
      <c r="N68" s="160" t="s">
        <v>4989</v>
      </c>
      <c r="P68" s="4"/>
      <c r="R68" s="4"/>
    </row>
    <row r="69" spans="1:18">
      <c r="A69" s="160" t="s">
        <v>7013</v>
      </c>
      <c r="B69" s="160" t="s">
        <v>5056</v>
      </c>
      <c r="C69" s="4" t="s">
        <v>9335</v>
      </c>
      <c r="D69" s="163">
        <v>7073</v>
      </c>
      <c r="E69" s="163">
        <v>7160</v>
      </c>
      <c r="F69" s="163">
        <v>7133</v>
      </c>
      <c r="G69" s="163">
        <v>7155</v>
      </c>
      <c r="H69" s="31">
        <v>7116</v>
      </c>
      <c r="I69" s="31">
        <v>6891</v>
      </c>
      <c r="J69" s="31">
        <v>6910</v>
      </c>
      <c r="K69" s="31">
        <v>7023</v>
      </c>
      <c r="L69" s="31">
        <v>7073</v>
      </c>
      <c r="N69" s="160" t="s">
        <v>4989</v>
      </c>
      <c r="P69" s="4"/>
      <c r="R69" s="4"/>
    </row>
    <row r="70" spans="1:18">
      <c r="A70" s="160" t="s">
        <v>7015</v>
      </c>
      <c r="B70" s="160" t="s">
        <v>5057</v>
      </c>
      <c r="C70" s="4" t="s">
        <v>9336</v>
      </c>
      <c r="D70" s="171">
        <v>6727</v>
      </c>
      <c r="E70" s="171">
        <v>6755</v>
      </c>
      <c r="F70" s="171">
        <v>6771</v>
      </c>
      <c r="G70" s="171">
        <v>6791</v>
      </c>
      <c r="H70" s="31">
        <v>6666</v>
      </c>
      <c r="I70" s="31">
        <v>6346</v>
      </c>
      <c r="J70" s="31">
        <v>6373</v>
      </c>
      <c r="K70" s="31">
        <v>6515</v>
      </c>
      <c r="L70" s="31">
        <v>6531</v>
      </c>
      <c r="N70" s="160" t="s">
        <v>4992</v>
      </c>
      <c r="P70" s="4"/>
      <c r="R70" s="4"/>
    </row>
    <row r="71" spans="1:18">
      <c r="A71" s="160" t="s">
        <v>7017</v>
      </c>
      <c r="B71" s="160" t="s">
        <v>8061</v>
      </c>
      <c r="C71" s="4" t="s">
        <v>9337</v>
      </c>
      <c r="D71" s="163">
        <v>6362</v>
      </c>
      <c r="E71" s="163">
        <v>6399</v>
      </c>
      <c r="F71" s="163">
        <v>6513</v>
      </c>
      <c r="G71" s="163">
        <v>6644</v>
      </c>
      <c r="H71" s="30">
        <v>6778</v>
      </c>
      <c r="I71" s="30">
        <v>6648</v>
      </c>
      <c r="J71" s="30">
        <v>6818</v>
      </c>
      <c r="K71" s="30">
        <v>7043</v>
      </c>
      <c r="L71" s="30">
        <v>7041</v>
      </c>
      <c r="N71" s="160" t="s">
        <v>4987</v>
      </c>
      <c r="P71" s="4"/>
      <c r="R71" s="4"/>
    </row>
    <row r="72" spans="1:18">
      <c r="A72" s="160" t="s">
        <v>7019</v>
      </c>
      <c r="B72" s="160" t="s">
        <v>8062</v>
      </c>
      <c r="C72" s="4" t="s">
        <v>9338</v>
      </c>
      <c r="D72" s="163">
        <v>6066</v>
      </c>
      <c r="E72" s="163">
        <v>5783</v>
      </c>
      <c r="F72" s="163">
        <v>5778</v>
      </c>
      <c r="G72" s="163">
        <v>5852</v>
      </c>
      <c r="H72" s="31">
        <v>5816</v>
      </c>
      <c r="I72" s="31">
        <v>5405</v>
      </c>
      <c r="J72" s="31">
        <v>5470</v>
      </c>
      <c r="K72" s="31">
        <v>5574</v>
      </c>
      <c r="L72" s="31">
        <v>5785</v>
      </c>
      <c r="N72" s="160" t="s">
        <v>4989</v>
      </c>
      <c r="P72" s="4"/>
      <c r="R72" s="4"/>
    </row>
    <row r="73" spans="1:18">
      <c r="A73" s="160" t="s">
        <v>7021</v>
      </c>
      <c r="B73" s="160" t="s">
        <v>8063</v>
      </c>
      <c r="C73" s="4" t="s">
        <v>9339</v>
      </c>
      <c r="D73" s="163">
        <v>6292</v>
      </c>
      <c r="E73" s="163">
        <v>6369</v>
      </c>
      <c r="F73" s="163">
        <v>6296</v>
      </c>
      <c r="G73" s="163">
        <v>6339</v>
      </c>
      <c r="H73" s="31">
        <v>6301</v>
      </c>
      <c r="I73" s="31">
        <v>5923</v>
      </c>
      <c r="J73" s="31">
        <v>5972</v>
      </c>
      <c r="K73" s="31">
        <v>6109</v>
      </c>
      <c r="L73" s="31">
        <v>6166</v>
      </c>
      <c r="N73" s="160" t="s">
        <v>4992</v>
      </c>
      <c r="P73" s="4"/>
      <c r="R73" s="4"/>
    </row>
    <row r="74" spans="1:18">
      <c r="A74" s="160" t="s">
        <v>7023</v>
      </c>
      <c r="B74" s="160" t="s">
        <v>8064</v>
      </c>
      <c r="C74" s="4" t="s">
        <v>9340</v>
      </c>
      <c r="D74" s="163">
        <v>6603</v>
      </c>
      <c r="E74" s="163">
        <v>6625</v>
      </c>
      <c r="F74" s="163">
        <v>6590</v>
      </c>
      <c r="G74" s="163">
        <v>6630</v>
      </c>
      <c r="H74" s="30">
        <v>6527</v>
      </c>
      <c r="I74" s="30">
        <v>6380</v>
      </c>
      <c r="J74" s="30">
        <v>6307</v>
      </c>
      <c r="K74" s="30">
        <v>6310</v>
      </c>
      <c r="L74" s="30">
        <v>6329</v>
      </c>
      <c r="N74" s="160" t="s">
        <v>4987</v>
      </c>
      <c r="P74" s="4"/>
      <c r="R74" s="4"/>
    </row>
    <row r="75" spans="1:18">
      <c r="A75" s="160" t="s">
        <v>7025</v>
      </c>
      <c r="B75" s="160" t="s">
        <v>8065</v>
      </c>
      <c r="C75" s="4" t="s">
        <v>9341</v>
      </c>
      <c r="D75" s="163">
        <v>6843</v>
      </c>
      <c r="E75" s="163">
        <v>6850</v>
      </c>
      <c r="F75" s="163">
        <v>6855</v>
      </c>
      <c r="G75" s="163">
        <v>6784</v>
      </c>
      <c r="H75" s="30">
        <v>6623</v>
      </c>
      <c r="I75" s="30">
        <v>6485</v>
      </c>
      <c r="J75" s="30">
        <v>6483</v>
      </c>
      <c r="K75" s="30">
        <v>6490</v>
      </c>
      <c r="L75" s="30">
        <v>6485</v>
      </c>
      <c r="N75" s="160" t="s">
        <v>4987</v>
      </c>
      <c r="P75" s="4"/>
      <c r="R75" s="4"/>
    </row>
    <row r="76" spans="1:18">
      <c r="A76" s="160" t="s">
        <v>7570</v>
      </c>
      <c r="B76" s="160" t="s">
        <v>8066</v>
      </c>
      <c r="C76" s="4" t="s">
        <v>9342</v>
      </c>
      <c r="D76" s="163">
        <v>7633</v>
      </c>
      <c r="E76" s="163">
        <v>7619</v>
      </c>
      <c r="F76" s="163">
        <v>7566</v>
      </c>
      <c r="G76" s="163">
        <v>7594</v>
      </c>
      <c r="H76" s="31">
        <v>7466</v>
      </c>
      <c r="I76" s="31">
        <v>7046</v>
      </c>
      <c r="J76" s="31">
        <v>7065</v>
      </c>
      <c r="K76" s="31">
        <v>7225</v>
      </c>
      <c r="L76" s="31">
        <v>7267</v>
      </c>
      <c r="N76" s="160" t="s">
        <v>4989</v>
      </c>
      <c r="P76" s="4"/>
      <c r="R76" s="4"/>
    </row>
    <row r="77" spans="1:18">
      <c r="A77" s="160" t="s">
        <v>7572</v>
      </c>
      <c r="B77" s="160" t="s">
        <v>4675</v>
      </c>
      <c r="C77" s="4" t="s">
        <v>9343</v>
      </c>
      <c r="D77" s="163">
        <v>6855</v>
      </c>
      <c r="E77" s="163">
        <v>6859</v>
      </c>
      <c r="F77" s="163">
        <v>6848</v>
      </c>
      <c r="G77" s="163">
        <v>6901</v>
      </c>
      <c r="H77" s="30">
        <v>6953</v>
      </c>
      <c r="I77" s="30">
        <v>6765</v>
      </c>
      <c r="J77" s="30">
        <v>6702</v>
      </c>
      <c r="K77" s="30">
        <v>6769</v>
      </c>
      <c r="L77" s="30">
        <v>6761</v>
      </c>
      <c r="N77" s="160" t="s">
        <v>4987</v>
      </c>
      <c r="P77" s="4"/>
      <c r="R77" s="4"/>
    </row>
    <row r="78" spans="1:18">
      <c r="D78" s="164"/>
      <c r="E78" s="164"/>
      <c r="F78" s="164"/>
      <c r="G78" s="164"/>
      <c r="H78" s="164"/>
      <c r="I78" s="164"/>
      <c r="J78" s="164"/>
      <c r="K78" s="164"/>
      <c r="L78" s="164"/>
    </row>
    <row r="79" spans="1:18">
      <c r="A79" s="160" t="s">
        <v>13335</v>
      </c>
      <c r="D79" s="163">
        <f t="shared" ref="D79:I79" si="85">D54+D55+D57+D61+D64+D67+D71+D74+D75+D77</f>
        <v>67791</v>
      </c>
      <c r="E79" s="163">
        <f t="shared" si="85"/>
        <v>68156</v>
      </c>
      <c r="F79" s="163">
        <f t="shared" si="85"/>
        <v>68166</v>
      </c>
      <c r="G79" s="163">
        <f t="shared" si="85"/>
        <v>68777</v>
      </c>
      <c r="H79" s="163">
        <f t="shared" si="85"/>
        <v>68332</v>
      </c>
      <c r="I79" s="163">
        <f t="shared" si="85"/>
        <v>66305</v>
      </c>
      <c r="J79" s="163">
        <f t="shared" ref="J79:K79" si="86">J54+J55+J57+J61+J64+J67+J71+J74+J75+J77</f>
        <v>66409</v>
      </c>
      <c r="K79" s="163">
        <f t="shared" si="86"/>
        <v>67591</v>
      </c>
      <c r="L79" s="163">
        <f t="shared" ref="L79" si="87">L54+L55+L57+L61+L64+L67+L71+L74+L75+L77</f>
        <v>67527</v>
      </c>
    </row>
    <row r="80" spans="1:18">
      <c r="A80" s="160" t="s">
        <v>4989</v>
      </c>
      <c r="D80" s="163">
        <f t="shared" ref="D80:I80" si="88">D56+D60+D62+D63+D65+D66+D68+D69+D72+D76</f>
        <v>66250</v>
      </c>
      <c r="E80" s="163">
        <f t="shared" si="88"/>
        <v>66066</v>
      </c>
      <c r="F80" s="163">
        <f t="shared" si="88"/>
        <v>65745</v>
      </c>
      <c r="G80" s="163">
        <f t="shared" si="88"/>
        <v>66395</v>
      </c>
      <c r="H80" s="163">
        <f t="shared" si="88"/>
        <v>65600</v>
      </c>
      <c r="I80" s="163">
        <f t="shared" si="88"/>
        <v>62048</v>
      </c>
      <c r="J80" s="163">
        <f t="shared" ref="J80:K80" si="89">J56+J60+J62+J63+J65+J66+J68+J69+J72+J76</f>
        <v>62188</v>
      </c>
      <c r="K80" s="163">
        <f t="shared" si="89"/>
        <v>63769</v>
      </c>
      <c r="L80" s="163">
        <f t="shared" ref="L80" si="90">L56+L60+L62+L63+L65+L66+L68+L69+L72+L76</f>
        <v>64357</v>
      </c>
    </row>
    <row r="81" spans="1:17">
      <c r="A81" s="160" t="s">
        <v>13334</v>
      </c>
      <c r="D81" s="163">
        <f>D58</f>
        <v>0</v>
      </c>
      <c r="E81" s="163">
        <f t="shared" ref="E81:H81" si="91">E58</f>
        <v>0</v>
      </c>
      <c r="F81" s="163">
        <f t="shared" si="91"/>
        <v>0</v>
      </c>
      <c r="G81" s="163">
        <f t="shared" si="91"/>
        <v>0</v>
      </c>
      <c r="H81" s="163">
        <f t="shared" si="91"/>
        <v>0</v>
      </c>
      <c r="I81" s="163">
        <f t="shared" ref="I81:J81" si="92">I58</f>
        <v>0</v>
      </c>
      <c r="J81" s="163">
        <f t="shared" si="92"/>
        <v>0</v>
      </c>
      <c r="K81" s="163">
        <f t="shared" ref="K81:L81" si="93">K58</f>
        <v>0</v>
      </c>
      <c r="L81" s="163">
        <f t="shared" si="93"/>
        <v>0</v>
      </c>
    </row>
    <row r="82" spans="1:17">
      <c r="A82" s="160" t="s">
        <v>4676</v>
      </c>
      <c r="D82" s="163">
        <f t="shared" ref="D82:I82" si="94">D70+D73</f>
        <v>13019</v>
      </c>
      <c r="E82" s="163">
        <f t="shared" si="94"/>
        <v>13124</v>
      </c>
      <c r="F82" s="163">
        <f t="shared" si="94"/>
        <v>13067</v>
      </c>
      <c r="G82" s="163">
        <f t="shared" si="94"/>
        <v>13130</v>
      </c>
      <c r="H82" s="163">
        <f t="shared" si="94"/>
        <v>12967</v>
      </c>
      <c r="I82" s="163">
        <f t="shared" si="94"/>
        <v>12269</v>
      </c>
      <c r="J82" s="163">
        <f t="shared" ref="J82:K82" si="95">J70+J73</f>
        <v>12345</v>
      </c>
      <c r="K82" s="163">
        <f t="shared" si="95"/>
        <v>12624</v>
      </c>
      <c r="L82" s="163">
        <f t="shared" ref="L82" si="96">L70+L73</f>
        <v>12697</v>
      </c>
    </row>
    <row r="83" spans="1:17">
      <c r="A83" s="160"/>
      <c r="D83" s="163"/>
      <c r="E83" s="163"/>
      <c r="F83" s="163"/>
      <c r="G83" s="163"/>
      <c r="H83" s="163"/>
      <c r="I83" s="163"/>
      <c r="J83" s="163"/>
      <c r="K83" s="163"/>
      <c r="L83" s="163"/>
    </row>
    <row r="84" spans="1:17">
      <c r="A84" s="160" t="s">
        <v>13336</v>
      </c>
      <c r="D84" s="163"/>
      <c r="E84" s="163"/>
      <c r="F84" s="163"/>
      <c r="G84" s="163"/>
      <c r="H84" s="163"/>
      <c r="I84" s="163"/>
      <c r="J84" s="163"/>
      <c r="K84" s="163"/>
      <c r="L84" s="163"/>
    </row>
    <row r="85" spans="1:17">
      <c r="A85" s="160" t="s">
        <v>13411</v>
      </c>
      <c r="D85" s="163"/>
      <c r="E85" s="163"/>
      <c r="F85" s="163"/>
      <c r="G85" s="163"/>
      <c r="H85" s="163"/>
      <c r="I85" s="163"/>
      <c r="J85" s="163"/>
      <c r="K85" s="163"/>
      <c r="L85" s="163"/>
    </row>
    <row r="86" spans="1:17">
      <c r="A86" s="160"/>
      <c r="B86" s="160"/>
      <c r="D86" s="172"/>
      <c r="E86" s="172"/>
      <c r="F86" s="172"/>
      <c r="G86" s="172"/>
      <c r="H86" s="172"/>
      <c r="I86" s="172"/>
      <c r="J86" s="172"/>
      <c r="K86" s="172"/>
      <c r="L86" s="172"/>
    </row>
    <row r="87" spans="1:17">
      <c r="A87" s="160"/>
      <c r="B87" s="160"/>
      <c r="D87" s="172"/>
      <c r="E87" s="172"/>
      <c r="F87" s="172"/>
      <c r="G87" s="172"/>
      <c r="H87" s="172"/>
      <c r="I87" s="172"/>
      <c r="J87" s="172"/>
      <c r="K87" s="172"/>
      <c r="L87" s="172"/>
    </row>
    <row r="88" spans="1:17">
      <c r="E88" s="42" t="s">
        <v>2303</v>
      </c>
      <c r="F88" s="42"/>
      <c r="G88" s="42"/>
      <c r="H88" s="42"/>
      <c r="I88" s="42"/>
      <c r="J88" s="42"/>
      <c r="K88" s="42"/>
      <c r="L88" s="42"/>
      <c r="M88" s="43"/>
      <c r="N88" s="43" t="s">
        <v>13319</v>
      </c>
    </row>
    <row r="89" spans="1:17">
      <c r="D89" s="162">
        <v>2010</v>
      </c>
      <c r="E89" s="162">
        <v>2011</v>
      </c>
      <c r="F89" s="162">
        <v>2012</v>
      </c>
      <c r="G89" s="162">
        <v>2013</v>
      </c>
      <c r="H89" s="162">
        <v>2014</v>
      </c>
      <c r="I89" s="162">
        <v>2015</v>
      </c>
      <c r="J89" s="162">
        <v>2016</v>
      </c>
      <c r="K89" s="162">
        <v>2017</v>
      </c>
      <c r="L89" s="162">
        <v>2018</v>
      </c>
      <c r="N89" s="44" t="s">
        <v>2304</v>
      </c>
    </row>
    <row r="90" spans="1:17">
      <c r="A90" s="160" t="s">
        <v>3414</v>
      </c>
      <c r="D90" s="163">
        <f t="shared" ref="D90:K90" si="97">SUM(D91:D99,D101:D104,D106:D107,D109:D111,D113:D117,D119:D126)</f>
        <v>192497</v>
      </c>
      <c r="E90" s="163">
        <f t="shared" si="97"/>
        <v>193399</v>
      </c>
      <c r="F90" s="163">
        <f t="shared" si="97"/>
        <v>198963</v>
      </c>
      <c r="G90" s="163">
        <f t="shared" si="97"/>
        <v>200692</v>
      </c>
      <c r="H90" s="163">
        <f t="shared" si="97"/>
        <v>196986</v>
      </c>
      <c r="I90" s="163">
        <f t="shared" si="97"/>
        <v>180481</v>
      </c>
      <c r="J90" s="163">
        <f t="shared" si="97"/>
        <v>180183</v>
      </c>
      <c r="K90" s="163">
        <f t="shared" si="97"/>
        <v>189242</v>
      </c>
      <c r="L90" s="163">
        <f>SUM(L91:L99,L101:L104,L106:L107,L109:L111,L113:L117,L119:L126)</f>
        <v>178361</v>
      </c>
    </row>
    <row r="91" spans="1:17">
      <c r="A91" s="954" t="s">
        <v>6957</v>
      </c>
      <c r="B91" s="160" t="s">
        <v>16708</v>
      </c>
      <c r="C91" s="4"/>
      <c r="D91" s="163">
        <v>60565</v>
      </c>
      <c r="E91" s="163">
        <v>60795</v>
      </c>
      <c r="F91" s="163">
        <v>61943</v>
      </c>
      <c r="G91" s="163">
        <v>62464</v>
      </c>
      <c r="H91" s="163">
        <v>60853</v>
      </c>
      <c r="I91" s="163">
        <v>55337</v>
      </c>
      <c r="J91" s="163">
        <v>55483</v>
      </c>
      <c r="K91" s="163">
        <v>58571</v>
      </c>
      <c r="L91" s="30">
        <v>4083</v>
      </c>
      <c r="N91" s="160" t="s">
        <v>4994</v>
      </c>
      <c r="P91" s="4"/>
      <c r="Q91" s="4"/>
    </row>
    <row r="92" spans="1:17">
      <c r="A92" s="954" t="s">
        <v>6959</v>
      </c>
      <c r="B92" s="160" t="s">
        <v>3415</v>
      </c>
      <c r="C92" s="4"/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30">
        <v>7386</v>
      </c>
      <c r="N92" s="160" t="s">
        <v>4994</v>
      </c>
      <c r="P92" s="4"/>
      <c r="Q92" s="4"/>
    </row>
    <row r="93" spans="1:17">
      <c r="A93" s="954" t="s">
        <v>6961</v>
      </c>
      <c r="B93" s="160" t="s">
        <v>3416</v>
      </c>
      <c r="C93" s="4"/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30">
        <v>6245</v>
      </c>
      <c r="N93" s="160" t="s">
        <v>4994</v>
      </c>
      <c r="P93" s="4"/>
      <c r="Q93" s="4"/>
    </row>
    <row r="94" spans="1:17">
      <c r="A94" s="954" t="s">
        <v>6963</v>
      </c>
      <c r="B94" s="160" t="s">
        <v>5114</v>
      </c>
      <c r="C94" s="4"/>
      <c r="D94" s="163">
        <v>64647</v>
      </c>
      <c r="E94" s="163">
        <v>65203</v>
      </c>
      <c r="F94" s="163">
        <v>68908</v>
      </c>
      <c r="G94" s="163">
        <v>69589</v>
      </c>
      <c r="H94" s="163">
        <v>67945</v>
      </c>
      <c r="I94" s="163">
        <v>58557</v>
      </c>
      <c r="J94" s="163">
        <v>58407</v>
      </c>
      <c r="K94" s="163">
        <v>62469</v>
      </c>
      <c r="L94" s="31">
        <v>6155</v>
      </c>
      <c r="N94" s="160" t="s">
        <v>4996</v>
      </c>
      <c r="P94" s="4"/>
      <c r="Q94" s="4"/>
    </row>
    <row r="95" spans="1:17">
      <c r="A95" s="954" t="s">
        <v>6965</v>
      </c>
      <c r="B95" s="160" t="s">
        <v>16712</v>
      </c>
      <c r="C95" s="4"/>
      <c r="D95" s="163">
        <v>67285</v>
      </c>
      <c r="E95" s="163">
        <v>67401</v>
      </c>
      <c r="F95" s="163">
        <v>68112</v>
      </c>
      <c r="G95" s="163">
        <v>68639</v>
      </c>
      <c r="H95" s="163">
        <v>68188</v>
      </c>
      <c r="I95" s="163">
        <v>66587</v>
      </c>
      <c r="J95" s="163">
        <v>66293</v>
      </c>
      <c r="K95" s="163">
        <v>68202</v>
      </c>
      <c r="L95" s="30">
        <v>6785</v>
      </c>
      <c r="N95" s="160" t="s">
        <v>6817</v>
      </c>
      <c r="P95" s="4"/>
      <c r="Q95" s="4"/>
    </row>
    <row r="96" spans="1:17">
      <c r="A96" s="954" t="s">
        <v>6997</v>
      </c>
      <c r="B96" s="160" t="s">
        <v>7588</v>
      </c>
      <c r="C96" s="4"/>
      <c r="D96" s="164"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31">
        <v>8040</v>
      </c>
      <c r="N96" s="160" t="s">
        <v>6817</v>
      </c>
      <c r="P96" s="4"/>
      <c r="Q96" s="4"/>
    </row>
    <row r="97" spans="1:17">
      <c r="A97" s="954" t="s">
        <v>6999</v>
      </c>
      <c r="B97" s="160" t="s">
        <v>16713</v>
      </c>
      <c r="C97" s="4"/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31">
        <v>7605</v>
      </c>
      <c r="N97" s="160" t="s">
        <v>6817</v>
      </c>
      <c r="P97" s="4"/>
      <c r="Q97" s="4"/>
    </row>
    <row r="98" spans="1:17">
      <c r="A98" s="954" t="s">
        <v>7001</v>
      </c>
      <c r="B98" s="160" t="s">
        <v>16711</v>
      </c>
      <c r="C98" s="4"/>
      <c r="D98" s="164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30">
        <v>4237</v>
      </c>
      <c r="N98" s="160" t="s">
        <v>4996</v>
      </c>
      <c r="P98" s="4"/>
      <c r="Q98" s="4"/>
    </row>
    <row r="99" spans="1:17" ht="15.75" thickBot="1">
      <c r="A99" s="954"/>
      <c r="B99" s="160"/>
      <c r="C99" s="4"/>
      <c r="D99" s="164">
        <v>0</v>
      </c>
      <c r="E99" s="164">
        <v>0</v>
      </c>
      <c r="F99" s="164">
        <v>0</v>
      </c>
      <c r="G99" s="164">
        <v>0</v>
      </c>
      <c r="H99" s="164">
        <v>0</v>
      </c>
      <c r="I99" s="164">
        <v>0</v>
      </c>
      <c r="J99" s="164">
        <v>0</v>
      </c>
      <c r="K99" s="164">
        <v>0</v>
      </c>
      <c r="L99" s="31">
        <v>3257</v>
      </c>
      <c r="N99" s="160" t="s">
        <v>6817</v>
      </c>
      <c r="P99" s="4"/>
      <c r="Q99" s="4"/>
    </row>
    <row r="100" spans="1:17" ht="15.75" thickBot="1">
      <c r="A100" s="954"/>
      <c r="B100" s="160"/>
      <c r="C100" s="4"/>
      <c r="D100" s="170">
        <f>D98+D99</f>
        <v>0</v>
      </c>
      <c r="E100" s="170">
        <f t="shared" ref="E100:L100" si="98">E98+E99</f>
        <v>0</v>
      </c>
      <c r="F100" s="170">
        <f t="shared" si="98"/>
        <v>0</v>
      </c>
      <c r="G100" s="170">
        <f t="shared" si="98"/>
        <v>0</v>
      </c>
      <c r="H100" s="170">
        <f t="shared" si="98"/>
        <v>0</v>
      </c>
      <c r="I100" s="170">
        <f t="shared" si="98"/>
        <v>0</v>
      </c>
      <c r="J100" s="170">
        <f t="shared" si="98"/>
        <v>0</v>
      </c>
      <c r="K100" s="170">
        <f t="shared" si="98"/>
        <v>0</v>
      </c>
      <c r="L100" s="170">
        <f t="shared" si="98"/>
        <v>7494</v>
      </c>
      <c r="N100" s="160"/>
      <c r="P100" s="4"/>
      <c r="Q100" s="4"/>
    </row>
    <row r="101" spans="1:17">
      <c r="A101" s="954" t="s">
        <v>16716</v>
      </c>
      <c r="B101" s="160" t="s">
        <v>16714</v>
      </c>
      <c r="C101" s="4"/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30">
        <v>8417</v>
      </c>
      <c r="N101" s="160" t="s">
        <v>6817</v>
      </c>
      <c r="P101" s="4"/>
      <c r="Q101" s="4"/>
    </row>
    <row r="102" spans="1:17">
      <c r="A102" s="954" t="s">
        <v>7005</v>
      </c>
      <c r="B102" s="160" t="s">
        <v>5115</v>
      </c>
      <c r="C102" s="4"/>
      <c r="D102" s="164">
        <v>0</v>
      </c>
      <c r="E102" s="164">
        <v>0</v>
      </c>
      <c r="F102" s="164">
        <v>0</v>
      </c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30">
        <v>6410</v>
      </c>
      <c r="N102" s="160" t="s">
        <v>4994</v>
      </c>
      <c r="P102" s="4"/>
      <c r="Q102" s="4"/>
    </row>
    <row r="103" spans="1:17">
      <c r="A103" s="954" t="s">
        <v>7007</v>
      </c>
      <c r="B103" s="160" t="s">
        <v>16709</v>
      </c>
      <c r="C103" s="4"/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31">
        <v>2300</v>
      </c>
      <c r="N103" s="160" t="s">
        <v>4994</v>
      </c>
      <c r="Q103" s="4"/>
    </row>
    <row r="104" spans="1:17" ht="15.75" thickBot="1">
      <c r="A104" s="954"/>
      <c r="B104" s="160"/>
      <c r="C104" s="4"/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31">
        <v>4884</v>
      </c>
      <c r="N104" s="160" t="s">
        <v>6817</v>
      </c>
      <c r="P104" s="4"/>
      <c r="Q104" s="4"/>
    </row>
    <row r="105" spans="1:17" ht="15.75" thickBot="1">
      <c r="A105" s="954"/>
      <c r="B105" s="160"/>
      <c r="C105" s="4"/>
      <c r="D105" s="170">
        <f t="shared" ref="D105:L105" si="99">D103+D104</f>
        <v>0</v>
      </c>
      <c r="E105" s="170">
        <f t="shared" si="99"/>
        <v>0</v>
      </c>
      <c r="F105" s="170">
        <f t="shared" si="99"/>
        <v>0</v>
      </c>
      <c r="G105" s="170">
        <f t="shared" si="99"/>
        <v>0</v>
      </c>
      <c r="H105" s="170">
        <f t="shared" si="99"/>
        <v>0</v>
      </c>
      <c r="I105" s="170">
        <f t="shared" si="99"/>
        <v>0</v>
      </c>
      <c r="J105" s="170">
        <f t="shared" si="99"/>
        <v>0</v>
      </c>
      <c r="K105" s="170">
        <f t="shared" si="99"/>
        <v>0</v>
      </c>
      <c r="L105" s="170">
        <f t="shared" si="99"/>
        <v>7184</v>
      </c>
      <c r="N105" s="160"/>
      <c r="P105" s="4"/>
    </row>
    <row r="106" spans="1:17">
      <c r="A106" s="954" t="s">
        <v>7009</v>
      </c>
      <c r="B106" s="160" t="s">
        <v>3073</v>
      </c>
      <c r="C106" s="4"/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30">
        <v>4980</v>
      </c>
      <c r="N106" s="160" t="s">
        <v>4994</v>
      </c>
      <c r="P106" s="4"/>
      <c r="Q106" s="4"/>
    </row>
    <row r="107" spans="1:17" ht="15.75" thickBot="1">
      <c r="A107" s="954"/>
      <c r="B107" s="160"/>
      <c r="C107" s="4"/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30">
        <v>2696</v>
      </c>
      <c r="N107" s="160" t="s">
        <v>6817</v>
      </c>
      <c r="P107" s="4"/>
      <c r="Q107" s="4"/>
    </row>
    <row r="108" spans="1:17" ht="15.75" thickBot="1">
      <c r="A108" s="954"/>
      <c r="B108" s="160"/>
      <c r="C108" s="4"/>
      <c r="D108" s="170">
        <f t="shared" ref="D108:L108" si="100">D106+D107</f>
        <v>0</v>
      </c>
      <c r="E108" s="170">
        <f t="shared" si="100"/>
        <v>0</v>
      </c>
      <c r="F108" s="170">
        <f t="shared" si="100"/>
        <v>0</v>
      </c>
      <c r="G108" s="170">
        <f t="shared" si="100"/>
        <v>0</v>
      </c>
      <c r="H108" s="170">
        <f t="shared" si="100"/>
        <v>0</v>
      </c>
      <c r="I108" s="170">
        <f t="shared" si="100"/>
        <v>0</v>
      </c>
      <c r="J108" s="170">
        <f t="shared" si="100"/>
        <v>0</v>
      </c>
      <c r="K108" s="170">
        <f t="shared" si="100"/>
        <v>0</v>
      </c>
      <c r="L108" s="170">
        <f t="shared" si="100"/>
        <v>7676</v>
      </c>
      <c r="N108" s="160"/>
      <c r="P108" s="4"/>
    </row>
    <row r="109" spans="1:17">
      <c r="A109" s="954" t="s">
        <v>7011</v>
      </c>
      <c r="B109" s="160" t="s">
        <v>2397</v>
      </c>
      <c r="C109" s="4"/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30">
        <v>7715</v>
      </c>
      <c r="N109" s="160" t="s">
        <v>4996</v>
      </c>
      <c r="P109" s="4"/>
    </row>
    <row r="110" spans="1:17">
      <c r="A110" s="954" t="s">
        <v>7013</v>
      </c>
      <c r="B110" s="160" t="s">
        <v>5318</v>
      </c>
      <c r="C110" s="4"/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30">
        <v>5103</v>
      </c>
      <c r="N110" s="160" t="s">
        <v>4994</v>
      </c>
      <c r="P110" s="4"/>
    </row>
    <row r="111" spans="1:17" ht="15.75" thickBot="1">
      <c r="A111" s="954"/>
      <c r="B111" s="160"/>
      <c r="C111" s="4"/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30">
        <v>1999</v>
      </c>
      <c r="N111" s="160" t="s">
        <v>6817</v>
      </c>
      <c r="P111" s="4"/>
      <c r="Q111" s="4"/>
    </row>
    <row r="112" spans="1:17" ht="15.75" thickBot="1">
      <c r="A112" s="954"/>
      <c r="B112" s="160"/>
      <c r="C112" s="4"/>
      <c r="D112" s="170">
        <f t="shared" ref="D112:L112" si="101">D110+D111</f>
        <v>0</v>
      </c>
      <c r="E112" s="170">
        <f t="shared" si="101"/>
        <v>0</v>
      </c>
      <c r="F112" s="170">
        <f t="shared" si="101"/>
        <v>0</v>
      </c>
      <c r="G112" s="170">
        <f t="shared" si="101"/>
        <v>0</v>
      </c>
      <c r="H112" s="170">
        <f t="shared" si="101"/>
        <v>0</v>
      </c>
      <c r="I112" s="170">
        <f t="shared" si="101"/>
        <v>0</v>
      </c>
      <c r="J112" s="170">
        <f t="shared" si="101"/>
        <v>0</v>
      </c>
      <c r="K112" s="170">
        <f t="shared" si="101"/>
        <v>0</v>
      </c>
      <c r="L112" s="170">
        <f t="shared" si="101"/>
        <v>7102</v>
      </c>
      <c r="N112" s="160"/>
      <c r="P112" s="4"/>
      <c r="Q112" s="4"/>
    </row>
    <row r="113" spans="1:18">
      <c r="A113" s="954" t="s">
        <v>7015</v>
      </c>
      <c r="B113" s="160" t="s">
        <v>16715</v>
      </c>
      <c r="C113" s="4"/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30">
        <v>6699</v>
      </c>
      <c r="N113" s="160" t="s">
        <v>6817</v>
      </c>
      <c r="Q113" s="4"/>
    </row>
    <row r="114" spans="1:18">
      <c r="A114" s="954" t="s">
        <v>7017</v>
      </c>
      <c r="B114" s="160" t="s">
        <v>5116</v>
      </c>
      <c r="C114" s="4"/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4">
        <v>0</v>
      </c>
      <c r="J114" s="164">
        <v>0</v>
      </c>
      <c r="K114" s="164">
        <v>0</v>
      </c>
      <c r="L114" s="30">
        <v>7113</v>
      </c>
      <c r="N114" s="160" t="s">
        <v>6817</v>
      </c>
      <c r="P114" s="4"/>
      <c r="Q114" s="4"/>
    </row>
    <row r="115" spans="1:18">
      <c r="A115" s="954" t="s">
        <v>7019</v>
      </c>
      <c r="B115" s="160" t="s">
        <v>91</v>
      </c>
      <c r="C115" s="4"/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4">
        <v>0</v>
      </c>
      <c r="J115" s="164">
        <v>0</v>
      </c>
      <c r="K115" s="164">
        <v>0</v>
      </c>
      <c r="L115" s="30">
        <v>7041</v>
      </c>
      <c r="N115" s="160" t="s">
        <v>4996</v>
      </c>
      <c r="P115" s="4"/>
      <c r="Q115" s="4"/>
    </row>
    <row r="116" spans="1:18">
      <c r="A116" s="954" t="s">
        <v>7021</v>
      </c>
      <c r="B116" s="160" t="s">
        <v>1221</v>
      </c>
      <c r="C116" s="4"/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31">
        <v>3180</v>
      </c>
      <c r="N116" s="160" t="s">
        <v>4994</v>
      </c>
      <c r="P116" s="4"/>
    </row>
    <row r="117" spans="1:18" ht="15.75" thickBot="1">
      <c r="A117" s="954"/>
      <c r="B117" s="160"/>
      <c r="C117" s="4"/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30">
        <v>1040</v>
      </c>
      <c r="N117" s="160" t="s">
        <v>4996</v>
      </c>
      <c r="Q117" s="4"/>
    </row>
    <row r="118" spans="1:18" ht="15.75" thickBot="1">
      <c r="A118" s="954"/>
      <c r="B118" s="160"/>
      <c r="C118" s="4"/>
      <c r="D118" s="170">
        <f t="shared" ref="D118:L118" si="102">D116+D117</f>
        <v>0</v>
      </c>
      <c r="E118" s="170">
        <f t="shared" si="102"/>
        <v>0</v>
      </c>
      <c r="F118" s="170">
        <f t="shared" si="102"/>
        <v>0</v>
      </c>
      <c r="G118" s="170">
        <f t="shared" si="102"/>
        <v>0</v>
      </c>
      <c r="H118" s="170">
        <f t="shared" si="102"/>
        <v>0</v>
      </c>
      <c r="I118" s="170">
        <f t="shared" si="102"/>
        <v>0</v>
      </c>
      <c r="J118" s="170">
        <f t="shared" si="102"/>
        <v>0</v>
      </c>
      <c r="K118" s="170">
        <f t="shared" si="102"/>
        <v>0</v>
      </c>
      <c r="L118" s="170">
        <f t="shared" si="102"/>
        <v>4220</v>
      </c>
      <c r="N118" s="160"/>
      <c r="Q118" s="4"/>
    </row>
    <row r="119" spans="1:18">
      <c r="A119" s="954" t="s">
        <v>7023</v>
      </c>
      <c r="B119" s="160" t="s">
        <v>5117</v>
      </c>
      <c r="C119" s="4"/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30">
        <v>6238</v>
      </c>
      <c r="N119" s="160" t="s">
        <v>4996</v>
      </c>
      <c r="Q119" s="4"/>
    </row>
    <row r="120" spans="1:18">
      <c r="A120" s="954" t="s">
        <v>7025</v>
      </c>
      <c r="B120" s="160" t="s">
        <v>7212</v>
      </c>
      <c r="C120" s="4"/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31">
        <v>5204</v>
      </c>
      <c r="N120" s="160" t="s">
        <v>4996</v>
      </c>
      <c r="P120" s="4"/>
      <c r="Q120" s="4"/>
    </row>
    <row r="121" spans="1:18">
      <c r="A121" s="954" t="s">
        <v>7570</v>
      </c>
      <c r="B121" s="160" t="s">
        <v>6287</v>
      </c>
      <c r="C121" s="4"/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31">
        <v>8569</v>
      </c>
      <c r="N121" s="160" t="s">
        <v>6817</v>
      </c>
      <c r="P121" s="4"/>
      <c r="Q121" s="4"/>
    </row>
    <row r="122" spans="1:18">
      <c r="A122" s="954" t="s">
        <v>7572</v>
      </c>
      <c r="B122" s="160" t="s">
        <v>5118</v>
      </c>
      <c r="C122" s="4"/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30">
        <v>6339</v>
      </c>
      <c r="N122" s="160" t="s">
        <v>4996</v>
      </c>
    </row>
    <row r="123" spans="1:18">
      <c r="A123" s="954" t="s">
        <v>7573</v>
      </c>
      <c r="B123" s="160" t="s">
        <v>5119</v>
      </c>
      <c r="C123" s="4"/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31">
        <v>6700</v>
      </c>
      <c r="N123" s="160" t="s">
        <v>4996</v>
      </c>
    </row>
    <row r="124" spans="1:18">
      <c r="A124" s="954" t="s">
        <v>5798</v>
      </c>
      <c r="B124" s="160" t="s">
        <v>5120</v>
      </c>
      <c r="C124" s="4"/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30">
        <v>8208</v>
      </c>
      <c r="N124" s="160" t="s">
        <v>4996</v>
      </c>
    </row>
    <row r="125" spans="1:18">
      <c r="A125" s="954" t="s">
        <v>5799</v>
      </c>
      <c r="B125" s="160" t="s">
        <v>16710</v>
      </c>
      <c r="C125" s="4"/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30">
        <v>7008</v>
      </c>
      <c r="N125" s="160" t="s">
        <v>4994</v>
      </c>
    </row>
    <row r="126" spans="1:18">
      <c r="A126" s="954" t="s">
        <v>5801</v>
      </c>
      <c r="B126" s="160" t="s">
        <v>5121</v>
      </c>
      <c r="C126" s="4"/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31">
        <v>6725</v>
      </c>
      <c r="N126" s="160" t="s">
        <v>4994</v>
      </c>
    </row>
    <row r="127" spans="1:18">
      <c r="D127" s="164"/>
      <c r="E127" s="164"/>
      <c r="F127" s="164"/>
      <c r="G127" s="164"/>
      <c r="H127" s="164"/>
      <c r="I127" s="164"/>
      <c r="J127" s="164"/>
      <c r="K127" s="164"/>
      <c r="L127" s="164"/>
    </row>
    <row r="128" spans="1:18">
      <c r="A128" s="160" t="s">
        <v>4994</v>
      </c>
      <c r="D128" s="163">
        <f t="shared" ref="D128:L128" si="103">SUM(D91:D93)+D102+D103+D106+D110+D116+D125+D126</f>
        <v>60565</v>
      </c>
      <c r="E128" s="163">
        <f t="shared" si="103"/>
        <v>60795</v>
      </c>
      <c r="F128" s="163">
        <f t="shared" si="103"/>
        <v>61943</v>
      </c>
      <c r="G128" s="163">
        <f t="shared" si="103"/>
        <v>62464</v>
      </c>
      <c r="H128" s="163">
        <f t="shared" si="103"/>
        <v>60853</v>
      </c>
      <c r="I128" s="163">
        <f t="shared" si="103"/>
        <v>55337</v>
      </c>
      <c r="J128" s="163">
        <f t="shared" si="103"/>
        <v>55483</v>
      </c>
      <c r="K128" s="163">
        <f t="shared" si="103"/>
        <v>58571</v>
      </c>
      <c r="L128" s="163">
        <f t="shared" si="103"/>
        <v>53420</v>
      </c>
      <c r="P128" s="4"/>
      <c r="R128" s="4"/>
    </row>
    <row r="129" spans="1:18">
      <c r="A129" s="160" t="s">
        <v>4996</v>
      </c>
      <c r="D129" s="163">
        <f t="shared" ref="D129:L129" si="104">D94+D98+D109+D115+D117+D119+D120+D122+D123+D124</f>
        <v>64647</v>
      </c>
      <c r="E129" s="163">
        <f t="shared" si="104"/>
        <v>65203</v>
      </c>
      <c r="F129" s="163">
        <f t="shared" si="104"/>
        <v>68908</v>
      </c>
      <c r="G129" s="163">
        <f t="shared" si="104"/>
        <v>69589</v>
      </c>
      <c r="H129" s="163">
        <f t="shared" si="104"/>
        <v>67945</v>
      </c>
      <c r="I129" s="163">
        <f t="shared" si="104"/>
        <v>58557</v>
      </c>
      <c r="J129" s="163">
        <f t="shared" si="104"/>
        <v>58407</v>
      </c>
      <c r="K129" s="163">
        <f t="shared" si="104"/>
        <v>62469</v>
      </c>
      <c r="L129" s="163">
        <f t="shared" si="104"/>
        <v>58877</v>
      </c>
      <c r="P129" s="4"/>
      <c r="R129" s="4"/>
    </row>
    <row r="130" spans="1:18">
      <c r="A130" s="160" t="s">
        <v>6817</v>
      </c>
      <c r="D130" s="163">
        <f t="shared" ref="D130:L130" si="105">D95+D96+D97+D99+D101+D104+D107+D111+D113+D114+D121</f>
        <v>67285</v>
      </c>
      <c r="E130" s="163">
        <f t="shared" si="105"/>
        <v>67401</v>
      </c>
      <c r="F130" s="163">
        <f t="shared" si="105"/>
        <v>68112</v>
      </c>
      <c r="G130" s="163">
        <f t="shared" si="105"/>
        <v>68639</v>
      </c>
      <c r="H130" s="163">
        <f t="shared" si="105"/>
        <v>68188</v>
      </c>
      <c r="I130" s="163">
        <f t="shared" si="105"/>
        <v>66587</v>
      </c>
      <c r="J130" s="163">
        <f t="shared" si="105"/>
        <v>66293</v>
      </c>
      <c r="K130" s="163">
        <f t="shared" si="105"/>
        <v>68202</v>
      </c>
      <c r="L130" s="163">
        <f t="shared" si="105"/>
        <v>66064</v>
      </c>
      <c r="P130" s="4"/>
      <c r="R130" s="4"/>
    </row>
    <row r="131" spans="1:18">
      <c r="A131" s="160"/>
      <c r="B131" s="160"/>
      <c r="D131" s="163"/>
      <c r="E131" s="163"/>
      <c r="F131" s="163"/>
      <c r="G131" s="163"/>
      <c r="H131" s="163"/>
      <c r="I131" s="163"/>
      <c r="J131" s="163"/>
      <c r="K131" s="163"/>
      <c r="L131" s="163"/>
      <c r="P131" s="4"/>
      <c r="R131" s="4"/>
    </row>
    <row r="132" spans="1:18">
      <c r="A132" s="161" t="s">
        <v>16717</v>
      </c>
      <c r="P132" s="4"/>
      <c r="R132" s="4"/>
    </row>
    <row r="133" spans="1:18">
      <c r="P133" s="4"/>
      <c r="R133" s="4"/>
    </row>
    <row r="134" spans="1:18">
      <c r="P134" s="4"/>
      <c r="R134" s="4"/>
    </row>
    <row r="135" spans="1:18">
      <c r="E135" s="42" t="s">
        <v>2303</v>
      </c>
      <c r="F135" s="42"/>
      <c r="G135" s="42"/>
      <c r="H135" s="42"/>
      <c r="I135" s="42"/>
      <c r="J135" s="42"/>
      <c r="K135" s="42"/>
      <c r="L135" s="42"/>
      <c r="M135" s="43"/>
      <c r="N135" s="43" t="s">
        <v>13319</v>
      </c>
      <c r="P135" s="4"/>
      <c r="R135" s="4"/>
    </row>
    <row r="136" spans="1:18">
      <c r="D136" s="162">
        <v>2010</v>
      </c>
      <c r="E136" s="162">
        <v>2011</v>
      </c>
      <c r="F136" s="162">
        <v>2012</v>
      </c>
      <c r="G136" s="162">
        <v>2013</v>
      </c>
      <c r="H136" s="162">
        <v>2014</v>
      </c>
      <c r="I136" s="162">
        <v>2015</v>
      </c>
      <c r="J136" s="162">
        <v>2016</v>
      </c>
      <c r="K136" s="162">
        <v>2017</v>
      </c>
      <c r="L136" s="162">
        <v>2018</v>
      </c>
      <c r="N136" s="44" t="s">
        <v>2304</v>
      </c>
      <c r="P136" s="4"/>
      <c r="R136" s="4"/>
    </row>
    <row r="137" spans="1:18">
      <c r="A137" s="160" t="s">
        <v>6923</v>
      </c>
      <c r="D137" s="163">
        <f t="shared" ref="D137:I137" si="106">SUM(D138:D157)</f>
        <v>154834</v>
      </c>
      <c r="E137" s="163">
        <f t="shared" si="106"/>
        <v>155235</v>
      </c>
      <c r="F137" s="163">
        <f t="shared" si="106"/>
        <v>156824</v>
      </c>
      <c r="G137" s="163">
        <f t="shared" si="106"/>
        <v>157479</v>
      </c>
      <c r="H137" s="163">
        <f t="shared" si="106"/>
        <v>157043</v>
      </c>
      <c r="I137" s="163">
        <f t="shared" si="106"/>
        <v>154774</v>
      </c>
      <c r="J137" s="163">
        <f t="shared" ref="J137:K137" si="107">SUM(J138:J157)</f>
        <v>151045</v>
      </c>
      <c r="K137" s="163">
        <f t="shared" si="107"/>
        <v>154638</v>
      </c>
      <c r="L137" s="163">
        <f t="shared" ref="L137" si="108">SUM(L138:L157)</f>
        <v>153243</v>
      </c>
      <c r="P137" s="4"/>
      <c r="R137" s="4"/>
    </row>
    <row r="138" spans="1:18">
      <c r="A138" s="160" t="s">
        <v>6957</v>
      </c>
      <c r="B138" s="160" t="s">
        <v>6924</v>
      </c>
      <c r="C138" s="4" t="s">
        <v>9344</v>
      </c>
      <c r="D138" s="163">
        <v>8344</v>
      </c>
      <c r="E138" s="163">
        <v>8331</v>
      </c>
      <c r="F138" s="163">
        <v>8384</v>
      </c>
      <c r="G138" s="163">
        <v>8414</v>
      </c>
      <c r="H138" s="48">
        <v>8343</v>
      </c>
      <c r="I138" s="48">
        <v>8275</v>
      </c>
      <c r="J138" s="48">
        <v>7985</v>
      </c>
      <c r="K138" s="48">
        <v>8225</v>
      </c>
      <c r="L138" s="48">
        <v>8090</v>
      </c>
      <c r="N138" s="160" t="s">
        <v>6818</v>
      </c>
      <c r="P138" s="4"/>
      <c r="R138" s="4"/>
    </row>
    <row r="139" spans="1:18">
      <c r="A139" s="160" t="s">
        <v>6959</v>
      </c>
      <c r="B139" s="160" t="s">
        <v>6925</v>
      </c>
      <c r="C139" s="4" t="s">
        <v>9345</v>
      </c>
      <c r="D139" s="163">
        <v>7918</v>
      </c>
      <c r="E139" s="163">
        <v>7863</v>
      </c>
      <c r="F139" s="163">
        <v>7867</v>
      </c>
      <c r="G139" s="163">
        <v>7888</v>
      </c>
      <c r="H139" s="48">
        <v>7852</v>
      </c>
      <c r="I139" s="48">
        <v>7755</v>
      </c>
      <c r="J139" s="48">
        <v>7622</v>
      </c>
      <c r="K139" s="48">
        <v>7799</v>
      </c>
      <c r="L139" s="48">
        <v>7755</v>
      </c>
      <c r="N139" s="160" t="s">
        <v>6818</v>
      </c>
      <c r="P139" s="4"/>
      <c r="R139" s="4"/>
    </row>
    <row r="140" spans="1:18">
      <c r="A140" s="160" t="s">
        <v>6961</v>
      </c>
      <c r="B140" s="160" t="s">
        <v>6926</v>
      </c>
      <c r="C140" s="4" t="s">
        <v>9346</v>
      </c>
      <c r="D140" s="163">
        <v>7944</v>
      </c>
      <c r="E140" s="163">
        <v>7882</v>
      </c>
      <c r="F140" s="163">
        <v>7925</v>
      </c>
      <c r="G140" s="163">
        <v>7934</v>
      </c>
      <c r="H140" s="48">
        <v>7989</v>
      </c>
      <c r="I140" s="48">
        <v>7811</v>
      </c>
      <c r="J140" s="48">
        <v>7711</v>
      </c>
      <c r="K140" s="48">
        <v>7955</v>
      </c>
      <c r="L140" s="48">
        <v>7644</v>
      </c>
      <c r="N140" s="160" t="s">
        <v>6818</v>
      </c>
      <c r="P140" s="4"/>
      <c r="R140" s="4"/>
    </row>
    <row r="141" spans="1:18">
      <c r="A141" s="160" t="s">
        <v>6963</v>
      </c>
      <c r="B141" s="160" t="s">
        <v>6927</v>
      </c>
      <c r="C141" s="4" t="s">
        <v>9347</v>
      </c>
      <c r="D141" s="171">
        <v>8215</v>
      </c>
      <c r="E141" s="171">
        <v>8267</v>
      </c>
      <c r="F141" s="171">
        <v>8490</v>
      </c>
      <c r="G141" s="171">
        <v>8504</v>
      </c>
      <c r="H141" s="48">
        <v>8439</v>
      </c>
      <c r="I141" s="48">
        <v>8247</v>
      </c>
      <c r="J141" s="48">
        <v>7771</v>
      </c>
      <c r="K141" s="48">
        <v>7871</v>
      </c>
      <c r="L141" s="48">
        <v>7701</v>
      </c>
      <c r="N141" s="160" t="s">
        <v>6822</v>
      </c>
      <c r="R141" s="4"/>
    </row>
    <row r="142" spans="1:18">
      <c r="A142" s="160" t="s">
        <v>6965</v>
      </c>
      <c r="B142" s="160" t="s">
        <v>6928</v>
      </c>
      <c r="C142" s="4" t="s">
        <v>9348</v>
      </c>
      <c r="D142" s="163">
        <v>8512</v>
      </c>
      <c r="E142" s="163">
        <v>8578</v>
      </c>
      <c r="F142" s="163">
        <v>8584</v>
      </c>
      <c r="G142" s="163">
        <v>8627</v>
      </c>
      <c r="H142" s="48">
        <v>8558</v>
      </c>
      <c r="I142" s="48">
        <v>8470</v>
      </c>
      <c r="J142" s="48">
        <v>8096</v>
      </c>
      <c r="K142" s="48">
        <v>8411</v>
      </c>
      <c r="L142" s="48">
        <v>8372</v>
      </c>
      <c r="N142" s="160" t="s">
        <v>6822</v>
      </c>
      <c r="R142" s="4"/>
    </row>
    <row r="143" spans="1:18">
      <c r="A143" s="160" t="s">
        <v>6997</v>
      </c>
      <c r="B143" s="160" t="s">
        <v>6929</v>
      </c>
      <c r="C143" s="4" t="s">
        <v>9349</v>
      </c>
      <c r="D143" s="163">
        <v>7555</v>
      </c>
      <c r="E143" s="163">
        <v>7513</v>
      </c>
      <c r="F143" s="163">
        <v>7577</v>
      </c>
      <c r="G143" s="163">
        <v>7624</v>
      </c>
      <c r="H143" s="48">
        <v>7597</v>
      </c>
      <c r="I143" s="48">
        <v>7581</v>
      </c>
      <c r="J143" s="48">
        <v>7424</v>
      </c>
      <c r="K143" s="48">
        <v>7523</v>
      </c>
      <c r="L143" s="48">
        <v>7412</v>
      </c>
      <c r="N143" s="160" t="s">
        <v>6822</v>
      </c>
      <c r="R143" s="4"/>
    </row>
    <row r="144" spans="1:18">
      <c r="A144" s="160" t="s">
        <v>6999</v>
      </c>
      <c r="B144" s="160" t="s">
        <v>6930</v>
      </c>
      <c r="C144" s="4" t="s">
        <v>9350</v>
      </c>
      <c r="D144" s="171">
        <v>8206</v>
      </c>
      <c r="E144" s="171">
        <v>8257</v>
      </c>
      <c r="F144" s="171">
        <v>8283</v>
      </c>
      <c r="G144" s="171">
        <v>8263</v>
      </c>
      <c r="H144" s="48">
        <v>8228</v>
      </c>
      <c r="I144" s="48">
        <v>8060</v>
      </c>
      <c r="J144" s="48">
        <v>7717</v>
      </c>
      <c r="K144" s="48">
        <v>7758</v>
      </c>
      <c r="L144" s="48">
        <v>7810</v>
      </c>
      <c r="N144" s="160" t="s">
        <v>6818</v>
      </c>
      <c r="P144" s="4"/>
      <c r="R144" s="4"/>
    </row>
    <row r="145" spans="1:18">
      <c r="A145" s="160" t="s">
        <v>7001</v>
      </c>
      <c r="B145" s="160" t="s">
        <v>6931</v>
      </c>
      <c r="C145" s="4" t="s">
        <v>9351</v>
      </c>
      <c r="D145" s="163">
        <v>7797</v>
      </c>
      <c r="E145" s="163">
        <v>7935</v>
      </c>
      <c r="F145" s="163">
        <v>7963</v>
      </c>
      <c r="G145" s="163">
        <v>8122</v>
      </c>
      <c r="H145" s="48">
        <v>8187</v>
      </c>
      <c r="I145" s="48">
        <v>8150</v>
      </c>
      <c r="J145" s="48">
        <v>8087</v>
      </c>
      <c r="K145" s="48">
        <v>8285</v>
      </c>
      <c r="L145" s="48">
        <v>8472</v>
      </c>
      <c r="N145" s="160" t="s">
        <v>6818</v>
      </c>
      <c r="P145" s="4"/>
      <c r="R145" s="4"/>
    </row>
    <row r="146" spans="1:18">
      <c r="A146" s="160" t="s">
        <v>7003</v>
      </c>
      <c r="B146" s="160" t="s">
        <v>8684</v>
      </c>
      <c r="C146" s="4" t="s">
        <v>9352</v>
      </c>
      <c r="D146" s="163">
        <v>8096</v>
      </c>
      <c r="E146" s="163">
        <v>8147</v>
      </c>
      <c r="F146" s="163">
        <v>8229</v>
      </c>
      <c r="G146" s="163">
        <v>8277</v>
      </c>
      <c r="H146" s="48">
        <v>8240</v>
      </c>
      <c r="I146" s="48">
        <v>8041</v>
      </c>
      <c r="J146" s="48">
        <v>7845</v>
      </c>
      <c r="K146" s="48">
        <v>8018</v>
      </c>
      <c r="L146" s="48">
        <v>7704</v>
      </c>
      <c r="N146" s="160" t="s">
        <v>6818</v>
      </c>
      <c r="P146" s="4"/>
      <c r="R146" s="4"/>
    </row>
    <row r="147" spans="1:18">
      <c r="A147" s="160" t="s">
        <v>7005</v>
      </c>
      <c r="B147" s="160" t="s">
        <v>8685</v>
      </c>
      <c r="C147" s="4" t="s">
        <v>9353</v>
      </c>
      <c r="D147" s="163">
        <v>7033</v>
      </c>
      <c r="E147" s="163">
        <v>6996</v>
      </c>
      <c r="F147" s="163">
        <v>7068</v>
      </c>
      <c r="G147" s="163">
        <v>7080</v>
      </c>
      <c r="H147" s="48">
        <v>7020</v>
      </c>
      <c r="I147" s="48">
        <v>6953</v>
      </c>
      <c r="J147" s="48">
        <v>6869</v>
      </c>
      <c r="K147" s="48">
        <v>7005</v>
      </c>
      <c r="L147" s="48">
        <v>7058</v>
      </c>
      <c r="N147" s="160" t="s">
        <v>6822</v>
      </c>
      <c r="R147" s="4"/>
    </row>
    <row r="148" spans="1:18">
      <c r="A148" s="160" t="s">
        <v>7007</v>
      </c>
      <c r="B148" s="160" t="s">
        <v>8774</v>
      </c>
      <c r="C148" s="4" t="s">
        <v>9354</v>
      </c>
      <c r="D148" s="163">
        <v>7740</v>
      </c>
      <c r="E148" s="163">
        <v>7686</v>
      </c>
      <c r="F148" s="163">
        <v>7641</v>
      </c>
      <c r="G148" s="163">
        <v>7682</v>
      </c>
      <c r="H148" s="48">
        <v>7703</v>
      </c>
      <c r="I148" s="48">
        <v>7623</v>
      </c>
      <c r="J148" s="48">
        <v>7427</v>
      </c>
      <c r="K148" s="48">
        <v>7571</v>
      </c>
      <c r="L148" s="48">
        <v>7553</v>
      </c>
      <c r="N148" s="160" t="s">
        <v>6822</v>
      </c>
    </row>
    <row r="149" spans="1:18">
      <c r="A149" s="160" t="s">
        <v>7009</v>
      </c>
      <c r="B149" s="160" t="s">
        <v>8775</v>
      </c>
      <c r="C149" s="4" t="s">
        <v>9355</v>
      </c>
      <c r="D149" s="171">
        <v>6874</v>
      </c>
      <c r="E149" s="171">
        <v>6860</v>
      </c>
      <c r="F149" s="171">
        <v>6946</v>
      </c>
      <c r="G149" s="171">
        <v>6845</v>
      </c>
      <c r="H149" s="48">
        <v>6868</v>
      </c>
      <c r="I149" s="48">
        <v>6777</v>
      </c>
      <c r="J149" s="48">
        <v>6580</v>
      </c>
      <c r="K149" s="48">
        <v>6634</v>
      </c>
      <c r="L149" s="48">
        <v>6699</v>
      </c>
      <c r="N149" s="160" t="s">
        <v>6818</v>
      </c>
      <c r="P149" s="4"/>
    </row>
    <row r="150" spans="1:18">
      <c r="A150" s="160" t="s">
        <v>7011</v>
      </c>
      <c r="B150" s="160" t="s">
        <v>5081</v>
      </c>
      <c r="C150" s="4" t="s">
        <v>9356</v>
      </c>
      <c r="D150" s="163">
        <v>7071</v>
      </c>
      <c r="E150" s="163">
        <v>7040</v>
      </c>
      <c r="F150" s="163">
        <v>7051</v>
      </c>
      <c r="G150" s="163">
        <v>7004</v>
      </c>
      <c r="H150" s="48">
        <v>6880</v>
      </c>
      <c r="I150" s="48">
        <v>6751</v>
      </c>
      <c r="J150" s="48">
        <v>6587</v>
      </c>
      <c r="K150" s="48">
        <v>6655</v>
      </c>
      <c r="L150" s="48">
        <v>6650</v>
      </c>
      <c r="N150" s="160" t="s">
        <v>6822</v>
      </c>
    </row>
    <row r="151" spans="1:18">
      <c r="A151" s="160" t="s">
        <v>7013</v>
      </c>
      <c r="B151" s="160" t="s">
        <v>8572</v>
      </c>
      <c r="C151" s="4" t="s">
        <v>9357</v>
      </c>
      <c r="D151" s="163">
        <v>7958</v>
      </c>
      <c r="E151" s="163">
        <v>7930</v>
      </c>
      <c r="F151" s="163">
        <v>8230</v>
      </c>
      <c r="G151" s="163">
        <v>8290</v>
      </c>
      <c r="H151" s="48">
        <v>8214</v>
      </c>
      <c r="I151" s="48">
        <v>8055</v>
      </c>
      <c r="J151" s="48">
        <v>7805</v>
      </c>
      <c r="K151" s="48">
        <v>8054</v>
      </c>
      <c r="L151" s="48">
        <v>7944</v>
      </c>
      <c r="N151" s="160" t="s">
        <v>6818</v>
      </c>
      <c r="P151" s="4"/>
    </row>
    <row r="152" spans="1:18">
      <c r="A152" s="160" t="s">
        <v>7015</v>
      </c>
      <c r="B152" s="160" t="s">
        <v>8835</v>
      </c>
      <c r="C152" s="4" t="s">
        <v>9358</v>
      </c>
      <c r="D152" s="171">
        <v>6989</v>
      </c>
      <c r="E152" s="171">
        <v>6909</v>
      </c>
      <c r="F152" s="171">
        <v>6954</v>
      </c>
      <c r="G152" s="171">
        <v>6957</v>
      </c>
      <c r="H152" s="48">
        <v>6948</v>
      </c>
      <c r="I152" s="48">
        <v>6913</v>
      </c>
      <c r="J152" s="48">
        <v>6844</v>
      </c>
      <c r="K152" s="48">
        <v>6985</v>
      </c>
      <c r="L152" s="48">
        <v>6998</v>
      </c>
      <c r="N152" s="160" t="s">
        <v>6822</v>
      </c>
    </row>
    <row r="153" spans="1:18">
      <c r="A153" s="160" t="s">
        <v>7017</v>
      </c>
      <c r="B153" s="160" t="s">
        <v>8776</v>
      </c>
      <c r="C153" s="4" t="s">
        <v>9359</v>
      </c>
      <c r="D153" s="163">
        <v>8349</v>
      </c>
      <c r="E153" s="163">
        <v>8407</v>
      </c>
      <c r="F153" s="163">
        <v>8533</v>
      </c>
      <c r="G153" s="163">
        <v>8505</v>
      </c>
      <c r="H153" s="48">
        <v>8550</v>
      </c>
      <c r="I153" s="48">
        <v>8425</v>
      </c>
      <c r="J153" s="48">
        <v>8201</v>
      </c>
      <c r="K153" s="48">
        <v>8452</v>
      </c>
      <c r="L153" s="48">
        <v>8220</v>
      </c>
      <c r="N153" s="160" t="s">
        <v>6822</v>
      </c>
    </row>
    <row r="154" spans="1:18">
      <c r="A154" s="160" t="s">
        <v>7019</v>
      </c>
      <c r="B154" s="160" t="s">
        <v>7796</v>
      </c>
      <c r="C154" s="4" t="s">
        <v>9360</v>
      </c>
      <c r="D154" s="163">
        <v>7859</v>
      </c>
      <c r="E154" s="163">
        <v>8054</v>
      </c>
      <c r="F154" s="163">
        <v>8307</v>
      </c>
      <c r="G154" s="163">
        <v>8499</v>
      </c>
      <c r="H154" s="48">
        <v>8540</v>
      </c>
      <c r="I154" s="48">
        <v>8494</v>
      </c>
      <c r="J154" s="48">
        <v>8301</v>
      </c>
      <c r="K154" s="48">
        <v>8654</v>
      </c>
      <c r="L154" s="48">
        <v>8852</v>
      </c>
      <c r="N154" s="160" t="s">
        <v>6822</v>
      </c>
    </row>
    <row r="155" spans="1:18">
      <c r="A155" s="160" t="s">
        <v>7021</v>
      </c>
      <c r="B155" s="160" t="s">
        <v>8777</v>
      </c>
      <c r="C155" s="4" t="s">
        <v>9361</v>
      </c>
      <c r="D155" s="163">
        <v>7578</v>
      </c>
      <c r="E155" s="163">
        <v>7766</v>
      </c>
      <c r="F155" s="163">
        <v>7847</v>
      </c>
      <c r="G155" s="163">
        <v>7948</v>
      </c>
      <c r="H155" s="48">
        <v>7902</v>
      </c>
      <c r="I155" s="48">
        <v>7590</v>
      </c>
      <c r="J155" s="48">
        <v>7425</v>
      </c>
      <c r="K155" s="48">
        <v>7575</v>
      </c>
      <c r="L155" s="48">
        <v>7392</v>
      </c>
      <c r="N155" s="160" t="s">
        <v>6818</v>
      </c>
      <c r="P155" s="4"/>
    </row>
    <row r="156" spans="1:18">
      <c r="A156" s="160" t="s">
        <v>7023</v>
      </c>
      <c r="B156" s="160" t="s">
        <v>8778</v>
      </c>
      <c r="C156" s="4" t="s">
        <v>9362</v>
      </c>
      <c r="D156" s="163">
        <v>7674</v>
      </c>
      <c r="E156" s="163">
        <v>7646</v>
      </c>
      <c r="F156" s="163">
        <v>7702</v>
      </c>
      <c r="G156" s="163">
        <v>7700</v>
      </c>
      <c r="H156" s="48">
        <v>7742</v>
      </c>
      <c r="I156" s="48">
        <v>7668</v>
      </c>
      <c r="J156" s="48">
        <v>7650</v>
      </c>
      <c r="K156" s="48">
        <v>7888</v>
      </c>
      <c r="L156" s="48">
        <v>7742</v>
      </c>
      <c r="N156" s="160" t="s">
        <v>6818</v>
      </c>
      <c r="P156" s="4"/>
    </row>
    <row r="157" spans="1:18">
      <c r="A157" s="160" t="s">
        <v>7025</v>
      </c>
      <c r="B157" s="160" t="s">
        <v>8779</v>
      </c>
      <c r="C157" s="4" t="s">
        <v>9363</v>
      </c>
      <c r="D157" s="163">
        <v>7122</v>
      </c>
      <c r="E157" s="163">
        <v>7168</v>
      </c>
      <c r="F157" s="163">
        <v>7243</v>
      </c>
      <c r="G157" s="163">
        <v>7316</v>
      </c>
      <c r="H157" s="48">
        <v>7243</v>
      </c>
      <c r="I157" s="48">
        <v>7135</v>
      </c>
      <c r="J157" s="48">
        <v>7098</v>
      </c>
      <c r="K157" s="48">
        <v>7320</v>
      </c>
      <c r="L157" s="48">
        <v>7175</v>
      </c>
      <c r="N157" s="160" t="s">
        <v>6822</v>
      </c>
    </row>
    <row r="158" spans="1:18">
      <c r="D158" s="164"/>
      <c r="E158" s="164"/>
      <c r="F158" s="164"/>
      <c r="G158" s="164"/>
      <c r="H158" s="164"/>
      <c r="I158" s="164"/>
      <c r="J158" s="164"/>
      <c r="K158" s="164"/>
      <c r="L158" s="164"/>
      <c r="P158" s="4"/>
      <c r="R158" s="4"/>
    </row>
    <row r="159" spans="1:18">
      <c r="A159" s="160" t="s">
        <v>6818</v>
      </c>
      <c r="D159" s="163">
        <f t="shared" ref="D159:I159" si="109">SUM(D138:D140)+SUM(D144:D146)+D149+D151+D155+D156</f>
        <v>78389</v>
      </c>
      <c r="E159" s="163">
        <f t="shared" si="109"/>
        <v>78617</v>
      </c>
      <c r="F159" s="163">
        <f t="shared" si="109"/>
        <v>79376</v>
      </c>
      <c r="G159" s="163">
        <f t="shared" si="109"/>
        <v>79681</v>
      </c>
      <c r="H159" s="163">
        <f t="shared" si="109"/>
        <v>79565</v>
      </c>
      <c r="I159" s="163">
        <f t="shared" si="109"/>
        <v>78182</v>
      </c>
      <c r="J159" s="163">
        <f t="shared" ref="J159:K159" si="110">SUM(J138:J140)+SUM(J144:J146)+J149+J151+J155+J156</f>
        <v>76427</v>
      </c>
      <c r="K159" s="163">
        <f t="shared" si="110"/>
        <v>78191</v>
      </c>
      <c r="L159" s="163">
        <f t="shared" ref="L159" si="111">SUM(L138:L140)+SUM(L144:L146)+L149+L151+L155+L156</f>
        <v>77252</v>
      </c>
      <c r="P159" s="4"/>
      <c r="R159" s="4"/>
    </row>
    <row r="160" spans="1:18">
      <c r="A160" s="160" t="s">
        <v>6822</v>
      </c>
      <c r="D160" s="163">
        <f t="shared" ref="D160:I160" si="112">SUM(D141:D143)+D147+D148+D150+SUM(D152:D154)+D157</f>
        <v>76445</v>
      </c>
      <c r="E160" s="163">
        <f t="shared" si="112"/>
        <v>76618</v>
      </c>
      <c r="F160" s="163">
        <f t="shared" si="112"/>
        <v>77448</v>
      </c>
      <c r="G160" s="163">
        <f t="shared" si="112"/>
        <v>77798</v>
      </c>
      <c r="H160" s="163">
        <f t="shared" si="112"/>
        <v>77478</v>
      </c>
      <c r="I160" s="163">
        <f t="shared" si="112"/>
        <v>76592</v>
      </c>
      <c r="J160" s="163">
        <f t="shared" ref="J160:K160" si="113">SUM(J141:J143)+J147+J148+J150+SUM(J152:J154)+J157</f>
        <v>74618</v>
      </c>
      <c r="K160" s="163">
        <f t="shared" si="113"/>
        <v>76447</v>
      </c>
      <c r="L160" s="163">
        <f t="shared" ref="L160" si="114">SUM(L141:L143)+L147+L148+L150+SUM(L152:L154)+L157</f>
        <v>75991</v>
      </c>
      <c r="P160" s="4"/>
      <c r="R160" s="4"/>
    </row>
    <row r="161" spans="1:18">
      <c r="A161" s="160"/>
      <c r="D161" s="163"/>
      <c r="E161" s="163"/>
      <c r="F161" s="163"/>
      <c r="G161" s="163"/>
      <c r="H161" s="163"/>
      <c r="I161" s="163"/>
      <c r="J161" s="163"/>
      <c r="K161" s="163"/>
      <c r="L161" s="163"/>
      <c r="P161" s="4"/>
      <c r="R161" s="4"/>
    </row>
    <row r="162" spans="1:18">
      <c r="A162" s="160" t="s">
        <v>8780</v>
      </c>
      <c r="D162" s="163"/>
      <c r="E162" s="163"/>
      <c r="F162" s="163"/>
      <c r="G162" s="163"/>
      <c r="H162" s="163"/>
      <c r="I162" s="163"/>
      <c r="J162" s="163"/>
      <c r="K162" s="163"/>
      <c r="L162" s="163"/>
      <c r="P162" s="4"/>
      <c r="R162" s="4"/>
    </row>
    <row r="163" spans="1:18" ht="15.75" customHeight="1">
      <c r="A163" s="160"/>
      <c r="B163" s="160"/>
      <c r="D163" s="172"/>
      <c r="E163" s="172"/>
      <c r="F163" s="172"/>
      <c r="G163" s="172"/>
      <c r="H163" s="172"/>
      <c r="I163" s="172"/>
      <c r="J163" s="172"/>
      <c r="K163" s="172"/>
      <c r="L163" s="172"/>
      <c r="P163" s="4"/>
      <c r="R163" s="4"/>
    </row>
    <row r="164" spans="1:18">
      <c r="A164" s="160"/>
      <c r="B164" s="160"/>
      <c r="D164" s="172"/>
      <c r="E164" s="172"/>
      <c r="F164" s="172"/>
      <c r="G164" s="172"/>
      <c r="H164" s="172"/>
      <c r="I164" s="172"/>
      <c r="J164" s="172"/>
      <c r="K164" s="172"/>
      <c r="L164" s="172"/>
      <c r="P164" s="4"/>
      <c r="R164" s="4"/>
    </row>
    <row r="165" spans="1:18">
      <c r="E165" s="42" t="s">
        <v>2303</v>
      </c>
      <c r="F165" s="42"/>
      <c r="G165" s="42"/>
      <c r="H165" s="42"/>
      <c r="I165" s="42"/>
      <c r="J165" s="42"/>
      <c r="K165" s="42"/>
      <c r="L165" s="42"/>
      <c r="M165" s="43"/>
      <c r="N165" s="43" t="s">
        <v>13319</v>
      </c>
      <c r="P165" s="4"/>
      <c r="R165" s="4"/>
    </row>
    <row r="166" spans="1:18">
      <c r="D166" s="162">
        <v>2010</v>
      </c>
      <c r="E166" s="162">
        <v>2011</v>
      </c>
      <c r="F166" s="162">
        <v>2012</v>
      </c>
      <c r="G166" s="162">
        <v>2013</v>
      </c>
      <c r="H166" s="162">
        <v>2014</v>
      </c>
      <c r="I166" s="162">
        <v>2015</v>
      </c>
      <c r="J166" s="162">
        <v>2016</v>
      </c>
      <c r="K166" s="162">
        <v>2017</v>
      </c>
      <c r="L166" s="162">
        <v>2018</v>
      </c>
      <c r="N166" s="44" t="s">
        <v>2304</v>
      </c>
      <c r="P166" s="4"/>
      <c r="R166" s="4"/>
    </row>
    <row r="167" spans="1:18">
      <c r="A167" s="160" t="s">
        <v>8590</v>
      </c>
      <c r="D167" s="163">
        <f t="shared" ref="D167:I167" si="115">SUM(D168:D185)</f>
        <v>115648</v>
      </c>
      <c r="E167" s="163">
        <f t="shared" si="115"/>
        <v>115688</v>
      </c>
      <c r="F167" s="163">
        <f t="shared" si="115"/>
        <v>115818</v>
      </c>
      <c r="G167" s="163">
        <f t="shared" si="115"/>
        <v>116396</v>
      </c>
      <c r="H167" s="163">
        <f t="shared" si="115"/>
        <v>115153</v>
      </c>
      <c r="I167" s="163">
        <f t="shared" si="115"/>
        <v>114494</v>
      </c>
      <c r="J167" s="163">
        <f t="shared" ref="J167:K167" si="116">SUM(J168:J185)</f>
        <v>115022</v>
      </c>
      <c r="K167" s="163">
        <f t="shared" si="116"/>
        <v>115223</v>
      </c>
      <c r="L167" s="163">
        <f t="shared" ref="L167" si="117">SUM(L168:L185)</f>
        <v>115083</v>
      </c>
      <c r="P167" s="4"/>
      <c r="R167" s="4"/>
    </row>
    <row r="168" spans="1:18">
      <c r="A168" s="160" t="s">
        <v>6957</v>
      </c>
      <c r="B168" s="160" t="s">
        <v>8591</v>
      </c>
      <c r="C168" s="4" t="s">
        <v>9364</v>
      </c>
      <c r="D168" s="163">
        <v>6947</v>
      </c>
      <c r="E168" s="163">
        <v>6862</v>
      </c>
      <c r="F168" s="163">
        <v>6917</v>
      </c>
      <c r="G168" s="163">
        <v>6982</v>
      </c>
      <c r="H168" s="48">
        <v>6818</v>
      </c>
      <c r="I168" s="48">
        <v>6715</v>
      </c>
      <c r="J168" s="48">
        <v>6735</v>
      </c>
      <c r="K168" s="48">
        <v>6746</v>
      </c>
      <c r="L168" s="48">
        <v>6592</v>
      </c>
      <c r="N168" s="160" t="s">
        <v>6820</v>
      </c>
      <c r="R168" s="4"/>
    </row>
    <row r="169" spans="1:18">
      <c r="A169" s="160" t="s">
        <v>6959</v>
      </c>
      <c r="B169" s="160" t="s">
        <v>3749</v>
      </c>
      <c r="C169" s="4" t="s">
        <v>9365</v>
      </c>
      <c r="D169" s="171">
        <v>6080</v>
      </c>
      <c r="E169" s="171">
        <v>6097</v>
      </c>
      <c r="F169" s="171">
        <v>6050</v>
      </c>
      <c r="G169" s="171">
        <v>6107</v>
      </c>
      <c r="H169" s="48">
        <v>6051</v>
      </c>
      <c r="I169" s="48">
        <v>6009</v>
      </c>
      <c r="J169" s="48">
        <v>5956</v>
      </c>
      <c r="K169" s="48">
        <v>5808</v>
      </c>
      <c r="L169" s="48">
        <v>5826</v>
      </c>
      <c r="N169" s="160" t="s">
        <v>4992</v>
      </c>
      <c r="P169" s="4"/>
      <c r="R169" s="4"/>
    </row>
    <row r="170" spans="1:18">
      <c r="A170" s="160" t="s">
        <v>6961</v>
      </c>
      <c r="B170" s="160" t="s">
        <v>8592</v>
      </c>
      <c r="C170" s="4" t="s">
        <v>9366</v>
      </c>
      <c r="D170" s="163">
        <v>6407</v>
      </c>
      <c r="E170" s="163">
        <v>6336</v>
      </c>
      <c r="F170" s="163">
        <v>6404</v>
      </c>
      <c r="G170" s="163">
        <v>6460</v>
      </c>
      <c r="H170" s="48">
        <v>6489</v>
      </c>
      <c r="I170" s="48">
        <v>6365</v>
      </c>
      <c r="J170" s="48">
        <v>6429</v>
      </c>
      <c r="K170" s="48">
        <v>6434</v>
      </c>
      <c r="L170" s="48">
        <v>6496</v>
      </c>
      <c r="N170" s="160" t="s">
        <v>6820</v>
      </c>
      <c r="R170" s="4"/>
    </row>
    <row r="171" spans="1:18">
      <c r="A171" s="160" t="s">
        <v>6963</v>
      </c>
      <c r="B171" s="160" t="s">
        <v>8593</v>
      </c>
      <c r="C171" s="4" t="s">
        <v>9367</v>
      </c>
      <c r="D171" s="163">
        <v>7257</v>
      </c>
      <c r="E171" s="163">
        <v>7340</v>
      </c>
      <c r="F171" s="163">
        <v>7399</v>
      </c>
      <c r="G171" s="163">
        <v>7442</v>
      </c>
      <c r="H171" s="48">
        <v>7335</v>
      </c>
      <c r="I171" s="48">
        <v>7322</v>
      </c>
      <c r="J171" s="48">
        <v>7358</v>
      </c>
      <c r="K171" s="48">
        <v>7363</v>
      </c>
      <c r="L171" s="48">
        <v>7312</v>
      </c>
      <c r="N171" s="160" t="s">
        <v>4992</v>
      </c>
      <c r="P171" s="4"/>
      <c r="R171" s="4"/>
    </row>
    <row r="172" spans="1:18">
      <c r="A172" s="160" t="s">
        <v>6965</v>
      </c>
      <c r="B172" s="160" t="s">
        <v>8594</v>
      </c>
      <c r="C172" s="4" t="s">
        <v>9368</v>
      </c>
      <c r="D172" s="163">
        <v>6929</v>
      </c>
      <c r="E172" s="163">
        <v>6996</v>
      </c>
      <c r="F172" s="163">
        <v>6969</v>
      </c>
      <c r="G172" s="163">
        <v>7026</v>
      </c>
      <c r="H172" s="48">
        <v>6987</v>
      </c>
      <c r="I172" s="48">
        <v>6976</v>
      </c>
      <c r="J172" s="48">
        <v>6954</v>
      </c>
      <c r="K172" s="48">
        <v>7007</v>
      </c>
      <c r="L172" s="48">
        <v>6988</v>
      </c>
      <c r="N172" s="160" t="s">
        <v>4992</v>
      </c>
      <c r="P172" s="4"/>
      <c r="R172" s="4"/>
    </row>
    <row r="173" spans="1:18">
      <c r="A173" s="160" t="s">
        <v>6997</v>
      </c>
      <c r="B173" s="160" t="s">
        <v>8595</v>
      </c>
      <c r="C173" s="4" t="s">
        <v>9369</v>
      </c>
      <c r="D173" s="163">
        <v>5252</v>
      </c>
      <c r="E173" s="163">
        <v>5287</v>
      </c>
      <c r="F173" s="163">
        <v>5372</v>
      </c>
      <c r="G173" s="163">
        <v>5507</v>
      </c>
      <c r="H173" s="48">
        <v>5581</v>
      </c>
      <c r="I173" s="48">
        <v>5652</v>
      </c>
      <c r="J173" s="48">
        <v>5695</v>
      </c>
      <c r="K173" s="48">
        <v>5819</v>
      </c>
      <c r="L173" s="48">
        <v>5898</v>
      </c>
      <c r="N173" s="160" t="s">
        <v>6820</v>
      </c>
      <c r="R173" s="4"/>
    </row>
    <row r="174" spans="1:18">
      <c r="A174" s="160" t="s">
        <v>6999</v>
      </c>
      <c r="B174" s="160" t="s">
        <v>8596</v>
      </c>
      <c r="C174" s="4" t="s">
        <v>9370</v>
      </c>
      <c r="D174" s="163">
        <v>6030</v>
      </c>
      <c r="E174" s="163">
        <v>6031</v>
      </c>
      <c r="F174" s="163">
        <v>5950</v>
      </c>
      <c r="G174" s="163">
        <v>5935</v>
      </c>
      <c r="H174" s="48">
        <v>5876</v>
      </c>
      <c r="I174" s="48">
        <v>5807</v>
      </c>
      <c r="J174" s="48">
        <v>5835</v>
      </c>
      <c r="K174" s="48">
        <v>5869</v>
      </c>
      <c r="L174" s="48">
        <v>5796</v>
      </c>
      <c r="N174" s="160" t="s">
        <v>4992</v>
      </c>
      <c r="P174" s="4"/>
      <c r="R174" s="4"/>
    </row>
    <row r="175" spans="1:18">
      <c r="A175" s="160" t="s">
        <v>7001</v>
      </c>
      <c r="B175" s="160" t="s">
        <v>8597</v>
      </c>
      <c r="C175" s="4" t="s">
        <v>9371</v>
      </c>
      <c r="D175" s="163">
        <v>6798</v>
      </c>
      <c r="E175" s="163">
        <v>6828</v>
      </c>
      <c r="F175" s="163">
        <v>6816</v>
      </c>
      <c r="G175" s="163">
        <v>6817</v>
      </c>
      <c r="H175" s="48">
        <v>6815</v>
      </c>
      <c r="I175" s="48">
        <v>6777</v>
      </c>
      <c r="J175" s="48">
        <v>6775</v>
      </c>
      <c r="K175" s="48">
        <v>6737</v>
      </c>
      <c r="L175" s="48">
        <v>6730</v>
      </c>
      <c r="N175" s="160" t="s">
        <v>6820</v>
      </c>
      <c r="R175" s="4"/>
    </row>
    <row r="176" spans="1:18">
      <c r="A176" s="160" t="s">
        <v>7003</v>
      </c>
      <c r="B176" s="160" t="s">
        <v>6838</v>
      </c>
      <c r="C176" s="4" t="s">
        <v>9372</v>
      </c>
      <c r="D176" s="163">
        <v>6499</v>
      </c>
      <c r="E176" s="163">
        <v>6502</v>
      </c>
      <c r="F176" s="163">
        <v>6639</v>
      </c>
      <c r="G176" s="163">
        <v>6742</v>
      </c>
      <c r="H176" s="48">
        <v>6750</v>
      </c>
      <c r="I176" s="48">
        <v>6805</v>
      </c>
      <c r="J176" s="48">
        <v>6930</v>
      </c>
      <c r="K176" s="48">
        <v>6990</v>
      </c>
      <c r="L176" s="48">
        <v>7083</v>
      </c>
      <c r="N176" s="160" t="s">
        <v>4992</v>
      </c>
      <c r="P176" s="4"/>
    </row>
    <row r="177" spans="1:18">
      <c r="A177" s="160" t="s">
        <v>7005</v>
      </c>
      <c r="B177" s="160" t="s">
        <v>6839</v>
      </c>
      <c r="C177" s="4" t="s">
        <v>9373</v>
      </c>
      <c r="D177" s="163">
        <v>6151</v>
      </c>
      <c r="E177" s="163">
        <v>6147</v>
      </c>
      <c r="F177" s="163">
        <v>6156</v>
      </c>
      <c r="G177" s="163">
        <v>6108</v>
      </c>
      <c r="H177" s="48">
        <v>6016</v>
      </c>
      <c r="I177" s="48">
        <v>6026</v>
      </c>
      <c r="J177" s="48">
        <v>6234</v>
      </c>
      <c r="K177" s="48">
        <v>6384</v>
      </c>
      <c r="L177" s="48">
        <v>6610</v>
      </c>
      <c r="N177" s="160" t="s">
        <v>4992</v>
      </c>
      <c r="P177" s="4"/>
    </row>
    <row r="178" spans="1:18">
      <c r="A178" s="160" t="s">
        <v>7007</v>
      </c>
      <c r="B178" s="160" t="s">
        <v>6840</v>
      </c>
      <c r="C178" s="4" t="s">
        <v>9374</v>
      </c>
      <c r="D178" s="163">
        <v>6906</v>
      </c>
      <c r="E178" s="163">
        <v>7024</v>
      </c>
      <c r="F178" s="163">
        <v>7066</v>
      </c>
      <c r="G178" s="163">
        <v>7159</v>
      </c>
      <c r="H178" s="48">
        <v>7146</v>
      </c>
      <c r="I178" s="48">
        <v>7049</v>
      </c>
      <c r="J178" s="48">
        <v>7114</v>
      </c>
      <c r="K178" s="48">
        <v>7097</v>
      </c>
      <c r="L178" s="48">
        <v>6989</v>
      </c>
      <c r="N178" s="160" t="s">
        <v>6820</v>
      </c>
    </row>
    <row r="179" spans="1:18">
      <c r="A179" s="160" t="s">
        <v>7009</v>
      </c>
      <c r="B179" s="160" t="s">
        <v>6841</v>
      </c>
      <c r="C179" s="4" t="s">
        <v>9375</v>
      </c>
      <c r="D179" s="163">
        <v>6469</v>
      </c>
      <c r="E179" s="163">
        <v>6487</v>
      </c>
      <c r="F179" s="163">
        <v>6480</v>
      </c>
      <c r="G179" s="163">
        <v>6409</v>
      </c>
      <c r="H179" s="48">
        <v>6356</v>
      </c>
      <c r="I179" s="48">
        <v>6313</v>
      </c>
      <c r="J179" s="48">
        <v>6307</v>
      </c>
      <c r="K179" s="48">
        <v>6281</v>
      </c>
      <c r="L179" s="48">
        <v>6230</v>
      </c>
      <c r="N179" s="160" t="s">
        <v>4992</v>
      </c>
      <c r="P179" s="4"/>
    </row>
    <row r="180" spans="1:18">
      <c r="A180" s="160" t="s">
        <v>7011</v>
      </c>
      <c r="B180" s="160" t="s">
        <v>3030</v>
      </c>
      <c r="C180" s="4" t="s">
        <v>9376</v>
      </c>
      <c r="D180" s="163">
        <v>6392</v>
      </c>
      <c r="E180" s="163">
        <v>6323</v>
      </c>
      <c r="F180" s="163">
        <v>6205</v>
      </c>
      <c r="G180" s="163">
        <v>6391</v>
      </c>
      <c r="H180" s="48">
        <v>6344</v>
      </c>
      <c r="I180" s="48">
        <v>6290</v>
      </c>
      <c r="J180" s="48">
        <v>6293</v>
      </c>
      <c r="K180" s="48">
        <v>6262</v>
      </c>
      <c r="L180" s="48">
        <v>6235</v>
      </c>
      <c r="N180" s="160" t="s">
        <v>4992</v>
      </c>
      <c r="P180" s="4"/>
    </row>
    <row r="181" spans="1:18">
      <c r="A181" s="160" t="s">
        <v>7013</v>
      </c>
      <c r="B181" s="160" t="s">
        <v>6842</v>
      </c>
      <c r="C181" s="4" t="s">
        <v>9377</v>
      </c>
      <c r="D181" s="163">
        <v>6450</v>
      </c>
      <c r="E181" s="163">
        <v>6426</v>
      </c>
      <c r="F181" s="163">
        <v>6430</v>
      </c>
      <c r="G181" s="163">
        <v>6378</v>
      </c>
      <c r="H181" s="48">
        <v>6181</v>
      </c>
      <c r="I181" s="48">
        <v>6226</v>
      </c>
      <c r="J181" s="48">
        <v>6324</v>
      </c>
      <c r="K181" s="48">
        <v>6366</v>
      </c>
      <c r="L181" s="48">
        <v>6339</v>
      </c>
      <c r="N181" s="160" t="s">
        <v>6820</v>
      </c>
    </row>
    <row r="182" spans="1:18">
      <c r="A182" s="160" t="s">
        <v>7015</v>
      </c>
      <c r="B182" s="160" t="s">
        <v>6843</v>
      </c>
      <c r="C182" s="4" t="s">
        <v>9378</v>
      </c>
      <c r="D182" s="163">
        <v>6626</v>
      </c>
      <c r="E182" s="163">
        <v>6616</v>
      </c>
      <c r="F182" s="163">
        <v>6622</v>
      </c>
      <c r="G182" s="163">
        <v>6558</v>
      </c>
      <c r="H182" s="48">
        <v>6320</v>
      </c>
      <c r="I182" s="48">
        <v>6200</v>
      </c>
      <c r="J182" s="48">
        <v>6205</v>
      </c>
      <c r="K182" s="48">
        <v>6120</v>
      </c>
      <c r="L182" s="48">
        <v>6144</v>
      </c>
      <c r="N182" s="160" t="s">
        <v>6820</v>
      </c>
    </row>
    <row r="183" spans="1:18">
      <c r="A183" s="160" t="s">
        <v>7017</v>
      </c>
      <c r="B183" s="160" t="s">
        <v>2217</v>
      </c>
      <c r="C183" s="4" t="s">
        <v>9379</v>
      </c>
      <c r="D183" s="163">
        <v>5931</v>
      </c>
      <c r="E183" s="163">
        <v>5869</v>
      </c>
      <c r="F183" s="163">
        <v>5817</v>
      </c>
      <c r="G183" s="163">
        <v>5751</v>
      </c>
      <c r="H183" s="48">
        <v>5625</v>
      </c>
      <c r="I183" s="48">
        <v>5556</v>
      </c>
      <c r="J183" s="48">
        <v>5568</v>
      </c>
      <c r="K183" s="48">
        <v>5540</v>
      </c>
      <c r="L183" s="48">
        <v>5491</v>
      </c>
      <c r="N183" s="160" t="s">
        <v>6820</v>
      </c>
    </row>
    <row r="184" spans="1:18">
      <c r="A184" s="160" t="s">
        <v>7019</v>
      </c>
      <c r="B184" s="160" t="s">
        <v>7528</v>
      </c>
      <c r="C184" s="4" t="s">
        <v>9380</v>
      </c>
      <c r="D184" s="163">
        <v>5882</v>
      </c>
      <c r="E184" s="163">
        <v>5833</v>
      </c>
      <c r="F184" s="163">
        <v>5907</v>
      </c>
      <c r="G184" s="163">
        <v>5974</v>
      </c>
      <c r="H184" s="48">
        <v>5921</v>
      </c>
      <c r="I184" s="48">
        <v>5856</v>
      </c>
      <c r="J184" s="48">
        <v>5781</v>
      </c>
      <c r="K184" s="48">
        <v>5867</v>
      </c>
      <c r="L184" s="48">
        <v>5894</v>
      </c>
      <c r="N184" s="160" t="s">
        <v>6820</v>
      </c>
    </row>
    <row r="185" spans="1:18">
      <c r="A185" s="160" t="s">
        <v>7021</v>
      </c>
      <c r="B185" s="160" t="s">
        <v>7529</v>
      </c>
      <c r="C185" s="4" t="s">
        <v>9381</v>
      </c>
      <c r="D185" s="163">
        <v>6642</v>
      </c>
      <c r="E185" s="163">
        <v>6684</v>
      </c>
      <c r="F185" s="163">
        <v>6619</v>
      </c>
      <c r="G185" s="163">
        <v>6650</v>
      </c>
      <c r="H185" s="48">
        <v>6542</v>
      </c>
      <c r="I185" s="48">
        <v>6550</v>
      </c>
      <c r="J185" s="48">
        <v>6529</v>
      </c>
      <c r="K185" s="48">
        <v>6533</v>
      </c>
      <c r="L185" s="48">
        <v>6430</v>
      </c>
      <c r="N185" s="160" t="s">
        <v>6820</v>
      </c>
    </row>
    <row r="186" spans="1:18">
      <c r="D186" s="164"/>
      <c r="E186" s="164"/>
      <c r="F186" s="164"/>
      <c r="G186" s="164"/>
      <c r="H186" s="164"/>
      <c r="I186" s="164"/>
      <c r="J186" s="164"/>
      <c r="K186" s="164"/>
      <c r="L186" s="164"/>
      <c r="P186" s="4"/>
      <c r="R186" s="4"/>
    </row>
    <row r="187" spans="1:18">
      <c r="A187" s="160" t="s">
        <v>4676</v>
      </c>
      <c r="D187" s="163">
        <f t="shared" ref="D187:I187" si="118">D169+D171+D172+D174+D176+D177+D179+D180</f>
        <v>51807</v>
      </c>
      <c r="E187" s="163">
        <f t="shared" si="118"/>
        <v>51923</v>
      </c>
      <c r="F187" s="163">
        <f t="shared" si="118"/>
        <v>51848</v>
      </c>
      <c r="G187" s="163">
        <f t="shared" si="118"/>
        <v>52160</v>
      </c>
      <c r="H187" s="163">
        <f t="shared" si="118"/>
        <v>51715</v>
      </c>
      <c r="I187" s="163">
        <f t="shared" si="118"/>
        <v>51548</v>
      </c>
      <c r="J187" s="163">
        <f t="shared" ref="J187:K187" si="119">J169+J171+J172+J174+J176+J177+J179+J180</f>
        <v>51867</v>
      </c>
      <c r="K187" s="163">
        <f t="shared" si="119"/>
        <v>51964</v>
      </c>
      <c r="L187" s="163">
        <f t="shared" ref="L187" si="120">L169+L171+L172+L174+L176+L177+L179+L180</f>
        <v>52080</v>
      </c>
      <c r="P187" s="4"/>
      <c r="R187" s="4"/>
    </row>
    <row r="188" spans="1:18">
      <c r="A188" s="160" t="s">
        <v>6820</v>
      </c>
      <c r="D188" s="163">
        <f t="shared" ref="D188:I188" si="121">D168+D170+D173+D175+D178+SUM(D181:D185)</f>
        <v>63841</v>
      </c>
      <c r="E188" s="163">
        <f t="shared" si="121"/>
        <v>63765</v>
      </c>
      <c r="F188" s="163">
        <f t="shared" si="121"/>
        <v>63970</v>
      </c>
      <c r="G188" s="163">
        <f t="shared" si="121"/>
        <v>64236</v>
      </c>
      <c r="H188" s="163">
        <f t="shared" si="121"/>
        <v>63438</v>
      </c>
      <c r="I188" s="163">
        <f t="shared" si="121"/>
        <v>62946</v>
      </c>
      <c r="J188" s="163">
        <f t="shared" ref="J188:K188" si="122">J168+J170+J173+J175+J178+SUM(J181:J185)</f>
        <v>63155</v>
      </c>
      <c r="K188" s="163">
        <f t="shared" si="122"/>
        <v>63259</v>
      </c>
      <c r="L188" s="163">
        <f t="shared" ref="L188" si="123">L168+L170+L173+L175+L178+SUM(L181:L185)</f>
        <v>63003</v>
      </c>
      <c r="P188" s="4"/>
      <c r="R188" s="4"/>
    </row>
    <row r="189" spans="1:18">
      <c r="A189" s="160"/>
      <c r="D189" s="163"/>
      <c r="E189" s="163"/>
      <c r="F189" s="163"/>
      <c r="G189" s="163"/>
      <c r="H189" s="163"/>
      <c r="I189" s="163"/>
      <c r="J189" s="163"/>
      <c r="K189" s="163"/>
      <c r="L189" s="163"/>
      <c r="R189" s="4"/>
    </row>
    <row r="190" spans="1:18">
      <c r="A190" s="160" t="s">
        <v>7530</v>
      </c>
      <c r="D190" s="163"/>
      <c r="E190" s="163"/>
      <c r="F190" s="163"/>
      <c r="G190" s="163"/>
      <c r="H190" s="163"/>
      <c r="I190" s="163"/>
      <c r="J190" s="163"/>
      <c r="K190" s="163"/>
      <c r="L190" s="163"/>
      <c r="P190" s="4"/>
      <c r="R190" s="4"/>
    </row>
    <row r="191" spans="1:18">
      <c r="P191" s="4"/>
      <c r="R191" s="4"/>
    </row>
    <row r="192" spans="1:18">
      <c r="P192" s="4"/>
      <c r="R192" s="4"/>
    </row>
    <row r="193" spans="1:18">
      <c r="E193" s="42" t="s">
        <v>2303</v>
      </c>
      <c r="F193" s="42"/>
      <c r="G193" s="42"/>
      <c r="H193" s="42"/>
      <c r="I193" s="42"/>
      <c r="J193" s="42"/>
      <c r="K193" s="42"/>
      <c r="L193" s="42"/>
      <c r="M193" s="43"/>
      <c r="N193" s="43" t="s">
        <v>13319</v>
      </c>
      <c r="P193" s="4"/>
      <c r="R193" s="4"/>
    </row>
    <row r="194" spans="1:18">
      <c r="D194" s="162">
        <v>2010</v>
      </c>
      <c r="E194" s="162">
        <v>2011</v>
      </c>
      <c r="F194" s="162">
        <v>2012</v>
      </c>
      <c r="G194" s="162">
        <v>2013</v>
      </c>
      <c r="H194" s="162">
        <v>2014</v>
      </c>
      <c r="I194" s="162">
        <v>2015</v>
      </c>
      <c r="J194" s="162">
        <v>2016</v>
      </c>
      <c r="K194" s="162">
        <v>2017</v>
      </c>
      <c r="L194" s="162">
        <v>2018</v>
      </c>
      <c r="N194" s="44" t="s">
        <v>2304</v>
      </c>
      <c r="P194" s="4"/>
      <c r="R194" s="4"/>
    </row>
    <row r="195" spans="1:18">
      <c r="A195" s="160" t="s">
        <v>7531</v>
      </c>
      <c r="D195" s="163">
        <f t="shared" ref="D195:I195" si="124">SUM(D196:D220)</f>
        <v>213163</v>
      </c>
      <c r="E195" s="163">
        <f t="shared" si="124"/>
        <v>216584</v>
      </c>
      <c r="F195" s="163">
        <f t="shared" si="124"/>
        <v>218220</v>
      </c>
      <c r="G195" s="163">
        <f t="shared" si="124"/>
        <v>215432</v>
      </c>
      <c r="H195" s="163">
        <f t="shared" si="124"/>
        <v>213711</v>
      </c>
      <c r="I195" s="163">
        <f t="shared" si="124"/>
        <v>208509</v>
      </c>
      <c r="J195" s="163">
        <f t="shared" ref="J195:K195" si="125">SUM(J196:J220)</f>
        <v>205546</v>
      </c>
      <c r="K195" s="163">
        <f t="shared" si="125"/>
        <v>202319</v>
      </c>
      <c r="L195" s="163">
        <f t="shared" ref="L195" si="126">SUM(L196:L220)</f>
        <v>204776</v>
      </c>
      <c r="P195" s="4"/>
      <c r="R195" s="4"/>
    </row>
    <row r="196" spans="1:18">
      <c r="A196" s="160" t="s">
        <v>6957</v>
      </c>
      <c r="B196" s="160" t="s">
        <v>1805</v>
      </c>
      <c r="C196" s="4" t="s">
        <v>9382</v>
      </c>
      <c r="D196" s="163">
        <v>8874</v>
      </c>
      <c r="E196" s="163">
        <v>8959</v>
      </c>
      <c r="F196" s="163">
        <v>9036</v>
      </c>
      <c r="G196" s="30">
        <v>8935</v>
      </c>
      <c r="H196" s="30">
        <v>8850</v>
      </c>
      <c r="I196" s="30">
        <v>8719</v>
      </c>
      <c r="J196" s="30">
        <v>8501</v>
      </c>
      <c r="K196" s="30">
        <v>8411</v>
      </c>
      <c r="L196" s="30">
        <v>8430</v>
      </c>
      <c r="N196" s="160" t="s">
        <v>6821</v>
      </c>
      <c r="P196" s="4"/>
      <c r="R196" s="4"/>
    </row>
    <row r="197" spans="1:18">
      <c r="A197" s="160" t="s">
        <v>6959</v>
      </c>
      <c r="B197" s="160" t="s">
        <v>7588</v>
      </c>
      <c r="C197" s="4" t="s">
        <v>9383</v>
      </c>
      <c r="D197" s="163">
        <v>8526</v>
      </c>
      <c r="E197" s="163">
        <v>8668</v>
      </c>
      <c r="F197" s="163">
        <v>8721</v>
      </c>
      <c r="G197" s="31">
        <v>8590</v>
      </c>
      <c r="H197" s="31">
        <v>8637</v>
      </c>
      <c r="I197" s="31">
        <v>8491</v>
      </c>
      <c r="J197" s="31">
        <v>8332</v>
      </c>
      <c r="K197" s="31">
        <v>8187</v>
      </c>
      <c r="L197" s="31">
        <v>8295</v>
      </c>
      <c r="N197" s="160" t="s">
        <v>6823</v>
      </c>
      <c r="R197" s="4"/>
    </row>
    <row r="198" spans="1:18">
      <c r="A198" s="160" t="s">
        <v>6961</v>
      </c>
      <c r="B198" s="160" t="s">
        <v>7532</v>
      </c>
      <c r="C198" s="4" t="s">
        <v>9384</v>
      </c>
      <c r="D198" s="163">
        <v>8921</v>
      </c>
      <c r="E198" s="163">
        <v>8977</v>
      </c>
      <c r="F198" s="163">
        <v>9098</v>
      </c>
      <c r="G198" s="30">
        <v>9127</v>
      </c>
      <c r="H198" s="30">
        <v>9114</v>
      </c>
      <c r="I198" s="30">
        <v>8877</v>
      </c>
      <c r="J198" s="30">
        <v>8767</v>
      </c>
      <c r="K198" s="30">
        <v>8557</v>
      </c>
      <c r="L198" s="30">
        <v>8821</v>
      </c>
      <c r="N198" s="160" t="s">
        <v>4990</v>
      </c>
      <c r="P198" s="4"/>
      <c r="R198" s="4"/>
    </row>
    <row r="199" spans="1:18">
      <c r="A199" s="160" t="s">
        <v>6963</v>
      </c>
      <c r="B199" s="160" t="s">
        <v>4739</v>
      </c>
      <c r="C199" s="4" t="s">
        <v>9385</v>
      </c>
      <c r="D199" s="163">
        <v>7875</v>
      </c>
      <c r="E199" s="163">
        <v>7992</v>
      </c>
      <c r="F199" s="163">
        <v>7952</v>
      </c>
      <c r="G199" s="30">
        <v>7870</v>
      </c>
      <c r="H199" s="30">
        <v>7752</v>
      </c>
      <c r="I199" s="30">
        <v>7597</v>
      </c>
      <c r="J199" s="30">
        <v>7563</v>
      </c>
      <c r="K199" s="30">
        <v>7533</v>
      </c>
      <c r="L199" s="30">
        <v>7594</v>
      </c>
      <c r="N199" s="160" t="s">
        <v>4990</v>
      </c>
      <c r="P199" s="4"/>
      <c r="R199" s="4"/>
    </row>
    <row r="200" spans="1:18">
      <c r="A200" s="160" t="s">
        <v>6965</v>
      </c>
      <c r="B200" s="160" t="s">
        <v>4740</v>
      </c>
      <c r="C200" s="4" t="s">
        <v>9386</v>
      </c>
      <c r="D200" s="163">
        <v>9156</v>
      </c>
      <c r="E200" s="163">
        <v>9211</v>
      </c>
      <c r="F200" s="163">
        <v>9196</v>
      </c>
      <c r="G200" s="30">
        <v>9176</v>
      </c>
      <c r="H200" s="30">
        <v>9099</v>
      </c>
      <c r="I200" s="30">
        <v>8975</v>
      </c>
      <c r="J200" s="30">
        <v>8984</v>
      </c>
      <c r="K200" s="30">
        <v>8989</v>
      </c>
      <c r="L200" s="30">
        <v>8983</v>
      </c>
      <c r="N200" s="160" t="s">
        <v>6821</v>
      </c>
      <c r="P200" s="4"/>
      <c r="R200" s="4"/>
    </row>
    <row r="201" spans="1:18">
      <c r="A201" s="160" t="s">
        <v>6997</v>
      </c>
      <c r="B201" s="160" t="s">
        <v>7012</v>
      </c>
      <c r="C201" s="4" t="s">
        <v>9387</v>
      </c>
      <c r="D201" s="163">
        <v>8329</v>
      </c>
      <c r="E201" s="163">
        <v>8744</v>
      </c>
      <c r="F201" s="163">
        <v>8870</v>
      </c>
      <c r="G201" s="30">
        <v>8478</v>
      </c>
      <c r="H201" s="30">
        <v>8288</v>
      </c>
      <c r="I201" s="30">
        <v>7777</v>
      </c>
      <c r="J201" s="30">
        <v>7538</v>
      </c>
      <c r="K201" s="30">
        <v>7438</v>
      </c>
      <c r="L201" s="30">
        <v>7574</v>
      </c>
      <c r="N201" s="160" t="s">
        <v>6821</v>
      </c>
      <c r="P201" s="4"/>
      <c r="R201" s="4"/>
    </row>
    <row r="202" spans="1:18">
      <c r="A202" s="160" t="s">
        <v>6999</v>
      </c>
      <c r="B202" s="160" t="s">
        <v>4741</v>
      </c>
      <c r="C202" s="4" t="s">
        <v>9388</v>
      </c>
      <c r="D202" s="163">
        <v>8825</v>
      </c>
      <c r="E202" s="163">
        <v>8902</v>
      </c>
      <c r="F202" s="163">
        <v>9020</v>
      </c>
      <c r="G202" s="30">
        <v>8937</v>
      </c>
      <c r="H202" s="30">
        <v>8907</v>
      </c>
      <c r="I202" s="30">
        <v>8788</v>
      </c>
      <c r="J202" s="30">
        <v>8632</v>
      </c>
      <c r="K202" s="30">
        <v>8584</v>
      </c>
      <c r="L202" s="30">
        <v>8824</v>
      </c>
      <c r="N202" s="160" t="s">
        <v>4990</v>
      </c>
      <c r="P202" s="4"/>
      <c r="R202" s="4"/>
    </row>
    <row r="203" spans="1:18">
      <c r="A203" s="160" t="s">
        <v>7001</v>
      </c>
      <c r="B203" s="160" t="s">
        <v>5643</v>
      </c>
      <c r="C203" s="4" t="s">
        <v>9389</v>
      </c>
      <c r="D203" s="163">
        <v>9001</v>
      </c>
      <c r="E203" s="163">
        <v>9150</v>
      </c>
      <c r="F203" s="163">
        <v>9200</v>
      </c>
      <c r="G203" s="30">
        <v>9122</v>
      </c>
      <c r="H203" s="30">
        <v>9163</v>
      </c>
      <c r="I203" s="30">
        <v>9028</v>
      </c>
      <c r="J203" s="30">
        <v>9016</v>
      </c>
      <c r="K203" s="30">
        <v>8992</v>
      </c>
      <c r="L203" s="30">
        <v>9268</v>
      </c>
      <c r="N203" s="160" t="s">
        <v>4990</v>
      </c>
      <c r="P203" s="4"/>
      <c r="R203" s="4"/>
    </row>
    <row r="204" spans="1:18">
      <c r="A204" s="160" t="s">
        <v>7003</v>
      </c>
      <c r="B204" s="160" t="s">
        <v>5162</v>
      </c>
      <c r="C204" s="4" t="s">
        <v>9390</v>
      </c>
      <c r="D204" s="163">
        <v>7400</v>
      </c>
      <c r="E204" s="163">
        <v>7656</v>
      </c>
      <c r="F204" s="163">
        <v>8052</v>
      </c>
      <c r="G204" s="30">
        <v>7706</v>
      </c>
      <c r="H204" s="30">
        <v>7532</v>
      </c>
      <c r="I204" s="30">
        <v>7273</v>
      </c>
      <c r="J204" s="30">
        <v>6920</v>
      </c>
      <c r="K204" s="30">
        <v>6758</v>
      </c>
      <c r="L204" s="30">
        <v>6881</v>
      </c>
      <c r="N204" s="160" t="s">
        <v>6821</v>
      </c>
      <c r="P204" s="4"/>
      <c r="R204" s="4"/>
    </row>
    <row r="205" spans="1:18">
      <c r="A205" s="160" t="s">
        <v>7005</v>
      </c>
      <c r="B205" s="160" t="s">
        <v>5644</v>
      </c>
      <c r="C205" s="4" t="s">
        <v>9391</v>
      </c>
      <c r="D205" s="163">
        <v>7518</v>
      </c>
      <c r="E205" s="163">
        <v>7602</v>
      </c>
      <c r="F205" s="163">
        <v>7622</v>
      </c>
      <c r="G205" s="30">
        <v>7469</v>
      </c>
      <c r="H205" s="30">
        <v>7358</v>
      </c>
      <c r="I205" s="30">
        <v>7251</v>
      </c>
      <c r="J205" s="30">
        <v>7202</v>
      </c>
      <c r="K205" s="30">
        <v>7002</v>
      </c>
      <c r="L205" s="30">
        <v>7250</v>
      </c>
      <c r="N205" s="160" t="s">
        <v>6821</v>
      </c>
      <c r="P205" s="4"/>
      <c r="R205" s="4"/>
    </row>
    <row r="206" spans="1:18">
      <c r="A206" s="160" t="s">
        <v>7007</v>
      </c>
      <c r="B206" s="160" t="s">
        <v>5645</v>
      </c>
      <c r="C206" s="4" t="s">
        <v>9392</v>
      </c>
      <c r="D206" s="163">
        <v>8685</v>
      </c>
      <c r="E206" s="163">
        <v>8705</v>
      </c>
      <c r="F206" s="163">
        <v>8703</v>
      </c>
      <c r="G206" s="31">
        <v>8657</v>
      </c>
      <c r="H206" s="31">
        <v>8591</v>
      </c>
      <c r="I206" s="31">
        <v>8300</v>
      </c>
      <c r="J206" s="31">
        <v>8107</v>
      </c>
      <c r="K206" s="31">
        <v>7774</v>
      </c>
      <c r="L206" s="31">
        <v>7884</v>
      </c>
      <c r="N206" s="160" t="s">
        <v>6823</v>
      </c>
      <c r="R206" s="4"/>
    </row>
    <row r="207" spans="1:18">
      <c r="A207" s="160" t="s">
        <v>7009</v>
      </c>
      <c r="B207" s="160" t="s">
        <v>5646</v>
      </c>
      <c r="C207" s="4" t="s">
        <v>9393</v>
      </c>
      <c r="D207" s="163">
        <v>8139</v>
      </c>
      <c r="E207" s="163">
        <v>8227</v>
      </c>
      <c r="F207" s="163">
        <v>8254</v>
      </c>
      <c r="G207" s="30">
        <v>8199</v>
      </c>
      <c r="H207" s="30">
        <v>8171</v>
      </c>
      <c r="I207" s="30">
        <v>7950</v>
      </c>
      <c r="J207" s="30">
        <v>7964</v>
      </c>
      <c r="K207" s="30">
        <v>7964</v>
      </c>
      <c r="L207" s="30">
        <v>8049</v>
      </c>
      <c r="N207" s="160" t="s">
        <v>6821</v>
      </c>
      <c r="P207" s="4"/>
      <c r="R207" s="4"/>
    </row>
    <row r="208" spans="1:18">
      <c r="A208" s="160" t="s">
        <v>7011</v>
      </c>
      <c r="B208" s="160" t="s">
        <v>2487</v>
      </c>
      <c r="C208" s="4" t="s">
        <v>9394</v>
      </c>
      <c r="D208" s="163">
        <v>8473</v>
      </c>
      <c r="E208" s="163">
        <v>8661</v>
      </c>
      <c r="F208" s="163">
        <v>8678</v>
      </c>
      <c r="G208" s="31">
        <v>8643</v>
      </c>
      <c r="H208" s="31">
        <v>8514</v>
      </c>
      <c r="I208" s="31">
        <v>8248</v>
      </c>
      <c r="J208" s="31">
        <v>8084</v>
      </c>
      <c r="K208" s="31">
        <v>7789</v>
      </c>
      <c r="L208" s="31">
        <v>7792</v>
      </c>
      <c r="N208" s="160" t="s">
        <v>6823</v>
      </c>
      <c r="R208" s="4"/>
    </row>
    <row r="209" spans="1:18">
      <c r="A209" s="160" t="s">
        <v>7013</v>
      </c>
      <c r="B209" s="160" t="s">
        <v>3512</v>
      </c>
      <c r="C209" s="4" t="s">
        <v>9395</v>
      </c>
      <c r="D209" s="163">
        <v>7893</v>
      </c>
      <c r="E209" s="163">
        <v>7965</v>
      </c>
      <c r="F209" s="163">
        <v>8039</v>
      </c>
      <c r="G209" s="30">
        <v>7979</v>
      </c>
      <c r="H209" s="30">
        <v>7940</v>
      </c>
      <c r="I209" s="30">
        <v>7730</v>
      </c>
      <c r="J209" s="30">
        <v>7547</v>
      </c>
      <c r="K209" s="30">
        <v>7339</v>
      </c>
      <c r="L209" s="30">
        <v>7427</v>
      </c>
      <c r="N209" s="160" t="s">
        <v>4990</v>
      </c>
      <c r="P209" s="4"/>
      <c r="R209" s="4"/>
    </row>
    <row r="210" spans="1:18">
      <c r="A210" s="160" t="s">
        <v>7015</v>
      </c>
      <c r="B210" s="160" t="s">
        <v>8836</v>
      </c>
      <c r="C210" s="4" t="s">
        <v>9396</v>
      </c>
      <c r="D210" s="163">
        <v>8538</v>
      </c>
      <c r="E210" s="163">
        <v>9031</v>
      </c>
      <c r="F210" s="163">
        <v>9134</v>
      </c>
      <c r="G210" s="31">
        <v>8872</v>
      </c>
      <c r="H210" s="31">
        <v>8665</v>
      </c>
      <c r="I210" s="31">
        <v>8304</v>
      </c>
      <c r="J210" s="31">
        <v>8157</v>
      </c>
      <c r="K210" s="31">
        <v>8157</v>
      </c>
      <c r="L210" s="31">
        <v>8271</v>
      </c>
      <c r="N210" s="160" t="s">
        <v>6821</v>
      </c>
      <c r="R210" s="4"/>
    </row>
    <row r="211" spans="1:18">
      <c r="A211" s="160" t="s">
        <v>7017</v>
      </c>
      <c r="B211" s="160" t="s">
        <v>8607</v>
      </c>
      <c r="C211" s="4" t="s">
        <v>9397</v>
      </c>
      <c r="D211" s="163">
        <v>8520</v>
      </c>
      <c r="E211" s="163">
        <v>8566</v>
      </c>
      <c r="F211" s="163">
        <v>8692</v>
      </c>
      <c r="G211" s="31">
        <v>8377</v>
      </c>
      <c r="H211" s="31">
        <v>8226</v>
      </c>
      <c r="I211" s="31">
        <v>8071</v>
      </c>
      <c r="J211" s="31">
        <v>8081</v>
      </c>
      <c r="K211" s="31">
        <v>7920</v>
      </c>
      <c r="L211" s="31">
        <v>8052</v>
      </c>
      <c r="N211" s="160" t="s">
        <v>6821</v>
      </c>
    </row>
    <row r="212" spans="1:18">
      <c r="A212" s="160" t="s">
        <v>7019</v>
      </c>
      <c r="B212" s="160" t="s">
        <v>3513</v>
      </c>
      <c r="C212" s="4" t="s">
        <v>9398</v>
      </c>
      <c r="D212" s="163">
        <v>8358</v>
      </c>
      <c r="E212" s="163">
        <v>8514</v>
      </c>
      <c r="F212" s="163">
        <v>8578</v>
      </c>
      <c r="G212" s="30">
        <v>8523</v>
      </c>
      <c r="H212" s="30">
        <v>8375</v>
      </c>
      <c r="I212" s="30">
        <v>8149</v>
      </c>
      <c r="J212" s="30">
        <v>7976</v>
      </c>
      <c r="K212" s="30">
        <v>7690</v>
      </c>
      <c r="L212" s="30">
        <v>7780</v>
      </c>
      <c r="N212" s="160" t="s">
        <v>4990</v>
      </c>
      <c r="P212" s="4"/>
    </row>
    <row r="213" spans="1:18">
      <c r="A213" s="160" t="s">
        <v>7021</v>
      </c>
      <c r="B213" s="160" t="s">
        <v>3514</v>
      </c>
      <c r="C213" s="4" t="s">
        <v>9399</v>
      </c>
      <c r="D213" s="163">
        <v>9850</v>
      </c>
      <c r="E213" s="163">
        <v>10082</v>
      </c>
      <c r="F213" s="163">
        <v>10206</v>
      </c>
      <c r="G213" s="30">
        <v>10123</v>
      </c>
      <c r="H213" s="30">
        <v>9975</v>
      </c>
      <c r="I213" s="30">
        <v>9782</v>
      </c>
      <c r="J213" s="30">
        <v>9719</v>
      </c>
      <c r="K213" s="30">
        <v>9601</v>
      </c>
      <c r="L213" s="30">
        <v>9664</v>
      </c>
      <c r="N213" s="160" t="s">
        <v>4990</v>
      </c>
      <c r="P213" s="4"/>
    </row>
    <row r="214" spans="1:18">
      <c r="A214" s="160" t="s">
        <v>7023</v>
      </c>
      <c r="B214" s="160" t="s">
        <v>3515</v>
      </c>
      <c r="C214" s="4" t="s">
        <v>9400</v>
      </c>
      <c r="D214" s="163">
        <v>8467</v>
      </c>
      <c r="E214" s="163">
        <v>8533</v>
      </c>
      <c r="F214" s="163">
        <v>8592</v>
      </c>
      <c r="G214" s="30">
        <v>8560</v>
      </c>
      <c r="H214" s="30">
        <v>8554</v>
      </c>
      <c r="I214" s="30">
        <v>8265</v>
      </c>
      <c r="J214" s="30">
        <v>8109</v>
      </c>
      <c r="K214" s="30">
        <v>7978</v>
      </c>
      <c r="L214" s="30">
        <v>8013</v>
      </c>
      <c r="N214" s="160" t="s">
        <v>4990</v>
      </c>
      <c r="P214" s="4"/>
    </row>
    <row r="215" spans="1:18">
      <c r="A215" s="160" t="s">
        <v>7025</v>
      </c>
      <c r="B215" s="160" t="s">
        <v>1362</v>
      </c>
      <c r="C215" s="4" t="s">
        <v>9401</v>
      </c>
      <c r="D215" s="163">
        <v>8194</v>
      </c>
      <c r="E215" s="163">
        <v>8296</v>
      </c>
      <c r="F215" s="163">
        <v>8360</v>
      </c>
      <c r="G215" s="30">
        <v>8134</v>
      </c>
      <c r="H215" s="30">
        <v>8177</v>
      </c>
      <c r="I215" s="30">
        <v>7918</v>
      </c>
      <c r="J215" s="30">
        <v>7885</v>
      </c>
      <c r="K215" s="30">
        <v>7839</v>
      </c>
      <c r="L215" s="30">
        <v>7942</v>
      </c>
      <c r="N215" s="160" t="s">
        <v>6821</v>
      </c>
      <c r="P215" s="4"/>
    </row>
    <row r="216" spans="1:18">
      <c r="A216" s="160" t="s">
        <v>7570</v>
      </c>
      <c r="B216" s="160" t="s">
        <v>7029</v>
      </c>
      <c r="C216" s="4" t="s">
        <v>9402</v>
      </c>
      <c r="D216" s="163">
        <v>8829</v>
      </c>
      <c r="E216" s="163">
        <v>8998</v>
      </c>
      <c r="F216" s="163">
        <v>9031</v>
      </c>
      <c r="G216" s="31">
        <v>8983</v>
      </c>
      <c r="H216" s="31">
        <v>8941</v>
      </c>
      <c r="I216" s="31">
        <v>8814</v>
      </c>
      <c r="J216" s="31">
        <v>8654</v>
      </c>
      <c r="K216" s="31">
        <v>8466</v>
      </c>
      <c r="L216" s="31">
        <v>8526</v>
      </c>
      <c r="N216" s="160" t="s">
        <v>6823</v>
      </c>
    </row>
    <row r="217" spans="1:18">
      <c r="A217" s="160" t="s">
        <v>7572</v>
      </c>
      <c r="B217" s="160" t="s">
        <v>7030</v>
      </c>
      <c r="C217" s="4" t="s">
        <v>9403</v>
      </c>
      <c r="D217" s="163">
        <v>8765</v>
      </c>
      <c r="E217" s="163">
        <v>8856</v>
      </c>
      <c r="F217" s="163">
        <v>8872</v>
      </c>
      <c r="G217" s="31">
        <v>8848</v>
      </c>
      <c r="H217" s="31">
        <v>8907</v>
      </c>
      <c r="I217" s="31">
        <v>8689</v>
      </c>
      <c r="J217" s="31">
        <v>8801</v>
      </c>
      <c r="K217" s="31">
        <v>8783</v>
      </c>
      <c r="L217" s="31">
        <v>8935</v>
      </c>
      <c r="N217" s="160" t="s">
        <v>6823</v>
      </c>
    </row>
    <row r="218" spans="1:18">
      <c r="A218" s="160" t="s">
        <v>7573</v>
      </c>
      <c r="B218" s="160" t="s">
        <v>7031</v>
      </c>
      <c r="C218" s="4" t="s">
        <v>9404</v>
      </c>
      <c r="D218" s="163">
        <v>8696</v>
      </c>
      <c r="E218" s="163">
        <v>8824</v>
      </c>
      <c r="F218" s="163">
        <v>8910</v>
      </c>
      <c r="G218" s="31">
        <v>8808</v>
      </c>
      <c r="H218" s="31">
        <v>8680</v>
      </c>
      <c r="I218" s="31">
        <v>8442</v>
      </c>
      <c r="J218" s="31">
        <v>8183</v>
      </c>
      <c r="K218" s="31">
        <v>7980</v>
      </c>
      <c r="L218" s="31">
        <v>7930</v>
      </c>
      <c r="N218" s="160" t="s">
        <v>6823</v>
      </c>
    </row>
    <row r="219" spans="1:18">
      <c r="A219" s="160" t="s">
        <v>5798</v>
      </c>
      <c r="B219" s="160" t="s">
        <v>7032</v>
      </c>
      <c r="C219" s="4" t="s">
        <v>9405</v>
      </c>
      <c r="D219" s="163">
        <v>8272</v>
      </c>
      <c r="E219" s="163">
        <v>8275</v>
      </c>
      <c r="F219" s="163">
        <v>8243</v>
      </c>
      <c r="G219" s="31">
        <v>8179</v>
      </c>
      <c r="H219" s="31">
        <v>8151</v>
      </c>
      <c r="I219" s="31">
        <v>7975</v>
      </c>
      <c r="J219" s="31">
        <v>7846</v>
      </c>
      <c r="K219" s="31">
        <v>7747</v>
      </c>
      <c r="L219" s="31">
        <v>7757</v>
      </c>
      <c r="N219" s="160" t="s">
        <v>6823</v>
      </c>
    </row>
    <row r="220" spans="1:18">
      <c r="A220" s="160" t="s">
        <v>5799</v>
      </c>
      <c r="B220" s="160" t="s">
        <v>7033</v>
      </c>
      <c r="C220" s="4" t="s">
        <v>9406</v>
      </c>
      <c r="D220" s="163">
        <v>9059</v>
      </c>
      <c r="E220" s="163">
        <v>9190</v>
      </c>
      <c r="F220" s="163">
        <v>9161</v>
      </c>
      <c r="G220" s="31">
        <v>9137</v>
      </c>
      <c r="H220" s="31">
        <v>9144</v>
      </c>
      <c r="I220" s="31">
        <v>9096</v>
      </c>
      <c r="J220" s="31">
        <v>8978</v>
      </c>
      <c r="K220" s="31">
        <v>8841</v>
      </c>
      <c r="L220" s="31">
        <v>8834</v>
      </c>
      <c r="N220" s="160" t="s">
        <v>6823</v>
      </c>
    </row>
    <row r="221" spans="1:18">
      <c r="D221" s="164"/>
      <c r="E221" s="164"/>
      <c r="F221" s="164"/>
      <c r="G221" s="164"/>
      <c r="H221" s="164"/>
      <c r="I221" s="164"/>
      <c r="J221" s="164"/>
      <c r="K221" s="164"/>
      <c r="L221" s="164"/>
    </row>
    <row r="222" spans="1:18">
      <c r="A222" s="160" t="s">
        <v>4990</v>
      </c>
      <c r="D222" s="163">
        <f t="shared" ref="D222:I222" si="127">D198+D199+D202+D203+D209+SUM(D212:D214)</f>
        <v>69190</v>
      </c>
      <c r="E222" s="163">
        <f t="shared" si="127"/>
        <v>70115</v>
      </c>
      <c r="F222" s="163">
        <f t="shared" si="127"/>
        <v>70685</v>
      </c>
      <c r="G222" s="163">
        <f t="shared" si="127"/>
        <v>70241</v>
      </c>
      <c r="H222" s="163">
        <f t="shared" si="127"/>
        <v>69780</v>
      </c>
      <c r="I222" s="163">
        <f t="shared" si="127"/>
        <v>68216</v>
      </c>
      <c r="J222" s="163">
        <f t="shared" ref="J222:K222" si="128">J198+J199+J202+J203+J209+SUM(J212:J214)</f>
        <v>67329</v>
      </c>
      <c r="K222" s="163">
        <f t="shared" si="128"/>
        <v>66274</v>
      </c>
      <c r="L222" s="163">
        <f t="shared" ref="L222" si="129">L198+L199+L202+L203+L209+SUM(L212:L214)</f>
        <v>67391</v>
      </c>
    </row>
    <row r="223" spans="1:18">
      <c r="A223" s="160" t="s">
        <v>6821</v>
      </c>
      <c r="D223" s="163">
        <f t="shared" ref="D223:I223" si="130">D196+D200+D201+D204+D205+D207+D210+D211+D215</f>
        <v>74668</v>
      </c>
      <c r="E223" s="163">
        <f t="shared" si="130"/>
        <v>76292</v>
      </c>
      <c r="F223" s="163">
        <f t="shared" si="130"/>
        <v>77216</v>
      </c>
      <c r="G223" s="163">
        <f t="shared" si="130"/>
        <v>75346</v>
      </c>
      <c r="H223" s="163">
        <f t="shared" si="130"/>
        <v>74366</v>
      </c>
      <c r="I223" s="163">
        <f t="shared" si="130"/>
        <v>72238</v>
      </c>
      <c r="J223" s="163">
        <f t="shared" ref="J223:K223" si="131">J196+J200+J201+J204+J205+J207+J210+J211+J215</f>
        <v>71232</v>
      </c>
      <c r="K223" s="163">
        <f t="shared" si="131"/>
        <v>70478</v>
      </c>
      <c r="L223" s="163">
        <f t="shared" ref="L223" si="132">L196+L200+L201+L204+L205+L207+L210+L211+L215</f>
        <v>71432</v>
      </c>
    </row>
    <row r="224" spans="1:18">
      <c r="A224" s="160" t="s">
        <v>6823</v>
      </c>
      <c r="D224" s="163">
        <f t="shared" ref="D224:I224" si="133">D197+D206+D208+SUM(D216:D220)</f>
        <v>69305</v>
      </c>
      <c r="E224" s="163">
        <f t="shared" si="133"/>
        <v>70177</v>
      </c>
      <c r="F224" s="163">
        <f t="shared" si="133"/>
        <v>70319</v>
      </c>
      <c r="G224" s="163">
        <f t="shared" si="133"/>
        <v>69845</v>
      </c>
      <c r="H224" s="163">
        <f t="shared" si="133"/>
        <v>69565</v>
      </c>
      <c r="I224" s="163">
        <f t="shared" si="133"/>
        <v>68055</v>
      </c>
      <c r="J224" s="163">
        <f t="shared" ref="J224:K224" si="134">J197+J206+J208+SUM(J216:J220)</f>
        <v>66985</v>
      </c>
      <c r="K224" s="163">
        <f t="shared" si="134"/>
        <v>65567</v>
      </c>
      <c r="L224" s="163">
        <f t="shared" ref="L224" si="135">L197+L206+L208+SUM(L216:L220)</f>
        <v>65953</v>
      </c>
    </row>
    <row r="226" spans="1:1">
      <c r="A226" s="161" t="s">
        <v>7034</v>
      </c>
    </row>
  </sheetData>
  <sortState ref="O196:Q220">
    <sortCondition ref="O196"/>
  </sortState>
  <phoneticPr fontId="7" type="noConversion"/>
  <printOptions gridLinesSet="0"/>
  <pageMargins left="0.78740157480314965" right="0" top="1.1023622047244095" bottom="0.51181102362204722" header="0.51181102362204722" footer="0.51181102362204722"/>
  <pageSetup paperSize="9" scale="71" orientation="portrait" horizontalDpi="300" verticalDpi="300" r:id="rId1"/>
  <headerFooter alignWithMargins="0">
    <oddFooter>&amp;C&amp;8&amp;P of &amp;N</oddFooter>
  </headerFooter>
  <ignoredErrors>
    <ignoredError sqref="D167:K167 D195:K195 D137:K137 E46:E48 D79:I82 D22:D48 E22:E44 F22:G48 D53:K53 D59:I59 D13:G17 D20:G20 D3:I11 H13:I48 D187:I188 D222:I224 D159:I160 D12:I12 J79:J82 J187:J188 J222:J224 J159:J160 J3:J48 K187:K188 K159:K160 K222:K224 K79:K82 K3:K48 D100:K127 L3:L224 D90:K90 D129:K130" unlockedFormula="1"/>
    <ignoredError sqref="D128:K128" formulaRange="1" unlocked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49"/>
  <sheetViews>
    <sheetView showGridLines="0" zoomScaleNormal="100" workbookViewId="0"/>
  </sheetViews>
  <sheetFormatPr defaultColWidth="12.5703125" defaultRowHeight="15"/>
  <cols>
    <col min="1" max="1" width="4.85546875" style="277" customWidth="1"/>
    <col min="2" max="2" width="40.7109375" style="277" customWidth="1"/>
    <col min="3" max="3" width="11.42578125" style="277" customWidth="1"/>
    <col min="4" max="12" width="10" style="277" customWidth="1"/>
    <col min="13" max="13" width="2" style="277" customWidth="1"/>
    <col min="14" max="14" width="34.5703125" style="277" customWidth="1"/>
    <col min="15" max="16384" width="12.5703125" style="277"/>
  </cols>
  <sheetData>
    <row r="1" spans="1:14">
      <c r="A1" s="276" t="s">
        <v>7342</v>
      </c>
      <c r="D1" s="278">
        <v>2010</v>
      </c>
      <c r="E1" s="278">
        <v>2011</v>
      </c>
      <c r="F1" s="278">
        <v>2012</v>
      </c>
      <c r="G1" s="278">
        <v>2013</v>
      </c>
      <c r="H1" s="278">
        <v>2014</v>
      </c>
      <c r="I1" s="278">
        <v>2015</v>
      </c>
      <c r="J1" s="278">
        <v>2016</v>
      </c>
      <c r="K1" s="278">
        <v>2017</v>
      </c>
      <c r="L1" s="278">
        <v>2018</v>
      </c>
    </row>
    <row r="3" spans="1:14">
      <c r="A3" s="276" t="s">
        <v>7675</v>
      </c>
      <c r="D3" s="279">
        <f t="shared" ref="D3:I3" si="0">SUM(D27:D46)</f>
        <v>157516</v>
      </c>
      <c r="E3" s="279">
        <f t="shared" si="0"/>
        <v>158450</v>
      </c>
      <c r="F3" s="279">
        <f t="shared" si="0"/>
        <v>159638</v>
      </c>
      <c r="G3" s="279">
        <f t="shared" si="0"/>
        <v>159760</v>
      </c>
      <c r="H3" s="279">
        <f t="shared" si="0"/>
        <v>160570</v>
      </c>
      <c r="I3" s="279">
        <f t="shared" si="0"/>
        <v>156890</v>
      </c>
      <c r="J3" s="279">
        <f t="shared" ref="J3:K3" si="1">SUM(J27:J46)</f>
        <v>155532</v>
      </c>
      <c r="K3" s="279">
        <f t="shared" si="1"/>
        <v>158024</v>
      </c>
      <c r="L3" s="279">
        <f t="shared" ref="L3" si="2">SUM(L27:L46)</f>
        <v>160876</v>
      </c>
    </row>
    <row r="5" spans="1:14">
      <c r="A5" s="276" t="s">
        <v>7343</v>
      </c>
      <c r="D5" s="279">
        <f t="shared" ref="D5:I5" si="3">D3/2</f>
        <v>78758</v>
      </c>
      <c r="E5" s="279">
        <f t="shared" si="3"/>
        <v>79225</v>
      </c>
      <c r="F5" s="279">
        <f t="shared" si="3"/>
        <v>79819</v>
      </c>
      <c r="G5" s="279">
        <f t="shared" si="3"/>
        <v>79880</v>
      </c>
      <c r="H5" s="279">
        <f t="shared" si="3"/>
        <v>80285</v>
      </c>
      <c r="I5" s="279">
        <f t="shared" si="3"/>
        <v>78445</v>
      </c>
      <c r="J5" s="279">
        <f t="shared" ref="J5:K5" si="4">J3/2</f>
        <v>77766</v>
      </c>
      <c r="K5" s="279">
        <f t="shared" si="4"/>
        <v>79012</v>
      </c>
      <c r="L5" s="279">
        <f t="shared" ref="L5" si="5">L3/2</f>
        <v>80438</v>
      </c>
    </row>
    <row r="6" spans="1:14">
      <c r="D6" s="280"/>
      <c r="E6" s="280"/>
      <c r="F6" s="280"/>
      <c r="G6" s="280"/>
      <c r="H6" s="280"/>
      <c r="I6" s="280"/>
      <c r="J6" s="280"/>
      <c r="K6" s="280"/>
      <c r="L6" s="280"/>
    </row>
    <row r="7" spans="1:14">
      <c r="A7" s="276" t="s">
        <v>8382</v>
      </c>
      <c r="D7" s="279">
        <f>REDBRIDGE!D7</f>
        <v>16493</v>
      </c>
      <c r="E7" s="279">
        <f>REDBRIDGE!E7</f>
        <v>16475</v>
      </c>
      <c r="F7" s="279">
        <f>REDBRIDGE!F7</f>
        <v>16792</v>
      </c>
      <c r="G7" s="279">
        <f>REDBRIDGE!G7</f>
        <v>16786</v>
      </c>
      <c r="H7" s="279">
        <f>REDBRIDGE!H7</f>
        <v>16983</v>
      </c>
      <c r="I7" s="279">
        <f>REDBRIDGE!I7</f>
        <v>16566</v>
      </c>
      <c r="J7" s="279">
        <f>REDBRIDGE!J7</f>
        <v>15580</v>
      </c>
      <c r="K7" s="279">
        <f>REDBRIDGE!K7</f>
        <v>16174</v>
      </c>
      <c r="L7" s="279">
        <f>REDBRIDGE!L7</f>
        <v>16860</v>
      </c>
      <c r="N7" s="276" t="s">
        <v>8383</v>
      </c>
    </row>
    <row r="8" spans="1:14" ht="15.75" thickBot="1">
      <c r="D8" s="281">
        <f t="shared" ref="D8:I8" si="6">D30+D31+D34+D35+D39+D44</f>
        <v>48311</v>
      </c>
      <c r="E8" s="281">
        <f t="shared" si="6"/>
        <v>48295</v>
      </c>
      <c r="F8" s="281">
        <f t="shared" si="6"/>
        <v>48641</v>
      </c>
      <c r="G8" s="281">
        <f t="shared" si="6"/>
        <v>48699</v>
      </c>
      <c r="H8" s="281">
        <f t="shared" si="6"/>
        <v>49063</v>
      </c>
      <c r="I8" s="281">
        <f t="shared" si="6"/>
        <v>48518</v>
      </c>
      <c r="J8" s="281">
        <f t="shared" ref="J8:K8" si="7">J30+J31+J34+J35+J39+J44</f>
        <v>47671</v>
      </c>
      <c r="K8" s="281">
        <f t="shared" si="7"/>
        <v>47917</v>
      </c>
      <c r="L8" s="281">
        <f t="shared" ref="L8" si="8">L30+L31+L34+L35+L39+L44</f>
        <v>48448</v>
      </c>
      <c r="N8" s="276" t="s">
        <v>8384</v>
      </c>
    </row>
    <row r="9" spans="1:14" ht="15.75" thickBot="1">
      <c r="D9" s="281">
        <f t="shared" ref="D9:I9" si="9">SUM(D7:D8)</f>
        <v>64804</v>
      </c>
      <c r="E9" s="281">
        <f t="shared" si="9"/>
        <v>64770</v>
      </c>
      <c r="F9" s="281">
        <f t="shared" si="9"/>
        <v>65433</v>
      </c>
      <c r="G9" s="281">
        <f t="shared" si="9"/>
        <v>65485</v>
      </c>
      <c r="H9" s="281">
        <f t="shared" si="9"/>
        <v>66046</v>
      </c>
      <c r="I9" s="281">
        <f t="shared" si="9"/>
        <v>65084</v>
      </c>
      <c r="J9" s="281">
        <f t="shared" ref="J9:K9" si="10">SUM(J7:J8)</f>
        <v>63251</v>
      </c>
      <c r="K9" s="281">
        <f t="shared" si="10"/>
        <v>64091</v>
      </c>
      <c r="L9" s="281">
        <f t="shared" ref="L9" si="11">SUM(L7:L8)</f>
        <v>65308</v>
      </c>
    </row>
    <row r="10" spans="1:14">
      <c r="D10" s="280"/>
      <c r="E10" s="280"/>
      <c r="F10" s="280"/>
      <c r="G10" s="280"/>
      <c r="H10" s="280"/>
      <c r="I10" s="280"/>
      <c r="J10" s="280"/>
      <c r="K10" s="280"/>
      <c r="L10" s="280"/>
    </row>
    <row r="11" spans="1:14">
      <c r="A11" s="276" t="s">
        <v>7676</v>
      </c>
      <c r="D11" s="279">
        <f>REDBRIDGE!D15</f>
        <v>17190</v>
      </c>
      <c r="E11" s="279">
        <f>REDBRIDGE!E15</f>
        <v>17348</v>
      </c>
      <c r="F11" s="279">
        <f>REDBRIDGE!F15</f>
        <v>17529</v>
      </c>
      <c r="G11" s="279">
        <f>REDBRIDGE!G15</f>
        <v>17488</v>
      </c>
      <c r="H11" s="279">
        <f>REDBRIDGE!H15</f>
        <v>17693</v>
      </c>
      <c r="I11" s="279">
        <f>REDBRIDGE!I15</f>
        <v>17166</v>
      </c>
      <c r="J11" s="279">
        <f>REDBRIDGE!J15</f>
        <v>16248</v>
      </c>
      <c r="K11" s="279">
        <f>REDBRIDGE!K15</f>
        <v>17184</v>
      </c>
      <c r="L11" s="279">
        <f>REDBRIDGE!L15</f>
        <v>17827</v>
      </c>
      <c r="N11" s="276" t="s">
        <v>8383</v>
      </c>
    </row>
    <row r="12" spans="1:14" ht="15.75" thickBot="1">
      <c r="D12" s="281">
        <f t="shared" ref="D12:I12" si="12">D27+D28+D32+D33+D41+D42</f>
        <v>44912</v>
      </c>
      <c r="E12" s="281">
        <f t="shared" si="12"/>
        <v>45673</v>
      </c>
      <c r="F12" s="281">
        <f t="shared" si="12"/>
        <v>45901</v>
      </c>
      <c r="G12" s="281">
        <f t="shared" si="12"/>
        <v>45866</v>
      </c>
      <c r="H12" s="281">
        <f t="shared" si="12"/>
        <v>45783</v>
      </c>
      <c r="I12" s="281">
        <f t="shared" si="12"/>
        <v>43969</v>
      </c>
      <c r="J12" s="281">
        <f t="shared" ref="J12:K12" si="13">J27+J28+J32+J33+J41+J42</f>
        <v>43902</v>
      </c>
      <c r="K12" s="281">
        <f t="shared" si="13"/>
        <v>45012</v>
      </c>
      <c r="L12" s="281">
        <f t="shared" ref="L12" si="14">L27+L28+L32+L33+L41+L42</f>
        <v>45875</v>
      </c>
      <c r="N12" s="276" t="s">
        <v>8384</v>
      </c>
    </row>
    <row r="13" spans="1:14" ht="15.75" thickBot="1">
      <c r="D13" s="281">
        <f t="shared" ref="D13:I13" si="15">D11+D12</f>
        <v>62102</v>
      </c>
      <c r="E13" s="281">
        <f t="shared" si="15"/>
        <v>63021</v>
      </c>
      <c r="F13" s="281">
        <f t="shared" si="15"/>
        <v>63430</v>
      </c>
      <c r="G13" s="281">
        <f t="shared" si="15"/>
        <v>63354</v>
      </c>
      <c r="H13" s="281">
        <f t="shared" si="15"/>
        <v>63476</v>
      </c>
      <c r="I13" s="281">
        <f t="shared" si="15"/>
        <v>61135</v>
      </c>
      <c r="J13" s="281">
        <f t="shared" ref="J13:K13" si="16">J11+J12</f>
        <v>60150</v>
      </c>
      <c r="K13" s="281">
        <f t="shared" si="16"/>
        <v>62196</v>
      </c>
      <c r="L13" s="281">
        <f t="shared" ref="L13" si="17">L11+L12</f>
        <v>63702</v>
      </c>
    </row>
    <row r="14" spans="1:14">
      <c r="D14" s="280"/>
      <c r="E14" s="280"/>
      <c r="F14" s="280"/>
      <c r="G14" s="280"/>
      <c r="H14" s="280"/>
      <c r="I14" s="280"/>
      <c r="J14" s="280"/>
      <c r="K14" s="280"/>
      <c r="L14" s="280"/>
    </row>
    <row r="15" spans="1:14">
      <c r="A15" s="276" t="s">
        <v>8388</v>
      </c>
      <c r="D15" s="279">
        <f t="shared" ref="D15:I15" si="18">D29+D36+D37+D38+D40+D43+D45+D46</f>
        <v>64293</v>
      </c>
      <c r="E15" s="279">
        <f t="shared" si="18"/>
        <v>64482</v>
      </c>
      <c r="F15" s="279">
        <f t="shared" si="18"/>
        <v>65096</v>
      </c>
      <c r="G15" s="279">
        <f t="shared" si="18"/>
        <v>65195</v>
      </c>
      <c r="H15" s="279">
        <f t="shared" si="18"/>
        <v>65724</v>
      </c>
      <c r="I15" s="279">
        <f t="shared" si="18"/>
        <v>64403</v>
      </c>
      <c r="J15" s="279">
        <f>J29+J37+J36+J38+J40+J43+J45+J46</f>
        <v>63959</v>
      </c>
      <c r="K15" s="279">
        <f>K29+K37+K36+K38+K40+K43+K45+K46</f>
        <v>65095</v>
      </c>
      <c r="L15" s="279">
        <f>L29+L37+L36+L38+L40+L43+L45+L46</f>
        <v>66553</v>
      </c>
      <c r="N15" s="276" t="s">
        <v>8384</v>
      </c>
    </row>
    <row r="16" spans="1:14">
      <c r="A16" s="276"/>
      <c r="D16" s="279"/>
      <c r="E16" s="279"/>
      <c r="F16" s="279"/>
      <c r="G16" s="279"/>
      <c r="H16" s="279"/>
      <c r="I16" s="279"/>
      <c r="J16" s="279"/>
      <c r="K16" s="279"/>
      <c r="L16" s="279"/>
      <c r="N16" s="276"/>
    </row>
    <row r="17" spans="1:19">
      <c r="A17" s="276" t="s">
        <v>7677</v>
      </c>
      <c r="D17" s="279">
        <f>REDBRIDGE!D11</f>
        <v>72281</v>
      </c>
      <c r="E17" s="279">
        <f>REDBRIDGE!E11</f>
        <v>72702</v>
      </c>
      <c r="F17" s="279">
        <f>REDBRIDGE!F11</f>
        <v>73513</v>
      </c>
      <c r="G17" s="279">
        <f>REDBRIDGE!G11</f>
        <v>73360</v>
      </c>
      <c r="H17" s="279">
        <f>REDBRIDGE!H11</f>
        <v>74271</v>
      </c>
      <c r="I17" s="279">
        <f>REDBRIDGE!I11</f>
        <v>72947</v>
      </c>
      <c r="J17" s="279">
        <f>REDBRIDGE!J11</f>
        <v>67980</v>
      </c>
      <c r="K17" s="279">
        <f>REDBRIDGE!K11</f>
        <v>71090</v>
      </c>
      <c r="L17" s="279">
        <f>REDBRIDGE!L11</f>
        <v>73538</v>
      </c>
      <c r="N17" s="276" t="s">
        <v>8383</v>
      </c>
    </row>
    <row r="18" spans="1:19">
      <c r="D18" s="280"/>
      <c r="E18" s="280"/>
      <c r="F18" s="280"/>
      <c r="G18" s="280"/>
      <c r="H18" s="280"/>
      <c r="I18" s="280"/>
      <c r="J18" s="280"/>
      <c r="K18" s="280"/>
      <c r="L18" s="280"/>
    </row>
    <row r="19" spans="1:19">
      <c r="A19" s="276" t="s">
        <v>8386</v>
      </c>
      <c r="D19" s="279">
        <f>REDBRIDGE!D13</f>
        <v>84599</v>
      </c>
      <c r="E19" s="279">
        <f>REDBRIDGE!E13</f>
        <v>86401</v>
      </c>
      <c r="F19" s="279">
        <f>REDBRIDGE!F13</f>
        <v>88563</v>
      </c>
      <c r="G19" s="279">
        <f>REDBRIDGE!G13</f>
        <v>88125</v>
      </c>
      <c r="H19" s="279">
        <f>REDBRIDGE!H13</f>
        <v>89668</v>
      </c>
      <c r="I19" s="279">
        <f>REDBRIDGE!I13</f>
        <v>88135</v>
      </c>
      <c r="J19" s="279">
        <f>REDBRIDGE!J13</f>
        <v>78212</v>
      </c>
      <c r="K19" s="279">
        <f>REDBRIDGE!K13</f>
        <v>82975</v>
      </c>
      <c r="L19" s="279">
        <f>REDBRIDGE!L13</f>
        <v>86396</v>
      </c>
      <c r="N19" s="276" t="s">
        <v>8383</v>
      </c>
    </row>
    <row r="20" spans="1:19">
      <c r="A20" s="276"/>
      <c r="B20" s="276"/>
      <c r="C20" s="276"/>
      <c r="D20" s="279"/>
      <c r="E20" s="279"/>
      <c r="F20" s="279"/>
      <c r="G20" s="279"/>
      <c r="H20" s="279"/>
      <c r="I20" s="279"/>
      <c r="J20" s="279"/>
      <c r="K20" s="279"/>
      <c r="L20" s="279"/>
      <c r="N20" s="276"/>
    </row>
    <row r="21" spans="1:19">
      <c r="A21" s="276" t="s">
        <v>8697</v>
      </c>
      <c r="D21" s="279">
        <f t="shared" ref="D21:I21" si="19">D8+D12+D15</f>
        <v>157516</v>
      </c>
      <c r="E21" s="279">
        <f t="shared" si="19"/>
        <v>158450</v>
      </c>
      <c r="F21" s="279">
        <f t="shared" si="19"/>
        <v>159638</v>
      </c>
      <c r="G21" s="279">
        <f t="shared" si="19"/>
        <v>159760</v>
      </c>
      <c r="H21" s="279">
        <f t="shared" si="19"/>
        <v>160570</v>
      </c>
      <c r="I21" s="279">
        <f t="shared" si="19"/>
        <v>156890</v>
      </c>
      <c r="J21" s="279">
        <f t="shared" ref="J21:K21" si="20">J8+J12+J15</f>
        <v>155532</v>
      </c>
      <c r="K21" s="279">
        <f t="shared" si="20"/>
        <v>158024</v>
      </c>
      <c r="L21" s="279">
        <f t="shared" ref="L21" si="21">L8+L12+L15</f>
        <v>160876</v>
      </c>
    </row>
    <row r="22" spans="1:19">
      <c r="D22" s="280"/>
      <c r="E22" s="280"/>
      <c r="F22" s="280"/>
      <c r="G22" s="280"/>
      <c r="H22" s="280"/>
      <c r="I22" s="280"/>
      <c r="J22" s="280"/>
      <c r="K22" s="280"/>
      <c r="L22" s="280"/>
    </row>
    <row r="23" spans="1:19">
      <c r="A23" s="276" t="s">
        <v>8698</v>
      </c>
      <c r="D23" s="279">
        <f t="shared" ref="D23:I23" si="22">MAXA(D9,D13,D15,D17,D19)-MINA(D9,D13,D15,D17,D19)</f>
        <v>22497</v>
      </c>
      <c r="E23" s="279">
        <f t="shared" si="22"/>
        <v>23380</v>
      </c>
      <c r="F23" s="279">
        <f t="shared" si="22"/>
        <v>25133</v>
      </c>
      <c r="G23" s="279">
        <f t="shared" si="22"/>
        <v>24771</v>
      </c>
      <c r="H23" s="279">
        <f t="shared" si="22"/>
        <v>26192</v>
      </c>
      <c r="I23" s="279">
        <f t="shared" si="22"/>
        <v>27000</v>
      </c>
      <c r="J23" s="279">
        <f t="shared" ref="J23:K23" si="23">MAXA(J9,J13,J15,J17,J19)-MINA(J9,J13,J15,J17,J19)</f>
        <v>18062</v>
      </c>
      <c r="K23" s="279">
        <f t="shared" si="23"/>
        <v>20779</v>
      </c>
      <c r="L23" s="279">
        <f t="shared" ref="L23" si="24">MAXA(L9,L13,L15,L17,L19)-MINA(L9,L13,L15,L17,L19)</f>
        <v>22694</v>
      </c>
    </row>
    <row r="24" spans="1:19">
      <c r="D24" s="280"/>
      <c r="E24" s="280"/>
      <c r="F24" s="280"/>
      <c r="G24" s="280"/>
      <c r="H24" s="280"/>
      <c r="I24" s="280"/>
      <c r="J24" s="280"/>
      <c r="K24" s="280"/>
      <c r="L24" s="280"/>
    </row>
    <row r="25" spans="1:19">
      <c r="A25" s="276" t="s">
        <v>8701</v>
      </c>
      <c r="D25" s="279">
        <f t="shared" ref="D25:I25" si="25">STDEVP(D9,D13,D15,D17,D19)</f>
        <v>8240.6599590081369</v>
      </c>
      <c r="E25" s="279">
        <f t="shared" si="25"/>
        <v>8745.5428053380419</v>
      </c>
      <c r="F25" s="279">
        <f t="shared" si="25"/>
        <v>9356.4255781788797</v>
      </c>
      <c r="G25" s="279">
        <f t="shared" si="25"/>
        <v>9179.9337557522722</v>
      </c>
      <c r="H25" s="279">
        <f t="shared" si="25"/>
        <v>9640.328708088744</v>
      </c>
      <c r="I25" s="279">
        <f t="shared" si="25"/>
        <v>9706.327841155995</v>
      </c>
      <c r="J25" s="279">
        <f t="shared" ref="J25:K25" si="26">STDEVP(J9,J13,J15,J17,J19)</f>
        <v>6268.5753596810173</v>
      </c>
      <c r="K25" s="279">
        <f t="shared" si="26"/>
        <v>7553.4162496184463</v>
      </c>
      <c r="L25" s="279">
        <f t="shared" ref="L25" si="27">STDEVP(L9,L13,L15,L17,L19)</f>
        <v>8353.0154459332825</v>
      </c>
    </row>
    <row r="26" spans="1:19">
      <c r="D26" s="280"/>
      <c r="E26" s="280"/>
      <c r="F26" s="280"/>
      <c r="G26" s="280"/>
      <c r="H26" s="280"/>
      <c r="I26" s="280"/>
      <c r="J26" s="280"/>
      <c r="K26" s="280"/>
      <c r="L26" s="280"/>
    </row>
    <row r="27" spans="1:19">
      <c r="A27" s="276" t="s">
        <v>6957</v>
      </c>
      <c r="B27" s="276" t="s">
        <v>7678</v>
      </c>
      <c r="C27" s="4" t="s">
        <v>8917</v>
      </c>
      <c r="D27" s="282">
        <v>7232</v>
      </c>
      <c r="E27" s="282">
        <v>7347</v>
      </c>
      <c r="F27" s="282">
        <v>7419</v>
      </c>
      <c r="G27" s="282">
        <v>7342</v>
      </c>
      <c r="H27" s="30">
        <v>7322</v>
      </c>
      <c r="I27" s="30">
        <v>6966</v>
      </c>
      <c r="J27" s="30">
        <v>6921</v>
      </c>
      <c r="K27" s="30">
        <v>7154</v>
      </c>
      <c r="L27" s="30">
        <v>7340</v>
      </c>
      <c r="N27" s="276" t="s">
        <v>5993</v>
      </c>
      <c r="Q27" s="4"/>
      <c r="S27" s="4"/>
    </row>
    <row r="28" spans="1:19">
      <c r="A28" s="276" t="s">
        <v>6959</v>
      </c>
      <c r="B28" s="276" t="s">
        <v>7679</v>
      </c>
      <c r="C28" s="4" t="s">
        <v>8918</v>
      </c>
      <c r="D28" s="282">
        <v>6952</v>
      </c>
      <c r="E28" s="282">
        <v>7046</v>
      </c>
      <c r="F28" s="282">
        <v>7027</v>
      </c>
      <c r="G28" s="282">
        <v>7053</v>
      </c>
      <c r="H28" s="30">
        <v>6928</v>
      </c>
      <c r="I28" s="30">
        <v>6566</v>
      </c>
      <c r="J28" s="30">
        <v>6515</v>
      </c>
      <c r="K28" s="30">
        <v>6559</v>
      </c>
      <c r="L28" s="30">
        <v>6672</v>
      </c>
      <c r="N28" s="276" t="s">
        <v>5993</v>
      </c>
      <c r="Q28" s="4"/>
      <c r="S28" s="4"/>
    </row>
    <row r="29" spans="1:19">
      <c r="A29" s="276" t="s">
        <v>6961</v>
      </c>
      <c r="B29" s="276" t="s">
        <v>7704</v>
      </c>
      <c r="C29" s="4" t="s">
        <v>8919</v>
      </c>
      <c r="D29" s="282">
        <v>8069</v>
      </c>
      <c r="E29" s="282">
        <v>8140</v>
      </c>
      <c r="F29" s="282">
        <v>8192</v>
      </c>
      <c r="G29" s="282">
        <v>8131</v>
      </c>
      <c r="H29" s="30">
        <v>8196</v>
      </c>
      <c r="I29" s="30">
        <v>8020</v>
      </c>
      <c r="J29" s="30">
        <v>8001</v>
      </c>
      <c r="K29" s="30">
        <v>8031</v>
      </c>
      <c r="L29" s="30">
        <v>8230</v>
      </c>
      <c r="N29" s="276" t="s">
        <v>2446</v>
      </c>
      <c r="Q29" s="4"/>
      <c r="S29" s="4"/>
    </row>
    <row r="30" spans="1:19">
      <c r="A30" s="276" t="s">
        <v>6963</v>
      </c>
      <c r="B30" s="276" t="s">
        <v>2447</v>
      </c>
      <c r="C30" s="4" t="s">
        <v>8920</v>
      </c>
      <c r="D30" s="282">
        <v>7861</v>
      </c>
      <c r="E30" s="282">
        <v>7848</v>
      </c>
      <c r="F30" s="282">
        <v>7926</v>
      </c>
      <c r="G30" s="282">
        <v>7991</v>
      </c>
      <c r="H30" s="30">
        <v>8026</v>
      </c>
      <c r="I30" s="30">
        <v>7909</v>
      </c>
      <c r="J30" s="30">
        <v>7777</v>
      </c>
      <c r="K30" s="30">
        <v>7779</v>
      </c>
      <c r="L30" s="30">
        <v>7849</v>
      </c>
      <c r="N30" s="276" t="s">
        <v>8392</v>
      </c>
      <c r="Q30" s="4"/>
      <c r="S30" s="4"/>
    </row>
    <row r="31" spans="1:19">
      <c r="A31" s="276" t="s">
        <v>6965</v>
      </c>
      <c r="B31" s="276" t="s">
        <v>2448</v>
      </c>
      <c r="C31" s="4" t="s">
        <v>8921</v>
      </c>
      <c r="D31" s="282">
        <v>8087</v>
      </c>
      <c r="E31" s="282">
        <v>8139</v>
      </c>
      <c r="F31" s="282">
        <v>8199</v>
      </c>
      <c r="G31" s="282">
        <v>8126</v>
      </c>
      <c r="H31" s="30">
        <v>8174</v>
      </c>
      <c r="I31" s="30">
        <v>8086</v>
      </c>
      <c r="J31" s="30">
        <v>8015</v>
      </c>
      <c r="K31" s="30">
        <v>8040</v>
      </c>
      <c r="L31" s="30">
        <v>8067</v>
      </c>
      <c r="N31" s="276" t="s">
        <v>8392</v>
      </c>
      <c r="Q31" s="4"/>
      <c r="S31" s="4"/>
    </row>
    <row r="32" spans="1:19">
      <c r="A32" s="276" t="s">
        <v>6997</v>
      </c>
      <c r="B32" s="276" t="s">
        <v>3970</v>
      </c>
      <c r="C32" s="4" t="s">
        <v>8922</v>
      </c>
      <c r="D32" s="282">
        <v>7515</v>
      </c>
      <c r="E32" s="282">
        <v>7650</v>
      </c>
      <c r="F32" s="282">
        <v>7627</v>
      </c>
      <c r="G32" s="282">
        <v>7581</v>
      </c>
      <c r="H32" s="30">
        <v>7573</v>
      </c>
      <c r="I32" s="30">
        <v>7354</v>
      </c>
      <c r="J32" s="30">
        <v>7321</v>
      </c>
      <c r="K32" s="30">
        <v>7422</v>
      </c>
      <c r="L32" s="30">
        <v>7557</v>
      </c>
      <c r="N32" s="276" t="s">
        <v>5993</v>
      </c>
      <c r="Q32" s="4"/>
      <c r="S32" s="4"/>
    </row>
    <row r="33" spans="1:19">
      <c r="A33" s="276" t="s">
        <v>6999</v>
      </c>
      <c r="B33" s="276" t="s">
        <v>2449</v>
      </c>
      <c r="C33" s="4" t="s">
        <v>8923</v>
      </c>
      <c r="D33" s="282">
        <v>7676</v>
      </c>
      <c r="E33" s="282">
        <v>7678</v>
      </c>
      <c r="F33" s="282">
        <v>7685</v>
      </c>
      <c r="G33" s="282">
        <v>7723</v>
      </c>
      <c r="H33" s="30">
        <v>7742</v>
      </c>
      <c r="I33" s="30">
        <v>7386</v>
      </c>
      <c r="J33" s="30">
        <v>7387</v>
      </c>
      <c r="K33" s="30">
        <v>7784</v>
      </c>
      <c r="L33" s="30">
        <v>7863</v>
      </c>
      <c r="N33" s="276" t="s">
        <v>5993</v>
      </c>
      <c r="Q33" s="4"/>
      <c r="S33" s="4"/>
    </row>
    <row r="34" spans="1:19">
      <c r="A34" s="276" t="s">
        <v>7001</v>
      </c>
      <c r="B34" s="276" t="s">
        <v>2450</v>
      </c>
      <c r="C34" s="4" t="s">
        <v>8924</v>
      </c>
      <c r="D34" s="282">
        <v>7917</v>
      </c>
      <c r="E34" s="282">
        <v>7883</v>
      </c>
      <c r="F34" s="282">
        <v>7914</v>
      </c>
      <c r="G34" s="282">
        <v>7983</v>
      </c>
      <c r="H34" s="30">
        <v>8116</v>
      </c>
      <c r="I34" s="30">
        <v>8079</v>
      </c>
      <c r="J34" s="30">
        <v>8023</v>
      </c>
      <c r="K34" s="30">
        <v>8164</v>
      </c>
      <c r="L34" s="30">
        <v>8246</v>
      </c>
      <c r="N34" s="276" t="s">
        <v>8392</v>
      </c>
      <c r="Q34" s="4"/>
      <c r="S34" s="4"/>
    </row>
    <row r="35" spans="1:19">
      <c r="A35" s="276" t="s">
        <v>7003</v>
      </c>
      <c r="B35" s="276" t="s">
        <v>2451</v>
      </c>
      <c r="C35" s="4" t="s">
        <v>8925</v>
      </c>
      <c r="D35" s="282">
        <v>8192</v>
      </c>
      <c r="E35" s="282">
        <v>8131</v>
      </c>
      <c r="F35" s="282">
        <v>8129</v>
      </c>
      <c r="G35" s="282">
        <v>8212</v>
      </c>
      <c r="H35" s="30">
        <v>8306</v>
      </c>
      <c r="I35" s="30">
        <v>8161</v>
      </c>
      <c r="J35" s="30">
        <v>8063</v>
      </c>
      <c r="K35" s="30">
        <v>8104</v>
      </c>
      <c r="L35" s="30">
        <v>8125</v>
      </c>
      <c r="N35" s="276" t="s">
        <v>8392</v>
      </c>
      <c r="Q35" s="4"/>
      <c r="S35" s="4"/>
    </row>
    <row r="36" spans="1:19">
      <c r="A36" s="276" t="s">
        <v>7005</v>
      </c>
      <c r="B36" s="276" t="s">
        <v>2452</v>
      </c>
      <c r="C36" s="4" t="s">
        <v>8927</v>
      </c>
      <c r="D36" s="283">
        <v>7521</v>
      </c>
      <c r="E36" s="283">
        <v>7644</v>
      </c>
      <c r="F36" s="283">
        <v>7837</v>
      </c>
      <c r="G36" s="283">
        <v>7845</v>
      </c>
      <c r="H36" s="30">
        <v>7982</v>
      </c>
      <c r="I36" s="30">
        <v>7918</v>
      </c>
      <c r="J36" s="30">
        <v>7737</v>
      </c>
      <c r="K36" s="30">
        <v>8051</v>
      </c>
      <c r="L36" s="30">
        <v>8459</v>
      </c>
      <c r="N36" s="276" t="s">
        <v>2446</v>
      </c>
      <c r="Q36" s="4"/>
      <c r="S36" s="4"/>
    </row>
    <row r="37" spans="1:19">
      <c r="A37" s="276" t="s">
        <v>7007</v>
      </c>
      <c r="B37" s="276" t="s">
        <v>1533</v>
      </c>
      <c r="C37" s="4" t="s">
        <v>8926</v>
      </c>
      <c r="D37" s="282">
        <v>7967</v>
      </c>
      <c r="E37" s="282">
        <v>8017</v>
      </c>
      <c r="F37" s="282">
        <v>8061</v>
      </c>
      <c r="G37" s="282">
        <v>8040</v>
      </c>
      <c r="H37" s="30">
        <v>8154</v>
      </c>
      <c r="I37" s="30">
        <v>8021</v>
      </c>
      <c r="J37" s="30">
        <v>8197</v>
      </c>
      <c r="K37" s="30">
        <v>8419</v>
      </c>
      <c r="L37" s="30">
        <v>8314</v>
      </c>
      <c r="N37" s="276" t="s">
        <v>2446</v>
      </c>
      <c r="Q37" s="4"/>
      <c r="S37" s="4"/>
    </row>
    <row r="38" spans="1:19">
      <c r="A38" s="276" t="s">
        <v>7009</v>
      </c>
      <c r="B38" s="276" t="s">
        <v>2453</v>
      </c>
      <c r="C38" s="4" t="s">
        <v>8928</v>
      </c>
      <c r="D38" s="282">
        <v>8058</v>
      </c>
      <c r="E38" s="282">
        <v>7923</v>
      </c>
      <c r="F38" s="282">
        <v>8013</v>
      </c>
      <c r="G38" s="282">
        <v>8100</v>
      </c>
      <c r="H38" s="31">
        <v>8177</v>
      </c>
      <c r="I38" s="31">
        <v>7858</v>
      </c>
      <c r="J38" s="31">
        <v>7960</v>
      </c>
      <c r="K38" s="31">
        <v>8155</v>
      </c>
      <c r="L38" s="31">
        <v>8373</v>
      </c>
      <c r="N38" s="276" t="s">
        <v>2446</v>
      </c>
      <c r="Q38" s="4"/>
      <c r="S38" s="4"/>
    </row>
    <row r="39" spans="1:19">
      <c r="A39" s="276" t="s">
        <v>7011</v>
      </c>
      <c r="B39" s="276" t="s">
        <v>2454</v>
      </c>
      <c r="C39" s="4" t="s">
        <v>8929</v>
      </c>
      <c r="D39" s="282">
        <v>8191</v>
      </c>
      <c r="E39" s="282">
        <v>8200</v>
      </c>
      <c r="F39" s="282">
        <v>8246</v>
      </c>
      <c r="G39" s="282">
        <v>8248</v>
      </c>
      <c r="H39" s="30">
        <v>8232</v>
      </c>
      <c r="I39" s="30">
        <v>8190</v>
      </c>
      <c r="J39" s="30">
        <v>7919</v>
      </c>
      <c r="K39" s="30">
        <v>7971</v>
      </c>
      <c r="L39" s="30">
        <v>8184</v>
      </c>
      <c r="N39" s="276" t="s">
        <v>8392</v>
      </c>
      <c r="Q39" s="4"/>
      <c r="S39" s="4"/>
    </row>
    <row r="40" spans="1:19">
      <c r="A40" s="276" t="s">
        <v>7013</v>
      </c>
      <c r="B40" s="276" t="s">
        <v>2455</v>
      </c>
      <c r="C40" s="4" t="s">
        <v>8930</v>
      </c>
      <c r="D40" s="282">
        <v>9003</v>
      </c>
      <c r="E40" s="282">
        <v>9004</v>
      </c>
      <c r="F40" s="282">
        <v>9122</v>
      </c>
      <c r="G40" s="282">
        <v>9090</v>
      </c>
      <c r="H40" s="31">
        <v>9065</v>
      </c>
      <c r="I40" s="31">
        <v>8653</v>
      </c>
      <c r="J40" s="31">
        <v>8459</v>
      </c>
      <c r="K40" s="31">
        <v>8435</v>
      </c>
      <c r="L40" s="31">
        <v>8661</v>
      </c>
      <c r="N40" s="276" t="s">
        <v>2446</v>
      </c>
      <c r="Q40" s="4"/>
      <c r="S40" s="4"/>
    </row>
    <row r="41" spans="1:19">
      <c r="A41" s="276" t="s">
        <v>7015</v>
      </c>
      <c r="B41" s="276" t="s">
        <v>2456</v>
      </c>
      <c r="C41" s="4" t="s">
        <v>8931</v>
      </c>
      <c r="D41" s="282">
        <v>7782</v>
      </c>
      <c r="E41" s="282">
        <v>8068</v>
      </c>
      <c r="F41" s="282">
        <v>8198</v>
      </c>
      <c r="G41" s="282">
        <v>8278</v>
      </c>
      <c r="H41" s="30">
        <v>8310</v>
      </c>
      <c r="I41" s="30">
        <v>8052</v>
      </c>
      <c r="J41" s="30">
        <v>8067</v>
      </c>
      <c r="K41" s="30">
        <v>8328</v>
      </c>
      <c r="L41" s="30">
        <v>8648</v>
      </c>
      <c r="N41" s="276" t="s">
        <v>5993</v>
      </c>
      <c r="Q41" s="4"/>
      <c r="S41" s="4"/>
    </row>
    <row r="42" spans="1:19">
      <c r="A42" s="276" t="s">
        <v>7017</v>
      </c>
      <c r="B42" s="276" t="s">
        <v>5850</v>
      </c>
      <c r="C42" s="4" t="s">
        <v>8932</v>
      </c>
      <c r="D42" s="282">
        <v>7755</v>
      </c>
      <c r="E42" s="282">
        <v>7884</v>
      </c>
      <c r="F42" s="282">
        <v>7945</v>
      </c>
      <c r="G42" s="282">
        <v>7889</v>
      </c>
      <c r="H42" s="30">
        <v>7908</v>
      </c>
      <c r="I42" s="30">
        <v>7645</v>
      </c>
      <c r="J42" s="30">
        <v>7691</v>
      </c>
      <c r="K42" s="30">
        <v>7765</v>
      </c>
      <c r="L42" s="30">
        <v>7795</v>
      </c>
      <c r="N42" s="276" t="s">
        <v>5993</v>
      </c>
      <c r="Q42" s="4"/>
      <c r="S42" s="4"/>
    </row>
    <row r="43" spans="1:19">
      <c r="A43" s="276" t="s">
        <v>7019</v>
      </c>
      <c r="B43" s="276" t="s">
        <v>5833</v>
      </c>
      <c r="C43" s="4" t="s">
        <v>8933</v>
      </c>
      <c r="D43" s="282">
        <v>7805</v>
      </c>
      <c r="E43" s="282">
        <v>7760</v>
      </c>
      <c r="F43" s="282">
        <v>7834</v>
      </c>
      <c r="G43" s="282">
        <v>7785</v>
      </c>
      <c r="H43" s="31">
        <v>7908</v>
      </c>
      <c r="I43" s="31">
        <v>7891</v>
      </c>
      <c r="J43" s="31">
        <v>7735</v>
      </c>
      <c r="K43" s="31">
        <v>8010</v>
      </c>
      <c r="L43" s="31">
        <v>8198</v>
      </c>
      <c r="N43" s="276" t="s">
        <v>2446</v>
      </c>
      <c r="Q43" s="4"/>
      <c r="S43" s="4"/>
    </row>
    <row r="44" spans="1:19">
      <c r="A44" s="276" t="s">
        <v>7021</v>
      </c>
      <c r="B44" s="276" t="s">
        <v>7796</v>
      </c>
      <c r="C44" s="4" t="s">
        <v>8934</v>
      </c>
      <c r="D44" s="282">
        <v>8063</v>
      </c>
      <c r="E44" s="282">
        <v>8094</v>
      </c>
      <c r="F44" s="282">
        <v>8227</v>
      </c>
      <c r="G44" s="282">
        <v>8139</v>
      </c>
      <c r="H44" s="30">
        <v>8209</v>
      </c>
      <c r="I44" s="30">
        <v>8093</v>
      </c>
      <c r="J44" s="30">
        <v>7874</v>
      </c>
      <c r="K44" s="30">
        <v>7859</v>
      </c>
      <c r="L44" s="30">
        <v>7977</v>
      </c>
      <c r="N44" s="276" t="s">
        <v>8392</v>
      </c>
      <c r="Q44" s="4"/>
      <c r="S44" s="4"/>
    </row>
    <row r="45" spans="1:19">
      <c r="A45" s="276" t="s">
        <v>7023</v>
      </c>
      <c r="B45" s="276" t="s">
        <v>5834</v>
      </c>
      <c r="C45" s="4" t="s">
        <v>8935</v>
      </c>
      <c r="D45" s="282">
        <v>7665</v>
      </c>
      <c r="E45" s="282">
        <v>7719</v>
      </c>
      <c r="F45" s="282">
        <v>7713</v>
      </c>
      <c r="G45" s="282">
        <v>7798</v>
      </c>
      <c r="H45" s="31">
        <v>7724</v>
      </c>
      <c r="I45" s="31">
        <v>7632</v>
      </c>
      <c r="J45" s="31">
        <v>7597</v>
      </c>
      <c r="K45" s="31">
        <v>7711</v>
      </c>
      <c r="L45" s="31">
        <v>7823</v>
      </c>
      <c r="N45" s="276" t="s">
        <v>2446</v>
      </c>
      <c r="Q45" s="4"/>
      <c r="S45" s="4"/>
    </row>
    <row r="46" spans="1:19">
      <c r="A46" s="276" t="s">
        <v>7025</v>
      </c>
      <c r="B46" s="276" t="s">
        <v>5835</v>
      </c>
      <c r="C46" s="4" t="s">
        <v>8936</v>
      </c>
      <c r="D46" s="282">
        <v>8205</v>
      </c>
      <c r="E46" s="282">
        <v>8275</v>
      </c>
      <c r="F46" s="282">
        <v>8324</v>
      </c>
      <c r="G46" s="282">
        <v>8406</v>
      </c>
      <c r="H46" s="31">
        <v>8518</v>
      </c>
      <c r="I46" s="31">
        <v>8410</v>
      </c>
      <c r="J46" s="31">
        <v>8273</v>
      </c>
      <c r="K46" s="31">
        <v>8283</v>
      </c>
      <c r="L46" s="31">
        <v>8495</v>
      </c>
      <c r="N46" s="276" t="s">
        <v>2446</v>
      </c>
      <c r="Q46" s="4"/>
      <c r="S46" s="4"/>
    </row>
    <row r="48" spans="1:19">
      <c r="A48" s="277" t="s">
        <v>5836</v>
      </c>
    </row>
    <row r="49" spans="1:1">
      <c r="A49" s="277" t="s">
        <v>5837</v>
      </c>
    </row>
  </sheetData>
  <sortState ref="O27:Q46">
    <sortCondition ref="O27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5 E5:E25 F5:F25 G5:G25 H3:H4 H5:H25 I3:I25 J3:J25 K3:K21 K23:K25 L3:L25" unlockedFormula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0"/>
  <sheetViews>
    <sheetView showGridLines="0" zoomScaleNormal="100" workbookViewId="0"/>
  </sheetViews>
  <sheetFormatPr defaultColWidth="12.5703125" defaultRowHeight="15"/>
  <cols>
    <col min="1" max="1" width="4.85546875" style="285" customWidth="1"/>
    <col min="2" max="2" width="40.7109375" style="285" customWidth="1"/>
    <col min="3" max="3" width="11.42578125" style="285" customWidth="1"/>
    <col min="4" max="12" width="10" style="285" customWidth="1"/>
    <col min="13" max="13" width="2.28515625" style="285" customWidth="1"/>
    <col min="14" max="14" width="25.5703125" style="285" customWidth="1"/>
    <col min="15" max="16384" width="12.5703125" style="285"/>
  </cols>
  <sheetData>
    <row r="1" spans="1:14">
      <c r="A1" s="284" t="s">
        <v>7342</v>
      </c>
      <c r="D1" s="286">
        <v>2010</v>
      </c>
      <c r="E1" s="286">
        <v>2011</v>
      </c>
      <c r="F1" s="286">
        <v>2012</v>
      </c>
      <c r="G1" s="286">
        <v>2013</v>
      </c>
      <c r="H1" s="286">
        <v>2014</v>
      </c>
      <c r="I1" s="286">
        <v>2015</v>
      </c>
      <c r="J1" s="286">
        <v>2016</v>
      </c>
      <c r="K1" s="286">
        <v>2017</v>
      </c>
      <c r="L1" s="286">
        <v>2018</v>
      </c>
    </row>
    <row r="3" spans="1:14">
      <c r="A3" s="284" t="s">
        <v>7035</v>
      </c>
      <c r="D3" s="287">
        <f t="shared" ref="D3:I3" si="0">SUM(D19:D38)</f>
        <v>206157</v>
      </c>
      <c r="E3" s="287">
        <f t="shared" si="0"/>
        <v>207888</v>
      </c>
      <c r="F3" s="287">
        <f t="shared" si="0"/>
        <v>207153</v>
      </c>
      <c r="G3" s="287">
        <f t="shared" si="0"/>
        <v>206035</v>
      </c>
      <c r="H3" s="287">
        <f t="shared" si="0"/>
        <v>206553</v>
      </c>
      <c r="I3" s="287">
        <f t="shared" si="0"/>
        <v>198785</v>
      </c>
      <c r="J3" s="287">
        <f t="shared" ref="J3:K3" si="1">SUM(J19:J38)</f>
        <v>201174</v>
      </c>
      <c r="K3" s="287">
        <f t="shared" si="1"/>
        <v>203436</v>
      </c>
      <c r="L3" s="287">
        <f t="shared" ref="L3" si="2">SUM(L19:L38)</f>
        <v>207739</v>
      </c>
    </row>
    <row r="5" spans="1:14">
      <c r="A5" s="284" t="s">
        <v>6952</v>
      </c>
      <c r="D5" s="287">
        <f t="shared" ref="D5:I5" si="3">D3/3</f>
        <v>68719</v>
      </c>
      <c r="E5" s="287">
        <f t="shared" si="3"/>
        <v>69296</v>
      </c>
      <c r="F5" s="287">
        <f t="shared" si="3"/>
        <v>69051</v>
      </c>
      <c r="G5" s="287">
        <f t="shared" si="3"/>
        <v>68678.333333333328</v>
      </c>
      <c r="H5" s="287">
        <f t="shared" si="3"/>
        <v>68851</v>
      </c>
      <c r="I5" s="287">
        <f t="shared" si="3"/>
        <v>66261.666666666672</v>
      </c>
      <c r="J5" s="287">
        <f t="shared" ref="J5:K5" si="4">J3/3</f>
        <v>67058</v>
      </c>
      <c r="K5" s="287">
        <f t="shared" si="4"/>
        <v>67812</v>
      </c>
      <c r="L5" s="287">
        <f t="shared" ref="L5" si="5">L3/3</f>
        <v>69246.333333333328</v>
      </c>
    </row>
    <row r="6" spans="1:14">
      <c r="D6" s="288"/>
      <c r="E6" s="288"/>
      <c r="F6" s="288"/>
      <c r="G6" s="288"/>
      <c r="H6" s="288"/>
      <c r="I6" s="288"/>
      <c r="J6" s="288"/>
      <c r="K6" s="288"/>
      <c r="L6" s="288"/>
    </row>
    <row r="7" spans="1:14">
      <c r="A7" s="284" t="s">
        <v>7036</v>
      </c>
      <c r="D7" s="287">
        <f t="shared" ref="D7:I7" si="6">D19+D23+D26+D28+D29+D31+D32</f>
        <v>71941</v>
      </c>
      <c r="E7" s="287">
        <f t="shared" si="6"/>
        <v>73028</v>
      </c>
      <c r="F7" s="287">
        <f t="shared" si="6"/>
        <v>72350</v>
      </c>
      <c r="G7" s="287">
        <f t="shared" si="6"/>
        <v>71513</v>
      </c>
      <c r="H7" s="287">
        <f t="shared" si="6"/>
        <v>71409</v>
      </c>
      <c r="I7" s="287">
        <f t="shared" si="6"/>
        <v>69082</v>
      </c>
      <c r="J7" s="287">
        <f t="shared" ref="J7:K7" si="7">J19+J23+J26+J28+J29+J31+J32</f>
        <v>69924</v>
      </c>
      <c r="K7" s="287">
        <f t="shared" si="7"/>
        <v>71401</v>
      </c>
      <c r="L7" s="287">
        <f t="shared" ref="L7" si="8">L19+L23+L26+L28+L29+L31+L32</f>
        <v>72761</v>
      </c>
      <c r="N7" s="284" t="s">
        <v>7037</v>
      </c>
    </row>
    <row r="8" spans="1:14">
      <c r="D8" s="288"/>
      <c r="E8" s="288"/>
      <c r="F8" s="288"/>
      <c r="G8" s="288"/>
      <c r="H8" s="288"/>
      <c r="I8" s="288"/>
      <c r="J8" s="288"/>
      <c r="K8" s="288"/>
      <c r="L8" s="288"/>
    </row>
    <row r="9" spans="1:14">
      <c r="A9" s="284" t="s">
        <v>7038</v>
      </c>
      <c r="D9" s="287">
        <f t="shared" ref="D9:I9" si="9">D22+D30+D33+D34+D37+D38</f>
        <v>62223</v>
      </c>
      <c r="E9" s="287">
        <f t="shared" si="9"/>
        <v>62153</v>
      </c>
      <c r="F9" s="287">
        <f t="shared" si="9"/>
        <v>62006</v>
      </c>
      <c r="G9" s="287">
        <f t="shared" si="9"/>
        <v>61984</v>
      </c>
      <c r="H9" s="287">
        <f t="shared" si="9"/>
        <v>62007</v>
      </c>
      <c r="I9" s="287">
        <f t="shared" si="9"/>
        <v>59417</v>
      </c>
      <c r="J9" s="287">
        <f t="shared" ref="J9:K9" si="10">J22+J30+J33+J34+J37+J38</f>
        <v>59822</v>
      </c>
      <c r="K9" s="287">
        <f t="shared" si="10"/>
        <v>60652</v>
      </c>
      <c r="L9" s="287">
        <f t="shared" ref="L9" si="11">L22+L30+L33+L34+L37+L38</f>
        <v>61765</v>
      </c>
      <c r="N9" s="284" t="s">
        <v>7037</v>
      </c>
    </row>
    <row r="10" spans="1:14">
      <c r="D10" s="288"/>
      <c r="E10" s="288"/>
      <c r="F10" s="288"/>
      <c r="G10" s="288"/>
      <c r="H10" s="288"/>
      <c r="I10" s="288"/>
      <c r="J10" s="288"/>
      <c r="K10" s="288"/>
      <c r="L10" s="288"/>
    </row>
    <row r="11" spans="1:14">
      <c r="A11" s="284" t="s">
        <v>7039</v>
      </c>
      <c r="D11" s="287">
        <f t="shared" ref="D11:I11" si="12">D20+D21+D24+D25+D27+D35+D36</f>
        <v>71993</v>
      </c>
      <c r="E11" s="287">
        <f t="shared" si="12"/>
        <v>72707</v>
      </c>
      <c r="F11" s="287">
        <f t="shared" si="12"/>
        <v>72797</v>
      </c>
      <c r="G11" s="287">
        <f t="shared" si="12"/>
        <v>72538</v>
      </c>
      <c r="H11" s="287">
        <f t="shared" si="12"/>
        <v>73137</v>
      </c>
      <c r="I11" s="287">
        <f t="shared" si="12"/>
        <v>70286</v>
      </c>
      <c r="J11" s="287">
        <f t="shared" ref="J11:K11" si="13">J20+J21+J24+J25+J27+J35+J36</f>
        <v>71428</v>
      </c>
      <c r="K11" s="287">
        <f t="shared" si="13"/>
        <v>71383</v>
      </c>
      <c r="L11" s="287">
        <f t="shared" ref="L11" si="14">L20+L21+L24+L25+L27+L35+L36</f>
        <v>73213</v>
      </c>
      <c r="N11" s="284" t="s">
        <v>7037</v>
      </c>
    </row>
    <row r="12" spans="1:14">
      <c r="D12" s="288"/>
      <c r="E12" s="288"/>
      <c r="F12" s="288"/>
      <c r="G12" s="288"/>
      <c r="H12" s="288"/>
      <c r="I12" s="288"/>
      <c r="J12" s="288"/>
      <c r="K12" s="288"/>
      <c r="L12" s="288"/>
    </row>
    <row r="13" spans="1:14">
      <c r="A13" s="284" t="s">
        <v>8697</v>
      </c>
      <c r="D13" s="287">
        <f t="shared" ref="D13:I13" si="15">D7+D9+D11</f>
        <v>206157</v>
      </c>
      <c r="E13" s="287">
        <f t="shared" si="15"/>
        <v>207888</v>
      </c>
      <c r="F13" s="287">
        <f t="shared" si="15"/>
        <v>207153</v>
      </c>
      <c r="G13" s="287">
        <f t="shared" si="15"/>
        <v>206035</v>
      </c>
      <c r="H13" s="287">
        <f t="shared" si="15"/>
        <v>206553</v>
      </c>
      <c r="I13" s="287">
        <f t="shared" si="15"/>
        <v>198785</v>
      </c>
      <c r="J13" s="287">
        <f t="shared" ref="J13:K13" si="16">J7+J9+J11</f>
        <v>201174</v>
      </c>
      <c r="K13" s="287">
        <f t="shared" si="16"/>
        <v>203436</v>
      </c>
      <c r="L13" s="287">
        <f t="shared" ref="L13" si="17">L7+L9+L11</f>
        <v>207739</v>
      </c>
    </row>
    <row r="14" spans="1:14">
      <c r="D14" s="288"/>
      <c r="E14" s="288"/>
      <c r="F14" s="288"/>
      <c r="G14" s="288"/>
      <c r="H14" s="288"/>
      <c r="I14" s="288"/>
      <c r="J14" s="288"/>
      <c r="K14" s="288"/>
      <c r="L14" s="288"/>
    </row>
    <row r="15" spans="1:14">
      <c r="A15" s="284" t="s">
        <v>8698</v>
      </c>
      <c r="D15" s="287">
        <f t="shared" ref="D15:I15" si="18">MAX(D7,D9,D11)-MIN(D7,D9,D11)</f>
        <v>9770</v>
      </c>
      <c r="E15" s="287">
        <f t="shared" si="18"/>
        <v>10875</v>
      </c>
      <c r="F15" s="287">
        <f t="shared" si="18"/>
        <v>10791</v>
      </c>
      <c r="G15" s="287">
        <f t="shared" si="18"/>
        <v>10554</v>
      </c>
      <c r="H15" s="287">
        <f t="shared" si="18"/>
        <v>11130</v>
      </c>
      <c r="I15" s="287">
        <f t="shared" si="18"/>
        <v>10869</v>
      </c>
      <c r="J15" s="287">
        <f t="shared" ref="J15:K15" si="19">MAX(J7,J9,J11)-MIN(J7,J9,J11)</f>
        <v>11606</v>
      </c>
      <c r="K15" s="287">
        <f t="shared" si="19"/>
        <v>10749</v>
      </c>
      <c r="L15" s="287">
        <f t="shared" ref="L15" si="20">MAX(L7,L9,L11)-MIN(L7,L9,L11)</f>
        <v>11448</v>
      </c>
    </row>
    <row r="16" spans="1:14">
      <c r="D16" s="288"/>
      <c r="E16" s="288"/>
      <c r="F16" s="288"/>
      <c r="G16" s="288"/>
      <c r="H16" s="288"/>
      <c r="I16" s="288"/>
      <c r="J16" s="288"/>
      <c r="K16" s="288"/>
      <c r="L16" s="288"/>
    </row>
    <row r="17" spans="1:18">
      <c r="A17" s="284" t="s">
        <v>8701</v>
      </c>
      <c r="D17" s="287">
        <f t="shared" ref="D17:I17" si="21">STDEVP(D7,D9,D11)</f>
        <v>4593.4147065844891</v>
      </c>
      <c r="E17" s="287">
        <f t="shared" si="21"/>
        <v>5052.5635077651423</v>
      </c>
      <c r="F17" s="287">
        <f t="shared" si="21"/>
        <v>4984.9086250401824</v>
      </c>
      <c r="G17" s="287">
        <f t="shared" si="21"/>
        <v>4752.0683450004753</v>
      </c>
      <c r="H17" s="287">
        <f t="shared" si="21"/>
        <v>4890.5860589503991</v>
      </c>
      <c r="I17" s="287">
        <f t="shared" si="21"/>
        <v>4864.8056030591351</v>
      </c>
      <c r="J17" s="287">
        <f t="shared" ref="J17:K17" si="22">STDEVP(J7,J9,J11)</f>
        <v>5153.3339370417934</v>
      </c>
      <c r="K17" s="287">
        <f t="shared" si="22"/>
        <v>5062.8898862211099</v>
      </c>
      <c r="L17" s="287">
        <f t="shared" ref="L17" si="23">STDEVP(L7,L9,L11)</f>
        <v>5293.3188916679564</v>
      </c>
    </row>
    <row r="18" spans="1:18">
      <c r="D18" s="288"/>
      <c r="E18" s="288"/>
      <c r="F18" s="288"/>
      <c r="G18" s="288"/>
      <c r="H18" s="288"/>
      <c r="I18" s="288"/>
      <c r="J18" s="288"/>
      <c r="K18" s="288"/>
      <c r="L18" s="288"/>
    </row>
    <row r="19" spans="1:18">
      <c r="A19" s="284" t="s">
        <v>6957</v>
      </c>
      <c r="B19" s="284" t="s">
        <v>7072</v>
      </c>
      <c r="C19" s="4" t="s">
        <v>8937</v>
      </c>
      <c r="D19" s="289">
        <v>10725</v>
      </c>
      <c r="E19" s="289">
        <v>10883</v>
      </c>
      <c r="F19" s="289">
        <v>10753</v>
      </c>
      <c r="G19" s="289">
        <v>10524</v>
      </c>
      <c r="H19" s="30">
        <v>10593</v>
      </c>
      <c r="I19" s="30">
        <v>10261</v>
      </c>
      <c r="J19" s="30">
        <v>10443</v>
      </c>
      <c r="K19" s="30">
        <v>10527</v>
      </c>
      <c r="L19" s="30">
        <v>10832</v>
      </c>
      <c r="N19" s="284" t="s">
        <v>7036</v>
      </c>
      <c r="O19" s="933"/>
      <c r="P19" s="934"/>
      <c r="Q19" s="935"/>
      <c r="R19" s="4"/>
    </row>
    <row r="20" spans="1:18">
      <c r="A20" s="284" t="s">
        <v>6959</v>
      </c>
      <c r="B20" s="284" t="s">
        <v>7073</v>
      </c>
      <c r="C20" s="4" t="s">
        <v>8938</v>
      </c>
      <c r="D20" s="289">
        <v>10553</v>
      </c>
      <c r="E20" s="289">
        <v>10625</v>
      </c>
      <c r="F20" s="289">
        <v>10518</v>
      </c>
      <c r="G20" s="289">
        <v>10395</v>
      </c>
      <c r="H20" s="30">
        <v>10415</v>
      </c>
      <c r="I20" s="30">
        <v>10009</v>
      </c>
      <c r="J20" s="30">
        <v>10234</v>
      </c>
      <c r="K20" s="30">
        <v>10232</v>
      </c>
      <c r="L20" s="30">
        <v>10747</v>
      </c>
      <c r="N20" s="284" t="s">
        <v>7039</v>
      </c>
      <c r="O20" s="933"/>
      <c r="P20" s="934"/>
      <c r="Q20" s="935"/>
      <c r="R20" s="4"/>
    </row>
    <row r="21" spans="1:18">
      <c r="A21" s="284" t="s">
        <v>6961</v>
      </c>
      <c r="B21" s="284" t="s">
        <v>7074</v>
      </c>
      <c r="C21" s="4" t="s">
        <v>8939</v>
      </c>
      <c r="D21" s="289">
        <v>10574</v>
      </c>
      <c r="E21" s="289">
        <v>10885</v>
      </c>
      <c r="F21" s="289">
        <v>11144</v>
      </c>
      <c r="G21" s="289">
        <v>11222</v>
      </c>
      <c r="H21" s="30">
        <v>11381</v>
      </c>
      <c r="I21" s="30">
        <v>10648</v>
      </c>
      <c r="J21" s="30">
        <v>10820</v>
      </c>
      <c r="K21" s="30">
        <v>10762</v>
      </c>
      <c r="L21" s="30">
        <v>10850</v>
      </c>
      <c r="N21" s="284" t="s">
        <v>7039</v>
      </c>
      <c r="O21" s="933"/>
      <c r="P21" s="934"/>
      <c r="Q21" s="935"/>
      <c r="R21" s="4"/>
    </row>
    <row r="22" spans="1:18">
      <c r="A22" s="284" t="s">
        <v>6963</v>
      </c>
      <c r="B22" s="284" t="s">
        <v>7075</v>
      </c>
      <c r="C22" s="4" t="s">
        <v>8940</v>
      </c>
      <c r="D22" s="289">
        <v>10564</v>
      </c>
      <c r="E22" s="289">
        <v>10586</v>
      </c>
      <c r="F22" s="289">
        <v>10747</v>
      </c>
      <c r="G22" s="289">
        <v>10625</v>
      </c>
      <c r="H22" s="30">
        <v>10510</v>
      </c>
      <c r="I22" s="30">
        <v>10141</v>
      </c>
      <c r="J22" s="30">
        <v>10060</v>
      </c>
      <c r="K22" s="30">
        <v>10330</v>
      </c>
      <c r="L22" s="30">
        <v>10688</v>
      </c>
      <c r="N22" s="284" t="s">
        <v>7038</v>
      </c>
      <c r="O22" s="933"/>
      <c r="P22" s="934"/>
      <c r="Q22" s="935"/>
      <c r="R22" s="4"/>
    </row>
    <row r="23" spans="1:18">
      <c r="A23" s="284" t="s">
        <v>6965</v>
      </c>
      <c r="B23" s="284" t="s">
        <v>2937</v>
      </c>
      <c r="C23" s="4" t="s">
        <v>8941</v>
      </c>
      <c r="D23" s="289">
        <v>10511</v>
      </c>
      <c r="E23" s="289">
        <v>10594</v>
      </c>
      <c r="F23" s="289">
        <v>10373</v>
      </c>
      <c r="G23" s="289">
        <v>10223</v>
      </c>
      <c r="H23" s="30">
        <v>10178</v>
      </c>
      <c r="I23" s="30">
        <v>9756</v>
      </c>
      <c r="J23" s="30">
        <v>9986</v>
      </c>
      <c r="K23" s="30">
        <v>10101</v>
      </c>
      <c r="L23" s="30">
        <v>10173</v>
      </c>
      <c r="N23" s="284" t="s">
        <v>7036</v>
      </c>
      <c r="O23" s="933"/>
      <c r="P23" s="934"/>
      <c r="Q23" s="935"/>
      <c r="R23" s="4"/>
    </row>
    <row r="24" spans="1:18">
      <c r="A24" s="284" t="s">
        <v>6997</v>
      </c>
      <c r="B24" s="284" t="s">
        <v>7076</v>
      </c>
      <c r="C24" s="4" t="s">
        <v>8942</v>
      </c>
      <c r="D24" s="289">
        <v>9831</v>
      </c>
      <c r="E24" s="289">
        <v>9875</v>
      </c>
      <c r="F24" s="289">
        <v>9798</v>
      </c>
      <c r="G24" s="289">
        <v>9831</v>
      </c>
      <c r="H24" s="31">
        <v>9935</v>
      </c>
      <c r="I24" s="31">
        <v>9726</v>
      </c>
      <c r="J24" s="31">
        <v>9791</v>
      </c>
      <c r="K24" s="31">
        <v>9832</v>
      </c>
      <c r="L24" s="31">
        <v>10060</v>
      </c>
      <c r="N24" s="284" t="s">
        <v>7039</v>
      </c>
      <c r="O24"/>
      <c r="P24" s="936"/>
      <c r="Q24" s="929"/>
      <c r="R24" s="4"/>
    </row>
    <row r="25" spans="1:18">
      <c r="A25" s="284" t="s">
        <v>6999</v>
      </c>
      <c r="B25" s="284" t="s">
        <v>8403</v>
      </c>
      <c r="C25" s="4" t="s">
        <v>8943</v>
      </c>
      <c r="D25" s="289">
        <v>9944</v>
      </c>
      <c r="E25" s="289">
        <v>9956</v>
      </c>
      <c r="F25" s="289">
        <v>10077</v>
      </c>
      <c r="G25" s="289">
        <v>10084</v>
      </c>
      <c r="H25" s="31">
        <v>10157</v>
      </c>
      <c r="I25" s="31">
        <v>9767</v>
      </c>
      <c r="J25" s="31">
        <v>9892</v>
      </c>
      <c r="K25" s="31">
        <v>9864</v>
      </c>
      <c r="L25" s="31">
        <v>10219</v>
      </c>
      <c r="N25" s="284" t="s">
        <v>7039</v>
      </c>
      <c r="O25"/>
      <c r="P25" s="936"/>
      <c r="Q25" s="929"/>
      <c r="R25" s="4"/>
    </row>
    <row r="26" spans="1:18">
      <c r="A26" s="284" t="s">
        <v>7001</v>
      </c>
      <c r="B26" s="284" t="s">
        <v>7043</v>
      </c>
      <c r="C26" s="4" t="s">
        <v>8944</v>
      </c>
      <c r="D26" s="289">
        <v>9538</v>
      </c>
      <c r="E26" s="289">
        <v>9698</v>
      </c>
      <c r="F26" s="289">
        <v>9793</v>
      </c>
      <c r="G26" s="289">
        <v>9701</v>
      </c>
      <c r="H26" s="30">
        <v>9809</v>
      </c>
      <c r="I26" s="30">
        <v>9508</v>
      </c>
      <c r="J26" s="30">
        <v>9569</v>
      </c>
      <c r="K26" s="30">
        <v>9682</v>
      </c>
      <c r="L26" s="30">
        <v>9974</v>
      </c>
      <c r="N26" s="284" t="s">
        <v>7036</v>
      </c>
      <c r="O26" s="933"/>
      <c r="P26" s="934"/>
      <c r="Q26" s="935"/>
      <c r="R26" s="4"/>
    </row>
    <row r="27" spans="1:18">
      <c r="A27" s="284" t="s">
        <v>7003</v>
      </c>
      <c r="B27" s="284" t="s">
        <v>7044</v>
      </c>
      <c r="C27" s="4" t="s">
        <v>8945</v>
      </c>
      <c r="D27" s="289">
        <v>10785</v>
      </c>
      <c r="E27" s="289">
        <v>10882</v>
      </c>
      <c r="F27" s="289">
        <v>10779</v>
      </c>
      <c r="G27" s="289">
        <v>10633</v>
      </c>
      <c r="H27" s="31">
        <v>10610</v>
      </c>
      <c r="I27" s="31">
        <v>10237</v>
      </c>
      <c r="J27" s="31">
        <v>10555</v>
      </c>
      <c r="K27" s="31">
        <v>10533</v>
      </c>
      <c r="L27" s="31">
        <v>10845</v>
      </c>
      <c r="N27" s="284" t="s">
        <v>7039</v>
      </c>
      <c r="O27"/>
      <c r="P27" s="936"/>
      <c r="Q27" s="929"/>
      <c r="R27" s="4"/>
    </row>
    <row r="28" spans="1:18">
      <c r="A28" s="284" t="s">
        <v>7005</v>
      </c>
      <c r="B28" s="284" t="s">
        <v>7045</v>
      </c>
      <c r="C28" s="4" t="s">
        <v>8946</v>
      </c>
      <c r="D28" s="289">
        <v>10404</v>
      </c>
      <c r="E28" s="289">
        <v>10439</v>
      </c>
      <c r="F28" s="289">
        <v>10339</v>
      </c>
      <c r="G28" s="289">
        <v>10019</v>
      </c>
      <c r="H28" s="30">
        <v>9779</v>
      </c>
      <c r="I28" s="30">
        <v>9442</v>
      </c>
      <c r="J28" s="30">
        <v>9292</v>
      </c>
      <c r="K28" s="30">
        <v>9475</v>
      </c>
      <c r="L28" s="30">
        <v>9589</v>
      </c>
      <c r="N28" s="284" t="s">
        <v>7036</v>
      </c>
      <c r="O28" s="933"/>
      <c r="P28" s="934"/>
      <c r="Q28" s="935"/>
      <c r="R28" s="4"/>
    </row>
    <row r="29" spans="1:18">
      <c r="A29" s="284" t="s">
        <v>7007</v>
      </c>
      <c r="B29" s="284" t="s">
        <v>7046</v>
      </c>
      <c r="C29" s="4" t="s">
        <v>8947</v>
      </c>
      <c r="D29" s="289">
        <v>10074</v>
      </c>
      <c r="E29" s="289">
        <v>10200</v>
      </c>
      <c r="F29" s="289">
        <v>10186</v>
      </c>
      <c r="G29" s="289">
        <v>10146</v>
      </c>
      <c r="H29" s="30">
        <v>10035</v>
      </c>
      <c r="I29" s="30">
        <v>9864</v>
      </c>
      <c r="J29" s="30">
        <v>9948</v>
      </c>
      <c r="K29" s="30">
        <v>10571</v>
      </c>
      <c r="L29" s="30">
        <v>10840</v>
      </c>
      <c r="N29" s="284" t="s">
        <v>7036</v>
      </c>
      <c r="O29" s="933"/>
      <c r="P29" s="934"/>
      <c r="Q29" s="935"/>
      <c r="R29" s="4"/>
    </row>
    <row r="30" spans="1:18">
      <c r="A30" s="284" t="s">
        <v>7009</v>
      </c>
      <c r="B30" s="284" t="s">
        <v>1472</v>
      </c>
      <c r="C30" s="4" t="s">
        <v>8948</v>
      </c>
      <c r="D30" s="289">
        <v>9639</v>
      </c>
      <c r="E30" s="289">
        <v>9332</v>
      </c>
      <c r="F30" s="289">
        <v>9379</v>
      </c>
      <c r="G30" s="289">
        <v>9344</v>
      </c>
      <c r="H30" s="30">
        <v>9134</v>
      </c>
      <c r="I30" s="30">
        <v>8408</v>
      </c>
      <c r="J30" s="30">
        <v>8269</v>
      </c>
      <c r="K30" s="30">
        <v>7953</v>
      </c>
      <c r="L30" s="30">
        <v>8086</v>
      </c>
      <c r="N30" s="284" t="s">
        <v>7038</v>
      </c>
      <c r="O30" s="933"/>
      <c r="P30" s="934"/>
      <c r="Q30" s="935"/>
      <c r="R30" s="4"/>
    </row>
    <row r="31" spans="1:18">
      <c r="A31" s="284" t="s">
        <v>7011</v>
      </c>
      <c r="B31" s="284" t="s">
        <v>7047</v>
      </c>
      <c r="C31" s="4" t="s">
        <v>8949</v>
      </c>
      <c r="D31" s="289">
        <v>10419</v>
      </c>
      <c r="E31" s="289">
        <v>10739</v>
      </c>
      <c r="F31" s="289">
        <v>10652</v>
      </c>
      <c r="G31" s="289">
        <v>10745</v>
      </c>
      <c r="H31" s="30">
        <v>10826</v>
      </c>
      <c r="I31" s="30">
        <v>10587</v>
      </c>
      <c r="J31" s="30">
        <v>10765</v>
      </c>
      <c r="K31" s="30">
        <v>11048</v>
      </c>
      <c r="L31" s="30">
        <v>11308</v>
      </c>
      <c r="N31" s="284" t="s">
        <v>7036</v>
      </c>
      <c r="O31" s="933"/>
      <c r="P31" s="934"/>
      <c r="Q31" s="935"/>
      <c r="R31" s="4"/>
    </row>
    <row r="32" spans="1:18">
      <c r="A32" s="284" t="s">
        <v>7013</v>
      </c>
      <c r="B32" s="284" t="s">
        <v>7048</v>
      </c>
      <c r="C32" s="4" t="s">
        <v>8950</v>
      </c>
      <c r="D32" s="289">
        <v>10270</v>
      </c>
      <c r="E32" s="289">
        <v>10475</v>
      </c>
      <c r="F32" s="289">
        <v>10254</v>
      </c>
      <c r="G32" s="289">
        <v>10155</v>
      </c>
      <c r="H32" s="30">
        <v>10189</v>
      </c>
      <c r="I32" s="30">
        <v>9664</v>
      </c>
      <c r="J32" s="30">
        <v>9921</v>
      </c>
      <c r="K32" s="30">
        <v>9997</v>
      </c>
      <c r="L32" s="30">
        <v>10045</v>
      </c>
      <c r="N32" s="284" t="s">
        <v>7036</v>
      </c>
      <c r="O32" s="933"/>
      <c r="P32" s="934"/>
      <c r="Q32" s="935"/>
      <c r="R32" s="4"/>
    </row>
    <row r="33" spans="1:18">
      <c r="A33" s="284" t="s">
        <v>7015</v>
      </c>
      <c r="B33" s="284" t="s">
        <v>7049</v>
      </c>
      <c r="C33" s="4" t="s">
        <v>8951</v>
      </c>
      <c r="D33" s="289">
        <v>11000</v>
      </c>
      <c r="E33" s="289">
        <v>11106</v>
      </c>
      <c r="F33" s="289">
        <v>11090</v>
      </c>
      <c r="G33" s="289">
        <v>11225</v>
      </c>
      <c r="H33" s="30">
        <v>11325</v>
      </c>
      <c r="I33" s="30">
        <v>10876</v>
      </c>
      <c r="J33" s="30">
        <v>11168</v>
      </c>
      <c r="K33" s="30">
        <v>11539</v>
      </c>
      <c r="L33" s="30">
        <v>11655</v>
      </c>
      <c r="N33" s="284" t="s">
        <v>7038</v>
      </c>
      <c r="O33" s="933"/>
      <c r="P33" s="934"/>
      <c r="Q33" s="935"/>
      <c r="R33" s="4"/>
    </row>
    <row r="34" spans="1:18">
      <c r="A34" s="284" t="s">
        <v>7017</v>
      </c>
      <c r="B34" s="284" t="s">
        <v>7050</v>
      </c>
      <c r="C34" s="4" t="s">
        <v>8952</v>
      </c>
      <c r="D34" s="289">
        <v>10845</v>
      </c>
      <c r="E34" s="289">
        <v>10928</v>
      </c>
      <c r="F34" s="289">
        <v>10714</v>
      </c>
      <c r="G34" s="289">
        <v>10727</v>
      </c>
      <c r="H34" s="30">
        <v>10858</v>
      </c>
      <c r="I34" s="30">
        <v>10473</v>
      </c>
      <c r="J34" s="30">
        <v>10761</v>
      </c>
      <c r="K34" s="30">
        <v>11081</v>
      </c>
      <c r="L34" s="30">
        <v>11282</v>
      </c>
      <c r="N34" s="284" t="s">
        <v>7038</v>
      </c>
      <c r="O34" s="933"/>
      <c r="P34" s="934"/>
      <c r="Q34" s="935"/>
      <c r="R34" s="4"/>
    </row>
    <row r="35" spans="1:18">
      <c r="A35" s="284" t="s">
        <v>7019</v>
      </c>
      <c r="B35" s="284" t="s">
        <v>7051</v>
      </c>
      <c r="C35" s="4" t="s">
        <v>8953</v>
      </c>
      <c r="D35" s="289">
        <v>10355</v>
      </c>
      <c r="E35" s="289">
        <v>10465</v>
      </c>
      <c r="F35" s="289">
        <v>10547</v>
      </c>
      <c r="G35" s="289">
        <v>10489</v>
      </c>
      <c r="H35" s="31">
        <v>10700</v>
      </c>
      <c r="I35" s="31">
        <v>10204</v>
      </c>
      <c r="J35" s="31">
        <v>10498</v>
      </c>
      <c r="K35" s="31">
        <v>10411</v>
      </c>
      <c r="L35" s="31">
        <v>10773</v>
      </c>
      <c r="N35" s="284" t="s">
        <v>7039</v>
      </c>
      <c r="O35"/>
      <c r="P35" s="936"/>
      <c r="Q35" s="929"/>
      <c r="R35" s="4"/>
    </row>
    <row r="36" spans="1:18">
      <c r="A36" s="284" t="s">
        <v>7021</v>
      </c>
      <c r="B36" s="284" t="s">
        <v>7052</v>
      </c>
      <c r="C36" s="4" t="s">
        <v>8954</v>
      </c>
      <c r="D36" s="290">
        <v>9951</v>
      </c>
      <c r="E36" s="290">
        <v>10019</v>
      </c>
      <c r="F36" s="290">
        <v>9934</v>
      </c>
      <c r="G36" s="290">
        <v>9884</v>
      </c>
      <c r="H36" s="31">
        <v>9939</v>
      </c>
      <c r="I36" s="31">
        <v>9695</v>
      </c>
      <c r="J36" s="31">
        <v>9638</v>
      </c>
      <c r="K36" s="31">
        <v>9749</v>
      </c>
      <c r="L36" s="31">
        <v>9719</v>
      </c>
      <c r="N36" s="284" t="s">
        <v>7039</v>
      </c>
      <c r="O36"/>
      <c r="P36" s="936"/>
      <c r="Q36" s="929"/>
      <c r="R36" s="4"/>
    </row>
    <row r="37" spans="1:18">
      <c r="A37" s="284" t="s">
        <v>7023</v>
      </c>
      <c r="B37" s="284" t="s">
        <v>2790</v>
      </c>
      <c r="C37" s="4" t="s">
        <v>8955</v>
      </c>
      <c r="D37" s="289">
        <v>10361</v>
      </c>
      <c r="E37" s="289">
        <v>10288</v>
      </c>
      <c r="F37" s="289">
        <v>10121</v>
      </c>
      <c r="G37" s="289">
        <v>10155</v>
      </c>
      <c r="H37" s="30">
        <v>10075</v>
      </c>
      <c r="I37" s="30">
        <v>9720</v>
      </c>
      <c r="J37" s="30">
        <v>9704</v>
      </c>
      <c r="K37" s="30">
        <v>9808</v>
      </c>
      <c r="L37" s="30">
        <v>9937</v>
      </c>
      <c r="N37" s="284" t="s">
        <v>7038</v>
      </c>
      <c r="O37" s="933"/>
      <c r="P37" s="934"/>
      <c r="Q37" s="935"/>
      <c r="R37" s="4"/>
    </row>
    <row r="38" spans="1:18">
      <c r="A38" s="284" t="s">
        <v>7025</v>
      </c>
      <c r="B38" s="284" t="s">
        <v>7053</v>
      </c>
      <c r="C38" s="4" t="s">
        <v>8956</v>
      </c>
      <c r="D38" s="289">
        <v>9814</v>
      </c>
      <c r="E38" s="289">
        <v>9913</v>
      </c>
      <c r="F38" s="289">
        <v>9955</v>
      </c>
      <c r="G38" s="289">
        <v>9908</v>
      </c>
      <c r="H38" s="30">
        <v>10105</v>
      </c>
      <c r="I38" s="30">
        <v>9799</v>
      </c>
      <c r="J38" s="30">
        <v>9860</v>
      </c>
      <c r="K38" s="30">
        <v>9941</v>
      </c>
      <c r="L38" s="30">
        <v>10117</v>
      </c>
      <c r="N38" s="284" t="s">
        <v>7038</v>
      </c>
      <c r="O38" s="933"/>
      <c r="P38" s="934"/>
      <c r="Q38" s="935"/>
      <c r="R38" s="4"/>
    </row>
    <row r="40" spans="1:18">
      <c r="A40" s="285" t="s">
        <v>7054</v>
      </c>
    </row>
  </sheetData>
  <sortState ref="O19:Q38">
    <sortCondition ref="O1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3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17 E5:E17 F5:F17 G5:G17 H3:H4 H5:H17 I3:I17 J3:J18 K3:K17 L3:L17" unlockedFormula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8"/>
  <sheetViews>
    <sheetView showGridLines="0" zoomScaleNormal="100" workbookViewId="0"/>
  </sheetViews>
  <sheetFormatPr defaultColWidth="12.5703125" defaultRowHeight="15"/>
  <cols>
    <col min="1" max="1" width="4.7109375" style="841" customWidth="1"/>
    <col min="2" max="2" width="36" style="841" customWidth="1"/>
    <col min="3" max="3" width="11.5703125" style="841" customWidth="1"/>
    <col min="4" max="12" width="10" style="841" customWidth="1"/>
    <col min="13" max="13" width="2.28515625" style="841" customWidth="1"/>
    <col min="14" max="14" width="30.7109375" style="841" customWidth="1"/>
    <col min="15" max="16384" width="12.5703125" style="841"/>
  </cols>
  <sheetData>
    <row r="1" spans="1:14">
      <c r="A1" s="840" t="s">
        <v>8847</v>
      </c>
      <c r="D1" s="842">
        <v>2010</v>
      </c>
      <c r="E1" s="842">
        <v>2011</v>
      </c>
      <c r="F1" s="842">
        <v>2012</v>
      </c>
      <c r="G1" s="842">
        <v>2013</v>
      </c>
      <c r="H1" s="842">
        <v>2014</v>
      </c>
      <c r="I1" s="842">
        <v>2015</v>
      </c>
      <c r="J1" s="842">
        <v>2016</v>
      </c>
      <c r="K1" s="842">
        <v>2017</v>
      </c>
      <c r="L1" s="842">
        <v>2018</v>
      </c>
    </row>
    <row r="3" spans="1:14">
      <c r="A3" s="840" t="s">
        <v>7055</v>
      </c>
      <c r="D3" s="849">
        <f t="shared" ref="D3:J3" si="0">SUM(D17:D22)+SUM(D24:D36)+SUM(D38:D42)</f>
        <v>150586</v>
      </c>
      <c r="E3" s="849">
        <f t="shared" si="0"/>
        <v>153048</v>
      </c>
      <c r="F3" s="849">
        <f t="shared" si="0"/>
        <v>154422</v>
      </c>
      <c r="G3" s="849">
        <f t="shared" si="0"/>
        <v>156070</v>
      </c>
      <c r="H3" s="849">
        <f t="shared" si="0"/>
        <v>159271</v>
      </c>
      <c r="I3" s="849">
        <f t="shared" si="0"/>
        <v>156073</v>
      </c>
      <c r="J3" s="849">
        <f t="shared" si="0"/>
        <v>152989</v>
      </c>
      <c r="K3" s="849">
        <f>SUM(K17:K22)+SUM(K24:K36)+SUM(K38:K42)</f>
        <v>154119</v>
      </c>
      <c r="L3" s="849">
        <f>SUM(L17:L22)+SUM(L24:L36)+SUM(L38:L42)</f>
        <v>154399</v>
      </c>
    </row>
    <row r="4" spans="1:14">
      <c r="A4" s="20"/>
      <c r="B4" s="20"/>
      <c r="C4" s="20"/>
      <c r="D4" s="21"/>
      <c r="E4" s="21"/>
      <c r="F4" s="21"/>
      <c r="G4" s="21"/>
      <c r="H4" s="21"/>
      <c r="I4" s="21"/>
      <c r="J4" s="21"/>
      <c r="K4" s="21"/>
      <c r="L4" s="21"/>
      <c r="M4" s="20"/>
      <c r="N4" s="20"/>
    </row>
    <row r="5" spans="1:14">
      <c r="A5" s="840" t="s">
        <v>3520</v>
      </c>
      <c r="D5" s="843">
        <f t="shared" ref="D5:I5" si="1">D3/2</f>
        <v>75293</v>
      </c>
      <c r="E5" s="843">
        <f t="shared" si="1"/>
        <v>76524</v>
      </c>
      <c r="F5" s="843">
        <f t="shared" si="1"/>
        <v>77211</v>
      </c>
      <c r="G5" s="843">
        <f t="shared" si="1"/>
        <v>78035</v>
      </c>
      <c r="H5" s="843">
        <f t="shared" si="1"/>
        <v>79635.5</v>
      </c>
      <c r="I5" s="843">
        <f t="shared" si="1"/>
        <v>78036.5</v>
      </c>
      <c r="J5" s="843">
        <f t="shared" ref="J5:K5" si="2">J3/2</f>
        <v>76494.5</v>
      </c>
      <c r="K5" s="843">
        <f t="shared" si="2"/>
        <v>77059.5</v>
      </c>
      <c r="L5" s="843">
        <f t="shared" ref="L5" si="3">L3/2</f>
        <v>77199.5</v>
      </c>
    </row>
    <row r="7" spans="1:14">
      <c r="A7" s="840" t="s">
        <v>7056</v>
      </c>
      <c r="D7" s="843">
        <f t="shared" ref="D7:J7" si="4">SUM(D19:D21)+D24+D25+D33+D35+SUM(D38:D40)+D42</f>
        <v>70953</v>
      </c>
      <c r="E7" s="843">
        <f t="shared" si="4"/>
        <v>71836</v>
      </c>
      <c r="F7" s="843">
        <f t="shared" si="4"/>
        <v>72097</v>
      </c>
      <c r="G7" s="843">
        <f t="shared" si="4"/>
        <v>72450</v>
      </c>
      <c r="H7" s="843">
        <f t="shared" si="4"/>
        <v>73741</v>
      </c>
      <c r="I7" s="843">
        <f t="shared" si="4"/>
        <v>72030</v>
      </c>
      <c r="J7" s="843">
        <f t="shared" si="4"/>
        <v>70035</v>
      </c>
      <c r="K7" s="843">
        <f>SUM(K19:K21)+K24+K25+K33+K35+SUM(K38:K40)+K42</f>
        <v>70469</v>
      </c>
      <c r="L7" s="843">
        <f>SUM(L19:L21)+L24+L25+L33+L35+SUM(L38:L40)+L42</f>
        <v>70559</v>
      </c>
      <c r="N7" s="840" t="s">
        <v>7057</v>
      </c>
    </row>
    <row r="8" spans="1:14">
      <c r="D8" s="846"/>
      <c r="E8" s="846"/>
      <c r="F8" s="846"/>
      <c r="G8" s="846"/>
      <c r="H8" s="846"/>
      <c r="I8" s="846"/>
      <c r="J8" s="846"/>
      <c r="K8" s="846"/>
      <c r="L8" s="846"/>
    </row>
    <row r="9" spans="1:14">
      <c r="A9" s="840" t="s">
        <v>7058</v>
      </c>
      <c r="D9" s="843">
        <f t="shared" ref="D9:J9" si="5">D17+D18+D22+SUM(D26:D32)+D34+D36+D41</f>
        <v>79633</v>
      </c>
      <c r="E9" s="843">
        <f t="shared" si="5"/>
        <v>81212</v>
      </c>
      <c r="F9" s="843">
        <f t="shared" si="5"/>
        <v>82325</v>
      </c>
      <c r="G9" s="843">
        <f t="shared" si="5"/>
        <v>83620</v>
      </c>
      <c r="H9" s="843">
        <f t="shared" si="5"/>
        <v>85530</v>
      </c>
      <c r="I9" s="843">
        <f t="shared" si="5"/>
        <v>84043</v>
      </c>
      <c r="J9" s="843">
        <f t="shared" si="5"/>
        <v>82954</v>
      </c>
      <c r="K9" s="843">
        <f>K17+K18+K22+SUM(K26:K32)+K34+K36+K41</f>
        <v>83650</v>
      </c>
      <c r="L9" s="843">
        <f>L17+L18+L22+SUM(L26:L32)+L34+L36+L41</f>
        <v>83840</v>
      </c>
      <c r="N9" s="840" t="s">
        <v>7057</v>
      </c>
    </row>
    <row r="10" spans="1:14">
      <c r="D10" s="846"/>
      <c r="E10" s="846"/>
      <c r="F10" s="846"/>
      <c r="G10" s="846"/>
      <c r="H10" s="846"/>
      <c r="I10" s="846"/>
      <c r="J10" s="846"/>
      <c r="K10" s="846"/>
      <c r="L10" s="846"/>
    </row>
    <row r="11" spans="1:14">
      <c r="A11" s="841" t="s">
        <v>8697</v>
      </c>
      <c r="D11" s="846">
        <f t="shared" ref="D11:I11" si="6">D7+D9</f>
        <v>150586</v>
      </c>
      <c r="E11" s="846">
        <f t="shared" si="6"/>
        <v>153048</v>
      </c>
      <c r="F11" s="846">
        <f t="shared" si="6"/>
        <v>154422</v>
      </c>
      <c r="G11" s="846">
        <f t="shared" si="6"/>
        <v>156070</v>
      </c>
      <c r="H11" s="846">
        <f t="shared" si="6"/>
        <v>159271</v>
      </c>
      <c r="I11" s="846">
        <f t="shared" si="6"/>
        <v>156073</v>
      </c>
      <c r="J11" s="846">
        <f t="shared" ref="J11:K11" si="7">J7+J9</f>
        <v>152989</v>
      </c>
      <c r="K11" s="846">
        <f t="shared" si="7"/>
        <v>154119</v>
      </c>
      <c r="L11" s="846">
        <f t="shared" ref="L11" si="8">L7+L9</f>
        <v>154399</v>
      </c>
    </row>
    <row r="12" spans="1:14">
      <c r="D12" s="846"/>
      <c r="E12" s="846"/>
      <c r="F12" s="846"/>
      <c r="G12" s="846"/>
      <c r="H12" s="846"/>
      <c r="I12" s="846"/>
      <c r="J12" s="846"/>
      <c r="K12" s="846"/>
      <c r="L12" s="846"/>
    </row>
    <row r="13" spans="1:14">
      <c r="A13" s="840" t="s">
        <v>8698</v>
      </c>
      <c r="D13" s="843">
        <f t="shared" ref="D13:I13" si="9">MAX(D7,D9)-MIN(D7,D9)</f>
        <v>8680</v>
      </c>
      <c r="E13" s="843">
        <f t="shared" si="9"/>
        <v>9376</v>
      </c>
      <c r="F13" s="843">
        <f t="shared" si="9"/>
        <v>10228</v>
      </c>
      <c r="G13" s="843">
        <f t="shared" si="9"/>
        <v>11170</v>
      </c>
      <c r="H13" s="843">
        <f t="shared" si="9"/>
        <v>11789</v>
      </c>
      <c r="I13" s="843">
        <f t="shared" si="9"/>
        <v>12013</v>
      </c>
      <c r="J13" s="843">
        <f t="shared" ref="J13:K13" si="10">MAX(J7,J9)-MIN(J7,J9)</f>
        <v>12919</v>
      </c>
      <c r="K13" s="843">
        <f t="shared" si="10"/>
        <v>13181</v>
      </c>
      <c r="L13" s="843">
        <f t="shared" ref="L13" si="11">MAX(L7,L9)-MIN(L7,L9)</f>
        <v>13281</v>
      </c>
    </row>
    <row r="14" spans="1:14">
      <c r="D14" s="846"/>
      <c r="E14" s="846"/>
      <c r="F14" s="846"/>
      <c r="G14" s="846"/>
      <c r="H14" s="846"/>
      <c r="I14" s="846"/>
      <c r="J14" s="846"/>
      <c r="K14" s="846"/>
      <c r="L14" s="846"/>
    </row>
    <row r="15" spans="1:14">
      <c r="A15" s="840" t="s">
        <v>8701</v>
      </c>
      <c r="D15" s="843">
        <f t="shared" ref="D15:I15" si="12">STDEVP(D7,D9)</f>
        <v>4340</v>
      </c>
      <c r="E15" s="843">
        <f t="shared" si="12"/>
        <v>4688</v>
      </c>
      <c r="F15" s="843">
        <f t="shared" si="12"/>
        <v>5114</v>
      </c>
      <c r="G15" s="843">
        <f t="shared" si="12"/>
        <v>5585</v>
      </c>
      <c r="H15" s="843">
        <f t="shared" si="12"/>
        <v>5894.5</v>
      </c>
      <c r="I15" s="843">
        <f t="shared" si="12"/>
        <v>6006.5</v>
      </c>
      <c r="J15" s="843">
        <f t="shared" ref="J15:K15" si="13">STDEVP(J7,J9)</f>
        <v>6459.5</v>
      </c>
      <c r="K15" s="843">
        <f t="shared" si="13"/>
        <v>6590.5</v>
      </c>
      <c r="L15" s="843">
        <f t="shared" ref="L15" si="14">STDEVP(L7,L9)</f>
        <v>6640.5</v>
      </c>
    </row>
    <row r="16" spans="1:14">
      <c r="A16" s="840"/>
      <c r="D16" s="847"/>
      <c r="E16" s="847"/>
      <c r="F16" s="847"/>
      <c r="G16" s="847"/>
      <c r="H16" s="847"/>
      <c r="I16" s="847"/>
      <c r="J16" s="847"/>
      <c r="K16" s="847"/>
      <c r="L16" s="847"/>
    </row>
    <row r="17" spans="1:18">
      <c r="A17" s="840" t="s">
        <v>6957</v>
      </c>
      <c r="B17" s="840" t="s">
        <v>8555</v>
      </c>
      <c r="C17" s="4" t="s">
        <v>16186</v>
      </c>
      <c r="D17" s="843">
        <v>79633</v>
      </c>
      <c r="E17" s="843">
        <v>81212</v>
      </c>
      <c r="F17" s="843">
        <v>82325</v>
      </c>
      <c r="G17" s="843">
        <v>83620</v>
      </c>
      <c r="H17" s="30">
        <v>85530</v>
      </c>
      <c r="I17" s="30">
        <v>84043</v>
      </c>
      <c r="J17" s="30">
        <v>82954</v>
      </c>
      <c r="K17" s="30">
        <v>8351</v>
      </c>
      <c r="L17" s="30">
        <v>8387</v>
      </c>
      <c r="N17" s="840" t="s">
        <v>7058</v>
      </c>
      <c r="P17" s="4"/>
      <c r="R17" s="4"/>
    </row>
    <row r="18" spans="1:18">
      <c r="A18" s="840" t="s">
        <v>6959</v>
      </c>
      <c r="B18" s="840" t="s">
        <v>7059</v>
      </c>
      <c r="C18" s="4" t="s">
        <v>16187</v>
      </c>
      <c r="D18" s="843">
        <v>0</v>
      </c>
      <c r="E18" s="843">
        <v>0</v>
      </c>
      <c r="F18" s="843">
        <v>0</v>
      </c>
      <c r="G18" s="843">
        <v>0</v>
      </c>
      <c r="H18" s="30">
        <v>0</v>
      </c>
      <c r="I18" s="30">
        <v>0</v>
      </c>
      <c r="J18" s="30">
        <v>0</v>
      </c>
      <c r="K18" s="30">
        <v>7062</v>
      </c>
      <c r="L18" s="30">
        <v>7037</v>
      </c>
      <c r="N18" s="840" t="s">
        <v>7058</v>
      </c>
      <c r="P18" s="4"/>
      <c r="R18" s="4"/>
    </row>
    <row r="19" spans="1:18">
      <c r="A19" s="840" t="s">
        <v>6961</v>
      </c>
      <c r="B19" s="20" t="s">
        <v>4140</v>
      </c>
      <c r="C19" s="4" t="s">
        <v>16188</v>
      </c>
      <c r="D19" s="843">
        <v>70953</v>
      </c>
      <c r="E19" s="843">
        <v>71836</v>
      </c>
      <c r="F19" s="843">
        <v>72097</v>
      </c>
      <c r="G19" s="843">
        <v>72450</v>
      </c>
      <c r="H19" s="30">
        <v>73741</v>
      </c>
      <c r="I19" s="30">
        <v>72030</v>
      </c>
      <c r="J19" s="30">
        <v>70035</v>
      </c>
      <c r="K19" s="30">
        <v>8058</v>
      </c>
      <c r="L19" s="30">
        <v>7951</v>
      </c>
      <c r="N19" s="840" t="s">
        <v>7056</v>
      </c>
      <c r="P19" s="4"/>
      <c r="R19" s="4"/>
    </row>
    <row r="20" spans="1:18">
      <c r="A20" s="840" t="s">
        <v>6963</v>
      </c>
      <c r="B20" s="20" t="s">
        <v>16208</v>
      </c>
      <c r="C20" s="4" t="s">
        <v>16189</v>
      </c>
      <c r="D20" s="843">
        <v>0</v>
      </c>
      <c r="E20" s="843">
        <v>0</v>
      </c>
      <c r="F20" s="843">
        <v>0</v>
      </c>
      <c r="G20" s="843">
        <v>0</v>
      </c>
      <c r="H20" s="30">
        <v>0</v>
      </c>
      <c r="I20" s="30">
        <v>0</v>
      </c>
      <c r="J20" s="30">
        <v>0</v>
      </c>
      <c r="K20" s="30">
        <v>5012</v>
      </c>
      <c r="L20" s="30">
        <v>5075</v>
      </c>
      <c r="N20" s="840" t="s">
        <v>7056</v>
      </c>
      <c r="P20" s="4"/>
      <c r="R20" s="4"/>
    </row>
    <row r="21" spans="1:18">
      <c r="A21" s="840" t="s">
        <v>6965</v>
      </c>
      <c r="B21" s="840" t="s">
        <v>16218</v>
      </c>
      <c r="C21" s="4" t="s">
        <v>16190</v>
      </c>
      <c r="D21" s="843">
        <v>0</v>
      </c>
      <c r="E21" s="843">
        <v>0</v>
      </c>
      <c r="F21" s="843">
        <v>0</v>
      </c>
      <c r="G21" s="843">
        <v>0</v>
      </c>
      <c r="H21" s="30">
        <v>0</v>
      </c>
      <c r="I21" s="30">
        <v>0</v>
      </c>
      <c r="J21" s="30">
        <v>0</v>
      </c>
      <c r="K21" s="30">
        <v>171</v>
      </c>
      <c r="L21" s="30">
        <v>174</v>
      </c>
      <c r="N21" s="840" t="s">
        <v>7056</v>
      </c>
      <c r="P21" s="4"/>
      <c r="R21" s="4"/>
    </row>
    <row r="22" spans="1:18" ht="15.75" thickBot="1">
      <c r="A22" s="840"/>
      <c r="B22" s="840"/>
      <c r="C22" s="4" t="s">
        <v>16190</v>
      </c>
      <c r="D22" s="844">
        <v>0</v>
      </c>
      <c r="E22" s="844">
        <v>0</v>
      </c>
      <c r="F22" s="844">
        <v>0</v>
      </c>
      <c r="G22" s="844">
        <v>0</v>
      </c>
      <c r="H22" s="899">
        <v>0</v>
      </c>
      <c r="I22" s="899">
        <v>0</v>
      </c>
      <c r="J22" s="899">
        <v>0</v>
      </c>
      <c r="K22" s="30">
        <v>8317</v>
      </c>
      <c r="L22" s="30">
        <v>8418</v>
      </c>
      <c r="N22" s="840" t="s">
        <v>7058</v>
      </c>
      <c r="P22" s="4"/>
      <c r="R22" s="4"/>
    </row>
    <row r="23" spans="1:18" ht="15.75" thickBot="1">
      <c r="A23" s="840"/>
      <c r="B23" s="840"/>
      <c r="C23" s="4" t="s">
        <v>16190</v>
      </c>
      <c r="D23" s="850">
        <f>D21+D22</f>
        <v>0</v>
      </c>
      <c r="E23" s="850">
        <f t="shared" ref="E23" si="15">E21+E22</f>
        <v>0</v>
      </c>
      <c r="F23" s="850">
        <f t="shared" ref="F23" si="16">F21+F22</f>
        <v>0</v>
      </c>
      <c r="G23" s="850">
        <f t="shared" ref="G23" si="17">G21+G22</f>
        <v>0</v>
      </c>
      <c r="H23" s="850">
        <f t="shared" ref="H23" si="18">H21+H22</f>
        <v>0</v>
      </c>
      <c r="I23" s="850">
        <f t="shared" ref="I23" si="19">I21+I22</f>
        <v>0</v>
      </c>
      <c r="J23" s="850">
        <f t="shared" ref="J23" si="20">J21+J22</f>
        <v>0</v>
      </c>
      <c r="K23" s="850">
        <f t="shared" ref="K23:L23" si="21">K21+K22</f>
        <v>8488</v>
      </c>
      <c r="L23" s="850">
        <f t="shared" si="21"/>
        <v>8592</v>
      </c>
      <c r="N23" s="840"/>
      <c r="P23" s="4"/>
      <c r="R23" s="4"/>
    </row>
    <row r="24" spans="1:18">
      <c r="A24" s="840" t="s">
        <v>6997</v>
      </c>
      <c r="B24" s="840" t="s">
        <v>16217</v>
      </c>
      <c r="C24" s="4" t="s">
        <v>16191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8675</v>
      </c>
      <c r="L24" s="30">
        <v>8634</v>
      </c>
      <c r="N24" s="840" t="s">
        <v>7056</v>
      </c>
      <c r="P24" s="4"/>
      <c r="R24" s="4"/>
    </row>
    <row r="25" spans="1:18">
      <c r="A25" s="840" t="s">
        <v>6999</v>
      </c>
      <c r="B25" s="840" t="s">
        <v>16216</v>
      </c>
      <c r="C25" s="4" t="s">
        <v>16192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7299</v>
      </c>
      <c r="L25" s="30">
        <v>7297</v>
      </c>
      <c r="N25" s="840" t="s">
        <v>7056</v>
      </c>
      <c r="P25" s="4"/>
      <c r="R25" s="4"/>
    </row>
    <row r="26" spans="1:18">
      <c r="A26" s="840" t="s">
        <v>7001</v>
      </c>
      <c r="B26" s="840" t="s">
        <v>16215</v>
      </c>
      <c r="C26" s="4" t="s">
        <v>16193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5433</v>
      </c>
      <c r="L26" s="30">
        <v>5444</v>
      </c>
      <c r="N26" s="840" t="s">
        <v>7058</v>
      </c>
      <c r="P26" s="4"/>
      <c r="R26" s="4"/>
    </row>
    <row r="27" spans="1:18">
      <c r="A27" s="840" t="s">
        <v>7003</v>
      </c>
      <c r="B27" s="840" t="s">
        <v>16214</v>
      </c>
      <c r="C27" s="4" t="s">
        <v>16194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1">
        <v>6924</v>
      </c>
      <c r="L27" s="31">
        <v>6929</v>
      </c>
      <c r="N27" s="840" t="s">
        <v>7058</v>
      </c>
      <c r="P27" s="4"/>
      <c r="R27" s="4"/>
    </row>
    <row r="28" spans="1:18">
      <c r="A28" s="840" t="s">
        <v>7005</v>
      </c>
      <c r="B28" s="840" t="s">
        <v>5266</v>
      </c>
      <c r="C28" s="4" t="s">
        <v>16195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8206</v>
      </c>
      <c r="L28" s="31">
        <v>8213</v>
      </c>
      <c r="N28" s="840" t="s">
        <v>7058</v>
      </c>
      <c r="P28" s="4"/>
      <c r="R28" s="4"/>
    </row>
    <row r="29" spans="1:18">
      <c r="A29" s="840" t="s">
        <v>7007</v>
      </c>
      <c r="B29" s="840" t="s">
        <v>5267</v>
      </c>
      <c r="C29" s="4" t="s">
        <v>16196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5834</v>
      </c>
      <c r="L29" s="31">
        <v>5878</v>
      </c>
      <c r="N29" s="840" t="s">
        <v>7058</v>
      </c>
      <c r="P29" s="4"/>
      <c r="R29" s="4"/>
    </row>
    <row r="30" spans="1:18">
      <c r="A30" s="840" t="s">
        <v>7009</v>
      </c>
      <c r="B30" s="840" t="s">
        <v>5268</v>
      </c>
      <c r="C30" s="4" t="s">
        <v>16197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5631</v>
      </c>
      <c r="L30" s="31">
        <v>5595</v>
      </c>
      <c r="N30" s="840" t="s">
        <v>7058</v>
      </c>
      <c r="P30" s="4"/>
      <c r="R30" s="4"/>
    </row>
    <row r="31" spans="1:18">
      <c r="A31" s="840" t="s">
        <v>7011</v>
      </c>
      <c r="B31" s="840" t="s">
        <v>16213</v>
      </c>
      <c r="C31" s="4" t="s">
        <v>16198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8917</v>
      </c>
      <c r="L31" s="31">
        <v>8955</v>
      </c>
      <c r="N31" s="840" t="s">
        <v>7058</v>
      </c>
      <c r="P31" s="4"/>
      <c r="R31" s="4"/>
    </row>
    <row r="32" spans="1:18">
      <c r="A32" s="840" t="s">
        <v>7013</v>
      </c>
      <c r="B32" s="840" t="s">
        <v>16212</v>
      </c>
      <c r="C32" s="4" t="s">
        <v>16199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1">
        <v>5046</v>
      </c>
      <c r="L32" s="31">
        <v>4995</v>
      </c>
      <c r="N32" s="840" t="s">
        <v>7058</v>
      </c>
      <c r="P32" s="4"/>
      <c r="R32" s="4"/>
    </row>
    <row r="33" spans="1:18">
      <c r="A33" s="840" t="s">
        <v>7015</v>
      </c>
      <c r="B33" s="840" t="s">
        <v>5269</v>
      </c>
      <c r="C33" s="4" t="s">
        <v>16200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0">
        <v>8180</v>
      </c>
      <c r="L33" s="30">
        <v>8057</v>
      </c>
      <c r="N33" s="840" t="s">
        <v>7056</v>
      </c>
      <c r="P33" s="4"/>
      <c r="R33" s="4"/>
    </row>
    <row r="34" spans="1:18">
      <c r="A34" s="840" t="s">
        <v>7017</v>
      </c>
      <c r="B34" s="840" t="s">
        <v>16211</v>
      </c>
      <c r="C34" s="4" t="s">
        <v>16201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1">
        <v>8374</v>
      </c>
      <c r="L34" s="31">
        <v>8425</v>
      </c>
      <c r="N34" s="840" t="s">
        <v>7058</v>
      </c>
      <c r="P34" s="4"/>
      <c r="R34" s="4"/>
    </row>
    <row r="35" spans="1:18">
      <c r="A35" s="840" t="s">
        <v>7019</v>
      </c>
      <c r="B35" s="840" t="s">
        <v>16210</v>
      </c>
      <c r="C35" s="4" t="s">
        <v>16202</v>
      </c>
      <c r="D35" s="843">
        <v>0</v>
      </c>
      <c r="E35" s="843">
        <v>0</v>
      </c>
      <c r="F35" s="843">
        <v>0</v>
      </c>
      <c r="G35" s="843">
        <v>0</v>
      </c>
      <c r="H35" s="30">
        <v>0</v>
      </c>
      <c r="I35" s="30">
        <v>0</v>
      </c>
      <c r="J35" s="30">
        <v>0</v>
      </c>
      <c r="K35" s="30">
        <v>8163</v>
      </c>
      <c r="L35" s="30">
        <v>8156</v>
      </c>
      <c r="N35" s="840" t="s">
        <v>7056</v>
      </c>
      <c r="P35" s="4"/>
      <c r="R35" s="4"/>
    </row>
    <row r="36" spans="1:18" ht="15.75" thickBot="1">
      <c r="A36" s="840"/>
      <c r="B36" s="840"/>
      <c r="C36" s="4" t="s">
        <v>16202</v>
      </c>
      <c r="D36" s="844">
        <v>0</v>
      </c>
      <c r="E36" s="844">
        <v>0</v>
      </c>
      <c r="F36" s="844">
        <v>0</v>
      </c>
      <c r="G36" s="844">
        <v>0</v>
      </c>
      <c r="H36" s="899">
        <v>0</v>
      </c>
      <c r="I36" s="899">
        <v>0</v>
      </c>
      <c r="J36" s="899">
        <v>0</v>
      </c>
      <c r="K36" s="899">
        <v>0</v>
      </c>
      <c r="L36" s="30">
        <v>0</v>
      </c>
      <c r="N36" s="840" t="s">
        <v>7058</v>
      </c>
      <c r="P36" s="4"/>
      <c r="R36" s="4"/>
    </row>
    <row r="37" spans="1:18" ht="15.75" thickBot="1">
      <c r="A37" s="840"/>
      <c r="B37" s="840"/>
      <c r="C37" s="4" t="s">
        <v>16202</v>
      </c>
      <c r="D37" s="850">
        <f>D35+D36</f>
        <v>0</v>
      </c>
      <c r="E37" s="850">
        <f t="shared" ref="E37:L37" si="22">E35+E36</f>
        <v>0</v>
      </c>
      <c r="F37" s="850">
        <f t="shared" si="22"/>
        <v>0</v>
      </c>
      <c r="G37" s="850">
        <f t="shared" si="22"/>
        <v>0</v>
      </c>
      <c r="H37" s="850">
        <f t="shared" si="22"/>
        <v>0</v>
      </c>
      <c r="I37" s="850">
        <f t="shared" si="22"/>
        <v>0</v>
      </c>
      <c r="J37" s="850">
        <f t="shared" si="22"/>
        <v>0</v>
      </c>
      <c r="K37" s="850">
        <f t="shared" si="22"/>
        <v>8163</v>
      </c>
      <c r="L37" s="850">
        <f t="shared" si="22"/>
        <v>8156</v>
      </c>
      <c r="N37" s="840"/>
      <c r="P37" s="4"/>
      <c r="R37" s="4"/>
    </row>
    <row r="38" spans="1:18">
      <c r="A38" s="840" t="s">
        <v>7021</v>
      </c>
      <c r="B38" s="840" t="s">
        <v>8245</v>
      </c>
      <c r="C38" s="4" t="s">
        <v>16203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7686</v>
      </c>
      <c r="L38" s="30">
        <v>7765</v>
      </c>
      <c r="N38" s="840" t="s">
        <v>7056</v>
      </c>
      <c r="P38" s="4"/>
      <c r="R38" s="4"/>
    </row>
    <row r="39" spans="1:18">
      <c r="A39" s="840" t="s">
        <v>7023</v>
      </c>
      <c r="B39" s="840" t="s">
        <v>8246</v>
      </c>
      <c r="C39" s="4" t="s">
        <v>16204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4649</v>
      </c>
      <c r="L39" s="30">
        <v>4794</v>
      </c>
      <c r="N39" s="840" t="s">
        <v>7056</v>
      </c>
      <c r="P39" s="4"/>
      <c r="R39" s="4"/>
    </row>
    <row r="40" spans="1:18">
      <c r="A40" s="840" t="s">
        <v>7025</v>
      </c>
      <c r="B40" s="840" t="s">
        <v>16209</v>
      </c>
      <c r="C40" s="4" t="s">
        <v>16205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0">
        <v>7624</v>
      </c>
      <c r="L40" s="30">
        <v>7615</v>
      </c>
      <c r="N40" s="840" t="s">
        <v>7056</v>
      </c>
      <c r="P40" s="4"/>
      <c r="R40" s="4"/>
    </row>
    <row r="41" spans="1:18">
      <c r="A41" s="840" t="s">
        <v>7570</v>
      </c>
      <c r="B41" s="20" t="s">
        <v>8247</v>
      </c>
      <c r="C41" s="4" t="s">
        <v>16206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1">
        <v>5555</v>
      </c>
      <c r="L41" s="31">
        <v>5564</v>
      </c>
      <c r="N41" s="840" t="s">
        <v>7058</v>
      </c>
      <c r="P41" s="4"/>
      <c r="R41" s="4"/>
    </row>
    <row r="42" spans="1:18">
      <c r="A42" s="840" t="s">
        <v>7572</v>
      </c>
      <c r="B42" s="840" t="s">
        <v>5100</v>
      </c>
      <c r="C42" s="4" t="s">
        <v>16207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0">
        <v>4952</v>
      </c>
      <c r="L42" s="30">
        <v>5041</v>
      </c>
      <c r="N42" s="840" t="s">
        <v>7056</v>
      </c>
      <c r="P42" s="4"/>
      <c r="R42" s="4"/>
    </row>
    <row r="43" spans="1:18">
      <c r="P43" s="4"/>
      <c r="R43" s="4"/>
    </row>
    <row r="44" spans="1:18">
      <c r="A44" s="840" t="s">
        <v>16219</v>
      </c>
      <c r="P44" s="4"/>
      <c r="R44" s="4"/>
    </row>
    <row r="45" spans="1:18">
      <c r="A45" s="20"/>
      <c r="D45" s="847"/>
      <c r="E45" s="847"/>
      <c r="F45" s="847"/>
      <c r="G45" s="847"/>
      <c r="H45" s="847"/>
      <c r="I45" s="847"/>
      <c r="J45" s="847"/>
      <c r="K45" s="847"/>
      <c r="L45" s="847"/>
    </row>
    <row r="46" spans="1:18">
      <c r="A46" s="20"/>
      <c r="D46" s="847"/>
      <c r="E46" s="847"/>
      <c r="F46" s="847"/>
      <c r="G46" s="847"/>
      <c r="H46" s="847"/>
      <c r="I46" s="847"/>
      <c r="J46" s="847"/>
      <c r="K46" s="847"/>
      <c r="L46" s="847"/>
    </row>
    <row r="47" spans="1:18">
      <c r="A47" s="840"/>
      <c r="B47" s="840"/>
      <c r="C47" s="840"/>
      <c r="D47" s="845"/>
      <c r="E47" s="845"/>
      <c r="F47" s="845"/>
      <c r="G47" s="845"/>
      <c r="H47" s="845"/>
      <c r="I47" s="845"/>
      <c r="J47" s="845"/>
      <c r="K47" s="845"/>
      <c r="L47" s="845"/>
    </row>
    <row r="48" spans="1:18">
      <c r="A48" s="840"/>
      <c r="B48" s="840"/>
      <c r="C48" s="840"/>
      <c r="D48" s="845"/>
      <c r="E48" s="845"/>
      <c r="F48" s="845"/>
      <c r="G48" s="845"/>
      <c r="H48" s="845"/>
      <c r="I48" s="845"/>
      <c r="J48" s="845"/>
      <c r="K48" s="845"/>
      <c r="L48" s="845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1" orientation="portrait" horizontalDpi="300" verticalDpi="300" r:id="rId1"/>
  <headerFooter alignWithMargins="0">
    <oddFooter>&amp;C&amp;"Times New Roman,Regular"&amp;8&amp;P of &amp;N</oddFooter>
  </headerFooter>
  <ignoredErrors>
    <ignoredError sqref="D13:D15 D4 E4 F4 G4 D5:D6 E5:E6 F5:F6 G5:G6 H4 H5:H6 I4:I6 J4:J6 D23:L23 D37:L37 D10 E10:E15 F10:F15 G10:G15 H10:H15 I10:I15 J10:J15 D7:J8 D3:K3 K5:K8 K10:K15 D9:K9 L3:L15" unlockedFormula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L216"/>
  <sheetViews>
    <sheetView showGridLines="0" zoomScaleNormal="100" workbookViewId="0"/>
  </sheetViews>
  <sheetFormatPr defaultColWidth="12.5703125" defaultRowHeight="15"/>
  <cols>
    <col min="1" max="1" width="4.85546875" style="739" customWidth="1"/>
    <col min="2" max="2" width="40.85546875" style="739" customWidth="1"/>
    <col min="3" max="3" width="11.5703125" style="739" customWidth="1"/>
    <col min="4" max="12" width="10.140625" style="739" customWidth="1"/>
    <col min="13" max="13" width="2.28515625" style="739" customWidth="1"/>
    <col min="14" max="14" width="30.7109375" style="739" customWidth="1"/>
    <col min="15" max="16384" width="12.5703125" style="739"/>
  </cols>
  <sheetData>
    <row r="1" spans="1:14">
      <c r="A1" s="738" t="s">
        <v>8847</v>
      </c>
      <c r="D1" s="740">
        <v>2010</v>
      </c>
      <c r="E1" s="740">
        <v>2011</v>
      </c>
      <c r="F1" s="740">
        <v>2012</v>
      </c>
      <c r="G1" s="740">
        <v>2013</v>
      </c>
      <c r="H1" s="740">
        <v>2014</v>
      </c>
      <c r="I1" s="740">
        <v>2015</v>
      </c>
      <c r="J1" s="740">
        <v>2016</v>
      </c>
      <c r="K1" s="740">
        <v>2017</v>
      </c>
      <c r="L1" s="740">
        <v>2018</v>
      </c>
    </row>
    <row r="3" spans="1:14">
      <c r="A3" s="738" t="s">
        <v>8757</v>
      </c>
      <c r="D3" s="741">
        <f t="shared" ref="D3:I3" si="0">SUM(D5:D9)</f>
        <v>407618</v>
      </c>
      <c r="E3" s="741">
        <f t="shared" si="0"/>
        <v>407922</v>
      </c>
      <c r="F3" s="741">
        <f t="shared" si="0"/>
        <v>410420</v>
      </c>
      <c r="G3" s="741">
        <f t="shared" si="0"/>
        <v>415204</v>
      </c>
      <c r="H3" s="741">
        <f t="shared" si="0"/>
        <v>411458</v>
      </c>
      <c r="I3" s="741">
        <f t="shared" si="0"/>
        <v>407881</v>
      </c>
      <c r="J3" s="741">
        <f t="shared" ref="J3:K3" si="1">SUM(J5:J9)</f>
        <v>401316</v>
      </c>
      <c r="K3" s="741">
        <f t="shared" si="1"/>
        <v>413640</v>
      </c>
      <c r="L3" s="741">
        <f t="shared" ref="L3" si="2">SUM(L5:L9)</f>
        <v>419347</v>
      </c>
    </row>
    <row r="5" spans="1:14">
      <c r="A5" s="738" t="s">
        <v>6229</v>
      </c>
      <c r="C5" s="738"/>
      <c r="D5" s="741">
        <f t="shared" ref="D5:I5" si="3">D44</f>
        <v>49662</v>
      </c>
      <c r="E5" s="741">
        <f t="shared" si="3"/>
        <v>49627</v>
      </c>
      <c r="F5" s="741">
        <f t="shared" si="3"/>
        <v>49788</v>
      </c>
      <c r="G5" s="741">
        <f t="shared" si="3"/>
        <v>49987</v>
      </c>
      <c r="H5" s="741">
        <f t="shared" si="3"/>
        <v>49456</v>
      </c>
      <c r="I5" s="741">
        <f t="shared" si="3"/>
        <v>48520</v>
      </c>
      <c r="J5" s="741">
        <f t="shared" ref="J5:K5" si="4">J44</f>
        <v>47339</v>
      </c>
      <c r="K5" s="741">
        <f t="shared" si="4"/>
        <v>48761</v>
      </c>
      <c r="L5" s="741">
        <f t="shared" ref="L5" si="5">L44</f>
        <v>48994</v>
      </c>
      <c r="N5" s="742"/>
    </row>
    <row r="6" spans="1:14">
      <c r="A6" s="738" t="s">
        <v>6230</v>
      </c>
      <c r="C6" s="738"/>
      <c r="D6" s="741">
        <f t="shared" ref="D6:I6" si="6">D71</f>
        <v>94012</v>
      </c>
      <c r="E6" s="741">
        <f t="shared" si="6"/>
        <v>94340</v>
      </c>
      <c r="F6" s="741">
        <f t="shared" si="6"/>
        <v>94713</v>
      </c>
      <c r="G6" s="741">
        <f t="shared" si="6"/>
        <v>95735</v>
      </c>
      <c r="H6" s="741">
        <f t="shared" si="6"/>
        <v>94069</v>
      </c>
      <c r="I6" s="741">
        <f t="shared" si="6"/>
        <v>92436</v>
      </c>
      <c r="J6" s="741">
        <f t="shared" ref="J6:K6" si="7">J71</f>
        <v>90571</v>
      </c>
      <c r="K6" s="741">
        <f t="shared" si="7"/>
        <v>93023</v>
      </c>
      <c r="L6" s="741">
        <f t="shared" ref="L6" si="8">L71</f>
        <v>94409</v>
      </c>
      <c r="N6" s="742"/>
    </row>
    <row r="7" spans="1:14">
      <c r="A7" s="738" t="s">
        <v>6231</v>
      </c>
      <c r="C7" s="738"/>
      <c r="D7" s="741">
        <f t="shared" ref="D7:I7" si="9">D99</f>
        <v>71178</v>
      </c>
      <c r="E7" s="741">
        <f t="shared" si="9"/>
        <v>72604</v>
      </c>
      <c r="F7" s="741">
        <f t="shared" si="9"/>
        <v>72426</v>
      </c>
      <c r="G7" s="741">
        <f t="shared" si="9"/>
        <v>73069</v>
      </c>
      <c r="H7" s="741">
        <f t="shared" si="9"/>
        <v>73362</v>
      </c>
      <c r="I7" s="741">
        <f t="shared" si="9"/>
        <v>73393</v>
      </c>
      <c r="J7" s="741">
        <f t="shared" ref="J7:K7" si="10">J99</f>
        <v>71187</v>
      </c>
      <c r="K7" s="741">
        <f t="shared" si="10"/>
        <v>73539</v>
      </c>
      <c r="L7" s="741">
        <f t="shared" ref="L7" si="11">L99</f>
        <v>74005</v>
      </c>
      <c r="N7" s="742"/>
    </row>
    <row r="8" spans="1:14">
      <c r="A8" s="738" t="s">
        <v>16281</v>
      </c>
      <c r="C8" s="738"/>
      <c r="D8" s="741">
        <f t="shared" ref="D8:I8" si="12">D130</f>
        <v>94499</v>
      </c>
      <c r="E8" s="741">
        <f t="shared" si="12"/>
        <v>93887</v>
      </c>
      <c r="F8" s="741">
        <f t="shared" si="12"/>
        <v>95227</v>
      </c>
      <c r="G8" s="741">
        <f t="shared" si="12"/>
        <v>96193</v>
      </c>
      <c r="H8" s="741">
        <f t="shared" si="12"/>
        <v>96494</v>
      </c>
      <c r="I8" s="741">
        <f t="shared" si="12"/>
        <v>95396</v>
      </c>
      <c r="J8" s="741">
        <f t="shared" ref="J8:K8" si="13">J130</f>
        <v>94292</v>
      </c>
      <c r="K8" s="741">
        <f t="shared" si="13"/>
        <v>97284</v>
      </c>
      <c r="L8" s="741">
        <f t="shared" ref="L8" si="14">L130</f>
        <v>97272</v>
      </c>
      <c r="N8" s="742"/>
    </row>
    <row r="9" spans="1:14">
      <c r="A9" s="738" t="s">
        <v>5378</v>
      </c>
      <c r="C9" s="738"/>
      <c r="D9" s="741">
        <f t="shared" ref="D9:I9" si="15">D184</f>
        <v>98267</v>
      </c>
      <c r="E9" s="741">
        <f t="shared" si="15"/>
        <v>97464</v>
      </c>
      <c r="F9" s="741">
        <f t="shared" si="15"/>
        <v>98266</v>
      </c>
      <c r="G9" s="741">
        <f t="shared" si="15"/>
        <v>100220</v>
      </c>
      <c r="H9" s="741">
        <f t="shared" si="15"/>
        <v>98077</v>
      </c>
      <c r="I9" s="741">
        <f t="shared" si="15"/>
        <v>98136</v>
      </c>
      <c r="J9" s="741">
        <f t="shared" ref="J9:K9" si="16">J184</f>
        <v>97927</v>
      </c>
      <c r="K9" s="741">
        <f t="shared" si="16"/>
        <v>101033</v>
      </c>
      <c r="L9" s="741">
        <f t="shared" ref="L9" si="17">L184</f>
        <v>104667</v>
      </c>
      <c r="N9" s="742"/>
    </row>
    <row r="10" spans="1:14">
      <c r="B10" s="738"/>
      <c r="C10" s="738"/>
      <c r="D10" s="741"/>
      <c r="E10" s="741"/>
      <c r="F10" s="741"/>
      <c r="G10" s="741"/>
      <c r="H10" s="741"/>
      <c r="I10" s="741"/>
      <c r="J10" s="741"/>
      <c r="K10" s="741"/>
      <c r="L10" s="741"/>
      <c r="N10" s="742"/>
    </row>
    <row r="11" spans="1:14">
      <c r="A11" s="738" t="s">
        <v>7122</v>
      </c>
      <c r="D11" s="741">
        <f t="shared" ref="D11:I11" si="18">D3/5</f>
        <v>81523.600000000006</v>
      </c>
      <c r="E11" s="741">
        <f t="shared" si="18"/>
        <v>81584.399999999994</v>
      </c>
      <c r="F11" s="741">
        <f t="shared" si="18"/>
        <v>82084</v>
      </c>
      <c r="G11" s="741">
        <f t="shared" si="18"/>
        <v>83040.800000000003</v>
      </c>
      <c r="H11" s="741">
        <f t="shared" si="18"/>
        <v>82291.600000000006</v>
      </c>
      <c r="I11" s="741">
        <f t="shared" si="18"/>
        <v>81576.2</v>
      </c>
      <c r="J11" s="741">
        <f t="shared" ref="J11:K11" si="19">J3/5</f>
        <v>80263.199999999997</v>
      </c>
      <c r="K11" s="741">
        <f t="shared" si="19"/>
        <v>82728</v>
      </c>
      <c r="L11" s="741">
        <f t="shared" ref="L11" si="20">L3/5</f>
        <v>83869.399999999994</v>
      </c>
    </row>
    <row r="12" spans="1:14">
      <c r="A12" s="738" t="s">
        <v>1173</v>
      </c>
      <c r="D12" s="741">
        <f>D3/6</f>
        <v>67936.333333333328</v>
      </c>
      <c r="E12" s="741">
        <f t="shared" ref="E12:J12" si="21">E3/6</f>
        <v>67987</v>
      </c>
      <c r="F12" s="741">
        <f t="shared" si="21"/>
        <v>68403.333333333328</v>
      </c>
      <c r="G12" s="741">
        <f t="shared" si="21"/>
        <v>69200.666666666672</v>
      </c>
      <c r="H12" s="741">
        <f t="shared" si="21"/>
        <v>68576.333333333328</v>
      </c>
      <c r="I12" s="741">
        <f t="shared" si="21"/>
        <v>67980.166666666672</v>
      </c>
      <c r="J12" s="741">
        <f t="shared" si="21"/>
        <v>66886</v>
      </c>
      <c r="K12" s="741">
        <f t="shared" ref="K12:L12" si="22">K3/6</f>
        <v>68940</v>
      </c>
      <c r="L12" s="741">
        <f t="shared" si="22"/>
        <v>69891.166666666672</v>
      </c>
    </row>
    <row r="13" spans="1:14">
      <c r="D13" s="743"/>
      <c r="E13" s="743"/>
      <c r="F13" s="743"/>
      <c r="G13" s="743"/>
      <c r="H13" s="743"/>
      <c r="I13" s="743"/>
      <c r="J13" s="743"/>
      <c r="K13" s="743"/>
      <c r="L13" s="743"/>
    </row>
    <row r="14" spans="1:14">
      <c r="A14" s="739" t="s">
        <v>5379</v>
      </c>
      <c r="D14" s="743">
        <f t="shared" ref="D14:I14" si="23">D121</f>
        <v>7561</v>
      </c>
      <c r="E14" s="743">
        <f t="shared" si="23"/>
        <v>7807</v>
      </c>
      <c r="F14" s="743">
        <f t="shared" si="23"/>
        <v>7751</v>
      </c>
      <c r="G14" s="743">
        <f t="shared" si="23"/>
        <v>7799</v>
      </c>
      <c r="H14" s="743">
        <f t="shared" si="23"/>
        <v>7764</v>
      </c>
      <c r="I14" s="743">
        <f t="shared" si="23"/>
        <v>7828</v>
      </c>
      <c r="J14" s="743">
        <f t="shared" ref="J14:K14" si="24">J121</f>
        <v>7625</v>
      </c>
      <c r="K14" s="743">
        <f t="shared" si="24"/>
        <v>7820</v>
      </c>
      <c r="L14" s="743">
        <f t="shared" ref="L14" si="25">L121</f>
        <v>7880</v>
      </c>
      <c r="N14" s="738" t="s">
        <v>5380</v>
      </c>
    </row>
    <row r="15" spans="1:14">
      <c r="D15" s="743">
        <f t="shared" ref="D15:I15" si="26">D176</f>
        <v>25133</v>
      </c>
      <c r="E15" s="743">
        <f t="shared" si="26"/>
        <v>24779</v>
      </c>
      <c r="F15" s="743">
        <f t="shared" si="26"/>
        <v>25281</v>
      </c>
      <c r="G15" s="743">
        <f t="shared" si="26"/>
        <v>25664</v>
      </c>
      <c r="H15" s="743">
        <f t="shared" si="26"/>
        <v>25664</v>
      </c>
      <c r="I15" s="743">
        <f t="shared" si="26"/>
        <v>25390</v>
      </c>
      <c r="J15" s="743">
        <f t="shared" ref="J15:K15" si="27">J176</f>
        <v>25081</v>
      </c>
      <c r="K15" s="743">
        <f t="shared" si="27"/>
        <v>25953</v>
      </c>
      <c r="L15" s="743">
        <f t="shared" ref="L15" si="28">L176</f>
        <v>26241</v>
      </c>
      <c r="N15" s="738" t="s">
        <v>16282</v>
      </c>
    </row>
    <row r="16" spans="1:14" ht="15.75" thickBot="1">
      <c r="D16" s="744">
        <f t="shared" ref="D16:I16" si="29">D212</f>
        <v>31237</v>
      </c>
      <c r="E16" s="744">
        <f t="shared" si="29"/>
        <v>31186</v>
      </c>
      <c r="F16" s="744">
        <f t="shared" si="29"/>
        <v>31005</v>
      </c>
      <c r="G16" s="744">
        <f t="shared" si="29"/>
        <v>30910</v>
      </c>
      <c r="H16" s="744">
        <f t="shared" si="29"/>
        <v>31659</v>
      </c>
      <c r="I16" s="744">
        <f t="shared" si="29"/>
        <v>30692</v>
      </c>
      <c r="J16" s="744">
        <f t="shared" ref="J16:K16" si="30">J212</f>
        <v>30286</v>
      </c>
      <c r="K16" s="744">
        <f t="shared" si="30"/>
        <v>31070</v>
      </c>
      <c r="L16" s="744">
        <f t="shared" ref="L16" si="31">L212</f>
        <v>31228</v>
      </c>
      <c r="N16" s="738" t="s">
        <v>5381</v>
      </c>
    </row>
    <row r="17" spans="1:14" ht="15.75" thickBot="1">
      <c r="D17" s="737">
        <f t="shared" ref="D17:I17" si="32">SUM(D14:D16)</f>
        <v>63931</v>
      </c>
      <c r="E17" s="737">
        <f t="shared" si="32"/>
        <v>63772</v>
      </c>
      <c r="F17" s="737">
        <f t="shared" si="32"/>
        <v>64037</v>
      </c>
      <c r="G17" s="737">
        <f t="shared" si="32"/>
        <v>64373</v>
      </c>
      <c r="H17" s="737">
        <f t="shared" si="32"/>
        <v>65087</v>
      </c>
      <c r="I17" s="737">
        <f t="shared" si="32"/>
        <v>63910</v>
      </c>
      <c r="J17" s="737">
        <f t="shared" ref="J17:K17" si="33">SUM(J14:J16)</f>
        <v>62992</v>
      </c>
      <c r="K17" s="737">
        <f t="shared" si="33"/>
        <v>64843</v>
      </c>
      <c r="L17" s="737">
        <f t="shared" ref="L17" si="34">SUM(L14:L16)</f>
        <v>65349</v>
      </c>
    </row>
    <row r="18" spans="1:14">
      <c r="D18" s="743"/>
      <c r="E18" s="743"/>
      <c r="F18" s="743"/>
      <c r="G18" s="743"/>
      <c r="H18" s="743"/>
      <c r="I18" s="743"/>
      <c r="J18" s="743"/>
      <c r="K18" s="743"/>
      <c r="L18" s="743"/>
    </row>
    <row r="19" spans="1:14">
      <c r="A19" s="738" t="s">
        <v>8110</v>
      </c>
      <c r="D19" s="741">
        <f t="shared" ref="D19:I19" si="35">D63</f>
        <v>42536</v>
      </c>
      <c r="E19" s="741">
        <f t="shared" si="35"/>
        <v>42471</v>
      </c>
      <c r="F19" s="741">
        <f t="shared" si="35"/>
        <v>42571</v>
      </c>
      <c r="G19" s="741">
        <f t="shared" si="35"/>
        <v>42771</v>
      </c>
      <c r="H19" s="741">
        <f t="shared" si="35"/>
        <v>42299</v>
      </c>
      <c r="I19" s="741">
        <f t="shared" si="35"/>
        <v>41479</v>
      </c>
      <c r="J19" s="741">
        <f t="shared" ref="J19:K19" si="36">J63</f>
        <v>40452</v>
      </c>
      <c r="K19" s="741">
        <f t="shared" si="36"/>
        <v>41667</v>
      </c>
      <c r="L19" s="741">
        <f t="shared" ref="L19" si="37">L63</f>
        <v>41900</v>
      </c>
      <c r="N19" s="738" t="s">
        <v>8111</v>
      </c>
    </row>
    <row r="20" spans="1:14" ht="15.75" thickBot="1">
      <c r="D20" s="745">
        <f t="shared" ref="D20:I20" si="38">D90</f>
        <v>27879</v>
      </c>
      <c r="E20" s="745">
        <f t="shared" si="38"/>
        <v>28073</v>
      </c>
      <c r="F20" s="745">
        <f t="shared" si="38"/>
        <v>28254</v>
      </c>
      <c r="G20" s="745">
        <f t="shared" si="38"/>
        <v>28500</v>
      </c>
      <c r="H20" s="745">
        <f t="shared" si="38"/>
        <v>28115</v>
      </c>
      <c r="I20" s="745">
        <f t="shared" si="38"/>
        <v>27609</v>
      </c>
      <c r="J20" s="745">
        <f t="shared" ref="J20:K20" si="39">J90</f>
        <v>26785</v>
      </c>
      <c r="K20" s="745">
        <f t="shared" si="39"/>
        <v>27491</v>
      </c>
      <c r="L20" s="745">
        <f t="shared" ref="L20" si="40">L90</f>
        <v>27739</v>
      </c>
      <c r="N20" s="738" t="s">
        <v>8070</v>
      </c>
    </row>
    <row r="21" spans="1:14" ht="15.75" thickBot="1">
      <c r="D21" s="745">
        <f t="shared" ref="D21:I21" si="41">D19+D20</f>
        <v>70415</v>
      </c>
      <c r="E21" s="745">
        <f t="shared" si="41"/>
        <v>70544</v>
      </c>
      <c r="F21" s="745">
        <f t="shared" si="41"/>
        <v>70825</v>
      </c>
      <c r="G21" s="745">
        <f t="shared" si="41"/>
        <v>71271</v>
      </c>
      <c r="H21" s="745">
        <f t="shared" si="41"/>
        <v>70414</v>
      </c>
      <c r="I21" s="745">
        <f t="shared" si="41"/>
        <v>69088</v>
      </c>
      <c r="J21" s="745">
        <f t="shared" ref="J21:K21" si="42">J19+J20</f>
        <v>67237</v>
      </c>
      <c r="K21" s="745">
        <f t="shared" si="42"/>
        <v>69158</v>
      </c>
      <c r="L21" s="745">
        <f t="shared" ref="L21" si="43">L19+L20</f>
        <v>69639</v>
      </c>
    </row>
    <row r="22" spans="1:14">
      <c r="D22" s="743"/>
      <c r="E22" s="743"/>
      <c r="F22" s="743"/>
      <c r="G22" s="743"/>
      <c r="H22" s="743"/>
      <c r="I22" s="743"/>
      <c r="J22" s="743"/>
      <c r="K22" s="743"/>
      <c r="L22" s="743"/>
    </row>
    <row r="23" spans="1:14">
      <c r="A23" s="738" t="s">
        <v>3208</v>
      </c>
      <c r="D23" s="743">
        <f t="shared" ref="D23:I23" si="44">D64</f>
        <v>7126</v>
      </c>
      <c r="E23" s="743">
        <f t="shared" si="44"/>
        <v>7156</v>
      </c>
      <c r="F23" s="743">
        <f t="shared" si="44"/>
        <v>7217</v>
      </c>
      <c r="G23" s="743">
        <f t="shared" si="44"/>
        <v>7216</v>
      </c>
      <c r="H23" s="743">
        <f t="shared" si="44"/>
        <v>7157</v>
      </c>
      <c r="I23" s="743">
        <f t="shared" si="44"/>
        <v>7041</v>
      </c>
      <c r="J23" s="743">
        <f t="shared" ref="J23:K23" si="45">J64</f>
        <v>6887</v>
      </c>
      <c r="K23" s="743">
        <f t="shared" si="45"/>
        <v>7094</v>
      </c>
      <c r="L23" s="743">
        <f t="shared" ref="L23" si="46">L64</f>
        <v>7094</v>
      </c>
      <c r="N23" s="738" t="s">
        <v>8111</v>
      </c>
    </row>
    <row r="24" spans="1:14" ht="15.75" thickBot="1">
      <c r="D24" s="745">
        <f t="shared" ref="D24:I24" si="47">D91</f>
        <v>60991</v>
      </c>
      <c r="E24" s="745">
        <f t="shared" si="47"/>
        <v>61132</v>
      </c>
      <c r="F24" s="745">
        <f t="shared" si="47"/>
        <v>61363</v>
      </c>
      <c r="G24" s="745">
        <f t="shared" si="47"/>
        <v>62104</v>
      </c>
      <c r="H24" s="745">
        <f t="shared" si="47"/>
        <v>60880</v>
      </c>
      <c r="I24" s="745">
        <f t="shared" si="47"/>
        <v>59837</v>
      </c>
      <c r="J24" s="745">
        <f t="shared" ref="J24:K24" si="48">J91</f>
        <v>58870</v>
      </c>
      <c r="K24" s="745">
        <f t="shared" si="48"/>
        <v>60500</v>
      </c>
      <c r="L24" s="745">
        <f t="shared" ref="L24" si="49">L91</f>
        <v>61543</v>
      </c>
      <c r="N24" s="738" t="s">
        <v>8070</v>
      </c>
    </row>
    <row r="25" spans="1:14" ht="15.75" thickBot="1">
      <c r="D25" s="745">
        <f t="shared" ref="D25:I25" si="50">D23+D24</f>
        <v>68117</v>
      </c>
      <c r="E25" s="745">
        <f t="shared" si="50"/>
        <v>68288</v>
      </c>
      <c r="F25" s="745">
        <f t="shared" si="50"/>
        <v>68580</v>
      </c>
      <c r="G25" s="745">
        <f t="shared" si="50"/>
        <v>69320</v>
      </c>
      <c r="H25" s="745">
        <f t="shared" si="50"/>
        <v>68037</v>
      </c>
      <c r="I25" s="745">
        <f t="shared" si="50"/>
        <v>66878</v>
      </c>
      <c r="J25" s="745">
        <f t="shared" ref="J25:K25" si="51">J23+J24</f>
        <v>65757</v>
      </c>
      <c r="K25" s="745">
        <f t="shared" si="51"/>
        <v>67594</v>
      </c>
      <c r="L25" s="745">
        <f t="shared" ref="L25" si="52">L23+L24</f>
        <v>68637</v>
      </c>
    </row>
    <row r="26" spans="1:14">
      <c r="D26" s="743"/>
      <c r="E26" s="743"/>
      <c r="F26" s="743"/>
      <c r="G26" s="743"/>
      <c r="H26" s="743"/>
      <c r="I26" s="743"/>
      <c r="J26" s="743"/>
      <c r="K26" s="743"/>
      <c r="L26" s="743"/>
    </row>
    <row r="27" spans="1:14">
      <c r="A27" s="738" t="s">
        <v>3751</v>
      </c>
      <c r="D27" s="741">
        <f t="shared" ref="D27:I27" si="53">D92</f>
        <v>5142</v>
      </c>
      <c r="E27" s="741">
        <f t="shared" si="53"/>
        <v>5135</v>
      </c>
      <c r="F27" s="741">
        <f t="shared" si="53"/>
        <v>5096</v>
      </c>
      <c r="G27" s="741">
        <f t="shared" si="53"/>
        <v>5131</v>
      </c>
      <c r="H27" s="741">
        <f t="shared" si="53"/>
        <v>5074</v>
      </c>
      <c r="I27" s="741">
        <f t="shared" si="53"/>
        <v>4990</v>
      </c>
      <c r="J27" s="741">
        <f t="shared" ref="J27:K27" si="54">J92</f>
        <v>4916</v>
      </c>
      <c r="K27" s="741">
        <f t="shared" si="54"/>
        <v>5032</v>
      </c>
      <c r="L27" s="741">
        <f t="shared" ref="L27" si="55">L92</f>
        <v>5127</v>
      </c>
      <c r="N27" s="738" t="s">
        <v>8070</v>
      </c>
    </row>
    <row r="28" spans="1:14" ht="15.75" thickBot="1">
      <c r="D28" s="745">
        <f t="shared" ref="D28:I28" si="56">D122</f>
        <v>63617</v>
      </c>
      <c r="E28" s="745">
        <f t="shared" si="56"/>
        <v>64797</v>
      </c>
      <c r="F28" s="745">
        <f t="shared" si="56"/>
        <v>64675</v>
      </c>
      <c r="G28" s="745">
        <f t="shared" si="56"/>
        <v>65270</v>
      </c>
      <c r="H28" s="745">
        <f t="shared" si="56"/>
        <v>65598</v>
      </c>
      <c r="I28" s="745">
        <f t="shared" si="56"/>
        <v>65565</v>
      </c>
      <c r="J28" s="745">
        <f t="shared" ref="J28:K28" si="57">J122</f>
        <v>63562</v>
      </c>
      <c r="K28" s="745">
        <f t="shared" si="57"/>
        <v>65719</v>
      </c>
      <c r="L28" s="745">
        <f t="shared" ref="L28" si="58">L122</f>
        <v>66125</v>
      </c>
      <c r="N28" s="738" t="s">
        <v>5380</v>
      </c>
    </row>
    <row r="29" spans="1:14" ht="15.75" thickBot="1">
      <c r="D29" s="745">
        <f t="shared" ref="D29:I29" si="59">D27+D28</f>
        <v>68759</v>
      </c>
      <c r="E29" s="745">
        <f t="shared" si="59"/>
        <v>69932</v>
      </c>
      <c r="F29" s="745">
        <f t="shared" si="59"/>
        <v>69771</v>
      </c>
      <c r="G29" s="745">
        <f t="shared" si="59"/>
        <v>70401</v>
      </c>
      <c r="H29" s="745">
        <f t="shared" si="59"/>
        <v>70672</v>
      </c>
      <c r="I29" s="745">
        <f t="shared" si="59"/>
        <v>70555</v>
      </c>
      <c r="J29" s="745">
        <f t="shared" ref="J29:K29" si="60">J27+J28</f>
        <v>68478</v>
      </c>
      <c r="K29" s="745">
        <f t="shared" si="60"/>
        <v>70751</v>
      </c>
      <c r="L29" s="745">
        <f t="shared" ref="L29" si="61">L27+L28</f>
        <v>71252</v>
      </c>
    </row>
    <row r="30" spans="1:14">
      <c r="D30" s="743"/>
      <c r="E30" s="743"/>
      <c r="F30" s="743"/>
      <c r="G30" s="743"/>
      <c r="H30" s="743"/>
      <c r="I30" s="743"/>
      <c r="J30" s="743"/>
      <c r="K30" s="743"/>
      <c r="L30" s="743"/>
    </row>
    <row r="31" spans="1:14">
      <c r="A31" s="738" t="s">
        <v>4913</v>
      </c>
      <c r="D31" s="741">
        <f t="shared" ref="D31:I31" si="62">D177</f>
        <v>69366</v>
      </c>
      <c r="E31" s="741">
        <f t="shared" si="62"/>
        <v>69108</v>
      </c>
      <c r="F31" s="741">
        <f t="shared" si="62"/>
        <v>69946</v>
      </c>
      <c r="G31" s="741">
        <f t="shared" si="62"/>
        <v>70529</v>
      </c>
      <c r="H31" s="741">
        <f t="shared" si="62"/>
        <v>70830</v>
      </c>
      <c r="I31" s="741">
        <f t="shared" si="62"/>
        <v>70006</v>
      </c>
      <c r="J31" s="741">
        <f t="shared" ref="J31:K31" si="63">J177</f>
        <v>69211</v>
      </c>
      <c r="K31" s="741">
        <f t="shared" si="63"/>
        <v>71331</v>
      </c>
      <c r="L31" s="741">
        <f t="shared" ref="L31" si="64">L177</f>
        <v>71031</v>
      </c>
      <c r="N31" s="738" t="s">
        <v>16282</v>
      </c>
    </row>
    <row r="32" spans="1:14">
      <c r="D32" s="743"/>
      <c r="E32" s="743"/>
      <c r="F32" s="743"/>
      <c r="G32" s="743"/>
      <c r="H32" s="743"/>
      <c r="I32" s="743"/>
      <c r="J32" s="743"/>
      <c r="K32" s="743"/>
      <c r="L32" s="743"/>
    </row>
    <row r="33" spans="1:17">
      <c r="A33" s="738" t="s">
        <v>4914</v>
      </c>
      <c r="D33" s="746">
        <f t="shared" ref="D33:I33" si="65">D213</f>
        <v>67030</v>
      </c>
      <c r="E33" s="746">
        <f t="shared" si="65"/>
        <v>66278</v>
      </c>
      <c r="F33" s="746">
        <f t="shared" si="65"/>
        <v>67261</v>
      </c>
      <c r="G33" s="746">
        <f t="shared" si="65"/>
        <v>69310</v>
      </c>
      <c r="H33" s="746">
        <f t="shared" si="65"/>
        <v>66418</v>
      </c>
      <c r="I33" s="746">
        <f t="shared" si="65"/>
        <v>67444</v>
      </c>
      <c r="J33" s="746">
        <f t="shared" ref="J33:K33" si="66">J213</f>
        <v>67641</v>
      </c>
      <c r="K33" s="746">
        <f t="shared" si="66"/>
        <v>69963</v>
      </c>
      <c r="L33" s="746">
        <f t="shared" ref="L33" si="67">L213</f>
        <v>73439</v>
      </c>
      <c r="N33" s="738" t="s">
        <v>5381</v>
      </c>
    </row>
    <row r="34" spans="1:17">
      <c r="D34" s="743"/>
      <c r="E34" s="743"/>
      <c r="F34" s="743"/>
      <c r="G34" s="743"/>
      <c r="H34" s="743"/>
      <c r="I34" s="743"/>
      <c r="J34" s="743"/>
      <c r="K34" s="743"/>
      <c r="L34" s="743"/>
    </row>
    <row r="35" spans="1:17">
      <c r="A35" s="738" t="s">
        <v>8697</v>
      </c>
      <c r="D35" s="741">
        <f t="shared" ref="D35:I35" si="68">D17+D21+D25+D29+D31+D33</f>
        <v>407618</v>
      </c>
      <c r="E35" s="741">
        <f t="shared" si="68"/>
        <v>407922</v>
      </c>
      <c r="F35" s="741">
        <f t="shared" si="68"/>
        <v>410420</v>
      </c>
      <c r="G35" s="741">
        <f t="shared" si="68"/>
        <v>415204</v>
      </c>
      <c r="H35" s="741">
        <f t="shared" si="68"/>
        <v>411458</v>
      </c>
      <c r="I35" s="741">
        <f t="shared" si="68"/>
        <v>407881</v>
      </c>
      <c r="J35" s="741">
        <f t="shared" ref="J35:K35" si="69">J17+J21+J25+J29+J31+J33</f>
        <v>401316</v>
      </c>
      <c r="K35" s="741">
        <f t="shared" si="69"/>
        <v>413640</v>
      </c>
      <c r="L35" s="741">
        <f t="shared" ref="L35" si="70">L17+L21+L25+L29+L31+L33</f>
        <v>419347</v>
      </c>
    </row>
    <row r="36" spans="1:17">
      <c r="D36" s="743"/>
      <c r="E36" s="743"/>
      <c r="F36" s="743"/>
      <c r="G36" s="743"/>
      <c r="H36" s="743"/>
      <c r="I36" s="743"/>
      <c r="J36" s="743"/>
      <c r="K36" s="743"/>
      <c r="L36" s="743"/>
    </row>
    <row r="37" spans="1:17">
      <c r="A37" s="738" t="s">
        <v>8698</v>
      </c>
      <c r="D37" s="741">
        <f t="shared" ref="D37:I37" si="71">MAX(D17,D21,D25,D29,D31,D33)-MIN(D17,D21,D25,D29,D31,D33)</f>
        <v>6484</v>
      </c>
      <c r="E37" s="741">
        <f t="shared" si="71"/>
        <v>6772</v>
      </c>
      <c r="F37" s="741">
        <f t="shared" si="71"/>
        <v>6788</v>
      </c>
      <c r="G37" s="741">
        <f t="shared" si="71"/>
        <v>6898</v>
      </c>
      <c r="H37" s="741">
        <f t="shared" si="71"/>
        <v>5743</v>
      </c>
      <c r="I37" s="741">
        <f t="shared" si="71"/>
        <v>6645</v>
      </c>
      <c r="J37" s="741">
        <f t="shared" ref="J37:K37" si="72">MAX(J17,J21,J25,J29,J31,J33)-MIN(J17,J21,J25,J29,J31,J33)</f>
        <v>6219</v>
      </c>
      <c r="K37" s="741">
        <f t="shared" si="72"/>
        <v>6488</v>
      </c>
      <c r="L37" s="741">
        <f t="shared" ref="L37" si="73">MAX(L17,L21,L25,L29,L31,L33)-MIN(L17,L21,L25,L29,L31,L33)</f>
        <v>8090</v>
      </c>
    </row>
    <row r="38" spans="1:17">
      <c r="D38" s="743"/>
      <c r="E38" s="743"/>
      <c r="F38" s="743"/>
      <c r="G38" s="743"/>
      <c r="H38" s="743"/>
      <c r="I38" s="743"/>
      <c r="J38" s="743"/>
      <c r="K38" s="743"/>
      <c r="L38" s="743"/>
    </row>
    <row r="39" spans="1:17">
      <c r="A39" s="738" t="s">
        <v>8701</v>
      </c>
      <c r="D39" s="741">
        <f t="shared" ref="D39:I39" si="74">STDEVP(D17,D21,D25,D29,D31,D33)</f>
        <v>2072.0879700330183</v>
      </c>
      <c r="E39" s="741">
        <f t="shared" si="74"/>
        <v>2322.190847741273</v>
      </c>
      <c r="F39" s="741">
        <f t="shared" si="74"/>
        <v>2255.2089826788902</v>
      </c>
      <c r="G39" s="741">
        <f t="shared" si="74"/>
        <v>2266.5726451088117</v>
      </c>
      <c r="H39" s="741">
        <f t="shared" si="74"/>
        <v>2235.0459105401442</v>
      </c>
      <c r="I39" s="741">
        <f t="shared" si="74"/>
        <v>2237.1695224596242</v>
      </c>
      <c r="J39" s="741">
        <f t="shared" ref="J39:K39" si="75">STDEVP(J17,J21,J25,J29,J31,J33)</f>
        <v>2044.1457873644922</v>
      </c>
      <c r="K39" s="741">
        <f t="shared" si="75"/>
        <v>2186.617631564025</v>
      </c>
      <c r="L39" s="741">
        <f t="shared" ref="L39" si="76">STDEVP(L17,L21,L25,L29,L31,L33)</f>
        <v>2516.8104429129253</v>
      </c>
    </row>
    <row r="40" spans="1:17">
      <c r="A40" s="738"/>
      <c r="D40" s="747"/>
      <c r="E40" s="747"/>
      <c r="F40" s="747"/>
      <c r="G40" s="747"/>
      <c r="H40" s="747"/>
      <c r="I40" s="747"/>
      <c r="J40" s="747"/>
      <c r="K40" s="747"/>
      <c r="L40" s="747"/>
    </row>
    <row r="42" spans="1:17">
      <c r="E42" s="42" t="s">
        <v>2303</v>
      </c>
      <c r="F42" s="42"/>
      <c r="G42" s="42"/>
      <c r="H42" s="42"/>
      <c r="I42" s="42"/>
      <c r="J42" s="42"/>
      <c r="K42" s="42"/>
      <c r="L42" s="42"/>
      <c r="M42" s="109"/>
      <c r="N42" s="109" t="s">
        <v>13319</v>
      </c>
    </row>
    <row r="43" spans="1:17">
      <c r="D43" s="727">
        <v>2010</v>
      </c>
      <c r="E43" s="727">
        <v>2011</v>
      </c>
      <c r="F43" s="727">
        <v>2012</v>
      </c>
      <c r="G43" s="727">
        <v>2013</v>
      </c>
      <c r="H43" s="727">
        <v>2014</v>
      </c>
      <c r="I43" s="727">
        <v>2015</v>
      </c>
      <c r="J43" s="727">
        <v>2016</v>
      </c>
      <c r="K43" s="727">
        <v>2017</v>
      </c>
      <c r="L43" s="727">
        <v>2018</v>
      </c>
      <c r="M43" s="726"/>
      <c r="N43" s="112" t="s">
        <v>2304</v>
      </c>
    </row>
    <row r="44" spans="1:17">
      <c r="A44" s="738" t="s">
        <v>4915</v>
      </c>
      <c r="C44" s="738"/>
      <c r="D44" s="741">
        <f t="shared" ref="D44:I44" si="77">SUM(D45:D61)</f>
        <v>49662</v>
      </c>
      <c r="E44" s="741">
        <f t="shared" si="77"/>
        <v>49627</v>
      </c>
      <c r="F44" s="741">
        <f t="shared" si="77"/>
        <v>49788</v>
      </c>
      <c r="G44" s="741">
        <f t="shared" si="77"/>
        <v>49987</v>
      </c>
      <c r="H44" s="741">
        <f t="shared" si="77"/>
        <v>49456</v>
      </c>
      <c r="I44" s="741">
        <f t="shared" si="77"/>
        <v>48520</v>
      </c>
      <c r="J44" s="741">
        <f t="shared" ref="J44:K44" si="78">SUM(J45:J61)</f>
        <v>47339</v>
      </c>
      <c r="K44" s="741">
        <f t="shared" si="78"/>
        <v>48761</v>
      </c>
      <c r="L44" s="741">
        <f t="shared" ref="L44" si="79">SUM(L45:L61)</f>
        <v>48994</v>
      </c>
    </row>
    <row r="45" spans="1:17">
      <c r="A45" s="738" t="s">
        <v>6957</v>
      </c>
      <c r="B45" s="738" t="s">
        <v>4916</v>
      </c>
      <c r="C45" s="4" t="s">
        <v>10691</v>
      </c>
      <c r="D45" s="743">
        <v>4152</v>
      </c>
      <c r="E45" s="743">
        <v>4169</v>
      </c>
      <c r="F45" s="743">
        <v>4231</v>
      </c>
      <c r="G45" s="31">
        <v>4242</v>
      </c>
      <c r="H45" s="31">
        <v>4196</v>
      </c>
      <c r="I45" s="31">
        <v>4103</v>
      </c>
      <c r="J45" s="31">
        <v>4050</v>
      </c>
      <c r="K45" s="31">
        <v>4205</v>
      </c>
      <c r="L45" s="31">
        <v>4197</v>
      </c>
      <c r="N45" s="738" t="s">
        <v>3208</v>
      </c>
      <c r="O45" s="4"/>
      <c r="Q45" s="4"/>
    </row>
    <row r="46" spans="1:17">
      <c r="A46" s="738" t="s">
        <v>6959</v>
      </c>
      <c r="B46" s="738" t="s">
        <v>4917</v>
      </c>
      <c r="C46" s="4" t="s">
        <v>10692</v>
      </c>
      <c r="D46" s="743">
        <v>2960</v>
      </c>
      <c r="E46" s="743">
        <v>3013</v>
      </c>
      <c r="F46" s="743">
        <v>3035</v>
      </c>
      <c r="G46" s="30">
        <v>3055</v>
      </c>
      <c r="H46" s="30">
        <v>2930</v>
      </c>
      <c r="I46" s="30">
        <v>2782</v>
      </c>
      <c r="J46" s="30">
        <v>2728</v>
      </c>
      <c r="K46" s="30">
        <v>2797</v>
      </c>
      <c r="L46" s="30">
        <v>2872</v>
      </c>
      <c r="N46" s="738" t="s">
        <v>8110</v>
      </c>
      <c r="O46" s="4"/>
      <c r="Q46" s="4"/>
    </row>
    <row r="47" spans="1:17">
      <c r="A47" s="738" t="s">
        <v>6961</v>
      </c>
      <c r="B47" s="738" t="s">
        <v>4918</v>
      </c>
      <c r="C47" s="4" t="s">
        <v>10693</v>
      </c>
      <c r="D47" s="743">
        <v>2734</v>
      </c>
      <c r="E47" s="743">
        <v>2738</v>
      </c>
      <c r="F47" s="743">
        <v>2739</v>
      </c>
      <c r="G47" s="30">
        <v>2746</v>
      </c>
      <c r="H47" s="30">
        <v>2707</v>
      </c>
      <c r="I47" s="30">
        <v>2640</v>
      </c>
      <c r="J47" s="30">
        <v>2659</v>
      </c>
      <c r="K47" s="30">
        <v>2814</v>
      </c>
      <c r="L47" s="30">
        <v>2866</v>
      </c>
      <c r="N47" s="738" t="s">
        <v>8110</v>
      </c>
      <c r="O47" s="4"/>
      <c r="Q47" s="4"/>
    </row>
    <row r="48" spans="1:17">
      <c r="A48" s="738" t="s">
        <v>6963</v>
      </c>
      <c r="B48" s="738" t="s">
        <v>4919</v>
      </c>
      <c r="C48" s="4" t="s">
        <v>10694</v>
      </c>
      <c r="D48" s="743">
        <v>2945</v>
      </c>
      <c r="E48" s="743">
        <v>2929</v>
      </c>
      <c r="F48" s="743">
        <v>2919</v>
      </c>
      <c r="G48" s="30">
        <v>2924</v>
      </c>
      <c r="H48" s="30">
        <v>2884</v>
      </c>
      <c r="I48" s="30">
        <v>2874</v>
      </c>
      <c r="J48" s="30">
        <v>2768</v>
      </c>
      <c r="K48" s="30">
        <v>2835</v>
      </c>
      <c r="L48" s="30">
        <v>2929</v>
      </c>
      <c r="N48" s="738" t="s">
        <v>8110</v>
      </c>
      <c r="O48" s="4"/>
      <c r="Q48" s="4"/>
    </row>
    <row r="49" spans="1:17">
      <c r="A49" s="738" t="s">
        <v>6965</v>
      </c>
      <c r="B49" s="738" t="s">
        <v>4920</v>
      </c>
      <c r="C49" s="4" t="s">
        <v>10695</v>
      </c>
      <c r="D49" s="743">
        <v>3138</v>
      </c>
      <c r="E49" s="743">
        <v>3112</v>
      </c>
      <c r="F49" s="743">
        <v>3129</v>
      </c>
      <c r="G49" s="30">
        <v>3136</v>
      </c>
      <c r="H49" s="30">
        <v>3185</v>
      </c>
      <c r="I49" s="30">
        <v>3133</v>
      </c>
      <c r="J49" s="30">
        <v>3063</v>
      </c>
      <c r="K49" s="30">
        <v>3196</v>
      </c>
      <c r="L49" s="30">
        <v>3251</v>
      </c>
      <c r="N49" s="738" t="s">
        <v>8110</v>
      </c>
      <c r="O49" s="4"/>
      <c r="Q49" s="4"/>
    </row>
    <row r="50" spans="1:17">
      <c r="A50" s="738" t="s">
        <v>6997</v>
      </c>
      <c r="B50" s="738" t="s">
        <v>4885</v>
      </c>
      <c r="C50" s="4" t="s">
        <v>10696</v>
      </c>
      <c r="D50" s="743">
        <v>2590</v>
      </c>
      <c r="E50" s="743">
        <v>2582</v>
      </c>
      <c r="F50" s="743">
        <v>2604</v>
      </c>
      <c r="G50" s="30">
        <v>2632</v>
      </c>
      <c r="H50" s="30">
        <v>2635</v>
      </c>
      <c r="I50" s="30">
        <v>2530</v>
      </c>
      <c r="J50" s="30">
        <v>2468</v>
      </c>
      <c r="K50" s="30">
        <v>2554</v>
      </c>
      <c r="L50" s="30">
        <v>2532</v>
      </c>
      <c r="N50" s="738" t="s">
        <v>8110</v>
      </c>
      <c r="O50" s="4"/>
      <c r="Q50" s="4"/>
    </row>
    <row r="51" spans="1:17">
      <c r="A51" s="738" t="s">
        <v>6999</v>
      </c>
      <c r="B51" s="738" t="s">
        <v>4886</v>
      </c>
      <c r="C51" s="4" t="s">
        <v>10697</v>
      </c>
      <c r="D51" s="743">
        <v>2764</v>
      </c>
      <c r="E51" s="743">
        <v>2743</v>
      </c>
      <c r="F51" s="743">
        <v>2742</v>
      </c>
      <c r="G51" s="30">
        <v>2747</v>
      </c>
      <c r="H51" s="30">
        <v>2771</v>
      </c>
      <c r="I51" s="30">
        <v>2691</v>
      </c>
      <c r="J51" s="30">
        <v>2698</v>
      </c>
      <c r="K51" s="30">
        <v>2841</v>
      </c>
      <c r="L51" s="30">
        <v>2866</v>
      </c>
      <c r="N51" s="738" t="s">
        <v>8110</v>
      </c>
      <c r="O51" s="4"/>
      <c r="Q51" s="4"/>
    </row>
    <row r="52" spans="1:17">
      <c r="A52" s="738" t="s">
        <v>7001</v>
      </c>
      <c r="B52" s="738" t="s">
        <v>4887</v>
      </c>
      <c r="C52" s="4" t="s">
        <v>10698</v>
      </c>
      <c r="D52" s="743">
        <v>2776</v>
      </c>
      <c r="E52" s="743">
        <v>2754</v>
      </c>
      <c r="F52" s="743">
        <v>2775</v>
      </c>
      <c r="G52" s="30">
        <v>2765</v>
      </c>
      <c r="H52" s="30">
        <v>2747</v>
      </c>
      <c r="I52" s="30">
        <v>2737</v>
      </c>
      <c r="J52" s="30">
        <v>2666</v>
      </c>
      <c r="K52" s="30">
        <v>2783</v>
      </c>
      <c r="L52" s="30">
        <v>2756</v>
      </c>
      <c r="N52" s="738" t="s">
        <v>8110</v>
      </c>
      <c r="O52" s="4"/>
      <c r="Q52" s="4"/>
    </row>
    <row r="53" spans="1:17">
      <c r="A53" s="738" t="s">
        <v>7003</v>
      </c>
      <c r="B53" s="738" t="s">
        <v>4888</v>
      </c>
      <c r="C53" s="4" t="s">
        <v>10699</v>
      </c>
      <c r="D53" s="743">
        <v>2491</v>
      </c>
      <c r="E53" s="743">
        <v>2498</v>
      </c>
      <c r="F53" s="743">
        <v>2468</v>
      </c>
      <c r="G53" s="30">
        <v>2458</v>
      </c>
      <c r="H53" s="30">
        <v>2430</v>
      </c>
      <c r="I53" s="30">
        <v>2387</v>
      </c>
      <c r="J53" s="30">
        <v>2276</v>
      </c>
      <c r="K53" s="30">
        <v>2314</v>
      </c>
      <c r="L53" s="30">
        <v>2277</v>
      </c>
      <c r="N53" s="738" t="s">
        <v>8110</v>
      </c>
      <c r="O53" s="4"/>
      <c r="Q53" s="4"/>
    </row>
    <row r="54" spans="1:17">
      <c r="A54" s="738" t="s">
        <v>7005</v>
      </c>
      <c r="B54" s="738" t="s">
        <v>4889</v>
      </c>
      <c r="C54" s="4" t="s">
        <v>10700</v>
      </c>
      <c r="D54" s="743">
        <v>2811</v>
      </c>
      <c r="E54" s="743">
        <v>2789</v>
      </c>
      <c r="F54" s="743">
        <v>2783</v>
      </c>
      <c r="G54" s="30">
        <v>2801</v>
      </c>
      <c r="H54" s="30">
        <v>2768</v>
      </c>
      <c r="I54" s="30">
        <v>2710</v>
      </c>
      <c r="J54" s="30">
        <v>2643</v>
      </c>
      <c r="K54" s="30">
        <v>2714</v>
      </c>
      <c r="L54" s="30">
        <v>2675</v>
      </c>
      <c r="N54" s="738" t="s">
        <v>8110</v>
      </c>
      <c r="O54" s="4"/>
      <c r="Q54" s="4"/>
    </row>
    <row r="55" spans="1:17">
      <c r="A55" s="738" t="s">
        <v>7007</v>
      </c>
      <c r="B55" s="738" t="s">
        <v>4890</v>
      </c>
      <c r="C55" s="4" t="s">
        <v>10701</v>
      </c>
      <c r="D55" s="743">
        <v>2974</v>
      </c>
      <c r="E55" s="743">
        <v>2987</v>
      </c>
      <c r="F55" s="743">
        <v>2986</v>
      </c>
      <c r="G55" s="31">
        <v>2974</v>
      </c>
      <c r="H55" s="31">
        <v>2961</v>
      </c>
      <c r="I55" s="31">
        <v>2938</v>
      </c>
      <c r="J55" s="31">
        <v>2837</v>
      </c>
      <c r="K55" s="31">
        <v>2889</v>
      </c>
      <c r="L55" s="31">
        <v>2897</v>
      </c>
      <c r="N55" s="738" t="s">
        <v>3208</v>
      </c>
      <c r="O55" s="4"/>
      <c r="Q55" s="4"/>
    </row>
    <row r="56" spans="1:17">
      <c r="A56" s="738" t="s">
        <v>7009</v>
      </c>
      <c r="B56" s="738" t="s">
        <v>4973</v>
      </c>
      <c r="C56" s="4" t="s">
        <v>10702</v>
      </c>
      <c r="D56" s="743">
        <v>3090</v>
      </c>
      <c r="E56" s="743">
        <v>3071</v>
      </c>
      <c r="F56" s="743">
        <v>3033</v>
      </c>
      <c r="G56" s="30">
        <v>3064</v>
      </c>
      <c r="H56" s="30">
        <v>2993</v>
      </c>
      <c r="I56" s="30">
        <v>2971</v>
      </c>
      <c r="J56" s="30">
        <v>2880</v>
      </c>
      <c r="K56" s="30">
        <v>2985</v>
      </c>
      <c r="L56" s="30">
        <v>2992</v>
      </c>
      <c r="N56" s="738" t="s">
        <v>8110</v>
      </c>
      <c r="O56" s="4"/>
      <c r="Q56" s="4"/>
    </row>
    <row r="57" spans="1:17">
      <c r="A57" s="738" t="s">
        <v>7011</v>
      </c>
      <c r="B57" s="738" t="s">
        <v>2044</v>
      </c>
      <c r="C57" s="4" t="s">
        <v>10703</v>
      </c>
      <c r="D57" s="743">
        <v>3035</v>
      </c>
      <c r="E57" s="743">
        <v>3048</v>
      </c>
      <c r="F57" s="743">
        <v>3090</v>
      </c>
      <c r="G57" s="30">
        <v>3133</v>
      </c>
      <c r="H57" s="30">
        <v>3111</v>
      </c>
      <c r="I57" s="30">
        <v>3048</v>
      </c>
      <c r="J57" s="30">
        <v>2945</v>
      </c>
      <c r="K57" s="30">
        <v>3007</v>
      </c>
      <c r="L57" s="30">
        <v>2966</v>
      </c>
      <c r="N57" s="738" t="s">
        <v>8110</v>
      </c>
      <c r="O57" s="4"/>
      <c r="Q57" s="4"/>
    </row>
    <row r="58" spans="1:17">
      <c r="A58" s="738" t="s">
        <v>7013</v>
      </c>
      <c r="B58" s="738" t="s">
        <v>2045</v>
      </c>
      <c r="C58" s="4" t="s">
        <v>10704</v>
      </c>
      <c r="D58" s="743">
        <v>2851</v>
      </c>
      <c r="E58" s="743">
        <v>2828</v>
      </c>
      <c r="F58" s="743">
        <v>2847</v>
      </c>
      <c r="G58" s="30">
        <v>2878</v>
      </c>
      <c r="H58" s="30">
        <v>2819</v>
      </c>
      <c r="I58" s="30">
        <v>2774</v>
      </c>
      <c r="J58" s="30">
        <v>2712</v>
      </c>
      <c r="K58" s="30">
        <v>2750</v>
      </c>
      <c r="L58" s="30">
        <v>2763</v>
      </c>
      <c r="N58" s="738" t="s">
        <v>8110</v>
      </c>
      <c r="O58" s="4"/>
      <c r="Q58" s="4"/>
    </row>
    <row r="59" spans="1:17">
      <c r="A59" s="748">
        <v>15</v>
      </c>
      <c r="B59" s="738" t="s">
        <v>3741</v>
      </c>
      <c r="C59" s="4" t="s">
        <v>10705</v>
      </c>
      <c r="D59" s="743">
        <v>2666</v>
      </c>
      <c r="E59" s="743">
        <v>2694</v>
      </c>
      <c r="F59" s="743">
        <v>2716</v>
      </c>
      <c r="G59" s="30">
        <v>2747</v>
      </c>
      <c r="H59" s="30">
        <v>2673</v>
      </c>
      <c r="I59" s="30">
        <v>2647</v>
      </c>
      <c r="J59" s="30">
        <v>2602</v>
      </c>
      <c r="K59" s="30">
        <v>2651</v>
      </c>
      <c r="L59" s="30">
        <v>2709</v>
      </c>
      <c r="N59" s="738" t="s">
        <v>8110</v>
      </c>
      <c r="O59" s="4"/>
      <c r="Q59" s="4"/>
    </row>
    <row r="60" spans="1:17">
      <c r="A60" s="748">
        <v>16</v>
      </c>
      <c r="B60" s="738" t="s">
        <v>3742</v>
      </c>
      <c r="C60" s="4" t="s">
        <v>10706</v>
      </c>
      <c r="D60" s="743">
        <v>2813</v>
      </c>
      <c r="E60" s="743">
        <v>2803</v>
      </c>
      <c r="F60" s="743">
        <v>2786</v>
      </c>
      <c r="G60" s="30">
        <v>2806</v>
      </c>
      <c r="H60" s="30">
        <v>2772</v>
      </c>
      <c r="I60" s="30">
        <v>2731</v>
      </c>
      <c r="J60" s="30">
        <v>2623</v>
      </c>
      <c r="K60" s="30">
        <v>2657</v>
      </c>
      <c r="L60" s="30">
        <v>2653</v>
      </c>
      <c r="N60" s="738" t="s">
        <v>8110</v>
      </c>
      <c r="O60" s="4"/>
      <c r="Q60" s="4"/>
    </row>
    <row r="61" spans="1:17">
      <c r="A61" s="748">
        <v>17</v>
      </c>
      <c r="B61" s="738" t="s">
        <v>3743</v>
      </c>
      <c r="C61" s="4" t="s">
        <v>10707</v>
      </c>
      <c r="D61" s="743">
        <v>2872</v>
      </c>
      <c r="E61" s="743">
        <v>2869</v>
      </c>
      <c r="F61" s="743">
        <v>2905</v>
      </c>
      <c r="G61" s="30">
        <v>2879</v>
      </c>
      <c r="H61" s="30">
        <v>2874</v>
      </c>
      <c r="I61" s="30">
        <v>2824</v>
      </c>
      <c r="J61" s="30">
        <v>2721</v>
      </c>
      <c r="K61" s="30">
        <v>2769</v>
      </c>
      <c r="L61" s="30">
        <v>2793</v>
      </c>
      <c r="N61" s="738" t="s">
        <v>8110</v>
      </c>
      <c r="O61" s="4"/>
      <c r="Q61" s="4"/>
    </row>
    <row r="62" spans="1:17">
      <c r="D62" s="743"/>
      <c r="E62" s="743"/>
      <c r="F62" s="743"/>
      <c r="G62" s="743"/>
      <c r="H62" s="743"/>
      <c r="I62" s="743"/>
      <c r="J62" s="743"/>
      <c r="K62" s="31"/>
      <c r="L62" s="31"/>
    </row>
    <row r="63" spans="1:17">
      <c r="A63" s="738" t="s">
        <v>3744</v>
      </c>
      <c r="D63" s="741">
        <f t="shared" ref="D63:I63" si="80">SUM(D46:D54)+SUM(D56:D61)</f>
        <v>42536</v>
      </c>
      <c r="E63" s="741">
        <f t="shared" si="80"/>
        <v>42471</v>
      </c>
      <c r="F63" s="741">
        <f t="shared" si="80"/>
        <v>42571</v>
      </c>
      <c r="G63" s="741">
        <f t="shared" si="80"/>
        <v>42771</v>
      </c>
      <c r="H63" s="741">
        <f t="shared" si="80"/>
        <v>42299</v>
      </c>
      <c r="I63" s="741">
        <f t="shared" si="80"/>
        <v>41479</v>
      </c>
      <c r="J63" s="741">
        <f t="shared" ref="J63:K63" si="81">SUM(J46:J54)+SUM(J56:J61)</f>
        <v>40452</v>
      </c>
      <c r="K63" s="741">
        <f t="shared" si="81"/>
        <v>41667</v>
      </c>
      <c r="L63" s="741">
        <f>SUM(L46:L54)+SUM(L56:L61)</f>
        <v>41900</v>
      </c>
    </row>
    <row r="64" spans="1:17">
      <c r="A64" s="738" t="s">
        <v>3208</v>
      </c>
      <c r="D64" s="741">
        <f t="shared" ref="D64:I64" si="82">D45+D55</f>
        <v>7126</v>
      </c>
      <c r="E64" s="741">
        <f t="shared" si="82"/>
        <v>7156</v>
      </c>
      <c r="F64" s="741">
        <f t="shared" si="82"/>
        <v>7217</v>
      </c>
      <c r="G64" s="741">
        <f t="shared" si="82"/>
        <v>7216</v>
      </c>
      <c r="H64" s="741">
        <f t="shared" si="82"/>
        <v>7157</v>
      </c>
      <c r="I64" s="741">
        <f t="shared" si="82"/>
        <v>7041</v>
      </c>
      <c r="J64" s="741">
        <f t="shared" ref="J64:K64" si="83">J45+J55</f>
        <v>6887</v>
      </c>
      <c r="K64" s="741">
        <f t="shared" si="83"/>
        <v>7094</v>
      </c>
      <c r="L64" s="741">
        <f>L45+L55</f>
        <v>7094</v>
      </c>
    </row>
    <row r="65" spans="1:17">
      <c r="D65" s="743"/>
      <c r="E65" s="743"/>
      <c r="F65" s="743"/>
      <c r="G65" s="743"/>
      <c r="H65" s="743"/>
      <c r="I65" s="743"/>
      <c r="J65" s="743"/>
      <c r="K65" s="743"/>
      <c r="L65" s="743"/>
    </row>
    <row r="66" spans="1:17" ht="15" customHeight="1">
      <c r="A66" s="739" t="s">
        <v>3745</v>
      </c>
    </row>
    <row r="67" spans="1:17">
      <c r="A67" s="738"/>
      <c r="B67" s="738"/>
      <c r="D67" s="749"/>
      <c r="E67" s="749"/>
      <c r="F67" s="749"/>
      <c r="G67" s="749"/>
      <c r="H67" s="749"/>
      <c r="I67" s="749"/>
      <c r="J67" s="749"/>
      <c r="K67" s="749"/>
      <c r="L67" s="749"/>
    </row>
    <row r="68" spans="1:17">
      <c r="A68" s="738"/>
      <c r="B68" s="738"/>
      <c r="D68" s="749"/>
      <c r="E68" s="749"/>
      <c r="F68" s="749"/>
      <c r="G68" s="749"/>
      <c r="H68" s="749"/>
      <c r="I68" s="749"/>
      <c r="J68" s="749"/>
      <c r="K68" s="749"/>
      <c r="L68" s="749"/>
    </row>
    <row r="69" spans="1:17">
      <c r="E69" s="42" t="s">
        <v>2303</v>
      </c>
      <c r="F69" s="42"/>
      <c r="G69" s="42"/>
      <c r="H69" s="42"/>
      <c r="I69" s="42"/>
      <c r="J69" s="42"/>
      <c r="K69" s="42"/>
      <c r="L69" s="42"/>
      <c r="M69" s="109"/>
      <c r="N69" s="109" t="s">
        <v>13319</v>
      </c>
    </row>
    <row r="70" spans="1:17">
      <c r="D70" s="727">
        <v>2010</v>
      </c>
      <c r="E70" s="727">
        <v>2011</v>
      </c>
      <c r="F70" s="727">
        <v>2012</v>
      </c>
      <c r="G70" s="727">
        <v>2013</v>
      </c>
      <c r="H70" s="727">
        <v>2014</v>
      </c>
      <c r="I70" s="727">
        <v>2015</v>
      </c>
      <c r="J70" s="727">
        <v>2016</v>
      </c>
      <c r="K70" s="727">
        <v>2017</v>
      </c>
      <c r="L70" s="727">
        <v>2018</v>
      </c>
      <c r="M70" s="726"/>
      <c r="N70" s="112" t="s">
        <v>2304</v>
      </c>
    </row>
    <row r="71" spans="1:17">
      <c r="A71" s="738" t="s">
        <v>3746</v>
      </c>
      <c r="D71" s="741">
        <f t="shared" ref="D71:I71" si="84">SUM(D72:D76)+SUM(D77:D85)+SUM(D86:D88)</f>
        <v>94012</v>
      </c>
      <c r="E71" s="741">
        <f t="shared" si="84"/>
        <v>94340</v>
      </c>
      <c r="F71" s="741">
        <f t="shared" si="84"/>
        <v>94713</v>
      </c>
      <c r="G71" s="741">
        <f t="shared" si="84"/>
        <v>95735</v>
      </c>
      <c r="H71" s="741">
        <f t="shared" si="84"/>
        <v>94069</v>
      </c>
      <c r="I71" s="741">
        <f t="shared" si="84"/>
        <v>92436</v>
      </c>
      <c r="J71" s="741">
        <f t="shared" ref="J71:K71" si="85">SUM(J72:J76)+SUM(J77:J85)+SUM(J86:J88)</f>
        <v>90571</v>
      </c>
      <c r="K71" s="741">
        <f t="shared" si="85"/>
        <v>93023</v>
      </c>
      <c r="L71" s="741">
        <f t="shared" ref="L71" si="86">SUM(L72:L76)+SUM(L77:L85)+SUM(L86:L88)</f>
        <v>94409</v>
      </c>
    </row>
    <row r="72" spans="1:17">
      <c r="A72" s="738" t="s">
        <v>6957</v>
      </c>
      <c r="B72" s="738" t="s">
        <v>8199</v>
      </c>
      <c r="C72" s="4" t="s">
        <v>10708</v>
      </c>
      <c r="D72" s="743">
        <v>5716</v>
      </c>
      <c r="E72" s="743">
        <v>5730</v>
      </c>
      <c r="F72" s="743">
        <v>5810</v>
      </c>
      <c r="G72" s="30">
        <v>5896</v>
      </c>
      <c r="H72" s="30">
        <v>5617</v>
      </c>
      <c r="I72" s="30">
        <v>5552</v>
      </c>
      <c r="J72" s="30">
        <v>5583</v>
      </c>
      <c r="K72" s="30">
        <v>5655</v>
      </c>
      <c r="L72" s="30">
        <v>5768</v>
      </c>
      <c r="N72" s="738" t="s">
        <v>3208</v>
      </c>
      <c r="O72" s="4"/>
      <c r="P72" s="4"/>
      <c r="Q72" s="4"/>
    </row>
    <row r="73" spans="1:17">
      <c r="A73" s="738" t="s">
        <v>6959</v>
      </c>
      <c r="B73" s="738" t="s">
        <v>7820</v>
      </c>
      <c r="C73" s="4" t="s">
        <v>10709</v>
      </c>
      <c r="D73" s="743">
        <v>5190</v>
      </c>
      <c r="E73" s="743">
        <v>5177</v>
      </c>
      <c r="F73" s="743">
        <v>5152</v>
      </c>
      <c r="G73" s="30">
        <v>5154</v>
      </c>
      <c r="H73" s="30">
        <v>5192</v>
      </c>
      <c r="I73" s="30">
        <v>5074</v>
      </c>
      <c r="J73" s="30">
        <v>5084</v>
      </c>
      <c r="K73" s="30">
        <v>5155</v>
      </c>
      <c r="L73" s="30">
        <v>5209</v>
      </c>
      <c r="N73" s="738" t="s">
        <v>3208</v>
      </c>
      <c r="O73" s="4"/>
      <c r="P73" s="4"/>
      <c r="Q73" s="4"/>
    </row>
    <row r="74" spans="1:17">
      <c r="A74" s="738" t="s">
        <v>6961</v>
      </c>
      <c r="B74" s="738" t="s">
        <v>3747</v>
      </c>
      <c r="C74" s="4" t="s">
        <v>10710</v>
      </c>
      <c r="D74" s="743">
        <v>5681</v>
      </c>
      <c r="E74" s="743">
        <v>5724</v>
      </c>
      <c r="F74" s="743">
        <v>5753</v>
      </c>
      <c r="G74" s="30">
        <v>5832</v>
      </c>
      <c r="H74" s="30">
        <v>5625</v>
      </c>
      <c r="I74" s="30">
        <v>5447</v>
      </c>
      <c r="J74" s="30">
        <v>5385</v>
      </c>
      <c r="K74" s="30">
        <v>5506</v>
      </c>
      <c r="L74" s="30">
        <v>5548</v>
      </c>
      <c r="N74" s="738" t="s">
        <v>3208</v>
      </c>
      <c r="O74" s="4"/>
      <c r="P74" s="4"/>
      <c r="Q74" s="4"/>
    </row>
    <row r="75" spans="1:17">
      <c r="A75" s="738" t="s">
        <v>6963</v>
      </c>
      <c r="B75" s="738" t="s">
        <v>3748</v>
      </c>
      <c r="C75" s="4" t="s">
        <v>10711</v>
      </c>
      <c r="D75" s="743">
        <v>5596</v>
      </c>
      <c r="E75" s="743">
        <v>5491</v>
      </c>
      <c r="F75" s="743">
        <v>5460</v>
      </c>
      <c r="G75" s="30">
        <v>5450</v>
      </c>
      <c r="H75" s="30">
        <v>5391</v>
      </c>
      <c r="I75" s="30">
        <v>5306</v>
      </c>
      <c r="J75" s="30">
        <v>5160</v>
      </c>
      <c r="K75" s="30">
        <v>5246</v>
      </c>
      <c r="L75" s="30">
        <v>5281</v>
      </c>
      <c r="N75" s="738" t="s">
        <v>3208</v>
      </c>
      <c r="O75" s="4"/>
      <c r="P75" s="4"/>
      <c r="Q75" s="4"/>
    </row>
    <row r="76" spans="1:17">
      <c r="A76" s="738" t="s">
        <v>6965</v>
      </c>
      <c r="B76" s="738" t="s">
        <v>3749</v>
      </c>
      <c r="C76" s="4" t="s">
        <v>10712</v>
      </c>
      <c r="D76" s="743">
        <v>5056</v>
      </c>
      <c r="E76" s="743">
        <v>5114</v>
      </c>
      <c r="F76" s="743">
        <v>5062</v>
      </c>
      <c r="G76" s="30">
        <v>5162</v>
      </c>
      <c r="H76" s="30">
        <v>5113</v>
      </c>
      <c r="I76" s="30">
        <v>5040</v>
      </c>
      <c r="J76" s="30">
        <v>4910</v>
      </c>
      <c r="K76" s="30">
        <v>5069</v>
      </c>
      <c r="L76" s="30">
        <v>5083</v>
      </c>
      <c r="N76" s="738" t="s">
        <v>8110</v>
      </c>
      <c r="O76" s="4"/>
      <c r="P76" s="4"/>
      <c r="Q76" s="4"/>
    </row>
    <row r="77" spans="1:17">
      <c r="A77" s="738" t="s">
        <v>6997</v>
      </c>
      <c r="B77" s="738" t="s">
        <v>3750</v>
      </c>
      <c r="C77" s="4" t="s">
        <v>10713</v>
      </c>
      <c r="D77" s="743">
        <v>5142</v>
      </c>
      <c r="E77" s="743">
        <v>5135</v>
      </c>
      <c r="F77" s="743">
        <v>5096</v>
      </c>
      <c r="G77" s="31">
        <v>5131</v>
      </c>
      <c r="H77" s="31">
        <v>5074</v>
      </c>
      <c r="I77" s="31">
        <v>4990</v>
      </c>
      <c r="J77" s="31">
        <v>4916</v>
      </c>
      <c r="K77" s="31">
        <v>5032</v>
      </c>
      <c r="L77" s="31">
        <v>5127</v>
      </c>
      <c r="N77" s="738" t="s">
        <v>3751</v>
      </c>
      <c r="O77" s="4"/>
      <c r="P77" s="4"/>
      <c r="Q77" s="4"/>
    </row>
    <row r="78" spans="1:17">
      <c r="A78" s="738" t="s">
        <v>6999</v>
      </c>
      <c r="B78" s="738" t="s">
        <v>3752</v>
      </c>
      <c r="C78" s="4" t="s">
        <v>10714</v>
      </c>
      <c r="D78" s="743">
        <v>5166</v>
      </c>
      <c r="E78" s="743">
        <v>5178</v>
      </c>
      <c r="F78" s="743">
        <v>5281</v>
      </c>
      <c r="G78" s="30">
        <v>5512</v>
      </c>
      <c r="H78" s="30">
        <v>5517</v>
      </c>
      <c r="I78" s="30">
        <v>5441</v>
      </c>
      <c r="J78" s="30">
        <v>5312</v>
      </c>
      <c r="K78" s="30">
        <v>5564</v>
      </c>
      <c r="L78" s="30">
        <v>5788</v>
      </c>
      <c r="N78" s="738" t="s">
        <v>3208</v>
      </c>
      <c r="O78" s="4"/>
      <c r="P78" s="4"/>
      <c r="Q78" s="4"/>
    </row>
    <row r="79" spans="1:17">
      <c r="A79" s="738" t="s">
        <v>7001</v>
      </c>
      <c r="B79" s="738" t="s">
        <v>3753</v>
      </c>
      <c r="C79" s="4" t="s">
        <v>10715</v>
      </c>
      <c r="D79" s="743">
        <v>5908</v>
      </c>
      <c r="E79" s="743">
        <v>5982</v>
      </c>
      <c r="F79" s="743">
        <v>6118</v>
      </c>
      <c r="G79" s="30">
        <v>6120</v>
      </c>
      <c r="H79" s="30">
        <v>6024</v>
      </c>
      <c r="I79" s="30">
        <v>5971</v>
      </c>
      <c r="J79" s="30">
        <v>5760</v>
      </c>
      <c r="K79" s="30">
        <v>5909</v>
      </c>
      <c r="L79" s="30">
        <v>5992</v>
      </c>
      <c r="N79" s="738" t="s">
        <v>8110</v>
      </c>
      <c r="O79" s="4"/>
      <c r="P79" s="4"/>
      <c r="Q79" s="4"/>
    </row>
    <row r="80" spans="1:17">
      <c r="A80" s="738" t="s">
        <v>7003</v>
      </c>
      <c r="B80" s="738" t="s">
        <v>3754</v>
      </c>
      <c r="C80" s="4" t="s">
        <v>10716</v>
      </c>
      <c r="D80" s="743">
        <v>6131</v>
      </c>
      <c r="E80" s="743">
        <v>6135</v>
      </c>
      <c r="F80" s="743">
        <v>6124</v>
      </c>
      <c r="G80" s="30">
        <v>6204</v>
      </c>
      <c r="H80" s="30">
        <v>6050</v>
      </c>
      <c r="I80" s="30">
        <v>5973</v>
      </c>
      <c r="J80" s="30">
        <v>5834</v>
      </c>
      <c r="K80" s="30">
        <v>6035</v>
      </c>
      <c r="L80" s="30">
        <v>6089</v>
      </c>
      <c r="N80" s="738" t="s">
        <v>3208</v>
      </c>
      <c r="O80" s="4"/>
      <c r="P80" s="4"/>
      <c r="Q80" s="4"/>
    </row>
    <row r="81" spans="1:17">
      <c r="A81" s="738" t="s">
        <v>7005</v>
      </c>
      <c r="B81" s="738" t="s">
        <v>8207</v>
      </c>
      <c r="C81" s="4" t="s">
        <v>10717</v>
      </c>
      <c r="D81" s="743">
        <v>5559</v>
      </c>
      <c r="E81" s="743">
        <v>5611</v>
      </c>
      <c r="F81" s="743">
        <v>5683</v>
      </c>
      <c r="G81" s="30">
        <v>5775</v>
      </c>
      <c r="H81" s="30">
        <v>5751</v>
      </c>
      <c r="I81" s="30">
        <v>5624</v>
      </c>
      <c r="J81" s="30">
        <v>5480</v>
      </c>
      <c r="K81" s="30">
        <v>5552</v>
      </c>
      <c r="L81" s="30">
        <v>5654</v>
      </c>
      <c r="N81" s="738" t="s">
        <v>8110</v>
      </c>
      <c r="O81" s="4"/>
      <c r="P81" s="4"/>
      <c r="Q81" s="4"/>
    </row>
    <row r="82" spans="1:17">
      <c r="A82" s="738" t="s">
        <v>7007</v>
      </c>
      <c r="B82" s="738" t="s">
        <v>7787</v>
      </c>
      <c r="C82" s="4" t="s">
        <v>10718</v>
      </c>
      <c r="D82" s="743">
        <v>4906</v>
      </c>
      <c r="E82" s="743">
        <v>5021</v>
      </c>
      <c r="F82" s="743">
        <v>5093</v>
      </c>
      <c r="G82" s="30">
        <v>5102</v>
      </c>
      <c r="H82" s="30">
        <v>4943</v>
      </c>
      <c r="I82" s="30">
        <v>4878</v>
      </c>
      <c r="J82" s="30">
        <v>4768</v>
      </c>
      <c r="K82" s="30">
        <v>4978</v>
      </c>
      <c r="L82" s="30">
        <v>5028</v>
      </c>
      <c r="N82" s="738" t="s">
        <v>3208</v>
      </c>
      <c r="O82" s="4"/>
      <c r="P82" s="4"/>
      <c r="Q82" s="4"/>
    </row>
    <row r="83" spans="1:17">
      <c r="A83" s="738" t="s">
        <v>7009</v>
      </c>
      <c r="B83" s="738" t="s">
        <v>3755</v>
      </c>
      <c r="C83" s="4" t="s">
        <v>10719</v>
      </c>
      <c r="D83" s="743">
        <v>5932</v>
      </c>
      <c r="E83" s="743">
        <v>5920</v>
      </c>
      <c r="F83" s="743">
        <v>5949</v>
      </c>
      <c r="G83" s="30">
        <v>5999</v>
      </c>
      <c r="H83" s="30">
        <v>5863</v>
      </c>
      <c r="I83" s="30">
        <v>5714</v>
      </c>
      <c r="J83" s="30">
        <v>5449</v>
      </c>
      <c r="K83" s="30">
        <v>5583</v>
      </c>
      <c r="L83" s="30">
        <v>5622</v>
      </c>
      <c r="N83" s="738" t="s">
        <v>8110</v>
      </c>
      <c r="O83" s="4"/>
      <c r="P83" s="4"/>
      <c r="Q83" s="4"/>
    </row>
    <row r="84" spans="1:17">
      <c r="A84" s="738" t="s">
        <v>7011</v>
      </c>
      <c r="B84" s="738" t="s">
        <v>3756</v>
      </c>
      <c r="C84" s="4" t="s">
        <v>10720</v>
      </c>
      <c r="D84" s="743">
        <v>5692</v>
      </c>
      <c r="E84" s="743">
        <v>5659</v>
      </c>
      <c r="F84" s="743">
        <v>5613</v>
      </c>
      <c r="G84" s="30">
        <v>5669</v>
      </c>
      <c r="H84" s="30">
        <v>5602</v>
      </c>
      <c r="I84" s="30">
        <v>5515</v>
      </c>
      <c r="J84" s="30">
        <v>5427</v>
      </c>
      <c r="K84" s="30">
        <v>5641</v>
      </c>
      <c r="L84" s="30">
        <v>5752</v>
      </c>
      <c r="N84" s="738" t="s">
        <v>3208</v>
      </c>
      <c r="O84" s="4"/>
      <c r="P84" s="4"/>
      <c r="Q84" s="4"/>
    </row>
    <row r="85" spans="1:17">
      <c r="A85" s="738" t="s">
        <v>7013</v>
      </c>
      <c r="B85" s="738" t="s">
        <v>3757</v>
      </c>
      <c r="C85" s="4" t="s">
        <v>10721</v>
      </c>
      <c r="D85" s="743">
        <v>5424</v>
      </c>
      <c r="E85" s="743">
        <v>5446</v>
      </c>
      <c r="F85" s="743">
        <v>5442</v>
      </c>
      <c r="G85" s="30">
        <v>5444</v>
      </c>
      <c r="H85" s="30">
        <v>5364</v>
      </c>
      <c r="I85" s="30">
        <v>5260</v>
      </c>
      <c r="J85" s="30">
        <v>5186</v>
      </c>
      <c r="K85" s="30">
        <v>5378</v>
      </c>
      <c r="L85" s="30">
        <v>5388</v>
      </c>
      <c r="N85" s="738" t="s">
        <v>8110</v>
      </c>
      <c r="O85" s="4"/>
      <c r="P85" s="4"/>
      <c r="Q85" s="4"/>
    </row>
    <row r="86" spans="1:17">
      <c r="A86" s="738" t="s">
        <v>7015</v>
      </c>
      <c r="B86" s="738" t="s">
        <v>3758</v>
      </c>
      <c r="C86" s="4" t="s">
        <v>10722</v>
      </c>
      <c r="D86" s="743">
        <v>5859</v>
      </c>
      <c r="E86" s="743">
        <v>5889</v>
      </c>
      <c r="F86" s="743">
        <v>5895</v>
      </c>
      <c r="G86" s="30">
        <v>5968</v>
      </c>
      <c r="H86" s="30">
        <v>5830</v>
      </c>
      <c r="I86" s="30">
        <v>5799</v>
      </c>
      <c r="J86" s="30">
        <v>5748</v>
      </c>
      <c r="K86" s="30">
        <v>5886</v>
      </c>
      <c r="L86" s="30">
        <v>6191</v>
      </c>
      <c r="N86" s="738" t="s">
        <v>3208</v>
      </c>
      <c r="O86" s="4"/>
      <c r="P86" s="4"/>
      <c r="Q86" s="4"/>
    </row>
    <row r="87" spans="1:17">
      <c r="A87" s="748">
        <v>16</v>
      </c>
      <c r="B87" s="738" t="s">
        <v>3759</v>
      </c>
      <c r="C87" s="4" t="s">
        <v>10723</v>
      </c>
      <c r="D87" s="743">
        <v>5216</v>
      </c>
      <c r="E87" s="743">
        <v>5288</v>
      </c>
      <c r="F87" s="743">
        <v>5379</v>
      </c>
      <c r="G87" s="30">
        <v>5478</v>
      </c>
      <c r="H87" s="30">
        <v>5353</v>
      </c>
      <c r="I87" s="30">
        <v>5204</v>
      </c>
      <c r="J87" s="30">
        <v>5040</v>
      </c>
      <c r="K87" s="30">
        <v>5190</v>
      </c>
      <c r="L87" s="30">
        <v>5205</v>
      </c>
      <c r="N87" s="738" t="s">
        <v>3208</v>
      </c>
      <c r="O87" s="4"/>
      <c r="P87" s="4"/>
      <c r="Q87" s="4"/>
    </row>
    <row r="88" spans="1:17">
      <c r="A88" s="750">
        <v>17</v>
      </c>
      <c r="B88" s="738" t="s">
        <v>3760</v>
      </c>
      <c r="C88" s="4" t="s">
        <v>10724</v>
      </c>
      <c r="D88" s="743">
        <v>5838</v>
      </c>
      <c r="E88" s="743">
        <v>5840</v>
      </c>
      <c r="F88" s="743">
        <v>5803</v>
      </c>
      <c r="G88" s="31">
        <v>5839</v>
      </c>
      <c r="H88" s="31">
        <v>5760</v>
      </c>
      <c r="I88" s="31">
        <v>5648</v>
      </c>
      <c r="J88" s="31">
        <v>5529</v>
      </c>
      <c r="K88" s="31">
        <v>5644</v>
      </c>
      <c r="L88" s="31">
        <v>5684</v>
      </c>
      <c r="N88" s="738" t="s">
        <v>3208</v>
      </c>
      <c r="O88" s="4"/>
      <c r="P88" s="4"/>
      <c r="Q88" s="4"/>
    </row>
    <row r="89" spans="1:17">
      <c r="D89" s="743"/>
      <c r="E89" s="743"/>
      <c r="F89" s="743"/>
      <c r="G89" s="743"/>
      <c r="H89" s="743"/>
      <c r="I89" s="743"/>
      <c r="J89" s="743"/>
      <c r="K89" s="743"/>
      <c r="L89" s="743"/>
    </row>
    <row r="90" spans="1:17">
      <c r="A90" s="738" t="s">
        <v>3744</v>
      </c>
      <c r="D90" s="741">
        <f t="shared" ref="D90:I90" si="87">D76+D79+D81+D83+D85</f>
        <v>27879</v>
      </c>
      <c r="E90" s="741">
        <f t="shared" si="87"/>
        <v>28073</v>
      </c>
      <c r="F90" s="741">
        <f t="shared" si="87"/>
        <v>28254</v>
      </c>
      <c r="G90" s="741">
        <f t="shared" si="87"/>
        <v>28500</v>
      </c>
      <c r="H90" s="741">
        <f t="shared" si="87"/>
        <v>28115</v>
      </c>
      <c r="I90" s="741">
        <f t="shared" si="87"/>
        <v>27609</v>
      </c>
      <c r="J90" s="741">
        <f t="shared" ref="J90:K90" si="88">J76+J79+J81+J83+J85</f>
        <v>26785</v>
      </c>
      <c r="K90" s="741">
        <f t="shared" si="88"/>
        <v>27491</v>
      </c>
      <c r="L90" s="741">
        <f t="shared" ref="L90" si="89">L76+L79+L81+L83+L85</f>
        <v>27739</v>
      </c>
    </row>
    <row r="91" spans="1:17">
      <c r="A91" s="738" t="s">
        <v>3761</v>
      </c>
      <c r="D91" s="741">
        <f t="shared" ref="D91:I91" si="90">SUM(D72:D75)+D78+D80+D82+D84+SUM(D86:D88)</f>
        <v>60991</v>
      </c>
      <c r="E91" s="741">
        <f t="shared" si="90"/>
        <v>61132</v>
      </c>
      <c r="F91" s="741">
        <f t="shared" si="90"/>
        <v>61363</v>
      </c>
      <c r="G91" s="741">
        <f t="shared" si="90"/>
        <v>62104</v>
      </c>
      <c r="H91" s="741">
        <f t="shared" si="90"/>
        <v>60880</v>
      </c>
      <c r="I91" s="741">
        <f t="shared" si="90"/>
        <v>59837</v>
      </c>
      <c r="J91" s="741">
        <f t="shared" ref="J91:K91" si="91">SUM(J72:J75)+J78+J80+J82+J84+SUM(J86:J88)</f>
        <v>58870</v>
      </c>
      <c r="K91" s="741">
        <f t="shared" si="91"/>
        <v>60500</v>
      </c>
      <c r="L91" s="741">
        <f t="shared" ref="L91" si="92">SUM(L72:L75)+L78+L80+L82+L84+SUM(L86:L88)</f>
        <v>61543</v>
      </c>
    </row>
    <row r="92" spans="1:17">
      <c r="A92" s="738" t="s">
        <v>16278</v>
      </c>
      <c r="D92" s="741">
        <f t="shared" ref="D92:I92" si="93">D77</f>
        <v>5142</v>
      </c>
      <c r="E92" s="741">
        <f t="shared" si="93"/>
        <v>5135</v>
      </c>
      <c r="F92" s="741">
        <f t="shared" si="93"/>
        <v>5096</v>
      </c>
      <c r="G92" s="741">
        <f t="shared" si="93"/>
        <v>5131</v>
      </c>
      <c r="H92" s="741">
        <f t="shared" si="93"/>
        <v>5074</v>
      </c>
      <c r="I92" s="741">
        <f t="shared" si="93"/>
        <v>4990</v>
      </c>
      <c r="J92" s="741">
        <f t="shared" ref="J92:K92" si="94">J77</f>
        <v>4916</v>
      </c>
      <c r="K92" s="741">
        <f t="shared" si="94"/>
        <v>5032</v>
      </c>
      <c r="L92" s="741">
        <f t="shared" ref="L92" si="95">L77</f>
        <v>5127</v>
      </c>
    </row>
    <row r="93" spans="1:17">
      <c r="A93" s="738"/>
      <c r="D93" s="741"/>
      <c r="E93" s="741"/>
      <c r="F93" s="741"/>
      <c r="G93" s="741"/>
      <c r="H93" s="741"/>
      <c r="I93" s="741"/>
      <c r="J93" s="741"/>
      <c r="K93" s="741"/>
      <c r="L93" s="741"/>
    </row>
    <row r="94" spans="1:17">
      <c r="A94" s="738" t="s">
        <v>7319</v>
      </c>
      <c r="D94" s="741"/>
      <c r="E94" s="741"/>
      <c r="F94" s="741"/>
      <c r="G94" s="741"/>
      <c r="H94" s="741"/>
      <c r="I94" s="741"/>
      <c r="J94" s="741"/>
      <c r="K94" s="741"/>
      <c r="L94" s="741"/>
    </row>
    <row r="95" spans="1:17">
      <c r="A95" s="738"/>
      <c r="B95" s="738"/>
      <c r="D95" s="749"/>
      <c r="E95" s="749"/>
      <c r="F95" s="749"/>
      <c r="G95" s="749"/>
      <c r="H95" s="749"/>
      <c r="I95" s="749"/>
      <c r="J95" s="749"/>
      <c r="K95" s="749"/>
      <c r="L95" s="749"/>
    </row>
    <row r="96" spans="1:17">
      <c r="A96" s="738"/>
      <c r="B96" s="738"/>
      <c r="D96" s="749"/>
      <c r="E96" s="749"/>
      <c r="F96" s="749"/>
      <c r="G96" s="749"/>
      <c r="H96" s="749"/>
      <c r="I96" s="749"/>
      <c r="J96" s="749"/>
      <c r="K96" s="749"/>
      <c r="L96" s="749"/>
    </row>
    <row r="97" spans="1:19">
      <c r="E97" s="42" t="s">
        <v>2303</v>
      </c>
      <c r="F97" s="42"/>
      <c r="G97" s="42"/>
      <c r="H97" s="42"/>
      <c r="I97" s="42"/>
      <c r="J97" s="42"/>
      <c r="K97" s="42"/>
      <c r="L97" s="42"/>
      <c r="M97" s="109"/>
      <c r="N97" s="109" t="s">
        <v>13319</v>
      </c>
    </row>
    <row r="98" spans="1:19">
      <c r="D98" s="727">
        <v>2010</v>
      </c>
      <c r="E98" s="727">
        <v>2011</v>
      </c>
      <c r="F98" s="727">
        <v>2012</v>
      </c>
      <c r="G98" s="727">
        <v>2013</v>
      </c>
      <c r="H98" s="727">
        <v>2014</v>
      </c>
      <c r="I98" s="727">
        <v>2015</v>
      </c>
      <c r="J98" s="727">
        <v>2016</v>
      </c>
      <c r="K98" s="727">
        <v>2017</v>
      </c>
      <c r="L98" s="727">
        <v>2018</v>
      </c>
      <c r="M98" s="726"/>
      <c r="N98" s="112" t="s">
        <v>2304</v>
      </c>
    </row>
    <row r="99" spans="1:19">
      <c r="A99" s="738" t="s">
        <v>7320</v>
      </c>
      <c r="D99" s="741">
        <f>D100+D101+SUM(D103:D108)+SUM(D110:D119)</f>
        <v>71178</v>
      </c>
      <c r="E99" s="741">
        <f t="shared" ref="E99:J99" si="96">E100+E101+SUM(E103:E108)+SUM(E110:E119)</f>
        <v>72604</v>
      </c>
      <c r="F99" s="741">
        <f t="shared" si="96"/>
        <v>72426</v>
      </c>
      <c r="G99" s="741">
        <f t="shared" si="96"/>
        <v>73069</v>
      </c>
      <c r="H99" s="741">
        <f t="shared" si="96"/>
        <v>73362</v>
      </c>
      <c r="I99" s="741">
        <f t="shared" si="96"/>
        <v>73393</v>
      </c>
      <c r="J99" s="741">
        <f t="shared" si="96"/>
        <v>71187</v>
      </c>
      <c r="K99" s="741">
        <f t="shared" ref="K99:L99" si="97">K100+K101+SUM(K103:K108)+SUM(K110:K119)</f>
        <v>73539</v>
      </c>
      <c r="L99" s="741">
        <f t="shared" si="97"/>
        <v>74005</v>
      </c>
    </row>
    <row r="100" spans="1:19">
      <c r="A100" s="738" t="s">
        <v>6957</v>
      </c>
      <c r="B100" s="738" t="s">
        <v>13194</v>
      </c>
      <c r="C100" s="4" t="s">
        <v>15560</v>
      </c>
      <c r="D100" s="743">
        <v>0</v>
      </c>
      <c r="E100" s="743">
        <v>0</v>
      </c>
      <c r="F100" s="743">
        <v>0</v>
      </c>
      <c r="G100" s="30">
        <v>0</v>
      </c>
      <c r="H100" s="30">
        <v>0</v>
      </c>
      <c r="I100" s="30">
        <v>0</v>
      </c>
      <c r="J100" s="30">
        <v>68</v>
      </c>
      <c r="K100" s="30">
        <v>72</v>
      </c>
      <c r="L100" s="30">
        <v>105</v>
      </c>
      <c r="N100" s="739" t="s">
        <v>5379</v>
      </c>
      <c r="O100" s="72"/>
      <c r="P100" s="72"/>
      <c r="Q100" s="72"/>
      <c r="R100" s="72"/>
      <c r="S100" s="72"/>
    </row>
    <row r="101" spans="1:19" ht="15.75" thickBot="1">
      <c r="A101" s="738"/>
      <c r="B101" s="738"/>
      <c r="C101" s="4" t="s">
        <v>15560</v>
      </c>
      <c r="D101" s="744">
        <v>0</v>
      </c>
      <c r="E101" s="744">
        <v>0</v>
      </c>
      <c r="F101" s="744">
        <v>0</v>
      </c>
      <c r="G101" s="899">
        <v>5171</v>
      </c>
      <c r="H101" s="899">
        <v>5356</v>
      </c>
      <c r="I101" s="899">
        <v>5454</v>
      </c>
      <c r="J101" s="30">
        <v>5440</v>
      </c>
      <c r="K101" s="30">
        <v>5707</v>
      </c>
      <c r="L101" s="30">
        <v>5784</v>
      </c>
      <c r="N101" s="738" t="s">
        <v>3751</v>
      </c>
      <c r="O101" s="72"/>
      <c r="P101" s="72"/>
      <c r="Q101" s="72"/>
      <c r="R101" s="72"/>
      <c r="S101" s="72"/>
    </row>
    <row r="102" spans="1:19" ht="15.75" thickBot="1">
      <c r="A102" s="738"/>
      <c r="B102" s="738"/>
      <c r="C102" s="4" t="s">
        <v>15560</v>
      </c>
      <c r="D102" s="737">
        <f>D100+D101</f>
        <v>0</v>
      </c>
      <c r="E102" s="737">
        <f t="shared" ref="E102:L102" si="98">E100+E101</f>
        <v>0</v>
      </c>
      <c r="F102" s="737">
        <f t="shared" si="98"/>
        <v>0</v>
      </c>
      <c r="G102" s="737">
        <f t="shared" si="98"/>
        <v>5171</v>
      </c>
      <c r="H102" s="737">
        <f t="shared" si="98"/>
        <v>5356</v>
      </c>
      <c r="I102" s="737">
        <f t="shared" si="98"/>
        <v>5454</v>
      </c>
      <c r="J102" s="737">
        <f t="shared" si="98"/>
        <v>5508</v>
      </c>
      <c r="K102" s="737">
        <f t="shared" si="98"/>
        <v>5779</v>
      </c>
      <c r="L102" s="737">
        <f t="shared" si="98"/>
        <v>5889</v>
      </c>
      <c r="N102" s="738"/>
      <c r="O102" s="72"/>
      <c r="P102" s="72"/>
      <c r="Q102" s="72"/>
      <c r="R102" s="72"/>
      <c r="S102" s="72"/>
    </row>
    <row r="103" spans="1:19">
      <c r="A103" s="738" t="s">
        <v>6959</v>
      </c>
      <c r="B103" s="738" t="s">
        <v>7321</v>
      </c>
      <c r="C103" s="4" t="s">
        <v>13192</v>
      </c>
      <c r="D103" s="743">
        <v>63617</v>
      </c>
      <c r="E103" s="743">
        <v>64797</v>
      </c>
      <c r="F103" s="743">
        <v>64675</v>
      </c>
      <c r="G103" s="30">
        <v>5005</v>
      </c>
      <c r="H103" s="30">
        <v>4925</v>
      </c>
      <c r="I103" s="30">
        <v>4864</v>
      </c>
      <c r="J103" s="30">
        <v>4487</v>
      </c>
      <c r="K103" s="30">
        <v>4638</v>
      </c>
      <c r="L103" s="30">
        <v>4738</v>
      </c>
      <c r="N103" s="738" t="s">
        <v>3751</v>
      </c>
      <c r="O103" s="72"/>
      <c r="P103" s="72"/>
      <c r="Q103" s="72"/>
      <c r="R103" s="72"/>
      <c r="S103" s="72"/>
    </row>
    <row r="104" spans="1:19">
      <c r="A104" s="738" t="s">
        <v>6961</v>
      </c>
      <c r="B104" s="738" t="s">
        <v>7322</v>
      </c>
      <c r="C104" s="4" t="s">
        <v>13193</v>
      </c>
      <c r="D104" s="743">
        <v>0</v>
      </c>
      <c r="E104" s="743">
        <v>0</v>
      </c>
      <c r="F104" s="743">
        <v>0</v>
      </c>
      <c r="G104" s="30">
        <v>5093</v>
      </c>
      <c r="H104" s="30">
        <v>5017</v>
      </c>
      <c r="I104" s="30">
        <v>4984</v>
      </c>
      <c r="J104" s="30">
        <v>5000</v>
      </c>
      <c r="K104" s="30">
        <v>5077</v>
      </c>
      <c r="L104" s="30">
        <v>5092</v>
      </c>
      <c r="N104" s="738" t="s">
        <v>3751</v>
      </c>
      <c r="O104" s="72"/>
      <c r="P104" s="72"/>
      <c r="Q104" s="72"/>
      <c r="R104" s="72"/>
      <c r="S104" s="72"/>
    </row>
    <row r="105" spans="1:19">
      <c r="A105" s="738" t="s">
        <v>6963</v>
      </c>
      <c r="B105" s="738" t="s">
        <v>13195</v>
      </c>
      <c r="C105" s="4" t="s">
        <v>13203</v>
      </c>
      <c r="D105" s="743">
        <v>0</v>
      </c>
      <c r="E105" s="743">
        <v>0</v>
      </c>
      <c r="F105" s="743">
        <v>0</v>
      </c>
      <c r="G105" s="30">
        <v>1512</v>
      </c>
      <c r="H105" s="30">
        <v>1603</v>
      </c>
      <c r="I105" s="30">
        <v>1640</v>
      </c>
      <c r="J105" s="30">
        <v>1683</v>
      </c>
      <c r="K105" s="30">
        <v>1811</v>
      </c>
      <c r="L105" s="30">
        <v>1860</v>
      </c>
      <c r="N105" s="738" t="s">
        <v>3751</v>
      </c>
      <c r="O105" s="72"/>
      <c r="P105" s="72"/>
      <c r="Q105" s="72"/>
      <c r="R105" s="72"/>
      <c r="S105" s="72"/>
    </row>
    <row r="106" spans="1:19">
      <c r="A106" s="738" t="s">
        <v>6965</v>
      </c>
      <c r="B106" s="738" t="s">
        <v>13196</v>
      </c>
      <c r="C106" s="4" t="s">
        <v>13204</v>
      </c>
      <c r="D106" s="743">
        <v>0</v>
      </c>
      <c r="E106" s="743">
        <v>0</v>
      </c>
      <c r="F106" s="743">
        <v>0</v>
      </c>
      <c r="G106" s="30">
        <v>4749</v>
      </c>
      <c r="H106" s="30">
        <v>4809</v>
      </c>
      <c r="I106" s="30">
        <v>4818</v>
      </c>
      <c r="J106" s="30">
        <v>4789</v>
      </c>
      <c r="K106" s="30">
        <v>4893</v>
      </c>
      <c r="L106" s="30">
        <v>4872</v>
      </c>
      <c r="N106" s="738" t="s">
        <v>3751</v>
      </c>
      <c r="O106" s="72"/>
      <c r="P106" s="72"/>
      <c r="Q106" s="72"/>
      <c r="R106" s="72"/>
      <c r="S106" s="72"/>
    </row>
    <row r="107" spans="1:19">
      <c r="A107" s="738" t="s">
        <v>6997</v>
      </c>
      <c r="B107" s="739" t="s">
        <v>13197</v>
      </c>
      <c r="C107" s="4" t="s">
        <v>15561</v>
      </c>
      <c r="D107" s="743">
        <v>0</v>
      </c>
      <c r="E107" s="743">
        <v>0</v>
      </c>
      <c r="F107" s="743">
        <v>0</v>
      </c>
      <c r="G107" s="30">
        <v>5853</v>
      </c>
      <c r="H107" s="30">
        <v>5833</v>
      </c>
      <c r="I107" s="30">
        <v>5869</v>
      </c>
      <c r="J107" s="30">
        <v>5639</v>
      </c>
      <c r="K107" s="30">
        <v>5770</v>
      </c>
      <c r="L107" s="30">
        <v>5802</v>
      </c>
      <c r="N107" s="739" t="s">
        <v>5379</v>
      </c>
      <c r="O107" s="72"/>
      <c r="P107" s="72"/>
      <c r="Q107" s="72"/>
      <c r="R107" s="72"/>
      <c r="S107" s="72"/>
    </row>
    <row r="108" spans="1:19" ht="15.75" thickBot="1">
      <c r="C108" s="4" t="s">
        <v>15561</v>
      </c>
      <c r="D108" s="751">
        <v>0</v>
      </c>
      <c r="E108" s="751">
        <v>0</v>
      </c>
      <c r="F108" s="751">
        <v>0</v>
      </c>
      <c r="G108" s="30">
        <v>116</v>
      </c>
      <c r="H108" s="30">
        <v>105</v>
      </c>
      <c r="I108" s="30">
        <v>110</v>
      </c>
      <c r="J108" s="30">
        <v>122</v>
      </c>
      <c r="K108" s="30">
        <v>134</v>
      </c>
      <c r="L108" s="30">
        <v>138</v>
      </c>
      <c r="N108" s="739" t="s">
        <v>3751</v>
      </c>
      <c r="O108" s="72"/>
      <c r="P108" s="72"/>
      <c r="Q108" s="72"/>
      <c r="R108" s="72"/>
      <c r="S108" s="72"/>
    </row>
    <row r="109" spans="1:19" ht="15.75" thickBot="1">
      <c r="C109" s="4" t="s">
        <v>15561</v>
      </c>
      <c r="D109" s="737">
        <f>D107+D108</f>
        <v>0</v>
      </c>
      <c r="E109" s="737">
        <f t="shared" ref="E109:L109" si="99">E107+E108</f>
        <v>0</v>
      </c>
      <c r="F109" s="737">
        <f t="shared" si="99"/>
        <v>0</v>
      </c>
      <c r="G109" s="737">
        <f t="shared" si="99"/>
        <v>5969</v>
      </c>
      <c r="H109" s="737">
        <f t="shared" si="99"/>
        <v>5938</v>
      </c>
      <c r="I109" s="737">
        <f t="shared" si="99"/>
        <v>5979</v>
      </c>
      <c r="J109" s="737">
        <f t="shared" si="99"/>
        <v>5761</v>
      </c>
      <c r="K109" s="737">
        <f t="shared" si="99"/>
        <v>5904</v>
      </c>
      <c r="L109" s="737">
        <f t="shared" si="99"/>
        <v>5940</v>
      </c>
      <c r="O109" s="72"/>
      <c r="P109" s="72"/>
      <c r="Q109" s="72"/>
      <c r="R109" s="72"/>
      <c r="S109" s="72"/>
    </row>
    <row r="110" spans="1:19">
      <c r="A110" s="738" t="s">
        <v>6999</v>
      </c>
      <c r="B110" s="739" t="s">
        <v>13219</v>
      </c>
      <c r="C110" s="739" t="s">
        <v>13242</v>
      </c>
      <c r="D110" s="743">
        <v>0</v>
      </c>
      <c r="E110" s="743">
        <v>0</v>
      </c>
      <c r="F110" s="743">
        <v>0</v>
      </c>
      <c r="G110" s="30">
        <v>5472</v>
      </c>
      <c r="H110" s="30">
        <v>5496</v>
      </c>
      <c r="I110" s="30">
        <v>5372</v>
      </c>
      <c r="J110" s="30">
        <v>5099</v>
      </c>
      <c r="K110" s="30">
        <v>5309</v>
      </c>
      <c r="L110" s="30">
        <v>5427</v>
      </c>
      <c r="N110" s="738" t="s">
        <v>3751</v>
      </c>
      <c r="O110" s="72"/>
      <c r="P110" s="72"/>
      <c r="Q110" s="72"/>
      <c r="R110" s="72"/>
      <c r="S110" s="72"/>
    </row>
    <row r="111" spans="1:19">
      <c r="A111" s="738" t="s">
        <v>7001</v>
      </c>
      <c r="B111" s="738" t="s">
        <v>8479</v>
      </c>
      <c r="C111" s="4" t="s">
        <v>13205</v>
      </c>
      <c r="D111" s="743">
        <v>0</v>
      </c>
      <c r="E111" s="743">
        <v>0</v>
      </c>
      <c r="F111" s="743">
        <v>0</v>
      </c>
      <c r="G111" s="30">
        <v>4125</v>
      </c>
      <c r="H111" s="30">
        <v>4138</v>
      </c>
      <c r="I111" s="30">
        <v>4144</v>
      </c>
      <c r="J111" s="30">
        <v>4073</v>
      </c>
      <c r="K111" s="30">
        <v>4136</v>
      </c>
      <c r="L111" s="30">
        <v>4128</v>
      </c>
      <c r="N111" s="739" t="s">
        <v>3751</v>
      </c>
      <c r="O111" s="72"/>
      <c r="P111" s="72"/>
      <c r="Q111" s="72"/>
      <c r="R111" s="72"/>
      <c r="S111" s="72"/>
    </row>
    <row r="112" spans="1:19">
      <c r="A112" s="738" t="s">
        <v>7003</v>
      </c>
      <c r="B112" s="738" t="s">
        <v>8480</v>
      </c>
      <c r="C112" s="4" t="s">
        <v>13206</v>
      </c>
      <c r="D112" s="743">
        <v>7561</v>
      </c>
      <c r="E112" s="743">
        <v>7807</v>
      </c>
      <c r="F112" s="743">
        <v>7751</v>
      </c>
      <c r="G112" s="30">
        <v>1946</v>
      </c>
      <c r="H112" s="30">
        <v>1931</v>
      </c>
      <c r="I112" s="30">
        <v>1959</v>
      </c>
      <c r="J112" s="30">
        <v>1918</v>
      </c>
      <c r="K112" s="30">
        <v>1978</v>
      </c>
      <c r="L112" s="30">
        <v>1973</v>
      </c>
      <c r="N112" s="738" t="s">
        <v>5379</v>
      </c>
      <c r="O112" s="72"/>
      <c r="P112" s="72"/>
      <c r="Q112" s="72"/>
      <c r="R112" s="72"/>
      <c r="S112" s="72"/>
    </row>
    <row r="113" spans="1:19">
      <c r="A113" s="738" t="s">
        <v>7005</v>
      </c>
      <c r="B113" s="738" t="s">
        <v>8481</v>
      </c>
      <c r="C113" s="4" t="s">
        <v>13207</v>
      </c>
      <c r="D113" s="743">
        <v>0</v>
      </c>
      <c r="E113" s="743">
        <v>0</v>
      </c>
      <c r="F113" s="743">
        <v>0</v>
      </c>
      <c r="G113" s="30">
        <v>5039</v>
      </c>
      <c r="H113" s="30">
        <v>4957</v>
      </c>
      <c r="I113" s="30">
        <v>4917</v>
      </c>
      <c r="J113" s="30">
        <v>4476</v>
      </c>
      <c r="K113" s="30">
        <v>4681</v>
      </c>
      <c r="L113" s="30">
        <v>4710</v>
      </c>
      <c r="N113" s="738" t="s">
        <v>3751</v>
      </c>
      <c r="O113" s="72"/>
      <c r="P113" s="72"/>
      <c r="Q113" s="72"/>
      <c r="R113" s="72"/>
      <c r="S113" s="72"/>
    </row>
    <row r="114" spans="1:19">
      <c r="A114" s="738" t="s">
        <v>7007</v>
      </c>
      <c r="B114" s="738" t="s">
        <v>13198</v>
      </c>
      <c r="C114" s="4" t="s">
        <v>13208</v>
      </c>
      <c r="D114" s="743">
        <v>0</v>
      </c>
      <c r="E114" s="743">
        <v>0</v>
      </c>
      <c r="F114" s="743">
        <v>0</v>
      </c>
      <c r="G114" s="30">
        <v>4858</v>
      </c>
      <c r="H114" s="30">
        <v>4931</v>
      </c>
      <c r="I114" s="30">
        <v>4952</v>
      </c>
      <c r="J114" s="30">
        <v>4839</v>
      </c>
      <c r="K114" s="30">
        <v>5155</v>
      </c>
      <c r="L114" s="30">
        <v>5275</v>
      </c>
      <c r="N114" s="738" t="s">
        <v>3751</v>
      </c>
      <c r="O114" s="72"/>
      <c r="P114" s="72"/>
      <c r="Q114" s="72"/>
      <c r="R114" s="72"/>
      <c r="S114" s="72"/>
    </row>
    <row r="115" spans="1:19">
      <c r="A115" s="738" t="s">
        <v>7009</v>
      </c>
      <c r="B115" s="738" t="s">
        <v>7623</v>
      </c>
      <c r="C115" s="4" t="s">
        <v>13209</v>
      </c>
      <c r="D115" s="743">
        <v>0</v>
      </c>
      <c r="E115" s="743">
        <v>0</v>
      </c>
      <c r="F115" s="743">
        <v>0</v>
      </c>
      <c r="G115" s="30">
        <v>5432</v>
      </c>
      <c r="H115" s="30">
        <v>5482</v>
      </c>
      <c r="I115" s="30">
        <v>5521</v>
      </c>
      <c r="J115" s="30">
        <v>5396</v>
      </c>
      <c r="K115" s="30">
        <v>5517</v>
      </c>
      <c r="L115" s="30">
        <v>5473</v>
      </c>
      <c r="N115" s="739" t="s">
        <v>3751</v>
      </c>
      <c r="O115" s="72"/>
      <c r="P115" s="72"/>
      <c r="Q115" s="72"/>
      <c r="R115" s="72"/>
      <c r="S115" s="72"/>
    </row>
    <row r="116" spans="1:19">
      <c r="A116" s="738" t="s">
        <v>7011</v>
      </c>
      <c r="B116" s="738" t="s">
        <v>13200</v>
      </c>
      <c r="C116" s="4" t="s">
        <v>13210</v>
      </c>
      <c r="D116" s="743">
        <v>0</v>
      </c>
      <c r="E116" s="743">
        <v>0</v>
      </c>
      <c r="F116" s="743">
        <v>0</v>
      </c>
      <c r="G116" s="30">
        <v>5387</v>
      </c>
      <c r="H116" s="30">
        <v>5312</v>
      </c>
      <c r="I116" s="30">
        <v>5312</v>
      </c>
      <c r="J116" s="30">
        <v>5170</v>
      </c>
      <c r="K116" s="30">
        <v>5286</v>
      </c>
      <c r="L116" s="30">
        <v>5289</v>
      </c>
      <c r="N116" s="738" t="s">
        <v>3751</v>
      </c>
      <c r="O116" s="72"/>
      <c r="P116" s="72"/>
      <c r="Q116" s="72"/>
      <c r="R116" s="72"/>
      <c r="S116" s="72"/>
    </row>
    <row r="117" spans="1:19">
      <c r="A117" s="738" t="s">
        <v>7013</v>
      </c>
      <c r="B117" s="738" t="s">
        <v>13199</v>
      </c>
      <c r="C117" s="4" t="s">
        <v>13211</v>
      </c>
      <c r="D117" s="743">
        <v>0</v>
      </c>
      <c r="E117" s="743">
        <v>0</v>
      </c>
      <c r="F117" s="743">
        <v>0</v>
      </c>
      <c r="G117" s="30">
        <v>5857</v>
      </c>
      <c r="H117" s="30">
        <v>5811</v>
      </c>
      <c r="I117" s="30">
        <v>5803</v>
      </c>
      <c r="J117" s="31">
        <v>5559</v>
      </c>
      <c r="K117" s="31">
        <v>5681</v>
      </c>
      <c r="L117" s="31">
        <v>5633</v>
      </c>
      <c r="N117" s="738" t="s">
        <v>3751</v>
      </c>
      <c r="O117" s="72"/>
      <c r="P117" s="72"/>
      <c r="Q117" s="72"/>
      <c r="R117" s="72"/>
      <c r="S117" s="72"/>
    </row>
    <row r="118" spans="1:19">
      <c r="A118" s="738" t="s">
        <v>7015</v>
      </c>
      <c r="B118" s="738" t="s">
        <v>13201</v>
      </c>
      <c r="C118" s="4" t="s">
        <v>15562</v>
      </c>
      <c r="D118" s="743">
        <v>0</v>
      </c>
      <c r="E118" s="743">
        <v>0</v>
      </c>
      <c r="F118" s="743">
        <v>0</v>
      </c>
      <c r="G118" s="31">
        <v>5418</v>
      </c>
      <c r="H118" s="31">
        <v>5598</v>
      </c>
      <c r="I118" s="31">
        <v>5614</v>
      </c>
      <c r="J118" s="31">
        <v>5439</v>
      </c>
      <c r="K118" s="31">
        <v>5676</v>
      </c>
      <c r="L118" s="31">
        <v>5712</v>
      </c>
      <c r="N118" s="738" t="s">
        <v>3751</v>
      </c>
      <c r="O118" s="4"/>
      <c r="Q118" s="4"/>
    </row>
    <row r="119" spans="1:19">
      <c r="A119" s="738" t="s">
        <v>7017</v>
      </c>
      <c r="B119" s="738" t="s">
        <v>13202</v>
      </c>
      <c r="C119" s="4" t="s">
        <v>13212</v>
      </c>
      <c r="D119" s="743">
        <v>0</v>
      </c>
      <c r="E119" s="743">
        <v>0</v>
      </c>
      <c r="F119" s="743">
        <v>0</v>
      </c>
      <c r="G119" s="31">
        <v>2036</v>
      </c>
      <c r="H119" s="31">
        <v>2058</v>
      </c>
      <c r="I119" s="31">
        <v>2060</v>
      </c>
      <c r="J119" s="31">
        <v>1990</v>
      </c>
      <c r="K119" s="31">
        <v>2018</v>
      </c>
      <c r="L119" s="31">
        <v>1994</v>
      </c>
      <c r="N119" s="738" t="s">
        <v>3751</v>
      </c>
      <c r="O119" s="4"/>
      <c r="Q119" s="4"/>
    </row>
    <row r="120" spans="1:19">
      <c r="A120" s="738"/>
      <c r="D120" s="743"/>
      <c r="E120" s="743"/>
      <c r="F120" s="743"/>
      <c r="G120" s="743"/>
      <c r="H120" s="743"/>
      <c r="I120" s="743"/>
      <c r="J120" s="743"/>
      <c r="K120" s="743"/>
      <c r="L120" s="743"/>
    </row>
    <row r="121" spans="1:19">
      <c r="A121" s="739" t="s">
        <v>7624</v>
      </c>
      <c r="D121" s="741">
        <f>D100+D107+D112</f>
        <v>7561</v>
      </c>
      <c r="E121" s="741">
        <f t="shared" ref="E121:J121" si="100">E100+E107+E112</f>
        <v>7807</v>
      </c>
      <c r="F121" s="741">
        <f t="shared" si="100"/>
        <v>7751</v>
      </c>
      <c r="G121" s="741">
        <f t="shared" si="100"/>
        <v>7799</v>
      </c>
      <c r="H121" s="741">
        <f t="shared" si="100"/>
        <v>7764</v>
      </c>
      <c r="I121" s="741">
        <f t="shared" si="100"/>
        <v>7828</v>
      </c>
      <c r="J121" s="741">
        <f t="shared" si="100"/>
        <v>7625</v>
      </c>
      <c r="K121" s="741">
        <f t="shared" ref="K121:L121" si="101">K100+K107+K112</f>
        <v>7820</v>
      </c>
      <c r="L121" s="741">
        <f t="shared" si="101"/>
        <v>7880</v>
      </c>
    </row>
    <row r="122" spans="1:19">
      <c r="A122" s="738" t="s">
        <v>7625</v>
      </c>
      <c r="D122" s="741">
        <f>D101+SUM(D103:D106)+D108+D110+D111+SUM(D113:D119)</f>
        <v>63617</v>
      </c>
      <c r="E122" s="741">
        <f t="shared" ref="E122:J122" si="102">E101+SUM(E103:E106)+E108+E110+E111+SUM(E113:E119)</f>
        <v>64797</v>
      </c>
      <c r="F122" s="741">
        <f t="shared" si="102"/>
        <v>64675</v>
      </c>
      <c r="G122" s="741">
        <f t="shared" si="102"/>
        <v>65270</v>
      </c>
      <c r="H122" s="741">
        <f t="shared" si="102"/>
        <v>65598</v>
      </c>
      <c r="I122" s="741">
        <f t="shared" si="102"/>
        <v>65565</v>
      </c>
      <c r="J122" s="741">
        <f t="shared" si="102"/>
        <v>63562</v>
      </c>
      <c r="K122" s="741">
        <f t="shared" ref="K122:L122" si="103">K101+SUM(K103:K106)+K108+K110+K111+SUM(K113:K119)</f>
        <v>65719</v>
      </c>
      <c r="L122" s="741">
        <f t="shared" si="103"/>
        <v>66125</v>
      </c>
    </row>
    <row r="123" spans="1:19">
      <c r="A123" s="738"/>
      <c r="B123" s="738"/>
      <c r="D123" s="749"/>
      <c r="E123" s="749"/>
      <c r="F123" s="749"/>
      <c r="G123" s="749"/>
      <c r="H123" s="749"/>
      <c r="I123" s="749"/>
      <c r="J123" s="749"/>
      <c r="K123" s="749"/>
      <c r="L123" s="749"/>
    </row>
    <row r="124" spans="1:19">
      <c r="A124" s="738" t="s">
        <v>15563</v>
      </c>
      <c r="B124" s="738"/>
      <c r="D124" s="749"/>
      <c r="E124" s="749"/>
      <c r="F124" s="749"/>
      <c r="G124" s="749"/>
      <c r="H124" s="749"/>
      <c r="I124" s="749"/>
      <c r="J124" s="749"/>
      <c r="K124" s="749"/>
      <c r="L124" s="749"/>
    </row>
    <row r="125" spans="1:19">
      <c r="A125" s="738" t="s">
        <v>15564</v>
      </c>
      <c r="B125" s="738"/>
      <c r="D125" s="749"/>
      <c r="E125" s="749"/>
      <c r="F125" s="749"/>
      <c r="G125" s="749"/>
      <c r="H125" s="749"/>
      <c r="I125" s="749"/>
      <c r="J125" s="749"/>
      <c r="K125" s="749"/>
      <c r="L125" s="749"/>
    </row>
    <row r="126" spans="1:19">
      <c r="A126" s="738"/>
      <c r="B126" s="738"/>
      <c r="D126" s="749"/>
      <c r="E126" s="749"/>
      <c r="F126" s="749"/>
      <c r="G126" s="749"/>
      <c r="H126" s="749"/>
      <c r="I126" s="749"/>
      <c r="J126" s="749"/>
      <c r="K126" s="749"/>
      <c r="L126" s="749"/>
    </row>
    <row r="127" spans="1:19">
      <c r="A127" s="738"/>
      <c r="B127" s="738"/>
      <c r="D127" s="749"/>
      <c r="E127" s="749"/>
      <c r="F127" s="749"/>
      <c r="G127" s="749"/>
      <c r="H127" s="749"/>
      <c r="I127" s="749"/>
      <c r="J127" s="749"/>
      <c r="K127" s="749"/>
      <c r="L127" s="749"/>
    </row>
    <row r="128" spans="1:19">
      <c r="A128" s="738"/>
      <c r="E128" s="42" t="s">
        <v>2303</v>
      </c>
      <c r="F128" s="42"/>
      <c r="G128" s="42"/>
      <c r="H128" s="42"/>
      <c r="I128" s="42"/>
      <c r="J128" s="42"/>
      <c r="K128" s="42"/>
      <c r="L128" s="42"/>
      <c r="M128" s="109"/>
      <c r="N128" s="109" t="s">
        <v>13319</v>
      </c>
    </row>
    <row r="129" spans="1:17">
      <c r="D129" s="727">
        <v>2010</v>
      </c>
      <c r="E129" s="727">
        <v>2011</v>
      </c>
      <c r="F129" s="727">
        <v>2012</v>
      </c>
      <c r="G129" s="727">
        <v>2013</v>
      </c>
      <c r="H129" s="727">
        <v>2014</v>
      </c>
      <c r="I129" s="727">
        <v>2015</v>
      </c>
      <c r="J129" s="727">
        <v>2016</v>
      </c>
      <c r="K129" s="727">
        <v>2017</v>
      </c>
      <c r="L129" s="727">
        <v>2018</v>
      </c>
      <c r="M129" s="726"/>
      <c r="N129" s="112" t="s">
        <v>2304</v>
      </c>
    </row>
    <row r="130" spans="1:17">
      <c r="A130" s="738" t="s">
        <v>16283</v>
      </c>
      <c r="D130" s="741">
        <f t="shared" ref="D130:I130" si="104">SUM(D131:D147)+SUM(D149:D154)+SUM(D156:D160)+SUM(D162:D171)+D173+D174</f>
        <v>94499</v>
      </c>
      <c r="E130" s="741">
        <f t="shared" si="104"/>
        <v>93887</v>
      </c>
      <c r="F130" s="741">
        <f t="shared" si="104"/>
        <v>95227</v>
      </c>
      <c r="G130" s="741">
        <f t="shared" si="104"/>
        <v>96193</v>
      </c>
      <c r="H130" s="741">
        <f t="shared" si="104"/>
        <v>96494</v>
      </c>
      <c r="I130" s="741">
        <f t="shared" si="104"/>
        <v>95396</v>
      </c>
      <c r="J130" s="741">
        <f>SUM(J131:J147)+SUM(J149:J154)+SUM(J156:J160)+SUM(J162:J171)+J173+J174</f>
        <v>94292</v>
      </c>
      <c r="K130" s="741">
        <f>SUM(K131:K147)+SUM(K149:K154)+SUM(K156:K160)+SUM(K162:K171)+K173+K174</f>
        <v>97284</v>
      </c>
      <c r="L130" s="741">
        <f>SUM(L131:L147)+SUM(L149:L154)+SUM(L156:L160)+SUM(L162:L171)+L173+L174</f>
        <v>97272</v>
      </c>
    </row>
    <row r="131" spans="1:17">
      <c r="A131" s="738" t="s">
        <v>6957</v>
      </c>
      <c r="B131" s="738" t="s">
        <v>15565</v>
      </c>
      <c r="C131" s="4" t="s">
        <v>15567</v>
      </c>
      <c r="D131" s="743">
        <v>69366</v>
      </c>
      <c r="E131" s="743">
        <v>69108</v>
      </c>
      <c r="F131" s="743">
        <v>69946</v>
      </c>
      <c r="G131" s="743">
        <v>70529</v>
      </c>
      <c r="H131" s="30">
        <v>70830</v>
      </c>
      <c r="I131" s="30">
        <v>70006</v>
      </c>
      <c r="J131" s="30">
        <v>3005</v>
      </c>
      <c r="K131" s="30">
        <v>3056</v>
      </c>
      <c r="L131" s="30">
        <v>2972</v>
      </c>
      <c r="N131" s="738" t="s">
        <v>4913</v>
      </c>
      <c r="O131" s="4"/>
      <c r="Q131" s="4"/>
    </row>
    <row r="132" spans="1:17">
      <c r="A132" s="738" t="s">
        <v>6959</v>
      </c>
      <c r="B132" s="738" t="s">
        <v>15566</v>
      </c>
      <c r="C132" s="4" t="s">
        <v>15594</v>
      </c>
      <c r="D132" s="743">
        <v>0</v>
      </c>
      <c r="E132" s="743">
        <v>0</v>
      </c>
      <c r="F132" s="743">
        <v>0</v>
      </c>
      <c r="G132" s="743">
        <v>0</v>
      </c>
      <c r="H132" s="30">
        <v>0</v>
      </c>
      <c r="I132" s="30">
        <v>0</v>
      </c>
      <c r="J132" s="30">
        <v>2878</v>
      </c>
      <c r="K132" s="30">
        <v>2927</v>
      </c>
      <c r="L132" s="30">
        <v>2896</v>
      </c>
      <c r="N132" s="738" t="s">
        <v>4913</v>
      </c>
      <c r="O132" s="4"/>
      <c r="P132" s="70"/>
      <c r="Q132" s="4"/>
    </row>
    <row r="133" spans="1:17">
      <c r="A133" s="738" t="s">
        <v>6961</v>
      </c>
      <c r="B133" s="738" t="s">
        <v>2519</v>
      </c>
      <c r="C133" s="4" t="s">
        <v>15595</v>
      </c>
      <c r="D133" s="743">
        <v>0</v>
      </c>
      <c r="E133" s="743">
        <v>0</v>
      </c>
      <c r="F133" s="743">
        <v>0</v>
      </c>
      <c r="G133" s="743">
        <v>0</v>
      </c>
      <c r="H133" s="30">
        <v>0</v>
      </c>
      <c r="I133" s="30">
        <v>0</v>
      </c>
      <c r="J133" s="30">
        <v>1902</v>
      </c>
      <c r="K133" s="30">
        <v>1985</v>
      </c>
      <c r="L133" s="30">
        <v>2092</v>
      </c>
      <c r="N133" s="738" t="s">
        <v>4913</v>
      </c>
      <c r="O133" s="4"/>
      <c r="P133" s="70"/>
      <c r="Q133" s="4"/>
    </row>
    <row r="134" spans="1:17">
      <c r="A134" s="738" t="s">
        <v>6963</v>
      </c>
      <c r="B134" s="738" t="s">
        <v>15568</v>
      </c>
      <c r="C134" s="4" t="s">
        <v>15596</v>
      </c>
      <c r="D134" s="743">
        <v>0</v>
      </c>
      <c r="E134" s="743">
        <v>0</v>
      </c>
      <c r="F134" s="743">
        <v>0</v>
      </c>
      <c r="G134" s="743">
        <v>0</v>
      </c>
      <c r="H134" s="30">
        <v>0</v>
      </c>
      <c r="I134" s="30">
        <v>0</v>
      </c>
      <c r="J134" s="30">
        <v>2664</v>
      </c>
      <c r="K134" s="30">
        <v>2886</v>
      </c>
      <c r="L134" s="30">
        <v>2978</v>
      </c>
      <c r="N134" s="738" t="s">
        <v>4913</v>
      </c>
      <c r="O134" s="4"/>
      <c r="P134" s="70"/>
      <c r="Q134" s="4"/>
    </row>
    <row r="135" spans="1:17">
      <c r="A135" s="738" t="s">
        <v>6965</v>
      </c>
      <c r="B135" s="739" t="s">
        <v>15569</v>
      </c>
      <c r="C135" s="4" t="s">
        <v>15597</v>
      </c>
      <c r="D135" s="743">
        <v>0</v>
      </c>
      <c r="E135" s="743">
        <v>0</v>
      </c>
      <c r="F135" s="743">
        <v>0</v>
      </c>
      <c r="G135" s="743">
        <v>0</v>
      </c>
      <c r="H135" s="30">
        <v>0</v>
      </c>
      <c r="I135" s="30">
        <v>0</v>
      </c>
      <c r="J135" s="31">
        <v>2592</v>
      </c>
      <c r="K135" s="31">
        <v>2628</v>
      </c>
      <c r="L135" s="31">
        <v>2705</v>
      </c>
      <c r="N135" s="738" t="s">
        <v>4913</v>
      </c>
      <c r="O135" s="4"/>
      <c r="P135" s="70"/>
      <c r="Q135" s="4"/>
    </row>
    <row r="136" spans="1:17">
      <c r="A136" s="738" t="s">
        <v>6997</v>
      </c>
      <c r="B136" s="738" t="s">
        <v>15570</v>
      </c>
      <c r="C136" s="4" t="s">
        <v>15598</v>
      </c>
      <c r="D136" s="743">
        <v>25133</v>
      </c>
      <c r="E136" s="743">
        <v>24779</v>
      </c>
      <c r="F136" s="743">
        <v>25281</v>
      </c>
      <c r="G136" s="743">
        <v>25664</v>
      </c>
      <c r="H136" s="30">
        <v>25664</v>
      </c>
      <c r="I136" s="30">
        <v>25390</v>
      </c>
      <c r="J136" s="30">
        <v>2771</v>
      </c>
      <c r="K136" s="30">
        <v>2978</v>
      </c>
      <c r="L136" s="30">
        <v>3001</v>
      </c>
      <c r="N136" s="739" t="s">
        <v>5379</v>
      </c>
      <c r="O136" s="4"/>
      <c r="P136" s="70"/>
      <c r="Q136" s="4"/>
    </row>
    <row r="137" spans="1:17">
      <c r="A137" s="738" t="s">
        <v>6999</v>
      </c>
      <c r="B137" s="738" t="s">
        <v>15571</v>
      </c>
      <c r="C137" s="4" t="s">
        <v>15599</v>
      </c>
      <c r="D137" s="743">
        <v>0</v>
      </c>
      <c r="E137" s="743">
        <v>0</v>
      </c>
      <c r="F137" s="743">
        <v>0</v>
      </c>
      <c r="G137" s="743">
        <v>0</v>
      </c>
      <c r="H137" s="30">
        <v>0</v>
      </c>
      <c r="I137" s="30">
        <v>0</v>
      </c>
      <c r="J137" s="31">
        <v>2488</v>
      </c>
      <c r="K137" s="31">
        <v>2507</v>
      </c>
      <c r="L137" s="31">
        <v>2401</v>
      </c>
      <c r="N137" s="738" t="s">
        <v>4913</v>
      </c>
      <c r="O137" s="4"/>
      <c r="P137" s="70"/>
      <c r="Q137" s="4"/>
    </row>
    <row r="138" spans="1:17">
      <c r="A138" s="738" t="s">
        <v>7001</v>
      </c>
      <c r="B138" s="738" t="s">
        <v>15572</v>
      </c>
      <c r="C138" s="4" t="s">
        <v>15600</v>
      </c>
      <c r="D138" s="743">
        <v>0</v>
      </c>
      <c r="E138" s="743">
        <v>0</v>
      </c>
      <c r="F138" s="743">
        <v>0</v>
      </c>
      <c r="G138" s="743">
        <v>0</v>
      </c>
      <c r="H138" s="743">
        <v>0</v>
      </c>
      <c r="I138" s="31">
        <v>0</v>
      </c>
      <c r="J138" s="31">
        <v>2764</v>
      </c>
      <c r="K138" s="31">
        <v>2816</v>
      </c>
      <c r="L138" s="31">
        <v>2758</v>
      </c>
      <c r="N138" s="739" t="s">
        <v>4913</v>
      </c>
      <c r="O138" s="4"/>
      <c r="Q138" s="4"/>
    </row>
    <row r="139" spans="1:17">
      <c r="A139" s="738" t="s">
        <v>7003</v>
      </c>
      <c r="B139" s="738" t="s">
        <v>15573</v>
      </c>
      <c r="C139" s="4" t="s">
        <v>15601</v>
      </c>
      <c r="D139" s="743">
        <v>0</v>
      </c>
      <c r="E139" s="743">
        <v>0</v>
      </c>
      <c r="F139" s="743">
        <v>0</v>
      </c>
      <c r="G139" s="743">
        <v>0</v>
      </c>
      <c r="H139" s="743">
        <v>0</v>
      </c>
      <c r="I139" s="31">
        <v>0</v>
      </c>
      <c r="J139" s="31">
        <v>3024</v>
      </c>
      <c r="K139" s="31">
        <v>3079</v>
      </c>
      <c r="L139" s="31">
        <v>3025</v>
      </c>
      <c r="N139" s="739" t="s">
        <v>4913</v>
      </c>
      <c r="O139" s="4"/>
      <c r="Q139" s="4"/>
    </row>
    <row r="140" spans="1:17">
      <c r="A140" s="738" t="s">
        <v>7005</v>
      </c>
      <c r="B140" s="738" t="s">
        <v>15574</v>
      </c>
      <c r="C140" s="4" t="s">
        <v>15602</v>
      </c>
      <c r="D140" s="743">
        <v>0</v>
      </c>
      <c r="E140" s="743">
        <v>0</v>
      </c>
      <c r="F140" s="743">
        <v>0</v>
      </c>
      <c r="G140" s="743">
        <v>0</v>
      </c>
      <c r="H140" s="743">
        <v>0</v>
      </c>
      <c r="I140" s="31">
        <v>0</v>
      </c>
      <c r="J140" s="31">
        <v>1690</v>
      </c>
      <c r="K140" s="31">
        <v>1676</v>
      </c>
      <c r="L140" s="31">
        <v>1648</v>
      </c>
      <c r="N140" s="739" t="s">
        <v>4913</v>
      </c>
      <c r="O140" s="4"/>
      <c r="Q140" s="4"/>
    </row>
    <row r="141" spans="1:17">
      <c r="A141" s="738" t="s">
        <v>7007</v>
      </c>
      <c r="B141" s="738" t="s">
        <v>7627</v>
      </c>
      <c r="C141" s="4" t="s">
        <v>15603</v>
      </c>
      <c r="D141" s="743">
        <v>0</v>
      </c>
      <c r="E141" s="743">
        <v>0</v>
      </c>
      <c r="F141" s="743">
        <v>0</v>
      </c>
      <c r="G141" s="743">
        <v>0</v>
      </c>
      <c r="H141" s="743">
        <v>0</v>
      </c>
      <c r="I141" s="31">
        <v>0</v>
      </c>
      <c r="J141" s="31">
        <v>2703</v>
      </c>
      <c r="K141" s="31">
        <v>2731</v>
      </c>
      <c r="L141" s="31">
        <v>2725</v>
      </c>
      <c r="N141" s="739" t="s">
        <v>4913</v>
      </c>
      <c r="O141" s="4"/>
      <c r="Q141" s="4"/>
    </row>
    <row r="142" spans="1:17">
      <c r="A142" s="748">
        <v>12</v>
      </c>
      <c r="B142" s="738" t="s">
        <v>8236</v>
      </c>
      <c r="C142" s="4" t="s">
        <v>15604</v>
      </c>
      <c r="D142" s="743">
        <v>0</v>
      </c>
      <c r="E142" s="743">
        <v>0</v>
      </c>
      <c r="F142" s="743">
        <v>0</v>
      </c>
      <c r="G142" s="743">
        <v>0</v>
      </c>
      <c r="H142" s="743">
        <v>0</v>
      </c>
      <c r="I142" s="31">
        <v>0</v>
      </c>
      <c r="J142" s="31">
        <v>2457</v>
      </c>
      <c r="K142" s="31">
        <v>2551</v>
      </c>
      <c r="L142" s="31">
        <v>2504</v>
      </c>
      <c r="N142" s="739" t="s">
        <v>4913</v>
      </c>
      <c r="O142" s="4"/>
      <c r="Q142" s="4"/>
    </row>
    <row r="143" spans="1:17">
      <c r="A143" s="748">
        <v>13</v>
      </c>
      <c r="B143" s="738" t="s">
        <v>7628</v>
      </c>
      <c r="C143" s="4" t="s">
        <v>15605</v>
      </c>
      <c r="D143" s="743">
        <v>0</v>
      </c>
      <c r="E143" s="743">
        <v>0</v>
      </c>
      <c r="F143" s="743">
        <v>0</v>
      </c>
      <c r="G143" s="743">
        <v>0</v>
      </c>
      <c r="H143" s="743">
        <v>0</v>
      </c>
      <c r="I143" s="31">
        <v>0</v>
      </c>
      <c r="J143" s="30">
        <v>2649</v>
      </c>
      <c r="K143" s="30">
        <v>2715</v>
      </c>
      <c r="L143" s="30">
        <v>2694</v>
      </c>
      <c r="N143" s="739" t="s">
        <v>5379</v>
      </c>
      <c r="O143" s="4"/>
      <c r="Q143" s="4"/>
    </row>
    <row r="144" spans="1:17">
      <c r="A144" s="748">
        <v>14</v>
      </c>
      <c r="B144" s="738" t="s">
        <v>15575</v>
      </c>
      <c r="C144" s="4" t="s">
        <v>15606</v>
      </c>
      <c r="D144" s="743">
        <v>0</v>
      </c>
      <c r="E144" s="743">
        <v>0</v>
      </c>
      <c r="F144" s="743">
        <v>0</v>
      </c>
      <c r="G144" s="743">
        <v>0</v>
      </c>
      <c r="H144" s="743">
        <v>0</v>
      </c>
      <c r="I144" s="31">
        <v>0</v>
      </c>
      <c r="J144" s="31">
        <v>2023</v>
      </c>
      <c r="K144" s="31">
        <v>2086</v>
      </c>
      <c r="L144" s="31">
        <v>2088</v>
      </c>
      <c r="N144" s="739" t="s">
        <v>4913</v>
      </c>
      <c r="O144" s="4"/>
      <c r="Q144" s="4"/>
    </row>
    <row r="145" spans="1:17">
      <c r="A145" s="748">
        <v>15</v>
      </c>
      <c r="B145" s="738" t="s">
        <v>15576</v>
      </c>
      <c r="C145" s="4" t="s">
        <v>15607</v>
      </c>
      <c r="D145" s="743">
        <v>0</v>
      </c>
      <c r="E145" s="743">
        <v>0</v>
      </c>
      <c r="F145" s="743">
        <v>0</v>
      </c>
      <c r="G145" s="743">
        <v>0</v>
      </c>
      <c r="H145" s="743">
        <v>0</v>
      </c>
      <c r="I145" s="31">
        <v>0</v>
      </c>
      <c r="J145" s="31">
        <v>3147</v>
      </c>
      <c r="K145" s="31">
        <v>3188</v>
      </c>
      <c r="L145" s="31">
        <v>3144</v>
      </c>
      <c r="N145" s="739" t="s">
        <v>4913</v>
      </c>
      <c r="O145" s="4"/>
      <c r="Q145" s="4"/>
    </row>
    <row r="146" spans="1:17">
      <c r="A146" s="748">
        <v>16</v>
      </c>
      <c r="B146" s="738" t="s">
        <v>7630</v>
      </c>
      <c r="C146" s="4" t="s">
        <v>15608</v>
      </c>
      <c r="D146" s="743">
        <v>0</v>
      </c>
      <c r="E146" s="743">
        <v>0</v>
      </c>
      <c r="F146" s="743">
        <v>0</v>
      </c>
      <c r="G146" s="743">
        <v>0</v>
      </c>
      <c r="H146" s="743">
        <v>0</v>
      </c>
      <c r="I146" s="31">
        <v>0</v>
      </c>
      <c r="J146" s="30">
        <v>2525</v>
      </c>
      <c r="K146" s="30">
        <v>2593</v>
      </c>
      <c r="L146" s="30">
        <v>2647</v>
      </c>
      <c r="N146" s="739" t="s">
        <v>5379</v>
      </c>
      <c r="O146" s="4"/>
      <c r="Q146" s="4"/>
    </row>
    <row r="147" spans="1:17" ht="15.75" thickBot="1">
      <c r="B147" s="738"/>
      <c r="C147" s="4" t="s">
        <v>15608</v>
      </c>
      <c r="D147" s="743">
        <v>0</v>
      </c>
      <c r="E147" s="743">
        <v>0</v>
      </c>
      <c r="F147" s="743">
        <v>0</v>
      </c>
      <c r="G147" s="743">
        <v>0</v>
      </c>
      <c r="H147" s="31">
        <v>0</v>
      </c>
      <c r="I147" s="31">
        <v>0</v>
      </c>
      <c r="J147" s="31">
        <v>195</v>
      </c>
      <c r="K147" s="31">
        <v>202</v>
      </c>
      <c r="L147" s="31">
        <v>201</v>
      </c>
      <c r="N147" s="738" t="s">
        <v>4913</v>
      </c>
    </row>
    <row r="148" spans="1:17" ht="15.75" thickBot="1">
      <c r="A148" s="738"/>
      <c r="C148" s="4" t="s">
        <v>15608</v>
      </c>
      <c r="D148" s="737">
        <f t="shared" ref="D148:L148" si="105">D138+D147</f>
        <v>0</v>
      </c>
      <c r="E148" s="737">
        <f t="shared" si="105"/>
        <v>0</v>
      </c>
      <c r="F148" s="737">
        <f t="shared" si="105"/>
        <v>0</v>
      </c>
      <c r="G148" s="737">
        <f t="shared" si="105"/>
        <v>0</v>
      </c>
      <c r="H148" s="737">
        <f t="shared" si="105"/>
        <v>0</v>
      </c>
      <c r="I148" s="737">
        <f t="shared" si="105"/>
        <v>0</v>
      </c>
      <c r="J148" s="737">
        <f t="shared" si="105"/>
        <v>2959</v>
      </c>
      <c r="K148" s="737">
        <f t="shared" si="105"/>
        <v>3018</v>
      </c>
      <c r="L148" s="737">
        <f t="shared" si="105"/>
        <v>2959</v>
      </c>
      <c r="N148" s="738"/>
    </row>
    <row r="149" spans="1:17">
      <c r="A149" s="748">
        <v>17</v>
      </c>
      <c r="B149" s="738" t="s">
        <v>7631</v>
      </c>
      <c r="C149" s="4" t="s">
        <v>15609</v>
      </c>
      <c r="D149" s="743">
        <v>0</v>
      </c>
      <c r="E149" s="743">
        <v>0</v>
      </c>
      <c r="F149" s="743">
        <v>0</v>
      </c>
      <c r="G149" s="743">
        <v>0</v>
      </c>
      <c r="H149" s="30">
        <v>0</v>
      </c>
      <c r="I149" s="30">
        <v>0</v>
      </c>
      <c r="J149" s="31">
        <v>2229</v>
      </c>
      <c r="K149" s="31">
        <v>2325</v>
      </c>
      <c r="L149" s="31">
        <v>2297</v>
      </c>
      <c r="N149" s="739" t="s">
        <v>4913</v>
      </c>
      <c r="P149" s="71"/>
    </row>
    <row r="150" spans="1:17">
      <c r="A150" s="748">
        <v>18</v>
      </c>
      <c r="B150" s="738" t="s">
        <v>15577</v>
      </c>
      <c r="C150" s="4" t="s">
        <v>15610</v>
      </c>
      <c r="D150" s="743">
        <v>0</v>
      </c>
      <c r="E150" s="743">
        <v>0</v>
      </c>
      <c r="F150" s="743">
        <v>0</v>
      </c>
      <c r="G150" s="743">
        <v>0</v>
      </c>
      <c r="H150" s="30">
        <v>0</v>
      </c>
      <c r="I150" s="30">
        <v>0</v>
      </c>
      <c r="J150" s="30">
        <v>2949</v>
      </c>
      <c r="K150" s="30">
        <v>3018</v>
      </c>
      <c r="L150" s="30">
        <v>3076</v>
      </c>
      <c r="N150" s="739" t="s">
        <v>5379</v>
      </c>
      <c r="O150" s="4"/>
      <c r="P150" s="70"/>
      <c r="Q150" s="4"/>
    </row>
    <row r="151" spans="1:17">
      <c r="A151" s="748">
        <v>19</v>
      </c>
      <c r="B151" s="738" t="s">
        <v>15578</v>
      </c>
      <c r="C151" s="4" t="s">
        <v>15611</v>
      </c>
      <c r="D151" s="743">
        <v>0</v>
      </c>
      <c r="E151" s="743">
        <v>0</v>
      </c>
      <c r="F151" s="743">
        <v>0</v>
      </c>
      <c r="G151" s="743">
        <v>0</v>
      </c>
      <c r="H151" s="30">
        <v>0</v>
      </c>
      <c r="I151" s="30">
        <v>0</v>
      </c>
      <c r="J151" s="30">
        <v>2548</v>
      </c>
      <c r="K151" s="30">
        <v>2607</v>
      </c>
      <c r="L151" s="30">
        <v>2575</v>
      </c>
      <c r="N151" s="738" t="s">
        <v>5379</v>
      </c>
      <c r="O151" s="4"/>
      <c r="P151" s="70"/>
      <c r="Q151" s="4"/>
    </row>
    <row r="152" spans="1:17">
      <c r="A152" s="748">
        <v>20</v>
      </c>
      <c r="B152" s="738" t="s">
        <v>7632</v>
      </c>
      <c r="C152" s="4" t="s">
        <v>15612</v>
      </c>
      <c r="D152" s="743">
        <v>0</v>
      </c>
      <c r="E152" s="743">
        <v>0</v>
      </c>
      <c r="F152" s="743">
        <v>0</v>
      </c>
      <c r="G152" s="743">
        <v>0</v>
      </c>
      <c r="H152" s="30">
        <v>0</v>
      </c>
      <c r="I152" s="30">
        <v>0</v>
      </c>
      <c r="J152" s="31">
        <v>2360</v>
      </c>
      <c r="K152" s="31">
        <v>2594</v>
      </c>
      <c r="L152" s="31">
        <v>2609</v>
      </c>
      <c r="N152" s="739" t="s">
        <v>4913</v>
      </c>
      <c r="O152" s="4"/>
      <c r="P152" s="71"/>
      <c r="Q152" s="4"/>
    </row>
    <row r="153" spans="1:17">
      <c r="A153" s="748">
        <v>21</v>
      </c>
      <c r="B153" s="738" t="s">
        <v>15579</v>
      </c>
      <c r="C153" s="4" t="s">
        <v>15613</v>
      </c>
      <c r="D153" s="743">
        <v>0</v>
      </c>
      <c r="E153" s="743">
        <v>0</v>
      </c>
      <c r="F153" s="743">
        <v>0</v>
      </c>
      <c r="G153" s="743">
        <v>0</v>
      </c>
      <c r="H153" s="743">
        <v>0</v>
      </c>
      <c r="I153" s="31">
        <v>0</v>
      </c>
      <c r="J153" s="30">
        <v>1328</v>
      </c>
      <c r="K153" s="30">
        <v>1360</v>
      </c>
      <c r="L153" s="30">
        <v>1360</v>
      </c>
      <c r="N153" s="739" t="s">
        <v>5379</v>
      </c>
      <c r="O153" s="4"/>
      <c r="P153" s="70"/>
      <c r="Q153" s="4"/>
    </row>
    <row r="154" spans="1:17" ht="15.75" thickBot="1">
      <c r="B154" s="738"/>
      <c r="C154" s="4" t="s">
        <v>15613</v>
      </c>
      <c r="D154" s="751">
        <v>0</v>
      </c>
      <c r="E154" s="751">
        <v>0</v>
      </c>
      <c r="F154" s="751">
        <v>0</v>
      </c>
      <c r="G154" s="751">
        <v>0</v>
      </c>
      <c r="H154" s="31">
        <v>0</v>
      </c>
      <c r="I154" s="31">
        <v>0</v>
      </c>
      <c r="J154" s="31">
        <v>1311</v>
      </c>
      <c r="K154" s="31">
        <v>1345</v>
      </c>
      <c r="L154" s="31">
        <v>1320</v>
      </c>
      <c r="N154" s="738" t="s">
        <v>4913</v>
      </c>
      <c r="O154" s="4"/>
      <c r="P154" s="71"/>
      <c r="Q154" s="4"/>
    </row>
    <row r="155" spans="1:17" ht="15.75" thickBot="1">
      <c r="B155" s="738"/>
      <c r="C155" s="4" t="s">
        <v>15613</v>
      </c>
      <c r="D155" s="737">
        <f t="shared" ref="D155:L155" si="106">D153+D154</f>
        <v>0</v>
      </c>
      <c r="E155" s="737">
        <f t="shared" si="106"/>
        <v>0</v>
      </c>
      <c r="F155" s="737">
        <f t="shared" si="106"/>
        <v>0</v>
      </c>
      <c r="G155" s="737">
        <f t="shared" si="106"/>
        <v>0</v>
      </c>
      <c r="H155" s="737">
        <f t="shared" si="106"/>
        <v>0</v>
      </c>
      <c r="I155" s="737">
        <f t="shared" si="106"/>
        <v>0</v>
      </c>
      <c r="J155" s="737">
        <f t="shared" si="106"/>
        <v>2639</v>
      </c>
      <c r="K155" s="737">
        <f t="shared" si="106"/>
        <v>2705</v>
      </c>
      <c r="L155" s="737">
        <f t="shared" si="106"/>
        <v>2680</v>
      </c>
      <c r="N155" s="738"/>
      <c r="O155" s="4"/>
      <c r="P155" s="71"/>
      <c r="Q155" s="4"/>
    </row>
    <row r="156" spans="1:17">
      <c r="A156" s="748">
        <v>22</v>
      </c>
      <c r="B156" s="738" t="s">
        <v>15580</v>
      </c>
      <c r="C156" s="4" t="s">
        <v>15614</v>
      </c>
      <c r="D156" s="743">
        <v>0</v>
      </c>
      <c r="E156" s="743">
        <v>0</v>
      </c>
      <c r="F156" s="743">
        <v>0</v>
      </c>
      <c r="G156" s="743">
        <v>0</v>
      </c>
      <c r="H156" s="30">
        <v>0</v>
      </c>
      <c r="I156" s="30">
        <v>0</v>
      </c>
      <c r="J156" s="31">
        <v>2846</v>
      </c>
      <c r="K156" s="31">
        <v>2921</v>
      </c>
      <c r="L156" s="31">
        <v>2883</v>
      </c>
      <c r="N156" s="738" t="s">
        <v>4913</v>
      </c>
      <c r="O156" s="4"/>
      <c r="P156" s="71"/>
      <c r="Q156" s="4"/>
    </row>
    <row r="157" spans="1:17">
      <c r="A157" s="748">
        <v>23</v>
      </c>
      <c r="B157" s="738" t="s">
        <v>15581</v>
      </c>
      <c r="C157" s="4" t="s">
        <v>15615</v>
      </c>
      <c r="D157" s="743">
        <v>0</v>
      </c>
      <c r="E157" s="743">
        <v>0</v>
      </c>
      <c r="F157" s="743">
        <v>0</v>
      </c>
      <c r="G157" s="743">
        <v>0</v>
      </c>
      <c r="H157" s="30">
        <v>0</v>
      </c>
      <c r="I157" s="30">
        <v>0</v>
      </c>
      <c r="J157" s="31">
        <v>2801</v>
      </c>
      <c r="K157" s="31">
        <v>2829</v>
      </c>
      <c r="L157" s="31">
        <v>2762</v>
      </c>
      <c r="N157" s="739" t="s">
        <v>4913</v>
      </c>
      <c r="O157" s="4"/>
      <c r="P157" s="71"/>
      <c r="Q157" s="4"/>
    </row>
    <row r="158" spans="1:17">
      <c r="A158" s="748">
        <v>24</v>
      </c>
      <c r="B158" s="738" t="s">
        <v>15582</v>
      </c>
      <c r="C158" s="4" t="s">
        <v>15616</v>
      </c>
      <c r="D158" s="743">
        <v>0</v>
      </c>
      <c r="E158" s="743">
        <v>0</v>
      </c>
      <c r="F158" s="743">
        <v>0</v>
      </c>
      <c r="G158" s="743">
        <v>0</v>
      </c>
      <c r="H158" s="30">
        <v>0</v>
      </c>
      <c r="I158" s="30">
        <v>0</v>
      </c>
      <c r="J158" s="31">
        <v>2358</v>
      </c>
      <c r="K158" s="31">
        <v>2428</v>
      </c>
      <c r="L158" s="31">
        <v>2380</v>
      </c>
      <c r="N158" s="738" t="s">
        <v>4913</v>
      </c>
      <c r="O158" s="4"/>
      <c r="P158" s="71"/>
      <c r="Q158" s="4"/>
    </row>
    <row r="159" spans="1:17">
      <c r="A159" s="748">
        <v>25</v>
      </c>
      <c r="B159" s="738" t="s">
        <v>7622</v>
      </c>
      <c r="C159" s="4" t="s">
        <v>15617</v>
      </c>
      <c r="D159" s="743">
        <v>0</v>
      </c>
      <c r="E159" s="743">
        <v>0</v>
      </c>
      <c r="F159" s="743">
        <v>0</v>
      </c>
      <c r="G159" s="743">
        <v>0</v>
      </c>
      <c r="H159" s="743">
        <v>0</v>
      </c>
      <c r="I159" s="31">
        <v>0</v>
      </c>
      <c r="J159" s="30">
        <v>9</v>
      </c>
      <c r="K159" s="30">
        <v>3</v>
      </c>
      <c r="L159" s="30">
        <v>3</v>
      </c>
      <c r="N159" s="739" t="s">
        <v>5379</v>
      </c>
      <c r="O159" s="4"/>
      <c r="P159" s="70"/>
      <c r="Q159" s="4"/>
    </row>
    <row r="160" spans="1:17" ht="15.75" thickBot="1">
      <c r="A160" s="748"/>
      <c r="B160" s="738"/>
      <c r="C160" s="4" t="s">
        <v>15617</v>
      </c>
      <c r="D160" s="751">
        <v>0</v>
      </c>
      <c r="E160" s="751">
        <v>0</v>
      </c>
      <c r="F160" s="751">
        <v>0</v>
      </c>
      <c r="G160" s="751">
        <v>0</v>
      </c>
      <c r="H160" s="31">
        <v>0</v>
      </c>
      <c r="I160" s="31">
        <v>0</v>
      </c>
      <c r="J160" s="31">
        <v>2749</v>
      </c>
      <c r="K160" s="31">
        <v>2904</v>
      </c>
      <c r="L160" s="31">
        <v>2877</v>
      </c>
      <c r="N160" s="738" t="s">
        <v>4913</v>
      </c>
      <c r="O160" s="4"/>
      <c r="P160" s="71"/>
      <c r="Q160" s="4"/>
    </row>
    <row r="161" spans="1:17" ht="15.75" thickBot="1">
      <c r="A161" s="748"/>
      <c r="B161" s="738"/>
      <c r="C161" s="4" t="s">
        <v>15617</v>
      </c>
      <c r="D161" s="737">
        <f t="shared" ref="D161:L161" si="107">D159+D160</f>
        <v>0</v>
      </c>
      <c r="E161" s="737">
        <f t="shared" si="107"/>
        <v>0</v>
      </c>
      <c r="F161" s="737">
        <f t="shared" si="107"/>
        <v>0</v>
      </c>
      <c r="G161" s="737">
        <f t="shared" si="107"/>
        <v>0</v>
      </c>
      <c r="H161" s="737">
        <f t="shared" si="107"/>
        <v>0</v>
      </c>
      <c r="I161" s="737">
        <f t="shared" si="107"/>
        <v>0</v>
      </c>
      <c r="J161" s="737">
        <f t="shared" si="107"/>
        <v>2758</v>
      </c>
      <c r="K161" s="737">
        <f t="shared" si="107"/>
        <v>2907</v>
      </c>
      <c r="L161" s="737">
        <f t="shared" si="107"/>
        <v>2880</v>
      </c>
      <c r="N161" s="738"/>
      <c r="O161" s="4"/>
      <c r="P161" s="71"/>
      <c r="Q161" s="4"/>
    </row>
    <row r="162" spans="1:17">
      <c r="A162" s="748">
        <v>26</v>
      </c>
      <c r="B162" s="738" t="s">
        <v>15583</v>
      </c>
      <c r="C162" s="4" t="s">
        <v>15618</v>
      </c>
      <c r="D162" s="743">
        <v>0</v>
      </c>
      <c r="E162" s="743">
        <v>0</v>
      </c>
      <c r="F162" s="743">
        <v>0</v>
      </c>
      <c r="G162" s="743">
        <v>0</v>
      </c>
      <c r="H162" s="30">
        <v>0</v>
      </c>
      <c r="I162" s="30">
        <v>0</v>
      </c>
      <c r="J162" s="30">
        <v>2440</v>
      </c>
      <c r="K162" s="30">
        <v>2539</v>
      </c>
      <c r="L162" s="30">
        <v>2610</v>
      </c>
      <c r="N162" s="739" t="s">
        <v>5379</v>
      </c>
      <c r="O162" s="4"/>
      <c r="P162" s="71"/>
      <c r="Q162" s="4"/>
    </row>
    <row r="163" spans="1:17">
      <c r="A163" s="748">
        <v>27</v>
      </c>
      <c r="B163" s="738" t="s">
        <v>15584</v>
      </c>
      <c r="C163" s="4" t="s">
        <v>15619</v>
      </c>
      <c r="D163" s="743">
        <v>0</v>
      </c>
      <c r="E163" s="743">
        <v>0</v>
      </c>
      <c r="F163" s="743">
        <v>0</v>
      </c>
      <c r="G163" s="743">
        <v>0</v>
      </c>
      <c r="H163" s="30">
        <v>0</v>
      </c>
      <c r="I163" s="30">
        <v>0</v>
      </c>
      <c r="J163" s="30">
        <v>2565</v>
      </c>
      <c r="K163" s="30">
        <v>2646</v>
      </c>
      <c r="L163" s="30">
        <v>2666</v>
      </c>
      <c r="N163" s="738" t="s">
        <v>5379</v>
      </c>
      <c r="O163" s="4"/>
      <c r="P163" s="71"/>
      <c r="Q163" s="4"/>
    </row>
    <row r="164" spans="1:17">
      <c r="A164" s="748">
        <v>28</v>
      </c>
      <c r="B164" s="738" t="s">
        <v>15585</v>
      </c>
      <c r="C164" s="4" t="s">
        <v>15620</v>
      </c>
      <c r="D164" s="743">
        <v>0</v>
      </c>
      <c r="E164" s="743">
        <v>0</v>
      </c>
      <c r="F164" s="743">
        <v>0</v>
      </c>
      <c r="G164" s="743">
        <v>0</v>
      </c>
      <c r="H164" s="30">
        <v>0</v>
      </c>
      <c r="I164" s="30">
        <v>0</v>
      </c>
      <c r="J164" s="31">
        <v>2849</v>
      </c>
      <c r="K164" s="31">
        <v>2946</v>
      </c>
      <c r="L164" s="31">
        <v>2942</v>
      </c>
      <c r="N164" s="738" t="s">
        <v>4913</v>
      </c>
      <c r="O164" s="4"/>
      <c r="P164" s="71"/>
      <c r="Q164" s="4"/>
    </row>
    <row r="165" spans="1:17">
      <c r="A165" s="748">
        <v>29</v>
      </c>
      <c r="B165" s="738" t="s">
        <v>15586</v>
      </c>
      <c r="C165" s="4" t="s">
        <v>15621</v>
      </c>
      <c r="D165" s="743">
        <v>0</v>
      </c>
      <c r="E165" s="743">
        <v>0</v>
      </c>
      <c r="F165" s="743">
        <v>0</v>
      </c>
      <c r="G165" s="743">
        <v>0</v>
      </c>
      <c r="H165" s="30">
        <v>0</v>
      </c>
      <c r="I165" s="30">
        <v>0</v>
      </c>
      <c r="J165" s="31">
        <v>2864</v>
      </c>
      <c r="K165" s="31">
        <v>2927</v>
      </c>
      <c r="L165" s="31">
        <v>2961</v>
      </c>
      <c r="N165" s="738" t="s">
        <v>4913</v>
      </c>
      <c r="O165" s="4"/>
      <c r="P165" s="71"/>
      <c r="Q165" s="4"/>
    </row>
    <row r="166" spans="1:17">
      <c r="A166" s="748">
        <v>30</v>
      </c>
      <c r="B166" s="738" t="s">
        <v>15587</v>
      </c>
      <c r="C166" s="4" t="s">
        <v>15622</v>
      </c>
      <c r="D166" s="743">
        <v>0</v>
      </c>
      <c r="E166" s="743">
        <v>0</v>
      </c>
      <c r="F166" s="743">
        <v>0</v>
      </c>
      <c r="G166" s="743">
        <v>0</v>
      </c>
      <c r="H166" s="30">
        <v>0</v>
      </c>
      <c r="I166" s="30">
        <v>0</v>
      </c>
      <c r="J166" s="31">
        <v>2582</v>
      </c>
      <c r="K166" s="31">
        <v>2659</v>
      </c>
      <c r="L166" s="31">
        <v>2628</v>
      </c>
      <c r="N166" s="738" t="s">
        <v>4913</v>
      </c>
      <c r="O166" s="4"/>
      <c r="P166" s="71"/>
      <c r="Q166" s="4"/>
    </row>
    <row r="167" spans="1:17">
      <c r="A167" s="748">
        <v>31</v>
      </c>
      <c r="B167" s="738" t="s">
        <v>15588</v>
      </c>
      <c r="C167" s="4" t="s">
        <v>15623</v>
      </c>
      <c r="D167" s="743">
        <v>0</v>
      </c>
      <c r="E167" s="743">
        <v>0</v>
      </c>
      <c r="F167" s="743">
        <v>0</v>
      </c>
      <c r="G167" s="743">
        <v>0</v>
      </c>
      <c r="H167" s="30">
        <v>0</v>
      </c>
      <c r="I167" s="30">
        <v>0</v>
      </c>
      <c r="J167" s="31">
        <v>2805</v>
      </c>
      <c r="K167" s="31">
        <v>2890</v>
      </c>
      <c r="L167" s="31">
        <v>2929</v>
      </c>
      <c r="N167" s="738" t="s">
        <v>4913</v>
      </c>
      <c r="O167" s="4"/>
      <c r="P167" s="71"/>
      <c r="Q167" s="4"/>
    </row>
    <row r="168" spans="1:17">
      <c r="A168" s="398" t="s">
        <v>7898</v>
      </c>
      <c r="B168" s="738" t="s">
        <v>15589</v>
      </c>
      <c r="C168" s="4" t="s">
        <v>15624</v>
      </c>
      <c r="D168" s="743">
        <v>0</v>
      </c>
      <c r="E168" s="743">
        <v>0</v>
      </c>
      <c r="F168" s="743">
        <v>0</v>
      </c>
      <c r="G168" s="743">
        <v>0</v>
      </c>
      <c r="H168" s="30">
        <v>0</v>
      </c>
      <c r="I168" s="30">
        <v>0</v>
      </c>
      <c r="J168" s="31">
        <v>2309</v>
      </c>
      <c r="K168" s="31">
        <v>2398</v>
      </c>
      <c r="L168" s="31">
        <v>2364</v>
      </c>
      <c r="N168" s="738" t="s">
        <v>4913</v>
      </c>
      <c r="O168" s="4"/>
      <c r="P168" s="71"/>
      <c r="Q168" s="4"/>
    </row>
    <row r="169" spans="1:17">
      <c r="A169" s="398" t="s">
        <v>7899</v>
      </c>
      <c r="B169" s="738" t="s">
        <v>15590</v>
      </c>
      <c r="C169" s="4" t="s">
        <v>15625</v>
      </c>
      <c r="D169" s="743">
        <v>0</v>
      </c>
      <c r="E169" s="743">
        <v>0</v>
      </c>
      <c r="F169" s="743">
        <v>0</v>
      </c>
      <c r="G169" s="743">
        <v>0</v>
      </c>
      <c r="H169" s="30">
        <v>0</v>
      </c>
      <c r="I169" s="30">
        <v>0</v>
      </c>
      <c r="J169" s="31">
        <v>2587</v>
      </c>
      <c r="K169" s="31">
        <v>2745</v>
      </c>
      <c r="L169" s="31">
        <v>2870</v>
      </c>
      <c r="N169" s="738" t="s">
        <v>4913</v>
      </c>
      <c r="O169" s="4"/>
      <c r="P169" s="71"/>
      <c r="Q169" s="4"/>
    </row>
    <row r="170" spans="1:17">
      <c r="A170" s="398" t="s">
        <v>7901</v>
      </c>
      <c r="B170" s="738" t="s">
        <v>15591</v>
      </c>
      <c r="C170" s="4" t="s">
        <v>15626</v>
      </c>
      <c r="D170" s="743">
        <v>0</v>
      </c>
      <c r="E170" s="743">
        <v>0</v>
      </c>
      <c r="F170" s="743">
        <v>0</v>
      </c>
      <c r="G170" s="743">
        <v>0</v>
      </c>
      <c r="H170" s="30">
        <v>0</v>
      </c>
      <c r="I170" s="30">
        <v>0</v>
      </c>
      <c r="J170" s="30">
        <v>2851</v>
      </c>
      <c r="K170" s="30">
        <v>2835</v>
      </c>
      <c r="L170" s="30">
        <v>2794</v>
      </c>
      <c r="N170" s="738" t="s">
        <v>5379</v>
      </c>
      <c r="O170" s="4"/>
      <c r="P170" s="71"/>
      <c r="Q170" s="4"/>
    </row>
    <row r="171" spans="1:17" ht="15.75" thickBot="1">
      <c r="A171" s="398"/>
      <c r="B171" s="738"/>
      <c r="C171" s="4" t="s">
        <v>15626</v>
      </c>
      <c r="D171" s="743">
        <v>0</v>
      </c>
      <c r="E171" s="743">
        <v>0</v>
      </c>
      <c r="F171" s="743">
        <v>0</v>
      </c>
      <c r="G171" s="743">
        <v>0</v>
      </c>
      <c r="H171" s="30">
        <v>0</v>
      </c>
      <c r="I171" s="30">
        <v>0</v>
      </c>
      <c r="J171" s="31">
        <v>143</v>
      </c>
      <c r="K171" s="31">
        <v>148</v>
      </c>
      <c r="L171" s="31">
        <v>149</v>
      </c>
      <c r="N171" s="738" t="s">
        <v>4913</v>
      </c>
      <c r="O171" s="4"/>
      <c r="P171" s="71"/>
      <c r="Q171" s="4"/>
    </row>
    <row r="172" spans="1:17" ht="15.75" thickBot="1">
      <c r="A172" s="398"/>
      <c r="B172" s="738"/>
      <c r="C172" s="4" t="s">
        <v>15626</v>
      </c>
      <c r="D172" s="737">
        <f t="shared" ref="D172:L172" si="108">D173+D171</f>
        <v>0</v>
      </c>
      <c r="E172" s="737">
        <f t="shared" si="108"/>
        <v>0</v>
      </c>
      <c r="F172" s="737">
        <f t="shared" si="108"/>
        <v>0</v>
      </c>
      <c r="G172" s="737">
        <f t="shared" si="108"/>
        <v>0</v>
      </c>
      <c r="H172" s="737">
        <f t="shared" si="108"/>
        <v>0</v>
      </c>
      <c r="I172" s="737">
        <f t="shared" si="108"/>
        <v>0</v>
      </c>
      <c r="J172" s="737">
        <f t="shared" si="108"/>
        <v>2589</v>
      </c>
      <c r="K172" s="737">
        <f t="shared" si="108"/>
        <v>2807</v>
      </c>
      <c r="L172" s="737">
        <f t="shared" si="108"/>
        <v>2964</v>
      </c>
      <c r="N172" s="738"/>
      <c r="O172" s="4"/>
      <c r="P172" s="71"/>
      <c r="Q172" s="4"/>
    </row>
    <row r="173" spans="1:17">
      <c r="A173" s="398" t="s">
        <v>3125</v>
      </c>
      <c r="B173" s="738" t="s">
        <v>15592</v>
      </c>
      <c r="C173" s="4" t="s">
        <v>15627</v>
      </c>
      <c r="D173" s="743">
        <v>0</v>
      </c>
      <c r="E173" s="743">
        <v>0</v>
      </c>
      <c r="F173" s="743">
        <v>0</v>
      </c>
      <c r="G173" s="743">
        <v>0</v>
      </c>
      <c r="H173" s="30">
        <v>0</v>
      </c>
      <c r="I173" s="30">
        <v>0</v>
      </c>
      <c r="J173" s="30">
        <v>2446</v>
      </c>
      <c r="K173" s="30">
        <v>2659</v>
      </c>
      <c r="L173" s="30">
        <v>2815</v>
      </c>
      <c r="N173" s="739" t="s">
        <v>5379</v>
      </c>
      <c r="O173" s="4"/>
      <c r="P173" s="71"/>
      <c r="Q173" s="4"/>
    </row>
    <row r="174" spans="1:17">
      <c r="A174" s="398" t="s">
        <v>3127</v>
      </c>
      <c r="B174" s="739" t="s">
        <v>15865</v>
      </c>
      <c r="C174" s="4" t="s">
        <v>15628</v>
      </c>
      <c r="D174" s="743">
        <v>0</v>
      </c>
      <c r="E174" s="743">
        <v>0</v>
      </c>
      <c r="F174" s="743">
        <v>0</v>
      </c>
      <c r="G174" s="743">
        <v>0</v>
      </c>
      <c r="H174" s="30">
        <v>0</v>
      </c>
      <c r="I174" s="30">
        <v>0</v>
      </c>
      <c r="J174" s="31">
        <v>2886</v>
      </c>
      <c r="K174" s="31">
        <v>2954</v>
      </c>
      <c r="L174" s="31">
        <v>2923</v>
      </c>
      <c r="N174" s="738" t="s">
        <v>4913</v>
      </c>
      <c r="O174" s="4"/>
      <c r="P174" s="71"/>
      <c r="Q174" s="4"/>
    </row>
    <row r="175" spans="1:17">
      <c r="D175" s="743"/>
      <c r="E175" s="743"/>
      <c r="F175" s="743"/>
      <c r="G175" s="743"/>
      <c r="H175" s="743"/>
      <c r="I175" s="743"/>
      <c r="J175" s="743"/>
      <c r="K175" s="743"/>
      <c r="L175" s="743"/>
      <c r="O175" s="4"/>
      <c r="P175" s="71"/>
      <c r="Q175" s="4"/>
    </row>
    <row r="176" spans="1:17">
      <c r="A176" s="739" t="s">
        <v>7624</v>
      </c>
      <c r="D176" s="743">
        <f t="shared" ref="D176:I176" si="109">D136+D143+D146+D150+D151+D153+D159+D162+D163+D170+D173</f>
        <v>25133</v>
      </c>
      <c r="E176" s="743">
        <f t="shared" si="109"/>
        <v>24779</v>
      </c>
      <c r="F176" s="743">
        <f t="shared" si="109"/>
        <v>25281</v>
      </c>
      <c r="G176" s="743">
        <f t="shared" si="109"/>
        <v>25664</v>
      </c>
      <c r="H176" s="743">
        <f t="shared" si="109"/>
        <v>25664</v>
      </c>
      <c r="I176" s="743">
        <f t="shared" si="109"/>
        <v>25390</v>
      </c>
      <c r="J176" s="743">
        <f t="shared" ref="J176:K176" si="110">J136+J143+J146+J150+J151+J153+J159+J162+J163+J170+J173</f>
        <v>25081</v>
      </c>
      <c r="K176" s="743">
        <f t="shared" si="110"/>
        <v>25953</v>
      </c>
      <c r="L176" s="743">
        <f t="shared" ref="L176" si="111">L136+L143+L146+L150+L151+L153+L159+L162+L163+L170+L173</f>
        <v>26241</v>
      </c>
      <c r="O176" s="4"/>
      <c r="P176" s="71"/>
      <c r="Q176" s="4"/>
    </row>
    <row r="177" spans="1:64">
      <c r="A177" s="738" t="s">
        <v>4913</v>
      </c>
      <c r="D177" s="741">
        <f t="shared" ref="D177:I177" si="112">SUM(D131:D135)+SUM(D137:D142)+D144+D145+D147+D149+D152+D154+SUM(D156:D158)+D160+SUM(D164:D169)+D171+D174</f>
        <v>69366</v>
      </c>
      <c r="E177" s="741">
        <f t="shared" si="112"/>
        <v>69108</v>
      </c>
      <c r="F177" s="741">
        <f t="shared" si="112"/>
        <v>69946</v>
      </c>
      <c r="G177" s="741">
        <f t="shared" si="112"/>
        <v>70529</v>
      </c>
      <c r="H177" s="741">
        <f t="shared" si="112"/>
        <v>70830</v>
      </c>
      <c r="I177" s="741">
        <f t="shared" si="112"/>
        <v>70006</v>
      </c>
      <c r="J177" s="741">
        <f t="shared" ref="J177" si="113">SUM(J131:J135)+SUM(J137:J142)+J144+J145+J147+J149+J152+J154+SUM(J156:J158)+J160+SUM(J164:J169)+J171+J174</f>
        <v>69211</v>
      </c>
      <c r="K177" s="741">
        <f>SUM(K131:K135)+SUM(K137:K142)+K144+K145+K147+K149+K152+K154+SUM(K156:K158)+K160+SUM(K164:K169)+K171+K174</f>
        <v>71331</v>
      </c>
      <c r="L177" s="741">
        <f>SUM(L131:L135)+SUM(L137:L142)+L144+L145+L147+L149+L152+L154+SUM(L156:L158)+L160+SUM(L164:L169)+L171+L174</f>
        <v>71031</v>
      </c>
      <c r="O177" s="4"/>
      <c r="P177" s="70"/>
      <c r="Q177" s="4"/>
    </row>
    <row r="178" spans="1:64">
      <c r="A178" s="738"/>
      <c r="B178" s="738"/>
      <c r="D178" s="749"/>
      <c r="E178" s="749"/>
      <c r="F178" s="749"/>
      <c r="G178" s="749"/>
      <c r="H178" s="749"/>
      <c r="I178" s="749"/>
      <c r="J178" s="749"/>
      <c r="K178" s="749"/>
      <c r="L178" s="749"/>
      <c r="O178" s="4"/>
      <c r="P178" s="70"/>
      <c r="Q178" s="4"/>
    </row>
    <row r="179" spans="1:64">
      <c r="A179" s="739" t="s">
        <v>15593</v>
      </c>
      <c r="B179" s="738"/>
      <c r="D179" s="749"/>
      <c r="E179" s="749"/>
      <c r="F179" s="749"/>
      <c r="G179" s="749"/>
      <c r="H179" s="749"/>
      <c r="I179" s="749"/>
      <c r="J179" s="749"/>
      <c r="K179" s="749"/>
      <c r="L179" s="749"/>
    </row>
    <row r="180" spans="1:64">
      <c r="B180" s="738"/>
      <c r="D180" s="749"/>
      <c r="E180" s="749"/>
      <c r="F180" s="749"/>
      <c r="G180" s="749"/>
      <c r="H180" s="749"/>
      <c r="I180" s="749"/>
      <c r="J180" s="749"/>
      <c r="K180" s="749"/>
      <c r="L180" s="749"/>
    </row>
    <row r="181" spans="1:64">
      <c r="B181" s="738"/>
      <c r="D181" s="749"/>
      <c r="E181" s="749"/>
      <c r="F181" s="749"/>
      <c r="G181" s="749"/>
      <c r="H181" s="749"/>
      <c r="I181" s="749"/>
      <c r="J181" s="749"/>
      <c r="K181" s="749"/>
      <c r="L181" s="749"/>
    </row>
    <row r="182" spans="1:64">
      <c r="E182" s="42" t="s">
        <v>2303</v>
      </c>
      <c r="F182" s="42"/>
      <c r="G182" s="42"/>
      <c r="H182" s="42"/>
      <c r="I182" s="42"/>
      <c r="J182" s="42"/>
      <c r="K182" s="42"/>
      <c r="L182" s="42"/>
      <c r="M182" s="109"/>
      <c r="N182" s="109" t="s">
        <v>13319</v>
      </c>
    </row>
    <row r="183" spans="1:64">
      <c r="B183" s="42"/>
      <c r="D183" s="727">
        <v>2010</v>
      </c>
      <c r="E183" s="727">
        <v>2011</v>
      </c>
      <c r="F183" s="727">
        <v>2012</v>
      </c>
      <c r="G183" s="727">
        <v>2013</v>
      </c>
      <c r="H183" s="727">
        <v>2014</v>
      </c>
      <c r="I183" s="727">
        <v>2015</v>
      </c>
      <c r="J183" s="727">
        <v>2016</v>
      </c>
      <c r="K183" s="727">
        <v>2017</v>
      </c>
      <c r="L183" s="727">
        <v>2018</v>
      </c>
      <c r="M183" s="726"/>
      <c r="N183" s="112" t="s">
        <v>2304</v>
      </c>
    </row>
    <row r="184" spans="1:64">
      <c r="A184" s="738" t="s">
        <v>7581</v>
      </c>
      <c r="D184" s="741">
        <f t="shared" ref="D184:I184" si="114">SUM(D185:D196)+D198+D199+SUM(D201:D210)</f>
        <v>98267</v>
      </c>
      <c r="E184" s="741">
        <f t="shared" si="114"/>
        <v>97464</v>
      </c>
      <c r="F184" s="741">
        <f t="shared" si="114"/>
        <v>98266</v>
      </c>
      <c r="G184" s="741">
        <f t="shared" si="114"/>
        <v>100220</v>
      </c>
      <c r="H184" s="741">
        <f t="shared" si="114"/>
        <v>98077</v>
      </c>
      <c r="I184" s="741">
        <f t="shared" si="114"/>
        <v>98136</v>
      </c>
      <c r="J184" s="741">
        <f>SUM(J185:J196)+J198+J199+SUM(J201:J210)</f>
        <v>97927</v>
      </c>
      <c r="K184" s="741">
        <f>SUM(K185:K196)+K198+K199+SUM(K201:K210)</f>
        <v>101033</v>
      </c>
      <c r="L184" s="741">
        <f>SUM(L185:L196)+L198+L199+SUM(L201:L210)</f>
        <v>104667</v>
      </c>
      <c r="M184" s="741"/>
    </row>
    <row r="185" spans="1:64">
      <c r="A185" s="738" t="s">
        <v>6957</v>
      </c>
      <c r="B185" s="738" t="s">
        <v>8199</v>
      </c>
      <c r="C185" s="4" t="s">
        <v>15629</v>
      </c>
      <c r="D185" s="743">
        <v>31237</v>
      </c>
      <c r="E185" s="743">
        <v>31186</v>
      </c>
      <c r="F185" s="743">
        <v>31005</v>
      </c>
      <c r="G185" s="743">
        <v>30910</v>
      </c>
      <c r="H185" s="30">
        <v>31659</v>
      </c>
      <c r="I185" s="30">
        <v>30692</v>
      </c>
      <c r="J185" s="30">
        <v>5292</v>
      </c>
      <c r="K185" s="30">
        <v>5758</v>
      </c>
      <c r="L185" s="30">
        <v>5432</v>
      </c>
      <c r="N185" s="739" t="s">
        <v>5379</v>
      </c>
      <c r="BJ185" s="956"/>
      <c r="BK185" s="956"/>
      <c r="BL185" s="956"/>
    </row>
    <row r="186" spans="1:64">
      <c r="A186" s="738" t="s">
        <v>6959</v>
      </c>
      <c r="B186" s="738" t="s">
        <v>15638</v>
      </c>
      <c r="C186" s="4" t="s">
        <v>15640</v>
      </c>
      <c r="D186" s="743">
        <v>0</v>
      </c>
      <c r="E186" s="743">
        <v>0</v>
      </c>
      <c r="F186" s="743">
        <v>0</v>
      </c>
      <c r="G186" s="743">
        <v>0</v>
      </c>
      <c r="H186" s="30">
        <v>0</v>
      </c>
      <c r="I186" s="30">
        <v>0</v>
      </c>
      <c r="J186" s="30">
        <v>4289</v>
      </c>
      <c r="K186" s="30">
        <v>4413</v>
      </c>
      <c r="L186" s="30">
        <v>4524</v>
      </c>
      <c r="N186" s="738" t="s">
        <v>5379</v>
      </c>
    </row>
    <row r="187" spans="1:64">
      <c r="A187" s="738" t="s">
        <v>6961</v>
      </c>
      <c r="B187" s="738" t="s">
        <v>15637</v>
      </c>
      <c r="C187" s="4" t="s">
        <v>15641</v>
      </c>
      <c r="D187" s="743">
        <v>67030</v>
      </c>
      <c r="E187" s="743">
        <v>66278</v>
      </c>
      <c r="F187" s="743">
        <v>67261</v>
      </c>
      <c r="G187" s="743">
        <v>69310</v>
      </c>
      <c r="H187" s="30">
        <v>66418</v>
      </c>
      <c r="I187" s="30">
        <v>67444</v>
      </c>
      <c r="J187" s="30">
        <v>4618</v>
      </c>
      <c r="K187" s="30">
        <v>4788</v>
      </c>
      <c r="L187" s="30">
        <v>4935</v>
      </c>
      <c r="N187" s="738" t="s">
        <v>4914</v>
      </c>
    </row>
    <row r="188" spans="1:64">
      <c r="A188" s="738" t="s">
        <v>6963</v>
      </c>
      <c r="B188" s="738" t="s">
        <v>7582</v>
      </c>
      <c r="C188" s="4" t="s">
        <v>15642</v>
      </c>
      <c r="D188" s="743">
        <v>0</v>
      </c>
      <c r="E188" s="743">
        <v>0</v>
      </c>
      <c r="F188" s="743">
        <v>0</v>
      </c>
      <c r="G188" s="743">
        <v>0</v>
      </c>
      <c r="H188" s="30">
        <v>0</v>
      </c>
      <c r="I188" s="30">
        <v>0</v>
      </c>
      <c r="J188" s="30">
        <v>2012</v>
      </c>
      <c r="K188" s="30">
        <v>2129</v>
      </c>
      <c r="L188" s="30">
        <v>2383</v>
      </c>
      <c r="N188" s="738" t="s">
        <v>4914</v>
      </c>
      <c r="O188" s="4"/>
      <c r="Q188" s="4"/>
    </row>
    <row r="189" spans="1:64">
      <c r="A189" s="738" t="s">
        <v>6965</v>
      </c>
      <c r="B189" s="738" t="s">
        <v>1275</v>
      </c>
      <c r="C189" s="4" t="s">
        <v>15643</v>
      </c>
      <c r="D189" s="743">
        <v>0</v>
      </c>
      <c r="E189" s="743">
        <v>0</v>
      </c>
      <c r="F189" s="743">
        <v>0</v>
      </c>
      <c r="G189" s="743">
        <v>0</v>
      </c>
      <c r="H189" s="30">
        <v>0</v>
      </c>
      <c r="I189" s="30">
        <v>0</v>
      </c>
      <c r="J189" s="30">
        <v>4682</v>
      </c>
      <c r="K189" s="30">
        <v>5086</v>
      </c>
      <c r="L189" s="30">
        <v>5804</v>
      </c>
      <c r="N189" s="738" t="s">
        <v>4914</v>
      </c>
    </row>
    <row r="190" spans="1:64">
      <c r="A190" s="738" t="s">
        <v>6997</v>
      </c>
      <c r="B190" s="738" t="s">
        <v>7602</v>
      </c>
      <c r="C190" s="4" t="s">
        <v>15644</v>
      </c>
      <c r="D190" s="743">
        <v>0</v>
      </c>
      <c r="E190" s="743">
        <v>0</v>
      </c>
      <c r="F190" s="743">
        <v>0</v>
      </c>
      <c r="G190" s="743">
        <v>0</v>
      </c>
      <c r="H190" s="30">
        <v>0</v>
      </c>
      <c r="I190" s="30">
        <v>0</v>
      </c>
      <c r="J190" s="30">
        <v>4705</v>
      </c>
      <c r="K190" s="30">
        <v>4739</v>
      </c>
      <c r="L190" s="30">
        <v>4888</v>
      </c>
      <c r="N190" s="738" t="s">
        <v>4914</v>
      </c>
      <c r="O190" s="4"/>
      <c r="Q190" s="4"/>
    </row>
    <row r="191" spans="1:64">
      <c r="A191" s="738" t="s">
        <v>6999</v>
      </c>
      <c r="B191" s="738" t="s">
        <v>7603</v>
      </c>
      <c r="C191" s="4" t="s">
        <v>15645</v>
      </c>
      <c r="D191" s="743">
        <v>0</v>
      </c>
      <c r="E191" s="743">
        <v>0</v>
      </c>
      <c r="F191" s="743">
        <v>0</v>
      </c>
      <c r="G191" s="743">
        <v>0</v>
      </c>
      <c r="H191" s="30">
        <v>0</v>
      </c>
      <c r="I191" s="30">
        <v>0</v>
      </c>
      <c r="J191" s="30">
        <v>4046</v>
      </c>
      <c r="K191" s="30">
        <v>4309</v>
      </c>
      <c r="L191" s="30">
        <v>4636</v>
      </c>
      <c r="N191" s="739" t="s">
        <v>4914</v>
      </c>
    </row>
    <row r="192" spans="1:64">
      <c r="A192" s="738" t="s">
        <v>7001</v>
      </c>
      <c r="B192" s="738" t="s">
        <v>7604</v>
      </c>
      <c r="C192" s="4" t="s">
        <v>15646</v>
      </c>
      <c r="D192" s="743">
        <v>0</v>
      </c>
      <c r="E192" s="743">
        <v>0</v>
      </c>
      <c r="F192" s="743">
        <v>0</v>
      </c>
      <c r="G192" s="743">
        <v>0</v>
      </c>
      <c r="H192" s="30">
        <v>0</v>
      </c>
      <c r="I192" s="30">
        <v>0</v>
      </c>
      <c r="J192" s="30">
        <v>4452</v>
      </c>
      <c r="K192" s="30">
        <v>4507</v>
      </c>
      <c r="L192" s="30">
        <v>4577</v>
      </c>
      <c r="N192" s="739" t="s">
        <v>4914</v>
      </c>
      <c r="O192" s="4"/>
      <c r="Q192" s="4"/>
    </row>
    <row r="193" spans="1:17">
      <c r="A193" s="738" t="s">
        <v>7003</v>
      </c>
      <c r="B193" s="738" t="s">
        <v>15636</v>
      </c>
      <c r="C193" s="4" t="s">
        <v>15647</v>
      </c>
      <c r="D193" s="743">
        <v>0</v>
      </c>
      <c r="E193" s="743">
        <v>0</v>
      </c>
      <c r="F193" s="743">
        <v>0</v>
      </c>
      <c r="G193" s="743">
        <v>0</v>
      </c>
      <c r="H193" s="30">
        <v>0</v>
      </c>
      <c r="I193" s="30">
        <v>0</v>
      </c>
      <c r="J193" s="30">
        <v>4575</v>
      </c>
      <c r="K193" s="30">
        <v>4658</v>
      </c>
      <c r="L193" s="30">
        <v>4738</v>
      </c>
      <c r="N193" s="739" t="s">
        <v>4914</v>
      </c>
      <c r="O193" s="4"/>
      <c r="Q193" s="4"/>
    </row>
    <row r="194" spans="1:17">
      <c r="A194" s="738" t="s">
        <v>7005</v>
      </c>
      <c r="B194" s="738" t="s">
        <v>15635</v>
      </c>
      <c r="C194" s="4" t="s">
        <v>15648</v>
      </c>
      <c r="D194" s="743">
        <v>0</v>
      </c>
      <c r="E194" s="743">
        <v>0</v>
      </c>
      <c r="F194" s="743">
        <v>0</v>
      </c>
      <c r="G194" s="743">
        <v>0</v>
      </c>
      <c r="H194" s="30">
        <v>0</v>
      </c>
      <c r="I194" s="30">
        <v>0</v>
      </c>
      <c r="J194" s="31">
        <v>3401</v>
      </c>
      <c r="K194" s="31">
        <v>3725</v>
      </c>
      <c r="L194" s="31">
        <v>4103</v>
      </c>
      <c r="N194" s="738" t="s">
        <v>4914</v>
      </c>
      <c r="O194" s="4"/>
      <c r="Q194" s="4"/>
    </row>
    <row r="195" spans="1:17">
      <c r="A195" s="738" t="s">
        <v>7007</v>
      </c>
      <c r="B195" s="738" t="s">
        <v>7605</v>
      </c>
      <c r="C195" s="4" t="s">
        <v>15649</v>
      </c>
      <c r="D195" s="743">
        <v>0</v>
      </c>
      <c r="E195" s="743">
        <v>0</v>
      </c>
      <c r="F195" s="743">
        <v>0</v>
      </c>
      <c r="G195" s="743">
        <v>0</v>
      </c>
      <c r="H195" s="30">
        <v>0</v>
      </c>
      <c r="I195" s="30">
        <v>0</v>
      </c>
      <c r="J195" s="30">
        <v>1271</v>
      </c>
      <c r="K195" s="30">
        <v>1280</v>
      </c>
      <c r="L195" s="30">
        <v>1310</v>
      </c>
      <c r="N195" s="739" t="s">
        <v>5379</v>
      </c>
      <c r="O195" s="4"/>
      <c r="Q195" s="4"/>
    </row>
    <row r="196" spans="1:17" ht="15.75" thickBot="1">
      <c r="A196" s="738"/>
      <c r="B196" s="738"/>
      <c r="C196" s="4" t="s">
        <v>15649</v>
      </c>
      <c r="D196" s="744">
        <v>0</v>
      </c>
      <c r="E196" s="744">
        <v>0</v>
      </c>
      <c r="F196" s="744">
        <v>0</v>
      </c>
      <c r="G196" s="744">
        <v>0</v>
      </c>
      <c r="H196" s="899">
        <v>0</v>
      </c>
      <c r="I196" s="899">
        <v>0</v>
      </c>
      <c r="J196" s="31">
        <v>3723</v>
      </c>
      <c r="K196" s="31">
        <v>3742</v>
      </c>
      <c r="L196" s="31">
        <v>3790</v>
      </c>
      <c r="N196" s="739" t="s">
        <v>4914</v>
      </c>
      <c r="O196" s="4"/>
      <c r="Q196" s="4"/>
    </row>
    <row r="197" spans="1:17" ht="15.75" thickBot="1">
      <c r="A197" s="738"/>
      <c r="B197" s="738"/>
      <c r="C197" s="4" t="s">
        <v>15649</v>
      </c>
      <c r="D197" s="737">
        <f>D195+D196</f>
        <v>0</v>
      </c>
      <c r="E197" s="737">
        <f t="shared" ref="E197" si="115">E195+E196</f>
        <v>0</v>
      </c>
      <c r="F197" s="737">
        <f t="shared" ref="F197" si="116">F195+F196</f>
        <v>0</v>
      </c>
      <c r="G197" s="737">
        <f t="shared" ref="G197" si="117">G195+G196</f>
        <v>0</v>
      </c>
      <c r="H197" s="737">
        <f t="shared" ref="H197" si="118">H195+H196</f>
        <v>0</v>
      </c>
      <c r="I197" s="737">
        <f t="shared" ref="I197" si="119">I195+I196</f>
        <v>0</v>
      </c>
      <c r="J197" s="737">
        <f t="shared" ref="J197:L197" si="120">J195+J196</f>
        <v>4994</v>
      </c>
      <c r="K197" s="737">
        <f t="shared" si="120"/>
        <v>5022</v>
      </c>
      <c r="L197" s="737">
        <f t="shared" si="120"/>
        <v>5100</v>
      </c>
      <c r="O197" s="4"/>
      <c r="Q197" s="4"/>
    </row>
    <row r="198" spans="1:17">
      <c r="A198" s="738" t="s">
        <v>7009</v>
      </c>
      <c r="B198" s="738" t="s">
        <v>7606</v>
      </c>
      <c r="C198" s="4" t="s">
        <v>15650</v>
      </c>
      <c r="D198" s="743">
        <v>0</v>
      </c>
      <c r="E198" s="743">
        <v>0</v>
      </c>
      <c r="F198" s="743">
        <v>0</v>
      </c>
      <c r="G198" s="743">
        <v>0</v>
      </c>
      <c r="H198" s="30">
        <v>0</v>
      </c>
      <c r="I198" s="30">
        <v>0</v>
      </c>
      <c r="J198" s="30">
        <v>344</v>
      </c>
      <c r="K198" s="30">
        <v>359</v>
      </c>
      <c r="L198" s="30">
        <v>380</v>
      </c>
      <c r="N198" s="739" t="s">
        <v>5379</v>
      </c>
      <c r="O198" s="4"/>
      <c r="Q198" s="4"/>
    </row>
    <row r="199" spans="1:17" ht="15.75" thickBot="1">
      <c r="A199" s="738"/>
      <c r="B199" s="738"/>
      <c r="C199" s="4" t="s">
        <v>15650</v>
      </c>
      <c r="D199" s="744">
        <v>0</v>
      </c>
      <c r="E199" s="744">
        <v>0</v>
      </c>
      <c r="F199" s="744">
        <v>0</v>
      </c>
      <c r="G199" s="744">
        <v>0</v>
      </c>
      <c r="H199" s="899">
        <v>0</v>
      </c>
      <c r="I199" s="899">
        <v>0</v>
      </c>
      <c r="J199" s="31">
        <v>4063</v>
      </c>
      <c r="K199" s="31">
        <v>4173</v>
      </c>
      <c r="L199" s="31">
        <v>4283</v>
      </c>
      <c r="N199" s="739" t="s">
        <v>4914</v>
      </c>
      <c r="O199" s="4"/>
      <c r="Q199" s="4"/>
    </row>
    <row r="200" spans="1:17" ht="15.75" thickBot="1">
      <c r="A200" s="738"/>
      <c r="B200" s="738"/>
      <c r="C200" s="4" t="s">
        <v>15650</v>
      </c>
      <c r="D200" s="737">
        <f>D198+D199</f>
        <v>0</v>
      </c>
      <c r="E200" s="737">
        <f t="shared" ref="E200:L200" si="121">E198+E199</f>
        <v>0</v>
      </c>
      <c r="F200" s="737">
        <f t="shared" si="121"/>
        <v>0</v>
      </c>
      <c r="G200" s="737">
        <f t="shared" si="121"/>
        <v>0</v>
      </c>
      <c r="H200" s="737">
        <f t="shared" si="121"/>
        <v>0</v>
      </c>
      <c r="I200" s="737">
        <f t="shared" si="121"/>
        <v>0</v>
      </c>
      <c r="J200" s="737">
        <f t="shared" si="121"/>
        <v>4407</v>
      </c>
      <c r="K200" s="737">
        <f t="shared" si="121"/>
        <v>4532</v>
      </c>
      <c r="L200" s="737">
        <f t="shared" si="121"/>
        <v>4663</v>
      </c>
      <c r="O200" s="4"/>
      <c r="Q200" s="4"/>
    </row>
    <row r="201" spans="1:17">
      <c r="A201" s="738" t="s">
        <v>7011</v>
      </c>
      <c r="B201" s="738" t="s">
        <v>15634</v>
      </c>
      <c r="C201" s="4" t="s">
        <v>15651</v>
      </c>
      <c r="D201" s="743">
        <v>0</v>
      </c>
      <c r="E201" s="743">
        <v>0</v>
      </c>
      <c r="F201" s="743">
        <v>0</v>
      </c>
      <c r="G201" s="743">
        <v>0</v>
      </c>
      <c r="H201" s="743">
        <v>0</v>
      </c>
      <c r="I201" s="743">
        <v>0</v>
      </c>
      <c r="J201" s="31">
        <v>3804</v>
      </c>
      <c r="K201" s="31">
        <v>3967</v>
      </c>
      <c r="L201" s="31">
        <v>4287</v>
      </c>
      <c r="N201" s="739" t="s">
        <v>4914</v>
      </c>
      <c r="O201" s="4"/>
      <c r="Q201" s="4"/>
    </row>
    <row r="202" spans="1:17">
      <c r="A202" s="738" t="s">
        <v>7013</v>
      </c>
      <c r="B202" s="738" t="s">
        <v>15633</v>
      </c>
      <c r="C202" s="4" t="s">
        <v>15652</v>
      </c>
      <c r="D202" s="743">
        <v>0</v>
      </c>
      <c r="E202" s="743">
        <v>0</v>
      </c>
      <c r="F202" s="743">
        <v>0</v>
      </c>
      <c r="G202" s="743">
        <v>0</v>
      </c>
      <c r="H202" s="743">
        <v>0</v>
      </c>
      <c r="I202" s="743">
        <v>0</v>
      </c>
      <c r="J202" s="31">
        <v>4029</v>
      </c>
      <c r="K202" s="31">
        <v>4265</v>
      </c>
      <c r="L202" s="31">
        <v>4498</v>
      </c>
      <c r="N202" s="739" t="s">
        <v>4914</v>
      </c>
      <c r="O202" s="4"/>
      <c r="Q202" s="4"/>
    </row>
    <row r="203" spans="1:17">
      <c r="A203" s="738" t="s">
        <v>7015</v>
      </c>
      <c r="B203" s="738" t="s">
        <v>7607</v>
      </c>
      <c r="C203" s="4" t="s">
        <v>15653</v>
      </c>
      <c r="D203" s="743">
        <v>0</v>
      </c>
      <c r="E203" s="743">
        <v>0</v>
      </c>
      <c r="F203" s="743">
        <v>0</v>
      </c>
      <c r="G203" s="743">
        <v>0</v>
      </c>
      <c r="H203" s="743">
        <v>0</v>
      </c>
      <c r="I203" s="743">
        <v>0</v>
      </c>
      <c r="J203" s="30">
        <v>6455</v>
      </c>
      <c r="K203" s="30">
        <v>6503</v>
      </c>
      <c r="L203" s="30">
        <v>6637</v>
      </c>
      <c r="N203" s="739" t="s">
        <v>5379</v>
      </c>
      <c r="O203" s="4"/>
      <c r="Q203" s="4"/>
    </row>
    <row r="204" spans="1:17">
      <c r="A204" s="738" t="s">
        <v>7017</v>
      </c>
      <c r="B204" s="738" t="s">
        <v>7608</v>
      </c>
      <c r="C204" s="4" t="s">
        <v>15654</v>
      </c>
      <c r="D204" s="743">
        <v>0</v>
      </c>
      <c r="E204" s="743">
        <v>0</v>
      </c>
      <c r="F204" s="743">
        <v>0</v>
      </c>
      <c r="G204" s="743">
        <v>0</v>
      </c>
      <c r="H204" s="743">
        <v>0</v>
      </c>
      <c r="I204" s="743">
        <v>0</v>
      </c>
      <c r="J204" s="30">
        <v>2065</v>
      </c>
      <c r="K204" s="30">
        <v>2123</v>
      </c>
      <c r="L204" s="30">
        <v>2193</v>
      </c>
      <c r="N204" s="738" t="s">
        <v>5379</v>
      </c>
      <c r="O204" s="4"/>
      <c r="Q204" s="4"/>
    </row>
    <row r="205" spans="1:17">
      <c r="A205" s="738" t="s">
        <v>7019</v>
      </c>
      <c r="B205" s="738" t="s">
        <v>6414</v>
      </c>
      <c r="C205" s="4" t="s">
        <v>15655</v>
      </c>
      <c r="D205" s="743">
        <v>0</v>
      </c>
      <c r="E205" s="743">
        <v>0</v>
      </c>
      <c r="F205" s="743">
        <v>0</v>
      </c>
      <c r="G205" s="743">
        <v>0</v>
      </c>
      <c r="H205" s="743">
        <v>0</v>
      </c>
      <c r="I205" s="743">
        <v>0</v>
      </c>
      <c r="J205" s="30">
        <v>6546</v>
      </c>
      <c r="K205" s="30">
        <v>6569</v>
      </c>
      <c r="L205" s="30">
        <v>6603</v>
      </c>
      <c r="N205" s="738" t="s">
        <v>5379</v>
      </c>
      <c r="O205" s="4"/>
      <c r="Q205" s="4"/>
    </row>
    <row r="206" spans="1:17">
      <c r="A206" s="738" t="s">
        <v>7021</v>
      </c>
      <c r="B206" s="738" t="s">
        <v>15632</v>
      </c>
      <c r="C206" s="4" t="s">
        <v>15656</v>
      </c>
      <c r="D206" s="743">
        <v>0</v>
      </c>
      <c r="E206" s="743">
        <v>0</v>
      </c>
      <c r="F206" s="743">
        <v>0</v>
      </c>
      <c r="G206" s="743">
        <v>0</v>
      </c>
      <c r="H206" s="743">
        <v>0</v>
      </c>
      <c r="I206" s="743">
        <v>0</v>
      </c>
      <c r="J206" s="31">
        <v>4968</v>
      </c>
      <c r="K206" s="31">
        <v>5036</v>
      </c>
      <c r="L206" s="31">
        <v>5180</v>
      </c>
      <c r="N206" s="738" t="s">
        <v>4914</v>
      </c>
      <c r="O206" s="4"/>
      <c r="Q206" s="4"/>
    </row>
    <row r="207" spans="1:17">
      <c r="A207" s="738" t="s">
        <v>7023</v>
      </c>
      <c r="B207" s="738" t="s">
        <v>15631</v>
      </c>
      <c r="C207" s="4" t="s">
        <v>15657</v>
      </c>
      <c r="D207" s="743">
        <v>0</v>
      </c>
      <c r="E207" s="743">
        <v>0</v>
      </c>
      <c r="F207" s="743">
        <v>0</v>
      </c>
      <c r="G207" s="743">
        <v>0</v>
      </c>
      <c r="H207" s="743">
        <v>0</v>
      </c>
      <c r="I207" s="743">
        <v>0</v>
      </c>
      <c r="J207" s="30">
        <v>4024</v>
      </c>
      <c r="K207" s="30">
        <v>4065</v>
      </c>
      <c r="L207" s="30">
        <v>4149</v>
      </c>
      <c r="N207" s="738" t="s">
        <v>5379</v>
      </c>
      <c r="O207" s="4"/>
      <c r="Q207" s="4"/>
    </row>
    <row r="208" spans="1:17">
      <c r="A208" s="738" t="s">
        <v>7025</v>
      </c>
      <c r="B208" s="738" t="s">
        <v>6265</v>
      </c>
      <c r="C208" s="4" t="s">
        <v>15658</v>
      </c>
      <c r="D208" s="743">
        <v>0</v>
      </c>
      <c r="E208" s="743">
        <v>0</v>
      </c>
      <c r="F208" s="743">
        <v>0</v>
      </c>
      <c r="G208" s="743">
        <v>0</v>
      </c>
      <c r="H208" s="743">
        <v>0</v>
      </c>
      <c r="I208" s="743">
        <v>0</v>
      </c>
      <c r="J208" s="31">
        <v>4119</v>
      </c>
      <c r="K208" s="31">
        <v>4256</v>
      </c>
      <c r="L208" s="31">
        <v>4487</v>
      </c>
      <c r="N208" s="738" t="s">
        <v>4914</v>
      </c>
      <c r="O208" s="4"/>
      <c r="Q208" s="4"/>
    </row>
    <row r="209" spans="1:17">
      <c r="A209" s="748">
        <v>21</v>
      </c>
      <c r="B209" s="738" t="s">
        <v>8523</v>
      </c>
      <c r="C209" s="4" t="s">
        <v>15659</v>
      </c>
      <c r="D209" s="743">
        <v>0</v>
      </c>
      <c r="E209" s="743">
        <v>0</v>
      </c>
      <c r="F209" s="743">
        <v>0</v>
      </c>
      <c r="G209" s="743">
        <v>0</v>
      </c>
      <c r="H209" s="743">
        <v>0</v>
      </c>
      <c r="I209" s="743">
        <v>0</v>
      </c>
      <c r="J209" s="31">
        <v>6394</v>
      </c>
      <c r="K209" s="31">
        <v>6520</v>
      </c>
      <c r="L209" s="31">
        <v>6686</v>
      </c>
      <c r="N209" s="738" t="s">
        <v>4914</v>
      </c>
      <c r="O209" s="4"/>
      <c r="Q209" s="4"/>
    </row>
    <row r="210" spans="1:17">
      <c r="A210" s="748">
        <v>22</v>
      </c>
      <c r="B210" s="738" t="s">
        <v>15630</v>
      </c>
      <c r="C210" s="4" t="s">
        <v>15660</v>
      </c>
      <c r="D210" s="743">
        <v>0</v>
      </c>
      <c r="E210" s="743">
        <v>0</v>
      </c>
      <c r="F210" s="743">
        <v>0</v>
      </c>
      <c r="G210" s="743">
        <v>0</v>
      </c>
      <c r="H210" s="743">
        <v>0</v>
      </c>
      <c r="I210" s="743">
        <v>0</v>
      </c>
      <c r="J210" s="31">
        <v>4050</v>
      </c>
      <c r="K210" s="31">
        <v>4063</v>
      </c>
      <c r="L210" s="31">
        <v>4164</v>
      </c>
      <c r="N210" s="738" t="s">
        <v>4914</v>
      </c>
    </row>
    <row r="211" spans="1:17">
      <c r="D211" s="743"/>
      <c r="E211" s="743"/>
      <c r="F211" s="743"/>
      <c r="G211" s="743"/>
      <c r="H211" s="743"/>
      <c r="I211" s="743"/>
      <c r="J211" s="743"/>
      <c r="K211" s="743"/>
      <c r="L211" s="743"/>
      <c r="O211" s="4"/>
      <c r="Q211" s="4"/>
    </row>
    <row r="212" spans="1:17">
      <c r="A212" s="739" t="s">
        <v>7624</v>
      </c>
      <c r="D212" s="741">
        <f t="shared" ref="D212:I212" si="122">D185++D186+D195+D198+SUM(D203:D205)+D207</f>
        <v>31237</v>
      </c>
      <c r="E212" s="741">
        <f t="shared" si="122"/>
        <v>31186</v>
      </c>
      <c r="F212" s="741">
        <f t="shared" si="122"/>
        <v>31005</v>
      </c>
      <c r="G212" s="741">
        <f t="shared" si="122"/>
        <v>30910</v>
      </c>
      <c r="H212" s="741">
        <f t="shared" si="122"/>
        <v>31659</v>
      </c>
      <c r="I212" s="741">
        <f t="shared" si="122"/>
        <v>30692</v>
      </c>
      <c r="J212" s="741">
        <f>J185++J186+J195+J198+SUM(J203:J205)+J207</f>
        <v>30286</v>
      </c>
      <c r="K212" s="741">
        <f>K185++K186+K195+K198+SUM(K203:K205)+K207</f>
        <v>31070</v>
      </c>
      <c r="L212" s="741">
        <f>L185++L186+L195+L198+SUM(L203:L205)+L207</f>
        <v>31228</v>
      </c>
      <c r="O212" s="4"/>
      <c r="Q212" s="4"/>
    </row>
    <row r="213" spans="1:17">
      <c r="A213" s="738" t="s">
        <v>4914</v>
      </c>
      <c r="D213" s="741">
        <f t="shared" ref="D213:I213" si="123">SUM(D187:D194)+D196+D199+D201+D202+D206+SUM(D208:D210)</f>
        <v>67030</v>
      </c>
      <c r="E213" s="741">
        <f t="shared" si="123"/>
        <v>66278</v>
      </c>
      <c r="F213" s="741">
        <f t="shared" si="123"/>
        <v>67261</v>
      </c>
      <c r="G213" s="741">
        <f t="shared" si="123"/>
        <v>69310</v>
      </c>
      <c r="H213" s="741">
        <f t="shared" si="123"/>
        <v>66418</v>
      </c>
      <c r="I213" s="741">
        <f t="shared" si="123"/>
        <v>67444</v>
      </c>
      <c r="J213" s="741">
        <f>SUM(J187:J194)+J196+J199+J201+J202+J206+SUM(J208:J210)</f>
        <v>67641</v>
      </c>
      <c r="K213" s="741">
        <f>SUM(K187:K194)+K196+K199+K201+K202+K206+SUM(K208:K210)</f>
        <v>69963</v>
      </c>
      <c r="L213" s="741">
        <f>SUM(L187:L194)+L196+L199+L201+L202+L206+SUM(L208:L210)</f>
        <v>73439</v>
      </c>
      <c r="O213" s="4"/>
      <c r="Q213" s="4"/>
    </row>
    <row r="214" spans="1:17">
      <c r="O214" s="4"/>
      <c r="Q214" s="4"/>
    </row>
    <row r="215" spans="1:17">
      <c r="A215" s="739" t="s">
        <v>15639</v>
      </c>
      <c r="O215" s="4"/>
      <c r="Q215" s="4"/>
    </row>
    <row r="216" spans="1:17">
      <c r="O216" s="4"/>
      <c r="Q216" s="4"/>
    </row>
  </sheetData>
  <sortState ref="O72:Q88">
    <sortCondition ref="O72"/>
  </sortState>
  <mergeCells count="1">
    <mergeCell ref="BJ185:BL185"/>
  </mergeCells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0" orientation="portrait" horizontalDpi="300" verticalDpi="300" r:id="rId1"/>
  <headerFooter alignWithMargins="0">
    <oddFooter>&amp;C&amp;8&amp;P of &amp;N</oddFooter>
  </headerFooter>
  <ignoredErrors>
    <ignoredError sqref="D71:K71 D44:K44 D3:J11 D99:K99 D121:J122 D212:J213 D184:K184 D63:J64 D90:J92 D177:I177 D130:K130 D13:J39 D12:J12 K90:K92 K121:K122 K63:K64 K212:K213 K3:K39 L3:L213" unlockedFormula="1"/>
    <ignoredError sqref="J177:K177" formula="1" unlockedFormula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83"/>
  <sheetViews>
    <sheetView showGridLines="0" zoomScaleNormal="100" workbookViewId="0"/>
  </sheetViews>
  <sheetFormatPr defaultColWidth="12.5703125" defaultRowHeight="15"/>
  <cols>
    <col min="1" max="1" width="4.85546875" style="13" customWidth="1"/>
    <col min="2" max="2" width="39.7109375" style="13" customWidth="1"/>
    <col min="3" max="3" width="11.5703125" style="13" customWidth="1"/>
    <col min="4" max="12" width="10" style="13" customWidth="1"/>
    <col min="13" max="13" width="2.28515625" style="13" customWidth="1"/>
    <col min="14" max="14" width="35.85546875" style="13" customWidth="1"/>
    <col min="15" max="16384" width="12.5703125" style="13"/>
  </cols>
  <sheetData>
    <row r="1" spans="1:14">
      <c r="A1" s="12" t="s">
        <v>7342</v>
      </c>
      <c r="D1" s="14">
        <v>2010</v>
      </c>
      <c r="E1" s="14">
        <v>2011</v>
      </c>
      <c r="F1" s="14">
        <v>2012</v>
      </c>
      <c r="G1" s="14">
        <v>2013</v>
      </c>
      <c r="H1" s="14">
        <v>2014</v>
      </c>
      <c r="I1" s="14">
        <v>2015</v>
      </c>
      <c r="J1" s="14">
        <v>2016</v>
      </c>
      <c r="K1" s="14">
        <v>2017</v>
      </c>
      <c r="L1" s="14">
        <v>2018</v>
      </c>
    </row>
    <row r="3" spans="1:14">
      <c r="A3" s="12" t="s">
        <v>8977</v>
      </c>
      <c r="D3" s="801">
        <f t="shared" ref="D3:I3" si="0">SUM(D19:D38)</f>
        <v>122556</v>
      </c>
      <c r="E3" s="801">
        <f t="shared" si="0"/>
        <v>125143</v>
      </c>
      <c r="F3" s="801">
        <f t="shared" si="0"/>
        <v>121693</v>
      </c>
      <c r="G3" s="801">
        <f t="shared" si="0"/>
        <v>119176</v>
      </c>
      <c r="H3" s="801">
        <f t="shared" si="0"/>
        <v>115815</v>
      </c>
      <c r="I3" s="801">
        <f t="shared" si="0"/>
        <v>107953</v>
      </c>
      <c r="J3" s="801">
        <f t="shared" ref="J3:K3" si="1">SUM(J19:J38)</f>
        <v>111349</v>
      </c>
      <c r="K3" s="801">
        <f t="shared" si="1"/>
        <v>118059</v>
      </c>
      <c r="L3" s="801">
        <f t="shared" ref="L3" si="2">SUM(L19:L38)</f>
        <v>118134</v>
      </c>
    </row>
    <row r="4" spans="1:14">
      <c r="A4" s="12"/>
      <c r="D4" s="802"/>
      <c r="E4" s="802"/>
      <c r="F4" s="802"/>
      <c r="G4" s="802"/>
      <c r="H4" s="802"/>
      <c r="I4" s="802"/>
      <c r="J4" s="802"/>
      <c r="K4" s="802"/>
      <c r="L4" s="802"/>
    </row>
    <row r="5" spans="1:14">
      <c r="A5" s="16" t="s">
        <v>7343</v>
      </c>
      <c r="D5" s="15">
        <f t="shared" ref="D5:I5" si="3">D3/2</f>
        <v>61278</v>
      </c>
      <c r="E5" s="15">
        <f t="shared" si="3"/>
        <v>62571.5</v>
      </c>
      <c r="F5" s="15">
        <f t="shared" si="3"/>
        <v>60846.5</v>
      </c>
      <c r="G5" s="15">
        <f t="shared" si="3"/>
        <v>59588</v>
      </c>
      <c r="H5" s="15">
        <f t="shared" si="3"/>
        <v>57907.5</v>
      </c>
      <c r="I5" s="15">
        <f t="shared" si="3"/>
        <v>53976.5</v>
      </c>
      <c r="J5" s="15">
        <f t="shared" ref="J5:K5" si="4">J3/2</f>
        <v>55674.5</v>
      </c>
      <c r="K5" s="15">
        <f t="shared" si="4"/>
        <v>59029.5</v>
      </c>
      <c r="L5" s="15">
        <f t="shared" ref="L5" si="5">L3/2</f>
        <v>59067</v>
      </c>
    </row>
    <row r="6" spans="1:14">
      <c r="D6" s="17"/>
      <c r="E6" s="17"/>
      <c r="F6" s="17"/>
      <c r="G6" s="17"/>
      <c r="H6" s="17"/>
      <c r="I6" s="17"/>
      <c r="J6" s="17"/>
      <c r="K6" s="17"/>
      <c r="L6" s="17"/>
    </row>
    <row r="7" spans="1:14">
      <c r="A7" s="12" t="s">
        <v>8107</v>
      </c>
      <c r="D7" s="15">
        <f>'CITY OF LONDON'!D5</f>
        <v>5947</v>
      </c>
      <c r="E7" s="15">
        <f>'CITY OF LONDON'!E5</f>
        <v>5933</v>
      </c>
      <c r="F7" s="15">
        <f>'CITY OF LONDON'!F5</f>
        <v>5992</v>
      </c>
      <c r="G7" s="15">
        <f>'CITY OF LONDON'!G5</f>
        <v>5898</v>
      </c>
      <c r="H7" s="15">
        <f>'CITY OF LONDON'!H5</f>
        <v>5921</v>
      </c>
      <c r="I7" s="15">
        <f>'CITY OF LONDON'!I5</f>
        <v>5853</v>
      </c>
      <c r="J7" s="15">
        <f>'CITY OF LONDON'!J5</f>
        <v>6158</v>
      </c>
      <c r="K7" s="15">
        <f>'CITY OF LONDON'!K5</f>
        <v>6055</v>
      </c>
      <c r="L7" s="15">
        <f>'CITY OF LONDON'!L5</f>
        <v>6034</v>
      </c>
      <c r="N7" s="12" t="s">
        <v>8816</v>
      </c>
    </row>
    <row r="8" spans="1:14" ht="15.75" thickBot="1">
      <c r="D8" s="18">
        <f t="shared" ref="D8:I8" si="6">D21+D22+D25+D26+D30+SUM(D33:D36)+D38</f>
        <v>58097</v>
      </c>
      <c r="E8" s="18">
        <f t="shared" si="6"/>
        <v>59207</v>
      </c>
      <c r="F8" s="18">
        <f t="shared" si="6"/>
        <v>57502</v>
      </c>
      <c r="G8" s="18">
        <f t="shared" si="6"/>
        <v>56495</v>
      </c>
      <c r="H8" s="18">
        <f t="shared" si="6"/>
        <v>54936</v>
      </c>
      <c r="I8" s="18">
        <f t="shared" si="6"/>
        <v>50068</v>
      </c>
      <c r="J8" s="18">
        <f t="shared" ref="J8:K8" si="7">J21+J22+J25+J26+J30+SUM(J33:J36)+J38</f>
        <v>51913</v>
      </c>
      <c r="K8" s="18">
        <f t="shared" si="7"/>
        <v>55167</v>
      </c>
      <c r="L8" s="18">
        <f t="shared" ref="L8" si="8">L21+L22+L25+L26+L30+SUM(L33:L36)+L38</f>
        <v>54542</v>
      </c>
      <c r="N8" s="12" t="s">
        <v>8108</v>
      </c>
    </row>
    <row r="9" spans="1:14" ht="15.75" thickBot="1">
      <c r="D9" s="18">
        <f t="shared" ref="D9:I9" si="9">D7+D8</f>
        <v>64044</v>
      </c>
      <c r="E9" s="18">
        <f t="shared" si="9"/>
        <v>65140</v>
      </c>
      <c r="F9" s="18">
        <f t="shared" si="9"/>
        <v>63494</v>
      </c>
      <c r="G9" s="18">
        <f t="shared" si="9"/>
        <v>62393</v>
      </c>
      <c r="H9" s="18">
        <f t="shared" si="9"/>
        <v>60857</v>
      </c>
      <c r="I9" s="18">
        <f t="shared" si="9"/>
        <v>55921</v>
      </c>
      <c r="J9" s="18">
        <f t="shared" ref="J9:K9" si="10">J7+J8</f>
        <v>58071</v>
      </c>
      <c r="K9" s="18">
        <f t="shared" si="10"/>
        <v>61222</v>
      </c>
      <c r="L9" s="18">
        <f t="shared" ref="L9" si="11">L7+L8</f>
        <v>60576</v>
      </c>
    </row>
    <row r="10" spans="1:14">
      <c r="D10" s="17"/>
      <c r="E10" s="17"/>
      <c r="F10" s="17"/>
      <c r="G10" s="17"/>
      <c r="H10" s="17"/>
      <c r="I10" s="17"/>
      <c r="J10" s="17"/>
      <c r="K10" s="17"/>
      <c r="L10" s="17"/>
    </row>
    <row r="11" spans="1:14">
      <c r="A11" s="12" t="s">
        <v>4591</v>
      </c>
      <c r="D11" s="801">
        <f t="shared" ref="D11:I11" si="12">D19+D20+D23+D24+SUM(D27:D29)+D31+D32+D37</f>
        <v>64459</v>
      </c>
      <c r="E11" s="801">
        <f t="shared" si="12"/>
        <v>65936</v>
      </c>
      <c r="F11" s="801">
        <f t="shared" si="12"/>
        <v>64191</v>
      </c>
      <c r="G11" s="801">
        <f t="shared" si="12"/>
        <v>62681</v>
      </c>
      <c r="H11" s="801">
        <f t="shared" si="12"/>
        <v>60879</v>
      </c>
      <c r="I11" s="801">
        <f t="shared" si="12"/>
        <v>57885</v>
      </c>
      <c r="J11" s="801">
        <f t="shared" ref="J11:K11" si="13">J19+J20+J23+J24+SUM(J27:J29)+J31+J32+J37</f>
        <v>59436</v>
      </c>
      <c r="K11" s="801">
        <f t="shared" si="13"/>
        <v>62892</v>
      </c>
      <c r="L11" s="801">
        <f t="shared" ref="L11" si="14">L19+L20+L23+L24+SUM(L27:L29)+L31+L32+L37</f>
        <v>63592</v>
      </c>
      <c r="N11" s="12" t="s">
        <v>8108</v>
      </c>
    </row>
    <row r="12" spans="1:14">
      <c r="D12" s="17"/>
      <c r="E12" s="17"/>
      <c r="F12" s="17"/>
      <c r="G12" s="17"/>
      <c r="H12" s="17"/>
      <c r="I12" s="17"/>
      <c r="J12" s="17"/>
      <c r="K12" s="17"/>
      <c r="L12" s="17"/>
    </row>
    <row r="13" spans="1:14">
      <c r="A13" s="12" t="s">
        <v>8697</v>
      </c>
      <c r="D13" s="15">
        <f t="shared" ref="D13:I13" si="15">D8+D11</f>
        <v>122556</v>
      </c>
      <c r="E13" s="15">
        <f t="shared" si="15"/>
        <v>125143</v>
      </c>
      <c r="F13" s="15">
        <f t="shared" si="15"/>
        <v>121693</v>
      </c>
      <c r="G13" s="15">
        <f t="shared" si="15"/>
        <v>119176</v>
      </c>
      <c r="H13" s="15">
        <f t="shared" si="15"/>
        <v>115815</v>
      </c>
      <c r="I13" s="15">
        <f t="shared" si="15"/>
        <v>107953</v>
      </c>
      <c r="J13" s="15">
        <f t="shared" ref="J13:K13" si="16">J8+J11</f>
        <v>111349</v>
      </c>
      <c r="K13" s="15">
        <f t="shared" si="16"/>
        <v>118059</v>
      </c>
      <c r="L13" s="15">
        <f t="shared" ref="L13" si="17">L8+L11</f>
        <v>118134</v>
      </c>
    </row>
    <row r="14" spans="1:14">
      <c r="D14" s="17"/>
      <c r="E14" s="17"/>
      <c r="F14" s="17"/>
      <c r="G14" s="17"/>
      <c r="H14" s="17"/>
      <c r="I14" s="17"/>
      <c r="J14" s="17"/>
      <c r="K14" s="17"/>
      <c r="L14" s="17"/>
    </row>
    <row r="15" spans="1:14">
      <c r="A15" s="12" t="s">
        <v>8698</v>
      </c>
      <c r="D15" s="15">
        <f t="shared" ref="D15:I15" si="18">MAX(D9,D11)-MIN(D9,D11)</f>
        <v>415</v>
      </c>
      <c r="E15" s="15">
        <f t="shared" si="18"/>
        <v>796</v>
      </c>
      <c r="F15" s="15">
        <f t="shared" si="18"/>
        <v>697</v>
      </c>
      <c r="G15" s="15">
        <f t="shared" si="18"/>
        <v>288</v>
      </c>
      <c r="H15" s="15">
        <f t="shared" si="18"/>
        <v>22</v>
      </c>
      <c r="I15" s="15">
        <f t="shared" si="18"/>
        <v>1964</v>
      </c>
      <c r="J15" s="15">
        <f t="shared" ref="J15:K15" si="19">MAX(J9,J11)-MIN(J9,J11)</f>
        <v>1365</v>
      </c>
      <c r="K15" s="15">
        <f t="shared" si="19"/>
        <v>1670</v>
      </c>
      <c r="L15" s="15">
        <f t="shared" ref="L15" si="20">MAX(L9,L11)-MIN(L9,L11)</f>
        <v>3016</v>
      </c>
    </row>
    <row r="16" spans="1:14">
      <c r="D16" s="17"/>
      <c r="E16" s="17"/>
      <c r="F16" s="17"/>
      <c r="G16" s="17"/>
      <c r="H16" s="17"/>
      <c r="I16" s="17"/>
      <c r="J16" s="17"/>
      <c r="K16" s="17"/>
      <c r="L16" s="17"/>
    </row>
    <row r="17" spans="1:18">
      <c r="A17" s="16" t="s">
        <v>8701</v>
      </c>
      <c r="D17" s="15">
        <f t="shared" ref="D17:I17" si="21">STDEVP(D9,D11)</f>
        <v>207.5</v>
      </c>
      <c r="E17" s="15">
        <f t="shared" si="21"/>
        <v>398</v>
      </c>
      <c r="F17" s="15">
        <f t="shared" si="21"/>
        <v>348.5</v>
      </c>
      <c r="G17" s="15">
        <f t="shared" si="21"/>
        <v>144</v>
      </c>
      <c r="H17" s="15">
        <f t="shared" si="21"/>
        <v>11</v>
      </c>
      <c r="I17" s="15">
        <f t="shared" si="21"/>
        <v>982</v>
      </c>
      <c r="J17" s="15">
        <f t="shared" ref="J17:K17" si="22">STDEVP(J9,J11)</f>
        <v>682.5</v>
      </c>
      <c r="K17" s="15">
        <f t="shared" si="22"/>
        <v>835</v>
      </c>
      <c r="L17" s="15">
        <f t="shared" ref="L17" si="23">STDEVP(L9,L11)</f>
        <v>1508</v>
      </c>
    </row>
    <row r="18" spans="1:18">
      <c r="D18" s="17"/>
      <c r="E18" s="17"/>
      <c r="F18" s="17"/>
      <c r="G18" s="17"/>
      <c r="H18" s="17"/>
      <c r="I18" s="17"/>
      <c r="J18" s="17"/>
      <c r="K18" s="17"/>
      <c r="L18" s="17"/>
    </row>
    <row r="19" spans="1:18">
      <c r="A19" s="12" t="s">
        <v>6957</v>
      </c>
      <c r="B19" s="12" t="s">
        <v>2869</v>
      </c>
      <c r="C19" s="4" t="s">
        <v>8957</v>
      </c>
      <c r="D19" s="803">
        <v>6296</v>
      </c>
      <c r="E19" s="803">
        <v>6429</v>
      </c>
      <c r="F19" s="803">
        <v>6256</v>
      </c>
      <c r="G19" s="803">
        <v>6023</v>
      </c>
      <c r="H19" s="48">
        <v>5620</v>
      </c>
      <c r="I19" s="48">
        <v>5448</v>
      </c>
      <c r="J19" s="48">
        <v>5469</v>
      </c>
      <c r="K19" s="48">
        <v>5729</v>
      </c>
      <c r="L19" s="48">
        <v>5786</v>
      </c>
      <c r="N19" s="12" t="s">
        <v>4591</v>
      </c>
      <c r="P19" s="4"/>
      <c r="R19" s="4"/>
    </row>
    <row r="20" spans="1:18">
      <c r="A20" s="12" t="s">
        <v>6959</v>
      </c>
      <c r="B20" s="12" t="s">
        <v>2870</v>
      </c>
      <c r="C20" s="4" t="s">
        <v>8958</v>
      </c>
      <c r="D20" s="15">
        <v>5808</v>
      </c>
      <c r="E20" s="15">
        <v>5838</v>
      </c>
      <c r="F20" s="15">
        <v>5543</v>
      </c>
      <c r="G20" s="15">
        <v>5349</v>
      </c>
      <c r="H20" s="48">
        <v>5161</v>
      </c>
      <c r="I20" s="48">
        <v>4771</v>
      </c>
      <c r="J20" s="48">
        <v>4920</v>
      </c>
      <c r="K20" s="48">
        <v>5405</v>
      </c>
      <c r="L20" s="48">
        <v>5381</v>
      </c>
      <c r="N20" s="12" t="s">
        <v>4591</v>
      </c>
      <c r="P20" s="4"/>
      <c r="R20" s="4"/>
    </row>
    <row r="21" spans="1:18">
      <c r="A21" s="12" t="s">
        <v>6961</v>
      </c>
      <c r="B21" s="12" t="s">
        <v>2871</v>
      </c>
      <c r="C21" s="4" t="s">
        <v>8959</v>
      </c>
      <c r="D21" s="15">
        <v>6123</v>
      </c>
      <c r="E21" s="15">
        <v>6203</v>
      </c>
      <c r="F21" s="15">
        <v>6045</v>
      </c>
      <c r="G21" s="15">
        <v>5906</v>
      </c>
      <c r="H21" s="48">
        <v>5593</v>
      </c>
      <c r="I21" s="48">
        <v>5163</v>
      </c>
      <c r="J21" s="48">
        <v>5300</v>
      </c>
      <c r="K21" s="48">
        <v>5687</v>
      </c>
      <c r="L21" s="48">
        <v>5696</v>
      </c>
      <c r="N21" s="12" t="s">
        <v>8107</v>
      </c>
      <c r="P21" s="4"/>
      <c r="R21" s="4"/>
    </row>
    <row r="22" spans="1:18">
      <c r="A22" s="12" t="s">
        <v>6963</v>
      </c>
      <c r="B22" s="12" t="s">
        <v>2872</v>
      </c>
      <c r="C22" s="4" t="s">
        <v>8960</v>
      </c>
      <c r="D22" s="803">
        <v>5560</v>
      </c>
      <c r="E22" s="803">
        <v>5701</v>
      </c>
      <c r="F22" s="803">
        <v>5650</v>
      </c>
      <c r="G22" s="803">
        <v>5694</v>
      </c>
      <c r="H22" s="48">
        <v>5631</v>
      </c>
      <c r="I22" s="48">
        <v>5298</v>
      </c>
      <c r="J22" s="48">
        <v>5498</v>
      </c>
      <c r="K22" s="48">
        <v>5688</v>
      </c>
      <c r="L22" s="48">
        <v>5696</v>
      </c>
      <c r="N22" s="12" t="s">
        <v>8107</v>
      </c>
      <c r="P22" s="4"/>
      <c r="R22" s="4"/>
    </row>
    <row r="23" spans="1:18">
      <c r="A23" s="12" t="s">
        <v>6965</v>
      </c>
      <c r="B23" s="12" t="s">
        <v>2873</v>
      </c>
      <c r="C23" s="4" t="s">
        <v>8961</v>
      </c>
      <c r="D23" s="803">
        <v>6587</v>
      </c>
      <c r="E23" s="803">
        <v>6729</v>
      </c>
      <c r="F23" s="803">
        <v>6636</v>
      </c>
      <c r="G23" s="803">
        <v>6578</v>
      </c>
      <c r="H23" s="48">
        <v>6459</v>
      </c>
      <c r="I23" s="48">
        <v>6061</v>
      </c>
      <c r="J23" s="48">
        <v>6332</v>
      </c>
      <c r="K23" s="48">
        <v>6609</v>
      </c>
      <c r="L23" s="48">
        <v>6776</v>
      </c>
      <c r="N23" s="12" t="s">
        <v>4591</v>
      </c>
      <c r="P23" s="4"/>
      <c r="R23" s="4"/>
    </row>
    <row r="24" spans="1:18">
      <c r="A24" s="12" t="s">
        <v>6997</v>
      </c>
      <c r="B24" s="12" t="s">
        <v>2874</v>
      </c>
      <c r="C24" s="4" t="s">
        <v>8962</v>
      </c>
      <c r="D24" s="803">
        <v>6814</v>
      </c>
      <c r="E24" s="803">
        <v>7049</v>
      </c>
      <c r="F24" s="803">
        <v>6861</v>
      </c>
      <c r="G24" s="803">
        <v>6835</v>
      </c>
      <c r="H24" s="48">
        <v>6691</v>
      </c>
      <c r="I24" s="48">
        <v>6350</v>
      </c>
      <c r="J24" s="48">
        <v>6440</v>
      </c>
      <c r="K24" s="48">
        <v>6905</v>
      </c>
      <c r="L24" s="48">
        <v>7081</v>
      </c>
      <c r="N24" s="12" t="s">
        <v>4591</v>
      </c>
      <c r="P24" s="4"/>
      <c r="R24" s="4"/>
    </row>
    <row r="25" spans="1:18">
      <c r="A25" s="12" t="s">
        <v>6999</v>
      </c>
      <c r="B25" s="12" t="s">
        <v>2875</v>
      </c>
      <c r="C25" s="4" t="s">
        <v>8963</v>
      </c>
      <c r="D25" s="803">
        <v>6208</v>
      </c>
      <c r="E25" s="803">
        <v>6370</v>
      </c>
      <c r="F25" s="803">
        <v>6127</v>
      </c>
      <c r="G25" s="803">
        <v>5828</v>
      </c>
      <c r="H25" s="48">
        <v>5859</v>
      </c>
      <c r="I25" s="48">
        <v>5267</v>
      </c>
      <c r="J25" s="48">
        <v>5386</v>
      </c>
      <c r="K25" s="48">
        <v>5861</v>
      </c>
      <c r="L25" s="48">
        <v>5859</v>
      </c>
      <c r="N25" s="12" t="s">
        <v>8107</v>
      </c>
      <c r="P25" s="4"/>
      <c r="R25" s="4"/>
    </row>
    <row r="26" spans="1:18">
      <c r="A26" s="12" t="s">
        <v>7001</v>
      </c>
      <c r="B26" s="12" t="s">
        <v>2876</v>
      </c>
      <c r="C26" s="4" t="s">
        <v>8964</v>
      </c>
      <c r="D26" s="803">
        <v>5007</v>
      </c>
      <c r="E26" s="803">
        <v>5059</v>
      </c>
      <c r="F26" s="803">
        <v>4791</v>
      </c>
      <c r="G26" s="803">
        <v>4932</v>
      </c>
      <c r="H26" s="48">
        <v>4532</v>
      </c>
      <c r="I26" s="48">
        <v>3444</v>
      </c>
      <c r="J26" s="48">
        <v>3769</v>
      </c>
      <c r="K26" s="48">
        <v>4054</v>
      </c>
      <c r="L26" s="48">
        <v>3541</v>
      </c>
      <c r="N26" s="12" t="s">
        <v>8107</v>
      </c>
      <c r="P26" s="4"/>
      <c r="R26" s="4"/>
    </row>
    <row r="27" spans="1:18">
      <c r="A27" s="12" t="s">
        <v>7003</v>
      </c>
      <c r="B27" s="12" t="s">
        <v>2877</v>
      </c>
      <c r="C27" s="4" t="s">
        <v>8965</v>
      </c>
      <c r="D27" s="803">
        <v>6017</v>
      </c>
      <c r="E27" s="803">
        <v>6123</v>
      </c>
      <c r="F27" s="803">
        <v>5887</v>
      </c>
      <c r="G27" s="803">
        <v>5624</v>
      </c>
      <c r="H27" s="48">
        <v>5420</v>
      </c>
      <c r="I27" s="48">
        <v>5038</v>
      </c>
      <c r="J27" s="48">
        <v>5140</v>
      </c>
      <c r="K27" s="48">
        <v>5587</v>
      </c>
      <c r="L27" s="48">
        <v>5631</v>
      </c>
      <c r="N27" s="12" t="s">
        <v>4591</v>
      </c>
      <c r="P27" s="4"/>
      <c r="R27" s="4"/>
    </row>
    <row r="28" spans="1:18">
      <c r="A28" s="12" t="s">
        <v>7005</v>
      </c>
      <c r="B28" s="12" t="s">
        <v>2878</v>
      </c>
      <c r="C28" s="4" t="s">
        <v>8966</v>
      </c>
      <c r="D28" s="803">
        <v>6023</v>
      </c>
      <c r="E28" s="803">
        <v>6212</v>
      </c>
      <c r="F28" s="803">
        <v>5980</v>
      </c>
      <c r="G28" s="803">
        <v>5810</v>
      </c>
      <c r="H28" s="48">
        <v>5681</v>
      </c>
      <c r="I28" s="48">
        <v>5419</v>
      </c>
      <c r="J28" s="48">
        <v>5545</v>
      </c>
      <c r="K28" s="48">
        <v>5861</v>
      </c>
      <c r="L28" s="48">
        <v>5879</v>
      </c>
      <c r="N28" s="12" t="s">
        <v>4591</v>
      </c>
      <c r="P28" s="4"/>
      <c r="R28" s="4"/>
    </row>
    <row r="29" spans="1:18">
      <c r="A29" s="12" t="s">
        <v>7007</v>
      </c>
      <c r="B29" s="12" t="s">
        <v>2879</v>
      </c>
      <c r="C29" s="4" t="s">
        <v>8967</v>
      </c>
      <c r="D29" s="803">
        <v>6065</v>
      </c>
      <c r="E29" s="803">
        <v>6255</v>
      </c>
      <c r="F29" s="803">
        <v>6095</v>
      </c>
      <c r="G29" s="803">
        <v>5891</v>
      </c>
      <c r="H29" s="48">
        <v>5757</v>
      </c>
      <c r="I29" s="48">
        <v>5417</v>
      </c>
      <c r="J29" s="48">
        <v>5689</v>
      </c>
      <c r="K29" s="48">
        <v>6006</v>
      </c>
      <c r="L29" s="48">
        <v>5948</v>
      </c>
      <c r="N29" s="12" t="s">
        <v>4591</v>
      </c>
      <c r="P29" s="4"/>
      <c r="R29" s="4"/>
    </row>
    <row r="30" spans="1:18">
      <c r="A30" s="12" t="s">
        <v>7009</v>
      </c>
      <c r="B30" s="12" t="s">
        <v>2880</v>
      </c>
      <c r="C30" s="4" t="s">
        <v>8968</v>
      </c>
      <c r="D30" s="803">
        <v>5604</v>
      </c>
      <c r="E30" s="803">
        <v>5675</v>
      </c>
      <c r="F30" s="803">
        <v>5487</v>
      </c>
      <c r="G30" s="803">
        <v>5384</v>
      </c>
      <c r="H30" s="48">
        <v>5119</v>
      </c>
      <c r="I30" s="48">
        <v>4774</v>
      </c>
      <c r="J30" s="48">
        <v>4772</v>
      </c>
      <c r="K30" s="48">
        <v>5035</v>
      </c>
      <c r="L30" s="48">
        <v>4971</v>
      </c>
      <c r="N30" s="12" t="s">
        <v>8107</v>
      </c>
      <c r="P30" s="4"/>
      <c r="R30" s="4"/>
    </row>
    <row r="31" spans="1:18">
      <c r="A31" s="12" t="s">
        <v>7011</v>
      </c>
      <c r="B31" s="12" t="s">
        <v>7569</v>
      </c>
      <c r="C31" s="4" t="s">
        <v>8969</v>
      </c>
      <c r="D31" s="803">
        <v>7204</v>
      </c>
      <c r="E31" s="803">
        <v>7301</v>
      </c>
      <c r="F31" s="803">
        <v>7146</v>
      </c>
      <c r="G31" s="803">
        <v>7039</v>
      </c>
      <c r="H31" s="48">
        <v>7014</v>
      </c>
      <c r="I31" s="48">
        <v>6780</v>
      </c>
      <c r="J31" s="48">
        <v>7054</v>
      </c>
      <c r="K31" s="48">
        <v>7395</v>
      </c>
      <c r="L31" s="48">
        <v>7566</v>
      </c>
      <c r="N31" s="12" t="s">
        <v>4591</v>
      </c>
      <c r="P31" s="4"/>
      <c r="R31" s="4"/>
    </row>
    <row r="32" spans="1:18">
      <c r="A32" s="12" t="s">
        <v>7013</v>
      </c>
      <c r="B32" s="12" t="s">
        <v>1084</v>
      </c>
      <c r="C32" s="4" t="s">
        <v>8970</v>
      </c>
      <c r="D32" s="803">
        <v>6581</v>
      </c>
      <c r="E32" s="803">
        <v>6804</v>
      </c>
      <c r="F32" s="803">
        <v>6683</v>
      </c>
      <c r="G32" s="803">
        <v>6490</v>
      </c>
      <c r="H32" s="48">
        <v>6200</v>
      </c>
      <c r="I32" s="48">
        <v>6032</v>
      </c>
      <c r="J32" s="48">
        <v>6097</v>
      </c>
      <c r="K32" s="48">
        <v>6289</v>
      </c>
      <c r="L32" s="48">
        <v>6254</v>
      </c>
      <c r="N32" s="12" t="s">
        <v>4591</v>
      </c>
      <c r="P32" s="4"/>
      <c r="R32" s="4"/>
    </row>
    <row r="33" spans="1:18">
      <c r="A33" s="12" t="s">
        <v>7015</v>
      </c>
      <c r="B33" s="12" t="s">
        <v>2881</v>
      </c>
      <c r="C33" s="4" t="s">
        <v>8971</v>
      </c>
      <c r="D33" s="803">
        <v>6604</v>
      </c>
      <c r="E33" s="803">
        <v>6679</v>
      </c>
      <c r="F33" s="803">
        <v>6350</v>
      </c>
      <c r="G33" s="803">
        <v>6242</v>
      </c>
      <c r="H33" s="48">
        <v>6147</v>
      </c>
      <c r="I33" s="48">
        <v>5547</v>
      </c>
      <c r="J33" s="48">
        <v>5952</v>
      </c>
      <c r="K33" s="48">
        <v>6346</v>
      </c>
      <c r="L33" s="48">
        <v>6398</v>
      </c>
      <c r="N33" s="12" t="s">
        <v>8107</v>
      </c>
      <c r="P33" s="4"/>
      <c r="R33" s="4"/>
    </row>
    <row r="34" spans="1:18">
      <c r="A34" s="12" t="s">
        <v>7017</v>
      </c>
      <c r="B34" s="12" t="s">
        <v>2926</v>
      </c>
      <c r="C34" s="4" t="s">
        <v>8972</v>
      </c>
      <c r="D34" s="803">
        <v>5488</v>
      </c>
      <c r="E34" s="803">
        <v>5524</v>
      </c>
      <c r="F34" s="803">
        <v>5396</v>
      </c>
      <c r="G34" s="803">
        <v>5206</v>
      </c>
      <c r="H34" s="48">
        <v>5103</v>
      </c>
      <c r="I34" s="48">
        <v>4820</v>
      </c>
      <c r="J34" s="48">
        <v>4942</v>
      </c>
      <c r="K34" s="48">
        <v>5227</v>
      </c>
      <c r="L34" s="48">
        <v>5133</v>
      </c>
      <c r="N34" s="12" t="s">
        <v>8107</v>
      </c>
      <c r="P34" s="4"/>
      <c r="R34" s="4"/>
    </row>
    <row r="35" spans="1:18">
      <c r="A35" s="12" t="s">
        <v>7019</v>
      </c>
      <c r="B35" s="12" t="s">
        <v>1168</v>
      </c>
      <c r="C35" s="4" t="s">
        <v>8973</v>
      </c>
      <c r="D35" s="803">
        <v>6138</v>
      </c>
      <c r="E35" s="803">
        <v>6318</v>
      </c>
      <c r="F35" s="803">
        <v>6273</v>
      </c>
      <c r="G35" s="803">
        <v>6158</v>
      </c>
      <c r="H35" s="48">
        <v>6108</v>
      </c>
      <c r="I35" s="48">
        <v>5718</v>
      </c>
      <c r="J35" s="48">
        <v>5967</v>
      </c>
      <c r="K35" s="48">
        <v>6318</v>
      </c>
      <c r="L35" s="48">
        <v>6398</v>
      </c>
      <c r="N35" s="12" t="s">
        <v>8107</v>
      </c>
      <c r="P35" s="4"/>
      <c r="R35" s="4"/>
    </row>
    <row r="36" spans="1:18">
      <c r="A36" s="12" t="s">
        <v>7021</v>
      </c>
      <c r="B36" s="12" t="s">
        <v>8756</v>
      </c>
      <c r="C36" s="4" t="s">
        <v>8974</v>
      </c>
      <c r="D36" s="803">
        <v>6006</v>
      </c>
      <c r="E36" s="803">
        <v>6113</v>
      </c>
      <c r="F36" s="803">
        <v>5895</v>
      </c>
      <c r="G36" s="803">
        <v>5733</v>
      </c>
      <c r="H36" s="48">
        <v>5603</v>
      </c>
      <c r="I36" s="48">
        <v>5274</v>
      </c>
      <c r="J36" s="48">
        <v>5491</v>
      </c>
      <c r="K36" s="48">
        <v>5729</v>
      </c>
      <c r="L36" s="48">
        <v>5568</v>
      </c>
      <c r="N36" s="12" t="s">
        <v>8107</v>
      </c>
      <c r="P36" s="4"/>
      <c r="R36" s="4"/>
    </row>
    <row r="37" spans="1:18">
      <c r="A37" s="12" t="s">
        <v>7023</v>
      </c>
      <c r="B37" s="12" t="s">
        <v>1169</v>
      </c>
      <c r="C37" s="4" t="s">
        <v>8975</v>
      </c>
      <c r="D37" s="803">
        <v>7064</v>
      </c>
      <c r="E37" s="803">
        <v>7196</v>
      </c>
      <c r="F37" s="803">
        <v>7104</v>
      </c>
      <c r="G37" s="803">
        <v>7042</v>
      </c>
      <c r="H37" s="48">
        <v>6876</v>
      </c>
      <c r="I37" s="48">
        <v>6569</v>
      </c>
      <c r="J37" s="48">
        <v>6750</v>
      </c>
      <c r="K37" s="48">
        <v>7106</v>
      </c>
      <c r="L37" s="48">
        <v>7290</v>
      </c>
      <c r="N37" s="12" t="s">
        <v>4591</v>
      </c>
      <c r="P37" s="4"/>
      <c r="R37" s="4"/>
    </row>
    <row r="38" spans="1:18">
      <c r="A38" s="12" t="s">
        <v>7025</v>
      </c>
      <c r="B38" s="12" t="s">
        <v>1170</v>
      </c>
      <c r="C38" s="4" t="s">
        <v>8976</v>
      </c>
      <c r="D38" s="803">
        <v>5359</v>
      </c>
      <c r="E38" s="803">
        <v>5565</v>
      </c>
      <c r="F38" s="803">
        <v>5488</v>
      </c>
      <c r="G38" s="803">
        <v>5412</v>
      </c>
      <c r="H38" s="48">
        <v>5241</v>
      </c>
      <c r="I38" s="48">
        <v>4763</v>
      </c>
      <c r="J38" s="48">
        <v>4836</v>
      </c>
      <c r="K38" s="48">
        <v>5222</v>
      </c>
      <c r="L38" s="48">
        <v>5282</v>
      </c>
      <c r="N38" s="12" t="s">
        <v>8107</v>
      </c>
      <c r="P38" s="4"/>
      <c r="R38" s="4"/>
    </row>
    <row r="40" spans="1:18">
      <c r="A40" s="13" t="s">
        <v>1171</v>
      </c>
    </row>
    <row r="42" spans="1:18">
      <c r="D42" s="14"/>
      <c r="E42" s="14"/>
      <c r="F42" s="14"/>
      <c r="G42" s="14"/>
      <c r="H42" s="14"/>
      <c r="I42" s="14"/>
      <c r="J42" s="14"/>
      <c r="K42" s="14"/>
      <c r="L42" s="14"/>
      <c r="N42" s="12"/>
    </row>
    <row r="43" spans="1:18">
      <c r="D43" s="804"/>
      <c r="E43" s="804"/>
      <c r="F43" s="804"/>
      <c r="G43" s="804"/>
      <c r="H43" s="804"/>
      <c r="I43" s="804"/>
      <c r="J43" s="804"/>
      <c r="K43" s="804"/>
      <c r="L43" s="804"/>
    </row>
    <row r="44" spans="1:18">
      <c r="D44" s="14"/>
      <c r="E44" s="14"/>
      <c r="F44" s="14"/>
      <c r="G44" s="14"/>
      <c r="H44" s="14"/>
      <c r="I44" s="14"/>
      <c r="J44" s="14"/>
      <c r="K44" s="14"/>
      <c r="L44" s="14"/>
    </row>
    <row r="45" spans="1:18">
      <c r="D45" s="804"/>
      <c r="E45" s="804"/>
      <c r="F45" s="804"/>
      <c r="G45" s="804"/>
      <c r="H45" s="804"/>
      <c r="I45" s="804"/>
      <c r="J45" s="804"/>
      <c r="K45" s="804"/>
      <c r="L45" s="804"/>
    </row>
    <row r="46" spans="1:18">
      <c r="A46" s="12"/>
      <c r="B46" s="12"/>
      <c r="C46" s="12"/>
      <c r="D46" s="14"/>
      <c r="E46" s="14"/>
      <c r="F46" s="14"/>
      <c r="G46" s="14"/>
      <c r="H46" s="14"/>
      <c r="I46" s="14"/>
      <c r="J46" s="14"/>
      <c r="K46" s="14"/>
      <c r="L46" s="14"/>
      <c r="N46" s="12"/>
    </row>
    <row r="47" spans="1:18">
      <c r="A47" s="12"/>
      <c r="B47" s="12"/>
      <c r="C47" s="12"/>
      <c r="D47" s="14"/>
      <c r="E47" s="14"/>
      <c r="F47" s="14"/>
      <c r="G47" s="14"/>
      <c r="H47" s="14"/>
      <c r="I47" s="14"/>
      <c r="J47" s="14"/>
      <c r="K47" s="14"/>
      <c r="L47" s="14"/>
      <c r="N47" s="12"/>
    </row>
    <row r="48" spans="1:18">
      <c r="A48" s="12"/>
      <c r="B48" s="12"/>
      <c r="C48" s="12"/>
      <c r="D48" s="14"/>
      <c r="E48" s="14"/>
      <c r="F48" s="14"/>
      <c r="G48" s="14"/>
      <c r="H48" s="14"/>
      <c r="I48" s="14"/>
      <c r="J48" s="14"/>
      <c r="K48" s="14"/>
      <c r="L48" s="14"/>
      <c r="N48" s="12"/>
    </row>
    <row r="49" spans="1:14">
      <c r="A49" s="12"/>
      <c r="B49" s="12"/>
      <c r="C49" s="12"/>
      <c r="D49" s="14"/>
      <c r="E49" s="14"/>
      <c r="F49" s="14"/>
      <c r="G49" s="14"/>
      <c r="H49" s="14"/>
      <c r="I49" s="14"/>
      <c r="J49" s="14"/>
      <c r="K49" s="14"/>
      <c r="L49" s="14"/>
      <c r="N49" s="12"/>
    </row>
    <row r="50" spans="1:14">
      <c r="A50" s="12"/>
      <c r="B50" s="12"/>
      <c r="C50" s="12"/>
      <c r="D50" s="14"/>
      <c r="E50" s="14"/>
      <c r="F50" s="14"/>
      <c r="G50" s="14"/>
      <c r="H50" s="14"/>
      <c r="I50" s="14"/>
      <c r="J50" s="14"/>
      <c r="K50" s="14"/>
      <c r="L50" s="14"/>
      <c r="N50" s="12"/>
    </row>
    <row r="51" spans="1:14">
      <c r="A51" s="12"/>
      <c r="B51" s="12"/>
      <c r="C51" s="12"/>
      <c r="D51" s="14"/>
      <c r="E51" s="14"/>
      <c r="F51" s="14"/>
      <c r="G51" s="14"/>
      <c r="H51" s="14"/>
      <c r="I51" s="14"/>
      <c r="J51" s="14"/>
      <c r="K51" s="14"/>
      <c r="L51" s="14"/>
      <c r="N51" s="12"/>
    </row>
    <row r="52" spans="1:14">
      <c r="A52" s="12"/>
      <c r="B52" s="12"/>
      <c r="C52" s="12"/>
      <c r="D52" s="14"/>
      <c r="E52" s="14"/>
      <c r="F52" s="14"/>
      <c r="G52" s="14"/>
      <c r="H52" s="14"/>
      <c r="I52" s="14"/>
      <c r="J52" s="14"/>
      <c r="K52" s="14"/>
      <c r="L52" s="14"/>
      <c r="N52" s="12"/>
    </row>
    <row r="53" spans="1:14">
      <c r="A53" s="12"/>
      <c r="B53" s="12"/>
      <c r="C53" s="12"/>
      <c r="D53" s="14"/>
      <c r="E53" s="14"/>
      <c r="F53" s="14"/>
      <c r="G53" s="14"/>
      <c r="H53" s="14"/>
      <c r="I53" s="14"/>
      <c r="J53" s="14"/>
      <c r="K53" s="14"/>
      <c r="L53" s="14"/>
      <c r="N53" s="12"/>
    </row>
    <row r="54" spans="1:14">
      <c r="A54" s="12"/>
      <c r="B54" s="12"/>
      <c r="C54" s="12"/>
      <c r="D54" s="14"/>
      <c r="E54" s="14"/>
      <c r="F54" s="14"/>
      <c r="G54" s="14"/>
      <c r="H54" s="14"/>
      <c r="I54" s="14"/>
      <c r="J54" s="14"/>
      <c r="K54" s="14"/>
      <c r="L54" s="14"/>
      <c r="N54" s="12"/>
    </row>
    <row r="55" spans="1:14">
      <c r="A55" s="12"/>
      <c r="B55" s="12"/>
      <c r="C55" s="12"/>
      <c r="D55" s="14"/>
      <c r="E55" s="14"/>
      <c r="F55" s="14"/>
      <c r="G55" s="14"/>
      <c r="H55" s="14"/>
      <c r="I55" s="14"/>
      <c r="J55" s="14"/>
      <c r="K55" s="14"/>
      <c r="L55" s="14"/>
      <c r="N55" s="12"/>
    </row>
    <row r="56" spans="1:14">
      <c r="A56" s="12"/>
      <c r="B56" s="12"/>
      <c r="C56" s="12"/>
      <c r="D56" s="14"/>
      <c r="E56" s="14"/>
      <c r="F56" s="14"/>
      <c r="G56" s="14"/>
      <c r="H56" s="14"/>
      <c r="I56" s="14"/>
      <c r="J56" s="14"/>
      <c r="K56" s="14"/>
      <c r="L56" s="14"/>
      <c r="N56" s="12"/>
    </row>
    <row r="57" spans="1:14">
      <c r="D57" s="14"/>
      <c r="E57" s="14"/>
      <c r="F57" s="14"/>
      <c r="G57" s="14"/>
      <c r="H57" s="14"/>
      <c r="I57" s="14"/>
      <c r="J57" s="14"/>
      <c r="K57" s="14"/>
      <c r="L57" s="14"/>
      <c r="N57" s="12"/>
    </row>
    <row r="58" spans="1:14">
      <c r="D58" s="804"/>
      <c r="E58" s="804"/>
      <c r="F58" s="804"/>
      <c r="G58" s="804"/>
      <c r="H58" s="804"/>
      <c r="I58" s="804"/>
      <c r="J58" s="804"/>
      <c r="K58" s="804"/>
      <c r="L58" s="804"/>
    </row>
    <row r="59" spans="1:14">
      <c r="D59" s="14"/>
      <c r="E59" s="14"/>
      <c r="F59" s="14"/>
      <c r="G59" s="14"/>
      <c r="H59" s="14"/>
      <c r="I59" s="14"/>
      <c r="J59" s="14"/>
      <c r="K59" s="14"/>
      <c r="L59" s="14"/>
    </row>
    <row r="60" spans="1:14">
      <c r="D60" s="804"/>
      <c r="E60" s="804"/>
      <c r="F60" s="804"/>
      <c r="G60" s="804"/>
      <c r="H60" s="804"/>
      <c r="I60" s="804"/>
      <c r="J60" s="804"/>
      <c r="K60" s="804"/>
      <c r="L60" s="804"/>
    </row>
    <row r="61" spans="1:14">
      <c r="A61" s="12"/>
      <c r="B61" s="12"/>
      <c r="C61" s="12"/>
      <c r="D61" s="14"/>
      <c r="E61" s="14"/>
      <c r="F61" s="14"/>
      <c r="G61" s="14"/>
      <c r="H61" s="14"/>
      <c r="I61" s="14"/>
      <c r="J61" s="14"/>
      <c r="K61" s="14"/>
      <c r="L61" s="14"/>
      <c r="N61" s="12"/>
    </row>
    <row r="62" spans="1:14">
      <c r="D62" s="14"/>
      <c r="E62" s="14"/>
      <c r="F62" s="14"/>
      <c r="G62" s="14"/>
      <c r="H62" s="14"/>
      <c r="I62" s="14"/>
      <c r="J62" s="14"/>
      <c r="K62" s="14"/>
      <c r="L62" s="14"/>
      <c r="N62" s="12"/>
    </row>
    <row r="63" spans="1:14">
      <c r="D63" s="804"/>
      <c r="E63" s="804"/>
      <c r="F63" s="804"/>
      <c r="G63" s="804"/>
      <c r="H63" s="804"/>
      <c r="I63" s="804"/>
      <c r="J63" s="804"/>
      <c r="K63" s="804"/>
      <c r="L63" s="804"/>
    </row>
    <row r="64" spans="1:14">
      <c r="D64" s="14"/>
      <c r="E64" s="14"/>
      <c r="F64" s="14"/>
      <c r="G64" s="14"/>
      <c r="H64" s="14"/>
      <c r="I64" s="14"/>
      <c r="J64" s="14"/>
      <c r="K64" s="14"/>
      <c r="L64" s="14"/>
    </row>
    <row r="65" spans="1:14">
      <c r="D65" s="804"/>
      <c r="E65" s="804"/>
      <c r="F65" s="804"/>
      <c r="G65" s="804"/>
      <c r="H65" s="804"/>
      <c r="I65" s="804"/>
      <c r="J65" s="804"/>
      <c r="K65" s="804"/>
      <c r="L65" s="804"/>
    </row>
    <row r="66" spans="1:14">
      <c r="A66" s="12"/>
      <c r="B66" s="12"/>
      <c r="C66" s="12"/>
      <c r="D66" s="14"/>
      <c r="E66" s="14"/>
      <c r="F66" s="14"/>
      <c r="G66" s="14"/>
      <c r="H66" s="14"/>
      <c r="I66" s="14"/>
      <c r="J66" s="14"/>
      <c r="K66" s="14"/>
      <c r="L66" s="14"/>
      <c r="N66" s="12"/>
    </row>
    <row r="67" spans="1:14">
      <c r="A67" s="12"/>
      <c r="B67" s="12"/>
      <c r="C67" s="12"/>
      <c r="D67" s="14"/>
      <c r="E67" s="14"/>
      <c r="F67" s="14"/>
      <c r="G67" s="14"/>
      <c r="H67" s="14"/>
      <c r="I67" s="14"/>
      <c r="J67" s="14"/>
      <c r="K67" s="14"/>
      <c r="L67" s="14"/>
      <c r="N67" s="12"/>
    </row>
    <row r="68" spans="1:14">
      <c r="A68" s="12"/>
      <c r="B68" s="12"/>
      <c r="C68" s="12"/>
      <c r="D68" s="14"/>
      <c r="E68" s="14"/>
      <c r="F68" s="14"/>
      <c r="G68" s="14"/>
      <c r="H68" s="14"/>
      <c r="I68" s="14"/>
      <c r="J68" s="14"/>
      <c r="K68" s="14"/>
      <c r="L68" s="14"/>
      <c r="N68" s="12"/>
    </row>
    <row r="69" spans="1:14">
      <c r="A69" s="12"/>
      <c r="B69" s="12"/>
      <c r="C69" s="12"/>
      <c r="D69" s="14"/>
      <c r="E69" s="14"/>
      <c r="F69" s="14"/>
      <c r="G69" s="14"/>
      <c r="H69" s="14"/>
      <c r="I69" s="14"/>
      <c r="J69" s="14"/>
      <c r="K69" s="14"/>
      <c r="L69" s="14"/>
      <c r="N69" s="12"/>
    </row>
    <row r="70" spans="1:14">
      <c r="A70" s="12"/>
      <c r="B70" s="12"/>
      <c r="C70" s="12"/>
      <c r="D70" s="14"/>
      <c r="E70" s="14"/>
      <c r="F70" s="14"/>
      <c r="G70" s="14"/>
      <c r="H70" s="14"/>
      <c r="I70" s="14"/>
      <c r="J70" s="14"/>
      <c r="K70" s="14"/>
      <c r="L70" s="14"/>
      <c r="N70" s="12"/>
    </row>
    <row r="71" spans="1:14">
      <c r="A71" s="12"/>
      <c r="B71" s="12"/>
      <c r="C71" s="12"/>
      <c r="D71" s="14"/>
      <c r="E71" s="14"/>
      <c r="F71" s="14"/>
      <c r="G71" s="14"/>
      <c r="H71" s="14"/>
      <c r="I71" s="14"/>
      <c r="J71" s="14"/>
      <c r="K71" s="14"/>
      <c r="L71" s="14"/>
      <c r="N71" s="12"/>
    </row>
    <row r="72" spans="1:14">
      <c r="D72" s="14"/>
      <c r="E72" s="14"/>
      <c r="F72" s="14"/>
      <c r="G72" s="14"/>
      <c r="H72" s="14"/>
      <c r="I72" s="14"/>
      <c r="J72" s="14"/>
      <c r="K72" s="14"/>
      <c r="L72" s="14"/>
      <c r="N72" s="12"/>
    </row>
    <row r="73" spans="1:14">
      <c r="D73" s="804"/>
      <c r="E73" s="804"/>
      <c r="F73" s="804"/>
      <c r="G73" s="804"/>
      <c r="H73" s="804"/>
      <c r="I73" s="804"/>
      <c r="J73" s="804"/>
      <c r="K73" s="804"/>
      <c r="L73" s="804"/>
    </row>
    <row r="74" spans="1:14">
      <c r="D74" s="14"/>
      <c r="E74" s="14"/>
      <c r="F74" s="14"/>
      <c r="G74" s="14"/>
      <c r="H74" s="14"/>
      <c r="I74" s="14"/>
      <c r="J74" s="14"/>
      <c r="K74" s="14"/>
      <c r="L74" s="14"/>
    </row>
    <row r="75" spans="1:14">
      <c r="D75" s="804"/>
      <c r="E75" s="804"/>
      <c r="F75" s="804"/>
      <c r="G75" s="804"/>
      <c r="H75" s="804"/>
      <c r="I75" s="804"/>
      <c r="J75" s="804"/>
      <c r="K75" s="804"/>
      <c r="L75" s="804"/>
    </row>
    <row r="76" spans="1:14">
      <c r="A76" s="12"/>
      <c r="B76" s="12"/>
      <c r="C76" s="12"/>
      <c r="D76" s="14"/>
      <c r="E76" s="14"/>
      <c r="F76" s="14"/>
      <c r="G76" s="14"/>
      <c r="H76" s="14"/>
      <c r="I76" s="14"/>
      <c r="J76" s="14"/>
      <c r="K76" s="14"/>
      <c r="L76" s="14"/>
      <c r="N76" s="12"/>
    </row>
    <row r="79" spans="1:14">
      <c r="A79" s="12"/>
      <c r="D79" s="14"/>
      <c r="E79" s="14"/>
      <c r="F79" s="14"/>
      <c r="G79" s="14"/>
      <c r="H79" s="14"/>
      <c r="I79" s="14"/>
      <c r="J79" s="14"/>
      <c r="K79" s="14"/>
      <c r="L79" s="14"/>
    </row>
    <row r="80" spans="1:14">
      <c r="A80" s="12"/>
      <c r="D80" s="14"/>
      <c r="E80" s="14"/>
      <c r="F80" s="14"/>
      <c r="G80" s="14"/>
      <c r="H80" s="14"/>
      <c r="I80" s="14"/>
      <c r="J80" s="14"/>
      <c r="K80" s="14"/>
      <c r="L80" s="14"/>
    </row>
    <row r="81" spans="1:12">
      <c r="A81" s="12"/>
      <c r="D81" s="14"/>
      <c r="E81" s="14"/>
      <c r="F81" s="14"/>
      <c r="G81" s="14"/>
      <c r="H81" s="14"/>
      <c r="I81" s="14"/>
      <c r="J81" s="14"/>
      <c r="K81" s="14"/>
      <c r="L81" s="14"/>
    </row>
    <row r="83" spans="1:12">
      <c r="A83" s="12"/>
    </row>
  </sheetData>
  <sortState ref="O19:Q38">
    <sortCondition ref="O1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8" orientation="portrait" horizontalDpi="300" verticalDpi="300" r:id="rId1"/>
  <headerFooter alignWithMargins="0">
    <oddFooter>&amp;C&amp;8&amp;P of &amp;N</oddFooter>
  </headerFooter>
  <ignoredErrors>
    <ignoredError sqref="D3:D4 E3:E4 F3:F4 G3:G4 D5:D17 E5:E17 F5:F17 G5:G17 H3:H4 H5:H17 I3:I17 J3:J17 K3:K17 L3:L17" unlocked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405"/>
  <sheetViews>
    <sheetView showGridLines="0" zoomScaleNormal="100" workbookViewId="0"/>
  </sheetViews>
  <sheetFormatPr defaultColWidth="12.5703125" defaultRowHeight="15"/>
  <cols>
    <col min="1" max="1" width="4.85546875" style="399" customWidth="1"/>
    <col min="2" max="2" width="40.7109375" style="399" customWidth="1"/>
    <col min="3" max="3" width="11.5703125" style="399" customWidth="1"/>
    <col min="4" max="12" width="10.42578125" style="399" customWidth="1"/>
    <col min="13" max="13" width="2.28515625" style="399" customWidth="1"/>
    <col min="14" max="14" width="46" style="399" customWidth="1"/>
    <col min="15" max="16384" width="12.5703125" style="399"/>
  </cols>
  <sheetData>
    <row r="1" spans="1:14">
      <c r="A1" s="398" t="s">
        <v>8847</v>
      </c>
      <c r="D1" s="400">
        <v>2010</v>
      </c>
      <c r="E1" s="400">
        <v>2011</v>
      </c>
      <c r="F1" s="400">
        <v>2012</v>
      </c>
      <c r="G1" s="400">
        <v>2013</v>
      </c>
      <c r="H1" s="400">
        <v>2014</v>
      </c>
      <c r="I1" s="400">
        <v>2015</v>
      </c>
      <c r="J1" s="400">
        <v>2016</v>
      </c>
      <c r="K1" s="400">
        <v>2017</v>
      </c>
      <c r="L1" s="400">
        <v>2018</v>
      </c>
    </row>
    <row r="3" spans="1:14">
      <c r="A3" s="398" t="s">
        <v>7660</v>
      </c>
      <c r="D3" s="401">
        <f t="shared" ref="D3:I3" si="0">SUM(D5:D11)</f>
        <v>1921952</v>
      </c>
      <c r="E3" s="401">
        <f t="shared" si="0"/>
        <v>1942459</v>
      </c>
      <c r="F3" s="401">
        <f t="shared" si="0"/>
        <v>1963121</v>
      </c>
      <c r="G3" s="401">
        <f t="shared" si="0"/>
        <v>1961097</v>
      </c>
      <c r="H3" s="401">
        <f t="shared" si="0"/>
        <v>1924941</v>
      </c>
      <c r="I3" s="401">
        <f t="shared" si="0"/>
        <v>1905475</v>
      </c>
      <c r="J3" s="401">
        <f t="shared" ref="J3:K3" si="1">SUM(J5:J11)</f>
        <v>1862769</v>
      </c>
      <c r="K3" s="401">
        <f t="shared" si="1"/>
        <v>1887849</v>
      </c>
      <c r="L3" s="401">
        <f t="shared" ref="L3" si="2">SUM(L5:L11)</f>
        <v>1894396</v>
      </c>
    </row>
    <row r="4" spans="1:14">
      <c r="D4" s="402"/>
      <c r="E4" s="402"/>
      <c r="F4" s="402"/>
      <c r="G4" s="402"/>
      <c r="H4" s="402"/>
      <c r="I4" s="402"/>
      <c r="J4" s="402"/>
      <c r="K4" s="402"/>
      <c r="L4" s="402"/>
      <c r="N4" s="403"/>
    </row>
    <row r="5" spans="1:14">
      <c r="A5" s="398" t="s">
        <v>3619</v>
      </c>
      <c r="C5" s="398"/>
      <c r="D5" s="401">
        <f t="shared" ref="D5:I5" si="3">D85</f>
        <v>726290</v>
      </c>
      <c r="E5" s="401">
        <f t="shared" si="3"/>
        <v>731731</v>
      </c>
      <c r="F5" s="401">
        <f t="shared" si="3"/>
        <v>743467</v>
      </c>
      <c r="G5" s="401">
        <f t="shared" si="3"/>
        <v>736042</v>
      </c>
      <c r="H5" s="401">
        <f t="shared" si="3"/>
        <v>715434</v>
      </c>
      <c r="I5" s="401">
        <f t="shared" si="3"/>
        <v>707888</v>
      </c>
      <c r="J5" s="401">
        <f t="shared" ref="J5:K5" si="4">J85</f>
        <v>686804</v>
      </c>
      <c r="K5" s="401">
        <f t="shared" si="4"/>
        <v>688561</v>
      </c>
      <c r="L5" s="401">
        <f t="shared" ref="L5" si="5">L85</f>
        <v>695370</v>
      </c>
      <c r="N5" s="403"/>
    </row>
    <row r="6" spans="1:14">
      <c r="A6" s="398" t="s">
        <v>3620</v>
      </c>
      <c r="C6" s="398"/>
      <c r="D6" s="401">
        <f t="shared" ref="D6:I6" si="6">D214</f>
        <v>218866</v>
      </c>
      <c r="E6" s="401">
        <f t="shared" si="6"/>
        <v>224755</v>
      </c>
      <c r="F6" s="401">
        <f t="shared" si="6"/>
        <v>227296</v>
      </c>
      <c r="G6" s="401">
        <f t="shared" si="6"/>
        <v>226540</v>
      </c>
      <c r="H6" s="401">
        <f t="shared" si="6"/>
        <v>221669</v>
      </c>
      <c r="I6" s="401">
        <f t="shared" si="6"/>
        <v>214724</v>
      </c>
      <c r="J6" s="401">
        <f t="shared" ref="J6:K6" si="7">J214</f>
        <v>210031</v>
      </c>
      <c r="K6" s="401">
        <f t="shared" si="7"/>
        <v>215348</v>
      </c>
      <c r="L6" s="401">
        <f t="shared" ref="L6" si="8">L214</f>
        <v>214219</v>
      </c>
      <c r="N6" s="403"/>
    </row>
    <row r="7" spans="1:14">
      <c r="A7" s="398" t="s">
        <v>3621</v>
      </c>
      <c r="C7" s="398"/>
      <c r="D7" s="401">
        <f t="shared" ref="D7:I7" si="9">D243</f>
        <v>240213</v>
      </c>
      <c r="E7" s="401">
        <f t="shared" si="9"/>
        <v>242131</v>
      </c>
      <c r="F7" s="401">
        <f t="shared" si="9"/>
        <v>242929</v>
      </c>
      <c r="G7" s="401">
        <f t="shared" si="9"/>
        <v>243645</v>
      </c>
      <c r="H7" s="401">
        <f t="shared" si="9"/>
        <v>237787</v>
      </c>
      <c r="I7" s="401">
        <f t="shared" si="9"/>
        <v>237550</v>
      </c>
      <c r="J7" s="401">
        <f t="shared" ref="J7:K7" si="10">J243</f>
        <v>239405</v>
      </c>
      <c r="K7" s="401">
        <f t="shared" si="10"/>
        <v>241620</v>
      </c>
      <c r="L7" s="401">
        <f t="shared" ref="L7" si="11">L243</f>
        <v>240020</v>
      </c>
      <c r="N7" s="403"/>
    </row>
    <row r="8" spans="1:14">
      <c r="A8" s="398" t="s">
        <v>7213</v>
      </c>
      <c r="C8" s="398"/>
      <c r="D8" s="401">
        <f t="shared" ref="D8:I8" si="12">D280</f>
        <v>220403</v>
      </c>
      <c r="E8" s="401">
        <f t="shared" si="12"/>
        <v>219710</v>
      </c>
      <c r="F8" s="401">
        <f t="shared" si="12"/>
        <v>222014</v>
      </c>
      <c r="G8" s="401">
        <f t="shared" si="12"/>
        <v>224705</v>
      </c>
      <c r="H8" s="401">
        <f t="shared" si="12"/>
        <v>221702</v>
      </c>
      <c r="I8" s="401">
        <f t="shared" si="12"/>
        <v>221691</v>
      </c>
      <c r="J8" s="401">
        <f t="shared" ref="J8:K8" si="13">J280</f>
        <v>215484</v>
      </c>
      <c r="K8" s="401">
        <f t="shared" si="13"/>
        <v>219141</v>
      </c>
      <c r="L8" s="401">
        <f t="shared" ref="L8" si="14">L280</f>
        <v>222016</v>
      </c>
      <c r="N8" s="403"/>
    </row>
    <row r="9" spans="1:14">
      <c r="A9" s="398" t="s">
        <v>7214</v>
      </c>
      <c r="C9" s="398"/>
      <c r="D9" s="401">
        <f t="shared" ref="D9:I9" si="15">D316</f>
        <v>159038</v>
      </c>
      <c r="E9" s="401">
        <f t="shared" si="15"/>
        <v>160782</v>
      </c>
      <c r="F9" s="401">
        <f t="shared" si="15"/>
        <v>157202</v>
      </c>
      <c r="G9" s="401">
        <f t="shared" si="15"/>
        <v>159215</v>
      </c>
      <c r="H9" s="401">
        <f t="shared" si="15"/>
        <v>160752</v>
      </c>
      <c r="I9" s="401">
        <f t="shared" si="15"/>
        <v>156714</v>
      </c>
      <c r="J9" s="401">
        <f t="shared" ref="J9:K9" si="16">J316</f>
        <v>153873</v>
      </c>
      <c r="K9" s="401">
        <f t="shared" si="16"/>
        <v>160380</v>
      </c>
      <c r="L9" s="401">
        <f t="shared" ref="L9" si="17">L316</f>
        <v>158603</v>
      </c>
      <c r="N9" s="403"/>
    </row>
    <row r="10" spans="1:14">
      <c r="A10" s="398" t="s">
        <v>7215</v>
      </c>
      <c r="C10" s="398"/>
      <c r="D10" s="401">
        <f t="shared" ref="D10:I10" si="18">D343</f>
        <v>188908</v>
      </c>
      <c r="E10" s="401">
        <f t="shared" si="18"/>
        <v>191056</v>
      </c>
      <c r="F10" s="401">
        <f t="shared" si="18"/>
        <v>195268</v>
      </c>
      <c r="G10" s="401">
        <f t="shared" si="18"/>
        <v>196935</v>
      </c>
      <c r="H10" s="401">
        <f t="shared" si="18"/>
        <v>194347</v>
      </c>
      <c r="I10" s="401">
        <f t="shared" si="18"/>
        <v>193557</v>
      </c>
      <c r="J10" s="401">
        <f t="shared" ref="J10:K10" si="19">J343</f>
        <v>186960</v>
      </c>
      <c r="K10" s="401">
        <f t="shared" si="19"/>
        <v>191066</v>
      </c>
      <c r="L10" s="401">
        <f t="shared" ref="L10" si="20">L343</f>
        <v>192252</v>
      </c>
      <c r="N10" s="403"/>
    </row>
    <row r="11" spans="1:14">
      <c r="A11" s="398" t="s">
        <v>7216</v>
      </c>
      <c r="C11" s="398"/>
      <c r="D11" s="401">
        <f t="shared" ref="D11:I11" si="21">D374</f>
        <v>168234</v>
      </c>
      <c r="E11" s="401">
        <f t="shared" si="21"/>
        <v>172294</v>
      </c>
      <c r="F11" s="401">
        <f t="shared" si="21"/>
        <v>174945</v>
      </c>
      <c r="G11" s="401">
        <f t="shared" si="21"/>
        <v>174015</v>
      </c>
      <c r="H11" s="401">
        <f t="shared" si="21"/>
        <v>173250</v>
      </c>
      <c r="I11" s="401">
        <f t="shared" si="21"/>
        <v>173351</v>
      </c>
      <c r="J11" s="401">
        <f t="shared" ref="J11:K11" si="22">J374</f>
        <v>170212</v>
      </c>
      <c r="K11" s="401">
        <f t="shared" si="22"/>
        <v>171733</v>
      </c>
      <c r="L11" s="401">
        <f t="shared" ref="L11" si="23">L374</f>
        <v>171916</v>
      </c>
      <c r="N11" s="403"/>
    </row>
    <row r="13" spans="1:14">
      <c r="A13" s="398" t="s">
        <v>13398</v>
      </c>
      <c r="D13" s="401">
        <f t="shared" ref="D13:I13" si="24">D3/25</f>
        <v>76878.080000000002</v>
      </c>
      <c r="E13" s="401">
        <f t="shared" si="24"/>
        <v>77698.36</v>
      </c>
      <c r="F13" s="401">
        <f t="shared" si="24"/>
        <v>78524.84</v>
      </c>
      <c r="G13" s="401">
        <f t="shared" si="24"/>
        <v>78443.88</v>
      </c>
      <c r="H13" s="401">
        <f t="shared" si="24"/>
        <v>76997.64</v>
      </c>
      <c r="I13" s="401">
        <f t="shared" si="24"/>
        <v>76219</v>
      </c>
      <c r="J13" s="401">
        <f t="shared" ref="J13:K13" si="25">J3/25</f>
        <v>74510.759999999995</v>
      </c>
      <c r="K13" s="401">
        <f t="shared" si="25"/>
        <v>75513.960000000006</v>
      </c>
      <c r="L13" s="401">
        <f t="shared" ref="L13" si="26">L3/25</f>
        <v>75775.839999999997</v>
      </c>
    </row>
    <row r="14" spans="1:14">
      <c r="D14" s="402"/>
      <c r="E14" s="402"/>
      <c r="F14" s="402"/>
      <c r="G14" s="402"/>
      <c r="H14" s="402"/>
      <c r="I14" s="402"/>
      <c r="J14" s="402"/>
      <c r="K14" s="402"/>
      <c r="L14" s="402"/>
    </row>
    <row r="15" spans="1:14">
      <c r="A15" s="398" t="s">
        <v>7217</v>
      </c>
      <c r="D15" s="401">
        <f t="shared" ref="D15:I15" si="27">D365</f>
        <v>59214</v>
      </c>
      <c r="E15" s="401">
        <f t="shared" si="27"/>
        <v>59506</v>
      </c>
      <c r="F15" s="401">
        <f t="shared" si="27"/>
        <v>60315</v>
      </c>
      <c r="G15" s="401">
        <f t="shared" si="27"/>
        <v>60777</v>
      </c>
      <c r="H15" s="401">
        <f t="shared" si="27"/>
        <v>60313</v>
      </c>
      <c r="I15" s="401">
        <f t="shared" si="27"/>
        <v>59874</v>
      </c>
      <c r="J15" s="401">
        <f t="shared" ref="J15:K15" si="28">J365</f>
        <v>58359</v>
      </c>
      <c r="K15" s="401">
        <f t="shared" si="28"/>
        <v>59296</v>
      </c>
      <c r="L15" s="401">
        <f t="shared" ref="L15" si="29">L365</f>
        <v>59373</v>
      </c>
      <c r="N15" s="398" t="s">
        <v>7218</v>
      </c>
    </row>
    <row r="16" spans="1:14">
      <c r="D16" s="402"/>
      <c r="E16" s="402"/>
      <c r="F16" s="402"/>
      <c r="G16" s="402"/>
      <c r="H16" s="402"/>
      <c r="I16" s="402"/>
      <c r="J16" s="402"/>
      <c r="K16" s="402"/>
      <c r="L16" s="402"/>
    </row>
    <row r="17" spans="1:14">
      <c r="A17" s="404" t="s">
        <v>7219</v>
      </c>
      <c r="D17" s="401">
        <f t="shared" ref="D17:I17" si="30">D198</f>
        <v>68566</v>
      </c>
      <c r="E17" s="401">
        <f t="shared" si="30"/>
        <v>69039</v>
      </c>
      <c r="F17" s="401">
        <f t="shared" si="30"/>
        <v>70384</v>
      </c>
      <c r="G17" s="401">
        <f t="shared" si="30"/>
        <v>68876</v>
      </c>
      <c r="H17" s="401">
        <f t="shared" si="30"/>
        <v>66612</v>
      </c>
      <c r="I17" s="401">
        <f t="shared" si="30"/>
        <v>63153</v>
      </c>
      <c r="J17" s="401">
        <f t="shared" ref="J17:K17" si="31">J198</f>
        <v>62795</v>
      </c>
      <c r="K17" s="401">
        <f t="shared" si="31"/>
        <v>63043</v>
      </c>
      <c r="L17" s="401">
        <f t="shared" ref="L17" si="32">L198</f>
        <v>62185</v>
      </c>
      <c r="N17" s="398" t="s">
        <v>7220</v>
      </c>
    </row>
    <row r="18" spans="1:14">
      <c r="D18" s="402"/>
      <c r="E18" s="402"/>
      <c r="F18" s="402"/>
      <c r="G18" s="402"/>
      <c r="H18" s="402"/>
      <c r="I18" s="402"/>
      <c r="J18" s="402"/>
      <c r="K18" s="402"/>
      <c r="L18" s="402"/>
    </row>
    <row r="19" spans="1:14">
      <c r="A19" s="398" t="s">
        <v>7221</v>
      </c>
      <c r="D19" s="401">
        <f t="shared" ref="D19:I19" si="33">D199</f>
        <v>66839</v>
      </c>
      <c r="E19" s="401">
        <f t="shared" si="33"/>
        <v>67598</v>
      </c>
      <c r="F19" s="401">
        <f t="shared" si="33"/>
        <v>68502</v>
      </c>
      <c r="G19" s="401">
        <f t="shared" si="33"/>
        <v>67691</v>
      </c>
      <c r="H19" s="401">
        <f t="shared" si="33"/>
        <v>65005</v>
      </c>
      <c r="I19" s="401">
        <f t="shared" si="33"/>
        <v>65226</v>
      </c>
      <c r="J19" s="401">
        <f t="shared" ref="J19:K19" si="34">J199</f>
        <v>62552</v>
      </c>
      <c r="K19" s="401">
        <f t="shared" si="34"/>
        <v>62672</v>
      </c>
      <c r="L19" s="401">
        <f t="shared" ref="L19" si="35">L199</f>
        <v>63432</v>
      </c>
      <c r="N19" s="398" t="s">
        <v>7220</v>
      </c>
    </row>
    <row r="20" spans="1:14">
      <c r="D20" s="402"/>
      <c r="E20" s="402"/>
      <c r="F20" s="402"/>
      <c r="G20" s="402"/>
      <c r="H20" s="402"/>
      <c r="I20" s="402"/>
      <c r="J20" s="402"/>
      <c r="K20" s="402"/>
      <c r="L20" s="402"/>
    </row>
    <row r="21" spans="1:14">
      <c r="A21" s="398" t="s">
        <v>7222</v>
      </c>
      <c r="D21" s="401">
        <f t="shared" ref="D21:I21" si="36">D200</f>
        <v>76576</v>
      </c>
      <c r="E21" s="401">
        <f t="shared" si="36"/>
        <v>77157</v>
      </c>
      <c r="F21" s="401">
        <f t="shared" si="36"/>
        <v>78332</v>
      </c>
      <c r="G21" s="401">
        <f t="shared" si="36"/>
        <v>77606</v>
      </c>
      <c r="H21" s="401">
        <f t="shared" si="36"/>
        <v>75756</v>
      </c>
      <c r="I21" s="401">
        <f t="shared" si="36"/>
        <v>76176</v>
      </c>
      <c r="J21" s="401">
        <f t="shared" ref="J21:K21" si="37">J200</f>
        <v>73938</v>
      </c>
      <c r="K21" s="401">
        <f t="shared" si="37"/>
        <v>74790</v>
      </c>
      <c r="L21" s="401">
        <f t="shared" ref="L21" si="38">L200</f>
        <v>76050</v>
      </c>
      <c r="N21" s="398" t="s">
        <v>7220</v>
      </c>
    </row>
    <row r="22" spans="1:14">
      <c r="D22" s="402"/>
      <c r="E22" s="402"/>
      <c r="F22" s="402"/>
      <c r="G22" s="402"/>
      <c r="H22" s="402"/>
      <c r="I22" s="402"/>
      <c r="J22" s="402"/>
      <c r="K22" s="402"/>
      <c r="L22" s="402"/>
    </row>
    <row r="23" spans="1:14">
      <c r="A23" s="398" t="s">
        <v>7223</v>
      </c>
      <c r="D23" s="401">
        <f t="shared" ref="D23:I23" si="39">D201</f>
        <v>75330</v>
      </c>
      <c r="E23" s="401">
        <f t="shared" si="39"/>
        <v>75985</v>
      </c>
      <c r="F23" s="401">
        <f t="shared" si="39"/>
        <v>77227</v>
      </c>
      <c r="G23" s="401">
        <f t="shared" si="39"/>
        <v>76767</v>
      </c>
      <c r="H23" s="401">
        <f t="shared" si="39"/>
        <v>74885</v>
      </c>
      <c r="I23" s="401">
        <f t="shared" si="39"/>
        <v>75362</v>
      </c>
      <c r="J23" s="401">
        <f t="shared" ref="J23:K23" si="40">J201</f>
        <v>73173</v>
      </c>
      <c r="K23" s="401">
        <f t="shared" si="40"/>
        <v>73384</v>
      </c>
      <c r="L23" s="401">
        <f t="shared" ref="L23" si="41">L201</f>
        <v>74810</v>
      </c>
      <c r="N23" s="398" t="s">
        <v>7220</v>
      </c>
    </row>
    <row r="24" spans="1:14">
      <c r="D24" s="402"/>
      <c r="E24" s="402"/>
      <c r="F24" s="402"/>
      <c r="G24" s="402"/>
      <c r="H24" s="402"/>
      <c r="I24" s="402"/>
      <c r="J24" s="402"/>
      <c r="K24" s="402"/>
      <c r="L24" s="402"/>
    </row>
    <row r="25" spans="1:14">
      <c r="A25" s="398" t="s">
        <v>7224</v>
      </c>
      <c r="D25" s="401">
        <f t="shared" ref="D25:I25" si="42">D202</f>
        <v>72809</v>
      </c>
      <c r="E25" s="401">
        <f t="shared" si="42"/>
        <v>74008</v>
      </c>
      <c r="F25" s="401">
        <f t="shared" si="42"/>
        <v>76272</v>
      </c>
      <c r="G25" s="401">
        <f t="shared" si="42"/>
        <v>74635</v>
      </c>
      <c r="H25" s="401">
        <f t="shared" si="42"/>
        <v>70289</v>
      </c>
      <c r="I25" s="401">
        <f t="shared" si="42"/>
        <v>65207</v>
      </c>
      <c r="J25" s="401">
        <f t="shared" ref="J25:K25" si="43">J202</f>
        <v>65716</v>
      </c>
      <c r="K25" s="401">
        <f t="shared" si="43"/>
        <v>64608</v>
      </c>
      <c r="L25" s="401">
        <f t="shared" ref="L25" si="44">L202</f>
        <v>65171</v>
      </c>
      <c r="N25" s="398" t="s">
        <v>7220</v>
      </c>
    </row>
    <row r="26" spans="1:14">
      <c r="D26" s="402"/>
      <c r="E26" s="402"/>
      <c r="F26" s="402"/>
      <c r="G26" s="402"/>
      <c r="H26" s="402"/>
      <c r="I26" s="402"/>
      <c r="J26" s="402"/>
      <c r="K26" s="402"/>
      <c r="L26" s="402"/>
    </row>
    <row r="27" spans="1:14">
      <c r="A27" s="404" t="s">
        <v>7225</v>
      </c>
      <c r="D27" s="401">
        <f t="shared" ref="D27:I27" si="45">D203</f>
        <v>71866</v>
      </c>
      <c r="E27" s="401">
        <f t="shared" si="45"/>
        <v>72190</v>
      </c>
      <c r="F27" s="401">
        <f t="shared" si="45"/>
        <v>73071</v>
      </c>
      <c r="G27" s="401">
        <f t="shared" si="45"/>
        <v>72659</v>
      </c>
      <c r="H27" s="401">
        <f t="shared" si="45"/>
        <v>71315</v>
      </c>
      <c r="I27" s="401">
        <f t="shared" si="45"/>
        <v>71803</v>
      </c>
      <c r="J27" s="401">
        <f t="shared" ref="J27:K27" si="46">J203</f>
        <v>69377</v>
      </c>
      <c r="K27" s="401">
        <f t="shared" si="46"/>
        <v>70001</v>
      </c>
      <c r="L27" s="401">
        <f t="shared" ref="L27" si="47">L203</f>
        <v>70614</v>
      </c>
      <c r="N27" s="398" t="s">
        <v>7220</v>
      </c>
    </row>
    <row r="28" spans="1:14">
      <c r="D28" s="402"/>
      <c r="E28" s="402"/>
      <c r="F28" s="402"/>
      <c r="G28" s="402"/>
      <c r="H28" s="402"/>
      <c r="I28" s="402"/>
      <c r="J28" s="402"/>
      <c r="K28" s="402"/>
      <c r="L28" s="402"/>
    </row>
    <row r="29" spans="1:14">
      <c r="A29" s="398" t="s">
        <v>7226</v>
      </c>
      <c r="D29" s="401">
        <f t="shared" ref="D29:I29" si="48">D204</f>
        <v>71647</v>
      </c>
      <c r="E29" s="401">
        <f t="shared" si="48"/>
        <v>71794</v>
      </c>
      <c r="F29" s="401">
        <f t="shared" si="48"/>
        <v>73100</v>
      </c>
      <c r="G29" s="401">
        <f t="shared" si="48"/>
        <v>72838</v>
      </c>
      <c r="H29" s="401">
        <f t="shared" si="48"/>
        <v>70560</v>
      </c>
      <c r="I29" s="401">
        <f t="shared" si="48"/>
        <v>70088</v>
      </c>
      <c r="J29" s="401">
        <f t="shared" ref="J29:K29" si="49">J204</f>
        <v>67710</v>
      </c>
      <c r="K29" s="401">
        <f t="shared" si="49"/>
        <v>67895</v>
      </c>
      <c r="L29" s="401">
        <f t="shared" ref="L29" si="50">L204</f>
        <v>68494</v>
      </c>
      <c r="N29" s="398" t="s">
        <v>7220</v>
      </c>
    </row>
    <row r="30" spans="1:14">
      <c r="D30" s="402"/>
      <c r="E30" s="402"/>
      <c r="F30" s="402"/>
      <c r="G30" s="402"/>
      <c r="H30" s="402"/>
      <c r="I30" s="402"/>
      <c r="J30" s="402"/>
      <c r="K30" s="402"/>
      <c r="L30" s="402"/>
    </row>
    <row r="31" spans="1:14">
      <c r="A31" s="404" t="s">
        <v>7227</v>
      </c>
      <c r="D31" s="401">
        <f t="shared" ref="D31:I31" si="51">D205</f>
        <v>75048</v>
      </c>
      <c r="E31" s="401">
        <f t="shared" si="51"/>
        <v>75668</v>
      </c>
      <c r="F31" s="401">
        <f t="shared" si="51"/>
        <v>76884</v>
      </c>
      <c r="G31" s="401">
        <f t="shared" si="51"/>
        <v>76416</v>
      </c>
      <c r="H31" s="401">
        <f t="shared" si="51"/>
        <v>74339</v>
      </c>
      <c r="I31" s="401">
        <f t="shared" si="51"/>
        <v>73353</v>
      </c>
      <c r="J31" s="401">
        <f t="shared" ref="J31:K31" si="52">J205</f>
        <v>68460</v>
      </c>
      <c r="K31" s="401">
        <f t="shared" si="52"/>
        <v>68514</v>
      </c>
      <c r="L31" s="401">
        <f t="shared" ref="L31" si="53">L205</f>
        <v>70191</v>
      </c>
      <c r="N31" s="398" t="s">
        <v>7220</v>
      </c>
    </row>
    <row r="32" spans="1:14">
      <c r="D32" s="402"/>
      <c r="E32" s="402"/>
      <c r="F32" s="402"/>
      <c r="G32" s="402"/>
      <c r="H32" s="402"/>
      <c r="I32" s="402"/>
      <c r="J32" s="402"/>
      <c r="K32" s="402"/>
      <c r="L32" s="402"/>
    </row>
    <row r="33" spans="1:14">
      <c r="A33" s="398" t="s">
        <v>7228</v>
      </c>
      <c r="D33" s="401">
        <f t="shared" ref="D33:I33" si="54">D206</f>
        <v>72732</v>
      </c>
      <c r="E33" s="401">
        <f t="shared" si="54"/>
        <v>73261</v>
      </c>
      <c r="F33" s="401">
        <f t="shared" si="54"/>
        <v>74128</v>
      </c>
      <c r="G33" s="401">
        <f t="shared" si="54"/>
        <v>73494</v>
      </c>
      <c r="H33" s="401">
        <f t="shared" si="54"/>
        <v>71818</v>
      </c>
      <c r="I33" s="401">
        <f t="shared" si="54"/>
        <v>72179</v>
      </c>
      <c r="J33" s="401">
        <f t="shared" ref="J33:K33" si="55">J206</f>
        <v>69911</v>
      </c>
      <c r="K33" s="401">
        <f t="shared" si="55"/>
        <v>70235</v>
      </c>
      <c r="L33" s="401">
        <f t="shared" ref="L33" si="56">L206</f>
        <v>70980</v>
      </c>
      <c r="N33" s="398" t="s">
        <v>7220</v>
      </c>
    </row>
    <row r="34" spans="1:14">
      <c r="D34" s="402"/>
      <c r="E34" s="402"/>
      <c r="F34" s="402"/>
      <c r="G34" s="402"/>
      <c r="H34" s="402"/>
      <c r="I34" s="402"/>
      <c r="J34" s="402"/>
      <c r="K34" s="402"/>
      <c r="L34" s="402"/>
    </row>
    <row r="35" spans="1:14">
      <c r="A35" s="398" t="s">
        <v>8473</v>
      </c>
      <c r="D35" s="401">
        <f t="shared" ref="D35:I35" si="57">D234</f>
        <v>72490</v>
      </c>
      <c r="E35" s="401">
        <f t="shared" si="57"/>
        <v>74870</v>
      </c>
      <c r="F35" s="401">
        <f t="shared" si="57"/>
        <v>75971</v>
      </c>
      <c r="G35" s="401">
        <f t="shared" si="57"/>
        <v>75887</v>
      </c>
      <c r="H35" s="401">
        <f t="shared" si="57"/>
        <v>74993</v>
      </c>
      <c r="I35" s="401">
        <f t="shared" si="57"/>
        <v>75079</v>
      </c>
      <c r="J35" s="401">
        <f t="shared" ref="J35:K35" si="58">J234</f>
        <v>72135</v>
      </c>
      <c r="K35" s="401">
        <f t="shared" si="58"/>
        <v>74723</v>
      </c>
      <c r="L35" s="401">
        <f t="shared" ref="L35" si="59">L234</f>
        <v>74507</v>
      </c>
      <c r="N35" s="398" t="s">
        <v>8474</v>
      </c>
    </row>
    <row r="36" spans="1:14">
      <c r="A36" s="20"/>
      <c r="D36" s="402"/>
      <c r="E36" s="402"/>
      <c r="F36" s="402"/>
      <c r="G36" s="402"/>
      <c r="H36" s="402"/>
      <c r="I36" s="402"/>
      <c r="J36" s="402"/>
      <c r="K36" s="402"/>
      <c r="L36" s="402"/>
    </row>
    <row r="37" spans="1:14">
      <c r="A37" s="398" t="s">
        <v>3699</v>
      </c>
      <c r="D37" s="401">
        <f t="shared" ref="D37:I37" si="60">D235</f>
        <v>73030</v>
      </c>
      <c r="E37" s="401">
        <f t="shared" si="60"/>
        <v>74180</v>
      </c>
      <c r="F37" s="401">
        <f t="shared" si="60"/>
        <v>74754</v>
      </c>
      <c r="G37" s="401">
        <f t="shared" si="60"/>
        <v>74563</v>
      </c>
      <c r="H37" s="401">
        <f t="shared" si="60"/>
        <v>72487</v>
      </c>
      <c r="I37" s="401">
        <f t="shared" si="60"/>
        <v>72485</v>
      </c>
      <c r="J37" s="401">
        <f t="shared" ref="J37:K37" si="61">J235</f>
        <v>70716</v>
      </c>
      <c r="K37" s="401">
        <f t="shared" si="61"/>
        <v>73685</v>
      </c>
      <c r="L37" s="401">
        <f t="shared" ref="L37" si="62">L235</f>
        <v>73384</v>
      </c>
      <c r="N37" s="398" t="s">
        <v>8474</v>
      </c>
    </row>
    <row r="38" spans="1:14">
      <c r="D38" s="402"/>
      <c r="E38" s="402"/>
      <c r="F38" s="402"/>
      <c r="G38" s="402"/>
      <c r="H38" s="402"/>
      <c r="I38" s="402"/>
      <c r="J38" s="402"/>
      <c r="K38" s="402"/>
      <c r="L38" s="402"/>
    </row>
    <row r="39" spans="1:14">
      <c r="A39" s="398" t="s">
        <v>3700</v>
      </c>
      <c r="D39" s="401">
        <f t="shared" ref="D39:I39" si="63">D236</f>
        <v>73346</v>
      </c>
      <c r="E39" s="401">
        <f t="shared" si="63"/>
        <v>75705</v>
      </c>
      <c r="F39" s="401">
        <f t="shared" si="63"/>
        <v>76571</v>
      </c>
      <c r="G39" s="401">
        <f t="shared" si="63"/>
        <v>76090</v>
      </c>
      <c r="H39" s="401">
        <f t="shared" si="63"/>
        <v>74189</v>
      </c>
      <c r="I39" s="401">
        <f t="shared" si="63"/>
        <v>67160</v>
      </c>
      <c r="J39" s="401">
        <f t="shared" ref="J39:K39" si="64">J236</f>
        <v>67180</v>
      </c>
      <c r="K39" s="401">
        <f t="shared" si="64"/>
        <v>66940</v>
      </c>
      <c r="L39" s="401">
        <f t="shared" ref="L39" si="65">L236</f>
        <v>66328</v>
      </c>
      <c r="N39" s="398" t="s">
        <v>8474</v>
      </c>
    </row>
    <row r="40" spans="1:14">
      <c r="D40" s="402"/>
      <c r="E40" s="402"/>
      <c r="F40" s="402"/>
      <c r="G40" s="402"/>
      <c r="H40" s="402"/>
      <c r="I40" s="402"/>
      <c r="J40" s="402"/>
      <c r="K40" s="402"/>
      <c r="L40" s="402"/>
    </row>
    <row r="41" spans="1:14">
      <c r="A41" s="398" t="s">
        <v>3701</v>
      </c>
      <c r="D41" s="401">
        <f t="shared" ref="D41:I41" si="66">D269</f>
        <v>60977</v>
      </c>
      <c r="E41" s="401">
        <f t="shared" si="66"/>
        <v>61714</v>
      </c>
      <c r="F41" s="401">
        <f t="shared" si="66"/>
        <v>61978</v>
      </c>
      <c r="G41" s="401">
        <f t="shared" si="66"/>
        <v>62137</v>
      </c>
      <c r="H41" s="401">
        <f t="shared" si="66"/>
        <v>60485</v>
      </c>
      <c r="I41" s="401">
        <f t="shared" si="66"/>
        <v>60462</v>
      </c>
      <c r="J41" s="401">
        <f t="shared" ref="J41:K41" si="67">J269</f>
        <v>61054</v>
      </c>
      <c r="K41" s="401">
        <f t="shared" si="67"/>
        <v>61719</v>
      </c>
      <c r="L41" s="401">
        <f t="shared" ref="L41" si="68">L269</f>
        <v>60966</v>
      </c>
      <c r="N41" s="398" t="s">
        <v>3702</v>
      </c>
    </row>
    <row r="42" spans="1:14">
      <c r="D42" s="402"/>
      <c r="E42" s="402"/>
      <c r="F42" s="402"/>
      <c r="G42" s="402"/>
      <c r="H42" s="402"/>
      <c r="I42" s="402"/>
      <c r="J42" s="402"/>
      <c r="K42" s="402"/>
      <c r="L42" s="402"/>
    </row>
    <row r="43" spans="1:14">
      <c r="A43" s="398" t="s">
        <v>3703</v>
      </c>
      <c r="D43" s="401">
        <f t="shared" ref="D43:I43" si="69">D270</f>
        <v>60887</v>
      </c>
      <c r="E43" s="401">
        <f t="shared" si="69"/>
        <v>61308</v>
      </c>
      <c r="F43" s="401">
        <f t="shared" si="69"/>
        <v>61506</v>
      </c>
      <c r="G43" s="401">
        <f t="shared" si="69"/>
        <v>61805</v>
      </c>
      <c r="H43" s="401">
        <f t="shared" si="69"/>
        <v>60171</v>
      </c>
      <c r="I43" s="401">
        <f t="shared" si="69"/>
        <v>60187</v>
      </c>
      <c r="J43" s="401">
        <f t="shared" ref="J43:K43" si="70">J270</f>
        <v>60284</v>
      </c>
      <c r="K43" s="401">
        <f t="shared" si="70"/>
        <v>60957</v>
      </c>
      <c r="L43" s="401">
        <f t="shared" ref="L43" si="71">L270</f>
        <v>60491</v>
      </c>
      <c r="N43" s="398" t="s">
        <v>3702</v>
      </c>
    </row>
    <row r="44" spans="1:14">
      <c r="D44" s="402"/>
      <c r="E44" s="402"/>
      <c r="F44" s="402"/>
      <c r="G44" s="402"/>
      <c r="H44" s="402"/>
      <c r="I44" s="402"/>
      <c r="J44" s="402"/>
      <c r="K44" s="402"/>
      <c r="L44" s="402"/>
    </row>
    <row r="45" spans="1:14">
      <c r="A45" s="398" t="s">
        <v>3704</v>
      </c>
      <c r="D45" s="401">
        <f t="shared" ref="D45:I45" si="72">D271</f>
        <v>38877</v>
      </c>
      <c r="E45" s="401">
        <f t="shared" si="72"/>
        <v>39227</v>
      </c>
      <c r="F45" s="401">
        <f t="shared" si="72"/>
        <v>39440</v>
      </c>
      <c r="G45" s="401">
        <f t="shared" si="72"/>
        <v>39504</v>
      </c>
      <c r="H45" s="401">
        <f t="shared" si="72"/>
        <v>38848</v>
      </c>
      <c r="I45" s="401">
        <f t="shared" si="72"/>
        <v>38771</v>
      </c>
      <c r="J45" s="401">
        <f t="shared" ref="J45:K45" si="73">J271</f>
        <v>39157</v>
      </c>
      <c r="K45" s="401">
        <f t="shared" si="73"/>
        <v>39543</v>
      </c>
      <c r="L45" s="401">
        <f t="shared" ref="L45" si="74">L271</f>
        <v>39373</v>
      </c>
      <c r="N45" s="398" t="s">
        <v>3702</v>
      </c>
    </row>
    <row r="46" spans="1:14" ht="15.75" thickBot="1">
      <c r="D46" s="405">
        <f t="shared" ref="D46:I46" si="75">D306</f>
        <v>28481</v>
      </c>
      <c r="E46" s="405">
        <f t="shared" si="75"/>
        <v>28429</v>
      </c>
      <c r="F46" s="405">
        <f t="shared" si="75"/>
        <v>28724</v>
      </c>
      <c r="G46" s="405">
        <f t="shared" si="75"/>
        <v>29072</v>
      </c>
      <c r="H46" s="405">
        <f t="shared" si="75"/>
        <v>28698</v>
      </c>
      <c r="I46" s="405">
        <f t="shared" si="75"/>
        <v>28731</v>
      </c>
      <c r="J46" s="405">
        <f t="shared" ref="J46:K46" si="76">J306</f>
        <v>28142</v>
      </c>
      <c r="K46" s="405">
        <f t="shared" si="76"/>
        <v>28587</v>
      </c>
      <c r="L46" s="405">
        <f t="shared" ref="L46" si="77">L306</f>
        <v>28951</v>
      </c>
      <c r="N46" s="398" t="s">
        <v>5414</v>
      </c>
    </row>
    <row r="47" spans="1:14" ht="15.75" thickBot="1">
      <c r="D47" s="405">
        <f t="shared" ref="D47:I47" si="78">SUM(D45:D46)</f>
        <v>67358</v>
      </c>
      <c r="E47" s="405">
        <f t="shared" si="78"/>
        <v>67656</v>
      </c>
      <c r="F47" s="405">
        <f t="shared" si="78"/>
        <v>68164</v>
      </c>
      <c r="G47" s="405">
        <f t="shared" si="78"/>
        <v>68576</v>
      </c>
      <c r="H47" s="405">
        <f t="shared" si="78"/>
        <v>67546</v>
      </c>
      <c r="I47" s="405">
        <f t="shared" si="78"/>
        <v>67502</v>
      </c>
      <c r="J47" s="405">
        <f t="shared" ref="J47:K47" si="79">SUM(J45:J46)</f>
        <v>67299</v>
      </c>
      <c r="K47" s="405">
        <f t="shared" si="79"/>
        <v>68130</v>
      </c>
      <c r="L47" s="405">
        <f t="shared" ref="L47" si="80">SUM(L45:L46)</f>
        <v>68324</v>
      </c>
    </row>
    <row r="48" spans="1:14">
      <c r="D48" s="402"/>
      <c r="E48" s="402"/>
      <c r="F48" s="402"/>
      <c r="G48" s="402"/>
      <c r="H48" s="402"/>
      <c r="I48" s="402"/>
      <c r="J48" s="402"/>
      <c r="K48" s="402"/>
      <c r="L48" s="402"/>
    </row>
    <row r="49" spans="1:14">
      <c r="A49" s="398" t="s">
        <v>5415</v>
      </c>
      <c r="D49" s="401">
        <f t="shared" ref="D49:I49" si="81">D335</f>
        <v>82400</v>
      </c>
      <c r="E49" s="401">
        <f t="shared" si="81"/>
        <v>83428</v>
      </c>
      <c r="F49" s="401">
        <f t="shared" si="81"/>
        <v>81568</v>
      </c>
      <c r="G49" s="401">
        <f t="shared" si="81"/>
        <v>82083</v>
      </c>
      <c r="H49" s="401">
        <f t="shared" si="81"/>
        <v>82599</v>
      </c>
      <c r="I49" s="401">
        <f t="shared" si="81"/>
        <v>80076</v>
      </c>
      <c r="J49" s="401">
        <f t="shared" ref="J49:K49" si="82">J335</f>
        <v>78752</v>
      </c>
      <c r="K49" s="401">
        <f t="shared" si="82"/>
        <v>82268</v>
      </c>
      <c r="L49" s="401">
        <f t="shared" ref="L49" si="83">L335</f>
        <v>81525</v>
      </c>
      <c r="N49" s="398" t="s">
        <v>5416</v>
      </c>
    </row>
    <row r="50" spans="1:14">
      <c r="D50" s="402"/>
      <c r="E50" s="402"/>
      <c r="F50" s="402"/>
      <c r="G50" s="402"/>
      <c r="H50" s="402"/>
      <c r="I50" s="402"/>
      <c r="J50" s="402"/>
      <c r="K50" s="402"/>
      <c r="L50" s="402"/>
    </row>
    <row r="51" spans="1:14">
      <c r="A51" s="398" t="s">
        <v>5429</v>
      </c>
      <c r="D51" s="401">
        <f t="shared" ref="D51:I51" si="84">D336</f>
        <v>76638</v>
      </c>
      <c r="E51" s="401">
        <f t="shared" si="84"/>
        <v>77354</v>
      </c>
      <c r="F51" s="401">
        <f t="shared" si="84"/>
        <v>75634</v>
      </c>
      <c r="G51" s="401">
        <f t="shared" si="84"/>
        <v>77132</v>
      </c>
      <c r="H51" s="401">
        <f t="shared" si="84"/>
        <v>78153</v>
      </c>
      <c r="I51" s="401">
        <f t="shared" si="84"/>
        <v>76638</v>
      </c>
      <c r="J51" s="401">
        <f t="shared" ref="J51:K51" si="85">J336</f>
        <v>75121</v>
      </c>
      <c r="K51" s="401">
        <f t="shared" si="85"/>
        <v>78112</v>
      </c>
      <c r="L51" s="401">
        <f t="shared" ref="L51" si="86">L336</f>
        <v>77078</v>
      </c>
      <c r="N51" s="398" t="s">
        <v>5416</v>
      </c>
    </row>
    <row r="52" spans="1:14">
      <c r="D52" s="402"/>
      <c r="E52" s="402"/>
      <c r="F52" s="402"/>
      <c r="G52" s="402"/>
      <c r="H52" s="402"/>
      <c r="I52" s="402"/>
      <c r="J52" s="402"/>
      <c r="K52" s="402"/>
      <c r="L52" s="402"/>
    </row>
    <row r="53" spans="1:14">
      <c r="A53" s="398" t="s">
        <v>5430</v>
      </c>
      <c r="D53" s="401">
        <f t="shared" ref="D53:I53" si="87">D272</f>
        <v>69855</v>
      </c>
      <c r="E53" s="401">
        <f t="shared" si="87"/>
        <v>70225</v>
      </c>
      <c r="F53" s="401">
        <f t="shared" si="87"/>
        <v>70337</v>
      </c>
      <c r="G53" s="401">
        <f t="shared" si="87"/>
        <v>70425</v>
      </c>
      <c r="H53" s="401">
        <f t="shared" si="87"/>
        <v>68747</v>
      </c>
      <c r="I53" s="401">
        <f t="shared" si="87"/>
        <v>68686</v>
      </c>
      <c r="J53" s="401">
        <f t="shared" ref="J53:K53" si="88">J272</f>
        <v>69303</v>
      </c>
      <c r="K53" s="401">
        <f t="shared" si="88"/>
        <v>69791</v>
      </c>
      <c r="L53" s="401">
        <f t="shared" ref="L53" si="89">L272</f>
        <v>69763</v>
      </c>
      <c r="N53" s="398" t="s">
        <v>3702</v>
      </c>
    </row>
    <row r="54" spans="1:14">
      <c r="D54" s="402"/>
      <c r="E54" s="402"/>
      <c r="F54" s="402"/>
      <c r="G54" s="402"/>
      <c r="H54" s="402"/>
      <c r="I54" s="402"/>
      <c r="J54" s="402"/>
      <c r="K54" s="402"/>
      <c r="L54" s="402"/>
    </row>
    <row r="55" spans="1:14">
      <c r="A55" s="398" t="s">
        <v>5431</v>
      </c>
      <c r="D55" s="401">
        <f t="shared" ref="D55:I55" si="90">D207</f>
        <v>74877</v>
      </c>
      <c r="E55" s="401">
        <f t="shared" si="90"/>
        <v>75031</v>
      </c>
      <c r="F55" s="401">
        <f t="shared" si="90"/>
        <v>75567</v>
      </c>
      <c r="G55" s="401">
        <f t="shared" si="90"/>
        <v>75060</v>
      </c>
      <c r="H55" s="401">
        <f t="shared" si="90"/>
        <v>74855</v>
      </c>
      <c r="I55" s="401">
        <f t="shared" si="90"/>
        <v>75341</v>
      </c>
      <c r="J55" s="401">
        <f t="shared" ref="J55:K55" si="91">J207</f>
        <v>73172</v>
      </c>
      <c r="K55" s="401">
        <f t="shared" si="91"/>
        <v>73419</v>
      </c>
      <c r="L55" s="401">
        <f t="shared" ref="L55" si="92">L207</f>
        <v>73443</v>
      </c>
      <c r="N55" s="398" t="s">
        <v>7220</v>
      </c>
    </row>
    <row r="56" spans="1:14">
      <c r="D56" s="402"/>
      <c r="E56" s="402"/>
      <c r="F56" s="402"/>
      <c r="G56" s="402"/>
      <c r="H56" s="402"/>
      <c r="I56" s="402"/>
      <c r="J56" s="402"/>
      <c r="K56" s="402"/>
      <c r="L56" s="402"/>
    </row>
    <row r="57" spans="1:14">
      <c r="A57" s="398" t="s">
        <v>5432</v>
      </c>
      <c r="D57" s="401">
        <f t="shared" ref="D57:I57" si="93">D366</f>
        <v>64984</v>
      </c>
      <c r="E57" s="401">
        <f t="shared" si="93"/>
        <v>65468</v>
      </c>
      <c r="F57" s="401">
        <f t="shared" si="93"/>
        <v>67186</v>
      </c>
      <c r="G57" s="401">
        <f t="shared" si="93"/>
        <v>68018</v>
      </c>
      <c r="H57" s="401">
        <f t="shared" si="93"/>
        <v>67003</v>
      </c>
      <c r="I57" s="401">
        <f t="shared" si="93"/>
        <v>66648</v>
      </c>
      <c r="J57" s="401">
        <f t="shared" ref="J57:K57" si="94">J366</f>
        <v>64186</v>
      </c>
      <c r="K57" s="401">
        <f t="shared" si="94"/>
        <v>65731</v>
      </c>
      <c r="L57" s="401">
        <f t="shared" ref="L57" si="95">L366</f>
        <v>66367</v>
      </c>
      <c r="N57" s="398" t="s">
        <v>7218</v>
      </c>
    </row>
    <row r="58" spans="1:14">
      <c r="D58" s="402"/>
      <c r="E58" s="402"/>
      <c r="F58" s="402"/>
      <c r="G58" s="402"/>
      <c r="H58" s="402"/>
      <c r="I58" s="402"/>
      <c r="J58" s="402"/>
      <c r="K58" s="402"/>
      <c r="L58" s="402"/>
    </row>
    <row r="59" spans="1:14">
      <c r="A59" s="398" t="s">
        <v>5433</v>
      </c>
      <c r="D59" s="401">
        <f t="shared" ref="D59:I59" si="96">D367</f>
        <v>64710</v>
      </c>
      <c r="E59" s="401">
        <f t="shared" si="96"/>
        <v>66082</v>
      </c>
      <c r="F59" s="401">
        <f t="shared" si="96"/>
        <v>67767</v>
      </c>
      <c r="G59" s="401">
        <f t="shared" si="96"/>
        <v>68140</v>
      </c>
      <c r="H59" s="401">
        <f t="shared" si="96"/>
        <v>67031</v>
      </c>
      <c r="I59" s="401">
        <f t="shared" si="96"/>
        <v>67035</v>
      </c>
      <c r="J59" s="401">
        <f t="shared" ref="J59:K59" si="97">J367</f>
        <v>64415</v>
      </c>
      <c r="K59" s="401">
        <f t="shared" si="97"/>
        <v>66039</v>
      </c>
      <c r="L59" s="401">
        <f t="shared" ref="L59" si="98">L367</f>
        <v>66512</v>
      </c>
      <c r="N59" s="398" t="s">
        <v>7218</v>
      </c>
    </row>
    <row r="60" spans="1:14">
      <c r="D60" s="402"/>
      <c r="E60" s="402"/>
      <c r="F60" s="402"/>
      <c r="G60" s="402"/>
      <c r="H60" s="402"/>
      <c r="I60" s="402"/>
      <c r="J60" s="402"/>
      <c r="K60" s="402"/>
      <c r="L60" s="402"/>
    </row>
    <row r="61" spans="1:14">
      <c r="A61" s="398" t="s">
        <v>5434</v>
      </c>
      <c r="D61" s="401">
        <f t="shared" ref="D61:I61" si="99">D307</f>
        <v>63232</v>
      </c>
      <c r="E61" s="401">
        <f t="shared" si="99"/>
        <v>63024</v>
      </c>
      <c r="F61" s="401">
        <f t="shared" si="99"/>
        <v>63861</v>
      </c>
      <c r="G61" s="401">
        <f t="shared" si="99"/>
        <v>64502</v>
      </c>
      <c r="H61" s="401">
        <f t="shared" si="99"/>
        <v>63642</v>
      </c>
      <c r="I61" s="401">
        <f t="shared" si="99"/>
        <v>63668</v>
      </c>
      <c r="J61" s="401">
        <f t="shared" ref="J61:K61" si="100">J307</f>
        <v>61346</v>
      </c>
      <c r="K61" s="401">
        <f t="shared" si="100"/>
        <v>62633</v>
      </c>
      <c r="L61" s="401">
        <f t="shared" ref="L61" si="101">L307</f>
        <v>63219</v>
      </c>
      <c r="N61" s="398" t="s">
        <v>5414</v>
      </c>
    </row>
    <row r="62" spans="1:14">
      <c r="D62" s="402"/>
      <c r="E62" s="402"/>
      <c r="F62" s="402"/>
      <c r="G62" s="402"/>
      <c r="H62" s="402"/>
      <c r="I62" s="402"/>
      <c r="J62" s="402"/>
      <c r="K62" s="402"/>
      <c r="L62" s="402"/>
    </row>
    <row r="63" spans="1:14">
      <c r="A63" s="398" t="s">
        <v>5435</v>
      </c>
      <c r="D63" s="401">
        <f t="shared" ref="D63:I63" si="102">D308</f>
        <v>63218</v>
      </c>
      <c r="E63" s="401">
        <f t="shared" si="102"/>
        <v>63008</v>
      </c>
      <c r="F63" s="401">
        <f t="shared" si="102"/>
        <v>63465</v>
      </c>
      <c r="G63" s="401">
        <f t="shared" si="102"/>
        <v>64389</v>
      </c>
      <c r="H63" s="401">
        <f t="shared" si="102"/>
        <v>63641</v>
      </c>
      <c r="I63" s="401">
        <f t="shared" si="102"/>
        <v>63587</v>
      </c>
      <c r="J63" s="401">
        <f t="shared" ref="J63:K63" si="103">J308</f>
        <v>62033</v>
      </c>
      <c r="K63" s="401">
        <f t="shared" si="103"/>
        <v>62968</v>
      </c>
      <c r="L63" s="401">
        <f t="shared" ref="L63" si="104">L308</f>
        <v>64007</v>
      </c>
      <c r="N63" s="398" t="s">
        <v>5414</v>
      </c>
    </row>
    <row r="64" spans="1:14">
      <c r="D64" s="402"/>
      <c r="E64" s="402"/>
      <c r="F64" s="402"/>
      <c r="G64" s="402"/>
      <c r="H64" s="402"/>
      <c r="I64" s="402"/>
      <c r="J64" s="402"/>
      <c r="K64" s="402"/>
      <c r="L64" s="402"/>
    </row>
    <row r="65" spans="1:14">
      <c r="A65" s="398" t="s">
        <v>5436</v>
      </c>
      <c r="D65" s="401">
        <f t="shared" ref="D65:I65" si="105">D309</f>
        <v>65472</v>
      </c>
      <c r="E65" s="401">
        <f t="shared" si="105"/>
        <v>65249</v>
      </c>
      <c r="F65" s="401">
        <f t="shared" si="105"/>
        <v>65964</v>
      </c>
      <c r="G65" s="401">
        <f t="shared" si="105"/>
        <v>66742</v>
      </c>
      <c r="H65" s="401">
        <f t="shared" si="105"/>
        <v>65721</v>
      </c>
      <c r="I65" s="401">
        <f t="shared" si="105"/>
        <v>65705</v>
      </c>
      <c r="J65" s="401">
        <f t="shared" ref="J65:K65" si="106">J309</f>
        <v>63963</v>
      </c>
      <c r="K65" s="401">
        <f t="shared" si="106"/>
        <v>64953</v>
      </c>
      <c r="L65" s="401">
        <f t="shared" ref="L65" si="107">L309</f>
        <v>65839</v>
      </c>
      <c r="N65" s="398" t="s">
        <v>5414</v>
      </c>
    </row>
    <row r="66" spans="1:14">
      <c r="D66" s="402"/>
      <c r="E66" s="402"/>
      <c r="F66" s="402"/>
      <c r="G66" s="402"/>
      <c r="H66" s="402"/>
      <c r="I66" s="402"/>
      <c r="J66" s="402"/>
      <c r="K66" s="402"/>
      <c r="L66" s="402"/>
    </row>
    <row r="67" spans="1:14">
      <c r="A67" s="398" t="s">
        <v>5437</v>
      </c>
      <c r="D67" s="401">
        <f t="shared" ref="D67:I67" si="108">D396</f>
        <v>59130</v>
      </c>
      <c r="E67" s="401">
        <f t="shared" si="108"/>
        <v>60354</v>
      </c>
      <c r="F67" s="401">
        <f t="shared" si="108"/>
        <v>61286</v>
      </c>
      <c r="G67" s="401">
        <f t="shared" si="108"/>
        <v>61164</v>
      </c>
      <c r="H67" s="401">
        <f t="shared" si="108"/>
        <v>61043</v>
      </c>
      <c r="I67" s="401">
        <f t="shared" si="108"/>
        <v>60935</v>
      </c>
      <c r="J67" s="401">
        <f t="shared" ref="J67:K67" si="109">J396</f>
        <v>59962</v>
      </c>
      <c r="K67" s="401">
        <f t="shared" si="109"/>
        <v>60383</v>
      </c>
      <c r="L67" s="401">
        <f t="shared" ref="L67" si="110">L396</f>
        <v>60495</v>
      </c>
      <c r="N67" s="398" t="s">
        <v>5438</v>
      </c>
    </row>
    <row r="68" spans="1:14">
      <c r="D68" s="402"/>
      <c r="E68" s="402"/>
      <c r="F68" s="402"/>
      <c r="G68" s="402"/>
      <c r="H68" s="402"/>
      <c r="I68" s="402"/>
      <c r="J68" s="402"/>
      <c r="K68" s="402"/>
      <c r="L68" s="402"/>
    </row>
    <row r="69" spans="1:14">
      <c r="A69" s="398" t="s">
        <v>5439</v>
      </c>
      <c r="D69" s="401">
        <f t="shared" ref="D69:I69" si="111">D273</f>
        <v>9617</v>
      </c>
      <c r="E69" s="401">
        <f t="shared" si="111"/>
        <v>9657</v>
      </c>
      <c r="F69" s="401">
        <f t="shared" si="111"/>
        <v>9668</v>
      </c>
      <c r="G69" s="401">
        <f t="shared" si="111"/>
        <v>9774</v>
      </c>
      <c r="H69" s="401">
        <f t="shared" si="111"/>
        <v>9536</v>
      </c>
      <c r="I69" s="401">
        <f t="shared" si="111"/>
        <v>9444</v>
      </c>
      <c r="J69" s="401">
        <f t="shared" ref="J69:K69" si="112">J273</f>
        <v>9607</v>
      </c>
      <c r="K69" s="401">
        <f t="shared" si="112"/>
        <v>9610</v>
      </c>
      <c r="L69" s="401">
        <f t="shared" ref="L69" si="113">L273</f>
        <v>9427</v>
      </c>
      <c r="N69" s="398" t="s">
        <v>3702</v>
      </c>
    </row>
    <row r="70" spans="1:14" ht="15.75" thickBot="1">
      <c r="A70" s="398"/>
      <c r="D70" s="405">
        <f t="shared" ref="D70:I70" si="114">D397</f>
        <v>50673</v>
      </c>
      <c r="E70" s="405">
        <f t="shared" si="114"/>
        <v>52094</v>
      </c>
      <c r="F70" s="405">
        <f t="shared" si="114"/>
        <v>52641</v>
      </c>
      <c r="G70" s="405">
        <f t="shared" si="114"/>
        <v>52906</v>
      </c>
      <c r="H70" s="405">
        <f t="shared" si="114"/>
        <v>52049</v>
      </c>
      <c r="I70" s="405">
        <f t="shared" si="114"/>
        <v>52817</v>
      </c>
      <c r="J70" s="405">
        <f t="shared" ref="J70:K70" si="115">J397</f>
        <v>52026</v>
      </c>
      <c r="K70" s="405">
        <f t="shared" si="115"/>
        <v>52507</v>
      </c>
      <c r="L70" s="405">
        <f t="shared" ref="L70" si="116">L397</f>
        <v>52341</v>
      </c>
      <c r="N70" s="398" t="s">
        <v>5438</v>
      </c>
    </row>
    <row r="71" spans="1:14" ht="15.75" thickBot="1">
      <c r="A71" s="398"/>
      <c r="D71" s="406">
        <f t="shared" ref="D71:I71" si="117">D69+D70</f>
        <v>60290</v>
      </c>
      <c r="E71" s="406">
        <f t="shared" si="117"/>
        <v>61751</v>
      </c>
      <c r="F71" s="406">
        <f t="shared" si="117"/>
        <v>62309</v>
      </c>
      <c r="G71" s="406">
        <f t="shared" si="117"/>
        <v>62680</v>
      </c>
      <c r="H71" s="406">
        <f t="shared" si="117"/>
        <v>61585</v>
      </c>
      <c r="I71" s="406">
        <f t="shared" si="117"/>
        <v>62261</v>
      </c>
      <c r="J71" s="406">
        <f t="shared" ref="J71:K71" si="118">J69+J70</f>
        <v>61633</v>
      </c>
      <c r="K71" s="406">
        <f t="shared" si="118"/>
        <v>62117</v>
      </c>
      <c r="L71" s="406">
        <f t="shared" ref="L71" si="119">L69+L70</f>
        <v>61768</v>
      </c>
      <c r="N71" s="398"/>
    </row>
    <row r="72" spans="1:14">
      <c r="D72" s="402"/>
      <c r="E72" s="402"/>
      <c r="F72" s="402"/>
      <c r="G72" s="402"/>
      <c r="H72" s="402"/>
      <c r="I72" s="402"/>
      <c r="J72" s="402"/>
      <c r="K72" s="402"/>
      <c r="L72" s="402"/>
    </row>
    <row r="73" spans="1:14">
      <c r="A73" s="398" t="s">
        <v>7238</v>
      </c>
      <c r="D73" s="401">
        <f t="shared" ref="D73:I73" si="120">D398</f>
        <v>58431</v>
      </c>
      <c r="E73" s="401">
        <f t="shared" si="120"/>
        <v>59846</v>
      </c>
      <c r="F73" s="401">
        <f t="shared" si="120"/>
        <v>61018</v>
      </c>
      <c r="G73" s="401">
        <f t="shared" si="120"/>
        <v>59945</v>
      </c>
      <c r="H73" s="401">
        <f t="shared" si="120"/>
        <v>60158</v>
      </c>
      <c r="I73" s="401">
        <f t="shared" si="120"/>
        <v>59599</v>
      </c>
      <c r="J73" s="401">
        <f t="shared" ref="J73:K73" si="121">J398</f>
        <v>58224</v>
      </c>
      <c r="K73" s="401">
        <f t="shared" si="121"/>
        <v>58843</v>
      </c>
      <c r="L73" s="401">
        <f t="shared" ref="L73" si="122">L398</f>
        <v>59080</v>
      </c>
      <c r="N73" s="398" t="s">
        <v>5438</v>
      </c>
    </row>
    <row r="74" spans="1:14">
      <c r="D74" s="402"/>
      <c r="E74" s="402"/>
      <c r="F74" s="402"/>
      <c r="G74" s="402"/>
      <c r="H74" s="402"/>
      <c r="I74" s="402"/>
      <c r="J74" s="402"/>
      <c r="K74" s="402"/>
      <c r="L74" s="402"/>
    </row>
    <row r="75" spans="1:14">
      <c r="A75" s="398" t="s">
        <v>8697</v>
      </c>
      <c r="D75" s="401">
        <f t="shared" ref="D75:I75" si="123">SUM(D15:D43)+SUM(D47:D67)+D71+D73</f>
        <v>1921952</v>
      </c>
      <c r="E75" s="401">
        <f t="shared" si="123"/>
        <v>1942459</v>
      </c>
      <c r="F75" s="401">
        <f t="shared" si="123"/>
        <v>1963121</v>
      </c>
      <c r="G75" s="401">
        <f t="shared" si="123"/>
        <v>1961097</v>
      </c>
      <c r="H75" s="401">
        <f t="shared" si="123"/>
        <v>1924941</v>
      </c>
      <c r="I75" s="401">
        <f t="shared" si="123"/>
        <v>1905475</v>
      </c>
      <c r="J75" s="401">
        <f t="shared" ref="J75:K75" si="124">SUM(J15:J43)+SUM(J47:J67)+J71+J73</f>
        <v>1862769</v>
      </c>
      <c r="K75" s="401">
        <f t="shared" si="124"/>
        <v>1887849</v>
      </c>
      <c r="L75" s="401">
        <f t="shared" ref="L75" si="125">SUM(L15:L43)+SUM(L47:L67)+L71+L73</f>
        <v>1894396</v>
      </c>
    </row>
    <row r="76" spans="1:14">
      <c r="D76" s="402"/>
      <c r="E76" s="402"/>
      <c r="F76" s="402"/>
      <c r="G76" s="402"/>
      <c r="H76" s="402"/>
      <c r="I76" s="402"/>
      <c r="J76" s="402"/>
      <c r="K76" s="402"/>
      <c r="L76" s="402"/>
    </row>
    <row r="77" spans="1:14">
      <c r="A77" s="398" t="s">
        <v>8698</v>
      </c>
      <c r="D77" s="401">
        <f t="shared" ref="D77:I77" si="126">MAX(D15,D17,D19,D21,D23,D25,D27,D29,D31,D33,D35,D37,D39,D41,D43,D47,D49,D51,D53,D55,D57,D59,D61,D63,D65,D67,D71,D73)-MIN(D15,D17,D19,D21,D23,D25,D27,D29,D31,D33,D35,D37,D39,D41,D43,D47,D49,D51,D53,D55,D57,D59,D61,D63,D65,D67,D71,D73)</f>
        <v>23969</v>
      </c>
      <c r="E77" s="401">
        <f t="shared" si="126"/>
        <v>23922</v>
      </c>
      <c r="F77" s="401">
        <f t="shared" si="126"/>
        <v>21253</v>
      </c>
      <c r="G77" s="401">
        <f t="shared" si="126"/>
        <v>22138</v>
      </c>
      <c r="H77" s="401">
        <f t="shared" si="126"/>
        <v>22441</v>
      </c>
      <c r="I77" s="401">
        <f t="shared" si="126"/>
        <v>20477</v>
      </c>
      <c r="J77" s="401">
        <f t="shared" ref="J77:K77" si="127">MAX(J15,J17,J19,J21,J23,J25,J27,J29,J31,J33,J35,J37,J39,J41,J43,J47,J49,J51,J53,J55,J57,J59,J61,J63,J65,J67,J71,J73)-MIN(J15,J17,J19,J21,J23,J25,J27,J29,J31,J33,J35,J37,J39,J41,J43,J47,J49,J51,J53,J55,J57,J59,J61,J63,J65,J67,J71,J73)</f>
        <v>20528</v>
      </c>
      <c r="K77" s="401">
        <f t="shared" si="127"/>
        <v>23425</v>
      </c>
      <c r="L77" s="401">
        <f t="shared" ref="L77" si="128">MAX(L15,L17,L19,L21,L23,L25,L27,L29,L31,L33,L35,L37,L39,L41,L43,L47,L49,L51,L53,L55,L57,L59,L61,L63,L65,L67,L71,L73)-MIN(L15,L17,L19,L21,L23,L25,L27,L29,L31,L33,L35,L37,L39,L41,L43,L47,L49,L51,L53,L55,L57,L59,L61,L63,L65,L67,L71,L73)</f>
        <v>22445</v>
      </c>
    </row>
    <row r="78" spans="1:14">
      <c r="D78" s="402"/>
      <c r="E78" s="402"/>
      <c r="F78" s="402"/>
      <c r="G78" s="402"/>
      <c r="H78" s="402"/>
      <c r="I78" s="402"/>
      <c r="J78" s="402"/>
      <c r="K78" s="402"/>
      <c r="L78" s="402"/>
    </row>
    <row r="79" spans="1:14">
      <c r="A79" s="407" t="s">
        <v>8701</v>
      </c>
      <c r="D79" s="401">
        <f t="shared" ref="D79:I79" si="129">STDEVP(D15,D17,D19,D21,D23,D25,D27,D29,D31,D33,D35,D37,D39,D41,D43,D47,D49,D51,D53,D55,D57,D59,D61,D63,D65,D67,D71,D73)</f>
        <v>6343.5759164814335</v>
      </c>
      <c r="E79" s="401">
        <f t="shared" si="129"/>
        <v>6445.1338204113499</v>
      </c>
      <c r="F79" s="401">
        <f t="shared" si="129"/>
        <v>6278.1400878771574</v>
      </c>
      <c r="G79" s="401">
        <f t="shared" si="129"/>
        <v>6106.0305498134476</v>
      </c>
      <c r="H79" s="401">
        <f t="shared" si="129"/>
        <v>6049.4147434706774</v>
      </c>
      <c r="I79" s="401">
        <f t="shared" si="129"/>
        <v>5838.5296770283539</v>
      </c>
      <c r="J79" s="401">
        <f t="shared" ref="J79:K79" si="130">STDEVP(J15,J17,J19,J21,J23,J25,J27,J29,J31,J33,J35,J37,J39,J41,J43,J47,J49,J51,J53,J55,J57,J59,J61,J63,J65,J67,J71,J73)</f>
        <v>5393.6694538408565</v>
      </c>
      <c r="K79" s="401">
        <f t="shared" si="130"/>
        <v>5886.6440175655962</v>
      </c>
      <c r="L79" s="401">
        <f t="shared" ref="L79" si="131">STDEVP(L15,L17,L19,L21,L23,L25,L27,L29,L31,L33,L35,L37,L39,L41,L43,L47,L49,L51,L53,L55,L57,L59,L61,L63,L65,L67,L71,L73)</f>
        <v>5876.6942906462546</v>
      </c>
    </row>
    <row r="83" spans="1:18">
      <c r="E83" s="42" t="s">
        <v>2303</v>
      </c>
      <c r="F83" s="42"/>
      <c r="G83" s="42"/>
      <c r="H83" s="42"/>
      <c r="I83" s="42"/>
      <c r="J83" s="42"/>
      <c r="K83" s="42"/>
      <c r="L83" s="42"/>
      <c r="M83" s="43"/>
      <c r="N83" s="43" t="s">
        <v>13319</v>
      </c>
    </row>
    <row r="84" spans="1:18">
      <c r="D84" s="400">
        <v>2010</v>
      </c>
      <c r="E84" s="400">
        <v>2011</v>
      </c>
      <c r="F84" s="400">
        <v>2012</v>
      </c>
      <c r="G84" s="400">
        <v>2013</v>
      </c>
      <c r="H84" s="400">
        <v>2014</v>
      </c>
      <c r="I84" s="400">
        <v>2015</v>
      </c>
      <c r="J84" s="400">
        <v>2016</v>
      </c>
      <c r="K84" s="400">
        <v>2017</v>
      </c>
      <c r="L84" s="400">
        <v>2018</v>
      </c>
      <c r="N84" s="44" t="s">
        <v>2304</v>
      </c>
    </row>
    <row r="85" spans="1:18">
      <c r="A85" s="398" t="s">
        <v>7239</v>
      </c>
      <c r="C85" s="398"/>
      <c r="D85" s="401">
        <f t="shared" ref="D85:K85" si="132">SUM(D86:D90,D92:D93,D95:D97,D99:D101,D103:D105,D107:D109,D111:D112,D114:D122,D124:D126,D128:D135,D137:D138,D140:D142,D144:D147,D149:D152,D154:D155,D157:D167,D169:D172,D174:D176,D178:D188,D190:D193,D195:D196)</f>
        <v>726290</v>
      </c>
      <c r="E85" s="401">
        <f t="shared" si="132"/>
        <v>731731</v>
      </c>
      <c r="F85" s="401">
        <f t="shared" si="132"/>
        <v>743467</v>
      </c>
      <c r="G85" s="401">
        <f t="shared" si="132"/>
        <v>736042</v>
      </c>
      <c r="H85" s="401">
        <f t="shared" si="132"/>
        <v>715434</v>
      </c>
      <c r="I85" s="401">
        <f t="shared" si="132"/>
        <v>707888</v>
      </c>
      <c r="J85" s="401">
        <f t="shared" si="132"/>
        <v>686804</v>
      </c>
      <c r="K85" s="401">
        <f t="shared" si="132"/>
        <v>688561</v>
      </c>
      <c r="L85" s="401">
        <f>SUM(L86:L90,L92:L93,L95:L97,L99:L101,L103:L105,L107:L109,L111:L112,L114:L122,L124:L126,L128:L135,L137:L138,L140:L142,L144:L147,L149:L152,L154:L155,L157:L167,L169:L172,L174:L176,L178:L188,L190:L193,L195:L196)</f>
        <v>695370</v>
      </c>
    </row>
    <row r="86" spans="1:18">
      <c r="A86" s="398" t="s">
        <v>6957</v>
      </c>
      <c r="B86" s="398" t="s">
        <v>7240</v>
      </c>
      <c r="C86" s="4" t="s">
        <v>16484</v>
      </c>
      <c r="D86" s="402">
        <v>72732</v>
      </c>
      <c r="E86" s="402">
        <v>73261</v>
      </c>
      <c r="F86" s="402">
        <v>74128</v>
      </c>
      <c r="G86" s="402">
        <v>73494</v>
      </c>
      <c r="H86" s="48">
        <v>71818</v>
      </c>
      <c r="I86" s="48">
        <v>72179</v>
      </c>
      <c r="J86" s="48">
        <v>69911</v>
      </c>
      <c r="K86" s="48">
        <v>70235</v>
      </c>
      <c r="L86" s="48">
        <v>15160</v>
      </c>
      <c r="N86" s="398" t="s">
        <v>7228</v>
      </c>
      <c r="Q86" s="4"/>
      <c r="R86" s="4"/>
    </row>
    <row r="87" spans="1:18">
      <c r="A87" s="398" t="s">
        <v>6959</v>
      </c>
      <c r="B87" s="399" t="s">
        <v>16485</v>
      </c>
      <c r="C87" s="4" t="s">
        <v>16486</v>
      </c>
      <c r="D87" s="402">
        <v>71866</v>
      </c>
      <c r="E87" s="402">
        <v>72190</v>
      </c>
      <c r="F87" s="402">
        <v>73071</v>
      </c>
      <c r="G87" s="402">
        <v>72659</v>
      </c>
      <c r="H87" s="48">
        <v>71315</v>
      </c>
      <c r="I87" s="48">
        <v>71803</v>
      </c>
      <c r="J87" s="48">
        <v>69377</v>
      </c>
      <c r="K87" s="48">
        <v>70001</v>
      </c>
      <c r="L87" s="48">
        <v>7385</v>
      </c>
      <c r="N87" s="398" t="s">
        <v>7225</v>
      </c>
      <c r="Q87" s="4"/>
      <c r="R87" s="4"/>
    </row>
    <row r="88" spans="1:18">
      <c r="A88" s="398" t="s">
        <v>6961</v>
      </c>
      <c r="B88" s="399" t="s">
        <v>16487</v>
      </c>
      <c r="C88" s="4" t="s">
        <v>16488</v>
      </c>
      <c r="D88" s="402">
        <v>75330</v>
      </c>
      <c r="E88" s="402">
        <v>75985</v>
      </c>
      <c r="F88" s="402">
        <v>77227</v>
      </c>
      <c r="G88" s="402">
        <v>76767</v>
      </c>
      <c r="H88" s="48">
        <v>74885</v>
      </c>
      <c r="I88" s="48">
        <v>75362</v>
      </c>
      <c r="J88" s="48">
        <v>73173</v>
      </c>
      <c r="K88" s="48">
        <v>73384</v>
      </c>
      <c r="L88" s="48">
        <v>14830</v>
      </c>
      <c r="N88" s="398" t="s">
        <v>7223</v>
      </c>
      <c r="Q88" s="4"/>
      <c r="R88" s="4"/>
    </row>
    <row r="89" spans="1:18">
      <c r="A89" s="398" t="s">
        <v>6963</v>
      </c>
      <c r="B89" s="399" t="s">
        <v>2051</v>
      </c>
      <c r="C89" s="4" t="s">
        <v>16489</v>
      </c>
      <c r="D89" s="402">
        <v>0</v>
      </c>
      <c r="E89" s="402">
        <v>0</v>
      </c>
      <c r="F89" s="402">
        <v>0</v>
      </c>
      <c r="G89" s="402">
        <v>0</v>
      </c>
      <c r="H89" s="48">
        <v>0</v>
      </c>
      <c r="I89" s="48">
        <v>0</v>
      </c>
      <c r="J89" s="48">
        <v>0</v>
      </c>
      <c r="K89" s="48">
        <v>0</v>
      </c>
      <c r="L89" s="48">
        <v>11512</v>
      </c>
      <c r="N89" s="398" t="s">
        <v>7224</v>
      </c>
      <c r="Q89" s="4"/>
      <c r="R89" s="4"/>
    </row>
    <row r="90" spans="1:18" ht="15.75" thickBot="1">
      <c r="A90" s="398"/>
      <c r="C90" s="4" t="s">
        <v>16489</v>
      </c>
      <c r="D90" s="402">
        <v>0</v>
      </c>
      <c r="E90" s="402">
        <v>0</v>
      </c>
      <c r="F90" s="402">
        <v>0</v>
      </c>
      <c r="G90" s="402">
        <v>0</v>
      </c>
      <c r="H90" s="48">
        <v>0</v>
      </c>
      <c r="I90" s="48">
        <v>0</v>
      </c>
      <c r="J90" s="48">
        <v>0</v>
      </c>
      <c r="K90" s="48">
        <v>0</v>
      </c>
      <c r="L90" s="48">
        <v>1860</v>
      </c>
      <c r="N90" s="398" t="s">
        <v>7226</v>
      </c>
      <c r="Q90" s="4"/>
      <c r="R90" s="4"/>
    </row>
    <row r="91" spans="1:18" ht="15.75" thickBot="1">
      <c r="A91" s="398"/>
      <c r="C91" s="4" t="s">
        <v>16489</v>
      </c>
      <c r="D91" s="406">
        <f t="shared" ref="D91:L91" si="133">D89+D90</f>
        <v>0</v>
      </c>
      <c r="E91" s="406">
        <f t="shared" si="133"/>
        <v>0</v>
      </c>
      <c r="F91" s="406">
        <f t="shared" si="133"/>
        <v>0</v>
      </c>
      <c r="G91" s="406">
        <f t="shared" si="133"/>
        <v>0</v>
      </c>
      <c r="H91" s="406">
        <f t="shared" si="133"/>
        <v>0</v>
      </c>
      <c r="I91" s="406">
        <f t="shared" si="133"/>
        <v>0</v>
      </c>
      <c r="J91" s="406">
        <f t="shared" si="133"/>
        <v>0</v>
      </c>
      <c r="K91" s="406">
        <f t="shared" si="133"/>
        <v>0</v>
      </c>
      <c r="L91" s="406">
        <f t="shared" si="133"/>
        <v>13372</v>
      </c>
      <c r="N91" s="398"/>
      <c r="Q91" s="4"/>
      <c r="R91" s="4"/>
    </row>
    <row r="92" spans="1:18">
      <c r="A92" s="398" t="s">
        <v>6965</v>
      </c>
      <c r="B92" s="398" t="s">
        <v>16490</v>
      </c>
      <c r="C92" s="4" t="s">
        <v>16491</v>
      </c>
      <c r="D92" s="402">
        <v>0</v>
      </c>
      <c r="E92" s="402">
        <v>0</v>
      </c>
      <c r="F92" s="402">
        <v>0</v>
      </c>
      <c r="G92" s="402">
        <v>0</v>
      </c>
      <c r="H92" s="48">
        <v>0</v>
      </c>
      <c r="I92" s="48">
        <v>0</v>
      </c>
      <c r="J92" s="48">
        <v>0</v>
      </c>
      <c r="K92" s="48">
        <v>0</v>
      </c>
      <c r="L92" s="48">
        <v>631</v>
      </c>
      <c r="N92" s="398" t="s">
        <v>7219</v>
      </c>
      <c r="Q92" s="4"/>
      <c r="R92" s="4"/>
    </row>
    <row r="93" spans="1:18" ht="15.75" thickBot="1">
      <c r="A93" s="398"/>
      <c r="B93" s="398"/>
      <c r="C93" s="4" t="s">
        <v>16491</v>
      </c>
      <c r="D93" s="402">
        <v>76576</v>
      </c>
      <c r="E93" s="402">
        <v>77157</v>
      </c>
      <c r="F93" s="402">
        <v>78332</v>
      </c>
      <c r="G93" s="402">
        <v>77606</v>
      </c>
      <c r="H93" s="48">
        <v>75756</v>
      </c>
      <c r="I93" s="48">
        <v>76176</v>
      </c>
      <c r="J93" s="48">
        <v>73938</v>
      </c>
      <c r="K93" s="48">
        <v>74790</v>
      </c>
      <c r="L93" s="48">
        <v>6063</v>
      </c>
      <c r="N93" s="398" t="s">
        <v>7222</v>
      </c>
      <c r="Q93" s="4"/>
      <c r="R93" s="4"/>
    </row>
    <row r="94" spans="1:18" ht="15.75" thickBot="1">
      <c r="A94" s="398"/>
      <c r="B94" s="398"/>
      <c r="C94" s="4" t="s">
        <v>16491</v>
      </c>
      <c r="D94" s="406">
        <f>SUM(D92:D93)</f>
        <v>76576</v>
      </c>
      <c r="E94" s="406">
        <f t="shared" ref="E94:L94" si="134">SUM(E92:E93)</f>
        <v>77157</v>
      </c>
      <c r="F94" s="406">
        <f t="shared" si="134"/>
        <v>78332</v>
      </c>
      <c r="G94" s="406">
        <f t="shared" si="134"/>
        <v>77606</v>
      </c>
      <c r="H94" s="406">
        <f t="shared" si="134"/>
        <v>75756</v>
      </c>
      <c r="I94" s="406">
        <f t="shared" si="134"/>
        <v>76176</v>
      </c>
      <c r="J94" s="406">
        <f t="shared" si="134"/>
        <v>73938</v>
      </c>
      <c r="K94" s="406">
        <f t="shared" si="134"/>
        <v>74790</v>
      </c>
      <c r="L94" s="406">
        <f t="shared" si="134"/>
        <v>6694</v>
      </c>
      <c r="N94" s="398"/>
      <c r="Q94" s="4"/>
      <c r="R94" s="4"/>
    </row>
    <row r="95" spans="1:18">
      <c r="A95" s="398" t="s">
        <v>6997</v>
      </c>
      <c r="B95" s="398" t="s">
        <v>7241</v>
      </c>
      <c r="C95" s="4" t="s">
        <v>16492</v>
      </c>
      <c r="D95" s="402">
        <v>68566</v>
      </c>
      <c r="E95" s="402">
        <v>69039</v>
      </c>
      <c r="F95" s="402">
        <v>70384</v>
      </c>
      <c r="G95" s="402">
        <v>68876</v>
      </c>
      <c r="H95" s="48">
        <v>66612</v>
      </c>
      <c r="I95" s="48">
        <v>63153</v>
      </c>
      <c r="J95" s="48">
        <v>62795</v>
      </c>
      <c r="K95" s="48">
        <v>63043</v>
      </c>
      <c r="L95" s="48">
        <v>15222</v>
      </c>
      <c r="N95" s="398" t="s">
        <v>7219</v>
      </c>
      <c r="Q95" s="4"/>
      <c r="R95" s="4"/>
    </row>
    <row r="96" spans="1:18">
      <c r="A96" s="398" t="s">
        <v>6999</v>
      </c>
      <c r="B96" s="398" t="s">
        <v>7242</v>
      </c>
      <c r="C96" s="4" t="s">
        <v>16493</v>
      </c>
      <c r="D96" s="402">
        <v>0</v>
      </c>
      <c r="E96" s="402">
        <v>0</v>
      </c>
      <c r="F96" s="402">
        <v>0</v>
      </c>
      <c r="G96" s="402">
        <v>0</v>
      </c>
      <c r="H96" s="48">
        <v>0</v>
      </c>
      <c r="I96" s="48">
        <v>0</v>
      </c>
      <c r="J96" s="48">
        <v>0</v>
      </c>
      <c r="K96" s="48">
        <v>0</v>
      </c>
      <c r="L96" s="48">
        <v>1224</v>
      </c>
      <c r="N96" s="398" t="s">
        <v>7222</v>
      </c>
      <c r="Q96" s="4"/>
      <c r="R96" s="4"/>
    </row>
    <row r="97" spans="1:18" ht="15.75" thickBot="1">
      <c r="A97" s="398"/>
      <c r="B97" s="398"/>
      <c r="C97" s="4" t="s">
        <v>16493</v>
      </c>
      <c r="D97" s="402">
        <v>0</v>
      </c>
      <c r="E97" s="402">
        <v>0</v>
      </c>
      <c r="F97" s="402">
        <v>0</v>
      </c>
      <c r="G97" s="402">
        <v>0</v>
      </c>
      <c r="H97" s="48">
        <v>0</v>
      </c>
      <c r="I97" s="48">
        <v>0</v>
      </c>
      <c r="J97" s="48">
        <v>0</v>
      </c>
      <c r="K97" s="48">
        <v>0</v>
      </c>
      <c r="L97" s="48">
        <v>12640</v>
      </c>
      <c r="N97" s="398" t="s">
        <v>7227</v>
      </c>
      <c r="Q97" s="4"/>
      <c r="R97" s="4"/>
    </row>
    <row r="98" spans="1:18" ht="15.75" thickBot="1">
      <c r="A98" s="398"/>
      <c r="B98" s="398"/>
      <c r="C98" s="4" t="s">
        <v>16493</v>
      </c>
      <c r="D98" s="406">
        <f t="shared" ref="D98:L98" si="135">D96+D97</f>
        <v>0</v>
      </c>
      <c r="E98" s="406">
        <f t="shared" si="135"/>
        <v>0</v>
      </c>
      <c r="F98" s="406">
        <f t="shared" si="135"/>
        <v>0</v>
      </c>
      <c r="G98" s="406">
        <f t="shared" si="135"/>
        <v>0</v>
      </c>
      <c r="H98" s="406">
        <f t="shared" si="135"/>
        <v>0</v>
      </c>
      <c r="I98" s="406">
        <f t="shared" si="135"/>
        <v>0</v>
      </c>
      <c r="J98" s="406">
        <f t="shared" si="135"/>
        <v>0</v>
      </c>
      <c r="K98" s="406">
        <f t="shared" si="135"/>
        <v>0</v>
      </c>
      <c r="L98" s="406">
        <f t="shared" si="135"/>
        <v>13864</v>
      </c>
      <c r="N98" s="398"/>
      <c r="Q98" s="4"/>
      <c r="R98" s="4"/>
    </row>
    <row r="99" spans="1:18">
      <c r="A99" s="398" t="s">
        <v>7001</v>
      </c>
      <c r="B99" s="399" t="s">
        <v>8557</v>
      </c>
      <c r="C99" s="4" t="s">
        <v>16494</v>
      </c>
      <c r="D99" s="402">
        <v>71647</v>
      </c>
      <c r="E99" s="402">
        <v>71794</v>
      </c>
      <c r="F99" s="402">
        <v>73100</v>
      </c>
      <c r="G99" s="402">
        <v>72838</v>
      </c>
      <c r="H99" s="48">
        <v>70560</v>
      </c>
      <c r="I99" s="48">
        <v>70088</v>
      </c>
      <c r="J99" s="48">
        <v>67710</v>
      </c>
      <c r="K99" s="48">
        <v>67895</v>
      </c>
      <c r="L99" s="48">
        <v>6487</v>
      </c>
      <c r="N99" s="398" t="s">
        <v>7226</v>
      </c>
      <c r="Q99" s="4"/>
      <c r="R99" s="4"/>
    </row>
    <row r="100" spans="1:18">
      <c r="A100" s="398" t="s">
        <v>7003</v>
      </c>
      <c r="B100" s="398" t="s">
        <v>16495</v>
      </c>
      <c r="C100" s="4" t="s">
        <v>16496</v>
      </c>
      <c r="D100" s="402">
        <v>0</v>
      </c>
      <c r="E100" s="402">
        <v>0</v>
      </c>
      <c r="F100" s="402">
        <v>0</v>
      </c>
      <c r="G100" s="402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571</v>
      </c>
      <c r="N100" s="398" t="s">
        <v>7223</v>
      </c>
      <c r="Q100" s="4"/>
      <c r="R100" s="4"/>
    </row>
    <row r="101" spans="1:18" ht="15.75" thickBot="1">
      <c r="A101" s="398"/>
      <c r="B101" s="398"/>
      <c r="C101" s="4" t="s">
        <v>16496</v>
      </c>
      <c r="D101" s="402">
        <v>0</v>
      </c>
      <c r="E101" s="402">
        <v>0</v>
      </c>
      <c r="F101" s="402">
        <v>0</v>
      </c>
      <c r="G101" s="402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5565</v>
      </c>
      <c r="N101" s="398" t="s">
        <v>7224</v>
      </c>
      <c r="Q101" s="4"/>
      <c r="R101" s="4"/>
    </row>
    <row r="102" spans="1:18" ht="15.75" thickBot="1">
      <c r="A102" s="398"/>
      <c r="B102" s="398"/>
      <c r="C102" s="4" t="s">
        <v>16496</v>
      </c>
      <c r="D102" s="406">
        <f t="shared" ref="D102:L102" si="136">D100+D101</f>
        <v>0</v>
      </c>
      <c r="E102" s="406">
        <f t="shared" si="136"/>
        <v>0</v>
      </c>
      <c r="F102" s="406">
        <f t="shared" si="136"/>
        <v>0</v>
      </c>
      <c r="G102" s="406">
        <f t="shared" si="136"/>
        <v>0</v>
      </c>
      <c r="H102" s="406">
        <f t="shared" si="136"/>
        <v>0</v>
      </c>
      <c r="I102" s="406">
        <f t="shared" si="136"/>
        <v>0</v>
      </c>
      <c r="J102" s="406">
        <f t="shared" si="136"/>
        <v>0</v>
      </c>
      <c r="K102" s="406">
        <f t="shared" si="136"/>
        <v>0</v>
      </c>
      <c r="L102" s="406">
        <f t="shared" si="136"/>
        <v>6136</v>
      </c>
      <c r="N102" s="398"/>
      <c r="Q102" s="4"/>
      <c r="R102" s="4"/>
    </row>
    <row r="103" spans="1:18">
      <c r="A103" s="398" t="s">
        <v>7005</v>
      </c>
      <c r="B103" s="399" t="s">
        <v>7243</v>
      </c>
      <c r="C103" s="4" t="s">
        <v>16498</v>
      </c>
      <c r="D103" s="402">
        <v>0</v>
      </c>
      <c r="E103" s="402">
        <v>0</v>
      </c>
      <c r="F103" s="402">
        <v>0</v>
      </c>
      <c r="G103" s="402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1653</v>
      </c>
      <c r="N103" s="398" t="s">
        <v>7223</v>
      </c>
      <c r="Q103" s="4"/>
      <c r="R103" s="4"/>
    </row>
    <row r="104" spans="1:18">
      <c r="A104" s="398"/>
      <c r="C104" s="4" t="s">
        <v>16498</v>
      </c>
      <c r="D104" s="402">
        <v>0</v>
      </c>
      <c r="E104" s="402">
        <v>0</v>
      </c>
      <c r="F104" s="402">
        <v>0</v>
      </c>
      <c r="G104" s="402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4625</v>
      </c>
      <c r="N104" s="398" t="s">
        <v>7224</v>
      </c>
      <c r="Q104" s="4"/>
      <c r="R104" s="4"/>
    </row>
    <row r="105" spans="1:18" ht="15.75" thickBot="1">
      <c r="A105" s="398"/>
      <c r="C105" s="4" t="s">
        <v>16498</v>
      </c>
      <c r="D105" s="402">
        <v>0</v>
      </c>
      <c r="E105" s="402">
        <v>0</v>
      </c>
      <c r="F105" s="402">
        <v>0</v>
      </c>
      <c r="G105" s="402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205</v>
      </c>
      <c r="N105" s="398" t="s">
        <v>7228</v>
      </c>
      <c r="Q105" s="4"/>
      <c r="R105" s="4"/>
    </row>
    <row r="106" spans="1:18" ht="15.75" thickBot="1">
      <c r="A106" s="398"/>
      <c r="C106" s="4" t="s">
        <v>16498</v>
      </c>
      <c r="D106" s="406">
        <f>SUM(D103:D105)</f>
        <v>0</v>
      </c>
      <c r="E106" s="406">
        <f t="shared" ref="E106:L106" si="137">SUM(E103:E105)</f>
        <v>0</v>
      </c>
      <c r="F106" s="406">
        <f t="shared" si="137"/>
        <v>0</v>
      </c>
      <c r="G106" s="406">
        <f t="shared" si="137"/>
        <v>0</v>
      </c>
      <c r="H106" s="406">
        <f t="shared" si="137"/>
        <v>0</v>
      </c>
      <c r="I106" s="406">
        <f t="shared" si="137"/>
        <v>0</v>
      </c>
      <c r="J106" s="406">
        <f t="shared" si="137"/>
        <v>0</v>
      </c>
      <c r="K106" s="406">
        <f t="shared" si="137"/>
        <v>0</v>
      </c>
      <c r="L106" s="406">
        <f t="shared" si="137"/>
        <v>6483</v>
      </c>
      <c r="N106" s="398"/>
      <c r="Q106" s="4"/>
      <c r="R106" s="4"/>
    </row>
    <row r="107" spans="1:18">
      <c r="A107" s="398" t="s">
        <v>7007</v>
      </c>
      <c r="B107" s="399" t="s">
        <v>16497</v>
      </c>
      <c r="C107" s="4" t="s">
        <v>16499</v>
      </c>
      <c r="D107" s="402">
        <v>75048</v>
      </c>
      <c r="E107" s="402">
        <v>75668</v>
      </c>
      <c r="F107" s="402">
        <v>76884</v>
      </c>
      <c r="G107" s="402">
        <v>76416</v>
      </c>
      <c r="H107" s="48">
        <v>74339</v>
      </c>
      <c r="I107" s="48">
        <v>73353</v>
      </c>
      <c r="J107" s="48">
        <v>68460</v>
      </c>
      <c r="K107" s="48">
        <v>68514</v>
      </c>
      <c r="L107" s="48">
        <v>10529</v>
      </c>
      <c r="N107" s="398" t="s">
        <v>7227</v>
      </c>
      <c r="Q107" s="4"/>
      <c r="R107" s="4"/>
    </row>
    <row r="108" spans="1:18">
      <c r="A108" s="398" t="s">
        <v>7009</v>
      </c>
      <c r="B108" s="398" t="s">
        <v>16500</v>
      </c>
      <c r="C108" s="4" t="s">
        <v>16501</v>
      </c>
      <c r="D108" s="402">
        <v>0</v>
      </c>
      <c r="E108" s="402">
        <v>0</v>
      </c>
      <c r="F108" s="402">
        <v>0</v>
      </c>
      <c r="G108" s="402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445</v>
      </c>
      <c r="N108" s="398" t="s">
        <v>7225</v>
      </c>
      <c r="Q108" s="4"/>
      <c r="R108" s="4"/>
    </row>
    <row r="109" spans="1:18" ht="15.75" thickBot="1">
      <c r="A109" s="398"/>
      <c r="B109" s="398"/>
      <c r="C109" s="4" t="s">
        <v>16501</v>
      </c>
      <c r="D109" s="402">
        <v>0</v>
      </c>
      <c r="E109" s="402">
        <v>0</v>
      </c>
      <c r="F109" s="402">
        <v>0</v>
      </c>
      <c r="G109" s="402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12687</v>
      </c>
      <c r="N109" s="398" t="s">
        <v>7227</v>
      </c>
      <c r="Q109" s="4"/>
      <c r="R109" s="4"/>
    </row>
    <row r="110" spans="1:18" ht="15.75" thickBot="1">
      <c r="A110" s="398"/>
      <c r="B110" s="398"/>
      <c r="C110" s="4" t="s">
        <v>16501</v>
      </c>
      <c r="D110" s="406">
        <f t="shared" ref="D110:L110" si="138">D108+D109</f>
        <v>0</v>
      </c>
      <c r="E110" s="406">
        <f t="shared" si="138"/>
        <v>0</v>
      </c>
      <c r="F110" s="406">
        <f t="shared" si="138"/>
        <v>0</v>
      </c>
      <c r="G110" s="406">
        <f t="shared" si="138"/>
        <v>0</v>
      </c>
      <c r="H110" s="406">
        <f t="shared" si="138"/>
        <v>0</v>
      </c>
      <c r="I110" s="406">
        <f t="shared" si="138"/>
        <v>0</v>
      </c>
      <c r="J110" s="406">
        <f t="shared" si="138"/>
        <v>0</v>
      </c>
      <c r="K110" s="406">
        <f t="shared" si="138"/>
        <v>0</v>
      </c>
      <c r="L110" s="406">
        <f t="shared" si="138"/>
        <v>13132</v>
      </c>
      <c r="N110" s="398"/>
      <c r="Q110" s="4"/>
      <c r="R110" s="4"/>
    </row>
    <row r="111" spans="1:18">
      <c r="A111" s="398" t="s">
        <v>7011</v>
      </c>
      <c r="B111" s="398" t="s">
        <v>16502</v>
      </c>
      <c r="C111" s="4" t="s">
        <v>16503</v>
      </c>
      <c r="D111" s="402">
        <v>0</v>
      </c>
      <c r="E111" s="402">
        <v>0</v>
      </c>
      <c r="F111" s="402">
        <v>0</v>
      </c>
      <c r="G111" s="402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5160</v>
      </c>
      <c r="N111" s="398" t="s">
        <v>7222</v>
      </c>
      <c r="Q111" s="4"/>
      <c r="R111" s="4"/>
    </row>
    <row r="112" spans="1:18" ht="15.75" thickBot="1">
      <c r="A112" s="398"/>
      <c r="B112" s="398"/>
      <c r="C112" s="4" t="s">
        <v>16503</v>
      </c>
      <c r="D112" s="402">
        <v>0</v>
      </c>
      <c r="E112" s="402">
        <v>0</v>
      </c>
      <c r="F112" s="402">
        <v>0</v>
      </c>
      <c r="G112" s="402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8711</v>
      </c>
      <c r="N112" s="398" t="s">
        <v>7227</v>
      </c>
      <c r="Q112" s="4"/>
      <c r="R112" s="4"/>
    </row>
    <row r="113" spans="1:18" ht="15.75" thickBot="1">
      <c r="A113" s="398"/>
      <c r="B113" s="398"/>
      <c r="C113" s="4" t="s">
        <v>16503</v>
      </c>
      <c r="D113" s="406">
        <f t="shared" ref="D113:L113" si="139">D111+D112</f>
        <v>0</v>
      </c>
      <c r="E113" s="406">
        <f t="shared" si="139"/>
        <v>0</v>
      </c>
      <c r="F113" s="406">
        <f t="shared" si="139"/>
        <v>0</v>
      </c>
      <c r="G113" s="406">
        <f t="shared" si="139"/>
        <v>0</v>
      </c>
      <c r="H113" s="406">
        <f t="shared" si="139"/>
        <v>0</v>
      </c>
      <c r="I113" s="406">
        <f t="shared" si="139"/>
        <v>0</v>
      </c>
      <c r="J113" s="406">
        <f t="shared" si="139"/>
        <v>0</v>
      </c>
      <c r="K113" s="406">
        <f t="shared" si="139"/>
        <v>0</v>
      </c>
      <c r="L113" s="406">
        <f t="shared" si="139"/>
        <v>13871</v>
      </c>
      <c r="N113" s="398"/>
      <c r="Q113" s="4"/>
      <c r="R113" s="4"/>
    </row>
    <row r="114" spans="1:18">
      <c r="A114" s="398" t="s">
        <v>7013</v>
      </c>
      <c r="B114" s="399" t="s">
        <v>16504</v>
      </c>
      <c r="C114" s="4" t="s">
        <v>16505</v>
      </c>
      <c r="D114" s="402">
        <v>0</v>
      </c>
      <c r="E114" s="402">
        <v>0</v>
      </c>
      <c r="F114" s="402">
        <v>0</v>
      </c>
      <c r="G114" s="402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13433</v>
      </c>
      <c r="N114" s="398" t="s">
        <v>7223</v>
      </c>
      <c r="Q114" s="4"/>
      <c r="R114" s="4"/>
    </row>
    <row r="115" spans="1:18">
      <c r="A115" s="398" t="s">
        <v>7015</v>
      </c>
      <c r="B115" s="399" t="s">
        <v>16506</v>
      </c>
      <c r="C115" s="4" t="s">
        <v>16507</v>
      </c>
      <c r="D115" s="402">
        <v>66839</v>
      </c>
      <c r="E115" s="402">
        <v>67598</v>
      </c>
      <c r="F115" s="402">
        <v>68502</v>
      </c>
      <c r="G115" s="402">
        <v>67691</v>
      </c>
      <c r="H115" s="48">
        <v>65005</v>
      </c>
      <c r="I115" s="48">
        <v>65226</v>
      </c>
      <c r="J115" s="48">
        <v>62552</v>
      </c>
      <c r="K115" s="48">
        <v>62672</v>
      </c>
      <c r="L115" s="48">
        <v>6615</v>
      </c>
      <c r="N115" s="398" t="s">
        <v>7221</v>
      </c>
      <c r="Q115" s="4"/>
      <c r="R115" s="4"/>
    </row>
    <row r="116" spans="1:18">
      <c r="A116" s="398" t="s">
        <v>7017</v>
      </c>
      <c r="B116" s="399" t="s">
        <v>16508</v>
      </c>
      <c r="C116" s="4" t="s">
        <v>16509</v>
      </c>
      <c r="D116" s="402">
        <v>0</v>
      </c>
      <c r="E116" s="402">
        <v>0</v>
      </c>
      <c r="F116" s="402">
        <v>0</v>
      </c>
      <c r="G116" s="402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7690</v>
      </c>
      <c r="N116" s="398" t="s">
        <v>7227</v>
      </c>
      <c r="Q116" s="4"/>
      <c r="R116" s="4"/>
    </row>
    <row r="117" spans="1:18">
      <c r="A117" s="398" t="s">
        <v>7019</v>
      </c>
      <c r="B117" s="398" t="s">
        <v>7244</v>
      </c>
      <c r="C117" s="4" t="s">
        <v>16510</v>
      </c>
      <c r="D117" s="402">
        <v>0</v>
      </c>
      <c r="E117" s="402">
        <v>0</v>
      </c>
      <c r="F117" s="402">
        <v>0</v>
      </c>
      <c r="G117" s="402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9219</v>
      </c>
      <c r="N117" s="398" t="s">
        <v>7219</v>
      </c>
      <c r="Q117" s="4"/>
      <c r="R117" s="4"/>
    </row>
    <row r="118" spans="1:18">
      <c r="A118" s="398" t="s">
        <v>7021</v>
      </c>
      <c r="B118" s="398" t="s">
        <v>7245</v>
      </c>
      <c r="C118" s="4" t="s">
        <v>16511</v>
      </c>
      <c r="D118" s="402">
        <v>0</v>
      </c>
      <c r="E118" s="402">
        <v>0</v>
      </c>
      <c r="F118" s="402">
        <v>0</v>
      </c>
      <c r="G118" s="402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13202</v>
      </c>
      <c r="N118" s="398" t="s">
        <v>7221</v>
      </c>
      <c r="Q118" s="4"/>
      <c r="R118" s="4"/>
    </row>
    <row r="119" spans="1:18">
      <c r="A119" s="398" t="s">
        <v>7023</v>
      </c>
      <c r="B119" s="399" t="s">
        <v>16512</v>
      </c>
      <c r="C119" s="4" t="s">
        <v>16513</v>
      </c>
      <c r="D119" s="402">
        <v>0</v>
      </c>
      <c r="E119" s="402">
        <v>0</v>
      </c>
      <c r="F119" s="402">
        <v>0</v>
      </c>
      <c r="G119" s="402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7941</v>
      </c>
      <c r="N119" s="398" t="s">
        <v>7225</v>
      </c>
      <c r="Q119" s="4"/>
      <c r="R119" s="4"/>
    </row>
    <row r="120" spans="1:18">
      <c r="A120" s="398" t="s">
        <v>7025</v>
      </c>
      <c r="B120" s="399" t="s">
        <v>16514</v>
      </c>
      <c r="C120" s="4" t="s">
        <v>16515</v>
      </c>
      <c r="D120" s="402">
        <v>0</v>
      </c>
      <c r="E120" s="402">
        <v>0</v>
      </c>
      <c r="F120" s="402">
        <v>0</v>
      </c>
      <c r="G120" s="402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6601</v>
      </c>
      <c r="N120" s="398" t="s">
        <v>7228</v>
      </c>
      <c r="Q120" s="4"/>
      <c r="R120" s="4"/>
    </row>
    <row r="121" spans="1:18">
      <c r="A121" s="398" t="s">
        <v>7570</v>
      </c>
      <c r="B121" s="399" t="s">
        <v>16516</v>
      </c>
      <c r="C121" s="4" t="s">
        <v>16517</v>
      </c>
      <c r="D121" s="402">
        <v>0</v>
      </c>
      <c r="E121" s="402">
        <v>0</v>
      </c>
      <c r="F121" s="402">
        <v>0</v>
      </c>
      <c r="G121" s="402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11253</v>
      </c>
      <c r="N121" s="398" t="s">
        <v>7223</v>
      </c>
      <c r="Q121" s="4"/>
      <c r="R121" s="4"/>
    </row>
    <row r="122" spans="1:18" ht="15.75" thickBot="1">
      <c r="A122" s="398"/>
      <c r="C122" s="4" t="s">
        <v>16517</v>
      </c>
      <c r="D122" s="402">
        <v>0</v>
      </c>
      <c r="E122" s="402">
        <v>0</v>
      </c>
      <c r="F122" s="402">
        <v>0</v>
      </c>
      <c r="G122" s="402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3242</v>
      </c>
      <c r="N122" s="398" t="s">
        <v>7228</v>
      </c>
      <c r="Q122" s="4"/>
      <c r="R122" s="4"/>
    </row>
    <row r="123" spans="1:18" ht="15.75" thickBot="1">
      <c r="A123" s="398"/>
      <c r="C123" s="4" t="s">
        <v>16517</v>
      </c>
      <c r="D123" s="406">
        <f t="shared" ref="D123:L123" si="140">D121+D122</f>
        <v>0</v>
      </c>
      <c r="E123" s="406">
        <f t="shared" si="140"/>
        <v>0</v>
      </c>
      <c r="F123" s="406">
        <f t="shared" si="140"/>
        <v>0</v>
      </c>
      <c r="G123" s="406">
        <f t="shared" si="140"/>
        <v>0</v>
      </c>
      <c r="H123" s="406">
        <f t="shared" si="140"/>
        <v>0</v>
      </c>
      <c r="I123" s="406">
        <f t="shared" si="140"/>
        <v>0</v>
      </c>
      <c r="J123" s="406">
        <f t="shared" si="140"/>
        <v>0</v>
      </c>
      <c r="K123" s="406">
        <f t="shared" si="140"/>
        <v>0</v>
      </c>
      <c r="L123" s="406">
        <f t="shared" si="140"/>
        <v>14495</v>
      </c>
      <c r="N123" s="398"/>
      <c r="Q123" s="4"/>
      <c r="R123" s="4"/>
    </row>
    <row r="124" spans="1:18">
      <c r="A124" s="398" t="s">
        <v>7572</v>
      </c>
      <c r="B124" s="399" t="s">
        <v>16518</v>
      </c>
      <c r="C124" s="4" t="s">
        <v>16519</v>
      </c>
      <c r="D124" s="402">
        <v>0</v>
      </c>
      <c r="E124" s="402">
        <v>0</v>
      </c>
      <c r="F124" s="402">
        <v>0</v>
      </c>
      <c r="G124" s="402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6064</v>
      </c>
      <c r="N124" s="398" t="s">
        <v>7221</v>
      </c>
      <c r="Q124" s="4"/>
      <c r="R124" s="4"/>
    </row>
    <row r="125" spans="1:18">
      <c r="A125" s="398" t="s">
        <v>7573</v>
      </c>
      <c r="B125" s="398" t="s">
        <v>16520</v>
      </c>
      <c r="C125" s="4" t="s">
        <v>16522</v>
      </c>
      <c r="D125" s="402">
        <v>0</v>
      </c>
      <c r="E125" s="402">
        <v>0</v>
      </c>
      <c r="F125" s="402">
        <v>0</v>
      </c>
      <c r="G125" s="402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14631</v>
      </c>
      <c r="N125" s="398" t="s">
        <v>7222</v>
      </c>
      <c r="Q125" s="4"/>
      <c r="R125" s="4"/>
    </row>
    <row r="126" spans="1:18" ht="15.75" thickBot="1">
      <c r="A126" s="398"/>
      <c r="B126" s="398"/>
      <c r="C126" s="4" t="s">
        <v>16522</v>
      </c>
      <c r="D126" s="402">
        <v>0</v>
      </c>
      <c r="E126" s="402">
        <v>0</v>
      </c>
      <c r="F126" s="402">
        <v>0</v>
      </c>
      <c r="G126" s="402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131</v>
      </c>
      <c r="N126" s="398" t="s">
        <v>7228</v>
      </c>
      <c r="Q126" s="4"/>
      <c r="R126" s="4"/>
    </row>
    <row r="127" spans="1:18" ht="15.75" thickBot="1">
      <c r="A127" s="398"/>
      <c r="B127" s="398"/>
      <c r="C127" s="4" t="s">
        <v>16522</v>
      </c>
      <c r="D127" s="406">
        <f t="shared" ref="D127:L127" si="141">D125+D126</f>
        <v>0</v>
      </c>
      <c r="E127" s="406">
        <f t="shared" si="141"/>
        <v>0</v>
      </c>
      <c r="F127" s="406">
        <f t="shared" si="141"/>
        <v>0</v>
      </c>
      <c r="G127" s="406">
        <f t="shared" si="141"/>
        <v>0</v>
      </c>
      <c r="H127" s="406">
        <f t="shared" si="141"/>
        <v>0</v>
      </c>
      <c r="I127" s="406">
        <f t="shared" si="141"/>
        <v>0</v>
      </c>
      <c r="J127" s="406">
        <f t="shared" si="141"/>
        <v>0</v>
      </c>
      <c r="K127" s="406">
        <f t="shared" si="141"/>
        <v>0</v>
      </c>
      <c r="L127" s="406">
        <f t="shared" si="141"/>
        <v>14762</v>
      </c>
      <c r="N127" s="398"/>
      <c r="Q127" s="4"/>
      <c r="R127" s="4"/>
    </row>
    <row r="128" spans="1:18">
      <c r="A128" s="398" t="s">
        <v>5798</v>
      </c>
      <c r="B128" s="398" t="s">
        <v>16521</v>
      </c>
      <c r="C128" s="4" t="s">
        <v>16523</v>
      </c>
      <c r="D128" s="402">
        <v>0</v>
      </c>
      <c r="E128" s="402">
        <v>0</v>
      </c>
      <c r="F128" s="402">
        <v>0</v>
      </c>
      <c r="G128" s="402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7746</v>
      </c>
      <c r="N128" s="398" t="s">
        <v>7222</v>
      </c>
      <c r="Q128" s="4"/>
      <c r="R128" s="4"/>
    </row>
    <row r="129" spans="1:18">
      <c r="A129" s="398" t="s">
        <v>5799</v>
      </c>
      <c r="B129" s="399" t="s">
        <v>16524</v>
      </c>
      <c r="C129" s="4" t="s">
        <v>16525</v>
      </c>
      <c r="D129" s="402">
        <v>0</v>
      </c>
      <c r="E129" s="402">
        <v>0</v>
      </c>
      <c r="F129" s="402">
        <v>0</v>
      </c>
      <c r="G129" s="402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6561</v>
      </c>
      <c r="N129" s="398" t="s">
        <v>7226</v>
      </c>
      <c r="Q129" s="4"/>
      <c r="R129" s="4"/>
    </row>
    <row r="130" spans="1:18">
      <c r="A130" s="398" t="s">
        <v>5801</v>
      </c>
      <c r="B130" s="398" t="s">
        <v>7246</v>
      </c>
      <c r="C130" s="4" t="s">
        <v>16526</v>
      </c>
      <c r="D130" s="402">
        <v>0</v>
      </c>
      <c r="E130" s="402">
        <v>0</v>
      </c>
      <c r="F130" s="402">
        <v>0</v>
      </c>
      <c r="G130" s="402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12879</v>
      </c>
      <c r="N130" s="398" t="s">
        <v>7226</v>
      </c>
      <c r="Q130" s="4"/>
      <c r="R130" s="4"/>
    </row>
    <row r="131" spans="1:18">
      <c r="A131" s="398" t="s">
        <v>5927</v>
      </c>
      <c r="B131" s="398" t="s">
        <v>7247</v>
      </c>
      <c r="C131" s="4" t="s">
        <v>16527</v>
      </c>
      <c r="D131" s="402">
        <v>0</v>
      </c>
      <c r="E131" s="402">
        <v>0</v>
      </c>
      <c r="F131" s="402">
        <v>0</v>
      </c>
      <c r="G131" s="402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14989</v>
      </c>
      <c r="N131" s="398" t="s">
        <v>7219</v>
      </c>
      <c r="Q131" s="4"/>
      <c r="R131" s="4"/>
    </row>
    <row r="132" spans="1:18">
      <c r="A132" s="398" t="s">
        <v>5929</v>
      </c>
      <c r="B132" s="398" t="s">
        <v>16528</v>
      </c>
      <c r="C132" s="4" t="s">
        <v>16529</v>
      </c>
      <c r="D132" s="402">
        <v>0</v>
      </c>
      <c r="E132" s="402">
        <v>0</v>
      </c>
      <c r="F132" s="402">
        <v>0</v>
      </c>
      <c r="G132" s="402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6803</v>
      </c>
      <c r="N132" s="398" t="s">
        <v>7223</v>
      </c>
      <c r="Q132" s="4"/>
      <c r="R132" s="4"/>
    </row>
    <row r="133" spans="1:18">
      <c r="A133" s="398" t="s">
        <v>5931</v>
      </c>
      <c r="B133" s="399" t="s">
        <v>16530</v>
      </c>
      <c r="C133" s="4" t="s">
        <v>16531</v>
      </c>
      <c r="D133" s="402">
        <v>0</v>
      </c>
      <c r="E133" s="402">
        <v>0</v>
      </c>
      <c r="F133" s="402">
        <v>0</v>
      </c>
      <c r="G133" s="402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7779</v>
      </c>
      <c r="N133" s="398" t="s">
        <v>7227</v>
      </c>
      <c r="Q133" s="4"/>
      <c r="R133" s="4"/>
    </row>
    <row r="134" spans="1:18">
      <c r="A134" s="398" t="s">
        <v>5933</v>
      </c>
      <c r="B134" s="399" t="s">
        <v>16532</v>
      </c>
      <c r="C134" s="4" t="s">
        <v>16533</v>
      </c>
      <c r="D134" s="402">
        <v>0</v>
      </c>
      <c r="E134" s="402">
        <v>0</v>
      </c>
      <c r="F134" s="402">
        <v>0</v>
      </c>
      <c r="G134" s="402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2235</v>
      </c>
      <c r="N134" s="398" t="s">
        <v>7224</v>
      </c>
      <c r="Q134" s="4"/>
      <c r="R134" s="4"/>
    </row>
    <row r="135" spans="1:18" ht="15.75" thickBot="1">
      <c r="A135" s="398"/>
      <c r="C135" s="4" t="s">
        <v>16533</v>
      </c>
      <c r="D135" s="402">
        <v>0</v>
      </c>
      <c r="E135" s="402">
        <v>0</v>
      </c>
      <c r="F135" s="402">
        <v>0</v>
      </c>
      <c r="G135" s="402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3749</v>
      </c>
      <c r="N135" s="398" t="s">
        <v>7226</v>
      </c>
      <c r="Q135" s="4"/>
      <c r="R135" s="4"/>
    </row>
    <row r="136" spans="1:18" ht="15.75" thickBot="1">
      <c r="A136" s="398"/>
      <c r="C136" s="4" t="s">
        <v>16533</v>
      </c>
      <c r="D136" s="406">
        <f t="shared" ref="D136:L136" si="142">D134+D135</f>
        <v>0</v>
      </c>
      <c r="E136" s="406">
        <f t="shared" si="142"/>
        <v>0</v>
      </c>
      <c r="F136" s="406">
        <f t="shared" si="142"/>
        <v>0</v>
      </c>
      <c r="G136" s="406">
        <f t="shared" si="142"/>
        <v>0</v>
      </c>
      <c r="H136" s="406">
        <f t="shared" si="142"/>
        <v>0</v>
      </c>
      <c r="I136" s="406">
        <f t="shared" si="142"/>
        <v>0</v>
      </c>
      <c r="J136" s="406">
        <f t="shared" si="142"/>
        <v>0</v>
      </c>
      <c r="K136" s="406">
        <f t="shared" si="142"/>
        <v>0</v>
      </c>
      <c r="L136" s="406">
        <f t="shared" si="142"/>
        <v>5984</v>
      </c>
      <c r="N136" s="398"/>
      <c r="Q136" s="4"/>
      <c r="R136" s="4"/>
    </row>
    <row r="137" spans="1:18">
      <c r="A137" s="398" t="s">
        <v>7897</v>
      </c>
      <c r="B137" s="398" t="s">
        <v>16534</v>
      </c>
      <c r="C137" s="4" t="s">
        <v>16535</v>
      </c>
      <c r="D137" s="402">
        <v>0</v>
      </c>
      <c r="E137" s="402">
        <v>0</v>
      </c>
      <c r="F137" s="402">
        <v>0</v>
      </c>
      <c r="G137" s="402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7565</v>
      </c>
      <c r="N137" s="398" t="s">
        <v>7225</v>
      </c>
      <c r="Q137" s="4"/>
      <c r="R137" s="4"/>
    </row>
    <row r="138" spans="1:18" ht="15.75" thickBot="1">
      <c r="A138" s="398"/>
      <c r="B138" s="398"/>
      <c r="C138" s="4" t="s">
        <v>16535</v>
      </c>
      <c r="D138" s="402">
        <v>0</v>
      </c>
      <c r="E138" s="402">
        <v>0</v>
      </c>
      <c r="F138" s="402">
        <v>0</v>
      </c>
      <c r="G138" s="402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10</v>
      </c>
      <c r="N138" s="398" t="s">
        <v>7227</v>
      </c>
      <c r="Q138" s="4"/>
      <c r="R138" s="4"/>
    </row>
    <row r="139" spans="1:18" ht="15.75" thickBot="1">
      <c r="A139" s="398"/>
      <c r="B139" s="398"/>
      <c r="C139" s="4" t="s">
        <v>16535</v>
      </c>
      <c r="D139" s="406">
        <f t="shared" ref="D139:L139" si="143">D137+D138</f>
        <v>0</v>
      </c>
      <c r="E139" s="406">
        <f t="shared" si="143"/>
        <v>0</v>
      </c>
      <c r="F139" s="406">
        <f t="shared" si="143"/>
        <v>0</v>
      </c>
      <c r="G139" s="406">
        <f t="shared" si="143"/>
        <v>0</v>
      </c>
      <c r="H139" s="406">
        <f t="shared" si="143"/>
        <v>0</v>
      </c>
      <c r="I139" s="406">
        <f t="shared" si="143"/>
        <v>0</v>
      </c>
      <c r="J139" s="406">
        <f t="shared" si="143"/>
        <v>0</v>
      </c>
      <c r="K139" s="406">
        <f t="shared" si="143"/>
        <v>0</v>
      </c>
      <c r="L139" s="406">
        <f t="shared" si="143"/>
        <v>7575</v>
      </c>
      <c r="N139" s="398"/>
      <c r="Q139" s="4"/>
      <c r="R139" s="4"/>
    </row>
    <row r="140" spans="1:18">
      <c r="A140" s="398" t="s">
        <v>7898</v>
      </c>
      <c r="B140" s="398" t="s">
        <v>16537</v>
      </c>
      <c r="C140" s="4" t="s">
        <v>16536</v>
      </c>
      <c r="D140" s="402">
        <v>0</v>
      </c>
      <c r="E140" s="402">
        <v>0</v>
      </c>
      <c r="F140" s="402">
        <v>0</v>
      </c>
      <c r="G140" s="402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7557</v>
      </c>
      <c r="N140" s="398" t="s">
        <v>7225</v>
      </c>
      <c r="Q140" s="4"/>
      <c r="R140" s="4"/>
    </row>
    <row r="141" spans="1:18">
      <c r="A141" s="398" t="s">
        <v>7899</v>
      </c>
      <c r="B141" s="398" t="s">
        <v>7248</v>
      </c>
      <c r="C141" s="4" t="s">
        <v>16538</v>
      </c>
      <c r="D141" s="402">
        <v>0</v>
      </c>
      <c r="E141" s="402">
        <v>0</v>
      </c>
      <c r="F141" s="402">
        <v>0</v>
      </c>
      <c r="G141" s="402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9944</v>
      </c>
      <c r="N141" s="398" t="s">
        <v>7221</v>
      </c>
      <c r="Q141" s="4"/>
      <c r="R141" s="4"/>
    </row>
    <row r="142" spans="1:18" ht="15.75" thickBot="1">
      <c r="A142" s="398"/>
      <c r="B142" s="398"/>
      <c r="C142" s="4" t="s">
        <v>16538</v>
      </c>
      <c r="D142" s="402">
        <v>0</v>
      </c>
      <c r="E142" s="402">
        <v>0</v>
      </c>
      <c r="F142" s="402">
        <v>0</v>
      </c>
      <c r="G142" s="402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3490</v>
      </c>
      <c r="N142" s="398" t="s">
        <v>7226</v>
      </c>
      <c r="Q142" s="4"/>
      <c r="R142" s="4"/>
    </row>
    <row r="143" spans="1:18" ht="15.75" thickBot="1">
      <c r="A143" s="398"/>
      <c r="B143" s="398"/>
      <c r="C143" s="4" t="s">
        <v>16538</v>
      </c>
      <c r="D143" s="406">
        <f t="shared" ref="D143:L143" si="144">D141+D142</f>
        <v>0</v>
      </c>
      <c r="E143" s="406">
        <f t="shared" si="144"/>
        <v>0</v>
      </c>
      <c r="F143" s="406">
        <f t="shared" si="144"/>
        <v>0</v>
      </c>
      <c r="G143" s="406">
        <f t="shared" si="144"/>
        <v>0</v>
      </c>
      <c r="H143" s="406">
        <f t="shared" si="144"/>
        <v>0</v>
      </c>
      <c r="I143" s="406">
        <f t="shared" si="144"/>
        <v>0</v>
      </c>
      <c r="J143" s="406">
        <f t="shared" si="144"/>
        <v>0</v>
      </c>
      <c r="K143" s="406">
        <f t="shared" si="144"/>
        <v>0</v>
      </c>
      <c r="L143" s="406">
        <f t="shared" si="144"/>
        <v>13434</v>
      </c>
      <c r="N143" s="398"/>
      <c r="Q143" s="4"/>
      <c r="R143" s="4"/>
    </row>
    <row r="144" spans="1:18">
      <c r="A144" s="398" t="s">
        <v>7901</v>
      </c>
      <c r="B144" s="398" t="s">
        <v>7249</v>
      </c>
      <c r="C144" s="4" t="s">
        <v>16539</v>
      </c>
      <c r="D144" s="402">
        <v>72809</v>
      </c>
      <c r="E144" s="402">
        <v>74008</v>
      </c>
      <c r="F144" s="402">
        <v>76272</v>
      </c>
      <c r="G144" s="402">
        <v>74635</v>
      </c>
      <c r="H144" s="48">
        <v>70289</v>
      </c>
      <c r="I144" s="48">
        <v>65207</v>
      </c>
      <c r="J144" s="48">
        <v>65716</v>
      </c>
      <c r="K144" s="48">
        <v>64608</v>
      </c>
      <c r="L144" s="48">
        <v>10949</v>
      </c>
      <c r="N144" s="398" t="s">
        <v>7224</v>
      </c>
      <c r="Q144" s="4"/>
      <c r="R144" s="4"/>
    </row>
    <row r="145" spans="1:18">
      <c r="A145" s="398" t="s">
        <v>3125</v>
      </c>
      <c r="B145" s="398" t="s">
        <v>16540</v>
      </c>
      <c r="C145" s="4" t="s">
        <v>16541</v>
      </c>
      <c r="D145" s="402">
        <v>0</v>
      </c>
      <c r="E145" s="402">
        <v>0</v>
      </c>
      <c r="F145" s="402">
        <v>0</v>
      </c>
      <c r="G145" s="402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14727</v>
      </c>
      <c r="N145" s="398" t="s">
        <v>7225</v>
      </c>
      <c r="Q145" s="4"/>
      <c r="R145" s="4"/>
    </row>
    <row r="146" spans="1:18">
      <c r="A146" s="398" t="s">
        <v>3127</v>
      </c>
      <c r="B146" s="398" t="s">
        <v>16542</v>
      </c>
      <c r="C146" s="4" t="s">
        <v>16543</v>
      </c>
      <c r="D146" s="402">
        <v>0</v>
      </c>
      <c r="E146" s="402">
        <v>0</v>
      </c>
      <c r="F146" s="402">
        <v>0</v>
      </c>
      <c r="G146" s="402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699</v>
      </c>
      <c r="N146" s="398" t="s">
        <v>7224</v>
      </c>
      <c r="Q146" s="4"/>
      <c r="R146" s="4"/>
    </row>
    <row r="147" spans="1:18" ht="15.75" thickBot="1">
      <c r="A147" s="398"/>
      <c r="B147" s="398"/>
      <c r="C147" s="4" t="s">
        <v>16543</v>
      </c>
      <c r="D147" s="402">
        <v>0</v>
      </c>
      <c r="E147" s="402">
        <v>0</v>
      </c>
      <c r="F147" s="402">
        <v>0</v>
      </c>
      <c r="G147" s="402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5952</v>
      </c>
      <c r="N147" s="398" t="s">
        <v>7226</v>
      </c>
      <c r="Q147" s="4"/>
      <c r="R147" s="4"/>
    </row>
    <row r="148" spans="1:18" ht="15.75" thickBot="1">
      <c r="A148" s="398"/>
      <c r="B148" s="398"/>
      <c r="C148" s="4" t="s">
        <v>16543</v>
      </c>
      <c r="D148" s="406">
        <f t="shared" ref="D148:L148" si="145">D146+D147</f>
        <v>0</v>
      </c>
      <c r="E148" s="406">
        <f t="shared" si="145"/>
        <v>0</v>
      </c>
      <c r="F148" s="406">
        <f t="shared" si="145"/>
        <v>0</v>
      </c>
      <c r="G148" s="406">
        <f t="shared" si="145"/>
        <v>0</v>
      </c>
      <c r="H148" s="406">
        <f t="shared" si="145"/>
        <v>0</v>
      </c>
      <c r="I148" s="406">
        <f t="shared" si="145"/>
        <v>0</v>
      </c>
      <c r="J148" s="406">
        <f t="shared" si="145"/>
        <v>0</v>
      </c>
      <c r="K148" s="406">
        <f t="shared" si="145"/>
        <v>0</v>
      </c>
      <c r="L148" s="406">
        <f t="shared" si="145"/>
        <v>6651</v>
      </c>
      <c r="Q148" s="4"/>
      <c r="R148" s="4"/>
    </row>
    <row r="149" spans="1:18">
      <c r="A149" s="398" t="s">
        <v>2671</v>
      </c>
      <c r="B149" s="398" t="s">
        <v>16544</v>
      </c>
      <c r="C149" s="4" t="s">
        <v>16545</v>
      </c>
      <c r="D149" s="402">
        <v>0</v>
      </c>
      <c r="E149" s="402">
        <v>0</v>
      </c>
      <c r="F149" s="402">
        <v>0</v>
      </c>
      <c r="G149" s="402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15318</v>
      </c>
      <c r="N149" s="398" t="s">
        <v>7222</v>
      </c>
      <c r="Q149" s="4"/>
      <c r="R149" s="4"/>
    </row>
    <row r="150" spans="1:18">
      <c r="A150" s="398" t="s">
        <v>2672</v>
      </c>
      <c r="B150" s="398" t="s">
        <v>7250</v>
      </c>
      <c r="C150" s="4" t="s">
        <v>16546</v>
      </c>
      <c r="D150" s="402">
        <v>0</v>
      </c>
      <c r="E150" s="402">
        <v>0</v>
      </c>
      <c r="F150" s="402">
        <v>0</v>
      </c>
      <c r="G150" s="402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5535</v>
      </c>
      <c r="N150" s="398" t="s">
        <v>7224</v>
      </c>
      <c r="Q150" s="4"/>
      <c r="R150" s="4"/>
    </row>
    <row r="151" spans="1:18">
      <c r="A151" s="398" t="s">
        <v>2674</v>
      </c>
      <c r="B151" s="399" t="s">
        <v>8435</v>
      </c>
      <c r="C151" s="4" t="s">
        <v>16547</v>
      </c>
      <c r="D151" s="402">
        <v>0</v>
      </c>
      <c r="E151" s="402">
        <v>0</v>
      </c>
      <c r="F151" s="402">
        <v>0</v>
      </c>
      <c r="G151" s="402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5277</v>
      </c>
      <c r="N151" s="398" t="s">
        <v>7224</v>
      </c>
      <c r="Q151" s="4"/>
      <c r="R151" s="4"/>
    </row>
    <row r="152" spans="1:18" ht="15.75" thickBot="1">
      <c r="A152" s="398"/>
      <c r="C152" s="4" t="s">
        <v>16547</v>
      </c>
      <c r="D152" s="402">
        <v>0</v>
      </c>
      <c r="E152" s="402">
        <v>0</v>
      </c>
      <c r="F152" s="402">
        <v>0</v>
      </c>
      <c r="G152" s="402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1</v>
      </c>
      <c r="N152" s="398" t="s">
        <v>7226</v>
      </c>
      <c r="Q152" s="4"/>
      <c r="R152" s="4"/>
    </row>
    <row r="153" spans="1:18" ht="15.75" thickBot="1">
      <c r="A153" s="398"/>
      <c r="C153" s="4" t="s">
        <v>16547</v>
      </c>
      <c r="D153" s="406">
        <f t="shared" ref="D153:K153" si="146">D151+D152</f>
        <v>0</v>
      </c>
      <c r="E153" s="406">
        <f t="shared" si="146"/>
        <v>0</v>
      </c>
      <c r="F153" s="406">
        <f t="shared" si="146"/>
        <v>0</v>
      </c>
      <c r="G153" s="406">
        <f t="shared" si="146"/>
        <v>0</v>
      </c>
      <c r="H153" s="406">
        <f t="shared" si="146"/>
        <v>0</v>
      </c>
      <c r="I153" s="406">
        <f t="shared" si="146"/>
        <v>0</v>
      </c>
      <c r="J153" s="406">
        <f t="shared" si="146"/>
        <v>0</v>
      </c>
      <c r="K153" s="406">
        <f t="shared" si="146"/>
        <v>0</v>
      </c>
      <c r="L153" s="406">
        <f>L151+L152</f>
        <v>5278</v>
      </c>
      <c r="N153" s="398"/>
      <c r="Q153" s="4"/>
      <c r="R153" s="4"/>
    </row>
    <row r="154" spans="1:18">
      <c r="A154" s="408">
        <v>40</v>
      </c>
      <c r="B154" s="399" t="s">
        <v>16548</v>
      </c>
      <c r="C154" s="4" t="s">
        <v>16549</v>
      </c>
      <c r="D154" s="402">
        <v>0</v>
      </c>
      <c r="E154" s="402">
        <v>0</v>
      </c>
      <c r="F154" s="402">
        <v>0</v>
      </c>
      <c r="G154" s="402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6026</v>
      </c>
      <c r="N154" s="398" t="s">
        <v>7219</v>
      </c>
      <c r="Q154" s="4"/>
      <c r="R154" s="4"/>
    </row>
    <row r="155" spans="1:18" ht="15.75" thickBot="1">
      <c r="A155" s="408"/>
      <c r="C155" s="4" t="s">
        <v>16549</v>
      </c>
      <c r="D155" s="402">
        <v>0</v>
      </c>
      <c r="E155" s="402">
        <v>0</v>
      </c>
      <c r="F155" s="402">
        <v>0</v>
      </c>
      <c r="G155" s="402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6419</v>
      </c>
      <c r="N155" s="398" t="s">
        <v>7224</v>
      </c>
      <c r="Q155" s="4"/>
      <c r="R155" s="4"/>
    </row>
    <row r="156" spans="1:18" ht="15.75" thickBot="1">
      <c r="A156" s="408"/>
      <c r="C156" s="4" t="s">
        <v>16549</v>
      </c>
      <c r="D156" s="406">
        <f t="shared" ref="D156:L156" si="147">D154+D155</f>
        <v>0</v>
      </c>
      <c r="E156" s="406">
        <f t="shared" si="147"/>
        <v>0</v>
      </c>
      <c r="F156" s="406">
        <f t="shared" si="147"/>
        <v>0</v>
      </c>
      <c r="G156" s="406">
        <f t="shared" si="147"/>
        <v>0</v>
      </c>
      <c r="H156" s="406">
        <f t="shared" si="147"/>
        <v>0</v>
      </c>
      <c r="I156" s="406">
        <f t="shared" si="147"/>
        <v>0</v>
      </c>
      <c r="J156" s="406">
        <f t="shared" si="147"/>
        <v>0</v>
      </c>
      <c r="K156" s="406">
        <f t="shared" si="147"/>
        <v>0</v>
      </c>
      <c r="L156" s="406">
        <f t="shared" si="147"/>
        <v>12445</v>
      </c>
      <c r="N156" s="398"/>
      <c r="Q156" s="4"/>
      <c r="R156" s="4"/>
    </row>
    <row r="157" spans="1:18">
      <c r="A157" s="408">
        <v>41</v>
      </c>
      <c r="B157" s="398" t="s">
        <v>1136</v>
      </c>
      <c r="C157" s="4" t="s">
        <v>16550</v>
      </c>
      <c r="D157" s="402">
        <v>0</v>
      </c>
      <c r="E157" s="402">
        <v>0</v>
      </c>
      <c r="F157" s="402">
        <v>0</v>
      </c>
      <c r="G157" s="402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8021</v>
      </c>
      <c r="N157" s="398" t="s">
        <v>7225</v>
      </c>
      <c r="Q157" s="4"/>
      <c r="R157" s="4"/>
    </row>
    <row r="158" spans="1:18">
      <c r="A158" s="408">
        <v>42</v>
      </c>
      <c r="B158" s="398" t="s">
        <v>7251</v>
      </c>
      <c r="C158" s="4" t="s">
        <v>16551</v>
      </c>
      <c r="D158" s="402">
        <v>0</v>
      </c>
      <c r="E158" s="402">
        <v>0</v>
      </c>
      <c r="F158" s="402">
        <v>0</v>
      </c>
      <c r="G158" s="402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13946</v>
      </c>
      <c r="N158" s="398" t="s">
        <v>7226</v>
      </c>
      <c r="Q158" s="4"/>
      <c r="R158" s="4"/>
    </row>
    <row r="159" spans="1:18">
      <c r="A159" s="408">
        <v>43</v>
      </c>
      <c r="B159" s="398" t="s">
        <v>7252</v>
      </c>
      <c r="C159" s="4" t="s">
        <v>16552</v>
      </c>
      <c r="D159" s="402">
        <v>0</v>
      </c>
      <c r="E159" s="402">
        <v>0</v>
      </c>
      <c r="F159" s="402">
        <v>0</v>
      </c>
      <c r="G159" s="402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13569</v>
      </c>
      <c r="N159" s="398" t="s">
        <v>7226</v>
      </c>
      <c r="Q159" s="4"/>
      <c r="R159" s="4"/>
    </row>
    <row r="160" spans="1:18">
      <c r="A160" s="408">
        <v>44</v>
      </c>
      <c r="B160" s="399" t="s">
        <v>16553</v>
      </c>
      <c r="C160" s="4" t="s">
        <v>16554</v>
      </c>
      <c r="D160" s="402">
        <v>0</v>
      </c>
      <c r="E160" s="402">
        <v>0</v>
      </c>
      <c r="F160" s="402">
        <v>0</v>
      </c>
      <c r="G160" s="402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7211</v>
      </c>
      <c r="N160" s="398" t="s">
        <v>7221</v>
      </c>
      <c r="Q160" s="4"/>
      <c r="R160" s="4"/>
    </row>
    <row r="161" spans="1:18">
      <c r="A161" s="408">
        <v>45</v>
      </c>
      <c r="B161" s="399" t="s">
        <v>16555</v>
      </c>
      <c r="C161" s="4" t="s">
        <v>16556</v>
      </c>
      <c r="D161" s="402">
        <v>0</v>
      </c>
      <c r="E161" s="402">
        <v>0</v>
      </c>
      <c r="F161" s="402">
        <v>0</v>
      </c>
      <c r="G161" s="402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7133</v>
      </c>
      <c r="N161" s="398" t="s">
        <v>7221</v>
      </c>
      <c r="Q161" s="4"/>
      <c r="R161" s="4"/>
    </row>
    <row r="162" spans="1:18">
      <c r="A162" s="408">
        <v>46</v>
      </c>
      <c r="B162" s="398" t="s">
        <v>7632</v>
      </c>
      <c r="C162" s="4" t="s">
        <v>16557</v>
      </c>
      <c r="D162" s="402">
        <v>0</v>
      </c>
      <c r="E162" s="402">
        <v>0</v>
      </c>
      <c r="F162" s="402">
        <v>0</v>
      </c>
      <c r="G162" s="402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14508</v>
      </c>
      <c r="N162" s="398" t="s">
        <v>7219</v>
      </c>
      <c r="Q162" s="4"/>
      <c r="R162" s="4"/>
    </row>
    <row r="163" spans="1:18">
      <c r="A163" s="408">
        <v>47</v>
      </c>
      <c r="B163" s="398" t="s">
        <v>16558</v>
      </c>
      <c r="C163" s="4" t="s">
        <v>16559</v>
      </c>
      <c r="D163" s="402">
        <v>0</v>
      </c>
      <c r="E163" s="402">
        <v>0</v>
      </c>
      <c r="F163" s="402">
        <v>0</v>
      </c>
      <c r="G163" s="402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6992</v>
      </c>
      <c r="N163" s="398" t="s">
        <v>7225</v>
      </c>
      <c r="Q163" s="4"/>
      <c r="R163" s="4"/>
    </row>
    <row r="164" spans="1:18">
      <c r="A164" s="408">
        <v>48</v>
      </c>
      <c r="B164" s="398" t="s">
        <v>7253</v>
      </c>
      <c r="C164" s="4" t="s">
        <v>16560</v>
      </c>
      <c r="D164" s="402">
        <v>0</v>
      </c>
      <c r="E164" s="402">
        <v>0</v>
      </c>
      <c r="F164" s="402">
        <v>0</v>
      </c>
      <c r="G164" s="402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8188</v>
      </c>
      <c r="N164" s="398" t="s">
        <v>7223</v>
      </c>
      <c r="Q164" s="4"/>
      <c r="R164" s="4"/>
    </row>
    <row r="165" spans="1:18">
      <c r="A165" s="408">
        <v>49</v>
      </c>
      <c r="B165" s="398" t="s">
        <v>7254</v>
      </c>
      <c r="C165" s="4" t="s">
        <v>16561</v>
      </c>
      <c r="D165" s="402">
        <v>0</v>
      </c>
      <c r="E165" s="402">
        <v>0</v>
      </c>
      <c r="F165" s="402">
        <v>0</v>
      </c>
      <c r="G165" s="402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13870</v>
      </c>
      <c r="N165" s="398" t="s">
        <v>7228</v>
      </c>
      <c r="Q165" s="4"/>
      <c r="R165" s="4"/>
    </row>
    <row r="166" spans="1:18">
      <c r="A166" s="408">
        <v>50</v>
      </c>
      <c r="B166" s="399" t="s">
        <v>16562</v>
      </c>
      <c r="C166" s="4" t="s">
        <v>16563</v>
      </c>
      <c r="D166" s="402">
        <v>0</v>
      </c>
      <c r="E166" s="402">
        <v>0</v>
      </c>
      <c r="F166" s="402">
        <v>0</v>
      </c>
      <c r="G166" s="402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10592</v>
      </c>
      <c r="N166" s="398" t="s">
        <v>7223</v>
      </c>
      <c r="Q166" s="4"/>
      <c r="R166" s="4"/>
    </row>
    <row r="167" spans="1:18" ht="15.75" thickBot="1">
      <c r="A167" s="408"/>
      <c r="C167" s="4" t="s">
        <v>16563</v>
      </c>
      <c r="D167" s="402">
        <v>0</v>
      </c>
      <c r="E167" s="402">
        <v>0</v>
      </c>
      <c r="F167" s="402">
        <v>0</v>
      </c>
      <c r="G167" s="402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1780</v>
      </c>
      <c r="N167" s="398" t="s">
        <v>7228</v>
      </c>
      <c r="Q167" s="4"/>
      <c r="R167" s="4"/>
    </row>
    <row r="168" spans="1:18" ht="15.75" thickBot="1">
      <c r="A168" s="408"/>
      <c r="C168" s="4" t="s">
        <v>16563</v>
      </c>
      <c r="D168" s="406">
        <f t="shared" ref="D168:L168" si="148">D166+D167</f>
        <v>0</v>
      </c>
      <c r="E168" s="406">
        <f t="shared" si="148"/>
        <v>0</v>
      </c>
      <c r="F168" s="406">
        <f t="shared" si="148"/>
        <v>0</v>
      </c>
      <c r="G168" s="406">
        <f t="shared" si="148"/>
        <v>0</v>
      </c>
      <c r="H168" s="406">
        <f t="shared" si="148"/>
        <v>0</v>
      </c>
      <c r="I168" s="406">
        <f t="shared" si="148"/>
        <v>0</v>
      </c>
      <c r="J168" s="406">
        <f t="shared" si="148"/>
        <v>0</v>
      </c>
      <c r="K168" s="406">
        <f t="shared" si="148"/>
        <v>0</v>
      </c>
      <c r="L168" s="406">
        <f t="shared" si="148"/>
        <v>12372</v>
      </c>
      <c r="N168" s="398"/>
      <c r="Q168" s="4"/>
      <c r="R168" s="4"/>
    </row>
    <row r="169" spans="1:18">
      <c r="A169" s="408">
        <v>51</v>
      </c>
      <c r="B169" s="398" t="s">
        <v>16564</v>
      </c>
      <c r="C169" s="4" t="s">
        <v>16565</v>
      </c>
      <c r="D169" s="402">
        <v>0</v>
      </c>
      <c r="E169" s="402">
        <v>0</v>
      </c>
      <c r="F169" s="402">
        <v>0</v>
      </c>
      <c r="G169" s="402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12355</v>
      </c>
      <c r="N169" s="398" t="s">
        <v>7224</v>
      </c>
      <c r="Q169" s="4"/>
      <c r="R169" s="4"/>
    </row>
    <row r="170" spans="1:18">
      <c r="A170" s="408">
        <v>52</v>
      </c>
      <c r="B170" s="398" t="s">
        <v>7255</v>
      </c>
      <c r="C170" s="4" t="s">
        <v>16566</v>
      </c>
      <c r="D170" s="402">
        <v>0</v>
      </c>
      <c r="E170" s="402">
        <v>0</v>
      </c>
      <c r="F170" s="402">
        <v>0</v>
      </c>
      <c r="G170" s="402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6884</v>
      </c>
      <c r="N170" s="398" t="s">
        <v>7228</v>
      </c>
      <c r="Q170" s="4"/>
      <c r="R170" s="4"/>
    </row>
    <row r="171" spans="1:18">
      <c r="A171" s="408">
        <v>53</v>
      </c>
      <c r="B171" s="398" t="s">
        <v>16567</v>
      </c>
      <c r="C171" s="4" t="s">
        <v>16568</v>
      </c>
      <c r="D171" s="402">
        <v>0</v>
      </c>
      <c r="E171" s="402">
        <v>0</v>
      </c>
      <c r="F171" s="402">
        <v>0</v>
      </c>
      <c r="G171" s="402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13125</v>
      </c>
      <c r="N171" s="398" t="s">
        <v>7222</v>
      </c>
      <c r="Q171" s="4"/>
      <c r="R171" s="4"/>
    </row>
    <row r="172" spans="1:18" ht="15.75" thickBot="1">
      <c r="A172" s="408"/>
      <c r="B172" s="398"/>
      <c r="C172" s="4" t="s">
        <v>16568</v>
      </c>
      <c r="D172" s="402">
        <v>0</v>
      </c>
      <c r="E172" s="402">
        <v>0</v>
      </c>
      <c r="F172" s="402">
        <v>0</v>
      </c>
      <c r="G172" s="402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1541</v>
      </c>
      <c r="N172" s="398" t="s">
        <v>7228</v>
      </c>
      <c r="Q172" s="4"/>
      <c r="R172" s="4"/>
    </row>
    <row r="173" spans="1:18" ht="15.75" thickBot="1">
      <c r="A173" s="408"/>
      <c r="B173" s="398"/>
      <c r="C173" s="4" t="s">
        <v>16568</v>
      </c>
      <c r="D173" s="406">
        <f t="shared" ref="D173:L173" si="149">D171+D172</f>
        <v>0</v>
      </c>
      <c r="E173" s="406">
        <f t="shared" si="149"/>
        <v>0</v>
      </c>
      <c r="F173" s="406">
        <f t="shared" si="149"/>
        <v>0</v>
      </c>
      <c r="G173" s="406">
        <f t="shared" si="149"/>
        <v>0</v>
      </c>
      <c r="H173" s="406">
        <f t="shared" si="149"/>
        <v>0</v>
      </c>
      <c r="I173" s="406">
        <f t="shared" si="149"/>
        <v>0</v>
      </c>
      <c r="J173" s="406">
        <f t="shared" si="149"/>
        <v>0</v>
      </c>
      <c r="K173" s="406">
        <f t="shared" si="149"/>
        <v>0</v>
      </c>
      <c r="L173" s="406">
        <f t="shared" si="149"/>
        <v>14666</v>
      </c>
      <c r="N173" s="398"/>
      <c r="Q173" s="4"/>
      <c r="R173" s="4"/>
    </row>
    <row r="174" spans="1:18">
      <c r="A174" s="408">
        <v>54</v>
      </c>
      <c r="B174" s="398" t="s">
        <v>16569</v>
      </c>
      <c r="C174" s="4" t="s">
        <v>16570</v>
      </c>
      <c r="D174" s="402">
        <v>0</v>
      </c>
      <c r="E174" s="402">
        <v>0</v>
      </c>
      <c r="F174" s="402">
        <v>0</v>
      </c>
      <c r="G174" s="402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12683</v>
      </c>
      <c r="N174" s="398" t="s">
        <v>7222</v>
      </c>
      <c r="Q174" s="4"/>
      <c r="R174" s="4"/>
    </row>
    <row r="175" spans="1:18">
      <c r="A175" s="408">
        <v>55</v>
      </c>
      <c r="B175" s="398" t="s">
        <v>16571</v>
      </c>
      <c r="C175" s="4" t="s">
        <v>16572</v>
      </c>
      <c r="D175" s="402">
        <v>0</v>
      </c>
      <c r="E175" s="402">
        <v>0</v>
      </c>
      <c r="F175" s="402">
        <v>0</v>
      </c>
      <c r="G175" s="402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14</v>
      </c>
      <c r="N175" s="398" t="s">
        <v>7222</v>
      </c>
      <c r="Q175" s="4"/>
      <c r="R175" s="4"/>
    </row>
    <row r="176" spans="1:18" ht="15.75" thickBot="1">
      <c r="A176" s="408"/>
      <c r="B176" s="398"/>
      <c r="C176" s="4" t="s">
        <v>16572</v>
      </c>
      <c r="D176" s="402">
        <v>0</v>
      </c>
      <c r="E176" s="402">
        <v>0</v>
      </c>
      <c r="F176" s="402">
        <v>0</v>
      </c>
      <c r="G176" s="402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6865</v>
      </c>
      <c r="N176" s="398" t="s">
        <v>7227</v>
      </c>
      <c r="Q176" s="4"/>
      <c r="R176" s="4"/>
    </row>
    <row r="177" spans="1:18" ht="15.75" thickBot="1">
      <c r="A177" s="408"/>
      <c r="B177" s="398"/>
      <c r="C177" s="4" t="s">
        <v>16572</v>
      </c>
      <c r="D177" s="406">
        <f t="shared" ref="D177:L177" si="150">D175+D176</f>
        <v>0</v>
      </c>
      <c r="E177" s="406">
        <f t="shared" si="150"/>
        <v>0</v>
      </c>
      <c r="F177" s="406">
        <f t="shared" si="150"/>
        <v>0</v>
      </c>
      <c r="G177" s="406">
        <f t="shared" si="150"/>
        <v>0</v>
      </c>
      <c r="H177" s="406">
        <f t="shared" si="150"/>
        <v>0</v>
      </c>
      <c r="I177" s="406">
        <f t="shared" si="150"/>
        <v>0</v>
      </c>
      <c r="J177" s="406">
        <f t="shared" si="150"/>
        <v>0</v>
      </c>
      <c r="K177" s="406">
        <f t="shared" si="150"/>
        <v>0</v>
      </c>
      <c r="L177" s="406">
        <f t="shared" si="150"/>
        <v>6879</v>
      </c>
      <c r="N177" s="398"/>
      <c r="Q177" s="4"/>
      <c r="R177" s="4"/>
    </row>
    <row r="178" spans="1:18">
      <c r="A178" s="408">
        <v>56</v>
      </c>
      <c r="B178" s="398" t="s">
        <v>5456</v>
      </c>
      <c r="C178" s="4" t="s">
        <v>16573</v>
      </c>
      <c r="D178" s="402">
        <v>0</v>
      </c>
      <c r="E178" s="402">
        <v>0</v>
      </c>
      <c r="F178" s="402">
        <v>0</v>
      </c>
      <c r="G178" s="402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13263</v>
      </c>
      <c r="N178" s="398" t="s">
        <v>7221</v>
      </c>
      <c r="Q178" s="4"/>
      <c r="R178" s="4"/>
    </row>
    <row r="179" spans="1:18">
      <c r="A179" s="408">
        <v>57</v>
      </c>
      <c r="B179" s="398" t="s">
        <v>5457</v>
      </c>
      <c r="C179" s="4" t="s">
        <v>16574</v>
      </c>
      <c r="D179" s="402">
        <v>74877</v>
      </c>
      <c r="E179" s="402">
        <v>75031</v>
      </c>
      <c r="F179" s="402">
        <v>75567</v>
      </c>
      <c r="G179" s="402">
        <v>75060</v>
      </c>
      <c r="H179" s="48">
        <v>74855</v>
      </c>
      <c r="I179" s="48">
        <v>75341</v>
      </c>
      <c r="J179" s="48">
        <v>73172</v>
      </c>
      <c r="K179" s="48">
        <v>73419</v>
      </c>
      <c r="L179" s="48">
        <v>7530</v>
      </c>
      <c r="N179" s="398" t="s">
        <v>5431</v>
      </c>
      <c r="Q179" s="4"/>
      <c r="R179" s="4"/>
    </row>
    <row r="180" spans="1:18">
      <c r="A180" s="408">
        <v>58</v>
      </c>
      <c r="B180" s="398" t="s">
        <v>16582</v>
      </c>
      <c r="C180" s="4" t="s">
        <v>16575</v>
      </c>
      <c r="D180" s="402">
        <v>0</v>
      </c>
      <c r="E180" s="402">
        <v>0</v>
      </c>
      <c r="F180" s="402">
        <v>0</v>
      </c>
      <c r="G180" s="402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7947</v>
      </c>
      <c r="N180" s="398" t="s">
        <v>5431</v>
      </c>
      <c r="Q180" s="4"/>
      <c r="R180" s="4"/>
    </row>
    <row r="181" spans="1:18">
      <c r="A181" s="408">
        <v>59</v>
      </c>
      <c r="B181" s="398" t="s">
        <v>16583</v>
      </c>
      <c r="C181" s="4" t="s">
        <v>16576</v>
      </c>
      <c r="D181" s="402">
        <v>0</v>
      </c>
      <c r="E181" s="402">
        <v>0</v>
      </c>
      <c r="F181" s="402">
        <v>0</v>
      </c>
      <c r="G181" s="402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7309</v>
      </c>
      <c r="N181" s="398" t="s">
        <v>5431</v>
      </c>
      <c r="Q181" s="4"/>
      <c r="R181" s="4"/>
    </row>
    <row r="182" spans="1:18">
      <c r="A182" s="408">
        <v>60</v>
      </c>
      <c r="B182" s="398" t="s">
        <v>16584</v>
      </c>
      <c r="C182" s="4" t="s">
        <v>16577</v>
      </c>
      <c r="D182" s="402">
        <v>0</v>
      </c>
      <c r="E182" s="402">
        <v>0</v>
      </c>
      <c r="F182" s="402">
        <v>0</v>
      </c>
      <c r="G182" s="402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8305</v>
      </c>
      <c r="N182" s="398" t="s">
        <v>5431</v>
      </c>
      <c r="Q182" s="4"/>
      <c r="R182" s="4"/>
    </row>
    <row r="183" spans="1:18">
      <c r="A183" s="408">
        <v>61</v>
      </c>
      <c r="B183" s="398" t="s">
        <v>3738</v>
      </c>
      <c r="C183" s="4" t="s">
        <v>16578</v>
      </c>
      <c r="D183" s="402">
        <v>0</v>
      </c>
      <c r="E183" s="402">
        <v>0</v>
      </c>
      <c r="F183" s="402">
        <v>0</v>
      </c>
      <c r="G183" s="402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7423</v>
      </c>
      <c r="N183" s="398" t="s">
        <v>5431</v>
      </c>
      <c r="Q183" s="4"/>
      <c r="R183" s="4"/>
    </row>
    <row r="184" spans="1:18">
      <c r="A184" s="408">
        <v>62</v>
      </c>
      <c r="B184" s="398" t="s">
        <v>3739</v>
      </c>
      <c r="C184" s="4" t="s">
        <v>16579</v>
      </c>
      <c r="D184" s="402">
        <v>0</v>
      </c>
      <c r="E184" s="402">
        <v>0</v>
      </c>
      <c r="F184" s="402">
        <v>0</v>
      </c>
      <c r="G184" s="402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15008</v>
      </c>
      <c r="N184" s="398" t="s">
        <v>5431</v>
      </c>
      <c r="Q184" s="4"/>
      <c r="R184" s="4"/>
    </row>
    <row r="185" spans="1:18">
      <c r="A185" s="408">
        <v>63</v>
      </c>
      <c r="B185" s="399" t="s">
        <v>16595</v>
      </c>
      <c r="C185" s="4" t="s">
        <v>16580</v>
      </c>
      <c r="D185" s="402">
        <v>0</v>
      </c>
      <c r="E185" s="402">
        <v>0</v>
      </c>
      <c r="F185" s="402">
        <v>0</v>
      </c>
      <c r="G185" s="402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12630</v>
      </c>
      <c r="N185" s="398" t="s">
        <v>5431</v>
      </c>
      <c r="Q185" s="4"/>
      <c r="R185" s="4"/>
    </row>
    <row r="186" spans="1:18">
      <c r="A186" s="408">
        <v>64</v>
      </c>
      <c r="B186" s="398" t="s">
        <v>16596</v>
      </c>
      <c r="C186" s="4" t="s">
        <v>16581</v>
      </c>
      <c r="D186" s="402">
        <v>0</v>
      </c>
      <c r="E186" s="402">
        <v>0</v>
      </c>
      <c r="F186" s="402">
        <v>0</v>
      </c>
      <c r="G186" s="402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7291</v>
      </c>
      <c r="N186" s="398" t="s">
        <v>5431</v>
      </c>
      <c r="Q186" s="4"/>
      <c r="R186" s="4"/>
    </row>
    <row r="187" spans="1:18">
      <c r="A187" s="408">
        <v>65</v>
      </c>
      <c r="B187" s="398" t="s">
        <v>16585</v>
      </c>
      <c r="C187" s="4" t="s">
        <v>16586</v>
      </c>
      <c r="D187" s="402">
        <v>0</v>
      </c>
      <c r="E187" s="402">
        <v>0</v>
      </c>
      <c r="F187" s="402">
        <v>0</v>
      </c>
      <c r="G187" s="402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86</v>
      </c>
      <c r="N187" s="398" t="s">
        <v>7222</v>
      </c>
      <c r="Q187" s="4"/>
      <c r="R187" s="4"/>
    </row>
    <row r="188" spans="1:18" ht="15.75" thickBot="1">
      <c r="A188" s="408"/>
      <c r="B188" s="398"/>
      <c r="C188" s="4" t="s">
        <v>16586</v>
      </c>
      <c r="D188" s="402">
        <v>0</v>
      </c>
      <c r="E188" s="402">
        <v>0</v>
      </c>
      <c r="F188" s="402">
        <v>0</v>
      </c>
      <c r="G188" s="402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6672</v>
      </c>
      <c r="N188" s="398" t="s">
        <v>7228</v>
      </c>
      <c r="Q188" s="4"/>
      <c r="R188" s="4"/>
    </row>
    <row r="189" spans="1:18" ht="15.75" thickBot="1">
      <c r="A189" s="408"/>
      <c r="B189" s="398"/>
      <c r="C189" s="4" t="s">
        <v>16586</v>
      </c>
      <c r="D189" s="406">
        <f t="shared" ref="D189:L189" si="151">D187+D188</f>
        <v>0</v>
      </c>
      <c r="E189" s="406">
        <f t="shared" si="151"/>
        <v>0</v>
      </c>
      <c r="F189" s="406">
        <f t="shared" si="151"/>
        <v>0</v>
      </c>
      <c r="G189" s="406">
        <f t="shared" si="151"/>
        <v>0</v>
      </c>
      <c r="H189" s="406">
        <f t="shared" si="151"/>
        <v>0</v>
      </c>
      <c r="I189" s="406">
        <f t="shared" si="151"/>
        <v>0</v>
      </c>
      <c r="J189" s="406">
        <f t="shared" si="151"/>
        <v>0</v>
      </c>
      <c r="K189" s="406">
        <f t="shared" si="151"/>
        <v>0</v>
      </c>
      <c r="L189" s="406">
        <f t="shared" si="151"/>
        <v>6758</v>
      </c>
      <c r="N189" s="398"/>
      <c r="Q189" s="4"/>
      <c r="R189" s="4"/>
    </row>
    <row r="190" spans="1:18">
      <c r="A190" s="408">
        <v>66</v>
      </c>
      <c r="B190" s="398" t="s">
        <v>16587</v>
      </c>
      <c r="C190" s="4" t="s">
        <v>16591</v>
      </c>
      <c r="D190" s="402">
        <v>0</v>
      </c>
      <c r="E190" s="402">
        <v>0</v>
      </c>
      <c r="F190" s="402">
        <v>0</v>
      </c>
      <c r="G190" s="402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7487</v>
      </c>
      <c r="N190" s="398" t="s">
        <v>7223</v>
      </c>
      <c r="Q190" s="4"/>
      <c r="R190" s="4"/>
    </row>
    <row r="191" spans="1:18">
      <c r="A191" s="408">
        <v>67</v>
      </c>
      <c r="B191" s="398" t="s">
        <v>16588</v>
      </c>
      <c r="C191" s="4" t="s">
        <v>16592</v>
      </c>
      <c r="D191" s="402">
        <v>0</v>
      </c>
      <c r="E191" s="402">
        <v>0</v>
      </c>
      <c r="F191" s="402">
        <v>0</v>
      </c>
      <c r="G191" s="402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1590</v>
      </c>
      <c r="N191" s="398" t="s">
        <v>7219</v>
      </c>
      <c r="Q191" s="4"/>
      <c r="R191" s="4"/>
    </row>
    <row r="192" spans="1:18">
      <c r="A192" s="408"/>
      <c r="B192" s="398"/>
      <c r="C192" s="4" t="s">
        <v>16592</v>
      </c>
      <c r="D192" s="402">
        <v>0</v>
      </c>
      <c r="E192" s="402">
        <v>0</v>
      </c>
      <c r="F192" s="402">
        <v>0</v>
      </c>
      <c r="G192" s="402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9981</v>
      </c>
      <c r="N192" s="398" t="s">
        <v>7225</v>
      </c>
      <c r="Q192" s="4"/>
      <c r="R192" s="4"/>
    </row>
    <row r="193" spans="1:18" ht="15.75" thickBot="1">
      <c r="A193" s="408"/>
      <c r="B193" s="398"/>
      <c r="C193" s="4" t="s">
        <v>16592</v>
      </c>
      <c r="D193" s="402">
        <v>0</v>
      </c>
      <c r="E193" s="402">
        <v>0</v>
      </c>
      <c r="F193" s="402">
        <v>0</v>
      </c>
      <c r="G193" s="402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3280</v>
      </c>
      <c r="N193" s="398" t="s">
        <v>7227</v>
      </c>
      <c r="Q193" s="4"/>
      <c r="R193" s="4"/>
    </row>
    <row r="194" spans="1:18" ht="15.75" thickBot="1">
      <c r="A194" s="408"/>
      <c r="B194" s="398"/>
      <c r="C194" s="4" t="s">
        <v>16592</v>
      </c>
      <c r="D194" s="406">
        <f>SUM(D191:D193)</f>
        <v>0</v>
      </c>
      <c r="E194" s="406">
        <f t="shared" ref="E194:K194" si="152">SUM(E191:E193)</f>
        <v>0</v>
      </c>
      <c r="F194" s="406">
        <f t="shared" si="152"/>
        <v>0</v>
      </c>
      <c r="G194" s="406">
        <f t="shared" si="152"/>
        <v>0</v>
      </c>
      <c r="H194" s="406">
        <f t="shared" si="152"/>
        <v>0</v>
      </c>
      <c r="I194" s="406">
        <f t="shared" si="152"/>
        <v>0</v>
      </c>
      <c r="J194" s="406">
        <f t="shared" si="152"/>
        <v>0</v>
      </c>
      <c r="K194" s="406">
        <f t="shared" si="152"/>
        <v>0</v>
      </c>
      <c r="L194" s="406">
        <f t="shared" ref="L194" si="153">L191+L193</f>
        <v>4870</v>
      </c>
      <c r="N194" s="398"/>
      <c r="Q194" s="4"/>
      <c r="R194" s="4"/>
    </row>
    <row r="195" spans="1:18">
      <c r="A195" s="408">
        <v>68</v>
      </c>
      <c r="B195" s="398" t="s">
        <v>16589</v>
      </c>
      <c r="C195" s="4" t="s">
        <v>16593</v>
      </c>
      <c r="D195" s="402">
        <v>0</v>
      </c>
      <c r="E195" s="402">
        <v>0</v>
      </c>
      <c r="F195" s="402">
        <v>0</v>
      </c>
      <c r="G195" s="402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7702</v>
      </c>
      <c r="N195" s="398" t="s">
        <v>7228</v>
      </c>
      <c r="Q195" s="4"/>
      <c r="R195" s="4"/>
    </row>
    <row r="196" spans="1:18">
      <c r="A196" s="408">
        <v>69</v>
      </c>
      <c r="B196" s="398" t="s">
        <v>16590</v>
      </c>
      <c r="C196" s="4" t="s">
        <v>16594</v>
      </c>
      <c r="D196" s="402">
        <v>0</v>
      </c>
      <c r="E196" s="402">
        <v>0</v>
      </c>
      <c r="F196" s="402">
        <v>0</v>
      </c>
      <c r="G196" s="402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7192</v>
      </c>
      <c r="N196" s="398" t="s">
        <v>7228</v>
      </c>
      <c r="Q196" s="4"/>
      <c r="R196" s="4"/>
    </row>
    <row r="197" spans="1:18">
      <c r="D197" s="402"/>
      <c r="E197" s="402"/>
      <c r="F197" s="402"/>
      <c r="G197" s="402"/>
      <c r="H197" s="402"/>
      <c r="I197" s="402"/>
      <c r="J197" s="402"/>
      <c r="K197" s="402"/>
      <c r="L197" s="402"/>
      <c r="P197" s="4"/>
      <c r="R197" s="4"/>
    </row>
    <row r="198" spans="1:18">
      <c r="A198" s="398" t="s">
        <v>3740</v>
      </c>
      <c r="D198" s="401">
        <f t="shared" ref="D198:K198" si="154">D92+D95+D117+D131+D154+D162+D191</f>
        <v>68566</v>
      </c>
      <c r="E198" s="401">
        <f t="shared" si="154"/>
        <v>69039</v>
      </c>
      <c r="F198" s="401">
        <f t="shared" si="154"/>
        <v>70384</v>
      </c>
      <c r="G198" s="401">
        <f t="shared" si="154"/>
        <v>68876</v>
      </c>
      <c r="H198" s="401">
        <f t="shared" si="154"/>
        <v>66612</v>
      </c>
      <c r="I198" s="401">
        <f t="shared" si="154"/>
        <v>63153</v>
      </c>
      <c r="J198" s="401">
        <f t="shared" si="154"/>
        <v>62795</v>
      </c>
      <c r="K198" s="401">
        <f t="shared" si="154"/>
        <v>63043</v>
      </c>
      <c r="L198" s="401">
        <f>L92+L95+L117+L131+L154+L162+L191</f>
        <v>62185</v>
      </c>
      <c r="P198" s="4"/>
      <c r="R198" s="4"/>
    </row>
    <row r="199" spans="1:18">
      <c r="A199" s="398" t="s">
        <v>7221</v>
      </c>
      <c r="D199" s="401">
        <f t="shared" ref="D199:K199" si="155">D115+D118+D124+D141+D160+D161+D178</f>
        <v>66839</v>
      </c>
      <c r="E199" s="401">
        <f t="shared" si="155"/>
        <v>67598</v>
      </c>
      <c r="F199" s="401">
        <f t="shared" si="155"/>
        <v>68502</v>
      </c>
      <c r="G199" s="401">
        <f t="shared" si="155"/>
        <v>67691</v>
      </c>
      <c r="H199" s="401">
        <f t="shared" si="155"/>
        <v>65005</v>
      </c>
      <c r="I199" s="401">
        <f t="shared" si="155"/>
        <v>65226</v>
      </c>
      <c r="J199" s="401">
        <f t="shared" si="155"/>
        <v>62552</v>
      </c>
      <c r="K199" s="401">
        <f t="shared" si="155"/>
        <v>62672</v>
      </c>
      <c r="L199" s="401">
        <f>L115+L118+L124+L141+L160+L161+L178</f>
        <v>63432</v>
      </c>
      <c r="P199" s="4"/>
      <c r="R199" s="4"/>
    </row>
    <row r="200" spans="1:18">
      <c r="A200" s="398" t="s">
        <v>7222</v>
      </c>
      <c r="D200" s="401">
        <f t="shared" ref="D200:K200" si="156">D93+D96+D111+D125+D128+D149+D171+D174+D175+D187</f>
        <v>76576</v>
      </c>
      <c r="E200" s="401">
        <f t="shared" si="156"/>
        <v>77157</v>
      </c>
      <c r="F200" s="401">
        <f t="shared" si="156"/>
        <v>78332</v>
      </c>
      <c r="G200" s="401">
        <f t="shared" si="156"/>
        <v>77606</v>
      </c>
      <c r="H200" s="401">
        <f t="shared" si="156"/>
        <v>75756</v>
      </c>
      <c r="I200" s="401">
        <f t="shared" si="156"/>
        <v>76176</v>
      </c>
      <c r="J200" s="401">
        <f t="shared" si="156"/>
        <v>73938</v>
      </c>
      <c r="K200" s="401">
        <f t="shared" si="156"/>
        <v>74790</v>
      </c>
      <c r="L200" s="401">
        <f>L93+L96+L111+L125+L128+L149+L171+L174+L175+L187</f>
        <v>76050</v>
      </c>
      <c r="P200" s="4"/>
      <c r="R200" s="4"/>
    </row>
    <row r="201" spans="1:18">
      <c r="A201" s="398" t="s">
        <v>7223</v>
      </c>
      <c r="D201" s="401">
        <f t="shared" ref="D201:K201" si="157">D88+D100+D103+D114+D121+D132+D164+D166+D190</f>
        <v>75330</v>
      </c>
      <c r="E201" s="401">
        <f t="shared" si="157"/>
        <v>75985</v>
      </c>
      <c r="F201" s="401">
        <f t="shared" si="157"/>
        <v>77227</v>
      </c>
      <c r="G201" s="401">
        <f t="shared" si="157"/>
        <v>76767</v>
      </c>
      <c r="H201" s="401">
        <f t="shared" si="157"/>
        <v>74885</v>
      </c>
      <c r="I201" s="401">
        <f t="shared" si="157"/>
        <v>75362</v>
      </c>
      <c r="J201" s="401">
        <f t="shared" si="157"/>
        <v>73173</v>
      </c>
      <c r="K201" s="401">
        <f t="shared" si="157"/>
        <v>73384</v>
      </c>
      <c r="L201" s="401">
        <f>L88+L100+L103+L114+L121+L132+L164+L166+L190</f>
        <v>74810</v>
      </c>
      <c r="P201" s="4"/>
      <c r="R201" s="4"/>
    </row>
    <row r="202" spans="1:18">
      <c r="A202" s="398" t="s">
        <v>7224</v>
      </c>
      <c r="D202" s="401">
        <f t="shared" ref="D202:K202" si="158">D89+D101+D104+D134+D144+D146+D150+D151+D155+D169</f>
        <v>72809</v>
      </c>
      <c r="E202" s="401">
        <f t="shared" si="158"/>
        <v>74008</v>
      </c>
      <c r="F202" s="401">
        <f t="shared" si="158"/>
        <v>76272</v>
      </c>
      <c r="G202" s="401">
        <f t="shared" si="158"/>
        <v>74635</v>
      </c>
      <c r="H202" s="401">
        <f t="shared" si="158"/>
        <v>70289</v>
      </c>
      <c r="I202" s="401">
        <f t="shared" si="158"/>
        <v>65207</v>
      </c>
      <c r="J202" s="401">
        <f t="shared" si="158"/>
        <v>65716</v>
      </c>
      <c r="K202" s="401">
        <f t="shared" si="158"/>
        <v>64608</v>
      </c>
      <c r="L202" s="401">
        <f>L89+L101+L104+L134+L144+L146+L150+L151+L155+L169</f>
        <v>65171</v>
      </c>
      <c r="P202" s="4"/>
      <c r="R202" s="4"/>
    </row>
    <row r="203" spans="1:18">
      <c r="A203" s="398" t="s">
        <v>5478</v>
      </c>
      <c r="D203" s="401">
        <f t="shared" ref="D203:K203" si="159">D87+D108+D119+D137+D140+D145+D157+D163+D192</f>
        <v>71866</v>
      </c>
      <c r="E203" s="401">
        <f t="shared" si="159"/>
        <v>72190</v>
      </c>
      <c r="F203" s="401">
        <f t="shared" si="159"/>
        <v>73071</v>
      </c>
      <c r="G203" s="401">
        <f t="shared" si="159"/>
        <v>72659</v>
      </c>
      <c r="H203" s="401">
        <f t="shared" si="159"/>
        <v>71315</v>
      </c>
      <c r="I203" s="401">
        <f t="shared" si="159"/>
        <v>71803</v>
      </c>
      <c r="J203" s="401">
        <f t="shared" si="159"/>
        <v>69377</v>
      </c>
      <c r="K203" s="401">
        <f t="shared" si="159"/>
        <v>70001</v>
      </c>
      <c r="L203" s="401">
        <f>L87+L108+L119+L137+L140+L145+L157+L163+L192</f>
        <v>70614</v>
      </c>
      <c r="P203" s="4"/>
      <c r="R203" s="4"/>
    </row>
    <row r="204" spans="1:18">
      <c r="A204" s="398" t="s">
        <v>7226</v>
      </c>
      <c r="D204" s="401">
        <f t="shared" ref="D204:K204" si="160">D90+D99+D129+D130+D135+D142+D147+D152+D158+D159</f>
        <v>71647</v>
      </c>
      <c r="E204" s="401">
        <f t="shared" si="160"/>
        <v>71794</v>
      </c>
      <c r="F204" s="401">
        <f t="shared" si="160"/>
        <v>73100</v>
      </c>
      <c r="G204" s="401">
        <f t="shared" si="160"/>
        <v>72838</v>
      </c>
      <c r="H204" s="401">
        <f t="shared" si="160"/>
        <v>70560</v>
      </c>
      <c r="I204" s="401">
        <f t="shared" si="160"/>
        <v>70088</v>
      </c>
      <c r="J204" s="401">
        <f t="shared" si="160"/>
        <v>67710</v>
      </c>
      <c r="K204" s="401">
        <f t="shared" si="160"/>
        <v>67895</v>
      </c>
      <c r="L204" s="401">
        <f>L90+L99+L129+L130+L135+L142+L147+L152+L158+L159</f>
        <v>68494</v>
      </c>
      <c r="P204" s="4"/>
      <c r="R204" s="4"/>
    </row>
    <row r="205" spans="1:18">
      <c r="A205" s="398" t="s">
        <v>5479</v>
      </c>
      <c r="D205" s="401">
        <f t="shared" ref="D205:K205" si="161">D97+D107+D109+D112+D116+D133+D138+D176+D193</f>
        <v>75048</v>
      </c>
      <c r="E205" s="401">
        <f t="shared" si="161"/>
        <v>75668</v>
      </c>
      <c r="F205" s="401">
        <f t="shared" si="161"/>
        <v>76884</v>
      </c>
      <c r="G205" s="401">
        <f t="shared" si="161"/>
        <v>76416</v>
      </c>
      <c r="H205" s="401">
        <f t="shared" si="161"/>
        <v>74339</v>
      </c>
      <c r="I205" s="401">
        <f t="shared" si="161"/>
        <v>73353</v>
      </c>
      <c r="J205" s="401">
        <f t="shared" si="161"/>
        <v>68460</v>
      </c>
      <c r="K205" s="401">
        <f t="shared" si="161"/>
        <v>68514</v>
      </c>
      <c r="L205" s="401">
        <f>L97+L107+L109+L112+L116+L133+L138+L176+L193</f>
        <v>70191</v>
      </c>
      <c r="P205" s="4"/>
      <c r="R205" s="4"/>
    </row>
    <row r="206" spans="1:18">
      <c r="A206" s="398" t="s">
        <v>7228</v>
      </c>
      <c r="D206" s="401">
        <f t="shared" ref="D206:K206" si="162">D86+D105+D120+D122+D126+D165+D167+D170+D172+D188+D195+D196</f>
        <v>72732</v>
      </c>
      <c r="E206" s="401">
        <f t="shared" si="162"/>
        <v>73261</v>
      </c>
      <c r="F206" s="401">
        <f t="shared" si="162"/>
        <v>74128</v>
      </c>
      <c r="G206" s="401">
        <f t="shared" si="162"/>
        <v>73494</v>
      </c>
      <c r="H206" s="401">
        <f t="shared" si="162"/>
        <v>71818</v>
      </c>
      <c r="I206" s="401">
        <f t="shared" si="162"/>
        <v>72179</v>
      </c>
      <c r="J206" s="401">
        <f t="shared" si="162"/>
        <v>69911</v>
      </c>
      <c r="K206" s="401">
        <f t="shared" si="162"/>
        <v>70235</v>
      </c>
      <c r="L206" s="401">
        <f>L86+L105+L120+L122+L126+L165+L167+L170+L172+L188+L195+L196</f>
        <v>70980</v>
      </c>
      <c r="P206" s="4"/>
      <c r="R206" s="4"/>
    </row>
    <row r="207" spans="1:18">
      <c r="A207" s="398" t="s">
        <v>5431</v>
      </c>
      <c r="D207" s="401">
        <f t="shared" ref="D207:K207" si="163">SUM(D179:D186)</f>
        <v>74877</v>
      </c>
      <c r="E207" s="401">
        <f t="shared" si="163"/>
        <v>75031</v>
      </c>
      <c r="F207" s="401">
        <f t="shared" si="163"/>
        <v>75567</v>
      </c>
      <c r="G207" s="401">
        <f t="shared" si="163"/>
        <v>75060</v>
      </c>
      <c r="H207" s="401">
        <f t="shared" si="163"/>
        <v>74855</v>
      </c>
      <c r="I207" s="401">
        <f t="shared" si="163"/>
        <v>75341</v>
      </c>
      <c r="J207" s="401">
        <f t="shared" si="163"/>
        <v>73172</v>
      </c>
      <c r="K207" s="401">
        <f t="shared" si="163"/>
        <v>73419</v>
      </c>
      <c r="L207" s="401">
        <f>SUM(L179:L186)</f>
        <v>73443</v>
      </c>
      <c r="P207" s="4"/>
      <c r="R207" s="4"/>
    </row>
    <row r="209" spans="1:16">
      <c r="A209" s="399" t="s">
        <v>16597</v>
      </c>
    </row>
    <row r="212" spans="1:16">
      <c r="E212" s="42" t="s">
        <v>2303</v>
      </c>
      <c r="F212" s="42"/>
      <c r="G212" s="42"/>
      <c r="H212" s="42"/>
      <c r="I212" s="42"/>
      <c r="J212" s="42"/>
      <c r="K212" s="42"/>
      <c r="L212" s="42"/>
      <c r="M212" s="43"/>
      <c r="N212" s="43" t="s">
        <v>13319</v>
      </c>
    </row>
    <row r="213" spans="1:16">
      <c r="D213" s="400">
        <v>2010</v>
      </c>
      <c r="E213" s="400">
        <v>2011</v>
      </c>
      <c r="F213" s="400">
        <v>2012</v>
      </c>
      <c r="G213" s="400">
        <v>2013</v>
      </c>
      <c r="H213" s="400">
        <v>2014</v>
      </c>
      <c r="I213" s="400">
        <v>2015</v>
      </c>
      <c r="J213" s="400">
        <v>2016</v>
      </c>
      <c r="K213" s="400">
        <v>2017</v>
      </c>
      <c r="L213" s="400">
        <v>2018</v>
      </c>
      <c r="N213" s="44" t="s">
        <v>2304</v>
      </c>
    </row>
    <row r="214" spans="1:16">
      <c r="A214" s="398" t="s">
        <v>5480</v>
      </c>
      <c r="D214" s="401">
        <f t="shared" ref="D214:I214" si="164">SUM(D215:D232)</f>
        <v>218866</v>
      </c>
      <c r="E214" s="401">
        <f t="shared" si="164"/>
        <v>224755</v>
      </c>
      <c r="F214" s="401">
        <f t="shared" si="164"/>
        <v>227296</v>
      </c>
      <c r="G214" s="401">
        <f t="shared" si="164"/>
        <v>226540</v>
      </c>
      <c r="H214" s="401">
        <f t="shared" si="164"/>
        <v>221669</v>
      </c>
      <c r="I214" s="401">
        <f t="shared" si="164"/>
        <v>214724</v>
      </c>
      <c r="J214" s="401">
        <f t="shared" ref="J214:K214" si="165">SUM(J215:J232)</f>
        <v>210031</v>
      </c>
      <c r="K214" s="401">
        <f t="shared" si="165"/>
        <v>215348</v>
      </c>
      <c r="L214" s="401">
        <f t="shared" ref="L214" si="166">SUM(L215:L232)</f>
        <v>214219</v>
      </c>
    </row>
    <row r="215" spans="1:16">
      <c r="A215" s="398" t="s">
        <v>6957</v>
      </c>
      <c r="B215" s="398" t="s">
        <v>5481</v>
      </c>
      <c r="C215" s="4" t="s">
        <v>9407</v>
      </c>
      <c r="D215" s="402">
        <v>12216</v>
      </c>
      <c r="E215" s="402">
        <v>12348</v>
      </c>
      <c r="F215" s="402">
        <v>12342</v>
      </c>
      <c r="G215" s="402">
        <v>12456</v>
      </c>
      <c r="H215" s="30">
        <v>12415</v>
      </c>
      <c r="I215" s="30">
        <v>12498</v>
      </c>
      <c r="J215" s="30">
        <v>12376</v>
      </c>
      <c r="K215" s="30">
        <v>12760</v>
      </c>
      <c r="L215" s="30">
        <v>12691</v>
      </c>
      <c r="N215" s="398" t="s">
        <v>3699</v>
      </c>
    </row>
    <row r="216" spans="1:16">
      <c r="A216" s="398" t="s">
        <v>6959</v>
      </c>
      <c r="B216" s="398" t="s">
        <v>8157</v>
      </c>
      <c r="C216" s="4" t="s">
        <v>9408</v>
      </c>
      <c r="D216" s="409">
        <v>11897</v>
      </c>
      <c r="E216" s="409">
        <v>12297</v>
      </c>
      <c r="F216" s="409">
        <v>12440</v>
      </c>
      <c r="G216" s="409">
        <v>12345</v>
      </c>
      <c r="H216" s="30">
        <v>11907</v>
      </c>
      <c r="I216" s="30">
        <v>11955</v>
      </c>
      <c r="J216" s="30">
        <v>11588</v>
      </c>
      <c r="K216" s="30">
        <v>12019</v>
      </c>
      <c r="L216" s="30">
        <v>11893</v>
      </c>
      <c r="N216" s="398" t="s">
        <v>3700</v>
      </c>
      <c r="P216" s="4"/>
    </row>
    <row r="217" spans="1:16">
      <c r="A217" s="398" t="s">
        <v>6961</v>
      </c>
      <c r="B217" s="398" t="s">
        <v>8158</v>
      </c>
      <c r="C217" s="4" t="s">
        <v>9409</v>
      </c>
      <c r="D217" s="402">
        <v>11969</v>
      </c>
      <c r="E217" s="402">
        <v>12085</v>
      </c>
      <c r="F217" s="402">
        <v>12132</v>
      </c>
      <c r="G217" s="402">
        <v>11991</v>
      </c>
      <c r="H217" s="30">
        <v>11910</v>
      </c>
      <c r="I217" s="30">
        <v>11754</v>
      </c>
      <c r="J217" s="30">
        <v>11308</v>
      </c>
      <c r="K217" s="30">
        <v>11670</v>
      </c>
      <c r="L217" s="30">
        <v>11574</v>
      </c>
      <c r="N217" s="398" t="s">
        <v>3700</v>
      </c>
      <c r="P217" s="4"/>
    </row>
    <row r="218" spans="1:16">
      <c r="A218" s="398" t="s">
        <v>6963</v>
      </c>
      <c r="B218" s="398" t="s">
        <v>8159</v>
      </c>
      <c r="C218" s="4" t="s">
        <v>9410</v>
      </c>
      <c r="D218" s="409">
        <v>12088</v>
      </c>
      <c r="E218" s="409">
        <v>12279</v>
      </c>
      <c r="F218" s="409">
        <v>12256</v>
      </c>
      <c r="G218" s="409">
        <v>12197</v>
      </c>
      <c r="H218" s="30">
        <v>12154</v>
      </c>
      <c r="I218" s="30">
        <v>12004</v>
      </c>
      <c r="J218" s="30">
        <v>11604</v>
      </c>
      <c r="K218" s="30">
        <v>11872</v>
      </c>
      <c r="L218" s="30">
        <v>11888</v>
      </c>
      <c r="N218" s="398" t="s">
        <v>3700</v>
      </c>
      <c r="P218" s="4"/>
    </row>
    <row r="219" spans="1:16">
      <c r="A219" s="398" t="s">
        <v>6965</v>
      </c>
      <c r="B219" s="398" t="s">
        <v>7318</v>
      </c>
      <c r="C219" s="4" t="s">
        <v>9411</v>
      </c>
      <c r="D219" s="402">
        <v>10785</v>
      </c>
      <c r="E219" s="402">
        <v>11449</v>
      </c>
      <c r="F219" s="402">
        <v>11589</v>
      </c>
      <c r="G219" s="402">
        <v>11546</v>
      </c>
      <c r="H219" s="30">
        <v>11176</v>
      </c>
      <c r="I219" s="30">
        <v>11183</v>
      </c>
      <c r="J219" s="30">
        <v>10419</v>
      </c>
      <c r="K219" s="30">
        <v>10900</v>
      </c>
      <c r="L219" s="30">
        <v>10822</v>
      </c>
      <c r="N219" s="398" t="s">
        <v>8473</v>
      </c>
    </row>
    <row r="220" spans="1:16">
      <c r="A220" s="398" t="s">
        <v>6997</v>
      </c>
      <c r="B220" s="398" t="s">
        <v>7629</v>
      </c>
      <c r="C220" s="4" t="s">
        <v>9412</v>
      </c>
      <c r="D220" s="402">
        <v>12622</v>
      </c>
      <c r="E220" s="402">
        <v>12992</v>
      </c>
      <c r="F220" s="402">
        <v>13050</v>
      </c>
      <c r="G220" s="402">
        <v>12971</v>
      </c>
      <c r="H220" s="30">
        <v>12830</v>
      </c>
      <c r="I220" s="30">
        <v>12927</v>
      </c>
      <c r="J220" s="30">
        <v>12310</v>
      </c>
      <c r="K220" s="30">
        <v>12829</v>
      </c>
      <c r="L220" s="30">
        <v>12786</v>
      </c>
      <c r="N220" s="398" t="s">
        <v>8473</v>
      </c>
    </row>
    <row r="221" spans="1:16">
      <c r="A221" s="398" t="s">
        <v>6999</v>
      </c>
      <c r="B221" s="398" t="s">
        <v>4234</v>
      </c>
      <c r="C221" s="4" t="s">
        <v>9413</v>
      </c>
      <c r="D221" s="402">
        <v>11824</v>
      </c>
      <c r="E221" s="402">
        <v>11998</v>
      </c>
      <c r="F221" s="402">
        <v>12132</v>
      </c>
      <c r="G221" s="402">
        <v>12145</v>
      </c>
      <c r="H221" s="30">
        <v>11968</v>
      </c>
      <c r="I221" s="30">
        <v>11990</v>
      </c>
      <c r="J221" s="30">
        <v>11536</v>
      </c>
      <c r="K221" s="30">
        <v>12250</v>
      </c>
      <c r="L221" s="30">
        <v>12243</v>
      </c>
      <c r="N221" s="398" t="s">
        <v>3699</v>
      </c>
    </row>
    <row r="222" spans="1:16">
      <c r="A222" s="398" t="s">
        <v>7001</v>
      </c>
      <c r="B222" s="398" t="s">
        <v>5273</v>
      </c>
      <c r="C222" s="4" t="s">
        <v>9414</v>
      </c>
      <c r="D222" s="402">
        <v>12566</v>
      </c>
      <c r="E222" s="402">
        <v>13013</v>
      </c>
      <c r="F222" s="402">
        <v>13092</v>
      </c>
      <c r="G222" s="402">
        <v>13100</v>
      </c>
      <c r="H222" s="30">
        <v>13030</v>
      </c>
      <c r="I222" s="30">
        <v>13027</v>
      </c>
      <c r="J222" s="30">
        <v>12538</v>
      </c>
      <c r="K222" s="30">
        <v>13006</v>
      </c>
      <c r="L222" s="30">
        <v>12921</v>
      </c>
      <c r="N222" s="398" t="s">
        <v>8473</v>
      </c>
    </row>
    <row r="223" spans="1:16">
      <c r="A223" s="398" t="s">
        <v>7003</v>
      </c>
      <c r="B223" s="398" t="s">
        <v>8067</v>
      </c>
      <c r="C223" s="4" t="s">
        <v>9415</v>
      </c>
      <c r="D223" s="402">
        <v>12150</v>
      </c>
      <c r="E223" s="402">
        <v>12442</v>
      </c>
      <c r="F223" s="402">
        <v>12724</v>
      </c>
      <c r="G223" s="402">
        <v>12836</v>
      </c>
      <c r="H223" s="30">
        <v>13017</v>
      </c>
      <c r="I223" s="30">
        <v>13106</v>
      </c>
      <c r="J223" s="30">
        <v>13029</v>
      </c>
      <c r="K223" s="30">
        <v>13640</v>
      </c>
      <c r="L223" s="30">
        <v>13773</v>
      </c>
      <c r="N223" s="398" t="s">
        <v>8473</v>
      </c>
    </row>
    <row r="224" spans="1:16">
      <c r="A224" s="398" t="s">
        <v>7005</v>
      </c>
      <c r="B224" s="398" t="s">
        <v>8068</v>
      </c>
      <c r="C224" s="4" t="s">
        <v>9416</v>
      </c>
      <c r="D224" s="402">
        <v>12352</v>
      </c>
      <c r="E224" s="402">
        <v>12612</v>
      </c>
      <c r="F224" s="402">
        <v>12688</v>
      </c>
      <c r="G224" s="402">
        <v>12610</v>
      </c>
      <c r="H224" s="30">
        <v>12149</v>
      </c>
      <c r="I224" s="30">
        <v>12129</v>
      </c>
      <c r="J224" s="30">
        <v>11633</v>
      </c>
      <c r="K224" s="30">
        <v>11974</v>
      </c>
      <c r="L224" s="30">
        <v>11850</v>
      </c>
      <c r="N224" s="398" t="s">
        <v>3699</v>
      </c>
    </row>
    <row r="225" spans="1:18">
      <c r="A225" s="398" t="s">
        <v>7007</v>
      </c>
      <c r="B225" s="398" t="s">
        <v>8836</v>
      </c>
      <c r="C225" s="4" t="s">
        <v>9417</v>
      </c>
      <c r="D225" s="402">
        <v>12798</v>
      </c>
      <c r="E225" s="402">
        <v>14050</v>
      </c>
      <c r="F225" s="402">
        <v>14372</v>
      </c>
      <c r="G225" s="402">
        <v>14100</v>
      </c>
      <c r="H225" s="31">
        <v>12997</v>
      </c>
      <c r="I225" s="31">
        <v>9593</v>
      </c>
      <c r="J225" s="31">
        <v>9766</v>
      </c>
      <c r="K225" s="31">
        <v>9542</v>
      </c>
      <c r="L225" s="31">
        <v>9111</v>
      </c>
      <c r="N225" s="398" t="s">
        <v>3700</v>
      </c>
      <c r="P225" s="4"/>
    </row>
    <row r="226" spans="1:18">
      <c r="A226" s="398" t="s">
        <v>7009</v>
      </c>
      <c r="B226" s="398" t="s">
        <v>8069</v>
      </c>
      <c r="C226" s="4" t="s">
        <v>9418</v>
      </c>
      <c r="D226" s="402">
        <v>11753</v>
      </c>
      <c r="E226" s="402">
        <v>12172</v>
      </c>
      <c r="F226" s="402">
        <v>12365</v>
      </c>
      <c r="G226" s="402">
        <v>12128</v>
      </c>
      <c r="H226" s="30">
        <v>11822</v>
      </c>
      <c r="I226" s="30">
        <v>11462</v>
      </c>
      <c r="J226" s="30">
        <v>11136</v>
      </c>
      <c r="K226" s="30">
        <v>11703</v>
      </c>
      <c r="L226" s="30">
        <v>11679</v>
      </c>
      <c r="N226" s="398" t="s">
        <v>3699</v>
      </c>
      <c r="R226" s="4"/>
    </row>
    <row r="227" spans="1:18">
      <c r="A227" s="398" t="s">
        <v>7011</v>
      </c>
      <c r="B227" s="398" t="s">
        <v>3797</v>
      </c>
      <c r="C227" s="4" t="s">
        <v>9419</v>
      </c>
      <c r="D227" s="402">
        <v>12096</v>
      </c>
      <c r="E227" s="402">
        <v>12429</v>
      </c>
      <c r="F227" s="402">
        <v>12642</v>
      </c>
      <c r="G227" s="402">
        <v>12563</v>
      </c>
      <c r="H227" s="30">
        <v>12191</v>
      </c>
      <c r="I227" s="30">
        <v>12075</v>
      </c>
      <c r="J227" s="30">
        <v>11520</v>
      </c>
      <c r="K227" s="30">
        <v>11759</v>
      </c>
      <c r="L227" s="30">
        <v>11679</v>
      </c>
      <c r="N227" s="398" t="s">
        <v>8473</v>
      </c>
      <c r="R227" s="4"/>
    </row>
    <row r="228" spans="1:18">
      <c r="A228" s="398" t="s">
        <v>7013</v>
      </c>
      <c r="B228" s="398" t="s">
        <v>3798</v>
      </c>
      <c r="C228" s="4" t="s">
        <v>9420</v>
      </c>
      <c r="D228" s="402">
        <v>12151</v>
      </c>
      <c r="E228" s="402">
        <v>12245</v>
      </c>
      <c r="F228" s="402">
        <v>12460</v>
      </c>
      <c r="G228" s="402">
        <v>12488</v>
      </c>
      <c r="H228" s="31">
        <v>12568</v>
      </c>
      <c r="I228" s="31">
        <v>9419</v>
      </c>
      <c r="J228" s="31">
        <v>10670</v>
      </c>
      <c r="K228" s="31">
        <v>9274</v>
      </c>
      <c r="L228" s="31">
        <v>9287</v>
      </c>
      <c r="N228" s="398" t="s">
        <v>3700</v>
      </c>
      <c r="P228" s="4"/>
      <c r="R228" s="4"/>
    </row>
    <row r="229" spans="1:18">
      <c r="A229" s="398" t="s">
        <v>7015</v>
      </c>
      <c r="B229" s="398" t="s">
        <v>5934</v>
      </c>
      <c r="C229" s="4" t="s">
        <v>9421</v>
      </c>
      <c r="D229" s="409">
        <v>12443</v>
      </c>
      <c r="E229" s="409">
        <v>12749</v>
      </c>
      <c r="F229" s="409">
        <v>12911</v>
      </c>
      <c r="G229" s="409">
        <v>12969</v>
      </c>
      <c r="H229" s="31">
        <v>12653</v>
      </c>
      <c r="I229" s="31">
        <v>12435</v>
      </c>
      <c r="J229" s="31">
        <v>12244</v>
      </c>
      <c r="K229" s="31">
        <v>12563</v>
      </c>
      <c r="L229" s="31">
        <v>12575</v>
      </c>
      <c r="N229" s="398" t="s">
        <v>3700</v>
      </c>
      <c r="P229" s="4"/>
      <c r="R229" s="4"/>
    </row>
    <row r="230" spans="1:18">
      <c r="A230" s="398" t="s">
        <v>7017</v>
      </c>
      <c r="B230" s="398" t="s">
        <v>3799</v>
      </c>
      <c r="C230" s="4" t="s">
        <v>9422</v>
      </c>
      <c r="D230" s="402">
        <v>11947</v>
      </c>
      <c r="E230" s="402">
        <v>11984</v>
      </c>
      <c r="F230" s="402">
        <v>12028</v>
      </c>
      <c r="G230" s="402">
        <v>11903</v>
      </c>
      <c r="H230" s="30">
        <v>11245</v>
      </c>
      <c r="I230" s="30">
        <v>11210</v>
      </c>
      <c r="J230" s="30">
        <v>10879</v>
      </c>
      <c r="K230" s="30">
        <v>11372</v>
      </c>
      <c r="L230" s="30">
        <v>11256</v>
      </c>
      <c r="N230" s="398" t="s">
        <v>3699</v>
      </c>
      <c r="R230" s="4"/>
    </row>
    <row r="231" spans="1:18">
      <c r="A231" s="398" t="s">
        <v>7019</v>
      </c>
      <c r="B231" s="398" t="s">
        <v>4956</v>
      </c>
      <c r="C231" s="4" t="s">
        <v>9423</v>
      </c>
      <c r="D231" s="402">
        <v>12938</v>
      </c>
      <c r="E231" s="402">
        <v>13066</v>
      </c>
      <c r="F231" s="402">
        <v>13199</v>
      </c>
      <c r="G231" s="402">
        <v>13321</v>
      </c>
      <c r="H231" s="30">
        <v>12888</v>
      </c>
      <c r="I231" s="30">
        <v>13196</v>
      </c>
      <c r="J231" s="30">
        <v>13156</v>
      </c>
      <c r="K231" s="30">
        <v>13626</v>
      </c>
      <c r="L231" s="30">
        <v>13665</v>
      </c>
      <c r="N231" s="398" t="s">
        <v>3699</v>
      </c>
      <c r="P231" s="4"/>
      <c r="R231" s="4"/>
    </row>
    <row r="232" spans="1:18">
      <c r="A232" s="398" t="s">
        <v>7021</v>
      </c>
      <c r="B232" s="398" t="s">
        <v>3800</v>
      </c>
      <c r="C232" s="4" t="s">
        <v>9424</v>
      </c>
      <c r="D232" s="402">
        <v>12271</v>
      </c>
      <c r="E232" s="402">
        <v>12545</v>
      </c>
      <c r="F232" s="402">
        <v>12874</v>
      </c>
      <c r="G232" s="402">
        <v>12871</v>
      </c>
      <c r="H232" s="30">
        <v>12749</v>
      </c>
      <c r="I232" s="30">
        <v>12761</v>
      </c>
      <c r="J232" s="30">
        <v>12319</v>
      </c>
      <c r="K232" s="30">
        <v>12589</v>
      </c>
      <c r="L232" s="30">
        <v>12526</v>
      </c>
      <c r="N232" s="398" t="s">
        <v>8473</v>
      </c>
      <c r="R232" s="4"/>
    </row>
    <row r="233" spans="1:18">
      <c r="D233" s="402"/>
      <c r="E233" s="402"/>
      <c r="F233" s="402"/>
      <c r="G233" s="402"/>
      <c r="H233" s="402"/>
      <c r="I233" s="402"/>
      <c r="J233" s="402"/>
      <c r="K233" s="402"/>
      <c r="L233" s="402"/>
      <c r="P233" s="4"/>
      <c r="R233" s="4"/>
    </row>
    <row r="234" spans="1:18">
      <c r="A234" s="398" t="s">
        <v>8473</v>
      </c>
      <c r="D234" s="401">
        <f t="shared" ref="D234:I234" si="167">D219+D220+D222+D223+D227+D232</f>
        <v>72490</v>
      </c>
      <c r="E234" s="401">
        <f t="shared" si="167"/>
        <v>74870</v>
      </c>
      <c r="F234" s="401">
        <f t="shared" si="167"/>
        <v>75971</v>
      </c>
      <c r="G234" s="401">
        <f t="shared" si="167"/>
        <v>75887</v>
      </c>
      <c r="H234" s="401">
        <f t="shared" si="167"/>
        <v>74993</v>
      </c>
      <c r="I234" s="401">
        <f t="shared" si="167"/>
        <v>75079</v>
      </c>
      <c r="J234" s="401">
        <f t="shared" ref="J234:K234" si="168">J219+J220+J222+J223+J227+J232</f>
        <v>72135</v>
      </c>
      <c r="K234" s="401">
        <f t="shared" si="168"/>
        <v>74723</v>
      </c>
      <c r="L234" s="401">
        <f t="shared" ref="L234" si="169">L219+L220+L222+L223+L227+L232</f>
        <v>74507</v>
      </c>
      <c r="P234" s="4"/>
      <c r="R234" s="4"/>
    </row>
    <row r="235" spans="1:18">
      <c r="A235" s="398" t="s">
        <v>3699</v>
      </c>
      <c r="D235" s="401">
        <f t="shared" ref="D235:I235" si="170">D215+D221+D224+D226+D230+D231</f>
        <v>73030</v>
      </c>
      <c r="E235" s="401">
        <f t="shared" si="170"/>
        <v>74180</v>
      </c>
      <c r="F235" s="401">
        <f t="shared" si="170"/>
        <v>74754</v>
      </c>
      <c r="G235" s="401">
        <f t="shared" si="170"/>
        <v>74563</v>
      </c>
      <c r="H235" s="401">
        <f t="shared" si="170"/>
        <v>72487</v>
      </c>
      <c r="I235" s="401">
        <f t="shared" si="170"/>
        <v>72485</v>
      </c>
      <c r="J235" s="401">
        <f t="shared" ref="J235:K235" si="171">J215+J221+J224+J226+J230+J231</f>
        <v>70716</v>
      </c>
      <c r="K235" s="401">
        <f t="shared" si="171"/>
        <v>73685</v>
      </c>
      <c r="L235" s="401">
        <f t="shared" ref="L235" si="172">L215+L221+L224+L226+L230+L231</f>
        <v>73384</v>
      </c>
      <c r="P235" s="4"/>
      <c r="R235" s="4"/>
    </row>
    <row r="236" spans="1:18">
      <c r="A236" s="398" t="s">
        <v>3700</v>
      </c>
      <c r="D236" s="401">
        <f t="shared" ref="D236:I236" si="173">SUM(D216:D218)+D225+D228+D229</f>
        <v>73346</v>
      </c>
      <c r="E236" s="401">
        <f t="shared" si="173"/>
        <v>75705</v>
      </c>
      <c r="F236" s="401">
        <f t="shared" si="173"/>
        <v>76571</v>
      </c>
      <c r="G236" s="401">
        <f t="shared" si="173"/>
        <v>76090</v>
      </c>
      <c r="H236" s="401">
        <f t="shared" si="173"/>
        <v>74189</v>
      </c>
      <c r="I236" s="401">
        <f t="shared" si="173"/>
        <v>67160</v>
      </c>
      <c r="J236" s="401">
        <f t="shared" ref="J236:K236" si="174">SUM(J216:J218)+J225+J228+J229</f>
        <v>67180</v>
      </c>
      <c r="K236" s="401">
        <f t="shared" si="174"/>
        <v>66940</v>
      </c>
      <c r="L236" s="401">
        <f t="shared" ref="L236" si="175">SUM(L216:L218)+L225+L228+L229</f>
        <v>66328</v>
      </c>
      <c r="R236" s="4"/>
    </row>
    <row r="237" spans="1:18">
      <c r="A237" s="398"/>
      <c r="D237" s="401"/>
      <c r="E237" s="401"/>
      <c r="F237" s="401"/>
      <c r="G237" s="401"/>
      <c r="H237" s="401"/>
      <c r="I237" s="401"/>
      <c r="J237" s="401"/>
      <c r="K237" s="401"/>
      <c r="L237" s="401"/>
      <c r="P237" s="4"/>
      <c r="R237" s="4"/>
    </row>
    <row r="238" spans="1:18">
      <c r="A238" s="398" t="s">
        <v>3801</v>
      </c>
      <c r="D238" s="401"/>
      <c r="E238" s="401"/>
      <c r="F238" s="401"/>
      <c r="G238" s="401"/>
      <c r="H238" s="401"/>
      <c r="I238" s="401"/>
      <c r="J238" s="401"/>
      <c r="K238" s="401"/>
      <c r="L238" s="401"/>
      <c r="P238" s="4"/>
      <c r="R238" s="4"/>
    </row>
    <row r="239" spans="1:18">
      <c r="A239" s="398"/>
      <c r="B239" s="398"/>
      <c r="D239" s="410"/>
      <c r="E239" s="410"/>
      <c r="F239" s="410"/>
      <c r="G239" s="410"/>
      <c r="H239" s="410"/>
      <c r="I239" s="410"/>
      <c r="J239" s="410"/>
      <c r="K239" s="410"/>
      <c r="L239" s="410"/>
      <c r="P239" s="4"/>
      <c r="R239" s="4"/>
    </row>
    <row r="240" spans="1:18">
      <c r="A240" s="398"/>
      <c r="B240" s="398"/>
      <c r="D240" s="410"/>
      <c r="E240" s="410"/>
      <c r="F240" s="410"/>
      <c r="G240" s="410"/>
      <c r="H240" s="410"/>
      <c r="I240" s="410"/>
      <c r="J240" s="410"/>
      <c r="K240" s="410"/>
      <c r="L240" s="410"/>
      <c r="P240" s="4"/>
      <c r="R240" s="4"/>
    </row>
    <row r="241" spans="1:18">
      <c r="E241" s="42" t="s">
        <v>2303</v>
      </c>
      <c r="F241" s="42"/>
      <c r="G241" s="42"/>
      <c r="H241" s="42"/>
      <c r="I241" s="42"/>
      <c r="J241" s="42"/>
      <c r="K241" s="42"/>
      <c r="L241" s="42"/>
      <c r="M241" s="43"/>
      <c r="N241" s="43" t="s">
        <v>13319</v>
      </c>
      <c r="P241" s="4"/>
      <c r="R241" s="4"/>
    </row>
    <row r="242" spans="1:18">
      <c r="D242" s="400">
        <v>2010</v>
      </c>
      <c r="E242" s="400">
        <v>2011</v>
      </c>
      <c r="F242" s="400">
        <v>2012</v>
      </c>
      <c r="G242" s="400">
        <v>2013</v>
      </c>
      <c r="H242" s="400">
        <v>2014</v>
      </c>
      <c r="I242" s="400">
        <v>2015</v>
      </c>
      <c r="J242" s="400">
        <v>2016</v>
      </c>
      <c r="K242" s="400">
        <v>2017</v>
      </c>
      <c r="L242" s="400">
        <v>2018</v>
      </c>
      <c r="N242" s="44" t="s">
        <v>2304</v>
      </c>
      <c r="P242" s="4"/>
      <c r="R242" s="4"/>
    </row>
    <row r="243" spans="1:18">
      <c r="A243" s="398" t="s">
        <v>3802</v>
      </c>
      <c r="D243" s="401">
        <f t="shared" ref="D243:I243" si="176">SUM(D244:D267)</f>
        <v>240213</v>
      </c>
      <c r="E243" s="401">
        <f t="shared" si="176"/>
        <v>242131</v>
      </c>
      <c r="F243" s="401">
        <f t="shared" si="176"/>
        <v>242929</v>
      </c>
      <c r="G243" s="401">
        <f t="shared" si="176"/>
        <v>243645</v>
      </c>
      <c r="H243" s="401">
        <f t="shared" si="176"/>
        <v>237787</v>
      </c>
      <c r="I243" s="401">
        <f t="shared" si="176"/>
        <v>237550</v>
      </c>
      <c r="J243" s="401">
        <f t="shared" ref="J243:K243" si="177">SUM(J244:J267)</f>
        <v>239405</v>
      </c>
      <c r="K243" s="401">
        <f t="shared" si="177"/>
        <v>241620</v>
      </c>
      <c r="L243" s="401">
        <f t="shared" ref="L243" si="178">SUM(L244:L267)</f>
        <v>240020</v>
      </c>
      <c r="P243" s="4"/>
      <c r="R243" s="4"/>
    </row>
    <row r="244" spans="1:18">
      <c r="A244" s="398" t="s">
        <v>6957</v>
      </c>
      <c r="B244" s="398" t="s">
        <v>3803</v>
      </c>
      <c r="C244" s="4" t="s">
        <v>9425</v>
      </c>
      <c r="D244" s="402">
        <v>10379</v>
      </c>
      <c r="E244" s="402">
        <v>10465</v>
      </c>
      <c r="F244" s="402">
        <v>10561</v>
      </c>
      <c r="G244" s="31">
        <v>10581</v>
      </c>
      <c r="H244" s="31">
        <v>10222</v>
      </c>
      <c r="I244" s="31">
        <v>10311</v>
      </c>
      <c r="J244" s="31">
        <v>10445</v>
      </c>
      <c r="K244" s="31">
        <v>10513</v>
      </c>
      <c r="L244" s="31">
        <v>10399</v>
      </c>
      <c r="N244" s="398" t="s">
        <v>5430</v>
      </c>
      <c r="P244" s="4"/>
    </row>
    <row r="245" spans="1:18">
      <c r="A245" s="398" t="s">
        <v>6959</v>
      </c>
      <c r="B245" s="398" t="s">
        <v>6685</v>
      </c>
      <c r="C245" s="4" t="s">
        <v>9426</v>
      </c>
      <c r="D245" s="402">
        <v>10011</v>
      </c>
      <c r="E245" s="402">
        <v>10227</v>
      </c>
      <c r="F245" s="402">
        <v>10327</v>
      </c>
      <c r="G245" s="30">
        <v>10321</v>
      </c>
      <c r="H245" s="30">
        <v>10268</v>
      </c>
      <c r="I245" s="30">
        <v>10259</v>
      </c>
      <c r="J245" s="30">
        <v>10494</v>
      </c>
      <c r="K245" s="30">
        <v>10580</v>
      </c>
      <c r="L245" s="30">
        <v>10446</v>
      </c>
      <c r="N245" s="398" t="s">
        <v>3704</v>
      </c>
      <c r="P245" s="4"/>
    </row>
    <row r="246" spans="1:18">
      <c r="A246" s="398" t="s">
        <v>6961</v>
      </c>
      <c r="B246" s="398" t="s">
        <v>3804</v>
      </c>
      <c r="C246" s="4" t="s">
        <v>9427</v>
      </c>
      <c r="D246" s="402">
        <v>9965</v>
      </c>
      <c r="E246" s="402">
        <v>10105</v>
      </c>
      <c r="F246" s="402">
        <v>10219</v>
      </c>
      <c r="G246" s="30">
        <v>10312</v>
      </c>
      <c r="H246" s="30">
        <v>9794</v>
      </c>
      <c r="I246" s="30">
        <v>9836</v>
      </c>
      <c r="J246" s="30">
        <v>9845</v>
      </c>
      <c r="K246" s="30">
        <v>10188</v>
      </c>
      <c r="L246" s="30">
        <v>10196</v>
      </c>
      <c r="N246" s="398" t="s">
        <v>3703</v>
      </c>
    </row>
    <row r="247" spans="1:18">
      <c r="A247" s="398" t="s">
        <v>6963</v>
      </c>
      <c r="B247" s="398" t="s">
        <v>3805</v>
      </c>
      <c r="C247" s="4" t="s">
        <v>9428</v>
      </c>
      <c r="D247" s="402">
        <v>9732</v>
      </c>
      <c r="E247" s="402">
        <v>9771</v>
      </c>
      <c r="F247" s="402">
        <v>9702</v>
      </c>
      <c r="G247" s="30">
        <v>9695</v>
      </c>
      <c r="H247" s="30">
        <v>9510</v>
      </c>
      <c r="I247" s="30">
        <v>9480</v>
      </c>
      <c r="J247" s="30">
        <v>9585</v>
      </c>
      <c r="K247" s="30">
        <v>9695</v>
      </c>
      <c r="L247" s="30">
        <v>9661</v>
      </c>
      <c r="N247" s="398" t="s">
        <v>3703</v>
      </c>
    </row>
    <row r="248" spans="1:18">
      <c r="A248" s="398" t="s">
        <v>6965</v>
      </c>
      <c r="B248" s="398" t="s">
        <v>2124</v>
      </c>
      <c r="C248" s="4" t="s">
        <v>9429</v>
      </c>
      <c r="D248" s="402">
        <v>10439</v>
      </c>
      <c r="E248" s="402">
        <v>10692</v>
      </c>
      <c r="F248" s="402">
        <v>10869</v>
      </c>
      <c r="G248" s="30">
        <v>10948</v>
      </c>
      <c r="H248" s="30">
        <v>10778</v>
      </c>
      <c r="I248" s="30">
        <v>10850</v>
      </c>
      <c r="J248" s="30">
        <v>11018</v>
      </c>
      <c r="K248" s="30">
        <v>11263</v>
      </c>
      <c r="L248" s="30">
        <v>11132</v>
      </c>
      <c r="N248" s="398" t="s">
        <v>3701</v>
      </c>
    </row>
    <row r="249" spans="1:18">
      <c r="A249" s="398" t="s">
        <v>6997</v>
      </c>
      <c r="B249" s="398" t="s">
        <v>2125</v>
      </c>
      <c r="C249" s="4" t="s">
        <v>9430</v>
      </c>
      <c r="D249" s="402">
        <v>9617</v>
      </c>
      <c r="E249" s="402">
        <v>9657</v>
      </c>
      <c r="F249" s="402">
        <v>9668</v>
      </c>
      <c r="G249" s="31">
        <v>9774</v>
      </c>
      <c r="H249" s="31">
        <v>9536</v>
      </c>
      <c r="I249" s="31">
        <v>9444</v>
      </c>
      <c r="J249" s="31">
        <v>9607</v>
      </c>
      <c r="K249" s="31">
        <v>9610</v>
      </c>
      <c r="L249" s="31">
        <v>9427</v>
      </c>
      <c r="N249" s="398" t="s">
        <v>5439</v>
      </c>
      <c r="P249" s="4"/>
    </row>
    <row r="250" spans="1:18">
      <c r="A250" s="398" t="s">
        <v>6999</v>
      </c>
      <c r="B250" s="398" t="s">
        <v>13307</v>
      </c>
      <c r="C250" s="4" t="s">
        <v>9431</v>
      </c>
      <c r="D250" s="409">
        <v>9898</v>
      </c>
      <c r="E250" s="409">
        <v>9953</v>
      </c>
      <c r="F250" s="409">
        <v>9912</v>
      </c>
      <c r="G250" s="31">
        <v>9874</v>
      </c>
      <c r="H250" s="31">
        <v>9618</v>
      </c>
      <c r="I250" s="31">
        <v>9606</v>
      </c>
      <c r="J250" s="31">
        <v>9756</v>
      </c>
      <c r="K250" s="31">
        <v>9791</v>
      </c>
      <c r="L250" s="31">
        <v>9809</v>
      </c>
      <c r="N250" s="398" t="s">
        <v>5430</v>
      </c>
      <c r="P250" s="4"/>
    </row>
    <row r="251" spans="1:18">
      <c r="A251" s="398" t="s">
        <v>7001</v>
      </c>
      <c r="B251" s="398" t="s">
        <v>2126</v>
      </c>
      <c r="C251" s="4" t="s">
        <v>9432</v>
      </c>
      <c r="D251" s="402">
        <v>10565</v>
      </c>
      <c r="E251" s="402">
        <v>10580</v>
      </c>
      <c r="F251" s="402">
        <v>10590</v>
      </c>
      <c r="G251" s="30">
        <v>10668</v>
      </c>
      <c r="H251" s="30">
        <v>10380</v>
      </c>
      <c r="I251" s="30">
        <v>10382</v>
      </c>
      <c r="J251" s="30">
        <v>10502</v>
      </c>
      <c r="K251" s="30">
        <v>10568</v>
      </c>
      <c r="L251" s="30">
        <v>10449</v>
      </c>
      <c r="N251" s="398" t="s">
        <v>3701</v>
      </c>
    </row>
    <row r="252" spans="1:18">
      <c r="A252" s="398" t="s">
        <v>7003</v>
      </c>
      <c r="B252" s="398" t="s">
        <v>2127</v>
      </c>
      <c r="C252" s="4" t="s">
        <v>9433</v>
      </c>
      <c r="D252" s="402">
        <v>9541</v>
      </c>
      <c r="E252" s="402">
        <v>9573</v>
      </c>
      <c r="F252" s="402">
        <v>9652</v>
      </c>
      <c r="G252" s="30">
        <v>9624</v>
      </c>
      <c r="H252" s="30">
        <v>9391</v>
      </c>
      <c r="I252" s="30">
        <v>9385</v>
      </c>
      <c r="J252" s="30">
        <v>9468</v>
      </c>
      <c r="K252" s="30">
        <v>9584</v>
      </c>
      <c r="L252" s="30">
        <v>9600</v>
      </c>
      <c r="N252" s="398" t="s">
        <v>3704</v>
      </c>
      <c r="P252" s="4"/>
    </row>
    <row r="253" spans="1:18">
      <c r="A253" s="398" t="s">
        <v>7005</v>
      </c>
      <c r="B253" s="398" t="s">
        <v>2128</v>
      </c>
      <c r="C253" s="4" t="s">
        <v>9434</v>
      </c>
      <c r="D253" s="402">
        <v>9912</v>
      </c>
      <c r="E253" s="402">
        <v>10008</v>
      </c>
      <c r="F253" s="402">
        <v>10052</v>
      </c>
      <c r="G253" s="30">
        <v>10064</v>
      </c>
      <c r="H253" s="30">
        <v>9838</v>
      </c>
      <c r="I253" s="30">
        <v>9831</v>
      </c>
      <c r="J253" s="30">
        <v>9910</v>
      </c>
      <c r="K253" s="30">
        <v>9942</v>
      </c>
      <c r="L253" s="30">
        <v>9947</v>
      </c>
      <c r="N253" s="398" t="s">
        <v>3704</v>
      </c>
      <c r="P253" s="4"/>
    </row>
    <row r="254" spans="1:18">
      <c r="A254" s="398" t="s">
        <v>7007</v>
      </c>
      <c r="B254" s="398" t="s">
        <v>2129</v>
      </c>
      <c r="C254" s="4" t="s">
        <v>9435</v>
      </c>
      <c r="D254" s="402">
        <v>9413</v>
      </c>
      <c r="E254" s="402">
        <v>9419</v>
      </c>
      <c r="F254" s="402">
        <v>9409</v>
      </c>
      <c r="G254" s="31">
        <v>9495</v>
      </c>
      <c r="H254" s="31">
        <v>9351</v>
      </c>
      <c r="I254" s="31">
        <v>9296</v>
      </c>
      <c r="J254" s="31">
        <v>9285</v>
      </c>
      <c r="K254" s="31">
        <v>9437</v>
      </c>
      <c r="L254" s="31">
        <v>9380</v>
      </c>
      <c r="N254" s="398" t="s">
        <v>3704</v>
      </c>
      <c r="P254" s="4"/>
    </row>
    <row r="255" spans="1:18">
      <c r="A255" s="398" t="s">
        <v>7009</v>
      </c>
      <c r="B255" s="398" t="s">
        <v>2130</v>
      </c>
      <c r="C255" s="4" t="s">
        <v>9436</v>
      </c>
      <c r="D255" s="402">
        <v>10244</v>
      </c>
      <c r="E255" s="402">
        <v>10259</v>
      </c>
      <c r="F255" s="402">
        <v>10237</v>
      </c>
      <c r="G255" s="30">
        <v>10231</v>
      </c>
      <c r="H255" s="30">
        <v>10049</v>
      </c>
      <c r="I255" s="30">
        <v>10038</v>
      </c>
      <c r="J255" s="30">
        <v>10108</v>
      </c>
      <c r="K255" s="30">
        <v>10145</v>
      </c>
      <c r="L255" s="30">
        <v>10011</v>
      </c>
      <c r="N255" s="398" t="s">
        <v>3703</v>
      </c>
      <c r="R255" s="4"/>
    </row>
    <row r="256" spans="1:18">
      <c r="A256" s="398" t="s">
        <v>7011</v>
      </c>
      <c r="B256" s="398" t="s">
        <v>2131</v>
      </c>
      <c r="C256" s="4" t="s">
        <v>9437</v>
      </c>
      <c r="D256" s="402">
        <v>10510</v>
      </c>
      <c r="E256" s="402">
        <v>10423</v>
      </c>
      <c r="F256" s="402">
        <v>10332</v>
      </c>
      <c r="G256" s="30">
        <v>10425</v>
      </c>
      <c r="H256" s="30">
        <v>10249</v>
      </c>
      <c r="I256" s="30">
        <v>10261</v>
      </c>
      <c r="J256" s="30">
        <v>10272</v>
      </c>
      <c r="K256" s="30">
        <v>10288</v>
      </c>
      <c r="L256" s="30">
        <v>10218</v>
      </c>
      <c r="N256" s="398" t="s">
        <v>3703</v>
      </c>
      <c r="R256" s="4"/>
    </row>
    <row r="257" spans="1:18">
      <c r="A257" s="398" t="s">
        <v>7013</v>
      </c>
      <c r="B257" s="398" t="s">
        <v>13306</v>
      </c>
      <c r="C257" s="4" t="s">
        <v>9438</v>
      </c>
      <c r="D257" s="402">
        <v>9555</v>
      </c>
      <c r="E257" s="402">
        <v>9597</v>
      </c>
      <c r="F257" s="402">
        <v>9573</v>
      </c>
      <c r="G257" s="31">
        <v>9546</v>
      </c>
      <c r="H257" s="31">
        <v>9137</v>
      </c>
      <c r="I257" s="31">
        <v>9201</v>
      </c>
      <c r="J257" s="31">
        <v>9264</v>
      </c>
      <c r="K257" s="31">
        <v>9376</v>
      </c>
      <c r="L257" s="31">
        <v>9360</v>
      </c>
      <c r="N257" s="398" t="s">
        <v>5430</v>
      </c>
      <c r="P257" s="4"/>
      <c r="R257" s="4"/>
    </row>
    <row r="258" spans="1:18">
      <c r="A258" s="398" t="s">
        <v>7015</v>
      </c>
      <c r="B258" s="398" t="s">
        <v>3823</v>
      </c>
      <c r="C258" s="4" t="s">
        <v>9439</v>
      </c>
      <c r="D258" s="402">
        <v>10572</v>
      </c>
      <c r="E258" s="402">
        <v>10636</v>
      </c>
      <c r="F258" s="402">
        <v>10782</v>
      </c>
      <c r="G258" s="30">
        <v>10817</v>
      </c>
      <c r="H258" s="30">
        <v>10371</v>
      </c>
      <c r="I258" s="30">
        <v>10442</v>
      </c>
      <c r="J258" s="30">
        <v>10352</v>
      </c>
      <c r="K258" s="30">
        <v>10495</v>
      </c>
      <c r="L258" s="30">
        <v>10341</v>
      </c>
      <c r="N258" s="398" t="s">
        <v>3703</v>
      </c>
      <c r="R258" s="4"/>
    </row>
    <row r="259" spans="1:18">
      <c r="A259" s="398" t="s">
        <v>7017</v>
      </c>
      <c r="B259" s="398" t="s">
        <v>3824</v>
      </c>
      <c r="C259" s="4" t="s">
        <v>9440</v>
      </c>
      <c r="D259" s="402">
        <v>9707</v>
      </c>
      <c r="E259" s="402">
        <v>9743</v>
      </c>
      <c r="F259" s="402">
        <v>9731</v>
      </c>
      <c r="G259" s="31">
        <v>9759</v>
      </c>
      <c r="H259" s="31">
        <v>9708</v>
      </c>
      <c r="I259" s="31">
        <v>9618</v>
      </c>
      <c r="J259" s="31">
        <v>9712</v>
      </c>
      <c r="K259" s="31">
        <v>9770</v>
      </c>
      <c r="L259" s="31">
        <v>9843</v>
      </c>
      <c r="N259" s="398" t="s">
        <v>5430</v>
      </c>
      <c r="P259" s="4"/>
      <c r="R259" s="4"/>
    </row>
    <row r="260" spans="1:18">
      <c r="A260" s="398" t="s">
        <v>7019</v>
      </c>
      <c r="B260" s="398" t="s">
        <v>3820</v>
      </c>
      <c r="C260" s="4" t="s">
        <v>9441</v>
      </c>
      <c r="D260" s="402">
        <v>9950</v>
      </c>
      <c r="E260" s="402">
        <v>10008</v>
      </c>
      <c r="F260" s="402">
        <v>9961</v>
      </c>
      <c r="G260" s="31">
        <v>9961</v>
      </c>
      <c r="H260" s="31">
        <v>9850</v>
      </c>
      <c r="I260" s="31">
        <v>9840</v>
      </c>
      <c r="J260" s="31">
        <v>9895</v>
      </c>
      <c r="K260" s="31">
        <v>9937</v>
      </c>
      <c r="L260" s="31">
        <v>9915</v>
      </c>
      <c r="N260" s="398" t="s">
        <v>5430</v>
      </c>
      <c r="P260" s="4"/>
      <c r="R260" s="4"/>
    </row>
    <row r="261" spans="1:18">
      <c r="A261" s="398" t="s">
        <v>7021</v>
      </c>
      <c r="B261" s="398" t="s">
        <v>3821</v>
      </c>
      <c r="C261" s="4" t="s">
        <v>9442</v>
      </c>
      <c r="D261" s="402">
        <v>10254</v>
      </c>
      <c r="E261" s="402">
        <v>10311</v>
      </c>
      <c r="F261" s="402">
        <v>10328</v>
      </c>
      <c r="G261" s="31">
        <v>10416</v>
      </c>
      <c r="H261" s="31">
        <v>10246</v>
      </c>
      <c r="I261" s="31">
        <v>10154</v>
      </c>
      <c r="J261" s="31">
        <v>10113</v>
      </c>
      <c r="K261" s="31">
        <v>10088</v>
      </c>
      <c r="L261" s="31">
        <v>10060</v>
      </c>
      <c r="N261" s="398" t="s">
        <v>5430</v>
      </c>
      <c r="P261" s="4"/>
      <c r="R261" s="4"/>
    </row>
    <row r="262" spans="1:18">
      <c r="A262" s="398" t="s">
        <v>7023</v>
      </c>
      <c r="B262" s="398" t="s">
        <v>2881</v>
      </c>
      <c r="C262" s="4" t="s">
        <v>9443</v>
      </c>
      <c r="D262" s="402">
        <v>9903</v>
      </c>
      <c r="E262" s="402">
        <v>10019</v>
      </c>
      <c r="F262" s="402">
        <v>10188</v>
      </c>
      <c r="G262" s="30">
        <v>10233</v>
      </c>
      <c r="H262" s="30">
        <v>9782</v>
      </c>
      <c r="I262" s="30">
        <v>9748</v>
      </c>
      <c r="J262" s="30">
        <v>9842</v>
      </c>
      <c r="K262" s="30">
        <v>9947</v>
      </c>
      <c r="L262" s="30">
        <v>9837</v>
      </c>
      <c r="N262" s="398" t="s">
        <v>3701</v>
      </c>
      <c r="R262" s="4"/>
    </row>
    <row r="263" spans="1:18">
      <c r="A263" s="398" t="s">
        <v>7025</v>
      </c>
      <c r="B263" s="398" t="s">
        <v>3822</v>
      </c>
      <c r="C263" s="4" t="s">
        <v>9444</v>
      </c>
      <c r="D263" s="402">
        <v>10004</v>
      </c>
      <c r="E263" s="402">
        <v>10163</v>
      </c>
      <c r="F263" s="402">
        <v>10214</v>
      </c>
      <c r="G263" s="30">
        <v>10170</v>
      </c>
      <c r="H263" s="30">
        <v>9708</v>
      </c>
      <c r="I263" s="30">
        <v>9774</v>
      </c>
      <c r="J263" s="30">
        <v>9781</v>
      </c>
      <c r="K263" s="30">
        <v>9946</v>
      </c>
      <c r="L263" s="30">
        <v>9849</v>
      </c>
      <c r="N263" s="398" t="s">
        <v>3701</v>
      </c>
      <c r="R263" s="4"/>
    </row>
    <row r="264" spans="1:18">
      <c r="A264" s="398" t="s">
        <v>7570</v>
      </c>
      <c r="B264" s="398" t="s">
        <v>6795</v>
      </c>
      <c r="C264" s="4" t="s">
        <v>9445</v>
      </c>
      <c r="D264" s="402">
        <v>9748</v>
      </c>
      <c r="E264" s="402">
        <v>9850</v>
      </c>
      <c r="F264" s="402">
        <v>9844</v>
      </c>
      <c r="G264" s="30">
        <v>9867</v>
      </c>
      <c r="H264" s="30">
        <v>9688</v>
      </c>
      <c r="I264" s="30">
        <v>9664</v>
      </c>
      <c r="J264" s="30">
        <v>9797</v>
      </c>
      <c r="K264" s="30">
        <v>9813</v>
      </c>
      <c r="L264" s="30">
        <v>9673</v>
      </c>
      <c r="N264" s="398" t="s">
        <v>3701</v>
      </c>
      <c r="R264" s="4"/>
    </row>
    <row r="265" spans="1:18">
      <c r="A265" s="398" t="s">
        <v>7572</v>
      </c>
      <c r="B265" s="398" t="s">
        <v>5530</v>
      </c>
      <c r="C265" s="4" t="s">
        <v>9446</v>
      </c>
      <c r="D265" s="402">
        <v>10318</v>
      </c>
      <c r="E265" s="402">
        <v>10410</v>
      </c>
      <c r="F265" s="402">
        <v>10273</v>
      </c>
      <c r="G265" s="30">
        <v>10251</v>
      </c>
      <c r="H265" s="30">
        <v>10149</v>
      </c>
      <c r="I265" s="30">
        <v>10044</v>
      </c>
      <c r="J265" s="30">
        <v>10114</v>
      </c>
      <c r="K265" s="30">
        <v>10182</v>
      </c>
      <c r="L265" s="30">
        <v>10026</v>
      </c>
      <c r="N265" s="398" t="s">
        <v>3701</v>
      </c>
      <c r="R265" s="4"/>
    </row>
    <row r="266" spans="1:18">
      <c r="A266" s="398" t="s">
        <v>7573</v>
      </c>
      <c r="B266" s="398" t="s">
        <v>5531</v>
      </c>
      <c r="C266" s="4" t="s">
        <v>9447</v>
      </c>
      <c r="D266" s="402">
        <v>10112</v>
      </c>
      <c r="E266" s="402">
        <v>10148</v>
      </c>
      <c r="F266" s="402">
        <v>10271</v>
      </c>
      <c r="G266" s="31">
        <v>10288</v>
      </c>
      <c r="H266" s="31">
        <v>9966</v>
      </c>
      <c r="I266" s="31">
        <v>9956</v>
      </c>
      <c r="J266" s="31">
        <v>10118</v>
      </c>
      <c r="K266" s="31">
        <v>10316</v>
      </c>
      <c r="L266" s="31">
        <v>10377</v>
      </c>
      <c r="N266" s="398" t="s">
        <v>5430</v>
      </c>
      <c r="P266" s="4"/>
      <c r="R266" s="4"/>
    </row>
    <row r="267" spans="1:18">
      <c r="A267" s="398" t="s">
        <v>5798</v>
      </c>
      <c r="B267" s="398" t="s">
        <v>7348</v>
      </c>
      <c r="C267" s="4" t="s">
        <v>9448</v>
      </c>
      <c r="D267" s="402">
        <v>9864</v>
      </c>
      <c r="E267" s="402">
        <v>10114</v>
      </c>
      <c r="F267" s="402">
        <v>10234</v>
      </c>
      <c r="G267" s="30">
        <v>10325</v>
      </c>
      <c r="H267" s="30">
        <v>10198</v>
      </c>
      <c r="I267" s="30">
        <v>10130</v>
      </c>
      <c r="J267" s="30">
        <v>10122</v>
      </c>
      <c r="K267" s="30">
        <v>10146</v>
      </c>
      <c r="L267" s="30">
        <v>10064</v>
      </c>
      <c r="N267" s="398" t="s">
        <v>3703</v>
      </c>
      <c r="P267" s="4"/>
      <c r="R267" s="4"/>
    </row>
    <row r="268" spans="1:18">
      <c r="D268" s="402"/>
      <c r="E268" s="402"/>
      <c r="F268" s="402"/>
      <c r="G268" s="402"/>
      <c r="H268" s="402"/>
      <c r="I268" s="402"/>
      <c r="J268" s="402"/>
      <c r="K268" s="402"/>
      <c r="L268" s="402"/>
      <c r="P268" s="4"/>
      <c r="R268" s="4"/>
    </row>
    <row r="269" spans="1:18">
      <c r="A269" s="398" t="s">
        <v>3701</v>
      </c>
      <c r="D269" s="401">
        <f t="shared" ref="D269:I269" si="179">D248+D251+SUM(D262:D265)</f>
        <v>60977</v>
      </c>
      <c r="E269" s="401">
        <f t="shared" si="179"/>
        <v>61714</v>
      </c>
      <c r="F269" s="401">
        <f t="shared" si="179"/>
        <v>61978</v>
      </c>
      <c r="G269" s="401">
        <f t="shared" si="179"/>
        <v>62137</v>
      </c>
      <c r="H269" s="401">
        <f t="shared" si="179"/>
        <v>60485</v>
      </c>
      <c r="I269" s="401">
        <f t="shared" si="179"/>
        <v>60462</v>
      </c>
      <c r="J269" s="401">
        <f t="shared" ref="J269:K269" si="180">J248+J251+SUM(J262:J265)</f>
        <v>61054</v>
      </c>
      <c r="K269" s="401">
        <f t="shared" si="180"/>
        <v>61719</v>
      </c>
      <c r="L269" s="401">
        <f t="shared" ref="L269" si="181">L248+L251+SUM(L262:L265)</f>
        <v>60966</v>
      </c>
      <c r="P269" s="4"/>
      <c r="R269" s="4"/>
    </row>
    <row r="270" spans="1:18">
      <c r="A270" s="398" t="s">
        <v>3703</v>
      </c>
      <c r="D270" s="401">
        <f t="shared" ref="D270:I270" si="182">D246+D247+D255+D256+D258+D267</f>
        <v>60887</v>
      </c>
      <c r="E270" s="401">
        <f t="shared" si="182"/>
        <v>61308</v>
      </c>
      <c r="F270" s="401">
        <f t="shared" si="182"/>
        <v>61506</v>
      </c>
      <c r="G270" s="401">
        <f t="shared" si="182"/>
        <v>61805</v>
      </c>
      <c r="H270" s="401">
        <f t="shared" si="182"/>
        <v>60171</v>
      </c>
      <c r="I270" s="401">
        <f t="shared" si="182"/>
        <v>60187</v>
      </c>
      <c r="J270" s="401">
        <f t="shared" ref="J270:K270" si="183">J246+J247+J255+J256+J258+J267</f>
        <v>60284</v>
      </c>
      <c r="K270" s="401">
        <f t="shared" si="183"/>
        <v>60957</v>
      </c>
      <c r="L270" s="401">
        <f t="shared" ref="L270" si="184">L246+L247+L255+L256+L258+L267</f>
        <v>60491</v>
      </c>
      <c r="P270" s="4"/>
      <c r="R270" s="4"/>
    </row>
    <row r="271" spans="1:18">
      <c r="A271" s="398" t="s">
        <v>7349</v>
      </c>
      <c r="D271" s="401">
        <f t="shared" ref="D271:I271" si="185">D245+SUM(D252:D254)</f>
        <v>38877</v>
      </c>
      <c r="E271" s="401">
        <f t="shared" si="185"/>
        <v>39227</v>
      </c>
      <c r="F271" s="401">
        <f t="shared" si="185"/>
        <v>39440</v>
      </c>
      <c r="G271" s="401">
        <f t="shared" si="185"/>
        <v>39504</v>
      </c>
      <c r="H271" s="401">
        <f t="shared" si="185"/>
        <v>38848</v>
      </c>
      <c r="I271" s="401">
        <f t="shared" si="185"/>
        <v>38771</v>
      </c>
      <c r="J271" s="401">
        <f t="shared" ref="J271:K271" si="186">J245+SUM(J252:J254)</f>
        <v>39157</v>
      </c>
      <c r="K271" s="401">
        <f t="shared" si="186"/>
        <v>39543</v>
      </c>
      <c r="L271" s="401">
        <f t="shared" ref="L271" si="187">L245+SUM(L252:L254)</f>
        <v>39373</v>
      </c>
      <c r="R271" s="4"/>
    </row>
    <row r="272" spans="1:18">
      <c r="A272" s="398" t="s">
        <v>5430</v>
      </c>
      <c r="D272" s="401">
        <f t="shared" ref="D272:I272" si="188">D244+D250+D257+SUM(D259:D261)+D266</f>
        <v>69855</v>
      </c>
      <c r="E272" s="401">
        <f t="shared" si="188"/>
        <v>70225</v>
      </c>
      <c r="F272" s="401">
        <f t="shared" si="188"/>
        <v>70337</v>
      </c>
      <c r="G272" s="401">
        <f t="shared" si="188"/>
        <v>70425</v>
      </c>
      <c r="H272" s="401">
        <f t="shared" si="188"/>
        <v>68747</v>
      </c>
      <c r="I272" s="401">
        <f t="shared" si="188"/>
        <v>68686</v>
      </c>
      <c r="J272" s="401">
        <f t="shared" ref="J272:K272" si="189">J244+J250+J257+SUM(J259:J261)+J266</f>
        <v>69303</v>
      </c>
      <c r="K272" s="401">
        <f t="shared" si="189"/>
        <v>69791</v>
      </c>
      <c r="L272" s="401">
        <f t="shared" ref="L272" si="190">L244+L250+L257+SUM(L259:L261)+L266</f>
        <v>69763</v>
      </c>
      <c r="R272" s="4"/>
    </row>
    <row r="273" spans="1:18">
      <c r="A273" s="398" t="s">
        <v>7350</v>
      </c>
      <c r="D273" s="401">
        <f t="shared" ref="D273:I273" si="191">D249</f>
        <v>9617</v>
      </c>
      <c r="E273" s="401">
        <f t="shared" si="191"/>
        <v>9657</v>
      </c>
      <c r="F273" s="401">
        <f t="shared" si="191"/>
        <v>9668</v>
      </c>
      <c r="G273" s="401">
        <f t="shared" si="191"/>
        <v>9774</v>
      </c>
      <c r="H273" s="401">
        <f t="shared" si="191"/>
        <v>9536</v>
      </c>
      <c r="I273" s="401">
        <f t="shared" si="191"/>
        <v>9444</v>
      </c>
      <c r="J273" s="401">
        <f t="shared" ref="J273:K273" si="192">J249</f>
        <v>9607</v>
      </c>
      <c r="K273" s="401">
        <f t="shared" si="192"/>
        <v>9610</v>
      </c>
      <c r="L273" s="401">
        <f t="shared" ref="L273" si="193">L249</f>
        <v>9427</v>
      </c>
      <c r="P273" s="4"/>
      <c r="R273" s="4"/>
    </row>
    <row r="274" spans="1:18">
      <c r="A274" s="398"/>
      <c r="D274" s="401"/>
      <c r="E274" s="401"/>
      <c r="F274" s="401"/>
      <c r="G274" s="401"/>
      <c r="H274" s="401"/>
      <c r="I274" s="401"/>
      <c r="J274" s="401"/>
      <c r="K274" s="401"/>
      <c r="L274" s="401"/>
      <c r="P274" s="4"/>
      <c r="R274" s="4"/>
    </row>
    <row r="275" spans="1:18">
      <c r="A275" s="398" t="s">
        <v>7351</v>
      </c>
      <c r="D275" s="401"/>
      <c r="E275" s="401"/>
      <c r="F275" s="401"/>
      <c r="G275" s="401"/>
      <c r="H275" s="401"/>
      <c r="I275" s="401"/>
      <c r="J275" s="401"/>
      <c r="K275" s="401"/>
      <c r="L275" s="401"/>
      <c r="P275" s="4"/>
      <c r="R275" s="4"/>
    </row>
    <row r="276" spans="1:18">
      <c r="A276" s="398"/>
      <c r="B276" s="398"/>
      <c r="D276" s="410"/>
      <c r="E276" s="410"/>
      <c r="F276" s="410"/>
      <c r="G276" s="410"/>
      <c r="H276" s="410"/>
      <c r="I276" s="410"/>
      <c r="J276" s="410"/>
      <c r="K276" s="410"/>
      <c r="L276" s="410"/>
      <c r="P276" s="4"/>
      <c r="R276" s="4"/>
    </row>
    <row r="277" spans="1:18">
      <c r="A277" s="398"/>
      <c r="B277" s="398"/>
      <c r="D277" s="410"/>
      <c r="E277" s="410"/>
      <c r="F277" s="410"/>
      <c r="G277" s="410"/>
      <c r="H277" s="410"/>
      <c r="I277" s="410"/>
      <c r="J277" s="410"/>
      <c r="K277" s="410"/>
      <c r="L277" s="410"/>
      <c r="P277" s="4"/>
      <c r="R277" s="4"/>
    </row>
    <row r="278" spans="1:18">
      <c r="E278" s="42" t="s">
        <v>2303</v>
      </c>
      <c r="F278" s="42"/>
      <c r="G278" s="42"/>
      <c r="H278" s="42"/>
      <c r="I278" s="42"/>
      <c r="J278" s="42"/>
      <c r="K278" s="42"/>
      <c r="L278" s="42"/>
      <c r="M278" s="43"/>
      <c r="N278" s="43" t="s">
        <v>13319</v>
      </c>
      <c r="P278" s="4"/>
      <c r="R278" s="4"/>
    </row>
    <row r="279" spans="1:18">
      <c r="D279" s="400">
        <v>2010</v>
      </c>
      <c r="E279" s="400">
        <v>2011</v>
      </c>
      <c r="F279" s="400">
        <v>2012</v>
      </c>
      <c r="G279" s="400">
        <v>2013</v>
      </c>
      <c r="H279" s="400">
        <v>2014</v>
      </c>
      <c r="I279" s="400">
        <v>2015</v>
      </c>
      <c r="J279" s="400">
        <v>2016</v>
      </c>
      <c r="K279" s="400">
        <v>2017</v>
      </c>
      <c r="L279" s="400">
        <v>2018</v>
      </c>
      <c r="N279" s="44" t="s">
        <v>2304</v>
      </c>
    </row>
    <row r="280" spans="1:18">
      <c r="A280" s="398" t="s">
        <v>7352</v>
      </c>
      <c r="D280" s="401">
        <f t="shared" ref="D280:I280" si="194">SUM(D281:D304)</f>
        <v>220403</v>
      </c>
      <c r="E280" s="401">
        <f t="shared" si="194"/>
        <v>219710</v>
      </c>
      <c r="F280" s="401">
        <f t="shared" si="194"/>
        <v>222014</v>
      </c>
      <c r="G280" s="401">
        <f t="shared" si="194"/>
        <v>224705</v>
      </c>
      <c r="H280" s="401">
        <f t="shared" si="194"/>
        <v>221702</v>
      </c>
      <c r="I280" s="401">
        <f t="shared" si="194"/>
        <v>221691</v>
      </c>
      <c r="J280" s="401">
        <f t="shared" ref="J280:K280" si="195">SUM(J281:J304)</f>
        <v>215484</v>
      </c>
      <c r="K280" s="401">
        <f t="shared" si="195"/>
        <v>219141</v>
      </c>
      <c r="L280" s="401">
        <f t="shared" ref="L280" si="196">SUM(L281:L304)</f>
        <v>222016</v>
      </c>
    </row>
    <row r="281" spans="1:18">
      <c r="A281" s="398" t="s">
        <v>6957</v>
      </c>
      <c r="B281" s="398" t="s">
        <v>8199</v>
      </c>
      <c r="C281" s="4" t="s">
        <v>9449</v>
      </c>
      <c r="D281" s="402">
        <v>8474</v>
      </c>
      <c r="E281" s="402">
        <v>8431</v>
      </c>
      <c r="F281" s="402">
        <v>8485</v>
      </c>
      <c r="G281" s="402">
        <v>8442</v>
      </c>
      <c r="H281" s="30">
        <v>8297</v>
      </c>
      <c r="I281" s="30">
        <v>8316</v>
      </c>
      <c r="J281" s="30">
        <v>7865</v>
      </c>
      <c r="K281" s="30">
        <v>7996</v>
      </c>
      <c r="L281" s="30">
        <v>8008</v>
      </c>
      <c r="N281" s="398" t="s">
        <v>5434</v>
      </c>
    </row>
    <row r="282" spans="1:18">
      <c r="A282" s="398" t="s">
        <v>6959</v>
      </c>
      <c r="B282" s="398" t="s">
        <v>6251</v>
      </c>
      <c r="C282" s="4" t="s">
        <v>9450</v>
      </c>
      <c r="D282" s="402">
        <v>9298</v>
      </c>
      <c r="E282" s="402">
        <v>9276</v>
      </c>
      <c r="F282" s="402">
        <v>9330</v>
      </c>
      <c r="G282" s="402">
        <v>9474</v>
      </c>
      <c r="H282" s="30">
        <v>9369</v>
      </c>
      <c r="I282" s="30">
        <v>9388</v>
      </c>
      <c r="J282" s="30">
        <v>9124</v>
      </c>
      <c r="K282" s="30">
        <v>9314</v>
      </c>
      <c r="L282" s="30">
        <v>9354</v>
      </c>
      <c r="N282" s="398" t="s">
        <v>3704</v>
      </c>
    </row>
    <row r="283" spans="1:18">
      <c r="A283" s="398" t="s">
        <v>6961</v>
      </c>
      <c r="B283" s="398" t="s">
        <v>7353</v>
      </c>
      <c r="C283" s="4" t="s">
        <v>9451</v>
      </c>
      <c r="D283" s="402">
        <v>9210</v>
      </c>
      <c r="E283" s="402">
        <v>9123</v>
      </c>
      <c r="F283" s="402">
        <v>9145</v>
      </c>
      <c r="G283" s="402">
        <v>9232</v>
      </c>
      <c r="H283" s="30">
        <v>9159</v>
      </c>
      <c r="I283" s="30">
        <v>9121</v>
      </c>
      <c r="J283" s="30">
        <v>8851</v>
      </c>
      <c r="K283" s="30">
        <v>9013</v>
      </c>
      <c r="L283" s="30">
        <v>9016</v>
      </c>
      <c r="N283" s="398" t="s">
        <v>5434</v>
      </c>
    </row>
    <row r="284" spans="1:18">
      <c r="A284" s="398" t="s">
        <v>6963</v>
      </c>
      <c r="B284" s="398" t="s">
        <v>7354</v>
      </c>
      <c r="C284" s="4" t="s">
        <v>9452</v>
      </c>
      <c r="D284" s="402">
        <v>9316</v>
      </c>
      <c r="E284" s="402">
        <v>9309</v>
      </c>
      <c r="F284" s="402">
        <v>9361</v>
      </c>
      <c r="G284" s="402">
        <v>9435</v>
      </c>
      <c r="H284" s="30">
        <v>9241</v>
      </c>
      <c r="I284" s="30">
        <v>9258</v>
      </c>
      <c r="J284" s="30">
        <v>9132</v>
      </c>
      <c r="K284" s="30">
        <v>9181</v>
      </c>
      <c r="L284" s="30">
        <v>9269</v>
      </c>
      <c r="N284" s="398" t="s">
        <v>5435</v>
      </c>
    </row>
    <row r="285" spans="1:18">
      <c r="A285" s="398" t="s">
        <v>6965</v>
      </c>
      <c r="B285" s="398" t="s">
        <v>7355</v>
      </c>
      <c r="C285" s="4" t="s">
        <v>9453</v>
      </c>
      <c r="D285" s="402">
        <v>10003</v>
      </c>
      <c r="E285" s="402">
        <v>9989</v>
      </c>
      <c r="F285" s="402">
        <v>10160</v>
      </c>
      <c r="G285" s="402">
        <v>10336</v>
      </c>
      <c r="H285" s="30">
        <v>10173</v>
      </c>
      <c r="I285" s="30">
        <v>10151</v>
      </c>
      <c r="J285" s="30">
        <v>9982</v>
      </c>
      <c r="K285" s="30">
        <v>10150</v>
      </c>
      <c r="L285" s="30">
        <v>10268</v>
      </c>
      <c r="N285" s="398" t="s">
        <v>3704</v>
      </c>
    </row>
    <row r="286" spans="1:18">
      <c r="A286" s="398" t="s">
        <v>6997</v>
      </c>
      <c r="B286" s="398" t="s">
        <v>7356</v>
      </c>
      <c r="C286" s="4" t="s">
        <v>9454</v>
      </c>
      <c r="D286" s="402">
        <v>9127</v>
      </c>
      <c r="E286" s="402">
        <v>9085</v>
      </c>
      <c r="F286" s="402">
        <v>9060</v>
      </c>
      <c r="G286" s="402">
        <v>9137</v>
      </c>
      <c r="H286" s="30">
        <v>9027</v>
      </c>
      <c r="I286" s="30">
        <v>8989</v>
      </c>
      <c r="J286" s="30">
        <v>8741</v>
      </c>
      <c r="K286" s="30">
        <v>8812</v>
      </c>
      <c r="L286" s="30">
        <v>8878</v>
      </c>
      <c r="N286" s="398" t="s">
        <v>5435</v>
      </c>
      <c r="P286" s="4"/>
    </row>
    <row r="287" spans="1:18">
      <c r="A287" s="398" t="s">
        <v>6999</v>
      </c>
      <c r="B287" s="398" t="s">
        <v>5580</v>
      </c>
      <c r="C287" s="4" t="s">
        <v>9455</v>
      </c>
      <c r="D287" s="402">
        <v>9772</v>
      </c>
      <c r="E287" s="402">
        <v>9708</v>
      </c>
      <c r="F287" s="402">
        <v>9752</v>
      </c>
      <c r="G287" s="402">
        <v>9877</v>
      </c>
      <c r="H287" s="30">
        <v>9725</v>
      </c>
      <c r="I287" s="30">
        <v>9732</v>
      </c>
      <c r="J287" s="30">
        <v>9438</v>
      </c>
      <c r="K287" s="30">
        <v>9689</v>
      </c>
      <c r="L287" s="30">
        <v>9907</v>
      </c>
      <c r="N287" s="398" t="s">
        <v>5435</v>
      </c>
      <c r="P287" s="4"/>
    </row>
    <row r="288" spans="1:18">
      <c r="A288" s="398" t="s">
        <v>7001</v>
      </c>
      <c r="B288" s="398" t="s">
        <v>5581</v>
      </c>
      <c r="C288" s="4" t="s">
        <v>9456</v>
      </c>
      <c r="D288" s="402">
        <v>9560</v>
      </c>
      <c r="E288" s="402">
        <v>9517</v>
      </c>
      <c r="F288" s="402">
        <v>9574</v>
      </c>
      <c r="G288" s="402">
        <v>9685</v>
      </c>
      <c r="H288" s="31">
        <v>9540</v>
      </c>
      <c r="I288" s="31">
        <v>9508</v>
      </c>
      <c r="J288" s="31">
        <v>9166</v>
      </c>
      <c r="K288" s="31">
        <v>9235</v>
      </c>
      <c r="L288" s="31">
        <v>9286</v>
      </c>
      <c r="N288" s="398" t="s">
        <v>5436</v>
      </c>
      <c r="P288" s="4"/>
    </row>
    <row r="289" spans="1:18">
      <c r="A289" s="398" t="s">
        <v>7003</v>
      </c>
      <c r="B289" s="398" t="s">
        <v>5582</v>
      </c>
      <c r="C289" s="4" t="s">
        <v>9457</v>
      </c>
      <c r="D289" s="402">
        <v>7782</v>
      </c>
      <c r="E289" s="402">
        <v>7702</v>
      </c>
      <c r="F289" s="402">
        <v>7810</v>
      </c>
      <c r="G289" s="402">
        <v>8028</v>
      </c>
      <c r="H289" s="30">
        <v>8029</v>
      </c>
      <c r="I289" s="30">
        <v>8049</v>
      </c>
      <c r="J289" s="30">
        <v>8042</v>
      </c>
      <c r="K289" s="30">
        <v>8212</v>
      </c>
      <c r="L289" s="30">
        <v>8484</v>
      </c>
      <c r="N289" s="398" t="s">
        <v>5435</v>
      </c>
      <c r="P289" s="4"/>
    </row>
    <row r="290" spans="1:18">
      <c r="A290" s="398" t="s">
        <v>7005</v>
      </c>
      <c r="B290" s="398" t="s">
        <v>5583</v>
      </c>
      <c r="C290" s="4" t="s">
        <v>9458</v>
      </c>
      <c r="D290" s="402">
        <v>9451</v>
      </c>
      <c r="E290" s="402">
        <v>9476</v>
      </c>
      <c r="F290" s="402">
        <v>9623</v>
      </c>
      <c r="G290" s="402">
        <v>9780</v>
      </c>
      <c r="H290" s="30">
        <v>9676</v>
      </c>
      <c r="I290" s="30">
        <v>9639</v>
      </c>
      <c r="J290" s="30">
        <v>9379</v>
      </c>
      <c r="K290" s="30">
        <v>9455</v>
      </c>
      <c r="L290" s="30">
        <v>9511</v>
      </c>
      <c r="N290" s="398" t="s">
        <v>5435</v>
      </c>
      <c r="P290" s="4"/>
    </row>
    <row r="291" spans="1:18">
      <c r="A291" s="398" t="s">
        <v>7007</v>
      </c>
      <c r="B291" s="398" t="s">
        <v>5584</v>
      </c>
      <c r="C291" s="4" t="s">
        <v>9459</v>
      </c>
      <c r="D291" s="409">
        <v>9109</v>
      </c>
      <c r="E291" s="409">
        <v>9137</v>
      </c>
      <c r="F291" s="409">
        <v>9235</v>
      </c>
      <c r="G291" s="409">
        <v>9304</v>
      </c>
      <c r="H291" s="30">
        <v>9134</v>
      </c>
      <c r="I291" s="30">
        <v>9131</v>
      </c>
      <c r="J291" s="30">
        <v>8958</v>
      </c>
      <c r="K291" s="30">
        <v>9158</v>
      </c>
      <c r="L291" s="30">
        <v>9248</v>
      </c>
      <c r="N291" s="398" t="s">
        <v>5434</v>
      </c>
    </row>
    <row r="292" spans="1:18">
      <c r="A292" s="398" t="s">
        <v>7009</v>
      </c>
      <c r="B292" s="398" t="s">
        <v>5630</v>
      </c>
      <c r="C292" s="4" t="s">
        <v>9460</v>
      </c>
      <c r="D292" s="402">
        <v>8889</v>
      </c>
      <c r="E292" s="402">
        <v>8813</v>
      </c>
      <c r="F292" s="402">
        <v>8872</v>
      </c>
      <c r="G292" s="402">
        <v>8933</v>
      </c>
      <c r="H292" s="31">
        <v>8818</v>
      </c>
      <c r="I292" s="31">
        <v>8771</v>
      </c>
      <c r="J292" s="31">
        <v>8544</v>
      </c>
      <c r="K292" s="31">
        <v>8662</v>
      </c>
      <c r="L292" s="31">
        <v>8749</v>
      </c>
      <c r="N292" s="398" t="s">
        <v>5435</v>
      </c>
      <c r="P292" s="4"/>
      <c r="R292" s="4"/>
    </row>
    <row r="293" spans="1:18">
      <c r="A293" s="398" t="s">
        <v>7011</v>
      </c>
      <c r="B293" s="398" t="s">
        <v>5585</v>
      </c>
      <c r="C293" s="4" t="s">
        <v>9461</v>
      </c>
      <c r="D293" s="402">
        <v>9134</v>
      </c>
      <c r="E293" s="402">
        <v>9141</v>
      </c>
      <c r="F293" s="402">
        <v>9263</v>
      </c>
      <c r="G293" s="402">
        <v>9344</v>
      </c>
      <c r="H293" s="30">
        <v>9203</v>
      </c>
      <c r="I293" s="30">
        <v>9186</v>
      </c>
      <c r="J293" s="30">
        <v>8965</v>
      </c>
      <c r="K293" s="30">
        <v>9151</v>
      </c>
      <c r="L293" s="30">
        <v>9204</v>
      </c>
      <c r="N293" s="398" t="s">
        <v>5434</v>
      </c>
      <c r="R293" s="4"/>
    </row>
    <row r="294" spans="1:18">
      <c r="A294" s="398" t="s">
        <v>7013</v>
      </c>
      <c r="B294" s="398" t="s">
        <v>5586</v>
      </c>
      <c r="C294" s="4" t="s">
        <v>9462</v>
      </c>
      <c r="D294" s="402">
        <v>9160</v>
      </c>
      <c r="E294" s="402">
        <v>9218</v>
      </c>
      <c r="F294" s="402">
        <v>9371</v>
      </c>
      <c r="G294" s="402">
        <v>9449</v>
      </c>
      <c r="H294" s="31">
        <v>9393</v>
      </c>
      <c r="I294" s="31">
        <v>9403</v>
      </c>
      <c r="J294" s="31">
        <v>9188</v>
      </c>
      <c r="K294" s="31">
        <v>9332</v>
      </c>
      <c r="L294" s="31">
        <v>9606</v>
      </c>
      <c r="N294" s="398" t="s">
        <v>5436</v>
      </c>
      <c r="P294" s="4"/>
      <c r="R294" s="4"/>
    </row>
    <row r="295" spans="1:18">
      <c r="A295" s="398" t="s">
        <v>7015</v>
      </c>
      <c r="B295" s="398" t="s">
        <v>5587</v>
      </c>
      <c r="C295" s="4" t="s">
        <v>9463</v>
      </c>
      <c r="D295" s="402">
        <v>9295</v>
      </c>
      <c r="E295" s="402">
        <v>9109</v>
      </c>
      <c r="F295" s="402">
        <v>9241</v>
      </c>
      <c r="G295" s="402">
        <v>9309</v>
      </c>
      <c r="H295" s="31">
        <v>9150</v>
      </c>
      <c r="I295" s="31">
        <v>9127</v>
      </c>
      <c r="J295" s="31">
        <v>8856</v>
      </c>
      <c r="K295" s="31">
        <v>8931</v>
      </c>
      <c r="L295" s="31">
        <v>9035</v>
      </c>
      <c r="N295" s="398" t="s">
        <v>5436</v>
      </c>
      <c r="P295" s="4"/>
      <c r="R295" s="4"/>
    </row>
    <row r="296" spans="1:18">
      <c r="A296" s="398" t="s">
        <v>7017</v>
      </c>
      <c r="B296" s="398" t="s">
        <v>1630</v>
      </c>
      <c r="C296" s="4" t="s">
        <v>9464</v>
      </c>
      <c r="D296" s="402">
        <v>9180</v>
      </c>
      <c r="E296" s="402">
        <v>9164</v>
      </c>
      <c r="F296" s="402">
        <v>9234</v>
      </c>
      <c r="G296" s="402">
        <v>9262</v>
      </c>
      <c r="H296" s="30">
        <v>9156</v>
      </c>
      <c r="I296" s="30">
        <v>9192</v>
      </c>
      <c r="J296" s="30">
        <v>9036</v>
      </c>
      <c r="K296" s="30">
        <v>9123</v>
      </c>
      <c r="L296" s="30">
        <v>9329</v>
      </c>
      <c r="N296" s="398" t="s">
        <v>3704</v>
      </c>
      <c r="R296" s="4"/>
    </row>
    <row r="297" spans="1:18">
      <c r="A297" s="398" t="s">
        <v>7019</v>
      </c>
      <c r="B297" s="398" t="s">
        <v>4074</v>
      </c>
      <c r="C297" s="4" t="s">
        <v>9465</v>
      </c>
      <c r="D297" s="402">
        <v>9155</v>
      </c>
      <c r="E297" s="402">
        <v>9163</v>
      </c>
      <c r="F297" s="402">
        <v>9349</v>
      </c>
      <c r="G297" s="402">
        <v>9481</v>
      </c>
      <c r="H297" s="30">
        <v>9418</v>
      </c>
      <c r="I297" s="30">
        <v>9433</v>
      </c>
      <c r="J297" s="30">
        <v>8960</v>
      </c>
      <c r="K297" s="30">
        <v>9108</v>
      </c>
      <c r="L297" s="30">
        <v>9276</v>
      </c>
      <c r="N297" s="398" t="s">
        <v>5434</v>
      </c>
      <c r="R297" s="4"/>
    </row>
    <row r="298" spans="1:18">
      <c r="A298" s="398" t="s">
        <v>7021</v>
      </c>
      <c r="B298" s="398" t="s">
        <v>3857</v>
      </c>
      <c r="C298" s="4" t="s">
        <v>9466</v>
      </c>
      <c r="D298" s="402">
        <v>9432</v>
      </c>
      <c r="E298" s="402">
        <v>9409</v>
      </c>
      <c r="F298" s="402">
        <v>9496</v>
      </c>
      <c r="G298" s="402">
        <v>9586</v>
      </c>
      <c r="H298" s="30">
        <v>9417</v>
      </c>
      <c r="I298" s="30">
        <v>9424</v>
      </c>
      <c r="J298" s="30">
        <v>9014</v>
      </c>
      <c r="K298" s="30">
        <v>9141</v>
      </c>
      <c r="L298" s="30">
        <v>9207</v>
      </c>
      <c r="N298" s="398" t="s">
        <v>5434</v>
      </c>
      <c r="R298" s="4"/>
    </row>
    <row r="299" spans="1:18">
      <c r="A299" s="398" t="s">
        <v>7023</v>
      </c>
      <c r="B299" s="398" t="s">
        <v>3858</v>
      </c>
      <c r="C299" s="4" t="s">
        <v>9467</v>
      </c>
      <c r="D299" s="402">
        <v>8718</v>
      </c>
      <c r="E299" s="402">
        <v>8620</v>
      </c>
      <c r="F299" s="402">
        <v>8888</v>
      </c>
      <c r="G299" s="402">
        <v>9113</v>
      </c>
      <c r="H299" s="30">
        <v>9014</v>
      </c>
      <c r="I299" s="30">
        <v>9057</v>
      </c>
      <c r="J299" s="30">
        <v>8733</v>
      </c>
      <c r="K299" s="30">
        <v>9066</v>
      </c>
      <c r="L299" s="30">
        <v>9260</v>
      </c>
      <c r="N299" s="398" t="s">
        <v>5434</v>
      </c>
      <c r="R299" s="4"/>
    </row>
    <row r="300" spans="1:18">
      <c r="A300" s="398" t="s">
        <v>7025</v>
      </c>
      <c r="B300" s="398" t="s">
        <v>3859</v>
      </c>
      <c r="C300" s="4" t="s">
        <v>9468</v>
      </c>
      <c r="D300" s="402">
        <v>9552</v>
      </c>
      <c r="E300" s="402">
        <v>9738</v>
      </c>
      <c r="F300" s="402">
        <v>9888</v>
      </c>
      <c r="G300" s="402">
        <v>10004</v>
      </c>
      <c r="H300" s="31">
        <v>9834</v>
      </c>
      <c r="I300" s="31">
        <v>9869</v>
      </c>
      <c r="J300" s="31">
        <v>9619</v>
      </c>
      <c r="K300" s="31">
        <v>9853</v>
      </c>
      <c r="L300" s="31">
        <v>10056</v>
      </c>
      <c r="N300" s="398" t="s">
        <v>5436</v>
      </c>
      <c r="P300" s="4"/>
      <c r="R300" s="4"/>
    </row>
    <row r="301" spans="1:18">
      <c r="A301" s="398" t="s">
        <v>7570</v>
      </c>
      <c r="B301" s="398" t="s">
        <v>3860</v>
      </c>
      <c r="C301" s="4" t="s">
        <v>9469</v>
      </c>
      <c r="D301" s="402">
        <v>9326</v>
      </c>
      <c r="E301" s="402">
        <v>9226</v>
      </c>
      <c r="F301" s="402">
        <v>9186</v>
      </c>
      <c r="G301" s="402">
        <v>9253</v>
      </c>
      <c r="H301" s="31">
        <v>9064</v>
      </c>
      <c r="I301" s="31">
        <v>9051</v>
      </c>
      <c r="J301" s="31">
        <v>8850</v>
      </c>
      <c r="K301" s="31">
        <v>8953</v>
      </c>
      <c r="L301" s="31">
        <v>9040</v>
      </c>
      <c r="N301" s="398" t="s">
        <v>5436</v>
      </c>
      <c r="P301" s="4"/>
      <c r="R301" s="4"/>
    </row>
    <row r="302" spans="1:18">
      <c r="A302" s="398" t="s">
        <v>7572</v>
      </c>
      <c r="B302" s="398" t="s">
        <v>8248</v>
      </c>
      <c r="C302" s="4" t="s">
        <v>9470</v>
      </c>
      <c r="D302" s="402">
        <v>9166</v>
      </c>
      <c r="E302" s="402">
        <v>9176</v>
      </c>
      <c r="F302" s="402">
        <v>9265</v>
      </c>
      <c r="G302" s="402">
        <v>9449</v>
      </c>
      <c r="H302" s="31">
        <v>9299</v>
      </c>
      <c r="I302" s="31">
        <v>9296</v>
      </c>
      <c r="J302" s="31">
        <v>8959</v>
      </c>
      <c r="K302" s="31">
        <v>9116</v>
      </c>
      <c r="L302" s="31">
        <v>9168</v>
      </c>
      <c r="N302" s="398" t="s">
        <v>5436</v>
      </c>
      <c r="P302" s="4"/>
      <c r="R302" s="4"/>
    </row>
    <row r="303" spans="1:18">
      <c r="A303" s="398" t="s">
        <v>7573</v>
      </c>
      <c r="B303" s="398" t="s">
        <v>8249</v>
      </c>
      <c r="C303" s="4" t="s">
        <v>9471</v>
      </c>
      <c r="D303" s="409">
        <v>9413</v>
      </c>
      <c r="E303" s="409">
        <v>9265</v>
      </c>
      <c r="F303" s="409">
        <v>9439</v>
      </c>
      <c r="G303" s="409">
        <v>9593</v>
      </c>
      <c r="H303" s="31">
        <v>9441</v>
      </c>
      <c r="I303" s="31">
        <v>9451</v>
      </c>
      <c r="J303" s="31">
        <v>9325</v>
      </c>
      <c r="K303" s="31">
        <v>9533</v>
      </c>
      <c r="L303" s="31">
        <v>9648</v>
      </c>
      <c r="N303" s="398" t="s">
        <v>5436</v>
      </c>
      <c r="P303" s="4"/>
      <c r="R303" s="4"/>
    </row>
    <row r="304" spans="1:18">
      <c r="A304" s="398" t="s">
        <v>5798</v>
      </c>
      <c r="B304" s="398" t="s">
        <v>8250</v>
      </c>
      <c r="C304" s="4" t="s">
        <v>9472</v>
      </c>
      <c r="D304" s="402">
        <v>8881</v>
      </c>
      <c r="E304" s="402">
        <v>8915</v>
      </c>
      <c r="F304" s="402">
        <v>8987</v>
      </c>
      <c r="G304" s="402">
        <v>9199</v>
      </c>
      <c r="H304" s="31">
        <v>9125</v>
      </c>
      <c r="I304" s="31">
        <v>9149</v>
      </c>
      <c r="J304" s="31">
        <v>8757</v>
      </c>
      <c r="K304" s="31">
        <v>8957</v>
      </c>
      <c r="L304" s="31">
        <v>9209</v>
      </c>
      <c r="N304" s="398" t="s">
        <v>5435</v>
      </c>
      <c r="P304" s="4"/>
      <c r="R304" s="4"/>
    </row>
    <row r="305" spans="1:18">
      <c r="D305" s="402"/>
      <c r="E305" s="402"/>
      <c r="F305" s="402"/>
      <c r="G305" s="402"/>
      <c r="H305" s="402"/>
      <c r="I305" s="402"/>
      <c r="J305" s="402"/>
      <c r="K305" s="402"/>
      <c r="L305" s="402"/>
      <c r="P305" s="4"/>
      <c r="R305" s="4"/>
    </row>
    <row r="306" spans="1:18">
      <c r="A306" s="398" t="s">
        <v>7349</v>
      </c>
      <c r="D306" s="401">
        <f t="shared" ref="D306:I306" si="197">D282+D285+D296</f>
        <v>28481</v>
      </c>
      <c r="E306" s="401">
        <f t="shared" si="197"/>
        <v>28429</v>
      </c>
      <c r="F306" s="401">
        <f t="shared" si="197"/>
        <v>28724</v>
      </c>
      <c r="G306" s="401">
        <f t="shared" si="197"/>
        <v>29072</v>
      </c>
      <c r="H306" s="401">
        <f t="shared" si="197"/>
        <v>28698</v>
      </c>
      <c r="I306" s="401">
        <f t="shared" si="197"/>
        <v>28731</v>
      </c>
      <c r="J306" s="401">
        <f t="shared" ref="J306:K306" si="198">J282+J285+J296</f>
        <v>28142</v>
      </c>
      <c r="K306" s="401">
        <f t="shared" si="198"/>
        <v>28587</v>
      </c>
      <c r="L306" s="401">
        <f t="shared" ref="L306" si="199">L282+L285+L296</f>
        <v>28951</v>
      </c>
      <c r="P306" s="4"/>
      <c r="R306" s="4"/>
    </row>
    <row r="307" spans="1:18">
      <c r="A307" s="398" t="s">
        <v>5434</v>
      </c>
      <c r="D307" s="401">
        <f t="shared" ref="D307:I307" si="200">D281+D283+D291+D293+SUM(D297:D299)</f>
        <v>63232</v>
      </c>
      <c r="E307" s="401">
        <f t="shared" si="200"/>
        <v>63024</v>
      </c>
      <c r="F307" s="401">
        <f t="shared" si="200"/>
        <v>63861</v>
      </c>
      <c r="G307" s="401">
        <f t="shared" si="200"/>
        <v>64502</v>
      </c>
      <c r="H307" s="401">
        <f t="shared" si="200"/>
        <v>63642</v>
      </c>
      <c r="I307" s="401">
        <f t="shared" si="200"/>
        <v>63668</v>
      </c>
      <c r="J307" s="401">
        <f t="shared" ref="J307:K307" si="201">J281+J283+J291+J293+SUM(J297:J299)</f>
        <v>61346</v>
      </c>
      <c r="K307" s="401">
        <f t="shared" si="201"/>
        <v>62633</v>
      </c>
      <c r="L307" s="401">
        <f t="shared" ref="L307" si="202">L281+L283+L291+L293+SUM(L297:L299)</f>
        <v>63219</v>
      </c>
      <c r="P307" s="4"/>
      <c r="R307" s="4"/>
    </row>
    <row r="308" spans="1:18">
      <c r="A308" s="398" t="s">
        <v>5435</v>
      </c>
      <c r="D308" s="401">
        <f t="shared" ref="D308:I308" si="203">D284+D286+D287+D289+D290+D292+D304</f>
        <v>63218</v>
      </c>
      <c r="E308" s="401">
        <f t="shared" si="203"/>
        <v>63008</v>
      </c>
      <c r="F308" s="401">
        <f t="shared" si="203"/>
        <v>63465</v>
      </c>
      <c r="G308" s="401">
        <f t="shared" si="203"/>
        <v>64389</v>
      </c>
      <c r="H308" s="401">
        <f t="shared" si="203"/>
        <v>63641</v>
      </c>
      <c r="I308" s="401">
        <f t="shared" si="203"/>
        <v>63587</v>
      </c>
      <c r="J308" s="401">
        <f t="shared" ref="J308:K308" si="204">J284+J286+J287+J289+J290+J292+J304</f>
        <v>62033</v>
      </c>
      <c r="K308" s="401">
        <f t="shared" si="204"/>
        <v>62968</v>
      </c>
      <c r="L308" s="401">
        <f t="shared" ref="L308" si="205">L284+L286+L287+L289+L290+L292+L304</f>
        <v>64007</v>
      </c>
      <c r="R308" s="4"/>
    </row>
    <row r="309" spans="1:18">
      <c r="A309" s="398" t="s">
        <v>5436</v>
      </c>
      <c r="D309" s="401">
        <f t="shared" ref="D309:I309" si="206">D288+D294+D295+SUM(D300:D303)</f>
        <v>65472</v>
      </c>
      <c r="E309" s="401">
        <f t="shared" si="206"/>
        <v>65249</v>
      </c>
      <c r="F309" s="401">
        <f t="shared" si="206"/>
        <v>65964</v>
      </c>
      <c r="G309" s="401">
        <f t="shared" si="206"/>
        <v>66742</v>
      </c>
      <c r="H309" s="401">
        <f t="shared" si="206"/>
        <v>65721</v>
      </c>
      <c r="I309" s="401">
        <f t="shared" si="206"/>
        <v>65705</v>
      </c>
      <c r="J309" s="401">
        <f t="shared" ref="J309:K309" si="207">J288+J294+J295+SUM(J300:J303)</f>
        <v>63963</v>
      </c>
      <c r="K309" s="401">
        <f t="shared" si="207"/>
        <v>64953</v>
      </c>
      <c r="L309" s="401">
        <f t="shared" ref="L309" si="208">L288+L294+L295+SUM(L300:L303)</f>
        <v>65839</v>
      </c>
      <c r="P309" s="4"/>
      <c r="R309" s="4"/>
    </row>
    <row r="310" spans="1:18">
      <c r="A310" s="398"/>
      <c r="D310" s="401"/>
      <c r="E310" s="401"/>
      <c r="F310" s="401"/>
      <c r="G310" s="401"/>
      <c r="H310" s="401"/>
      <c r="I310" s="401"/>
      <c r="J310" s="401"/>
      <c r="K310" s="401"/>
      <c r="L310" s="401"/>
      <c r="P310" s="4"/>
      <c r="R310" s="4"/>
    </row>
    <row r="311" spans="1:18">
      <c r="A311" s="398" t="s">
        <v>3876</v>
      </c>
      <c r="D311" s="401"/>
      <c r="E311" s="401"/>
      <c r="F311" s="401"/>
      <c r="G311" s="401"/>
      <c r="H311" s="401"/>
      <c r="I311" s="401"/>
      <c r="J311" s="401"/>
      <c r="K311" s="401"/>
      <c r="L311" s="401"/>
      <c r="P311" s="4"/>
      <c r="R311" s="4"/>
    </row>
    <row r="312" spans="1:18">
      <c r="A312" s="398"/>
      <c r="B312" s="398"/>
      <c r="D312" s="410"/>
      <c r="E312" s="410"/>
      <c r="F312" s="410"/>
      <c r="G312" s="410"/>
      <c r="H312" s="410"/>
      <c r="I312" s="410"/>
      <c r="J312" s="410"/>
      <c r="K312" s="410"/>
      <c r="L312" s="410"/>
      <c r="P312" s="4"/>
      <c r="R312" s="4"/>
    </row>
    <row r="313" spans="1:18">
      <c r="A313" s="398"/>
      <c r="B313" s="398"/>
      <c r="D313" s="410"/>
      <c r="E313" s="410"/>
      <c r="F313" s="410"/>
      <c r="G313" s="410"/>
      <c r="H313" s="410"/>
      <c r="I313" s="410"/>
      <c r="J313" s="410"/>
      <c r="K313" s="410"/>
      <c r="L313" s="410"/>
      <c r="P313" s="4"/>
      <c r="R313" s="4"/>
    </row>
    <row r="314" spans="1:18">
      <c r="E314" s="42" t="s">
        <v>2303</v>
      </c>
      <c r="F314" s="42"/>
      <c r="G314" s="42"/>
      <c r="H314" s="42"/>
      <c r="I314" s="42"/>
      <c r="J314" s="42"/>
      <c r="K314" s="42"/>
      <c r="L314" s="42"/>
      <c r="M314" s="43"/>
      <c r="N314" s="43" t="s">
        <v>13319</v>
      </c>
      <c r="P314" s="4"/>
      <c r="R314" s="4"/>
    </row>
    <row r="315" spans="1:18">
      <c r="D315" s="400">
        <v>2010</v>
      </c>
      <c r="E315" s="400">
        <v>2011</v>
      </c>
      <c r="F315" s="400">
        <v>2012</v>
      </c>
      <c r="G315" s="400">
        <v>2013</v>
      </c>
      <c r="H315" s="400">
        <v>2014</v>
      </c>
      <c r="I315" s="400">
        <v>2015</v>
      </c>
      <c r="J315" s="400">
        <v>2016</v>
      </c>
      <c r="K315" s="400">
        <v>2017</v>
      </c>
      <c r="L315" s="400">
        <v>2018</v>
      </c>
      <c r="N315" s="44" t="s">
        <v>2304</v>
      </c>
      <c r="P315" s="4"/>
      <c r="R315" s="4"/>
    </row>
    <row r="316" spans="1:18">
      <c r="A316" s="398" t="s">
        <v>3877</v>
      </c>
      <c r="D316" s="401">
        <f t="shared" ref="D316:I316" si="209">SUM(D317:D333)</f>
        <v>159038</v>
      </c>
      <c r="E316" s="401">
        <f t="shared" si="209"/>
        <v>160782</v>
      </c>
      <c r="F316" s="401">
        <f t="shared" si="209"/>
        <v>157202</v>
      </c>
      <c r="G316" s="401">
        <f t="shared" si="209"/>
        <v>159215</v>
      </c>
      <c r="H316" s="401">
        <f t="shared" si="209"/>
        <v>160752</v>
      </c>
      <c r="I316" s="401">
        <f t="shared" si="209"/>
        <v>156714</v>
      </c>
      <c r="J316" s="401">
        <f t="shared" ref="J316:K316" si="210">SUM(J317:J333)</f>
        <v>153873</v>
      </c>
      <c r="K316" s="401">
        <f t="shared" si="210"/>
        <v>160380</v>
      </c>
      <c r="L316" s="401">
        <f t="shared" ref="L316" si="211">SUM(L317:L333)</f>
        <v>158603</v>
      </c>
    </row>
    <row r="317" spans="1:18">
      <c r="A317" s="398" t="s">
        <v>6957</v>
      </c>
      <c r="B317" s="398" t="s">
        <v>3878</v>
      </c>
      <c r="C317" s="4" t="s">
        <v>9473</v>
      </c>
      <c r="D317" s="402">
        <v>9432</v>
      </c>
      <c r="E317" s="402">
        <v>9527</v>
      </c>
      <c r="F317" s="402">
        <v>9213</v>
      </c>
      <c r="G317" s="30">
        <v>9262</v>
      </c>
      <c r="H317" s="30">
        <v>9374</v>
      </c>
      <c r="I317" s="30">
        <v>9097</v>
      </c>
      <c r="J317" s="30">
        <v>8941</v>
      </c>
      <c r="K317" s="30">
        <v>9519</v>
      </c>
      <c r="L317" s="30">
        <v>9558</v>
      </c>
      <c r="N317" s="398" t="s">
        <v>5415</v>
      </c>
    </row>
    <row r="318" spans="1:18">
      <c r="A318" s="398" t="s">
        <v>6959</v>
      </c>
      <c r="B318" s="398" t="s">
        <v>3879</v>
      </c>
      <c r="C318" s="4" t="s">
        <v>9474</v>
      </c>
      <c r="D318" s="402">
        <v>10047</v>
      </c>
      <c r="E318" s="402">
        <v>10239</v>
      </c>
      <c r="F318" s="402">
        <v>10121</v>
      </c>
      <c r="G318" s="30">
        <v>10075</v>
      </c>
      <c r="H318" s="30">
        <v>10139</v>
      </c>
      <c r="I318" s="30">
        <v>9911</v>
      </c>
      <c r="J318" s="30">
        <v>9760</v>
      </c>
      <c r="K318" s="30">
        <v>10259</v>
      </c>
      <c r="L318" s="30">
        <v>10409</v>
      </c>
      <c r="N318" s="398" t="s">
        <v>5415</v>
      </c>
    </row>
    <row r="319" spans="1:18">
      <c r="A319" s="398" t="s">
        <v>6961</v>
      </c>
      <c r="B319" s="398" t="s">
        <v>3880</v>
      </c>
      <c r="C319" s="4" t="s">
        <v>9475</v>
      </c>
      <c r="D319" s="402">
        <v>9265</v>
      </c>
      <c r="E319" s="402">
        <v>9271</v>
      </c>
      <c r="F319" s="402">
        <v>9108</v>
      </c>
      <c r="G319" s="30">
        <v>9400</v>
      </c>
      <c r="H319" s="30">
        <v>9510</v>
      </c>
      <c r="I319" s="30">
        <v>9384</v>
      </c>
      <c r="J319" s="30">
        <v>9193</v>
      </c>
      <c r="K319" s="30">
        <v>9393</v>
      </c>
      <c r="L319" s="30">
        <v>9312</v>
      </c>
      <c r="N319" s="398" t="s">
        <v>5415</v>
      </c>
    </row>
    <row r="320" spans="1:18">
      <c r="A320" s="398" t="s">
        <v>6963</v>
      </c>
      <c r="B320" s="398" t="s">
        <v>7611</v>
      </c>
      <c r="C320" s="4" t="s">
        <v>9476</v>
      </c>
      <c r="D320" s="402">
        <v>9112</v>
      </c>
      <c r="E320" s="402">
        <v>9236</v>
      </c>
      <c r="F320" s="402">
        <v>9015</v>
      </c>
      <c r="G320" s="30">
        <v>8864</v>
      </c>
      <c r="H320" s="30">
        <v>8887</v>
      </c>
      <c r="I320" s="30">
        <v>8255</v>
      </c>
      <c r="J320" s="30">
        <v>8067</v>
      </c>
      <c r="K320" s="30">
        <v>8658</v>
      </c>
      <c r="L320" s="30">
        <v>8713</v>
      </c>
      <c r="N320" s="398" t="s">
        <v>5415</v>
      </c>
    </row>
    <row r="321" spans="1:18">
      <c r="A321" s="398" t="s">
        <v>6965</v>
      </c>
      <c r="B321" s="398" t="s">
        <v>8449</v>
      </c>
      <c r="C321" s="4" t="s">
        <v>9477</v>
      </c>
      <c r="D321" s="402">
        <v>8712</v>
      </c>
      <c r="E321" s="402">
        <v>8823</v>
      </c>
      <c r="F321" s="402">
        <v>8672</v>
      </c>
      <c r="G321" s="30">
        <v>8863</v>
      </c>
      <c r="H321" s="30">
        <v>8817</v>
      </c>
      <c r="I321" s="30">
        <v>8642</v>
      </c>
      <c r="J321" s="30">
        <v>8686</v>
      </c>
      <c r="K321" s="30">
        <v>8945</v>
      </c>
      <c r="L321" s="30">
        <v>8855</v>
      </c>
      <c r="N321" s="398" t="s">
        <v>5415</v>
      </c>
    </row>
    <row r="322" spans="1:18">
      <c r="A322" s="398" t="s">
        <v>6997</v>
      </c>
      <c r="B322" s="398" t="s">
        <v>5633</v>
      </c>
      <c r="C322" s="4" t="s">
        <v>9478</v>
      </c>
      <c r="D322" s="402">
        <v>9298</v>
      </c>
      <c r="E322" s="402">
        <v>9424</v>
      </c>
      <c r="F322" s="402">
        <v>9233</v>
      </c>
      <c r="G322" s="402">
        <v>9505</v>
      </c>
      <c r="H322" s="30">
        <v>9633</v>
      </c>
      <c r="I322" s="30">
        <v>9398</v>
      </c>
      <c r="J322" s="30">
        <v>9255</v>
      </c>
      <c r="K322" s="30">
        <v>9574</v>
      </c>
      <c r="L322" s="30">
        <v>9371</v>
      </c>
      <c r="N322" s="398" t="s">
        <v>5429</v>
      </c>
    </row>
    <row r="323" spans="1:18">
      <c r="A323" s="398" t="s">
        <v>6999</v>
      </c>
      <c r="B323" s="398" t="s">
        <v>5634</v>
      </c>
      <c r="C323" s="4" t="s">
        <v>9479</v>
      </c>
      <c r="D323" s="402">
        <v>9413</v>
      </c>
      <c r="E323" s="402">
        <v>9455</v>
      </c>
      <c r="F323" s="402">
        <v>8904</v>
      </c>
      <c r="G323" s="402">
        <v>8984</v>
      </c>
      <c r="H323" s="30">
        <v>9166</v>
      </c>
      <c r="I323" s="30">
        <v>8937</v>
      </c>
      <c r="J323" s="30">
        <v>8506</v>
      </c>
      <c r="K323" s="30">
        <v>8769</v>
      </c>
      <c r="L323" s="30">
        <v>8420</v>
      </c>
      <c r="N323" s="398" t="s">
        <v>5415</v>
      </c>
    </row>
    <row r="324" spans="1:18">
      <c r="A324" s="398" t="s">
        <v>7001</v>
      </c>
      <c r="B324" s="398" t="s">
        <v>7943</v>
      </c>
      <c r="C324" s="4" t="s">
        <v>9480</v>
      </c>
      <c r="D324" s="402">
        <v>8294</v>
      </c>
      <c r="E324" s="402">
        <v>8412</v>
      </c>
      <c r="F324" s="402">
        <v>8252</v>
      </c>
      <c r="G324" s="402">
        <v>8416</v>
      </c>
      <c r="H324" s="30">
        <v>8349</v>
      </c>
      <c r="I324" s="30">
        <v>8263</v>
      </c>
      <c r="J324" s="30">
        <v>8183</v>
      </c>
      <c r="K324" s="30">
        <v>8446</v>
      </c>
      <c r="L324" s="30">
        <v>8357</v>
      </c>
      <c r="N324" s="398" t="s">
        <v>5415</v>
      </c>
    </row>
    <row r="325" spans="1:18">
      <c r="A325" s="398" t="s">
        <v>7003</v>
      </c>
      <c r="B325" s="398" t="s">
        <v>5635</v>
      </c>
      <c r="C325" s="4" t="s">
        <v>9481</v>
      </c>
      <c r="D325" s="402">
        <v>10013</v>
      </c>
      <c r="E325" s="402">
        <v>10097</v>
      </c>
      <c r="F325" s="402">
        <v>9741</v>
      </c>
      <c r="G325" s="402">
        <v>9953</v>
      </c>
      <c r="H325" s="30">
        <v>10186</v>
      </c>
      <c r="I325" s="30">
        <v>9871</v>
      </c>
      <c r="J325" s="30">
        <v>9720</v>
      </c>
      <c r="K325" s="30">
        <v>10140</v>
      </c>
      <c r="L325" s="30">
        <v>10046</v>
      </c>
      <c r="N325" s="398" t="s">
        <v>5429</v>
      </c>
    </row>
    <row r="326" spans="1:18">
      <c r="A326" s="398" t="s">
        <v>7005</v>
      </c>
      <c r="B326" s="398" t="s">
        <v>6198</v>
      </c>
      <c r="C326" s="4" t="s">
        <v>9482</v>
      </c>
      <c r="D326" s="402">
        <v>9349</v>
      </c>
      <c r="E326" s="402">
        <v>9499</v>
      </c>
      <c r="F326" s="402">
        <v>9450</v>
      </c>
      <c r="G326" s="402">
        <v>9460</v>
      </c>
      <c r="H326" s="30">
        <v>9536</v>
      </c>
      <c r="I326" s="30">
        <v>9442</v>
      </c>
      <c r="J326" s="30">
        <v>9421</v>
      </c>
      <c r="K326" s="30">
        <v>9829</v>
      </c>
      <c r="L326" s="30">
        <v>9729</v>
      </c>
      <c r="N326" s="398" t="s">
        <v>5415</v>
      </c>
    </row>
    <row r="327" spans="1:18">
      <c r="A327" s="398" t="s">
        <v>7007</v>
      </c>
      <c r="B327" s="398" t="s">
        <v>5636</v>
      </c>
      <c r="C327" s="4" t="s">
        <v>9483</v>
      </c>
      <c r="D327" s="402">
        <v>9720</v>
      </c>
      <c r="E327" s="402">
        <v>9809</v>
      </c>
      <c r="F327" s="402">
        <v>9676</v>
      </c>
      <c r="G327" s="402">
        <v>9888</v>
      </c>
      <c r="H327" s="30">
        <v>9984</v>
      </c>
      <c r="I327" s="30">
        <v>9633</v>
      </c>
      <c r="J327" s="30">
        <v>9528</v>
      </c>
      <c r="K327" s="30">
        <v>9984</v>
      </c>
      <c r="L327" s="30">
        <v>9879</v>
      </c>
      <c r="N327" s="398" t="s">
        <v>5429</v>
      </c>
      <c r="P327" s="4"/>
    </row>
    <row r="328" spans="1:18">
      <c r="A328" s="398" t="s">
        <v>7009</v>
      </c>
      <c r="B328" s="398" t="s">
        <v>5637</v>
      </c>
      <c r="C328" s="4" t="s">
        <v>9484</v>
      </c>
      <c r="D328" s="402">
        <v>10370</v>
      </c>
      <c r="E328" s="402">
        <v>10510</v>
      </c>
      <c r="F328" s="402">
        <v>10373</v>
      </c>
      <c r="G328" s="402">
        <v>10609</v>
      </c>
      <c r="H328" s="31">
        <v>10578</v>
      </c>
      <c r="I328" s="31">
        <v>10518</v>
      </c>
      <c r="J328" s="31">
        <v>10262</v>
      </c>
      <c r="K328" s="31">
        <v>10566</v>
      </c>
      <c r="L328" s="31">
        <v>10469</v>
      </c>
      <c r="N328" s="398" t="s">
        <v>5429</v>
      </c>
      <c r="P328" s="4"/>
      <c r="R328" s="4"/>
    </row>
    <row r="329" spans="1:18">
      <c r="A329" s="398" t="s">
        <v>7011</v>
      </c>
      <c r="B329" s="398" t="s">
        <v>5638</v>
      </c>
      <c r="C329" s="4" t="s">
        <v>9485</v>
      </c>
      <c r="D329" s="402">
        <v>8790</v>
      </c>
      <c r="E329" s="402">
        <v>8906</v>
      </c>
      <c r="F329" s="402">
        <v>8621</v>
      </c>
      <c r="G329" s="402">
        <v>8738</v>
      </c>
      <c r="H329" s="30">
        <v>8903</v>
      </c>
      <c r="I329" s="30">
        <v>8889</v>
      </c>
      <c r="J329" s="30">
        <v>8610</v>
      </c>
      <c r="K329" s="30">
        <v>8884</v>
      </c>
      <c r="L329" s="30">
        <v>8780</v>
      </c>
      <c r="N329" s="398" t="s">
        <v>5429</v>
      </c>
      <c r="P329" s="4"/>
      <c r="R329" s="4"/>
    </row>
    <row r="330" spans="1:18">
      <c r="A330" s="398" t="s">
        <v>7013</v>
      </c>
      <c r="B330" s="398" t="s">
        <v>5639</v>
      </c>
      <c r="C330" s="4" t="s">
        <v>9486</v>
      </c>
      <c r="D330" s="402">
        <v>9916</v>
      </c>
      <c r="E330" s="402">
        <v>10015</v>
      </c>
      <c r="F330" s="402">
        <v>9841</v>
      </c>
      <c r="G330" s="402">
        <v>10077</v>
      </c>
      <c r="H330" s="30">
        <v>10142</v>
      </c>
      <c r="I330" s="30">
        <v>9896</v>
      </c>
      <c r="J330" s="30">
        <v>9519</v>
      </c>
      <c r="K330" s="30">
        <v>9925</v>
      </c>
      <c r="L330" s="30">
        <v>9748</v>
      </c>
      <c r="N330" s="398" t="s">
        <v>5429</v>
      </c>
      <c r="P330" s="4"/>
      <c r="R330" s="4"/>
    </row>
    <row r="331" spans="1:18">
      <c r="A331" s="398" t="s">
        <v>7015</v>
      </c>
      <c r="B331" s="398" t="s">
        <v>5640</v>
      </c>
      <c r="C331" s="4" t="s">
        <v>9487</v>
      </c>
      <c r="D331" s="402">
        <v>9255</v>
      </c>
      <c r="E331" s="402">
        <v>9315</v>
      </c>
      <c r="F331" s="402">
        <v>9057</v>
      </c>
      <c r="G331" s="402">
        <v>9095</v>
      </c>
      <c r="H331" s="30">
        <v>9343</v>
      </c>
      <c r="I331" s="30">
        <v>9271</v>
      </c>
      <c r="J331" s="30">
        <v>9108</v>
      </c>
      <c r="K331" s="30">
        <v>9598</v>
      </c>
      <c r="L331" s="30">
        <v>9470</v>
      </c>
      <c r="N331" s="398" t="s">
        <v>5429</v>
      </c>
      <c r="P331" s="4"/>
      <c r="R331" s="4"/>
    </row>
    <row r="332" spans="1:18">
      <c r="A332" s="398" t="s">
        <v>7017</v>
      </c>
      <c r="B332" s="398" t="s">
        <v>5641</v>
      </c>
      <c r="C332" s="4" t="s">
        <v>9488</v>
      </c>
      <c r="D332" s="402">
        <v>9276</v>
      </c>
      <c r="E332" s="402">
        <v>9278</v>
      </c>
      <c r="F332" s="402">
        <v>9092</v>
      </c>
      <c r="G332" s="402">
        <v>9267</v>
      </c>
      <c r="H332" s="31">
        <v>9384</v>
      </c>
      <c r="I332" s="31">
        <v>9162</v>
      </c>
      <c r="J332" s="31">
        <v>9119</v>
      </c>
      <c r="K332" s="31">
        <v>9441</v>
      </c>
      <c r="L332" s="31">
        <v>9315</v>
      </c>
      <c r="N332" s="398" t="s">
        <v>5429</v>
      </c>
      <c r="P332" s="4"/>
      <c r="R332" s="4"/>
    </row>
    <row r="333" spans="1:18">
      <c r="A333" s="398" t="s">
        <v>7019</v>
      </c>
      <c r="B333" s="398" t="s">
        <v>5642</v>
      </c>
      <c r="C333" s="4" t="s">
        <v>9489</v>
      </c>
      <c r="D333" s="402">
        <v>8776</v>
      </c>
      <c r="E333" s="402">
        <v>8966</v>
      </c>
      <c r="F333" s="402">
        <v>8833</v>
      </c>
      <c r="G333" s="402">
        <v>8759</v>
      </c>
      <c r="H333" s="30">
        <v>8821</v>
      </c>
      <c r="I333" s="30">
        <v>8145</v>
      </c>
      <c r="J333" s="30">
        <v>7995</v>
      </c>
      <c r="K333" s="30">
        <v>8450</v>
      </c>
      <c r="L333" s="30">
        <v>8172</v>
      </c>
      <c r="N333" s="398" t="s">
        <v>5415</v>
      </c>
      <c r="R333" s="4"/>
    </row>
    <row r="334" spans="1:18">
      <c r="D334" s="402"/>
      <c r="E334" s="402"/>
      <c r="F334" s="402"/>
      <c r="G334" s="402"/>
      <c r="H334" s="402"/>
      <c r="I334" s="402"/>
      <c r="J334" s="402"/>
      <c r="K334" s="402"/>
      <c r="L334" s="402"/>
      <c r="P334" s="4"/>
      <c r="R334" s="4"/>
    </row>
    <row r="335" spans="1:18">
      <c r="A335" s="398" t="s">
        <v>5415</v>
      </c>
      <c r="D335" s="401">
        <f t="shared" ref="D335:I335" si="212">SUM(D317:D321)+D323+D324+D326+D333</f>
        <v>82400</v>
      </c>
      <c r="E335" s="401">
        <f t="shared" si="212"/>
        <v>83428</v>
      </c>
      <c r="F335" s="401">
        <f t="shared" si="212"/>
        <v>81568</v>
      </c>
      <c r="G335" s="401">
        <f t="shared" si="212"/>
        <v>82083</v>
      </c>
      <c r="H335" s="401">
        <f t="shared" si="212"/>
        <v>82599</v>
      </c>
      <c r="I335" s="401">
        <f t="shared" si="212"/>
        <v>80076</v>
      </c>
      <c r="J335" s="401">
        <f t="shared" ref="J335:K335" si="213">SUM(J317:J321)+J323+J324+J326+J333</f>
        <v>78752</v>
      </c>
      <c r="K335" s="401">
        <f t="shared" si="213"/>
        <v>82268</v>
      </c>
      <c r="L335" s="401">
        <f t="shared" ref="L335" si="214">SUM(L317:L321)+L323+L324+L326+L333</f>
        <v>81525</v>
      </c>
      <c r="P335" s="4"/>
      <c r="R335" s="4"/>
    </row>
    <row r="336" spans="1:18">
      <c r="A336" s="398" t="s">
        <v>5429</v>
      </c>
      <c r="D336" s="401">
        <f t="shared" ref="D336:I336" si="215">D322+D325+SUM(D327:D332)</f>
        <v>76638</v>
      </c>
      <c r="E336" s="401">
        <f t="shared" si="215"/>
        <v>77354</v>
      </c>
      <c r="F336" s="401">
        <f t="shared" si="215"/>
        <v>75634</v>
      </c>
      <c r="G336" s="401">
        <f t="shared" si="215"/>
        <v>77132</v>
      </c>
      <c r="H336" s="401">
        <f t="shared" si="215"/>
        <v>78153</v>
      </c>
      <c r="I336" s="401">
        <f t="shared" si="215"/>
        <v>76638</v>
      </c>
      <c r="J336" s="401">
        <f t="shared" ref="J336:K336" si="216">J322+J325+SUM(J327:J332)</f>
        <v>75121</v>
      </c>
      <c r="K336" s="401">
        <f t="shared" si="216"/>
        <v>78112</v>
      </c>
      <c r="L336" s="401">
        <f t="shared" ref="L336" si="217">L322+L325+SUM(L327:L332)</f>
        <v>77078</v>
      </c>
      <c r="P336" s="4"/>
      <c r="R336" s="4"/>
    </row>
    <row r="337" spans="1:18">
      <c r="A337" s="398"/>
      <c r="D337" s="401"/>
      <c r="E337" s="401"/>
      <c r="F337" s="401"/>
      <c r="G337" s="401"/>
      <c r="H337" s="401"/>
      <c r="I337" s="401"/>
      <c r="J337" s="401"/>
      <c r="K337" s="401"/>
      <c r="L337" s="401"/>
      <c r="P337" s="4"/>
      <c r="R337" s="4"/>
    </row>
    <row r="338" spans="1:18">
      <c r="A338" s="398" t="s">
        <v>5658</v>
      </c>
      <c r="D338" s="401"/>
      <c r="E338" s="401"/>
      <c r="F338" s="401"/>
      <c r="G338" s="401"/>
      <c r="H338" s="401"/>
      <c r="I338" s="401"/>
      <c r="J338" s="401"/>
      <c r="K338" s="401"/>
      <c r="L338" s="401"/>
      <c r="R338" s="4"/>
    </row>
    <row r="339" spans="1:18">
      <c r="A339" s="398"/>
      <c r="B339" s="398"/>
      <c r="D339" s="410"/>
      <c r="E339" s="410"/>
      <c r="F339" s="410"/>
      <c r="G339" s="410"/>
      <c r="H339" s="410"/>
      <c r="I339" s="410"/>
      <c r="J339" s="410"/>
      <c r="K339" s="410"/>
      <c r="L339" s="410"/>
      <c r="P339" s="4"/>
      <c r="R339" s="4"/>
    </row>
    <row r="340" spans="1:18">
      <c r="A340" s="398"/>
      <c r="B340" s="398"/>
      <c r="D340" s="410"/>
      <c r="E340" s="410"/>
      <c r="F340" s="410"/>
      <c r="G340" s="410"/>
      <c r="H340" s="410"/>
      <c r="I340" s="410"/>
      <c r="J340" s="410"/>
      <c r="K340" s="410"/>
      <c r="L340" s="410"/>
      <c r="P340" s="4"/>
      <c r="R340" s="4"/>
    </row>
    <row r="341" spans="1:18">
      <c r="E341" s="42" t="s">
        <v>2303</v>
      </c>
      <c r="F341" s="42"/>
      <c r="G341" s="42"/>
      <c r="H341" s="42"/>
      <c r="I341" s="42"/>
      <c r="J341" s="42"/>
      <c r="K341" s="42"/>
      <c r="L341" s="42"/>
      <c r="M341" s="43"/>
      <c r="N341" s="43" t="s">
        <v>13319</v>
      </c>
      <c r="P341" s="4"/>
      <c r="R341" s="4"/>
    </row>
    <row r="342" spans="1:18">
      <c r="D342" s="400">
        <v>2010</v>
      </c>
      <c r="E342" s="400">
        <v>2011</v>
      </c>
      <c r="F342" s="400">
        <v>2012</v>
      </c>
      <c r="G342" s="400">
        <v>2013</v>
      </c>
      <c r="H342" s="400">
        <v>2014</v>
      </c>
      <c r="I342" s="400">
        <v>2015</v>
      </c>
      <c r="J342" s="400">
        <v>2016</v>
      </c>
      <c r="K342" s="400">
        <v>2017</v>
      </c>
      <c r="L342" s="400">
        <v>2018</v>
      </c>
      <c r="N342" s="44" t="s">
        <v>2304</v>
      </c>
      <c r="P342" s="4"/>
      <c r="R342" s="4"/>
    </row>
    <row r="343" spans="1:18">
      <c r="A343" s="398" t="s">
        <v>5659</v>
      </c>
      <c r="D343" s="401">
        <f t="shared" ref="D343:I343" si="218">SUM(D344:D363)</f>
        <v>188908</v>
      </c>
      <c r="E343" s="401">
        <f t="shared" si="218"/>
        <v>191056</v>
      </c>
      <c r="F343" s="401">
        <f t="shared" si="218"/>
        <v>195268</v>
      </c>
      <c r="G343" s="401">
        <f t="shared" si="218"/>
        <v>196935</v>
      </c>
      <c r="H343" s="401">
        <f t="shared" si="218"/>
        <v>194347</v>
      </c>
      <c r="I343" s="401">
        <f t="shared" si="218"/>
        <v>193557</v>
      </c>
      <c r="J343" s="401">
        <f t="shared" ref="J343:K343" si="219">SUM(J344:J363)</f>
        <v>186960</v>
      </c>
      <c r="K343" s="401">
        <f t="shared" si="219"/>
        <v>191066</v>
      </c>
      <c r="L343" s="401">
        <f t="shared" ref="L343" si="220">SUM(L344:L363)</f>
        <v>192252</v>
      </c>
      <c r="P343" s="4"/>
      <c r="R343" s="4"/>
    </row>
    <row r="344" spans="1:18">
      <c r="A344" s="398" t="s">
        <v>6957</v>
      </c>
      <c r="B344" s="398" t="s">
        <v>5660</v>
      </c>
      <c r="C344" s="4" t="s">
        <v>9490</v>
      </c>
      <c r="D344" s="402">
        <v>10853</v>
      </c>
      <c r="E344" s="402">
        <v>10907</v>
      </c>
      <c r="F344" s="402">
        <v>11075</v>
      </c>
      <c r="G344" s="402">
        <v>11070</v>
      </c>
      <c r="H344" s="48">
        <v>11067</v>
      </c>
      <c r="I344" s="48">
        <v>10936</v>
      </c>
      <c r="J344" s="48">
        <v>10770</v>
      </c>
      <c r="K344" s="48">
        <v>10938</v>
      </c>
      <c r="L344" s="48">
        <v>11015</v>
      </c>
      <c r="N344" s="398" t="s">
        <v>7217</v>
      </c>
      <c r="P344" s="4"/>
      <c r="R344" s="4"/>
    </row>
    <row r="345" spans="1:18">
      <c r="A345" s="398" t="s">
        <v>6959</v>
      </c>
      <c r="B345" s="398" t="s">
        <v>5661</v>
      </c>
      <c r="C345" s="4" t="s">
        <v>9491</v>
      </c>
      <c r="D345" s="402">
        <v>10093</v>
      </c>
      <c r="E345" s="402">
        <v>10134</v>
      </c>
      <c r="F345" s="402">
        <v>10258</v>
      </c>
      <c r="G345" s="402">
        <v>10471</v>
      </c>
      <c r="H345" s="48">
        <v>10320</v>
      </c>
      <c r="I345" s="48">
        <v>10199</v>
      </c>
      <c r="J345" s="48">
        <v>9918</v>
      </c>
      <c r="K345" s="48">
        <v>10047</v>
      </c>
      <c r="L345" s="48">
        <v>10062</v>
      </c>
      <c r="N345" s="398" t="s">
        <v>7217</v>
      </c>
    </row>
    <row r="346" spans="1:18">
      <c r="A346" s="398" t="s">
        <v>6961</v>
      </c>
      <c r="B346" s="398" t="s">
        <v>5662</v>
      </c>
      <c r="C346" s="4" t="s">
        <v>9492</v>
      </c>
      <c r="D346" s="402">
        <v>8995</v>
      </c>
      <c r="E346" s="402">
        <v>9099</v>
      </c>
      <c r="F346" s="402">
        <v>9342</v>
      </c>
      <c r="G346" s="402">
        <v>9452</v>
      </c>
      <c r="H346" s="48">
        <v>9230</v>
      </c>
      <c r="I346" s="48">
        <v>9194</v>
      </c>
      <c r="J346" s="48">
        <v>8927</v>
      </c>
      <c r="K346" s="48">
        <v>9119</v>
      </c>
      <c r="L346" s="48">
        <v>9160</v>
      </c>
      <c r="N346" s="398" t="s">
        <v>5433</v>
      </c>
      <c r="P346" s="4"/>
    </row>
    <row r="347" spans="1:18">
      <c r="A347" s="398" t="s">
        <v>6963</v>
      </c>
      <c r="B347" s="398" t="s">
        <v>5663</v>
      </c>
      <c r="C347" s="4" t="s">
        <v>9493</v>
      </c>
      <c r="D347" s="402">
        <v>9225</v>
      </c>
      <c r="E347" s="402">
        <v>9361</v>
      </c>
      <c r="F347" s="402">
        <v>9959</v>
      </c>
      <c r="G347" s="402">
        <v>10186</v>
      </c>
      <c r="H347" s="48">
        <v>9793</v>
      </c>
      <c r="I347" s="48">
        <v>9750</v>
      </c>
      <c r="J347" s="48">
        <v>9516</v>
      </c>
      <c r="K347" s="48">
        <v>9795</v>
      </c>
      <c r="L347" s="48">
        <v>9967</v>
      </c>
      <c r="N347" s="398" t="s">
        <v>5432</v>
      </c>
    </row>
    <row r="348" spans="1:18">
      <c r="A348" s="398" t="s">
        <v>6965</v>
      </c>
      <c r="B348" s="398" t="s">
        <v>5664</v>
      </c>
      <c r="C348" s="4" t="s">
        <v>9494</v>
      </c>
      <c r="D348" s="402">
        <v>8301</v>
      </c>
      <c r="E348" s="402">
        <v>8402</v>
      </c>
      <c r="F348" s="402">
        <v>8474</v>
      </c>
      <c r="G348" s="402">
        <v>8712</v>
      </c>
      <c r="H348" s="48">
        <v>8759</v>
      </c>
      <c r="I348" s="48">
        <v>8580</v>
      </c>
      <c r="J348" s="48">
        <v>8023</v>
      </c>
      <c r="K348" s="48">
        <v>8336</v>
      </c>
      <c r="L348" s="48">
        <v>8731</v>
      </c>
      <c r="N348" s="398" t="s">
        <v>5432</v>
      </c>
    </row>
    <row r="349" spans="1:18">
      <c r="A349" s="398" t="s">
        <v>6997</v>
      </c>
      <c r="B349" s="398" t="s">
        <v>3931</v>
      </c>
      <c r="C349" s="4" t="s">
        <v>9495</v>
      </c>
      <c r="D349" s="402">
        <v>8498</v>
      </c>
      <c r="E349" s="402">
        <v>8563</v>
      </c>
      <c r="F349" s="402">
        <v>9026</v>
      </c>
      <c r="G349" s="402">
        <v>9080</v>
      </c>
      <c r="H349" s="48">
        <v>8949</v>
      </c>
      <c r="I349" s="48">
        <v>8902</v>
      </c>
      <c r="J349" s="48">
        <v>8672</v>
      </c>
      <c r="K349" s="48">
        <v>8860</v>
      </c>
      <c r="L349" s="48">
        <v>8825</v>
      </c>
      <c r="N349" s="398" t="s">
        <v>5432</v>
      </c>
    </row>
    <row r="350" spans="1:18">
      <c r="A350" s="398" t="s">
        <v>6999</v>
      </c>
      <c r="B350" s="398" t="s">
        <v>3932</v>
      </c>
      <c r="C350" s="4" t="s">
        <v>9496</v>
      </c>
      <c r="D350" s="402">
        <v>9714</v>
      </c>
      <c r="E350" s="402">
        <v>9709</v>
      </c>
      <c r="F350" s="402">
        <v>9860</v>
      </c>
      <c r="G350" s="402">
        <v>9937</v>
      </c>
      <c r="H350" s="48">
        <v>9820</v>
      </c>
      <c r="I350" s="48">
        <v>9867</v>
      </c>
      <c r="J350" s="48">
        <v>9541</v>
      </c>
      <c r="K350" s="48">
        <v>9703</v>
      </c>
      <c r="L350" s="48">
        <v>9713</v>
      </c>
      <c r="N350" s="398" t="s">
        <v>5432</v>
      </c>
    </row>
    <row r="351" spans="1:18">
      <c r="A351" s="398" t="s">
        <v>7001</v>
      </c>
      <c r="B351" s="398" t="s">
        <v>3924</v>
      </c>
      <c r="C351" s="4" t="s">
        <v>9497</v>
      </c>
      <c r="D351" s="402">
        <v>9497</v>
      </c>
      <c r="E351" s="402">
        <v>9537</v>
      </c>
      <c r="F351" s="402">
        <v>9564</v>
      </c>
      <c r="G351" s="402">
        <v>9606</v>
      </c>
      <c r="H351" s="48">
        <v>9601</v>
      </c>
      <c r="I351" s="48">
        <v>9537</v>
      </c>
      <c r="J351" s="48">
        <v>9218</v>
      </c>
      <c r="K351" s="48">
        <v>9459</v>
      </c>
      <c r="L351" s="48">
        <v>9524</v>
      </c>
      <c r="N351" s="398" t="s">
        <v>7217</v>
      </c>
    </row>
    <row r="352" spans="1:18">
      <c r="A352" s="398" t="s">
        <v>7003</v>
      </c>
      <c r="B352" s="398" t="s">
        <v>3925</v>
      </c>
      <c r="C352" s="4" t="s">
        <v>9498</v>
      </c>
      <c r="D352" s="402">
        <v>9195</v>
      </c>
      <c r="E352" s="402">
        <v>9338</v>
      </c>
      <c r="F352" s="402">
        <v>9639</v>
      </c>
      <c r="G352" s="402">
        <v>9853</v>
      </c>
      <c r="H352" s="48">
        <v>9476</v>
      </c>
      <c r="I352" s="48">
        <v>9544</v>
      </c>
      <c r="J352" s="48">
        <v>9210</v>
      </c>
      <c r="K352" s="48">
        <v>9431</v>
      </c>
      <c r="L352" s="48">
        <v>9551</v>
      </c>
      <c r="N352" s="398" t="s">
        <v>5433</v>
      </c>
      <c r="P352" s="4"/>
    </row>
    <row r="353" spans="1:18">
      <c r="A353" s="398" t="s">
        <v>7005</v>
      </c>
      <c r="B353" s="398" t="s">
        <v>3926</v>
      </c>
      <c r="C353" s="4" t="s">
        <v>9499</v>
      </c>
      <c r="D353" s="402">
        <v>9470</v>
      </c>
      <c r="E353" s="402">
        <v>9563</v>
      </c>
      <c r="F353" s="402">
        <v>9738</v>
      </c>
      <c r="G353" s="402">
        <v>9817</v>
      </c>
      <c r="H353" s="48">
        <v>9572</v>
      </c>
      <c r="I353" s="48">
        <v>9714</v>
      </c>
      <c r="J353" s="48">
        <v>9429</v>
      </c>
      <c r="K353" s="48">
        <v>9580</v>
      </c>
      <c r="L353" s="48">
        <v>9570</v>
      </c>
      <c r="N353" s="398" t="s">
        <v>5433</v>
      </c>
      <c r="P353" s="4"/>
    </row>
    <row r="354" spans="1:18">
      <c r="A354" s="398" t="s">
        <v>7007</v>
      </c>
      <c r="B354" s="398" t="s">
        <v>5655</v>
      </c>
      <c r="C354" s="4" t="s">
        <v>9500</v>
      </c>
      <c r="D354" s="402">
        <v>9930</v>
      </c>
      <c r="E354" s="402">
        <v>10272</v>
      </c>
      <c r="F354" s="402">
        <v>10569</v>
      </c>
      <c r="G354" s="402">
        <v>10572</v>
      </c>
      <c r="H354" s="48">
        <v>10429</v>
      </c>
      <c r="I354" s="48">
        <v>10422</v>
      </c>
      <c r="J354" s="48">
        <v>9880</v>
      </c>
      <c r="K354" s="48">
        <v>10075</v>
      </c>
      <c r="L354" s="48">
        <v>10206</v>
      </c>
      <c r="N354" s="398" t="s">
        <v>5433</v>
      </c>
      <c r="P354" s="4"/>
    </row>
    <row r="355" spans="1:18">
      <c r="A355" s="398" t="s">
        <v>7009</v>
      </c>
      <c r="B355" s="398" t="s">
        <v>5656</v>
      </c>
      <c r="C355" s="4" t="s">
        <v>9501</v>
      </c>
      <c r="D355" s="402">
        <v>9056</v>
      </c>
      <c r="E355" s="402">
        <v>9061</v>
      </c>
      <c r="F355" s="402">
        <v>9100</v>
      </c>
      <c r="G355" s="402">
        <v>9164</v>
      </c>
      <c r="H355" s="48">
        <v>9082</v>
      </c>
      <c r="I355" s="48">
        <v>8968</v>
      </c>
      <c r="J355" s="48">
        <v>8758</v>
      </c>
      <c r="K355" s="48">
        <v>8925</v>
      </c>
      <c r="L355" s="48">
        <v>8875</v>
      </c>
      <c r="N355" s="398" t="s">
        <v>7217</v>
      </c>
      <c r="R355" s="4"/>
    </row>
    <row r="356" spans="1:18">
      <c r="A356" s="398" t="s">
        <v>7011</v>
      </c>
      <c r="B356" s="398" t="s">
        <v>5657</v>
      </c>
      <c r="C356" s="4" t="s">
        <v>9502</v>
      </c>
      <c r="D356" s="402">
        <v>8630</v>
      </c>
      <c r="E356" s="402">
        <v>8728</v>
      </c>
      <c r="F356" s="402">
        <v>8849</v>
      </c>
      <c r="G356" s="402">
        <v>8967</v>
      </c>
      <c r="H356" s="48">
        <v>8923</v>
      </c>
      <c r="I356" s="48">
        <v>8999</v>
      </c>
      <c r="J356" s="48">
        <v>8782</v>
      </c>
      <c r="K356" s="48">
        <v>8960</v>
      </c>
      <c r="L356" s="48">
        <v>8934</v>
      </c>
      <c r="N356" s="398" t="s">
        <v>5433</v>
      </c>
      <c r="P356" s="4"/>
      <c r="R356" s="4"/>
    </row>
    <row r="357" spans="1:18">
      <c r="A357" s="398" t="s">
        <v>7013</v>
      </c>
      <c r="B357" s="398" t="s">
        <v>7507</v>
      </c>
      <c r="C357" s="4" t="s">
        <v>9503</v>
      </c>
      <c r="D357" s="409">
        <v>9180</v>
      </c>
      <c r="E357" s="409">
        <v>9376</v>
      </c>
      <c r="F357" s="409">
        <v>9768</v>
      </c>
      <c r="G357" s="409">
        <v>9651</v>
      </c>
      <c r="H357" s="48">
        <v>9475</v>
      </c>
      <c r="I357" s="48">
        <v>9513</v>
      </c>
      <c r="J357" s="48">
        <v>8969</v>
      </c>
      <c r="K357" s="48">
        <v>9272</v>
      </c>
      <c r="L357" s="48">
        <v>9381</v>
      </c>
      <c r="N357" s="398" t="s">
        <v>5433</v>
      </c>
      <c r="P357" s="4"/>
      <c r="R357" s="4"/>
    </row>
    <row r="358" spans="1:18">
      <c r="A358" s="398" t="s">
        <v>7015</v>
      </c>
      <c r="B358" s="398" t="s">
        <v>7508</v>
      </c>
      <c r="C358" s="4" t="s">
        <v>9504</v>
      </c>
      <c r="D358" s="402">
        <v>8938</v>
      </c>
      <c r="E358" s="402">
        <v>8966</v>
      </c>
      <c r="F358" s="402">
        <v>9242</v>
      </c>
      <c r="G358" s="402">
        <v>9362</v>
      </c>
      <c r="H358" s="48">
        <v>9238</v>
      </c>
      <c r="I358" s="48">
        <v>9258</v>
      </c>
      <c r="J358" s="48">
        <v>9030</v>
      </c>
      <c r="K358" s="48">
        <v>9151</v>
      </c>
      <c r="L358" s="48">
        <v>9112</v>
      </c>
      <c r="N358" s="398" t="s">
        <v>7217</v>
      </c>
      <c r="R358" s="4"/>
    </row>
    <row r="359" spans="1:18">
      <c r="A359" s="398" t="s">
        <v>7017</v>
      </c>
      <c r="B359" s="398" t="s">
        <v>6548</v>
      </c>
      <c r="C359" s="4" t="s">
        <v>9505</v>
      </c>
      <c r="D359" s="409">
        <v>9310</v>
      </c>
      <c r="E359" s="409">
        <v>9706</v>
      </c>
      <c r="F359" s="409">
        <v>9862</v>
      </c>
      <c r="G359" s="409">
        <v>9828</v>
      </c>
      <c r="H359" s="48">
        <v>9926</v>
      </c>
      <c r="I359" s="48">
        <v>9649</v>
      </c>
      <c r="J359" s="48">
        <v>9218</v>
      </c>
      <c r="K359" s="48">
        <v>9602</v>
      </c>
      <c r="L359" s="48">
        <v>9710</v>
      </c>
      <c r="N359" s="398" t="s">
        <v>5433</v>
      </c>
      <c r="P359" s="4"/>
      <c r="R359" s="4"/>
    </row>
    <row r="360" spans="1:18">
      <c r="A360" s="398" t="s">
        <v>7019</v>
      </c>
      <c r="B360" s="398" t="s">
        <v>5857</v>
      </c>
      <c r="C360" s="4" t="s">
        <v>9506</v>
      </c>
      <c r="D360" s="402">
        <v>9126</v>
      </c>
      <c r="E360" s="402">
        <v>9086</v>
      </c>
      <c r="F360" s="402">
        <v>9159</v>
      </c>
      <c r="G360" s="402">
        <v>9106</v>
      </c>
      <c r="H360" s="48">
        <v>9009</v>
      </c>
      <c r="I360" s="48">
        <v>8925</v>
      </c>
      <c r="J360" s="48">
        <v>8583</v>
      </c>
      <c r="K360" s="48">
        <v>8802</v>
      </c>
      <c r="L360" s="48">
        <v>8759</v>
      </c>
      <c r="N360" s="398" t="s">
        <v>5432</v>
      </c>
      <c r="R360" s="4"/>
    </row>
    <row r="361" spans="1:18">
      <c r="A361" s="398" t="s">
        <v>7021</v>
      </c>
      <c r="B361" s="398" t="s">
        <v>5858</v>
      </c>
      <c r="C361" s="4" t="s">
        <v>9507</v>
      </c>
      <c r="D361" s="402">
        <v>10777</v>
      </c>
      <c r="E361" s="402">
        <v>10901</v>
      </c>
      <c r="F361" s="402">
        <v>11076</v>
      </c>
      <c r="G361" s="402">
        <v>11104</v>
      </c>
      <c r="H361" s="48">
        <v>11005</v>
      </c>
      <c r="I361" s="48">
        <v>10976</v>
      </c>
      <c r="J361" s="48">
        <v>10665</v>
      </c>
      <c r="K361" s="48">
        <v>10776</v>
      </c>
      <c r="L361" s="48">
        <v>10785</v>
      </c>
      <c r="N361" s="398" t="s">
        <v>7217</v>
      </c>
      <c r="R361" s="4"/>
    </row>
    <row r="362" spans="1:18">
      <c r="A362" s="398" t="s">
        <v>7023</v>
      </c>
      <c r="B362" s="398" t="s">
        <v>5859</v>
      </c>
      <c r="C362" s="4" t="s">
        <v>9508</v>
      </c>
      <c r="D362" s="402">
        <v>9455</v>
      </c>
      <c r="E362" s="402">
        <v>9578</v>
      </c>
      <c r="F362" s="402">
        <v>9659</v>
      </c>
      <c r="G362" s="402">
        <v>9682</v>
      </c>
      <c r="H362" s="48">
        <v>9429</v>
      </c>
      <c r="I362" s="48">
        <v>9498</v>
      </c>
      <c r="J362" s="48">
        <v>9275</v>
      </c>
      <c r="K362" s="48">
        <v>9375</v>
      </c>
      <c r="L362" s="48">
        <v>9363</v>
      </c>
      <c r="N362" s="398" t="s">
        <v>5432</v>
      </c>
      <c r="P362" s="4"/>
      <c r="R362" s="4"/>
    </row>
    <row r="363" spans="1:18">
      <c r="A363" s="398" t="s">
        <v>7025</v>
      </c>
      <c r="B363" s="398" t="s">
        <v>5860</v>
      </c>
      <c r="C363" s="4" t="s">
        <v>9509</v>
      </c>
      <c r="D363" s="402">
        <v>10665</v>
      </c>
      <c r="E363" s="402">
        <v>10769</v>
      </c>
      <c r="F363" s="402">
        <v>11049</v>
      </c>
      <c r="G363" s="402">
        <v>11315</v>
      </c>
      <c r="H363" s="48">
        <v>11244</v>
      </c>
      <c r="I363" s="48">
        <v>11126</v>
      </c>
      <c r="J363" s="48">
        <v>10576</v>
      </c>
      <c r="K363" s="48">
        <v>10860</v>
      </c>
      <c r="L363" s="48">
        <v>11009</v>
      </c>
      <c r="N363" s="398" t="s">
        <v>5432</v>
      </c>
      <c r="P363" s="4"/>
      <c r="R363" s="4"/>
    </row>
    <row r="364" spans="1:18">
      <c r="D364" s="402"/>
      <c r="E364" s="402"/>
      <c r="F364" s="402"/>
      <c r="G364" s="402"/>
      <c r="H364" s="402"/>
      <c r="I364" s="402"/>
      <c r="J364" s="402"/>
      <c r="K364" s="402"/>
      <c r="L364" s="402"/>
      <c r="P364" s="4"/>
      <c r="R364" s="4"/>
    </row>
    <row r="365" spans="1:18">
      <c r="A365" s="398" t="s">
        <v>7217</v>
      </c>
      <c r="D365" s="401">
        <f t="shared" ref="D365:I365" si="221">D344+D345+D351+D355+D358+D361</f>
        <v>59214</v>
      </c>
      <c r="E365" s="401">
        <f t="shared" si="221"/>
        <v>59506</v>
      </c>
      <c r="F365" s="401">
        <f t="shared" si="221"/>
        <v>60315</v>
      </c>
      <c r="G365" s="401">
        <f t="shared" si="221"/>
        <v>60777</v>
      </c>
      <c r="H365" s="401">
        <f t="shared" si="221"/>
        <v>60313</v>
      </c>
      <c r="I365" s="401">
        <f t="shared" si="221"/>
        <v>59874</v>
      </c>
      <c r="J365" s="401">
        <f t="shared" ref="J365:K365" si="222">J344+J345+J351+J355+J358+J361</f>
        <v>58359</v>
      </c>
      <c r="K365" s="401">
        <f t="shared" si="222"/>
        <v>59296</v>
      </c>
      <c r="L365" s="401">
        <f t="shared" ref="L365" si="223">L344+L345+L351+L355+L358+L361</f>
        <v>59373</v>
      </c>
      <c r="P365" s="4"/>
      <c r="R365" s="4"/>
    </row>
    <row r="366" spans="1:18">
      <c r="A366" s="398" t="s">
        <v>5432</v>
      </c>
      <c r="D366" s="401">
        <f t="shared" ref="D366:I366" si="224">SUM(D347:D350)+D360+D362+D363</f>
        <v>64984</v>
      </c>
      <c r="E366" s="401">
        <f t="shared" si="224"/>
        <v>65468</v>
      </c>
      <c r="F366" s="401">
        <f t="shared" si="224"/>
        <v>67186</v>
      </c>
      <c r="G366" s="401">
        <f t="shared" si="224"/>
        <v>68018</v>
      </c>
      <c r="H366" s="401">
        <f t="shared" si="224"/>
        <v>67003</v>
      </c>
      <c r="I366" s="401">
        <f t="shared" si="224"/>
        <v>66648</v>
      </c>
      <c r="J366" s="401">
        <f t="shared" ref="J366:K366" si="225">SUM(J347:J350)+J360+J362+J363</f>
        <v>64186</v>
      </c>
      <c r="K366" s="401">
        <f t="shared" si="225"/>
        <v>65731</v>
      </c>
      <c r="L366" s="401">
        <f t="shared" ref="L366" si="226">SUM(L347:L350)+L360+L362+L363</f>
        <v>66367</v>
      </c>
      <c r="P366" s="4"/>
      <c r="R366" s="4"/>
    </row>
    <row r="367" spans="1:18">
      <c r="A367" s="398" t="s">
        <v>5433</v>
      </c>
      <c r="D367" s="401">
        <f t="shared" ref="D367:I367" si="227">D346+SUM(D352:D354)+D356+D357+D359</f>
        <v>64710</v>
      </c>
      <c r="E367" s="401">
        <f t="shared" si="227"/>
        <v>66082</v>
      </c>
      <c r="F367" s="401">
        <f t="shared" si="227"/>
        <v>67767</v>
      </c>
      <c r="G367" s="401">
        <f t="shared" si="227"/>
        <v>68140</v>
      </c>
      <c r="H367" s="401">
        <f t="shared" si="227"/>
        <v>67031</v>
      </c>
      <c r="I367" s="401">
        <f t="shared" si="227"/>
        <v>67035</v>
      </c>
      <c r="J367" s="401">
        <f t="shared" ref="J367:K367" si="228">J346+SUM(J352:J354)+J356+J357+J359</f>
        <v>64415</v>
      </c>
      <c r="K367" s="401">
        <f t="shared" si="228"/>
        <v>66039</v>
      </c>
      <c r="L367" s="401">
        <f t="shared" ref="L367" si="229">L346+SUM(L352:L354)+L356+L357+L359</f>
        <v>66512</v>
      </c>
      <c r="P367" s="4"/>
      <c r="R367" s="4"/>
    </row>
    <row r="368" spans="1:18">
      <c r="A368" s="398"/>
      <c r="D368" s="401"/>
      <c r="E368" s="401"/>
      <c r="F368" s="401"/>
      <c r="G368" s="401"/>
      <c r="H368" s="401"/>
      <c r="I368" s="401"/>
      <c r="J368" s="401"/>
      <c r="K368" s="401"/>
      <c r="L368" s="401"/>
      <c r="R368" s="4"/>
    </row>
    <row r="369" spans="1:18">
      <c r="A369" s="398" t="s">
        <v>5861</v>
      </c>
      <c r="D369" s="401"/>
      <c r="E369" s="401"/>
      <c r="F369" s="401"/>
      <c r="G369" s="401"/>
      <c r="H369" s="401"/>
      <c r="I369" s="401"/>
      <c r="J369" s="401"/>
      <c r="K369" s="401"/>
      <c r="L369" s="401"/>
      <c r="P369" s="4"/>
      <c r="R369" s="4"/>
    </row>
    <row r="370" spans="1:18">
      <c r="A370" s="398"/>
      <c r="B370" s="398"/>
      <c r="D370" s="410"/>
      <c r="E370" s="410"/>
      <c r="F370" s="410"/>
      <c r="G370" s="410"/>
      <c r="H370" s="410"/>
      <c r="I370" s="410"/>
      <c r="J370" s="410"/>
      <c r="K370" s="410"/>
      <c r="L370" s="410"/>
      <c r="P370" s="4"/>
      <c r="R370" s="4"/>
    </row>
    <row r="371" spans="1:18">
      <c r="A371" s="398"/>
      <c r="B371" s="398"/>
      <c r="D371" s="410"/>
      <c r="E371" s="410"/>
      <c r="F371" s="410"/>
      <c r="G371" s="410"/>
      <c r="H371" s="410"/>
      <c r="I371" s="410"/>
      <c r="J371" s="410"/>
      <c r="K371" s="410"/>
      <c r="L371" s="410"/>
      <c r="P371" s="4"/>
      <c r="R371" s="4"/>
    </row>
    <row r="372" spans="1:18">
      <c r="E372" s="42" t="s">
        <v>2303</v>
      </c>
      <c r="F372" s="42"/>
      <c r="G372" s="42"/>
      <c r="H372" s="42"/>
      <c r="I372" s="42"/>
      <c r="J372" s="42"/>
      <c r="K372" s="42"/>
      <c r="L372" s="42"/>
      <c r="M372" s="43"/>
      <c r="N372" s="43" t="s">
        <v>13319</v>
      </c>
      <c r="P372" s="4"/>
      <c r="R372" s="4"/>
    </row>
    <row r="373" spans="1:18">
      <c r="D373" s="400">
        <v>2010</v>
      </c>
      <c r="E373" s="400">
        <v>2011</v>
      </c>
      <c r="F373" s="400">
        <v>2012</v>
      </c>
      <c r="G373" s="400">
        <v>2013</v>
      </c>
      <c r="H373" s="400">
        <v>2014</v>
      </c>
      <c r="I373" s="400">
        <v>2015</v>
      </c>
      <c r="J373" s="400">
        <v>2016</v>
      </c>
      <c r="K373" s="400">
        <v>2017</v>
      </c>
      <c r="L373" s="400">
        <v>2018</v>
      </c>
      <c r="N373" s="44" t="s">
        <v>2304</v>
      </c>
      <c r="P373" s="4"/>
      <c r="R373" s="4"/>
    </row>
    <row r="374" spans="1:18">
      <c r="A374" s="398" t="s">
        <v>5862</v>
      </c>
      <c r="D374" s="401">
        <f t="shared" ref="D374:I374" si="230">SUM(D375:D394)</f>
        <v>168234</v>
      </c>
      <c r="E374" s="401">
        <f t="shared" si="230"/>
        <v>172294</v>
      </c>
      <c r="F374" s="401">
        <f t="shared" si="230"/>
        <v>174945</v>
      </c>
      <c r="G374" s="401">
        <f t="shared" si="230"/>
        <v>174015</v>
      </c>
      <c r="H374" s="401">
        <f t="shared" si="230"/>
        <v>173250</v>
      </c>
      <c r="I374" s="401">
        <f t="shared" si="230"/>
        <v>173351</v>
      </c>
      <c r="J374" s="401">
        <f t="shared" ref="J374:K374" si="231">SUM(J375:J394)</f>
        <v>170212</v>
      </c>
      <c r="K374" s="401">
        <f t="shared" si="231"/>
        <v>171733</v>
      </c>
      <c r="L374" s="401">
        <f t="shared" ref="L374" si="232">SUM(L375:L394)</f>
        <v>171916</v>
      </c>
      <c r="P374" s="4"/>
      <c r="R374" s="4"/>
    </row>
    <row r="375" spans="1:18">
      <c r="A375" s="398" t="s">
        <v>6957</v>
      </c>
      <c r="B375" s="398" t="s">
        <v>5863</v>
      </c>
      <c r="C375" s="4" t="s">
        <v>9510</v>
      </c>
      <c r="D375" s="402">
        <v>8875</v>
      </c>
      <c r="E375" s="402">
        <v>9038</v>
      </c>
      <c r="F375" s="402">
        <v>9042</v>
      </c>
      <c r="G375" s="402">
        <v>9164</v>
      </c>
      <c r="H375" s="30">
        <v>9049</v>
      </c>
      <c r="I375" s="30">
        <v>9289</v>
      </c>
      <c r="J375" s="30">
        <v>9442</v>
      </c>
      <c r="K375" s="30">
        <v>9549</v>
      </c>
      <c r="L375" s="30">
        <v>9540</v>
      </c>
      <c r="N375" s="398" t="s">
        <v>5439</v>
      </c>
    </row>
    <row r="376" spans="1:18">
      <c r="A376" s="398" t="s">
        <v>6959</v>
      </c>
      <c r="B376" s="398" t="s">
        <v>5864</v>
      </c>
      <c r="C376" s="4" t="s">
        <v>9511</v>
      </c>
      <c r="D376" s="402">
        <v>8686</v>
      </c>
      <c r="E376" s="402">
        <v>8790</v>
      </c>
      <c r="F376" s="402">
        <v>8865</v>
      </c>
      <c r="G376" s="402">
        <v>8902</v>
      </c>
      <c r="H376" s="30">
        <v>8678</v>
      </c>
      <c r="I376" s="30">
        <v>8801</v>
      </c>
      <c r="J376" s="30">
        <v>8649</v>
      </c>
      <c r="K376" s="30">
        <v>8631</v>
      </c>
      <c r="L376" s="30">
        <v>8584</v>
      </c>
      <c r="N376" s="398" t="s">
        <v>5439</v>
      </c>
    </row>
    <row r="377" spans="1:18">
      <c r="A377" s="398" t="s">
        <v>6961</v>
      </c>
      <c r="B377" s="398" t="s">
        <v>5865</v>
      </c>
      <c r="C377" s="4" t="s">
        <v>9512</v>
      </c>
      <c r="D377" s="402">
        <v>7774</v>
      </c>
      <c r="E377" s="402">
        <v>8160</v>
      </c>
      <c r="F377" s="402">
        <v>8306</v>
      </c>
      <c r="G377" s="402">
        <v>8304</v>
      </c>
      <c r="H377" s="30">
        <v>8216</v>
      </c>
      <c r="I377" s="30">
        <v>8272</v>
      </c>
      <c r="J377" s="30">
        <v>7892</v>
      </c>
      <c r="K377" s="30">
        <v>7884</v>
      </c>
      <c r="L377" s="30">
        <v>7825</v>
      </c>
      <c r="N377" s="398" t="s">
        <v>5439</v>
      </c>
    </row>
    <row r="378" spans="1:18">
      <c r="A378" s="398" t="s">
        <v>6963</v>
      </c>
      <c r="B378" s="398" t="s">
        <v>5866</v>
      </c>
      <c r="C378" s="4" t="s">
        <v>9513</v>
      </c>
      <c r="D378" s="402">
        <v>8921</v>
      </c>
      <c r="E378" s="402">
        <v>9071</v>
      </c>
      <c r="F378" s="402">
        <v>9115</v>
      </c>
      <c r="G378" s="402">
        <v>9051</v>
      </c>
      <c r="H378" s="30">
        <v>8979</v>
      </c>
      <c r="I378" s="30">
        <v>9062</v>
      </c>
      <c r="J378" s="30">
        <v>8812</v>
      </c>
      <c r="K378" s="30">
        <v>8803</v>
      </c>
      <c r="L378" s="30">
        <v>8986</v>
      </c>
      <c r="N378" s="398" t="s">
        <v>5437</v>
      </c>
    </row>
    <row r="379" spans="1:18">
      <c r="A379" s="398" t="s">
        <v>6965</v>
      </c>
      <c r="B379" s="398" t="s">
        <v>5867</v>
      </c>
      <c r="C379" s="4" t="s">
        <v>9514</v>
      </c>
      <c r="D379" s="402">
        <v>8521</v>
      </c>
      <c r="E379" s="402">
        <v>8864</v>
      </c>
      <c r="F379" s="402">
        <v>8955</v>
      </c>
      <c r="G379" s="402">
        <v>9078</v>
      </c>
      <c r="H379" s="30">
        <v>9242</v>
      </c>
      <c r="I379" s="30">
        <v>9258</v>
      </c>
      <c r="J379" s="30">
        <v>9038</v>
      </c>
      <c r="K379" s="30">
        <v>9163</v>
      </c>
      <c r="L379" s="30">
        <v>9313</v>
      </c>
      <c r="N379" s="398" t="s">
        <v>5437</v>
      </c>
    </row>
    <row r="380" spans="1:18">
      <c r="A380" s="398" t="s">
        <v>6997</v>
      </c>
      <c r="B380" s="398" t="s">
        <v>5868</v>
      </c>
      <c r="C380" s="4" t="s">
        <v>9515</v>
      </c>
      <c r="D380" s="402">
        <v>8515</v>
      </c>
      <c r="E380" s="402">
        <v>8677</v>
      </c>
      <c r="F380" s="402">
        <v>8816</v>
      </c>
      <c r="G380" s="402">
        <v>8872</v>
      </c>
      <c r="H380" s="30">
        <v>8664</v>
      </c>
      <c r="I380" s="30">
        <v>8737</v>
      </c>
      <c r="J380" s="30">
        <v>8550</v>
      </c>
      <c r="K380" s="30">
        <v>8618</v>
      </c>
      <c r="L380" s="30">
        <v>8519</v>
      </c>
      <c r="N380" s="398" t="s">
        <v>5439</v>
      </c>
    </row>
    <row r="381" spans="1:18">
      <c r="A381" s="398" t="s">
        <v>6999</v>
      </c>
      <c r="B381" s="398" t="s">
        <v>5869</v>
      </c>
      <c r="C381" s="4" t="s">
        <v>9516</v>
      </c>
      <c r="D381" s="402">
        <v>8382</v>
      </c>
      <c r="E381" s="402">
        <v>8694</v>
      </c>
      <c r="F381" s="402">
        <v>8747</v>
      </c>
      <c r="G381" s="402">
        <v>8797</v>
      </c>
      <c r="H381" s="30">
        <v>8747</v>
      </c>
      <c r="I381" s="30">
        <v>8952</v>
      </c>
      <c r="J381" s="30">
        <v>8915</v>
      </c>
      <c r="K381" s="30">
        <v>9152</v>
      </c>
      <c r="L381" s="30">
        <v>9157</v>
      </c>
      <c r="N381" s="398" t="s">
        <v>5439</v>
      </c>
      <c r="P381" s="4"/>
    </row>
    <row r="382" spans="1:18">
      <c r="A382" s="398" t="s">
        <v>7001</v>
      </c>
      <c r="B382" s="398" t="s">
        <v>5870</v>
      </c>
      <c r="C382" s="4" t="s">
        <v>9517</v>
      </c>
      <c r="D382" s="402">
        <v>8811</v>
      </c>
      <c r="E382" s="402">
        <v>8979</v>
      </c>
      <c r="F382" s="402">
        <v>8995</v>
      </c>
      <c r="G382" s="402">
        <v>9025</v>
      </c>
      <c r="H382" s="30">
        <v>8903</v>
      </c>
      <c r="I382" s="30">
        <v>8947</v>
      </c>
      <c r="J382" s="30">
        <v>8804</v>
      </c>
      <c r="K382" s="30">
        <v>8750</v>
      </c>
      <c r="L382" s="30">
        <v>8719</v>
      </c>
      <c r="N382" s="398" t="s">
        <v>5437</v>
      </c>
    </row>
    <row r="383" spans="1:18">
      <c r="A383" s="398" t="s">
        <v>7003</v>
      </c>
      <c r="B383" s="398" t="s">
        <v>5871</v>
      </c>
      <c r="C383" s="4" t="s">
        <v>9518</v>
      </c>
      <c r="D383" s="402">
        <v>7913</v>
      </c>
      <c r="E383" s="402">
        <v>7994</v>
      </c>
      <c r="F383" s="402">
        <v>8091</v>
      </c>
      <c r="G383" s="402">
        <v>7784</v>
      </c>
      <c r="H383" s="30">
        <v>7906</v>
      </c>
      <c r="I383" s="30">
        <v>7943</v>
      </c>
      <c r="J383" s="30">
        <v>7635</v>
      </c>
      <c r="K383" s="30">
        <v>7652</v>
      </c>
      <c r="L383" s="30">
        <v>7710</v>
      </c>
      <c r="N383" s="398" t="s">
        <v>7238</v>
      </c>
      <c r="P383" s="4"/>
    </row>
    <row r="384" spans="1:18">
      <c r="A384" s="398" t="s">
        <v>7005</v>
      </c>
      <c r="B384" s="398" t="s">
        <v>5872</v>
      </c>
      <c r="C384" s="4" t="s">
        <v>9519</v>
      </c>
      <c r="D384" s="402">
        <v>7128</v>
      </c>
      <c r="E384" s="402">
        <v>7386</v>
      </c>
      <c r="F384" s="402">
        <v>8012</v>
      </c>
      <c r="G384" s="402">
        <v>7998</v>
      </c>
      <c r="H384" s="30">
        <v>8071</v>
      </c>
      <c r="I384" s="30">
        <v>7605</v>
      </c>
      <c r="J384" s="30">
        <v>7435</v>
      </c>
      <c r="K384" s="30">
        <v>7609</v>
      </c>
      <c r="L384" s="30">
        <v>7456</v>
      </c>
      <c r="N384" s="398" t="s">
        <v>5437</v>
      </c>
    </row>
    <row r="385" spans="1:18">
      <c r="A385" s="398" t="s">
        <v>7007</v>
      </c>
      <c r="B385" s="398" t="s">
        <v>5873</v>
      </c>
      <c r="C385" s="4" t="s">
        <v>9520</v>
      </c>
      <c r="D385" s="402">
        <v>9105</v>
      </c>
      <c r="E385" s="402">
        <v>9361</v>
      </c>
      <c r="F385" s="402">
        <v>9358</v>
      </c>
      <c r="G385" s="402">
        <v>9316</v>
      </c>
      <c r="H385" s="30">
        <v>9223</v>
      </c>
      <c r="I385" s="30">
        <v>9300</v>
      </c>
      <c r="J385" s="31">
        <v>9118</v>
      </c>
      <c r="K385" s="30">
        <v>9251</v>
      </c>
      <c r="L385" s="30">
        <v>9316</v>
      </c>
      <c r="N385" s="398" t="s">
        <v>7238</v>
      </c>
      <c r="P385" s="4"/>
    </row>
    <row r="386" spans="1:18">
      <c r="A386" s="398" t="s">
        <v>7009</v>
      </c>
      <c r="B386" s="398" t="s">
        <v>5874</v>
      </c>
      <c r="C386" s="4" t="s">
        <v>9521</v>
      </c>
      <c r="D386" s="402">
        <v>8658</v>
      </c>
      <c r="E386" s="402">
        <v>8802</v>
      </c>
      <c r="F386" s="402">
        <v>8882</v>
      </c>
      <c r="G386" s="402">
        <v>8823</v>
      </c>
      <c r="H386" s="30">
        <v>8766</v>
      </c>
      <c r="I386" s="30">
        <v>8854</v>
      </c>
      <c r="J386" s="30">
        <v>8766</v>
      </c>
      <c r="K386" s="30">
        <v>8757</v>
      </c>
      <c r="L386" s="30">
        <v>8694</v>
      </c>
      <c r="N386" s="398" t="s">
        <v>5437</v>
      </c>
      <c r="R386" s="4"/>
    </row>
    <row r="387" spans="1:18">
      <c r="A387" s="398" t="s">
        <v>7011</v>
      </c>
      <c r="B387" s="398" t="s">
        <v>2442</v>
      </c>
      <c r="C387" s="4" t="s">
        <v>9522</v>
      </c>
      <c r="D387" s="402">
        <v>7568</v>
      </c>
      <c r="E387" s="402">
        <v>7725</v>
      </c>
      <c r="F387" s="402">
        <v>7925</v>
      </c>
      <c r="G387" s="402">
        <v>7792</v>
      </c>
      <c r="H387" s="31">
        <v>7586</v>
      </c>
      <c r="I387" s="31">
        <v>7674</v>
      </c>
      <c r="J387" s="31">
        <v>7415</v>
      </c>
      <c r="K387" s="31">
        <v>7391</v>
      </c>
      <c r="L387" s="31">
        <v>7447</v>
      </c>
      <c r="N387" s="398" t="s">
        <v>7238</v>
      </c>
      <c r="P387" s="4"/>
      <c r="R387" s="4"/>
    </row>
    <row r="388" spans="1:18">
      <c r="A388" s="398" t="s">
        <v>7013</v>
      </c>
      <c r="B388" s="398" t="s">
        <v>6205</v>
      </c>
      <c r="C388" s="4" t="s">
        <v>9523</v>
      </c>
      <c r="D388" s="402">
        <v>9794</v>
      </c>
      <c r="E388" s="402">
        <v>9979</v>
      </c>
      <c r="F388" s="402">
        <v>10041</v>
      </c>
      <c r="G388" s="402">
        <v>9993</v>
      </c>
      <c r="H388" s="31">
        <v>9927</v>
      </c>
      <c r="I388" s="31">
        <v>10024</v>
      </c>
      <c r="J388" s="31">
        <v>9759</v>
      </c>
      <c r="K388" s="31">
        <v>9855</v>
      </c>
      <c r="L388" s="31">
        <v>9967</v>
      </c>
      <c r="N388" s="398" t="s">
        <v>7238</v>
      </c>
      <c r="P388" s="4"/>
      <c r="R388" s="4"/>
    </row>
    <row r="389" spans="1:18">
      <c r="A389" s="398" t="s">
        <v>7015</v>
      </c>
      <c r="B389" s="398" t="s">
        <v>8607</v>
      </c>
      <c r="C389" s="4" t="s">
        <v>9524</v>
      </c>
      <c r="D389" s="409">
        <v>6156</v>
      </c>
      <c r="E389" s="409">
        <v>6407</v>
      </c>
      <c r="F389" s="409">
        <v>7139</v>
      </c>
      <c r="G389" s="409">
        <v>6856</v>
      </c>
      <c r="H389" s="31">
        <v>7286</v>
      </c>
      <c r="I389" s="31">
        <v>6330</v>
      </c>
      <c r="J389" s="31">
        <v>6321</v>
      </c>
      <c r="K389" s="31">
        <v>6412</v>
      </c>
      <c r="L389" s="31">
        <v>6368</v>
      </c>
      <c r="N389" s="398" t="s">
        <v>7238</v>
      </c>
      <c r="P389" s="4"/>
      <c r="R389" s="4"/>
    </row>
    <row r="390" spans="1:18">
      <c r="A390" s="398" t="s">
        <v>7017</v>
      </c>
      <c r="B390" s="398" t="s">
        <v>5875</v>
      </c>
      <c r="C390" s="4" t="s">
        <v>9525</v>
      </c>
      <c r="D390" s="402">
        <v>8441</v>
      </c>
      <c r="E390" s="402">
        <v>8735</v>
      </c>
      <c r="F390" s="402">
        <v>8865</v>
      </c>
      <c r="G390" s="402">
        <v>8867</v>
      </c>
      <c r="H390" s="30">
        <v>8695</v>
      </c>
      <c r="I390" s="30">
        <v>8766</v>
      </c>
      <c r="J390" s="30">
        <v>8578</v>
      </c>
      <c r="K390" s="30">
        <v>8673</v>
      </c>
      <c r="L390" s="30">
        <v>8716</v>
      </c>
      <c r="N390" s="398" t="s">
        <v>5439</v>
      </c>
      <c r="P390" s="4"/>
      <c r="R390" s="4"/>
    </row>
    <row r="391" spans="1:18">
      <c r="A391" s="398" t="s">
        <v>7019</v>
      </c>
      <c r="B391" s="398" t="s">
        <v>5876</v>
      </c>
      <c r="C391" s="4" t="s">
        <v>9526</v>
      </c>
      <c r="D391" s="402">
        <v>8978</v>
      </c>
      <c r="E391" s="402">
        <v>9257</v>
      </c>
      <c r="F391" s="402">
        <v>9333</v>
      </c>
      <c r="G391" s="402">
        <v>9295</v>
      </c>
      <c r="H391" s="31">
        <v>9238</v>
      </c>
      <c r="I391" s="31">
        <v>9316</v>
      </c>
      <c r="J391" s="31">
        <v>9137</v>
      </c>
      <c r="K391" s="31">
        <v>9331</v>
      </c>
      <c r="L391" s="31">
        <v>9274</v>
      </c>
      <c r="N391" s="398" t="s">
        <v>7238</v>
      </c>
      <c r="P391" s="4"/>
      <c r="R391" s="4"/>
    </row>
    <row r="392" spans="1:18">
      <c r="A392" s="398" t="s">
        <v>7021</v>
      </c>
      <c r="B392" s="398" t="s">
        <v>5877</v>
      </c>
      <c r="C392" s="4" t="s">
        <v>9527</v>
      </c>
      <c r="D392" s="402">
        <v>8917</v>
      </c>
      <c r="E392" s="402">
        <v>9123</v>
      </c>
      <c r="F392" s="402">
        <v>9131</v>
      </c>
      <c r="G392" s="402">
        <v>8909</v>
      </c>
      <c r="H392" s="31">
        <v>8992</v>
      </c>
      <c r="I392" s="31">
        <v>9012</v>
      </c>
      <c r="J392" s="31">
        <v>8839</v>
      </c>
      <c r="K392" s="31">
        <v>8951</v>
      </c>
      <c r="L392" s="31">
        <v>8998</v>
      </c>
      <c r="N392" s="398" t="s">
        <v>7238</v>
      </c>
      <c r="P392" s="4"/>
      <c r="R392" s="4"/>
    </row>
    <row r="393" spans="1:18">
      <c r="A393" s="398" t="s">
        <v>7023</v>
      </c>
      <c r="B393" s="398" t="s">
        <v>5878</v>
      </c>
      <c r="C393" s="4" t="s">
        <v>9528</v>
      </c>
      <c r="D393" s="402">
        <v>8768</v>
      </c>
      <c r="E393" s="402">
        <v>8839</v>
      </c>
      <c r="F393" s="402">
        <v>8827</v>
      </c>
      <c r="G393" s="402">
        <v>8769</v>
      </c>
      <c r="H393" s="30">
        <v>8716</v>
      </c>
      <c r="I393" s="30">
        <v>8750</v>
      </c>
      <c r="J393" s="30">
        <v>8681</v>
      </c>
      <c r="K393" s="30">
        <v>8693</v>
      </c>
      <c r="L393" s="30">
        <v>8656</v>
      </c>
      <c r="N393" s="398" t="s">
        <v>5437</v>
      </c>
      <c r="R393" s="4"/>
    </row>
    <row r="394" spans="1:18">
      <c r="A394" s="398" t="s">
        <v>7025</v>
      </c>
      <c r="B394" s="398" t="s">
        <v>5879</v>
      </c>
      <c r="C394" s="4" t="s">
        <v>9529</v>
      </c>
      <c r="D394" s="402">
        <v>8323</v>
      </c>
      <c r="E394" s="402">
        <v>8413</v>
      </c>
      <c r="F394" s="402">
        <v>8500</v>
      </c>
      <c r="G394" s="402">
        <v>8420</v>
      </c>
      <c r="H394" s="30">
        <v>8366</v>
      </c>
      <c r="I394" s="30">
        <v>8459</v>
      </c>
      <c r="J394" s="30">
        <v>8426</v>
      </c>
      <c r="K394" s="30">
        <v>8608</v>
      </c>
      <c r="L394" s="30">
        <v>8671</v>
      </c>
      <c r="N394" s="398" t="s">
        <v>5437</v>
      </c>
      <c r="R394" s="4"/>
    </row>
    <row r="395" spans="1:18">
      <c r="D395" s="402"/>
      <c r="E395" s="402"/>
      <c r="F395" s="402"/>
      <c r="G395" s="402"/>
      <c r="H395" s="402"/>
      <c r="I395" s="402"/>
      <c r="J395" s="402"/>
      <c r="K395" s="402"/>
      <c r="L395" s="402"/>
      <c r="P395" s="4"/>
      <c r="R395" s="4"/>
    </row>
    <row r="396" spans="1:18">
      <c r="A396" s="398" t="s">
        <v>5437</v>
      </c>
      <c r="D396" s="401">
        <f t="shared" ref="D396:I396" si="233">D378+D379+D382+D384+D386+D393+D394</f>
        <v>59130</v>
      </c>
      <c r="E396" s="401">
        <f t="shared" si="233"/>
        <v>60354</v>
      </c>
      <c r="F396" s="401">
        <f t="shared" si="233"/>
        <v>61286</v>
      </c>
      <c r="G396" s="401">
        <f t="shared" si="233"/>
        <v>61164</v>
      </c>
      <c r="H396" s="401">
        <f t="shared" si="233"/>
        <v>61043</v>
      </c>
      <c r="I396" s="401">
        <f t="shared" si="233"/>
        <v>60935</v>
      </c>
      <c r="J396" s="401">
        <f t="shared" ref="J396:K396" si="234">J378+J379+J382+J384+J386+J393+J394</f>
        <v>59962</v>
      </c>
      <c r="K396" s="401">
        <f t="shared" si="234"/>
        <v>60383</v>
      </c>
      <c r="L396" s="401">
        <f t="shared" ref="L396" si="235">L378+L379+L382+L384+L386+L393+L394</f>
        <v>60495</v>
      </c>
      <c r="P396" s="4"/>
      <c r="R396" s="4"/>
    </row>
    <row r="397" spans="1:18">
      <c r="A397" s="398" t="s">
        <v>7350</v>
      </c>
      <c r="D397" s="401">
        <f t="shared" ref="D397:I397" si="236">SUM(D375:D377)+D380+D381+D390</f>
        <v>50673</v>
      </c>
      <c r="E397" s="401">
        <f t="shared" si="236"/>
        <v>52094</v>
      </c>
      <c r="F397" s="401">
        <f t="shared" si="236"/>
        <v>52641</v>
      </c>
      <c r="G397" s="401">
        <f t="shared" si="236"/>
        <v>52906</v>
      </c>
      <c r="H397" s="401">
        <f t="shared" si="236"/>
        <v>52049</v>
      </c>
      <c r="I397" s="401">
        <f t="shared" si="236"/>
        <v>52817</v>
      </c>
      <c r="J397" s="401">
        <f t="shared" ref="J397:K397" si="237">SUM(J375:J377)+J380+J381+J390</f>
        <v>52026</v>
      </c>
      <c r="K397" s="401">
        <f t="shared" si="237"/>
        <v>52507</v>
      </c>
      <c r="L397" s="401">
        <f t="shared" ref="L397" si="238">SUM(L375:L377)+L380+L381+L390</f>
        <v>52341</v>
      </c>
      <c r="P397" s="4"/>
      <c r="R397" s="4"/>
    </row>
    <row r="398" spans="1:18">
      <c r="A398" s="398" t="s">
        <v>7238</v>
      </c>
      <c r="D398" s="401">
        <f t="shared" ref="D398:I398" si="239">D383+D385+SUM(D387:D389)+D391+D392</f>
        <v>58431</v>
      </c>
      <c r="E398" s="401">
        <f t="shared" si="239"/>
        <v>59846</v>
      </c>
      <c r="F398" s="401">
        <f t="shared" si="239"/>
        <v>61018</v>
      </c>
      <c r="G398" s="401">
        <f t="shared" si="239"/>
        <v>59945</v>
      </c>
      <c r="H398" s="401">
        <f t="shared" si="239"/>
        <v>60158</v>
      </c>
      <c r="I398" s="401">
        <f t="shared" si="239"/>
        <v>59599</v>
      </c>
      <c r="J398" s="401">
        <f>J383+J385+SUM(J387:J389)+J391+J392</f>
        <v>58224</v>
      </c>
      <c r="K398" s="401">
        <f t="shared" ref="K398:L398" si="240">K383+K385+SUM(K387:K389)+K391+K392</f>
        <v>58843</v>
      </c>
      <c r="L398" s="401">
        <f t="shared" si="240"/>
        <v>59080</v>
      </c>
      <c r="P398" s="4"/>
      <c r="R398" s="4"/>
    </row>
    <row r="399" spans="1:18">
      <c r="P399" s="4"/>
      <c r="R399" s="4"/>
    </row>
    <row r="400" spans="1:18">
      <c r="A400" s="399" t="s">
        <v>5880</v>
      </c>
      <c r="P400" s="4"/>
      <c r="R400" s="4"/>
    </row>
    <row r="401" spans="16:18">
      <c r="P401" s="4"/>
      <c r="R401" s="4"/>
    </row>
    <row r="402" spans="16:18">
      <c r="P402" s="4"/>
      <c r="R402" s="4"/>
    </row>
    <row r="403" spans="16:18">
      <c r="P403" s="4"/>
      <c r="R403" s="4"/>
    </row>
    <row r="404" spans="16:18">
      <c r="P404" s="4"/>
      <c r="R404" s="4"/>
    </row>
    <row r="405" spans="16:18">
      <c r="P405" s="4"/>
      <c r="R405" s="4"/>
    </row>
  </sheetData>
  <sortState ref="O389:Q390">
    <sortCondition descending="1" ref="O389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5" orientation="portrait" horizontalDpi="300" verticalDpi="300" r:id="rId1"/>
  <headerFooter alignWithMargins="0">
    <oddFooter>&amp;C&amp;8&amp;P of &amp;N</oddFooter>
  </headerFooter>
  <rowBreaks count="2" manualBreakCount="2">
    <brk id="55" max="4" man="1"/>
    <brk id="79" max="4" man="1"/>
  </rowBreaks>
  <ignoredErrors>
    <ignoredError sqref="D396:D398 D374:K374 D280:K280 D306:D309 D269:D273 D243:K243 D214:K214 D234:D236 D343:K343 D365:D367 D316:K316 D335:D336 E306:E309 E396:E398 E234:E236 E335:E336 E269:E273 D3:D12 E365:E367 E3:E12 F234:F236 F269:F273 F306:F309 F335:F336 F365:F367 F396:F398 F3:F12 G335:G336 G365:G367 G306:G309 G396:G398 G234:G236 G269:G273 G3:G12 D14:D79 E14:E79 F14:F79 G14:G79 D13:G13 H234:H236 H269:H273 H335:H336 H396:H398 H306:H309 H365:H367 H3:H12 H13:H79 I396:I398 I269:I273 I234:I236 I335:I336 I365:I367 I306:I309 I3:I79 J306:J309 J234:J236 J269:J273 J335:J336 J365:J367 J396:J398 J3:J79 K234:K236 K269:K273 K306:K309 K335:K336 K365:K367 K396:K398 K3:K79 D91:K91 D98:K98 D102:K102 D113:K113 D123:K123 D139:K139 D143:K143 D148:K148 D153:K153 D156:K156 D168:K168 D173:K173 D189:K189 L3:L197 D85:K85 D94:K94 D106:K106 D110:K110 D127:K127 D136:K136 D177:K177 L208:L398 L198:L206 D198:K206" unlockedFormula="1"/>
    <ignoredError sqref="D194:K194 D207:K207 L207" formulaRange="1" unlockedFormula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260"/>
  <sheetViews>
    <sheetView showGridLines="0" zoomScaleNormal="100" workbookViewId="0"/>
  </sheetViews>
  <sheetFormatPr defaultColWidth="12.5703125" defaultRowHeight="15"/>
  <cols>
    <col min="1" max="1" width="4.85546875" style="753" customWidth="1"/>
    <col min="2" max="2" width="41" style="753" customWidth="1"/>
    <col min="3" max="3" width="11.5703125" style="753" customWidth="1"/>
    <col min="4" max="12" width="10.140625" style="753" customWidth="1"/>
    <col min="13" max="13" width="2.28515625" style="753" customWidth="1"/>
    <col min="14" max="14" width="40.7109375" style="753" customWidth="1"/>
    <col min="15" max="16384" width="12.5703125" style="753"/>
  </cols>
  <sheetData>
    <row r="1" spans="1:14">
      <c r="A1" s="752" t="s">
        <v>8847</v>
      </c>
      <c r="D1" s="754">
        <v>2010</v>
      </c>
      <c r="E1" s="754">
        <v>2011</v>
      </c>
      <c r="F1" s="754">
        <v>2012</v>
      </c>
      <c r="G1" s="754">
        <v>2013</v>
      </c>
      <c r="H1" s="754">
        <v>2014</v>
      </c>
      <c r="I1" s="754">
        <v>2015</v>
      </c>
      <c r="J1" s="754">
        <v>2016</v>
      </c>
      <c r="K1" s="754">
        <v>2017</v>
      </c>
      <c r="L1" s="754">
        <v>2018</v>
      </c>
    </row>
    <row r="3" spans="1:14">
      <c r="A3" s="752" t="s">
        <v>8765</v>
      </c>
      <c r="D3" s="755">
        <f t="shared" ref="D3:I3" si="0">SUM(D5:D11)</f>
        <v>598743</v>
      </c>
      <c r="E3" s="755">
        <f t="shared" si="0"/>
        <v>602338</v>
      </c>
      <c r="F3" s="755">
        <f t="shared" si="0"/>
        <v>607363</v>
      </c>
      <c r="G3" s="755">
        <f t="shared" si="0"/>
        <v>611161</v>
      </c>
      <c r="H3" s="755">
        <f t="shared" si="0"/>
        <v>605063</v>
      </c>
      <c r="I3" s="755">
        <f t="shared" si="0"/>
        <v>600847</v>
      </c>
      <c r="J3" s="755">
        <f t="shared" ref="J3:K3" si="1">SUM(J5:J11)</f>
        <v>598549</v>
      </c>
      <c r="K3" s="755">
        <f t="shared" si="1"/>
        <v>622745</v>
      </c>
      <c r="L3" s="755">
        <f t="shared" ref="L3" si="2">SUM(L5:L11)</f>
        <v>629540</v>
      </c>
    </row>
    <row r="4" spans="1:14">
      <c r="D4" s="756"/>
      <c r="E4" s="756"/>
      <c r="F4" s="756"/>
      <c r="G4" s="756"/>
      <c r="H4" s="756"/>
      <c r="I4" s="756"/>
      <c r="J4" s="756"/>
      <c r="K4" s="756"/>
      <c r="L4" s="756"/>
    </row>
    <row r="5" spans="1:14">
      <c r="A5" s="752" t="s">
        <v>5881</v>
      </c>
      <c r="C5" s="752"/>
      <c r="D5" s="755">
        <f t="shared" ref="D5:I5" si="3">D50</f>
        <v>47382</v>
      </c>
      <c r="E5" s="755">
        <f t="shared" si="3"/>
        <v>47396</v>
      </c>
      <c r="F5" s="755">
        <f t="shared" si="3"/>
        <v>47913</v>
      </c>
      <c r="G5" s="755">
        <f t="shared" si="3"/>
        <v>48236</v>
      </c>
      <c r="H5" s="755">
        <f t="shared" si="3"/>
        <v>48113</v>
      </c>
      <c r="I5" s="755">
        <f t="shared" si="3"/>
        <v>46710</v>
      </c>
      <c r="J5" s="755">
        <f t="shared" ref="J5:K5" si="4">J50</f>
        <v>46643</v>
      </c>
      <c r="K5" s="755">
        <f t="shared" si="4"/>
        <v>48207</v>
      </c>
      <c r="L5" s="755">
        <f t="shared" ref="L5" si="5">L50</f>
        <v>48471</v>
      </c>
      <c r="N5" s="757"/>
    </row>
    <row r="6" spans="1:14">
      <c r="A6" s="752" t="s">
        <v>5882</v>
      </c>
      <c r="C6" s="752"/>
      <c r="D6" s="755">
        <f t="shared" ref="D6:I6" si="6">D73</f>
        <v>112814</v>
      </c>
      <c r="E6" s="755">
        <f t="shared" si="6"/>
        <v>112169</v>
      </c>
      <c r="F6" s="755">
        <f t="shared" si="6"/>
        <v>112052</v>
      </c>
      <c r="G6" s="755">
        <f t="shared" si="6"/>
        <v>111331</v>
      </c>
      <c r="H6" s="755">
        <f t="shared" si="6"/>
        <v>109063</v>
      </c>
      <c r="I6" s="755">
        <f t="shared" si="6"/>
        <v>111759</v>
      </c>
      <c r="J6" s="755">
        <f t="shared" ref="J6:K6" si="7">J73</f>
        <v>113193</v>
      </c>
      <c r="K6" s="755">
        <f t="shared" si="7"/>
        <v>116521</v>
      </c>
      <c r="L6" s="755">
        <f t="shared" ref="L6" si="8">L73</f>
        <v>120238</v>
      </c>
      <c r="N6" s="757"/>
    </row>
    <row r="7" spans="1:14">
      <c r="A7" s="752" t="s">
        <v>5883</v>
      </c>
      <c r="C7" s="752"/>
      <c r="D7" s="755">
        <f t="shared" ref="D7:I7" si="9">D109</f>
        <v>88831</v>
      </c>
      <c r="E7" s="755">
        <f t="shared" si="9"/>
        <v>89483</v>
      </c>
      <c r="F7" s="755">
        <f t="shared" si="9"/>
        <v>89912</v>
      </c>
      <c r="G7" s="755">
        <f t="shared" si="9"/>
        <v>91428</v>
      </c>
      <c r="H7" s="755">
        <f t="shared" si="9"/>
        <v>89884</v>
      </c>
      <c r="I7" s="755">
        <f t="shared" si="9"/>
        <v>88324</v>
      </c>
      <c r="J7" s="755">
        <f t="shared" ref="J7:K7" si="10">J109</f>
        <v>85960</v>
      </c>
      <c r="K7" s="755">
        <f t="shared" si="10"/>
        <v>90709</v>
      </c>
      <c r="L7" s="755">
        <f t="shared" ref="L7" si="11">L109</f>
        <v>90973</v>
      </c>
      <c r="N7" s="757"/>
    </row>
    <row r="8" spans="1:14">
      <c r="A8" s="752" t="s">
        <v>7718</v>
      </c>
      <c r="C8" s="752"/>
      <c r="D8" s="755">
        <f t="shared" ref="D8:I8" si="12">D148</f>
        <v>72024</v>
      </c>
      <c r="E8" s="755">
        <f t="shared" si="12"/>
        <v>71793</v>
      </c>
      <c r="F8" s="755">
        <f t="shared" si="12"/>
        <v>73935</v>
      </c>
      <c r="G8" s="755">
        <f t="shared" si="12"/>
        <v>74610</v>
      </c>
      <c r="H8" s="755">
        <f t="shared" si="12"/>
        <v>74369</v>
      </c>
      <c r="I8" s="755">
        <f t="shared" si="12"/>
        <v>72424</v>
      </c>
      <c r="J8" s="755">
        <f t="shared" ref="J8:K8" si="13">J148</f>
        <v>70578</v>
      </c>
      <c r="K8" s="755">
        <f t="shared" si="13"/>
        <v>71455</v>
      </c>
      <c r="L8" s="755">
        <f t="shared" ref="L8" si="14">L148</f>
        <v>72499</v>
      </c>
      <c r="N8" s="757"/>
    </row>
    <row r="9" spans="1:14">
      <c r="A9" s="752" t="s">
        <v>7719</v>
      </c>
      <c r="C9" s="752"/>
      <c r="D9" s="755">
        <f t="shared" ref="D9:I9" si="15">D172</f>
        <v>99682</v>
      </c>
      <c r="E9" s="755">
        <f t="shared" si="15"/>
        <v>100713</v>
      </c>
      <c r="F9" s="755">
        <f t="shared" si="15"/>
        <v>101117</v>
      </c>
      <c r="G9" s="755">
        <f t="shared" si="15"/>
        <v>101732</v>
      </c>
      <c r="H9" s="755">
        <f t="shared" si="15"/>
        <v>99258</v>
      </c>
      <c r="I9" s="755">
        <f t="shared" si="15"/>
        <v>99936</v>
      </c>
      <c r="J9" s="755">
        <f t="shared" ref="J9:K9" si="16">J172</f>
        <v>100288</v>
      </c>
      <c r="K9" s="755">
        <f t="shared" si="16"/>
        <v>103959</v>
      </c>
      <c r="L9" s="755">
        <f t="shared" ref="L9" si="17">L172</f>
        <v>105544</v>
      </c>
      <c r="N9" s="757"/>
    </row>
    <row r="10" spans="1:14">
      <c r="A10" s="752" t="s">
        <v>7720</v>
      </c>
      <c r="C10" s="752"/>
      <c r="D10" s="755">
        <f t="shared" ref="D10:I10" si="18">D205</f>
        <v>100172</v>
      </c>
      <c r="E10" s="755">
        <f t="shared" si="18"/>
        <v>101739</v>
      </c>
      <c r="F10" s="755">
        <f t="shared" si="18"/>
        <v>102770</v>
      </c>
      <c r="G10" s="755">
        <f t="shared" si="18"/>
        <v>103635</v>
      </c>
      <c r="H10" s="755">
        <f t="shared" si="18"/>
        <v>106256</v>
      </c>
      <c r="I10" s="755">
        <f t="shared" si="18"/>
        <v>104742</v>
      </c>
      <c r="J10" s="755">
        <f t="shared" ref="J10:K10" si="19">J205</f>
        <v>104358</v>
      </c>
      <c r="K10" s="755">
        <f t="shared" si="19"/>
        <v>110296</v>
      </c>
      <c r="L10" s="755">
        <f t="shared" ref="L10" si="20">L205</f>
        <v>110194</v>
      </c>
      <c r="N10" s="757"/>
    </row>
    <row r="11" spans="1:14">
      <c r="A11" s="752" t="s">
        <v>7721</v>
      </c>
      <c r="C11" s="752"/>
      <c r="D11" s="755">
        <f t="shared" ref="D11:I11" si="21">D242</f>
        <v>77838</v>
      </c>
      <c r="E11" s="755">
        <f t="shared" si="21"/>
        <v>79045</v>
      </c>
      <c r="F11" s="755">
        <f t="shared" si="21"/>
        <v>79664</v>
      </c>
      <c r="G11" s="755">
        <f t="shared" si="21"/>
        <v>80189</v>
      </c>
      <c r="H11" s="755">
        <f t="shared" si="21"/>
        <v>78120</v>
      </c>
      <c r="I11" s="755">
        <f t="shared" si="21"/>
        <v>76952</v>
      </c>
      <c r="J11" s="755">
        <f t="shared" ref="J11:K11" si="22">J242</f>
        <v>77529</v>
      </c>
      <c r="K11" s="755">
        <f t="shared" si="22"/>
        <v>81598</v>
      </c>
      <c r="L11" s="755">
        <f t="shared" ref="L11" si="23">L242</f>
        <v>81621</v>
      </c>
      <c r="N11" s="757"/>
    </row>
    <row r="13" spans="1:14">
      <c r="A13" s="752" t="s">
        <v>1542</v>
      </c>
      <c r="D13" s="755">
        <f t="shared" ref="D13:I13" si="24">D3/8</f>
        <v>74842.875</v>
      </c>
      <c r="E13" s="755">
        <f t="shared" si="24"/>
        <v>75292.25</v>
      </c>
      <c r="F13" s="755">
        <f t="shared" si="24"/>
        <v>75920.375</v>
      </c>
      <c r="G13" s="755">
        <f t="shared" si="24"/>
        <v>76395.125</v>
      </c>
      <c r="H13" s="755">
        <f t="shared" si="24"/>
        <v>75632.875</v>
      </c>
      <c r="I13" s="755">
        <f t="shared" si="24"/>
        <v>75105.875</v>
      </c>
      <c r="J13" s="755">
        <f t="shared" ref="J13:K13" si="25">J3/8</f>
        <v>74818.625</v>
      </c>
      <c r="K13" s="755">
        <f t="shared" si="25"/>
        <v>77843.125</v>
      </c>
      <c r="L13" s="755">
        <f t="shared" ref="L13" si="26">L3/8</f>
        <v>78692.5</v>
      </c>
    </row>
    <row r="14" spans="1:14">
      <c r="D14" s="756"/>
      <c r="E14" s="756"/>
      <c r="F14" s="756"/>
      <c r="G14" s="756"/>
      <c r="H14" s="756"/>
      <c r="I14" s="756"/>
      <c r="J14" s="756"/>
      <c r="K14" s="756"/>
      <c r="L14" s="756"/>
    </row>
    <row r="15" spans="1:14">
      <c r="A15" s="752" t="s">
        <v>7722</v>
      </c>
      <c r="D15" s="755">
        <f t="shared" ref="D15:I15" si="27">D100</f>
        <v>20693</v>
      </c>
      <c r="E15" s="755">
        <f t="shared" si="27"/>
        <v>20611</v>
      </c>
      <c r="F15" s="755">
        <f t="shared" si="27"/>
        <v>20506</v>
      </c>
      <c r="G15" s="755">
        <f t="shared" si="27"/>
        <v>20321</v>
      </c>
      <c r="H15" s="755">
        <f t="shared" si="27"/>
        <v>19443</v>
      </c>
      <c r="I15" s="755">
        <f t="shared" si="27"/>
        <v>20068</v>
      </c>
      <c r="J15" s="755">
        <f t="shared" ref="J15:K15" si="28">J100</f>
        <v>20000</v>
      </c>
      <c r="K15" s="755">
        <f t="shared" si="28"/>
        <v>20916</v>
      </c>
      <c r="L15" s="755">
        <f t="shared" ref="L15" si="29">L100</f>
        <v>21603</v>
      </c>
      <c r="N15" s="752" t="s">
        <v>7723</v>
      </c>
    </row>
    <row r="16" spans="1:14">
      <c r="D16" s="755">
        <f t="shared" ref="D16:I16" si="30">D140</f>
        <v>7649</v>
      </c>
      <c r="E16" s="755">
        <f t="shared" si="30"/>
        <v>7679</v>
      </c>
      <c r="F16" s="755">
        <f t="shared" si="30"/>
        <v>7643</v>
      </c>
      <c r="G16" s="755">
        <f t="shared" si="30"/>
        <v>7689</v>
      </c>
      <c r="H16" s="755">
        <f t="shared" si="30"/>
        <v>7568</v>
      </c>
      <c r="I16" s="755">
        <f t="shared" si="30"/>
        <v>7446</v>
      </c>
      <c r="J16" s="755">
        <f t="shared" ref="J16:K16" si="31">J140</f>
        <v>7224</v>
      </c>
      <c r="K16" s="755">
        <f t="shared" si="31"/>
        <v>7562</v>
      </c>
      <c r="L16" s="755">
        <f t="shared" ref="L16" si="32">L140</f>
        <v>7496</v>
      </c>
      <c r="N16" s="752" t="s">
        <v>7592</v>
      </c>
    </row>
    <row r="17" spans="1:14">
      <c r="D17" s="755">
        <f t="shared" ref="D17:I17" si="33">D196</f>
        <v>36492</v>
      </c>
      <c r="E17" s="755">
        <f t="shared" si="33"/>
        <v>36963</v>
      </c>
      <c r="F17" s="755">
        <f t="shared" si="33"/>
        <v>36975</v>
      </c>
      <c r="G17" s="755">
        <f t="shared" si="33"/>
        <v>36968</v>
      </c>
      <c r="H17" s="755">
        <f t="shared" si="33"/>
        <v>36452</v>
      </c>
      <c r="I17" s="755">
        <f t="shared" si="33"/>
        <v>36441</v>
      </c>
      <c r="J17" s="755">
        <f t="shared" ref="J17:K17" si="34">J196</f>
        <v>36249</v>
      </c>
      <c r="K17" s="755">
        <f t="shared" si="34"/>
        <v>37171</v>
      </c>
      <c r="L17" s="755">
        <f t="shared" ref="L17" si="35">L196</f>
        <v>37425</v>
      </c>
      <c r="N17" s="752" t="s">
        <v>7593</v>
      </c>
    </row>
    <row r="18" spans="1:14" ht="15.75" thickBot="1">
      <c r="D18" s="758">
        <f t="shared" ref="D18:I18" si="36">D233</f>
        <v>11184</v>
      </c>
      <c r="E18" s="758">
        <f t="shared" si="36"/>
        <v>11444</v>
      </c>
      <c r="F18" s="758">
        <f t="shared" si="36"/>
        <v>11643</v>
      </c>
      <c r="G18" s="758">
        <f t="shared" si="36"/>
        <v>11797</v>
      </c>
      <c r="H18" s="758">
        <f t="shared" si="36"/>
        <v>12034</v>
      </c>
      <c r="I18" s="758">
        <f t="shared" si="36"/>
        <v>11968</v>
      </c>
      <c r="J18" s="758">
        <f t="shared" ref="J18:K18" si="37">J233</f>
        <v>11848</v>
      </c>
      <c r="K18" s="758">
        <f t="shared" si="37"/>
        <v>12547</v>
      </c>
      <c r="L18" s="758">
        <f t="shared" ref="L18" si="38">L233</f>
        <v>12556</v>
      </c>
      <c r="N18" s="752" t="s">
        <v>7594</v>
      </c>
    </row>
    <row r="19" spans="1:14" ht="15.75" thickBot="1">
      <c r="D19" s="758">
        <f t="shared" ref="D19:I19" si="39">SUM(D15:D18)</f>
        <v>76018</v>
      </c>
      <c r="E19" s="758">
        <f t="shared" si="39"/>
        <v>76697</v>
      </c>
      <c r="F19" s="758">
        <f t="shared" si="39"/>
        <v>76767</v>
      </c>
      <c r="G19" s="758">
        <f t="shared" si="39"/>
        <v>76775</v>
      </c>
      <c r="H19" s="758">
        <f t="shared" si="39"/>
        <v>75497</v>
      </c>
      <c r="I19" s="758">
        <f t="shared" si="39"/>
        <v>75923</v>
      </c>
      <c r="J19" s="758">
        <f t="shared" ref="J19:K19" si="40">SUM(J15:J18)</f>
        <v>75321</v>
      </c>
      <c r="K19" s="758">
        <f t="shared" si="40"/>
        <v>78196</v>
      </c>
      <c r="L19" s="758">
        <f t="shared" ref="L19" si="41">SUM(L15:L18)</f>
        <v>79080</v>
      </c>
    </row>
    <row r="20" spans="1:14">
      <c r="D20" s="756"/>
      <c r="E20" s="756"/>
      <c r="F20" s="756"/>
      <c r="G20" s="756"/>
      <c r="H20" s="756"/>
      <c r="I20" s="756"/>
      <c r="J20" s="756"/>
      <c r="K20" s="756"/>
      <c r="L20" s="756"/>
    </row>
    <row r="21" spans="1:14">
      <c r="A21" s="752" t="s">
        <v>7595</v>
      </c>
      <c r="D21" s="755">
        <f t="shared" ref="D21:I21" si="42">D101</f>
        <v>71033</v>
      </c>
      <c r="E21" s="755">
        <f t="shared" si="42"/>
        <v>70535</v>
      </c>
      <c r="F21" s="755">
        <f t="shared" si="42"/>
        <v>70659</v>
      </c>
      <c r="G21" s="755">
        <f t="shared" si="42"/>
        <v>70161</v>
      </c>
      <c r="H21" s="755">
        <f t="shared" si="42"/>
        <v>69300</v>
      </c>
      <c r="I21" s="755">
        <f t="shared" si="42"/>
        <v>71042</v>
      </c>
      <c r="J21" s="755">
        <f t="shared" ref="J21:K21" si="43">J101</f>
        <v>72190</v>
      </c>
      <c r="K21" s="755">
        <f t="shared" si="43"/>
        <v>74372</v>
      </c>
      <c r="L21" s="755">
        <f t="shared" ref="L21" si="44">L101</f>
        <v>76852</v>
      </c>
      <c r="N21" s="752" t="s">
        <v>7723</v>
      </c>
    </row>
    <row r="22" spans="1:14">
      <c r="D22" s="756"/>
      <c r="E22" s="756"/>
      <c r="F22" s="756"/>
      <c r="G22" s="756"/>
      <c r="H22" s="756"/>
      <c r="I22" s="756"/>
      <c r="J22" s="756"/>
      <c r="K22" s="756"/>
      <c r="L22" s="756"/>
    </row>
    <row r="23" spans="1:14">
      <c r="A23" s="752" t="s">
        <v>7596</v>
      </c>
      <c r="D23" s="755">
        <f t="shared" ref="D23:I23" si="45">D141</f>
        <v>81182</v>
      </c>
      <c r="E23" s="755">
        <f t="shared" si="45"/>
        <v>81804</v>
      </c>
      <c r="F23" s="755">
        <f t="shared" si="45"/>
        <v>82269</v>
      </c>
      <c r="G23" s="755">
        <f t="shared" si="45"/>
        <v>83739</v>
      </c>
      <c r="H23" s="755">
        <f t="shared" si="45"/>
        <v>82316</v>
      </c>
      <c r="I23" s="755">
        <f t="shared" si="45"/>
        <v>80878</v>
      </c>
      <c r="J23" s="755">
        <f t="shared" ref="J23:K23" si="46">J141</f>
        <v>78736</v>
      </c>
      <c r="K23" s="755">
        <f t="shared" si="46"/>
        <v>83147</v>
      </c>
      <c r="L23" s="755">
        <f t="shared" ref="L23" si="47">L141</f>
        <v>83477</v>
      </c>
      <c r="N23" s="752" t="s">
        <v>7592</v>
      </c>
    </row>
    <row r="24" spans="1:14">
      <c r="D24" s="756"/>
      <c r="E24" s="756"/>
      <c r="F24" s="756"/>
      <c r="G24" s="756"/>
      <c r="H24" s="756"/>
      <c r="I24" s="756"/>
      <c r="J24" s="756"/>
      <c r="K24" s="756"/>
      <c r="L24" s="756"/>
    </row>
    <row r="25" spans="1:14">
      <c r="A25" s="752" t="s">
        <v>7597</v>
      </c>
      <c r="D25" s="755">
        <f t="shared" ref="D25:I25" si="48">D165</f>
        <v>72024</v>
      </c>
      <c r="E25" s="755">
        <f t="shared" si="48"/>
        <v>71793</v>
      </c>
      <c r="F25" s="755">
        <f t="shared" si="48"/>
        <v>73935</v>
      </c>
      <c r="G25" s="755">
        <f t="shared" si="48"/>
        <v>74610</v>
      </c>
      <c r="H25" s="755">
        <f t="shared" si="48"/>
        <v>74369</v>
      </c>
      <c r="I25" s="755">
        <f t="shared" si="48"/>
        <v>72424</v>
      </c>
      <c r="J25" s="755">
        <f t="shared" ref="J25:K25" si="49">J165</f>
        <v>70578</v>
      </c>
      <c r="K25" s="755">
        <f t="shared" si="49"/>
        <v>71455</v>
      </c>
      <c r="L25" s="755">
        <f t="shared" ref="L25" si="50">L165</f>
        <v>72499</v>
      </c>
      <c r="N25" s="752" t="s">
        <v>8761</v>
      </c>
    </row>
    <row r="26" spans="1:14">
      <c r="D26" s="756"/>
      <c r="E26" s="756"/>
      <c r="F26" s="756"/>
      <c r="G26" s="756"/>
      <c r="H26" s="756"/>
      <c r="I26" s="756"/>
      <c r="J26" s="756"/>
      <c r="K26" s="756"/>
      <c r="L26" s="756"/>
    </row>
    <row r="27" spans="1:14">
      <c r="A27" s="752" t="s">
        <v>2329</v>
      </c>
      <c r="D27" s="755">
        <f t="shared" ref="D27:I27" si="51">D66</f>
        <v>47382</v>
      </c>
      <c r="E27" s="755">
        <f t="shared" si="51"/>
        <v>47396</v>
      </c>
      <c r="F27" s="755">
        <f t="shared" si="51"/>
        <v>47913</v>
      </c>
      <c r="G27" s="755">
        <f t="shared" si="51"/>
        <v>48236</v>
      </c>
      <c r="H27" s="755">
        <f t="shared" si="51"/>
        <v>48113</v>
      </c>
      <c r="I27" s="755">
        <f t="shared" si="51"/>
        <v>46710</v>
      </c>
      <c r="J27" s="755">
        <f t="shared" ref="J27:K27" si="52">J66</f>
        <v>46643</v>
      </c>
      <c r="K27" s="755">
        <f t="shared" si="52"/>
        <v>48207</v>
      </c>
      <c r="L27" s="755">
        <f t="shared" ref="L27" si="53">L66</f>
        <v>48471</v>
      </c>
      <c r="N27" s="752" t="s">
        <v>8758</v>
      </c>
    </row>
    <row r="28" spans="1:14" ht="15.75" thickBot="1">
      <c r="D28" s="758">
        <f t="shared" ref="D28:I28" si="54">D257</f>
        <v>25142</v>
      </c>
      <c r="E28" s="758">
        <f t="shared" si="54"/>
        <v>25600</v>
      </c>
      <c r="F28" s="758">
        <f t="shared" si="54"/>
        <v>25757</v>
      </c>
      <c r="G28" s="758">
        <f t="shared" si="54"/>
        <v>25925</v>
      </c>
      <c r="H28" s="758">
        <f t="shared" si="54"/>
        <v>25283</v>
      </c>
      <c r="I28" s="758">
        <f t="shared" si="54"/>
        <v>24937</v>
      </c>
      <c r="J28" s="758">
        <f t="shared" ref="J28:K28" si="55">J257</f>
        <v>25080</v>
      </c>
      <c r="K28" s="758">
        <f t="shared" si="55"/>
        <v>26209</v>
      </c>
      <c r="L28" s="758">
        <f t="shared" ref="L28" si="56">L257</f>
        <v>26134</v>
      </c>
      <c r="N28" s="752" t="s">
        <v>2330</v>
      </c>
    </row>
    <row r="29" spans="1:14" ht="15.75" thickBot="1">
      <c r="D29" s="758">
        <f t="shared" ref="D29:I29" si="57">D27+D28</f>
        <v>72524</v>
      </c>
      <c r="E29" s="758">
        <f t="shared" si="57"/>
        <v>72996</v>
      </c>
      <c r="F29" s="758">
        <f t="shared" si="57"/>
        <v>73670</v>
      </c>
      <c r="G29" s="758">
        <f t="shared" si="57"/>
        <v>74161</v>
      </c>
      <c r="H29" s="758">
        <f t="shared" si="57"/>
        <v>73396</v>
      </c>
      <c r="I29" s="758">
        <f t="shared" si="57"/>
        <v>71647</v>
      </c>
      <c r="J29" s="758">
        <f t="shared" ref="J29:K29" si="58">J27+J28</f>
        <v>71723</v>
      </c>
      <c r="K29" s="758">
        <f t="shared" si="58"/>
        <v>74416</v>
      </c>
      <c r="L29" s="758">
        <f t="shared" ref="L29" si="59">L27+L28</f>
        <v>74605</v>
      </c>
    </row>
    <row r="30" spans="1:14">
      <c r="D30" s="756"/>
      <c r="E30" s="756"/>
      <c r="F30" s="756"/>
      <c r="G30" s="756"/>
      <c r="H30" s="756"/>
      <c r="I30" s="756"/>
      <c r="J30" s="756"/>
      <c r="K30" s="756"/>
      <c r="L30" s="756"/>
    </row>
    <row r="31" spans="1:14">
      <c r="A31" s="752" t="s">
        <v>2331</v>
      </c>
      <c r="D31" s="755">
        <f t="shared" ref="D31:I31" si="60">D197</f>
        <v>63190</v>
      </c>
      <c r="E31" s="755">
        <f t="shared" si="60"/>
        <v>63750</v>
      </c>
      <c r="F31" s="755">
        <f t="shared" si="60"/>
        <v>64142</v>
      </c>
      <c r="G31" s="755">
        <f t="shared" si="60"/>
        <v>64764</v>
      </c>
      <c r="H31" s="755">
        <f t="shared" si="60"/>
        <v>62806</v>
      </c>
      <c r="I31" s="755">
        <f t="shared" si="60"/>
        <v>63495</v>
      </c>
      <c r="J31" s="755">
        <f t="shared" ref="J31:K31" si="61">J197</f>
        <v>64039</v>
      </c>
      <c r="K31" s="755">
        <f t="shared" si="61"/>
        <v>66788</v>
      </c>
      <c r="L31" s="755">
        <f t="shared" ref="L31" si="62">L197</f>
        <v>68119</v>
      </c>
      <c r="N31" s="752" t="s">
        <v>7593</v>
      </c>
    </row>
    <row r="32" spans="1:14" ht="15.75" thickBot="1">
      <c r="D32" s="758">
        <f t="shared" ref="D32:I32" si="63">D234</f>
        <v>13034</v>
      </c>
      <c r="E32" s="758">
        <f t="shared" si="63"/>
        <v>13251</v>
      </c>
      <c r="F32" s="758">
        <f t="shared" si="63"/>
        <v>13318</v>
      </c>
      <c r="G32" s="758">
        <f t="shared" si="63"/>
        <v>13404</v>
      </c>
      <c r="H32" s="758">
        <f t="shared" si="63"/>
        <v>13677</v>
      </c>
      <c r="I32" s="758">
        <f t="shared" si="63"/>
        <v>13484</v>
      </c>
      <c r="J32" s="758">
        <f t="shared" ref="J32:K32" si="64">J234</f>
        <v>13361</v>
      </c>
      <c r="K32" s="758">
        <f t="shared" si="64"/>
        <v>14196</v>
      </c>
      <c r="L32" s="758">
        <f t="shared" ref="L32" si="65">L234</f>
        <v>14243</v>
      </c>
      <c r="N32" s="752" t="s">
        <v>7594</v>
      </c>
    </row>
    <row r="33" spans="1:14" ht="15.75" thickBot="1">
      <c r="D33" s="758">
        <f t="shared" ref="D33:I33" si="66">SUM(D31:D32)</f>
        <v>76224</v>
      </c>
      <c r="E33" s="758">
        <f t="shared" si="66"/>
        <v>77001</v>
      </c>
      <c r="F33" s="758">
        <f t="shared" si="66"/>
        <v>77460</v>
      </c>
      <c r="G33" s="758">
        <f t="shared" si="66"/>
        <v>78168</v>
      </c>
      <c r="H33" s="758">
        <f t="shared" si="66"/>
        <v>76483</v>
      </c>
      <c r="I33" s="758">
        <f t="shared" si="66"/>
        <v>76979</v>
      </c>
      <c r="J33" s="758">
        <f t="shared" ref="J33:K33" si="67">SUM(J31:J32)</f>
        <v>77400</v>
      </c>
      <c r="K33" s="758">
        <f t="shared" si="67"/>
        <v>80984</v>
      </c>
      <c r="L33" s="758">
        <f t="shared" ref="L33" si="68">SUM(L31:L32)</f>
        <v>82362</v>
      </c>
    </row>
    <row r="34" spans="1:14">
      <c r="D34" s="756"/>
      <c r="E34" s="756"/>
      <c r="F34" s="756"/>
      <c r="G34" s="756"/>
      <c r="H34" s="756"/>
      <c r="I34" s="756"/>
      <c r="J34" s="756"/>
      <c r="K34" s="756"/>
      <c r="L34" s="756"/>
    </row>
    <row r="35" spans="1:14">
      <c r="A35" s="752" t="s">
        <v>2332</v>
      </c>
      <c r="D35" s="755">
        <f t="shared" ref="D35:I35" si="69">D235</f>
        <v>75954</v>
      </c>
      <c r="E35" s="755">
        <f t="shared" si="69"/>
        <v>77044</v>
      </c>
      <c r="F35" s="755">
        <f t="shared" si="69"/>
        <v>77809</v>
      </c>
      <c r="G35" s="755">
        <f t="shared" si="69"/>
        <v>78434</v>
      </c>
      <c r="H35" s="755">
        <f t="shared" si="69"/>
        <v>80545</v>
      </c>
      <c r="I35" s="755">
        <f t="shared" si="69"/>
        <v>79290</v>
      </c>
      <c r="J35" s="755">
        <f t="shared" ref="J35:K35" si="70">J235</f>
        <v>79149</v>
      </c>
      <c r="K35" s="755">
        <f t="shared" si="70"/>
        <v>83553</v>
      </c>
      <c r="L35" s="755">
        <f t="shared" ref="L35" si="71">L235</f>
        <v>83395</v>
      </c>
      <c r="N35" s="752" t="s">
        <v>7594</v>
      </c>
    </row>
    <row r="36" spans="1:14">
      <c r="D36" s="756"/>
      <c r="E36" s="756"/>
      <c r="F36" s="756"/>
      <c r="G36" s="756"/>
      <c r="H36" s="756"/>
      <c r="I36" s="756"/>
      <c r="J36" s="756"/>
      <c r="K36" s="756"/>
      <c r="L36" s="756"/>
    </row>
    <row r="37" spans="1:14">
      <c r="A37" s="752" t="s">
        <v>2333</v>
      </c>
      <c r="D37" s="755">
        <f t="shared" ref="D37:I37" si="72">D102</f>
        <v>21088</v>
      </c>
      <c r="E37" s="755">
        <f t="shared" si="72"/>
        <v>21023</v>
      </c>
      <c r="F37" s="755">
        <f t="shared" si="72"/>
        <v>20887</v>
      </c>
      <c r="G37" s="755">
        <f t="shared" si="72"/>
        <v>20849</v>
      </c>
      <c r="H37" s="755">
        <f t="shared" si="72"/>
        <v>20320</v>
      </c>
      <c r="I37" s="755">
        <f t="shared" si="72"/>
        <v>20649</v>
      </c>
      <c r="J37" s="755">
        <f t="shared" ref="J37:K37" si="73">J102</f>
        <v>21003</v>
      </c>
      <c r="K37" s="755">
        <f t="shared" si="73"/>
        <v>21233</v>
      </c>
      <c r="L37" s="755">
        <f t="shared" ref="L37" si="74">L102</f>
        <v>21783</v>
      </c>
      <c r="N37" s="752" t="s">
        <v>7723</v>
      </c>
    </row>
    <row r="38" spans="1:14" ht="15.75" thickBot="1">
      <c r="D38" s="758">
        <f t="shared" ref="D38:I38" si="75">D258</f>
        <v>52696</v>
      </c>
      <c r="E38" s="758">
        <f t="shared" si="75"/>
        <v>53445</v>
      </c>
      <c r="F38" s="758">
        <f t="shared" si="75"/>
        <v>53907</v>
      </c>
      <c r="G38" s="758">
        <f t="shared" si="75"/>
        <v>54264</v>
      </c>
      <c r="H38" s="758">
        <f t="shared" si="75"/>
        <v>52837</v>
      </c>
      <c r="I38" s="758">
        <f t="shared" si="75"/>
        <v>52015</v>
      </c>
      <c r="J38" s="758">
        <f t="shared" ref="J38:K38" si="76">J258</f>
        <v>52449</v>
      </c>
      <c r="K38" s="758">
        <f t="shared" si="76"/>
        <v>55389</v>
      </c>
      <c r="L38" s="758">
        <f t="shared" ref="L38" si="77">L258</f>
        <v>55487</v>
      </c>
      <c r="N38" s="752" t="s">
        <v>2330</v>
      </c>
    </row>
    <row r="39" spans="1:14" ht="15.75" thickBot="1">
      <c r="D39" s="758">
        <f t="shared" ref="D39:I39" si="78">D37+D38</f>
        <v>73784</v>
      </c>
      <c r="E39" s="758">
        <f t="shared" si="78"/>
        <v>74468</v>
      </c>
      <c r="F39" s="758">
        <f t="shared" si="78"/>
        <v>74794</v>
      </c>
      <c r="G39" s="758">
        <f t="shared" si="78"/>
        <v>75113</v>
      </c>
      <c r="H39" s="758">
        <f t="shared" si="78"/>
        <v>73157</v>
      </c>
      <c r="I39" s="758">
        <f t="shared" si="78"/>
        <v>72664</v>
      </c>
      <c r="J39" s="758">
        <f t="shared" ref="J39:K39" si="79">J37+J38</f>
        <v>73452</v>
      </c>
      <c r="K39" s="758">
        <f t="shared" si="79"/>
        <v>76622</v>
      </c>
      <c r="L39" s="758">
        <f t="shared" ref="L39" si="80">L37+L38</f>
        <v>77270</v>
      </c>
    </row>
    <row r="40" spans="1:14">
      <c r="D40" s="756"/>
      <c r="E40" s="756"/>
      <c r="F40" s="756"/>
      <c r="G40" s="756"/>
      <c r="H40" s="756"/>
      <c r="I40" s="756"/>
      <c r="J40" s="756"/>
      <c r="K40" s="756"/>
      <c r="L40" s="756"/>
    </row>
    <row r="41" spans="1:14">
      <c r="A41" s="752" t="s">
        <v>8697</v>
      </c>
      <c r="D41" s="755">
        <f t="shared" ref="D41:I41" si="81">D19+D21+D23+D25+D29+D33+D35+D39</f>
        <v>598743</v>
      </c>
      <c r="E41" s="755">
        <f t="shared" si="81"/>
        <v>602338</v>
      </c>
      <c r="F41" s="755">
        <f t="shared" si="81"/>
        <v>607363</v>
      </c>
      <c r="G41" s="755">
        <f t="shared" si="81"/>
        <v>611161</v>
      </c>
      <c r="H41" s="755">
        <f t="shared" si="81"/>
        <v>605063</v>
      </c>
      <c r="I41" s="755">
        <f t="shared" si="81"/>
        <v>600847</v>
      </c>
      <c r="J41" s="755">
        <f t="shared" ref="J41:K41" si="82">J19+J21+J23+J25+J29+J33+J35+J39</f>
        <v>598549</v>
      </c>
      <c r="K41" s="755">
        <f t="shared" si="82"/>
        <v>622745</v>
      </c>
      <c r="L41" s="755">
        <f t="shared" ref="L41" si="83">L19+L21+L23+L25+L29+L33+L35+L39</f>
        <v>629540</v>
      </c>
    </row>
    <row r="42" spans="1:14">
      <c r="D42" s="756"/>
      <c r="E42" s="756"/>
      <c r="F42" s="756"/>
      <c r="G42" s="756"/>
      <c r="H42" s="756"/>
      <c r="I42" s="756"/>
      <c r="J42" s="756"/>
      <c r="K42" s="756"/>
      <c r="L42" s="756"/>
    </row>
    <row r="43" spans="1:14">
      <c r="A43" s="752" t="s">
        <v>8698</v>
      </c>
      <c r="D43" s="755">
        <f t="shared" ref="D43:I43" si="84">MAX(D19,D21,D23,D25,D29,D33,D35,D39)-MIN(D19,D21,D23,D25,D29,D33,D35,D39)</f>
        <v>10149</v>
      </c>
      <c r="E43" s="755">
        <f t="shared" si="84"/>
        <v>11269</v>
      </c>
      <c r="F43" s="755">
        <f t="shared" si="84"/>
        <v>11610</v>
      </c>
      <c r="G43" s="755">
        <f t="shared" si="84"/>
        <v>13578</v>
      </c>
      <c r="H43" s="755">
        <f t="shared" si="84"/>
        <v>13016</v>
      </c>
      <c r="I43" s="755">
        <f t="shared" si="84"/>
        <v>9836</v>
      </c>
      <c r="J43" s="755">
        <f t="shared" ref="J43:K43" si="85">MAX(J19,J21,J23,J25,J29,J33,J35,J39)-MIN(J19,J21,J23,J25,J29,J33,J35,J39)</f>
        <v>8571</v>
      </c>
      <c r="K43" s="755">
        <f t="shared" si="85"/>
        <v>12098</v>
      </c>
      <c r="L43" s="755">
        <f t="shared" ref="L43" si="86">MAX(L19,L21,L23,L25,L29,L33,L35,L39)-MIN(L19,L21,L23,L25,L29,L33,L35,L39)</f>
        <v>10978</v>
      </c>
    </row>
    <row r="44" spans="1:14">
      <c r="D44" s="756"/>
      <c r="E44" s="756"/>
      <c r="F44" s="756"/>
      <c r="G44" s="756"/>
      <c r="H44" s="756"/>
      <c r="I44" s="756"/>
      <c r="J44" s="756"/>
      <c r="K44" s="756"/>
      <c r="L44" s="756"/>
    </row>
    <row r="45" spans="1:14">
      <c r="A45" s="752" t="s">
        <v>8701</v>
      </c>
      <c r="D45" s="755">
        <f t="shared" ref="D45:I45" si="87">STDEVP(D19,D21,D23,D25,D29,D33,D35,D39)</f>
        <v>3034.5331369709907</v>
      </c>
      <c r="E45" s="755">
        <f t="shared" si="87"/>
        <v>3376.2589411210747</v>
      </c>
      <c r="F45" s="755">
        <f t="shared" si="87"/>
        <v>3257.9873364356404</v>
      </c>
      <c r="G45" s="755">
        <f t="shared" si="87"/>
        <v>3709.1617461867309</v>
      </c>
      <c r="H45" s="755">
        <f t="shared" si="87"/>
        <v>3911.0509916613205</v>
      </c>
      <c r="I45" s="755">
        <f t="shared" si="87"/>
        <v>3475.5345429696135</v>
      </c>
      <c r="J45" s="755">
        <f t="shared" ref="J45:K45" si="88">STDEVP(J19,J21,J23,J25,J29,J33,J35,J39)</f>
        <v>3109.6016600804355</v>
      </c>
      <c r="K45" s="755">
        <f t="shared" si="88"/>
        <v>4135.4649205832948</v>
      </c>
      <c r="L45" s="755">
        <f t="shared" ref="L45" si="89">STDEVP(L19,L21,L23,L25,L29,L33,L35,L39)</f>
        <v>3858.4060504306699</v>
      </c>
    </row>
    <row r="46" spans="1:14">
      <c r="A46" s="752"/>
      <c r="D46" s="759"/>
      <c r="E46" s="759"/>
      <c r="F46" s="759"/>
      <c r="G46" s="759"/>
      <c r="H46" s="759"/>
      <c r="I46" s="759"/>
      <c r="J46" s="759"/>
      <c r="K46" s="759"/>
      <c r="L46" s="759"/>
    </row>
    <row r="47" spans="1:14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</row>
    <row r="48" spans="1:14">
      <c r="E48" s="42" t="s">
        <v>2303</v>
      </c>
      <c r="F48" s="42"/>
      <c r="G48" s="42"/>
      <c r="H48" s="42"/>
      <c r="I48" s="42"/>
      <c r="J48" s="42"/>
      <c r="K48" s="42"/>
      <c r="L48" s="42"/>
      <c r="M48" s="43"/>
      <c r="N48" s="43" t="s">
        <v>13319</v>
      </c>
    </row>
    <row r="49" spans="1:17">
      <c r="D49" s="754">
        <v>2010</v>
      </c>
      <c r="E49" s="754">
        <v>2011</v>
      </c>
      <c r="F49" s="754">
        <v>2012</v>
      </c>
      <c r="G49" s="754">
        <v>2013</v>
      </c>
      <c r="H49" s="754">
        <v>2014</v>
      </c>
      <c r="I49" s="754">
        <v>2015</v>
      </c>
      <c r="J49" s="754">
        <v>2016</v>
      </c>
      <c r="K49" s="754">
        <v>2017</v>
      </c>
      <c r="L49" s="754">
        <v>2018</v>
      </c>
      <c r="N49" s="44" t="s">
        <v>2304</v>
      </c>
    </row>
    <row r="50" spans="1:17">
      <c r="A50" s="752" t="s">
        <v>2334</v>
      </c>
      <c r="C50" s="752"/>
      <c r="D50" s="755">
        <f t="shared" ref="D50:I50" si="90">SUM(D51:D64)</f>
        <v>47382</v>
      </c>
      <c r="E50" s="755">
        <f t="shared" si="90"/>
        <v>47396</v>
      </c>
      <c r="F50" s="755">
        <f t="shared" si="90"/>
        <v>47913</v>
      </c>
      <c r="G50" s="755">
        <f t="shared" si="90"/>
        <v>48236</v>
      </c>
      <c r="H50" s="755">
        <f t="shared" si="90"/>
        <v>48113</v>
      </c>
      <c r="I50" s="755">
        <f t="shared" si="90"/>
        <v>46710</v>
      </c>
      <c r="J50" s="755">
        <f t="shared" ref="J50:K50" si="91">SUM(J51:J64)</f>
        <v>46643</v>
      </c>
      <c r="K50" s="755">
        <f t="shared" si="91"/>
        <v>48207</v>
      </c>
      <c r="L50" s="755">
        <f t="shared" ref="L50" si="92">SUM(L51:L64)</f>
        <v>48471</v>
      </c>
    </row>
    <row r="51" spans="1:17">
      <c r="A51" s="752" t="s">
        <v>6957</v>
      </c>
      <c r="B51" s="752" t="s">
        <v>2335</v>
      </c>
      <c r="C51" s="4" t="s">
        <v>11195</v>
      </c>
      <c r="D51" s="755">
        <v>3154</v>
      </c>
      <c r="E51" s="755">
        <v>3108</v>
      </c>
      <c r="F51" s="755">
        <v>3132</v>
      </c>
      <c r="G51" s="48">
        <v>3138</v>
      </c>
      <c r="H51" s="48">
        <v>3118</v>
      </c>
      <c r="I51" s="30">
        <v>3069</v>
      </c>
      <c r="J51" s="30">
        <v>3039</v>
      </c>
      <c r="K51" s="30">
        <v>3098</v>
      </c>
      <c r="L51" s="30">
        <v>3132</v>
      </c>
      <c r="N51" s="752" t="s">
        <v>2329</v>
      </c>
      <c r="O51" s="4"/>
      <c r="Q51" s="4"/>
    </row>
    <row r="52" spans="1:17">
      <c r="A52" s="752" t="s">
        <v>6959</v>
      </c>
      <c r="B52" s="752" t="s">
        <v>2872</v>
      </c>
      <c r="C52" s="4" t="s">
        <v>11196</v>
      </c>
      <c r="D52" s="755">
        <v>3447</v>
      </c>
      <c r="E52" s="755">
        <v>3436</v>
      </c>
      <c r="F52" s="755">
        <v>3503</v>
      </c>
      <c r="G52" s="48">
        <v>3495</v>
      </c>
      <c r="H52" s="48">
        <v>3437</v>
      </c>
      <c r="I52" s="30">
        <v>3311</v>
      </c>
      <c r="J52" s="30">
        <v>3292</v>
      </c>
      <c r="K52" s="30">
        <v>3387</v>
      </c>
      <c r="L52" s="30">
        <v>3386</v>
      </c>
      <c r="N52" s="752" t="s">
        <v>2329</v>
      </c>
      <c r="O52" s="4"/>
      <c r="Q52" s="4"/>
    </row>
    <row r="53" spans="1:17">
      <c r="A53" s="752" t="s">
        <v>6961</v>
      </c>
      <c r="B53" s="752" t="s">
        <v>4034</v>
      </c>
      <c r="C53" s="4" t="s">
        <v>11197</v>
      </c>
      <c r="D53" s="755">
        <v>3382</v>
      </c>
      <c r="E53" s="755">
        <v>3381</v>
      </c>
      <c r="F53" s="755">
        <v>3378</v>
      </c>
      <c r="G53" s="48">
        <v>3405</v>
      </c>
      <c r="H53" s="48">
        <v>3401</v>
      </c>
      <c r="I53" s="30">
        <v>3316</v>
      </c>
      <c r="J53" s="30">
        <v>3286</v>
      </c>
      <c r="K53" s="30">
        <v>3417</v>
      </c>
      <c r="L53" s="30">
        <v>3401</v>
      </c>
      <c r="N53" s="752" t="s">
        <v>2329</v>
      </c>
      <c r="O53" s="4"/>
      <c r="Q53" s="4"/>
    </row>
    <row r="54" spans="1:17">
      <c r="A54" s="752" t="s">
        <v>6963</v>
      </c>
      <c r="B54" s="752" t="s">
        <v>8203</v>
      </c>
      <c r="C54" s="4" t="s">
        <v>11198</v>
      </c>
      <c r="D54" s="755">
        <v>3252</v>
      </c>
      <c r="E54" s="755">
        <v>3300</v>
      </c>
      <c r="F54" s="755">
        <v>3364</v>
      </c>
      <c r="G54" s="48">
        <v>3391</v>
      </c>
      <c r="H54" s="48">
        <v>3337</v>
      </c>
      <c r="I54" s="30">
        <v>3272</v>
      </c>
      <c r="J54" s="30">
        <v>3308</v>
      </c>
      <c r="K54" s="30">
        <v>3370</v>
      </c>
      <c r="L54" s="30">
        <v>3378</v>
      </c>
      <c r="N54" s="752" t="s">
        <v>2329</v>
      </c>
      <c r="O54" s="4"/>
      <c r="Q54" s="4"/>
    </row>
    <row r="55" spans="1:17">
      <c r="A55" s="752" t="s">
        <v>6965</v>
      </c>
      <c r="B55" s="752" t="s">
        <v>6914</v>
      </c>
      <c r="C55" s="4" t="s">
        <v>11199</v>
      </c>
      <c r="D55" s="755">
        <v>3288</v>
      </c>
      <c r="E55" s="755">
        <v>3340</v>
      </c>
      <c r="F55" s="755">
        <v>3357</v>
      </c>
      <c r="G55" s="48">
        <v>3380</v>
      </c>
      <c r="H55" s="48">
        <v>3373</v>
      </c>
      <c r="I55" s="30">
        <v>3318</v>
      </c>
      <c r="J55" s="30">
        <v>3301</v>
      </c>
      <c r="K55" s="30">
        <v>3411</v>
      </c>
      <c r="L55" s="30">
        <v>3420</v>
      </c>
      <c r="N55" s="752" t="s">
        <v>2329</v>
      </c>
      <c r="O55" s="4"/>
      <c r="Q55" s="4"/>
    </row>
    <row r="56" spans="1:17">
      <c r="A56" s="752" t="s">
        <v>6997</v>
      </c>
      <c r="B56" s="752" t="s">
        <v>7605</v>
      </c>
      <c r="C56" s="4" t="s">
        <v>11200</v>
      </c>
      <c r="D56" s="755">
        <v>3182</v>
      </c>
      <c r="E56" s="755">
        <v>3156</v>
      </c>
      <c r="F56" s="755">
        <v>3204</v>
      </c>
      <c r="G56" s="48">
        <v>3200</v>
      </c>
      <c r="H56" s="48">
        <v>3234</v>
      </c>
      <c r="I56" s="30">
        <v>3146</v>
      </c>
      <c r="J56" s="30">
        <v>3204</v>
      </c>
      <c r="K56" s="30">
        <v>3293</v>
      </c>
      <c r="L56" s="30">
        <v>3329</v>
      </c>
      <c r="N56" s="752" t="s">
        <v>2329</v>
      </c>
      <c r="O56" s="4"/>
      <c r="Q56" s="4"/>
    </row>
    <row r="57" spans="1:17">
      <c r="A57" s="752" t="s">
        <v>6999</v>
      </c>
      <c r="B57" s="752" t="s">
        <v>4015</v>
      </c>
      <c r="C57" s="4" t="s">
        <v>11201</v>
      </c>
      <c r="D57" s="755">
        <v>3483</v>
      </c>
      <c r="E57" s="755">
        <v>3512</v>
      </c>
      <c r="F57" s="755">
        <v>3504</v>
      </c>
      <c r="G57" s="48">
        <v>3523</v>
      </c>
      <c r="H57" s="48">
        <v>3523</v>
      </c>
      <c r="I57" s="30">
        <v>3382</v>
      </c>
      <c r="J57" s="30">
        <v>3401</v>
      </c>
      <c r="K57" s="30">
        <v>3547</v>
      </c>
      <c r="L57" s="30">
        <v>3557</v>
      </c>
      <c r="N57" s="752" t="s">
        <v>2329</v>
      </c>
      <c r="O57" s="4"/>
      <c r="Q57" s="4"/>
    </row>
    <row r="58" spans="1:17">
      <c r="A58" s="752" t="s">
        <v>7001</v>
      </c>
      <c r="B58" s="752" t="s">
        <v>4016</v>
      </c>
      <c r="C58" s="4" t="s">
        <v>11202</v>
      </c>
      <c r="D58" s="755">
        <v>3336</v>
      </c>
      <c r="E58" s="755">
        <v>3304</v>
      </c>
      <c r="F58" s="755">
        <v>3306</v>
      </c>
      <c r="G58" s="48">
        <v>3353</v>
      </c>
      <c r="H58" s="48">
        <v>3330</v>
      </c>
      <c r="I58" s="30">
        <v>3270</v>
      </c>
      <c r="J58" s="30">
        <v>3248</v>
      </c>
      <c r="K58" s="30">
        <v>3358</v>
      </c>
      <c r="L58" s="30">
        <v>3395</v>
      </c>
      <c r="N58" s="752" t="s">
        <v>2329</v>
      </c>
      <c r="O58" s="4"/>
      <c r="Q58" s="4"/>
    </row>
    <row r="59" spans="1:17">
      <c r="A59" s="752" t="s">
        <v>7003</v>
      </c>
      <c r="B59" s="752" t="s">
        <v>4017</v>
      </c>
      <c r="C59" s="4" t="s">
        <v>11203</v>
      </c>
      <c r="D59" s="755">
        <v>3395</v>
      </c>
      <c r="E59" s="755">
        <v>3407</v>
      </c>
      <c r="F59" s="755">
        <v>3455</v>
      </c>
      <c r="G59" s="48">
        <v>3449</v>
      </c>
      <c r="H59" s="48">
        <v>3428</v>
      </c>
      <c r="I59" s="30">
        <v>3325</v>
      </c>
      <c r="J59" s="30">
        <v>3353</v>
      </c>
      <c r="K59" s="30">
        <v>3460</v>
      </c>
      <c r="L59" s="30">
        <v>3435</v>
      </c>
      <c r="N59" s="752" t="s">
        <v>2329</v>
      </c>
      <c r="O59" s="4"/>
      <c r="Q59" s="4"/>
    </row>
    <row r="60" spans="1:17">
      <c r="A60" s="752" t="s">
        <v>7005</v>
      </c>
      <c r="B60" s="752" t="s">
        <v>8835</v>
      </c>
      <c r="C60" s="4" t="s">
        <v>11204</v>
      </c>
      <c r="D60" s="755">
        <v>3262</v>
      </c>
      <c r="E60" s="755">
        <v>3253</v>
      </c>
      <c r="F60" s="755">
        <v>3391</v>
      </c>
      <c r="G60" s="48">
        <v>3518</v>
      </c>
      <c r="H60" s="48">
        <v>3717</v>
      </c>
      <c r="I60" s="30">
        <v>3553</v>
      </c>
      <c r="J60" s="30">
        <v>3526</v>
      </c>
      <c r="K60" s="30">
        <v>3737</v>
      </c>
      <c r="L60" s="30">
        <v>3711</v>
      </c>
      <c r="N60" s="752" t="s">
        <v>2329</v>
      </c>
      <c r="O60" s="4"/>
      <c r="Q60" s="4"/>
    </row>
    <row r="61" spans="1:17">
      <c r="A61" s="752" t="s">
        <v>7007</v>
      </c>
      <c r="B61" s="752" t="s">
        <v>3756</v>
      </c>
      <c r="C61" s="4" t="s">
        <v>11205</v>
      </c>
      <c r="D61" s="755">
        <v>3115</v>
      </c>
      <c r="E61" s="755">
        <v>3084</v>
      </c>
      <c r="F61" s="755">
        <v>3147</v>
      </c>
      <c r="G61" s="48">
        <v>3159</v>
      </c>
      <c r="H61" s="48">
        <v>3149</v>
      </c>
      <c r="I61" s="30">
        <v>3059</v>
      </c>
      <c r="J61" s="30">
        <v>3027</v>
      </c>
      <c r="K61" s="30">
        <v>3109</v>
      </c>
      <c r="L61" s="30">
        <v>3116</v>
      </c>
      <c r="N61" s="752" t="s">
        <v>2329</v>
      </c>
      <c r="O61" s="4"/>
      <c r="Q61" s="4"/>
    </row>
    <row r="62" spans="1:17">
      <c r="A62" s="752" t="s">
        <v>7009</v>
      </c>
      <c r="B62" s="752" t="s">
        <v>4018</v>
      </c>
      <c r="C62" s="4" t="s">
        <v>11206</v>
      </c>
      <c r="D62" s="755">
        <v>2936</v>
      </c>
      <c r="E62" s="755">
        <v>2925</v>
      </c>
      <c r="F62" s="755">
        <v>2966</v>
      </c>
      <c r="G62" s="48">
        <v>2975</v>
      </c>
      <c r="H62" s="48">
        <v>2935</v>
      </c>
      <c r="I62" s="30">
        <v>2859</v>
      </c>
      <c r="J62" s="30">
        <v>2862</v>
      </c>
      <c r="K62" s="30">
        <v>2944</v>
      </c>
      <c r="L62" s="30">
        <v>3090</v>
      </c>
      <c r="N62" s="752" t="s">
        <v>2329</v>
      </c>
      <c r="O62" s="4"/>
      <c r="Q62" s="4"/>
    </row>
    <row r="63" spans="1:17">
      <c r="A63" s="752" t="s">
        <v>7011</v>
      </c>
      <c r="B63" s="752" t="s">
        <v>4019</v>
      </c>
      <c r="C63" s="4" t="s">
        <v>11207</v>
      </c>
      <c r="D63" s="755">
        <v>3519</v>
      </c>
      <c r="E63" s="755">
        <v>3514</v>
      </c>
      <c r="F63" s="755">
        <v>3511</v>
      </c>
      <c r="G63" s="48">
        <v>3503</v>
      </c>
      <c r="H63" s="48">
        <v>3473</v>
      </c>
      <c r="I63" s="30">
        <v>3377</v>
      </c>
      <c r="J63" s="30">
        <v>3341</v>
      </c>
      <c r="K63" s="30">
        <v>3461</v>
      </c>
      <c r="L63" s="30">
        <v>3452</v>
      </c>
      <c r="N63" s="752" t="s">
        <v>2329</v>
      </c>
      <c r="O63" s="4"/>
      <c r="Q63" s="4"/>
    </row>
    <row r="64" spans="1:17">
      <c r="A64" s="752" t="s">
        <v>7013</v>
      </c>
      <c r="B64" s="752" t="s">
        <v>4020</v>
      </c>
      <c r="C64" s="4" t="s">
        <v>11208</v>
      </c>
      <c r="D64" s="755">
        <v>4631</v>
      </c>
      <c r="E64" s="755">
        <v>4676</v>
      </c>
      <c r="F64" s="755">
        <v>4695</v>
      </c>
      <c r="G64" s="48">
        <v>4747</v>
      </c>
      <c r="H64" s="48">
        <v>4658</v>
      </c>
      <c r="I64" s="30">
        <v>4453</v>
      </c>
      <c r="J64" s="30">
        <v>4455</v>
      </c>
      <c r="K64" s="30">
        <v>4615</v>
      </c>
      <c r="L64" s="30">
        <v>4669</v>
      </c>
      <c r="N64" s="752" t="s">
        <v>2329</v>
      </c>
      <c r="O64" s="4"/>
      <c r="Q64" s="4"/>
    </row>
    <row r="65" spans="1:17">
      <c r="D65" s="756"/>
      <c r="E65" s="756"/>
      <c r="F65" s="756"/>
      <c r="G65" s="756"/>
      <c r="H65" s="756"/>
      <c r="I65" s="756"/>
      <c r="J65" s="756"/>
      <c r="K65" s="756"/>
      <c r="L65" s="756"/>
    </row>
    <row r="66" spans="1:17">
      <c r="A66" s="752" t="s">
        <v>4021</v>
      </c>
      <c r="D66" s="755">
        <f t="shared" ref="D66:I66" si="93">SUM(D51:D64)</f>
        <v>47382</v>
      </c>
      <c r="E66" s="755">
        <f t="shared" si="93"/>
        <v>47396</v>
      </c>
      <c r="F66" s="755">
        <f t="shared" si="93"/>
        <v>47913</v>
      </c>
      <c r="G66" s="755">
        <f t="shared" si="93"/>
        <v>48236</v>
      </c>
      <c r="H66" s="755">
        <f t="shared" si="93"/>
        <v>48113</v>
      </c>
      <c r="I66" s="755">
        <f t="shared" si="93"/>
        <v>46710</v>
      </c>
      <c r="J66" s="755">
        <f t="shared" ref="J66:K66" si="94">SUM(J51:J64)</f>
        <v>46643</v>
      </c>
      <c r="K66" s="755">
        <f t="shared" si="94"/>
        <v>48207</v>
      </c>
      <c r="L66" s="755">
        <f t="shared" ref="L66" si="95">SUM(L51:L64)</f>
        <v>48471</v>
      </c>
    </row>
    <row r="67" spans="1:17">
      <c r="A67" s="752"/>
      <c r="D67" s="755"/>
      <c r="E67" s="755"/>
      <c r="F67" s="755"/>
      <c r="G67" s="755"/>
      <c r="H67" s="755"/>
      <c r="I67" s="755"/>
      <c r="J67" s="755"/>
      <c r="K67" s="755"/>
      <c r="L67" s="755"/>
    </row>
    <row r="68" spans="1:17">
      <c r="A68" s="752" t="s">
        <v>4022</v>
      </c>
      <c r="D68" s="755"/>
      <c r="E68" s="755"/>
      <c r="F68" s="755"/>
      <c r="G68" s="755"/>
      <c r="H68" s="755"/>
      <c r="I68" s="755"/>
      <c r="J68" s="755"/>
      <c r="K68" s="755"/>
      <c r="L68" s="755"/>
    </row>
    <row r="69" spans="1:17">
      <c r="A69" s="752"/>
      <c r="B69" s="752"/>
      <c r="D69" s="760"/>
      <c r="E69" s="760"/>
      <c r="F69" s="760"/>
      <c r="G69" s="760"/>
      <c r="H69" s="760"/>
      <c r="I69" s="760"/>
      <c r="J69" s="760"/>
      <c r="K69" s="760"/>
      <c r="L69" s="760"/>
    </row>
    <row r="70" spans="1:17">
      <c r="A70" s="752"/>
      <c r="B70" s="752"/>
      <c r="D70" s="760"/>
      <c r="E70" s="760"/>
      <c r="F70" s="760"/>
      <c r="G70" s="760"/>
      <c r="H70" s="760"/>
      <c r="I70" s="760"/>
      <c r="J70" s="760"/>
      <c r="K70" s="760"/>
      <c r="L70" s="760"/>
    </row>
    <row r="71" spans="1:17">
      <c r="E71" s="42" t="s">
        <v>2303</v>
      </c>
      <c r="F71" s="42"/>
      <c r="G71" s="42"/>
      <c r="H71" s="42"/>
      <c r="I71" s="42"/>
      <c r="J71" s="42"/>
      <c r="K71" s="42"/>
      <c r="L71" s="42"/>
      <c r="M71" s="43"/>
      <c r="N71" s="43" t="s">
        <v>13319</v>
      </c>
    </row>
    <row r="72" spans="1:17">
      <c r="D72" s="754">
        <v>2010</v>
      </c>
      <c r="E72" s="754">
        <v>2011</v>
      </c>
      <c r="F72" s="754">
        <v>2012</v>
      </c>
      <c r="G72" s="754">
        <v>2013</v>
      </c>
      <c r="H72" s="754">
        <v>2014</v>
      </c>
      <c r="I72" s="754">
        <v>2015</v>
      </c>
      <c r="J72" s="754">
        <v>2016</v>
      </c>
      <c r="K72" s="754">
        <v>2017</v>
      </c>
      <c r="L72" s="754">
        <v>2018</v>
      </c>
      <c r="N72" s="44" t="s">
        <v>2304</v>
      </c>
    </row>
    <row r="73" spans="1:17">
      <c r="A73" s="752" t="s">
        <v>4023</v>
      </c>
      <c r="D73" s="755">
        <f t="shared" ref="D73:J73" si="96">SUM(D74:D84)+SUM(D86:D98)</f>
        <v>112814</v>
      </c>
      <c r="E73" s="755">
        <f t="shared" si="96"/>
        <v>112169</v>
      </c>
      <c r="F73" s="755">
        <f t="shared" si="96"/>
        <v>112052</v>
      </c>
      <c r="G73" s="755">
        <f t="shared" si="96"/>
        <v>111331</v>
      </c>
      <c r="H73" s="755">
        <f t="shared" si="96"/>
        <v>109063</v>
      </c>
      <c r="I73" s="755">
        <f t="shared" si="96"/>
        <v>111759</v>
      </c>
      <c r="J73" s="755">
        <f t="shared" si="96"/>
        <v>113193</v>
      </c>
      <c r="K73" s="755">
        <f t="shared" ref="K73:L73" si="97">SUM(K74:K84)+SUM(K86:K98)</f>
        <v>116521</v>
      </c>
      <c r="L73" s="755">
        <f t="shared" si="97"/>
        <v>120238</v>
      </c>
      <c r="M73" s="755"/>
    </row>
    <row r="74" spans="1:17">
      <c r="A74" s="752" t="s">
        <v>6957</v>
      </c>
      <c r="B74" s="752" t="s">
        <v>4024</v>
      </c>
      <c r="C74" s="4" t="s">
        <v>15685</v>
      </c>
      <c r="D74" s="755">
        <v>71033</v>
      </c>
      <c r="E74" s="755">
        <v>70535</v>
      </c>
      <c r="F74" s="755">
        <v>70659</v>
      </c>
      <c r="G74" s="48">
        <v>70161</v>
      </c>
      <c r="H74" s="48">
        <v>69300</v>
      </c>
      <c r="I74" s="48">
        <v>71042</v>
      </c>
      <c r="J74" s="48">
        <v>4416</v>
      </c>
      <c r="K74" s="30">
        <v>4460</v>
      </c>
      <c r="L74" s="30">
        <v>4415</v>
      </c>
      <c r="M74" s="756"/>
      <c r="N74" s="752" t="s">
        <v>7595</v>
      </c>
      <c r="O74" s="4"/>
      <c r="Q74" s="4"/>
    </row>
    <row r="75" spans="1:17">
      <c r="A75" s="752" t="s">
        <v>6959</v>
      </c>
      <c r="B75" s="752" t="s">
        <v>4025</v>
      </c>
      <c r="C75" s="4" t="s">
        <v>15690</v>
      </c>
      <c r="D75" s="755">
        <v>0</v>
      </c>
      <c r="E75" s="755">
        <v>0</v>
      </c>
      <c r="F75" s="755">
        <v>0</v>
      </c>
      <c r="G75" s="48">
        <v>0</v>
      </c>
      <c r="H75" s="48">
        <v>0</v>
      </c>
      <c r="I75" s="48">
        <v>0</v>
      </c>
      <c r="J75" s="48">
        <v>4972</v>
      </c>
      <c r="K75" s="30">
        <v>4997</v>
      </c>
      <c r="L75" s="30">
        <v>5053</v>
      </c>
      <c r="M75" s="756"/>
      <c r="N75" s="752" t="s">
        <v>7595</v>
      </c>
      <c r="O75" s="4"/>
      <c r="Q75" s="4"/>
    </row>
    <row r="76" spans="1:17">
      <c r="A76" s="752" t="s">
        <v>6961</v>
      </c>
      <c r="B76" s="752" t="s">
        <v>15686</v>
      </c>
      <c r="C76" s="4" t="s">
        <v>15691</v>
      </c>
      <c r="D76" s="755">
        <v>20693</v>
      </c>
      <c r="E76" s="755">
        <v>20611</v>
      </c>
      <c r="F76" s="755">
        <v>20506</v>
      </c>
      <c r="G76" s="48">
        <v>20321</v>
      </c>
      <c r="H76" s="48">
        <v>19443</v>
      </c>
      <c r="I76" s="48">
        <v>20068</v>
      </c>
      <c r="J76" s="48">
        <v>7003</v>
      </c>
      <c r="K76" s="30">
        <v>7336</v>
      </c>
      <c r="L76" s="30">
        <v>7660</v>
      </c>
      <c r="M76" s="756"/>
      <c r="N76" s="752" t="s">
        <v>7722</v>
      </c>
      <c r="O76" s="4"/>
      <c r="Q76" s="4"/>
    </row>
    <row r="77" spans="1:17">
      <c r="A77" s="752" t="s">
        <v>6963</v>
      </c>
      <c r="B77" s="752" t="s">
        <v>15687</v>
      </c>
      <c r="C77" s="4" t="s">
        <v>15692</v>
      </c>
      <c r="D77" s="755">
        <v>0</v>
      </c>
      <c r="E77" s="755">
        <v>0</v>
      </c>
      <c r="F77" s="755">
        <v>0</v>
      </c>
      <c r="G77" s="48">
        <v>0</v>
      </c>
      <c r="H77" s="48">
        <v>0</v>
      </c>
      <c r="I77" s="48">
        <v>0</v>
      </c>
      <c r="J77" s="48">
        <v>6240</v>
      </c>
      <c r="K77" s="30">
        <v>6494</v>
      </c>
      <c r="L77" s="30">
        <v>6683</v>
      </c>
      <c r="M77" s="756"/>
      <c r="N77" s="752" t="s">
        <v>7722</v>
      </c>
      <c r="O77" s="4"/>
      <c r="Q77" s="4"/>
    </row>
    <row r="78" spans="1:17">
      <c r="A78" s="752" t="s">
        <v>6965</v>
      </c>
      <c r="B78" s="752" t="s">
        <v>4026</v>
      </c>
      <c r="C78" s="4" t="s">
        <v>15693</v>
      </c>
      <c r="D78" s="755">
        <v>0</v>
      </c>
      <c r="E78" s="755">
        <v>0</v>
      </c>
      <c r="F78" s="755">
        <v>0</v>
      </c>
      <c r="G78" s="48">
        <v>0</v>
      </c>
      <c r="H78" s="48">
        <v>0</v>
      </c>
      <c r="I78" s="48">
        <v>0</v>
      </c>
      <c r="J78" s="48">
        <v>5999</v>
      </c>
      <c r="K78" s="30">
        <v>6312</v>
      </c>
      <c r="L78" s="30">
        <v>6484</v>
      </c>
      <c r="M78" s="756"/>
      <c r="N78" s="752" t="s">
        <v>7722</v>
      </c>
      <c r="O78" s="4"/>
      <c r="Q78" s="4"/>
    </row>
    <row r="79" spans="1:17">
      <c r="A79" s="752" t="s">
        <v>6997</v>
      </c>
      <c r="B79" s="752" t="s">
        <v>4027</v>
      </c>
      <c r="C79" s="4" t="s">
        <v>15694</v>
      </c>
      <c r="D79" s="755">
        <v>0</v>
      </c>
      <c r="E79" s="755">
        <v>0</v>
      </c>
      <c r="F79" s="755">
        <v>0</v>
      </c>
      <c r="G79" s="48">
        <v>0</v>
      </c>
      <c r="H79" s="48">
        <v>0</v>
      </c>
      <c r="I79" s="48">
        <v>0</v>
      </c>
      <c r="J79" s="48">
        <v>3674</v>
      </c>
      <c r="K79" s="30">
        <v>3740</v>
      </c>
      <c r="L79" s="30">
        <v>3835</v>
      </c>
      <c r="M79" s="756"/>
      <c r="N79" s="752" t="s">
        <v>7595</v>
      </c>
      <c r="O79" s="4"/>
      <c r="Q79" s="4"/>
    </row>
    <row r="80" spans="1:17">
      <c r="A80" s="752" t="s">
        <v>6999</v>
      </c>
      <c r="B80" s="752" t="s">
        <v>4028</v>
      </c>
      <c r="C80" s="4" t="s">
        <v>15695</v>
      </c>
      <c r="D80" s="755">
        <v>0</v>
      </c>
      <c r="E80" s="755">
        <v>0</v>
      </c>
      <c r="F80" s="755">
        <v>0</v>
      </c>
      <c r="G80" s="48">
        <v>0</v>
      </c>
      <c r="H80" s="48">
        <v>0</v>
      </c>
      <c r="I80" s="48">
        <v>0</v>
      </c>
      <c r="J80" s="48">
        <v>6177</v>
      </c>
      <c r="K80" s="30">
        <v>6237</v>
      </c>
      <c r="L80" s="30">
        <v>6526</v>
      </c>
      <c r="M80" s="756"/>
      <c r="N80" s="752" t="s">
        <v>7595</v>
      </c>
      <c r="O80" s="4"/>
      <c r="Q80" s="4"/>
    </row>
    <row r="81" spans="1:17">
      <c r="A81" s="752" t="s">
        <v>7001</v>
      </c>
      <c r="B81" s="752" t="s">
        <v>6533</v>
      </c>
      <c r="C81" s="4" t="s">
        <v>15696</v>
      </c>
      <c r="D81" s="755">
        <v>0</v>
      </c>
      <c r="E81" s="755">
        <v>0</v>
      </c>
      <c r="F81" s="755">
        <v>0</v>
      </c>
      <c r="G81" s="48">
        <v>0</v>
      </c>
      <c r="H81" s="48">
        <v>0</v>
      </c>
      <c r="I81" s="48">
        <v>0</v>
      </c>
      <c r="J81" s="48">
        <v>4490</v>
      </c>
      <c r="K81" s="30">
        <v>4554</v>
      </c>
      <c r="L81" s="30">
        <v>4694</v>
      </c>
      <c r="M81" s="756"/>
      <c r="N81" s="752" t="s">
        <v>7595</v>
      </c>
      <c r="O81" s="4"/>
      <c r="Q81" s="4"/>
    </row>
    <row r="82" spans="1:17">
      <c r="A82" s="752" t="s">
        <v>7003</v>
      </c>
      <c r="B82" s="753" t="s">
        <v>15688</v>
      </c>
      <c r="C82" s="4" t="s">
        <v>15697</v>
      </c>
      <c r="D82" s="755">
        <v>0</v>
      </c>
      <c r="E82" s="755">
        <v>0</v>
      </c>
      <c r="F82" s="755">
        <v>0</v>
      </c>
      <c r="G82" s="48">
        <v>0</v>
      </c>
      <c r="H82" s="48">
        <v>0</v>
      </c>
      <c r="I82" s="48">
        <v>0</v>
      </c>
      <c r="J82" s="48">
        <v>5579</v>
      </c>
      <c r="K82" s="30">
        <v>5961</v>
      </c>
      <c r="L82" s="30">
        <v>6569</v>
      </c>
      <c r="M82" s="756"/>
      <c r="N82" s="753" t="s">
        <v>7595</v>
      </c>
      <c r="O82" s="4"/>
      <c r="Q82" s="4"/>
    </row>
    <row r="83" spans="1:17">
      <c r="A83" s="752" t="s">
        <v>7005</v>
      </c>
      <c r="B83" s="752" t="s">
        <v>15689</v>
      </c>
      <c r="C83" s="4" t="s">
        <v>15698</v>
      </c>
      <c r="D83" s="755">
        <v>0</v>
      </c>
      <c r="E83" s="755">
        <v>0</v>
      </c>
      <c r="F83" s="755">
        <v>0</v>
      </c>
      <c r="G83" s="48">
        <v>0</v>
      </c>
      <c r="H83" s="48">
        <v>0</v>
      </c>
      <c r="I83" s="48">
        <v>0</v>
      </c>
      <c r="J83" s="48">
        <v>758</v>
      </c>
      <c r="K83" s="30">
        <v>774</v>
      </c>
      <c r="L83" s="30">
        <v>776</v>
      </c>
      <c r="M83" s="756"/>
      <c r="N83" s="752" t="s">
        <v>7722</v>
      </c>
      <c r="O83" s="4"/>
      <c r="Q83" s="4"/>
    </row>
    <row r="84" spans="1:17" ht="15.75" thickBot="1">
      <c r="A84" s="752"/>
      <c r="B84" s="752"/>
      <c r="C84" s="4" t="s">
        <v>15698</v>
      </c>
      <c r="D84" s="758">
        <v>0</v>
      </c>
      <c r="E84" s="758">
        <v>0</v>
      </c>
      <c r="F84" s="758">
        <v>0</v>
      </c>
      <c r="G84" s="159">
        <v>0</v>
      </c>
      <c r="H84" s="159">
        <v>0</v>
      </c>
      <c r="I84" s="159">
        <v>0</v>
      </c>
      <c r="J84" s="48">
        <v>5947</v>
      </c>
      <c r="K84" s="31">
        <v>6090</v>
      </c>
      <c r="L84" s="31">
        <v>6215</v>
      </c>
      <c r="M84" s="756"/>
      <c r="N84" s="752" t="s">
        <v>2333</v>
      </c>
      <c r="O84" s="4"/>
      <c r="Q84" s="4"/>
    </row>
    <row r="85" spans="1:17" ht="15.75" thickBot="1">
      <c r="A85" s="752"/>
      <c r="B85" s="752"/>
      <c r="C85" s="4" t="s">
        <v>15698</v>
      </c>
      <c r="D85" s="920">
        <f>D83+D84</f>
        <v>0</v>
      </c>
      <c r="E85" s="920">
        <f t="shared" ref="E85:L85" si="98">E83+E84</f>
        <v>0</v>
      </c>
      <c r="F85" s="920">
        <f t="shared" si="98"/>
        <v>0</v>
      </c>
      <c r="G85" s="920">
        <f t="shared" si="98"/>
        <v>0</v>
      </c>
      <c r="H85" s="920">
        <f t="shared" si="98"/>
        <v>0</v>
      </c>
      <c r="I85" s="920">
        <f t="shared" si="98"/>
        <v>0</v>
      </c>
      <c r="J85" s="920">
        <f t="shared" si="98"/>
        <v>6705</v>
      </c>
      <c r="K85" s="920">
        <f t="shared" si="98"/>
        <v>6864</v>
      </c>
      <c r="L85" s="920">
        <f t="shared" si="98"/>
        <v>6991</v>
      </c>
      <c r="N85" s="752"/>
      <c r="O85" s="4"/>
      <c r="Q85" s="4"/>
    </row>
    <row r="86" spans="1:17">
      <c r="A86" s="752" t="s">
        <v>7007</v>
      </c>
      <c r="B86" s="752" t="s">
        <v>6757</v>
      </c>
      <c r="C86" s="4" t="s">
        <v>15700</v>
      </c>
      <c r="D86" s="755">
        <v>0</v>
      </c>
      <c r="E86" s="755">
        <v>0</v>
      </c>
      <c r="F86" s="755">
        <v>0</v>
      </c>
      <c r="G86" s="48">
        <v>0</v>
      </c>
      <c r="H86" s="48">
        <v>0</v>
      </c>
      <c r="I86" s="48">
        <v>0</v>
      </c>
      <c r="J86" s="48">
        <v>4566</v>
      </c>
      <c r="K86" s="30">
        <v>4633</v>
      </c>
      <c r="L86" s="30">
        <v>4716</v>
      </c>
      <c r="N86" s="752" t="s">
        <v>7595</v>
      </c>
      <c r="O86" s="4"/>
      <c r="Q86" s="4"/>
    </row>
    <row r="87" spans="1:17">
      <c r="A87" s="752" t="s">
        <v>7009</v>
      </c>
      <c r="B87" s="752" t="s">
        <v>6758</v>
      </c>
      <c r="C87" s="4" t="s">
        <v>15701</v>
      </c>
      <c r="D87" s="755">
        <v>0</v>
      </c>
      <c r="E87" s="755">
        <v>0</v>
      </c>
      <c r="F87" s="755">
        <v>0</v>
      </c>
      <c r="G87" s="48">
        <v>0</v>
      </c>
      <c r="H87" s="48">
        <v>0</v>
      </c>
      <c r="I87" s="48">
        <v>0</v>
      </c>
      <c r="J87" s="48">
        <v>4111</v>
      </c>
      <c r="K87" s="30">
        <v>4374</v>
      </c>
      <c r="L87" s="30">
        <v>4595</v>
      </c>
      <c r="N87" s="752" t="s">
        <v>7595</v>
      </c>
      <c r="O87" s="4"/>
      <c r="Q87" s="4"/>
    </row>
    <row r="88" spans="1:17">
      <c r="A88" s="752" t="s">
        <v>7011</v>
      </c>
      <c r="B88" s="752" t="s">
        <v>6759</v>
      </c>
      <c r="C88" s="4" t="s">
        <v>15702</v>
      </c>
      <c r="D88" s="755">
        <v>21088</v>
      </c>
      <c r="E88" s="755">
        <v>21023</v>
      </c>
      <c r="F88" s="755">
        <v>20887</v>
      </c>
      <c r="G88" s="48">
        <v>20849</v>
      </c>
      <c r="H88" s="48">
        <v>20320</v>
      </c>
      <c r="I88" s="48">
        <v>20649</v>
      </c>
      <c r="J88" s="48">
        <v>3975</v>
      </c>
      <c r="K88" s="31">
        <v>4030</v>
      </c>
      <c r="L88" s="31">
        <v>4130</v>
      </c>
      <c r="N88" s="752" t="s">
        <v>2333</v>
      </c>
      <c r="O88" s="4"/>
      <c r="Q88" s="4"/>
    </row>
    <row r="89" spans="1:17">
      <c r="A89" s="752" t="s">
        <v>7013</v>
      </c>
      <c r="B89" s="752" t="s">
        <v>6760</v>
      </c>
      <c r="C89" s="4" t="s">
        <v>15703</v>
      </c>
      <c r="D89" s="755">
        <v>0</v>
      </c>
      <c r="E89" s="755">
        <v>0</v>
      </c>
      <c r="F89" s="755">
        <v>0</v>
      </c>
      <c r="G89" s="48">
        <v>0</v>
      </c>
      <c r="H89" s="48">
        <v>0</v>
      </c>
      <c r="I89" s="48">
        <v>0</v>
      </c>
      <c r="J89" s="48">
        <v>3458</v>
      </c>
      <c r="K89" s="30">
        <v>3605</v>
      </c>
      <c r="L89" s="30">
        <v>3612</v>
      </c>
      <c r="N89" s="752" t="s">
        <v>7595</v>
      </c>
      <c r="O89" s="4"/>
      <c r="Q89" s="4"/>
    </row>
    <row r="90" spans="1:17">
      <c r="A90" s="752" t="s">
        <v>7015</v>
      </c>
      <c r="B90" s="752" t="s">
        <v>4015</v>
      </c>
      <c r="C90" s="4" t="s">
        <v>15704</v>
      </c>
      <c r="D90" s="755">
        <v>0</v>
      </c>
      <c r="E90" s="755">
        <v>0</v>
      </c>
      <c r="F90" s="755">
        <v>0</v>
      </c>
      <c r="G90" s="48">
        <v>0</v>
      </c>
      <c r="H90" s="48">
        <v>0</v>
      </c>
      <c r="I90" s="48">
        <v>0</v>
      </c>
      <c r="J90" s="48">
        <v>3632</v>
      </c>
      <c r="K90" s="30">
        <v>3910</v>
      </c>
      <c r="L90" s="30">
        <v>3972</v>
      </c>
      <c r="N90" s="752" t="s">
        <v>7595</v>
      </c>
      <c r="O90" s="4"/>
      <c r="Q90" s="4"/>
    </row>
    <row r="91" spans="1:17">
      <c r="A91" s="752" t="s">
        <v>7017</v>
      </c>
      <c r="B91" s="752" t="s">
        <v>6761</v>
      </c>
      <c r="C91" s="4" t="s">
        <v>15705</v>
      </c>
      <c r="D91" s="755">
        <v>0</v>
      </c>
      <c r="E91" s="755">
        <v>0</v>
      </c>
      <c r="F91" s="755">
        <v>0</v>
      </c>
      <c r="G91" s="48">
        <v>0</v>
      </c>
      <c r="H91" s="48">
        <v>0</v>
      </c>
      <c r="I91" s="48">
        <v>0</v>
      </c>
      <c r="J91" s="48">
        <v>4130</v>
      </c>
      <c r="K91" s="30">
        <v>4176</v>
      </c>
      <c r="L91" s="30">
        <v>4289</v>
      </c>
      <c r="N91" s="752" t="s">
        <v>7595</v>
      </c>
      <c r="O91" s="4"/>
      <c r="Q91" s="4"/>
    </row>
    <row r="92" spans="1:17">
      <c r="A92" s="752" t="s">
        <v>7019</v>
      </c>
      <c r="B92" s="752" t="s">
        <v>6762</v>
      </c>
      <c r="C92" s="4" t="s">
        <v>15706</v>
      </c>
      <c r="D92" s="755">
        <v>0</v>
      </c>
      <c r="E92" s="755">
        <v>0</v>
      </c>
      <c r="F92" s="755">
        <v>0</v>
      </c>
      <c r="G92" s="48">
        <v>0</v>
      </c>
      <c r="H92" s="48">
        <v>0</v>
      </c>
      <c r="I92" s="48">
        <v>0</v>
      </c>
      <c r="J92" s="48">
        <v>3981</v>
      </c>
      <c r="K92" s="31">
        <v>4044</v>
      </c>
      <c r="L92" s="31">
        <v>4209</v>
      </c>
      <c r="N92" s="752" t="s">
        <v>7595</v>
      </c>
      <c r="O92" s="4"/>
      <c r="Q92" s="4"/>
    </row>
    <row r="93" spans="1:17">
      <c r="A93" s="752" t="s">
        <v>7021</v>
      </c>
      <c r="B93" s="752" t="s">
        <v>15699</v>
      </c>
      <c r="C93" s="4" t="s">
        <v>15707</v>
      </c>
      <c r="D93" s="755">
        <v>0</v>
      </c>
      <c r="E93" s="755">
        <v>0</v>
      </c>
      <c r="F93" s="755">
        <v>0</v>
      </c>
      <c r="G93" s="48">
        <v>0</v>
      </c>
      <c r="H93" s="48">
        <v>0</v>
      </c>
      <c r="I93" s="48">
        <v>0</v>
      </c>
      <c r="J93" s="48">
        <v>4927</v>
      </c>
      <c r="K93" s="31">
        <v>4992</v>
      </c>
      <c r="L93" s="31">
        <v>5110</v>
      </c>
      <c r="N93" s="752" t="s">
        <v>7595</v>
      </c>
      <c r="O93" s="4"/>
      <c r="Q93" s="4"/>
    </row>
    <row r="94" spans="1:17">
      <c r="A94" s="752" t="s">
        <v>7023</v>
      </c>
      <c r="B94" s="752" t="s">
        <v>8610</v>
      </c>
      <c r="C94" s="4" t="s">
        <v>15708</v>
      </c>
      <c r="D94" s="755">
        <v>0</v>
      </c>
      <c r="E94" s="755">
        <v>0</v>
      </c>
      <c r="F94" s="755">
        <v>0</v>
      </c>
      <c r="G94" s="48">
        <v>0</v>
      </c>
      <c r="H94" s="48">
        <v>0</v>
      </c>
      <c r="I94" s="48">
        <v>0</v>
      </c>
      <c r="J94" s="48">
        <v>3624</v>
      </c>
      <c r="K94" s="31">
        <v>3747</v>
      </c>
      <c r="L94" s="31">
        <v>3847</v>
      </c>
      <c r="N94" s="752" t="s">
        <v>7595</v>
      </c>
      <c r="O94" s="4"/>
      <c r="Q94" s="4"/>
    </row>
    <row r="95" spans="1:17">
      <c r="A95" s="752" t="s">
        <v>7025</v>
      </c>
      <c r="B95" s="752" t="s">
        <v>8211</v>
      </c>
      <c r="C95" s="4" t="s">
        <v>15709</v>
      </c>
      <c r="D95" s="755">
        <v>0</v>
      </c>
      <c r="E95" s="755">
        <v>0</v>
      </c>
      <c r="F95" s="755">
        <v>0</v>
      </c>
      <c r="G95" s="48">
        <v>0</v>
      </c>
      <c r="H95" s="48">
        <v>0</v>
      </c>
      <c r="I95" s="48">
        <v>0</v>
      </c>
      <c r="J95" s="48">
        <v>6192</v>
      </c>
      <c r="K95" s="31">
        <v>6385</v>
      </c>
      <c r="L95" s="31">
        <v>6670</v>
      </c>
      <c r="N95" s="752" t="s">
        <v>7595</v>
      </c>
      <c r="O95" s="4"/>
      <c r="Q95" s="4"/>
    </row>
    <row r="96" spans="1:17">
      <c r="A96" s="752" t="s">
        <v>7570</v>
      </c>
      <c r="B96" s="752" t="s">
        <v>8611</v>
      </c>
      <c r="C96" s="4" t="s">
        <v>15710</v>
      </c>
      <c r="D96" s="755">
        <v>0</v>
      </c>
      <c r="E96" s="755">
        <v>0</v>
      </c>
      <c r="F96" s="755">
        <v>0</v>
      </c>
      <c r="G96" s="48">
        <v>0</v>
      </c>
      <c r="H96" s="48">
        <v>0</v>
      </c>
      <c r="I96" s="48">
        <v>0</v>
      </c>
      <c r="J96" s="48">
        <v>4431</v>
      </c>
      <c r="K96" s="31">
        <v>4462</v>
      </c>
      <c r="L96" s="31">
        <v>4600</v>
      </c>
      <c r="N96" s="752" t="s">
        <v>2333</v>
      </c>
      <c r="O96" s="4"/>
      <c r="Q96" s="4"/>
    </row>
    <row r="97" spans="1:17">
      <c r="A97" s="752" t="s">
        <v>7572</v>
      </c>
      <c r="B97" s="752" t="s">
        <v>8612</v>
      </c>
      <c r="C97" s="4" t="s">
        <v>15711</v>
      </c>
      <c r="D97" s="755">
        <v>0</v>
      </c>
      <c r="E97" s="755">
        <v>0</v>
      </c>
      <c r="F97" s="755">
        <v>0</v>
      </c>
      <c r="G97" s="48">
        <v>0</v>
      </c>
      <c r="H97" s="48">
        <v>0</v>
      </c>
      <c r="I97" s="48">
        <v>0</v>
      </c>
      <c r="J97" s="48">
        <v>6650</v>
      </c>
      <c r="K97" s="31">
        <v>6651</v>
      </c>
      <c r="L97" s="31">
        <v>6838</v>
      </c>
      <c r="N97" s="752" t="s">
        <v>2333</v>
      </c>
      <c r="O97" s="4"/>
      <c r="Q97" s="4"/>
    </row>
    <row r="98" spans="1:17">
      <c r="A98" s="752" t="s">
        <v>7573</v>
      </c>
      <c r="B98" s="752" t="s">
        <v>8613</v>
      </c>
      <c r="C98" s="4" t="s">
        <v>15712</v>
      </c>
      <c r="D98" s="755">
        <v>0</v>
      </c>
      <c r="E98" s="755">
        <v>0</v>
      </c>
      <c r="F98" s="755">
        <v>0</v>
      </c>
      <c r="G98" s="48">
        <v>0</v>
      </c>
      <c r="H98" s="48">
        <v>0</v>
      </c>
      <c r="I98" s="48">
        <v>0</v>
      </c>
      <c r="J98" s="48">
        <v>4261</v>
      </c>
      <c r="K98" s="31">
        <v>4557</v>
      </c>
      <c r="L98" s="31">
        <v>4740</v>
      </c>
      <c r="N98" s="752" t="s">
        <v>7595</v>
      </c>
      <c r="O98" s="4"/>
      <c r="Q98" s="4"/>
    </row>
    <row r="99" spans="1:17">
      <c r="D99" s="756"/>
      <c r="E99" s="756"/>
      <c r="F99" s="756"/>
      <c r="G99" s="756"/>
      <c r="H99" s="756"/>
      <c r="I99" s="756"/>
      <c r="J99" s="756"/>
      <c r="K99" s="756"/>
      <c r="L99" s="756"/>
      <c r="O99" s="4"/>
      <c r="Q99" s="4"/>
    </row>
    <row r="100" spans="1:17">
      <c r="A100" s="752" t="s">
        <v>8614</v>
      </c>
      <c r="D100" s="755">
        <f t="shared" ref="D100:I100" si="99">SUM(D76:D78)+D83</f>
        <v>20693</v>
      </c>
      <c r="E100" s="755">
        <f t="shared" si="99"/>
        <v>20611</v>
      </c>
      <c r="F100" s="755">
        <f t="shared" si="99"/>
        <v>20506</v>
      </c>
      <c r="G100" s="755">
        <f t="shared" si="99"/>
        <v>20321</v>
      </c>
      <c r="H100" s="755">
        <f t="shared" si="99"/>
        <v>19443</v>
      </c>
      <c r="I100" s="755">
        <f t="shared" si="99"/>
        <v>20068</v>
      </c>
      <c r="J100" s="755">
        <f>SUM(J76:J78)+J83</f>
        <v>20000</v>
      </c>
      <c r="K100" s="755">
        <f>SUM(K76:K78)+K83</f>
        <v>20916</v>
      </c>
      <c r="L100" s="755">
        <f>SUM(L76:L78)+L83</f>
        <v>21603</v>
      </c>
    </row>
    <row r="101" spans="1:17">
      <c r="A101" s="752" t="s">
        <v>7595</v>
      </c>
      <c r="D101" s="755">
        <f t="shared" ref="D101:I101" si="100">D74+D75+SUM(D79:D82)+D86+D87+SUM(D89:D95)+D98</f>
        <v>71033</v>
      </c>
      <c r="E101" s="755">
        <f t="shared" si="100"/>
        <v>70535</v>
      </c>
      <c r="F101" s="755">
        <f t="shared" si="100"/>
        <v>70659</v>
      </c>
      <c r="G101" s="755">
        <f t="shared" si="100"/>
        <v>70161</v>
      </c>
      <c r="H101" s="755">
        <f t="shared" si="100"/>
        <v>69300</v>
      </c>
      <c r="I101" s="755">
        <f t="shared" si="100"/>
        <v>71042</v>
      </c>
      <c r="J101" s="755">
        <f>J74+J75+SUM(J79:J82)+J86+J87+SUM(J89:J95)+J98</f>
        <v>72190</v>
      </c>
      <c r="K101" s="755">
        <f>K74+K75+SUM(K79:K82)+K86+K87+SUM(K89:K95)+K98</f>
        <v>74372</v>
      </c>
      <c r="L101" s="755">
        <f>L74+L75+SUM(L79:L82)+L86+L87+SUM(L89:L95)+L98</f>
        <v>76852</v>
      </c>
      <c r="M101" s="755"/>
    </row>
    <row r="102" spans="1:17">
      <c r="A102" s="752" t="s">
        <v>8615</v>
      </c>
      <c r="D102" s="755">
        <f t="shared" ref="D102:I102" si="101">D84+D88+D96+D97</f>
        <v>21088</v>
      </c>
      <c r="E102" s="755">
        <f t="shared" si="101"/>
        <v>21023</v>
      </c>
      <c r="F102" s="755">
        <f t="shared" si="101"/>
        <v>20887</v>
      </c>
      <c r="G102" s="755">
        <f t="shared" si="101"/>
        <v>20849</v>
      </c>
      <c r="H102" s="755">
        <f t="shared" si="101"/>
        <v>20320</v>
      </c>
      <c r="I102" s="755">
        <f t="shared" si="101"/>
        <v>20649</v>
      </c>
      <c r="J102" s="755">
        <f>J84+J88+J96+J97</f>
        <v>21003</v>
      </c>
      <c r="K102" s="755">
        <f>K84+K88+K96+K97</f>
        <v>21233</v>
      </c>
      <c r="L102" s="755">
        <f>L84+L88+L96+L97</f>
        <v>21783</v>
      </c>
    </row>
    <row r="103" spans="1:17">
      <c r="A103" s="752"/>
      <c r="D103" s="755"/>
      <c r="E103" s="755"/>
      <c r="F103" s="755"/>
      <c r="G103" s="755"/>
      <c r="H103" s="755"/>
      <c r="I103" s="755"/>
      <c r="J103" s="755"/>
      <c r="K103" s="755"/>
      <c r="L103" s="755"/>
    </row>
    <row r="104" spans="1:17">
      <c r="A104" s="752" t="s">
        <v>15713</v>
      </c>
      <c r="D104" s="755"/>
      <c r="E104" s="755"/>
      <c r="F104" s="755"/>
      <c r="G104" s="755"/>
      <c r="H104" s="755"/>
      <c r="I104" s="755"/>
      <c r="J104" s="755"/>
      <c r="K104" s="755"/>
      <c r="L104" s="755"/>
    </row>
    <row r="105" spans="1:17">
      <c r="A105" s="752"/>
      <c r="B105" s="752"/>
      <c r="D105" s="760"/>
      <c r="E105" s="760"/>
      <c r="F105" s="760"/>
      <c r="G105" s="760"/>
      <c r="H105" s="760"/>
      <c r="I105" s="760"/>
      <c r="J105" s="760"/>
      <c r="K105" s="760"/>
      <c r="L105" s="760"/>
    </row>
    <row r="106" spans="1:17">
      <c r="A106" s="752"/>
      <c r="B106" s="752"/>
      <c r="D106" s="760"/>
      <c r="E106" s="760"/>
      <c r="F106" s="760"/>
      <c r="G106" s="760"/>
      <c r="H106" s="760"/>
      <c r="I106" s="760"/>
      <c r="J106" s="760"/>
      <c r="K106" s="760"/>
      <c r="L106" s="760"/>
    </row>
    <row r="107" spans="1:17">
      <c r="E107" s="42" t="s">
        <v>2303</v>
      </c>
      <c r="F107" s="42"/>
      <c r="G107" s="42"/>
      <c r="H107" s="42"/>
      <c r="I107" s="42"/>
      <c r="J107" s="42"/>
      <c r="K107" s="42"/>
      <c r="L107" s="42"/>
      <c r="M107" s="43"/>
      <c r="N107" s="43" t="s">
        <v>13319</v>
      </c>
    </row>
    <row r="108" spans="1:17">
      <c r="D108" s="754">
        <v>2010</v>
      </c>
      <c r="E108" s="754">
        <v>2011</v>
      </c>
      <c r="F108" s="754">
        <v>2012</v>
      </c>
      <c r="G108" s="754">
        <v>2013</v>
      </c>
      <c r="H108" s="754">
        <v>2014</v>
      </c>
      <c r="I108" s="754">
        <v>2015</v>
      </c>
      <c r="J108" s="754">
        <v>2016</v>
      </c>
      <c r="K108" s="754">
        <v>2017</v>
      </c>
      <c r="L108" s="754">
        <v>2018</v>
      </c>
      <c r="N108" s="44" t="s">
        <v>2304</v>
      </c>
    </row>
    <row r="109" spans="1:17">
      <c r="A109" s="752" t="s">
        <v>8616</v>
      </c>
      <c r="D109" s="755">
        <f t="shared" ref="D109:I109" si="102">SUM(D110:D138)</f>
        <v>88831</v>
      </c>
      <c r="E109" s="755">
        <f t="shared" si="102"/>
        <v>89483</v>
      </c>
      <c r="F109" s="755">
        <f t="shared" si="102"/>
        <v>89912</v>
      </c>
      <c r="G109" s="755">
        <f t="shared" si="102"/>
        <v>91428</v>
      </c>
      <c r="H109" s="755">
        <f t="shared" si="102"/>
        <v>89884</v>
      </c>
      <c r="I109" s="755">
        <f t="shared" si="102"/>
        <v>88324</v>
      </c>
      <c r="J109" s="755">
        <f t="shared" ref="J109:K109" si="103">SUM(J110:J138)</f>
        <v>85960</v>
      </c>
      <c r="K109" s="755">
        <f t="shared" si="103"/>
        <v>90709</v>
      </c>
      <c r="L109" s="755">
        <f t="shared" ref="L109" si="104">SUM(L110:L138)</f>
        <v>90973</v>
      </c>
    </row>
    <row r="110" spans="1:17">
      <c r="A110" s="752" t="s">
        <v>6957</v>
      </c>
      <c r="B110" s="752" t="s">
        <v>8617</v>
      </c>
      <c r="C110" s="4" t="s">
        <v>11209</v>
      </c>
      <c r="D110" s="755">
        <v>3409</v>
      </c>
      <c r="E110" s="755">
        <v>3469</v>
      </c>
      <c r="F110" s="755">
        <v>3482</v>
      </c>
      <c r="G110" s="755">
        <v>3603</v>
      </c>
      <c r="H110" s="48">
        <v>3568</v>
      </c>
      <c r="I110" s="48">
        <v>3566</v>
      </c>
      <c r="J110" s="30">
        <v>3500</v>
      </c>
      <c r="K110" s="30">
        <v>3732</v>
      </c>
      <c r="L110" s="30">
        <v>3817</v>
      </c>
      <c r="N110" s="752" t="s">
        <v>7596</v>
      </c>
      <c r="O110" s="4"/>
      <c r="Q110" s="4"/>
    </row>
    <row r="111" spans="1:17">
      <c r="A111" s="752" t="s">
        <v>6959</v>
      </c>
      <c r="B111" s="752" t="s">
        <v>8618</v>
      </c>
      <c r="C111" s="4" t="s">
        <v>11210</v>
      </c>
      <c r="D111" s="755">
        <v>1784</v>
      </c>
      <c r="E111" s="755">
        <v>1792</v>
      </c>
      <c r="F111" s="755">
        <v>1769</v>
      </c>
      <c r="G111" s="755">
        <v>1780</v>
      </c>
      <c r="H111" s="48">
        <v>1733</v>
      </c>
      <c r="I111" s="48">
        <v>1724</v>
      </c>
      <c r="J111" s="30">
        <v>1670</v>
      </c>
      <c r="K111" s="30">
        <v>1769</v>
      </c>
      <c r="L111" s="30">
        <v>1735</v>
      </c>
      <c r="N111" s="752" t="s">
        <v>7596</v>
      </c>
      <c r="O111" s="4"/>
      <c r="Q111" s="4"/>
    </row>
    <row r="112" spans="1:17">
      <c r="A112" s="752" t="s">
        <v>6961</v>
      </c>
      <c r="B112" s="752" t="s">
        <v>6629</v>
      </c>
      <c r="C112" s="4" t="s">
        <v>11211</v>
      </c>
      <c r="D112" s="755">
        <v>1768</v>
      </c>
      <c r="E112" s="755">
        <v>1811</v>
      </c>
      <c r="F112" s="755">
        <v>1818</v>
      </c>
      <c r="G112" s="755">
        <v>1821</v>
      </c>
      <c r="H112" s="48">
        <v>1800</v>
      </c>
      <c r="I112" s="48">
        <v>1786</v>
      </c>
      <c r="J112" s="30">
        <v>1702</v>
      </c>
      <c r="K112" s="30">
        <v>1797</v>
      </c>
      <c r="L112" s="30">
        <v>1758</v>
      </c>
      <c r="N112" s="752" t="s">
        <v>7722</v>
      </c>
    </row>
    <row r="113" spans="1:17">
      <c r="A113" s="752" t="s">
        <v>6963</v>
      </c>
      <c r="B113" s="752" t="s">
        <v>8619</v>
      </c>
      <c r="C113" s="4" t="s">
        <v>11212</v>
      </c>
      <c r="D113" s="755">
        <v>5913</v>
      </c>
      <c r="E113" s="755">
        <v>5875</v>
      </c>
      <c r="F113" s="755">
        <v>6012</v>
      </c>
      <c r="G113" s="755">
        <v>6355</v>
      </c>
      <c r="H113" s="48">
        <v>6038</v>
      </c>
      <c r="I113" s="48">
        <v>5822</v>
      </c>
      <c r="J113" s="30">
        <v>5563</v>
      </c>
      <c r="K113" s="30">
        <v>5946</v>
      </c>
      <c r="L113" s="30">
        <v>5921</v>
      </c>
      <c r="N113" s="752" t="s">
        <v>7596</v>
      </c>
      <c r="O113" s="4"/>
      <c r="Q113" s="4"/>
    </row>
    <row r="114" spans="1:17">
      <c r="A114" s="752" t="s">
        <v>6965</v>
      </c>
      <c r="B114" s="752" t="s">
        <v>8620</v>
      </c>
      <c r="C114" s="4" t="s">
        <v>11213</v>
      </c>
      <c r="D114" s="755">
        <v>4897</v>
      </c>
      <c r="E114" s="755">
        <v>5064</v>
      </c>
      <c r="F114" s="755">
        <v>5157</v>
      </c>
      <c r="G114" s="755">
        <v>5245</v>
      </c>
      <c r="H114" s="48">
        <v>5304</v>
      </c>
      <c r="I114" s="48">
        <v>5210</v>
      </c>
      <c r="J114" s="30">
        <v>5144</v>
      </c>
      <c r="K114" s="30">
        <v>5453</v>
      </c>
      <c r="L114" s="30">
        <v>5598</v>
      </c>
      <c r="N114" s="752" t="s">
        <v>7596</v>
      </c>
      <c r="O114" s="4"/>
      <c r="Q114" s="4"/>
    </row>
    <row r="115" spans="1:17">
      <c r="A115" s="752" t="s">
        <v>6997</v>
      </c>
      <c r="B115" s="752" t="s">
        <v>8621</v>
      </c>
      <c r="C115" s="4" t="s">
        <v>11214</v>
      </c>
      <c r="D115" s="755">
        <v>5101</v>
      </c>
      <c r="E115" s="755">
        <v>5184</v>
      </c>
      <c r="F115" s="755">
        <v>5194</v>
      </c>
      <c r="G115" s="755">
        <v>5369</v>
      </c>
      <c r="H115" s="48">
        <v>5237</v>
      </c>
      <c r="I115" s="48">
        <v>5076</v>
      </c>
      <c r="J115" s="30">
        <v>5042</v>
      </c>
      <c r="K115" s="30">
        <v>5324</v>
      </c>
      <c r="L115" s="30">
        <v>5370</v>
      </c>
      <c r="N115" s="752" t="s">
        <v>7596</v>
      </c>
      <c r="O115" s="4"/>
      <c r="Q115" s="4"/>
    </row>
    <row r="116" spans="1:17">
      <c r="A116" s="752" t="s">
        <v>6999</v>
      </c>
      <c r="B116" s="752" t="s">
        <v>8622</v>
      </c>
      <c r="C116" s="4" t="s">
        <v>11215</v>
      </c>
      <c r="D116" s="755">
        <v>3822</v>
      </c>
      <c r="E116" s="755">
        <v>3805</v>
      </c>
      <c r="F116" s="755">
        <v>3848</v>
      </c>
      <c r="G116" s="755">
        <v>3858</v>
      </c>
      <c r="H116" s="48">
        <v>3808</v>
      </c>
      <c r="I116" s="48">
        <v>3672</v>
      </c>
      <c r="J116" s="30">
        <v>3605</v>
      </c>
      <c r="K116" s="30">
        <v>3677</v>
      </c>
      <c r="L116" s="30">
        <v>3663</v>
      </c>
      <c r="N116" s="752" t="s">
        <v>7596</v>
      </c>
      <c r="O116" s="4"/>
      <c r="Q116" s="4"/>
    </row>
    <row r="117" spans="1:17">
      <c r="A117" s="752" t="s">
        <v>7001</v>
      </c>
      <c r="B117" s="752" t="s">
        <v>8057</v>
      </c>
      <c r="C117" s="4" t="s">
        <v>11216</v>
      </c>
      <c r="D117" s="755">
        <v>1775</v>
      </c>
      <c r="E117" s="755">
        <v>1793</v>
      </c>
      <c r="F117" s="755">
        <v>1755</v>
      </c>
      <c r="G117" s="755">
        <v>1781</v>
      </c>
      <c r="H117" s="48">
        <v>1749</v>
      </c>
      <c r="I117" s="48">
        <v>1765</v>
      </c>
      <c r="J117" s="30">
        <v>1808</v>
      </c>
      <c r="K117" s="30">
        <v>1962</v>
      </c>
      <c r="L117" s="30">
        <v>1945</v>
      </c>
      <c r="N117" s="752" t="s">
        <v>7596</v>
      </c>
      <c r="O117" s="4"/>
      <c r="Q117" s="4"/>
    </row>
    <row r="118" spans="1:17">
      <c r="A118" s="752" t="s">
        <v>7003</v>
      </c>
      <c r="B118" s="752" t="s">
        <v>8623</v>
      </c>
      <c r="C118" s="4" t="s">
        <v>11217</v>
      </c>
      <c r="D118" s="755">
        <v>1940</v>
      </c>
      <c r="E118" s="755">
        <v>1962</v>
      </c>
      <c r="F118" s="755">
        <v>2015</v>
      </c>
      <c r="G118" s="755">
        <v>2028</v>
      </c>
      <c r="H118" s="48">
        <v>1997</v>
      </c>
      <c r="I118" s="48">
        <v>1974</v>
      </c>
      <c r="J118" s="30">
        <v>1893</v>
      </c>
      <c r="K118" s="30">
        <v>2064</v>
      </c>
      <c r="L118" s="30">
        <v>2099</v>
      </c>
      <c r="N118" s="752" t="s">
        <v>7596</v>
      </c>
      <c r="O118" s="4"/>
      <c r="Q118" s="4"/>
    </row>
    <row r="119" spans="1:17">
      <c r="A119" s="752" t="s">
        <v>7005</v>
      </c>
      <c r="B119" s="752" t="s">
        <v>8624</v>
      </c>
      <c r="C119" s="4" t="s">
        <v>11218</v>
      </c>
      <c r="D119" s="755">
        <v>4165</v>
      </c>
      <c r="E119" s="755">
        <v>4165</v>
      </c>
      <c r="F119" s="755">
        <v>4173</v>
      </c>
      <c r="G119" s="755">
        <v>4237</v>
      </c>
      <c r="H119" s="48">
        <v>4176</v>
      </c>
      <c r="I119" s="48">
        <v>3966</v>
      </c>
      <c r="J119" s="30">
        <v>3911</v>
      </c>
      <c r="K119" s="30">
        <v>4153</v>
      </c>
      <c r="L119" s="30">
        <v>4115</v>
      </c>
      <c r="N119" s="752" t="s">
        <v>7596</v>
      </c>
      <c r="O119" s="4"/>
      <c r="Q119" s="4"/>
    </row>
    <row r="120" spans="1:17">
      <c r="A120" s="752" t="s">
        <v>7007</v>
      </c>
      <c r="B120" s="752" t="s">
        <v>3640</v>
      </c>
      <c r="C120" s="4" t="s">
        <v>11219</v>
      </c>
      <c r="D120" s="755">
        <v>3928</v>
      </c>
      <c r="E120" s="755">
        <v>3974</v>
      </c>
      <c r="F120" s="755">
        <v>4004</v>
      </c>
      <c r="G120" s="755">
        <v>4129</v>
      </c>
      <c r="H120" s="48">
        <v>4043</v>
      </c>
      <c r="I120" s="48">
        <v>4092</v>
      </c>
      <c r="J120" s="30">
        <v>3895</v>
      </c>
      <c r="K120" s="30">
        <v>3990</v>
      </c>
      <c r="L120" s="30">
        <v>3978</v>
      </c>
      <c r="N120" s="752" t="s">
        <v>7596</v>
      </c>
      <c r="O120" s="4"/>
      <c r="Q120" s="4"/>
    </row>
    <row r="121" spans="1:17">
      <c r="A121" s="752" t="s">
        <v>7009</v>
      </c>
      <c r="B121" s="752" t="s">
        <v>8625</v>
      </c>
      <c r="C121" s="4" t="s">
        <v>11220</v>
      </c>
      <c r="D121" s="755">
        <v>1862</v>
      </c>
      <c r="E121" s="755">
        <v>1856</v>
      </c>
      <c r="F121" s="755">
        <v>1865</v>
      </c>
      <c r="G121" s="755">
        <v>1912</v>
      </c>
      <c r="H121" s="48">
        <v>1896</v>
      </c>
      <c r="I121" s="48">
        <v>1893</v>
      </c>
      <c r="J121" s="30">
        <v>1811</v>
      </c>
      <c r="K121" s="30">
        <v>1946</v>
      </c>
      <c r="L121" s="30">
        <v>1948</v>
      </c>
      <c r="N121" s="752" t="s">
        <v>7596</v>
      </c>
      <c r="O121" s="4"/>
      <c r="Q121" s="4"/>
    </row>
    <row r="122" spans="1:17">
      <c r="A122" s="752" t="s">
        <v>7011</v>
      </c>
      <c r="B122" s="752" t="s">
        <v>8626</v>
      </c>
      <c r="C122" s="4" t="s">
        <v>11221</v>
      </c>
      <c r="D122" s="755">
        <v>2145</v>
      </c>
      <c r="E122" s="755">
        <v>2163</v>
      </c>
      <c r="F122" s="755">
        <v>2199</v>
      </c>
      <c r="G122" s="755">
        <v>2248</v>
      </c>
      <c r="H122" s="48">
        <v>2227</v>
      </c>
      <c r="I122" s="48">
        <v>2180</v>
      </c>
      <c r="J122" s="30">
        <v>2131</v>
      </c>
      <c r="K122" s="30">
        <v>2189</v>
      </c>
      <c r="L122" s="30">
        <v>2184</v>
      </c>
      <c r="N122" s="752" t="s">
        <v>7596</v>
      </c>
      <c r="O122" s="4"/>
      <c r="Q122" s="4"/>
    </row>
    <row r="123" spans="1:17">
      <c r="A123" s="752" t="s">
        <v>7013</v>
      </c>
      <c r="B123" s="752" t="s">
        <v>8627</v>
      </c>
      <c r="C123" s="4" t="s">
        <v>11222</v>
      </c>
      <c r="D123" s="755">
        <v>1694</v>
      </c>
      <c r="E123" s="755">
        <v>1671</v>
      </c>
      <c r="F123" s="755">
        <v>1697</v>
      </c>
      <c r="G123" s="755">
        <v>1723</v>
      </c>
      <c r="H123" s="48">
        <v>1711</v>
      </c>
      <c r="I123" s="48">
        <v>1682</v>
      </c>
      <c r="J123" s="31">
        <v>1611</v>
      </c>
      <c r="K123" s="31">
        <v>1707</v>
      </c>
      <c r="L123" s="31">
        <v>1702</v>
      </c>
      <c r="N123" s="752" t="s">
        <v>7596</v>
      </c>
      <c r="O123" s="4"/>
      <c r="Q123" s="4"/>
    </row>
    <row r="124" spans="1:17">
      <c r="A124" s="752" t="s">
        <v>7015</v>
      </c>
      <c r="B124" s="752" t="s">
        <v>8628</v>
      </c>
      <c r="C124" s="4" t="s">
        <v>11223</v>
      </c>
      <c r="D124" s="755">
        <v>1670</v>
      </c>
      <c r="E124" s="755">
        <v>1758</v>
      </c>
      <c r="F124" s="755">
        <v>1786</v>
      </c>
      <c r="G124" s="755">
        <v>1855</v>
      </c>
      <c r="H124" s="48">
        <v>1878</v>
      </c>
      <c r="I124" s="48">
        <v>1879</v>
      </c>
      <c r="J124" s="31">
        <v>1822</v>
      </c>
      <c r="K124" s="31">
        <v>1916</v>
      </c>
      <c r="L124" s="31">
        <v>1995</v>
      </c>
      <c r="N124" s="752" t="s">
        <v>7596</v>
      </c>
      <c r="O124" s="4"/>
      <c r="Q124" s="4"/>
    </row>
    <row r="125" spans="1:17">
      <c r="A125" s="752" t="s">
        <v>7017</v>
      </c>
      <c r="B125" s="752" t="s">
        <v>8629</v>
      </c>
      <c r="C125" s="4" t="s">
        <v>11224</v>
      </c>
      <c r="D125" s="755">
        <v>4012</v>
      </c>
      <c r="E125" s="755">
        <v>4015</v>
      </c>
      <c r="F125" s="755">
        <v>3935</v>
      </c>
      <c r="G125" s="755">
        <v>4000</v>
      </c>
      <c r="H125" s="48">
        <v>3791</v>
      </c>
      <c r="I125" s="48">
        <v>3715</v>
      </c>
      <c r="J125" s="31">
        <v>3693</v>
      </c>
      <c r="K125" s="31">
        <v>3973</v>
      </c>
      <c r="L125" s="31">
        <v>4021</v>
      </c>
      <c r="N125" s="752" t="s">
        <v>7596</v>
      </c>
      <c r="O125" s="4"/>
      <c r="Q125" s="4"/>
    </row>
    <row r="126" spans="1:17">
      <c r="A126" s="752" t="s">
        <v>7019</v>
      </c>
      <c r="B126" s="752" t="s">
        <v>7709</v>
      </c>
      <c r="C126" s="4" t="s">
        <v>11225</v>
      </c>
      <c r="D126" s="755">
        <v>1734</v>
      </c>
      <c r="E126" s="755">
        <v>1745</v>
      </c>
      <c r="F126" s="755">
        <v>1767</v>
      </c>
      <c r="G126" s="755">
        <v>1779</v>
      </c>
      <c r="H126" s="48">
        <v>1777</v>
      </c>
      <c r="I126" s="48">
        <v>1744</v>
      </c>
      <c r="J126" s="31">
        <v>1698</v>
      </c>
      <c r="K126" s="31">
        <v>1819</v>
      </c>
      <c r="L126" s="31">
        <v>1830</v>
      </c>
      <c r="N126" s="752" t="s">
        <v>7596</v>
      </c>
      <c r="O126" s="4"/>
      <c r="Q126" s="4"/>
    </row>
    <row r="127" spans="1:17">
      <c r="A127" s="752" t="s">
        <v>7021</v>
      </c>
      <c r="B127" s="752" t="s">
        <v>7710</v>
      </c>
      <c r="C127" s="4" t="s">
        <v>11226</v>
      </c>
      <c r="D127" s="755">
        <v>3892</v>
      </c>
      <c r="E127" s="755">
        <v>3869</v>
      </c>
      <c r="F127" s="755">
        <v>3818</v>
      </c>
      <c r="G127" s="755">
        <v>3846</v>
      </c>
      <c r="H127" s="48">
        <v>3786</v>
      </c>
      <c r="I127" s="48">
        <v>3709</v>
      </c>
      <c r="J127" s="30">
        <v>3609</v>
      </c>
      <c r="K127" s="30">
        <v>3754</v>
      </c>
      <c r="L127" s="30">
        <v>3744</v>
      </c>
      <c r="N127" s="752" t="s">
        <v>7722</v>
      </c>
      <c r="O127" s="4"/>
      <c r="Q127" s="4"/>
    </row>
    <row r="128" spans="1:17">
      <c r="A128" s="752" t="s">
        <v>7023</v>
      </c>
      <c r="B128" s="752" t="s">
        <v>7711</v>
      </c>
      <c r="C128" s="4" t="s">
        <v>11227</v>
      </c>
      <c r="D128" s="755">
        <v>3732</v>
      </c>
      <c r="E128" s="755">
        <v>3802</v>
      </c>
      <c r="F128" s="755">
        <v>3825</v>
      </c>
      <c r="G128" s="755">
        <v>3869</v>
      </c>
      <c r="H128" s="48">
        <v>3867</v>
      </c>
      <c r="I128" s="48">
        <v>3792</v>
      </c>
      <c r="J128" s="31">
        <v>3649</v>
      </c>
      <c r="K128" s="31">
        <v>3885</v>
      </c>
      <c r="L128" s="31">
        <v>3873</v>
      </c>
      <c r="N128" s="752" t="s">
        <v>7596</v>
      </c>
      <c r="O128" s="4"/>
      <c r="Q128" s="4"/>
    </row>
    <row r="129" spans="1:17">
      <c r="A129" s="752" t="s">
        <v>7025</v>
      </c>
      <c r="B129" s="752" t="s">
        <v>7712</v>
      </c>
      <c r="C129" s="4" t="s">
        <v>11228</v>
      </c>
      <c r="D129" s="755">
        <v>2010</v>
      </c>
      <c r="E129" s="755">
        <v>2020</v>
      </c>
      <c r="F129" s="755">
        <v>2000</v>
      </c>
      <c r="G129" s="755">
        <v>2030</v>
      </c>
      <c r="H129" s="48">
        <v>1975</v>
      </c>
      <c r="I129" s="48">
        <v>1957</v>
      </c>
      <c r="J129" s="31">
        <v>1859</v>
      </c>
      <c r="K129" s="31">
        <v>1952</v>
      </c>
      <c r="L129" s="31">
        <v>1954</v>
      </c>
      <c r="N129" s="752" t="s">
        <v>7596</v>
      </c>
      <c r="O129" s="4"/>
      <c r="Q129" s="4"/>
    </row>
    <row r="130" spans="1:17">
      <c r="A130" s="752" t="s">
        <v>7570</v>
      </c>
      <c r="B130" s="752" t="s">
        <v>5815</v>
      </c>
      <c r="C130" s="4" t="s">
        <v>11229</v>
      </c>
      <c r="D130" s="755">
        <v>5146</v>
      </c>
      <c r="E130" s="755">
        <v>5153</v>
      </c>
      <c r="F130" s="755">
        <v>5120</v>
      </c>
      <c r="G130" s="755">
        <v>5154</v>
      </c>
      <c r="H130" s="48">
        <v>5044</v>
      </c>
      <c r="I130" s="48">
        <v>4976</v>
      </c>
      <c r="J130" s="31">
        <v>4821</v>
      </c>
      <c r="K130" s="31">
        <v>5086</v>
      </c>
      <c r="L130" s="31">
        <v>5133</v>
      </c>
      <c r="N130" s="752" t="s">
        <v>7596</v>
      </c>
      <c r="O130" s="4"/>
      <c r="Q130" s="4"/>
    </row>
    <row r="131" spans="1:17">
      <c r="A131" s="752" t="s">
        <v>7572</v>
      </c>
      <c r="B131" s="752" t="s">
        <v>8527</v>
      </c>
      <c r="C131" s="4" t="s">
        <v>11230</v>
      </c>
      <c r="D131" s="755">
        <v>3581</v>
      </c>
      <c r="E131" s="755">
        <v>3542</v>
      </c>
      <c r="F131" s="755">
        <v>3581</v>
      </c>
      <c r="G131" s="755">
        <v>3573</v>
      </c>
      <c r="H131" s="48">
        <v>3544</v>
      </c>
      <c r="I131" s="48">
        <v>3451</v>
      </c>
      <c r="J131" s="31">
        <v>3362</v>
      </c>
      <c r="K131" s="31">
        <v>3490</v>
      </c>
      <c r="L131" s="31">
        <v>3449</v>
      </c>
      <c r="N131" s="752" t="s">
        <v>7596</v>
      </c>
      <c r="O131" s="4"/>
      <c r="Q131" s="4"/>
    </row>
    <row r="132" spans="1:17">
      <c r="A132" s="752" t="s">
        <v>7573</v>
      </c>
      <c r="B132" s="752" t="s">
        <v>8528</v>
      </c>
      <c r="C132" s="4" t="s">
        <v>11231</v>
      </c>
      <c r="D132" s="755">
        <v>1935</v>
      </c>
      <c r="E132" s="755">
        <v>1928</v>
      </c>
      <c r="F132" s="755">
        <v>1929</v>
      </c>
      <c r="G132" s="755">
        <v>1937</v>
      </c>
      <c r="H132" s="48">
        <v>1894</v>
      </c>
      <c r="I132" s="48">
        <v>1848</v>
      </c>
      <c r="J132" s="31">
        <v>1816</v>
      </c>
      <c r="K132" s="31">
        <v>1934</v>
      </c>
      <c r="L132" s="31">
        <v>1919</v>
      </c>
      <c r="N132" s="752" t="s">
        <v>7596</v>
      </c>
      <c r="O132" s="4"/>
      <c r="Q132" s="4"/>
    </row>
    <row r="133" spans="1:17">
      <c r="A133" s="752" t="s">
        <v>5798</v>
      </c>
      <c r="B133" s="752" t="s">
        <v>8529</v>
      </c>
      <c r="C133" s="4" t="s">
        <v>11232</v>
      </c>
      <c r="D133" s="755">
        <v>5636</v>
      </c>
      <c r="E133" s="755">
        <v>5621</v>
      </c>
      <c r="F133" s="755">
        <v>5619</v>
      </c>
      <c r="G133" s="755">
        <v>5676</v>
      </c>
      <c r="H133" s="48">
        <v>5547</v>
      </c>
      <c r="I133" s="48">
        <v>5429</v>
      </c>
      <c r="J133" s="31">
        <v>5340</v>
      </c>
      <c r="K133" s="31">
        <v>5601</v>
      </c>
      <c r="L133" s="31">
        <v>5670</v>
      </c>
      <c r="N133" s="752" t="s">
        <v>7596</v>
      </c>
      <c r="O133" s="4"/>
      <c r="Q133" s="4"/>
    </row>
    <row r="134" spans="1:17">
      <c r="A134" s="752" t="s">
        <v>5799</v>
      </c>
      <c r="B134" s="752" t="s">
        <v>8530</v>
      </c>
      <c r="C134" s="4" t="s">
        <v>11233</v>
      </c>
      <c r="D134" s="755">
        <v>1769</v>
      </c>
      <c r="E134" s="755">
        <v>1778</v>
      </c>
      <c r="F134" s="755">
        <v>1793</v>
      </c>
      <c r="G134" s="755">
        <v>1761</v>
      </c>
      <c r="H134" s="48">
        <v>1726</v>
      </c>
      <c r="I134" s="48">
        <v>1737</v>
      </c>
      <c r="J134" s="31">
        <v>1706</v>
      </c>
      <c r="K134" s="31">
        <v>1794</v>
      </c>
      <c r="L134" s="31">
        <v>1794</v>
      </c>
      <c r="N134" s="752" t="s">
        <v>7596</v>
      </c>
      <c r="O134" s="4"/>
      <c r="Q134" s="4"/>
    </row>
    <row r="135" spans="1:17">
      <c r="A135" s="752" t="s">
        <v>5801</v>
      </c>
      <c r="B135" s="752" t="s">
        <v>8531</v>
      </c>
      <c r="C135" s="4" t="s">
        <v>11234</v>
      </c>
      <c r="D135" s="755">
        <v>1855</v>
      </c>
      <c r="E135" s="755">
        <v>1914</v>
      </c>
      <c r="F135" s="755">
        <v>1956</v>
      </c>
      <c r="G135" s="755">
        <v>2021</v>
      </c>
      <c r="H135" s="48">
        <v>2006</v>
      </c>
      <c r="I135" s="48">
        <v>1990</v>
      </c>
      <c r="J135" s="31">
        <v>1865</v>
      </c>
      <c r="K135" s="31">
        <v>1941</v>
      </c>
      <c r="L135" s="31">
        <v>1962</v>
      </c>
      <c r="N135" s="752" t="s">
        <v>7596</v>
      </c>
      <c r="O135" s="4"/>
      <c r="Q135" s="4"/>
    </row>
    <row r="136" spans="1:17">
      <c r="A136" s="762">
        <v>27</v>
      </c>
      <c r="B136" s="752" t="s">
        <v>8532</v>
      </c>
      <c r="C136" s="4" t="s">
        <v>11235</v>
      </c>
      <c r="D136" s="755">
        <v>3974</v>
      </c>
      <c r="E136" s="755">
        <v>3985</v>
      </c>
      <c r="F136" s="755">
        <v>3979</v>
      </c>
      <c r="G136" s="755">
        <v>3993</v>
      </c>
      <c r="H136" s="48">
        <v>3987</v>
      </c>
      <c r="I136" s="48">
        <v>3961</v>
      </c>
      <c r="J136" s="31">
        <v>3776</v>
      </c>
      <c r="K136" s="31">
        <v>4005</v>
      </c>
      <c r="L136" s="31">
        <v>3967</v>
      </c>
      <c r="N136" s="752" t="s">
        <v>7596</v>
      </c>
      <c r="O136" s="4"/>
      <c r="Q136" s="4"/>
    </row>
    <row r="137" spans="1:17">
      <c r="A137" s="762">
        <v>28</v>
      </c>
      <c r="B137" s="752" t="s">
        <v>1169</v>
      </c>
      <c r="C137" s="4" t="s">
        <v>11236</v>
      </c>
      <c r="D137" s="755">
        <v>1693</v>
      </c>
      <c r="E137" s="755">
        <v>1770</v>
      </c>
      <c r="F137" s="755">
        <v>1809</v>
      </c>
      <c r="G137" s="755">
        <v>1823</v>
      </c>
      <c r="H137" s="48">
        <v>1793</v>
      </c>
      <c r="I137" s="48">
        <v>1777</v>
      </c>
      <c r="J137" s="31">
        <v>1745</v>
      </c>
      <c r="K137" s="31">
        <v>1839</v>
      </c>
      <c r="L137" s="31">
        <v>1835</v>
      </c>
      <c r="N137" s="752" t="s">
        <v>7596</v>
      </c>
      <c r="O137" s="4"/>
      <c r="Q137" s="4"/>
    </row>
    <row r="138" spans="1:17">
      <c r="A138" s="752" t="s">
        <v>5931</v>
      </c>
      <c r="B138" s="752" t="s">
        <v>8533</v>
      </c>
      <c r="C138" s="4" t="s">
        <v>11237</v>
      </c>
      <c r="D138" s="756">
        <v>1989</v>
      </c>
      <c r="E138" s="756">
        <v>1999</v>
      </c>
      <c r="F138" s="756">
        <v>2007</v>
      </c>
      <c r="G138" s="756">
        <v>2022</v>
      </c>
      <c r="H138" s="48">
        <v>1982</v>
      </c>
      <c r="I138" s="48">
        <v>1951</v>
      </c>
      <c r="J138" s="30">
        <v>1913</v>
      </c>
      <c r="K138" s="30">
        <v>2011</v>
      </c>
      <c r="L138" s="30">
        <v>1994</v>
      </c>
      <c r="N138" s="752" t="s">
        <v>7722</v>
      </c>
      <c r="O138" s="4"/>
      <c r="Q138" s="4"/>
    </row>
    <row r="139" spans="1:17">
      <c r="D139" s="756"/>
      <c r="E139" s="756"/>
      <c r="F139" s="756"/>
      <c r="G139" s="756"/>
      <c r="H139" s="756"/>
      <c r="I139" s="756"/>
      <c r="J139" s="756"/>
      <c r="K139" s="756"/>
      <c r="L139" s="756"/>
      <c r="O139" s="4"/>
      <c r="Q139" s="4"/>
    </row>
    <row r="140" spans="1:17">
      <c r="A140" s="752" t="s">
        <v>8614</v>
      </c>
      <c r="D140" s="755">
        <f t="shared" ref="D140:I140" si="105">D112+D127+D138</f>
        <v>7649</v>
      </c>
      <c r="E140" s="755">
        <f t="shared" si="105"/>
        <v>7679</v>
      </c>
      <c r="F140" s="755">
        <f t="shared" si="105"/>
        <v>7643</v>
      </c>
      <c r="G140" s="755">
        <f t="shared" si="105"/>
        <v>7689</v>
      </c>
      <c r="H140" s="755">
        <f t="shared" si="105"/>
        <v>7568</v>
      </c>
      <c r="I140" s="755">
        <f t="shared" si="105"/>
        <v>7446</v>
      </c>
      <c r="J140" s="755">
        <f t="shared" ref="J140:K140" si="106">J112+J127+J138</f>
        <v>7224</v>
      </c>
      <c r="K140" s="755">
        <f t="shared" si="106"/>
        <v>7562</v>
      </c>
      <c r="L140" s="755">
        <f t="shared" ref="L140" si="107">L112+L127+L138</f>
        <v>7496</v>
      </c>
    </row>
    <row r="141" spans="1:17">
      <c r="A141" s="752" t="s">
        <v>7596</v>
      </c>
      <c r="D141" s="755">
        <f t="shared" ref="D141:I141" si="108">D110+D111+SUM(D113:D126)+SUM(D128:D137)</f>
        <v>81182</v>
      </c>
      <c r="E141" s="755">
        <f t="shared" si="108"/>
        <v>81804</v>
      </c>
      <c r="F141" s="755">
        <f t="shared" si="108"/>
        <v>82269</v>
      </c>
      <c r="G141" s="755">
        <f t="shared" si="108"/>
        <v>83739</v>
      </c>
      <c r="H141" s="755">
        <f t="shared" si="108"/>
        <v>82316</v>
      </c>
      <c r="I141" s="755">
        <f t="shared" si="108"/>
        <v>80878</v>
      </c>
      <c r="J141" s="755">
        <f t="shared" ref="J141:K141" si="109">J110+J111+SUM(J113:J126)+SUM(J128:J137)</f>
        <v>78736</v>
      </c>
      <c r="K141" s="755">
        <f t="shared" si="109"/>
        <v>83147</v>
      </c>
      <c r="L141" s="755">
        <f t="shared" ref="L141" si="110">L110+L111+SUM(L113:L126)+SUM(L128:L137)</f>
        <v>83477</v>
      </c>
    </row>
    <row r="142" spans="1:17">
      <c r="A142" s="752"/>
      <c r="D142" s="755"/>
      <c r="E142" s="755"/>
      <c r="F142" s="755"/>
      <c r="G142" s="755"/>
      <c r="H142" s="755"/>
      <c r="I142" s="755"/>
      <c r="J142" s="755"/>
      <c r="K142" s="755"/>
      <c r="L142" s="755"/>
    </row>
    <row r="143" spans="1:17">
      <c r="A143" s="752" t="s">
        <v>7705</v>
      </c>
      <c r="D143" s="755"/>
      <c r="E143" s="755"/>
      <c r="F143" s="755"/>
      <c r="G143" s="755"/>
      <c r="H143" s="755"/>
      <c r="I143" s="755"/>
      <c r="J143" s="755"/>
      <c r="K143" s="755"/>
      <c r="L143" s="755"/>
    </row>
    <row r="144" spans="1:17">
      <c r="A144" s="752"/>
      <c r="B144" s="752"/>
      <c r="D144" s="760"/>
      <c r="E144" s="760"/>
      <c r="F144" s="760"/>
      <c r="G144" s="760"/>
      <c r="H144" s="760"/>
      <c r="I144" s="760"/>
      <c r="J144" s="760"/>
      <c r="K144" s="760"/>
      <c r="L144" s="760"/>
    </row>
    <row r="145" spans="1:17">
      <c r="A145" s="752"/>
      <c r="B145" s="752"/>
      <c r="D145" s="760"/>
      <c r="E145" s="760"/>
      <c r="F145" s="760"/>
      <c r="G145" s="760"/>
      <c r="H145" s="760"/>
      <c r="I145" s="760"/>
      <c r="J145" s="760"/>
      <c r="K145" s="760"/>
      <c r="L145" s="760"/>
    </row>
    <row r="146" spans="1:17">
      <c r="E146" s="42" t="s">
        <v>2303</v>
      </c>
      <c r="F146" s="42"/>
      <c r="G146" s="42"/>
      <c r="H146" s="42"/>
      <c r="I146" s="42"/>
      <c r="J146" s="42"/>
      <c r="K146" s="42"/>
      <c r="L146" s="42"/>
      <c r="M146" s="43"/>
      <c r="N146" s="43" t="s">
        <v>13319</v>
      </c>
    </row>
    <row r="147" spans="1:17">
      <c r="D147" s="754">
        <v>2010</v>
      </c>
      <c r="E147" s="754">
        <v>2011</v>
      </c>
      <c r="F147" s="754">
        <v>2012</v>
      </c>
      <c r="G147" s="754">
        <v>2013</v>
      </c>
      <c r="H147" s="754">
        <v>2014</v>
      </c>
      <c r="I147" s="754">
        <v>2015</v>
      </c>
      <c r="J147" s="754">
        <v>2016</v>
      </c>
      <c r="K147" s="754">
        <v>2017</v>
      </c>
      <c r="L147" s="754">
        <v>2018</v>
      </c>
      <c r="N147" s="44" t="s">
        <v>2304</v>
      </c>
    </row>
    <row r="148" spans="1:17">
      <c r="A148" s="752" t="s">
        <v>7706</v>
      </c>
      <c r="D148" s="755">
        <f t="shared" ref="D148:I148" si="111">SUM(D149:D163)</f>
        <v>72024</v>
      </c>
      <c r="E148" s="755">
        <f t="shared" si="111"/>
        <v>71793</v>
      </c>
      <c r="F148" s="755">
        <f t="shared" si="111"/>
        <v>73935</v>
      </c>
      <c r="G148" s="755">
        <f t="shared" si="111"/>
        <v>74610</v>
      </c>
      <c r="H148" s="755">
        <f t="shared" si="111"/>
        <v>74369</v>
      </c>
      <c r="I148" s="755">
        <f t="shared" si="111"/>
        <v>72424</v>
      </c>
      <c r="J148" s="755">
        <f t="shared" ref="J148:K148" si="112">SUM(J149:J163)</f>
        <v>70578</v>
      </c>
      <c r="K148" s="755">
        <f t="shared" si="112"/>
        <v>71455</v>
      </c>
      <c r="L148" s="755">
        <f t="shared" ref="L148" si="113">SUM(L149:L163)</f>
        <v>72499</v>
      </c>
    </row>
    <row r="149" spans="1:17">
      <c r="A149" s="752" t="s">
        <v>6957</v>
      </c>
      <c r="B149" s="752" t="s">
        <v>7707</v>
      </c>
      <c r="C149" s="4" t="s">
        <v>11238</v>
      </c>
      <c r="D149" s="755">
        <v>5760</v>
      </c>
      <c r="E149" s="755">
        <v>5701</v>
      </c>
      <c r="F149" s="755">
        <v>5713</v>
      </c>
      <c r="G149" s="48">
        <v>5704</v>
      </c>
      <c r="H149" s="48">
        <v>5713</v>
      </c>
      <c r="I149" s="48">
        <v>5657</v>
      </c>
      <c r="J149" s="30">
        <v>5442</v>
      </c>
      <c r="K149" s="30">
        <v>5502</v>
      </c>
      <c r="L149" s="30">
        <v>5532</v>
      </c>
      <c r="N149" s="752" t="s">
        <v>7597</v>
      </c>
    </row>
    <row r="150" spans="1:17">
      <c r="A150" s="752" t="s">
        <v>6959</v>
      </c>
      <c r="B150" s="752" t="s">
        <v>7708</v>
      </c>
      <c r="C150" s="4" t="s">
        <v>11239</v>
      </c>
      <c r="D150" s="755">
        <v>4105</v>
      </c>
      <c r="E150" s="755">
        <v>4005</v>
      </c>
      <c r="F150" s="755">
        <v>4311</v>
      </c>
      <c r="G150" s="48">
        <v>4332</v>
      </c>
      <c r="H150" s="48">
        <v>4263</v>
      </c>
      <c r="I150" s="48">
        <v>4148</v>
      </c>
      <c r="J150" s="30">
        <v>3998</v>
      </c>
      <c r="K150" s="30">
        <v>4041</v>
      </c>
      <c r="L150" s="30">
        <v>4080</v>
      </c>
      <c r="N150" s="752" t="s">
        <v>7597</v>
      </c>
      <c r="O150" s="4"/>
      <c r="Q150" s="4"/>
    </row>
    <row r="151" spans="1:17">
      <c r="A151" s="752" t="s">
        <v>6961</v>
      </c>
      <c r="B151" s="752" t="s">
        <v>5851</v>
      </c>
      <c r="C151" s="4" t="s">
        <v>11240</v>
      </c>
      <c r="D151" s="755">
        <v>4031</v>
      </c>
      <c r="E151" s="755">
        <v>3879</v>
      </c>
      <c r="F151" s="755">
        <v>4200</v>
      </c>
      <c r="G151" s="48">
        <v>4227</v>
      </c>
      <c r="H151" s="48">
        <v>4228</v>
      </c>
      <c r="I151" s="48">
        <v>4124</v>
      </c>
      <c r="J151" s="30">
        <v>3951</v>
      </c>
      <c r="K151" s="30">
        <v>4025</v>
      </c>
      <c r="L151" s="30">
        <v>4060</v>
      </c>
      <c r="N151" s="752" t="s">
        <v>7597</v>
      </c>
      <c r="O151" s="4"/>
      <c r="Q151" s="4"/>
    </row>
    <row r="152" spans="1:17">
      <c r="A152" s="752" t="s">
        <v>6963</v>
      </c>
      <c r="B152" s="752" t="s">
        <v>7681</v>
      </c>
      <c r="C152" s="4" t="s">
        <v>11241</v>
      </c>
      <c r="D152" s="755">
        <v>4143</v>
      </c>
      <c r="E152" s="755">
        <v>4117</v>
      </c>
      <c r="F152" s="755">
        <v>4195</v>
      </c>
      <c r="G152" s="48">
        <v>4252</v>
      </c>
      <c r="H152" s="48">
        <v>4365</v>
      </c>
      <c r="I152" s="48">
        <v>4265</v>
      </c>
      <c r="J152" s="30">
        <v>4223</v>
      </c>
      <c r="K152" s="30">
        <v>4250</v>
      </c>
      <c r="L152" s="30">
        <v>4284</v>
      </c>
      <c r="N152" s="752" t="s">
        <v>7597</v>
      </c>
      <c r="O152" s="4"/>
      <c r="Q152" s="4"/>
    </row>
    <row r="153" spans="1:17">
      <c r="A153" s="752" t="s">
        <v>6965</v>
      </c>
      <c r="B153" s="752" t="s">
        <v>7682</v>
      </c>
      <c r="C153" s="4" t="s">
        <v>11242</v>
      </c>
      <c r="D153" s="755">
        <v>3835</v>
      </c>
      <c r="E153" s="755">
        <v>3795</v>
      </c>
      <c r="F153" s="755">
        <v>3858</v>
      </c>
      <c r="G153" s="48">
        <v>3886</v>
      </c>
      <c r="H153" s="48">
        <v>3847</v>
      </c>
      <c r="I153" s="48">
        <v>3764</v>
      </c>
      <c r="J153" s="30">
        <v>3720</v>
      </c>
      <c r="K153" s="30">
        <v>3724</v>
      </c>
      <c r="L153" s="30">
        <v>3725</v>
      </c>
      <c r="N153" s="752" t="s">
        <v>7597</v>
      </c>
      <c r="O153" s="4"/>
      <c r="Q153" s="4"/>
    </row>
    <row r="154" spans="1:17">
      <c r="A154" s="752" t="s">
        <v>6997</v>
      </c>
      <c r="B154" s="752" t="s">
        <v>7683</v>
      </c>
      <c r="C154" s="4" t="s">
        <v>11243</v>
      </c>
      <c r="D154" s="755">
        <v>6401</v>
      </c>
      <c r="E154" s="755">
        <v>6313</v>
      </c>
      <c r="F154" s="755">
        <v>6499</v>
      </c>
      <c r="G154" s="48">
        <v>6484</v>
      </c>
      <c r="H154" s="48">
        <v>6510</v>
      </c>
      <c r="I154" s="48">
        <v>6337</v>
      </c>
      <c r="J154" s="30">
        <v>6170</v>
      </c>
      <c r="K154" s="30">
        <v>6188</v>
      </c>
      <c r="L154" s="30">
        <v>6265</v>
      </c>
      <c r="N154" s="752" t="s">
        <v>7597</v>
      </c>
      <c r="O154" s="4"/>
      <c r="Q154" s="4"/>
    </row>
    <row r="155" spans="1:17">
      <c r="A155" s="752" t="s">
        <v>6999</v>
      </c>
      <c r="B155" s="752" t="s">
        <v>7684</v>
      </c>
      <c r="C155" s="4" t="s">
        <v>11244</v>
      </c>
      <c r="D155" s="755">
        <v>5306</v>
      </c>
      <c r="E155" s="755">
        <v>5343</v>
      </c>
      <c r="F155" s="755">
        <v>5365</v>
      </c>
      <c r="G155" s="48">
        <v>5409</v>
      </c>
      <c r="H155" s="48">
        <v>5394</v>
      </c>
      <c r="I155" s="48">
        <v>5254</v>
      </c>
      <c r="J155" s="30">
        <v>5022</v>
      </c>
      <c r="K155" s="30">
        <v>5122</v>
      </c>
      <c r="L155" s="30">
        <v>5199</v>
      </c>
      <c r="N155" s="752" t="s">
        <v>7597</v>
      </c>
      <c r="O155" s="4"/>
      <c r="Q155" s="4"/>
    </row>
    <row r="156" spans="1:17">
      <c r="A156" s="752" t="s">
        <v>7001</v>
      </c>
      <c r="B156" s="752" t="s">
        <v>7685</v>
      </c>
      <c r="C156" s="4" t="s">
        <v>11245</v>
      </c>
      <c r="D156" s="755">
        <v>6019</v>
      </c>
      <c r="E156" s="755">
        <v>6150</v>
      </c>
      <c r="F156" s="755">
        <v>6339</v>
      </c>
      <c r="G156" s="48">
        <v>6420</v>
      </c>
      <c r="H156" s="48">
        <v>6371</v>
      </c>
      <c r="I156" s="48">
        <v>6197</v>
      </c>
      <c r="J156" s="30">
        <v>6184</v>
      </c>
      <c r="K156" s="30">
        <v>6236</v>
      </c>
      <c r="L156" s="30">
        <v>6300</v>
      </c>
      <c r="N156" s="752" t="s">
        <v>7597</v>
      </c>
      <c r="O156" s="4"/>
      <c r="Q156" s="4"/>
    </row>
    <row r="157" spans="1:17">
      <c r="A157" s="752" t="s">
        <v>7003</v>
      </c>
      <c r="B157" s="752" t="s">
        <v>5298</v>
      </c>
      <c r="C157" s="4" t="s">
        <v>11246</v>
      </c>
      <c r="D157" s="755">
        <v>3377</v>
      </c>
      <c r="E157" s="755">
        <v>3426</v>
      </c>
      <c r="F157" s="755">
        <v>3544</v>
      </c>
      <c r="G157" s="48">
        <v>3514</v>
      </c>
      <c r="H157" s="48">
        <v>3494</v>
      </c>
      <c r="I157" s="48">
        <v>3380</v>
      </c>
      <c r="J157" s="30">
        <v>3281</v>
      </c>
      <c r="K157" s="30">
        <v>3368</v>
      </c>
      <c r="L157" s="30">
        <v>3484</v>
      </c>
      <c r="N157" s="752" t="s">
        <v>7597</v>
      </c>
      <c r="O157" s="4"/>
      <c r="Q157" s="4"/>
    </row>
    <row r="158" spans="1:17">
      <c r="A158" s="752" t="s">
        <v>7005</v>
      </c>
      <c r="B158" s="752" t="s">
        <v>7686</v>
      </c>
      <c r="C158" s="4" t="s">
        <v>11247</v>
      </c>
      <c r="D158" s="755">
        <v>4890</v>
      </c>
      <c r="E158" s="755">
        <v>4790</v>
      </c>
      <c r="F158" s="755">
        <v>4932</v>
      </c>
      <c r="G158" s="48">
        <v>5028</v>
      </c>
      <c r="H158" s="48">
        <v>4963</v>
      </c>
      <c r="I158" s="48">
        <v>4878</v>
      </c>
      <c r="J158" s="30">
        <v>4805</v>
      </c>
      <c r="K158" s="30">
        <v>5065</v>
      </c>
      <c r="L158" s="30">
        <v>5259</v>
      </c>
      <c r="N158" s="752" t="s">
        <v>7597</v>
      </c>
      <c r="O158" s="4"/>
      <c r="Q158" s="4"/>
    </row>
    <row r="159" spans="1:17">
      <c r="A159" s="752" t="s">
        <v>7007</v>
      </c>
      <c r="B159" s="752" t="s">
        <v>7687</v>
      </c>
      <c r="C159" s="4" t="s">
        <v>11248</v>
      </c>
      <c r="D159" s="755">
        <v>6033</v>
      </c>
      <c r="E159" s="755">
        <v>6060</v>
      </c>
      <c r="F159" s="755">
        <v>6144</v>
      </c>
      <c r="G159" s="48">
        <v>6220</v>
      </c>
      <c r="H159" s="48">
        <v>6205</v>
      </c>
      <c r="I159" s="48">
        <v>6027</v>
      </c>
      <c r="J159" s="30">
        <v>5899</v>
      </c>
      <c r="K159" s="30">
        <v>5989</v>
      </c>
      <c r="L159" s="30">
        <v>6030</v>
      </c>
      <c r="N159" s="752" t="s">
        <v>7597</v>
      </c>
      <c r="O159" s="4"/>
      <c r="Q159" s="4"/>
    </row>
    <row r="160" spans="1:17">
      <c r="A160" s="752" t="s">
        <v>7009</v>
      </c>
      <c r="B160" s="752" t="s">
        <v>1975</v>
      </c>
      <c r="C160" s="4" t="s">
        <v>11249</v>
      </c>
      <c r="D160" s="755">
        <v>5852</v>
      </c>
      <c r="E160" s="755">
        <v>5734</v>
      </c>
      <c r="F160" s="755">
        <v>6080</v>
      </c>
      <c r="G160" s="48">
        <v>6212</v>
      </c>
      <c r="H160" s="48">
        <v>6106</v>
      </c>
      <c r="I160" s="48">
        <v>5831</v>
      </c>
      <c r="J160" s="30">
        <v>5634</v>
      </c>
      <c r="K160" s="30">
        <v>5673</v>
      </c>
      <c r="L160" s="30">
        <v>5738</v>
      </c>
      <c r="N160" s="752" t="s">
        <v>7597</v>
      </c>
      <c r="O160" s="4"/>
      <c r="Q160" s="4"/>
    </row>
    <row r="161" spans="1:17">
      <c r="A161" s="752" t="s">
        <v>7011</v>
      </c>
      <c r="B161" s="752" t="s">
        <v>5849</v>
      </c>
      <c r="C161" s="4" t="s">
        <v>11250</v>
      </c>
      <c r="D161" s="755">
        <v>4542</v>
      </c>
      <c r="E161" s="755">
        <v>4787</v>
      </c>
      <c r="F161" s="755">
        <v>4963</v>
      </c>
      <c r="G161" s="48">
        <v>5140</v>
      </c>
      <c r="H161" s="48">
        <v>5095</v>
      </c>
      <c r="I161" s="48">
        <v>4988</v>
      </c>
      <c r="J161" s="30">
        <v>4916</v>
      </c>
      <c r="K161" s="30">
        <v>4881</v>
      </c>
      <c r="L161" s="30">
        <v>4993</v>
      </c>
      <c r="N161" s="752" t="s">
        <v>7597</v>
      </c>
      <c r="O161" s="4"/>
      <c r="Q161" s="4"/>
    </row>
    <row r="162" spans="1:17">
      <c r="A162" s="763">
        <v>14</v>
      </c>
      <c r="B162" s="752" t="s">
        <v>5995</v>
      </c>
      <c r="C162" s="4" t="s">
        <v>11251</v>
      </c>
      <c r="D162" s="755">
        <v>4438</v>
      </c>
      <c r="E162" s="755">
        <v>4405</v>
      </c>
      <c r="F162" s="755">
        <v>4390</v>
      </c>
      <c r="G162" s="48">
        <v>4366</v>
      </c>
      <c r="H162" s="48">
        <v>4376</v>
      </c>
      <c r="I162" s="48">
        <v>4267</v>
      </c>
      <c r="J162" s="30">
        <v>4213</v>
      </c>
      <c r="K162" s="30">
        <v>4214</v>
      </c>
      <c r="L162" s="30">
        <v>4266</v>
      </c>
      <c r="N162" s="752" t="s">
        <v>7597</v>
      </c>
      <c r="O162" s="4"/>
      <c r="Q162" s="4"/>
    </row>
    <row r="163" spans="1:17">
      <c r="A163" s="763">
        <v>15</v>
      </c>
      <c r="B163" s="752" t="s">
        <v>6726</v>
      </c>
      <c r="C163" s="4" t="s">
        <v>11252</v>
      </c>
      <c r="D163" s="755">
        <v>3292</v>
      </c>
      <c r="E163" s="755">
        <v>3288</v>
      </c>
      <c r="F163" s="755">
        <v>3402</v>
      </c>
      <c r="G163" s="48">
        <v>3416</v>
      </c>
      <c r="H163" s="48">
        <v>3439</v>
      </c>
      <c r="I163" s="48">
        <v>3307</v>
      </c>
      <c r="J163" s="30">
        <v>3120</v>
      </c>
      <c r="K163" s="30">
        <v>3177</v>
      </c>
      <c r="L163" s="30">
        <v>3284</v>
      </c>
      <c r="N163" s="752" t="s">
        <v>7597</v>
      </c>
      <c r="O163" s="4"/>
      <c r="Q163" s="4"/>
    </row>
    <row r="164" spans="1:17">
      <c r="D164" s="756"/>
      <c r="E164" s="756"/>
      <c r="F164" s="756"/>
      <c r="G164" s="756"/>
      <c r="H164" s="756"/>
      <c r="I164" s="756"/>
      <c r="J164" s="756"/>
      <c r="K164" s="756"/>
      <c r="L164" s="756"/>
      <c r="O164" s="4"/>
      <c r="Q164" s="4"/>
    </row>
    <row r="165" spans="1:17">
      <c r="A165" s="752" t="s">
        <v>7597</v>
      </c>
      <c r="D165" s="755">
        <f t="shared" ref="D165:I165" si="114">SUM(D149:D163)</f>
        <v>72024</v>
      </c>
      <c r="E165" s="755">
        <f t="shared" si="114"/>
        <v>71793</v>
      </c>
      <c r="F165" s="755">
        <f t="shared" si="114"/>
        <v>73935</v>
      </c>
      <c r="G165" s="755">
        <f t="shared" si="114"/>
        <v>74610</v>
      </c>
      <c r="H165" s="755">
        <f t="shared" si="114"/>
        <v>74369</v>
      </c>
      <c r="I165" s="755">
        <f t="shared" si="114"/>
        <v>72424</v>
      </c>
      <c r="J165" s="755">
        <f t="shared" ref="J165:K165" si="115">SUM(J149:J163)</f>
        <v>70578</v>
      </c>
      <c r="K165" s="755">
        <f t="shared" si="115"/>
        <v>71455</v>
      </c>
      <c r="L165" s="755">
        <f t="shared" ref="L165" si="116">SUM(L149:L163)</f>
        <v>72499</v>
      </c>
    </row>
    <row r="166" spans="1:17">
      <c r="A166" s="752"/>
      <c r="D166" s="755"/>
      <c r="E166" s="755"/>
      <c r="F166" s="755"/>
      <c r="G166" s="755"/>
      <c r="H166" s="755"/>
      <c r="I166" s="755"/>
      <c r="J166" s="755"/>
      <c r="K166" s="755"/>
      <c r="L166" s="755"/>
    </row>
    <row r="167" spans="1:17">
      <c r="A167" s="752" t="s">
        <v>5996</v>
      </c>
      <c r="D167" s="755"/>
      <c r="E167" s="755"/>
      <c r="F167" s="755"/>
      <c r="G167" s="755"/>
      <c r="H167" s="755"/>
      <c r="I167" s="755"/>
      <c r="J167" s="755"/>
      <c r="K167" s="755"/>
      <c r="L167" s="755"/>
    </row>
    <row r="168" spans="1:17">
      <c r="A168" s="752"/>
      <c r="B168" s="752"/>
      <c r="D168" s="760"/>
      <c r="E168" s="760"/>
      <c r="F168" s="760"/>
      <c r="G168" s="760"/>
      <c r="H168" s="760"/>
      <c r="I168" s="760"/>
      <c r="J168" s="760"/>
      <c r="K168" s="760"/>
      <c r="L168" s="760"/>
    </row>
    <row r="169" spans="1:17">
      <c r="A169" s="752"/>
      <c r="B169" s="752"/>
      <c r="D169" s="760"/>
      <c r="E169" s="760"/>
      <c r="F169" s="760"/>
      <c r="G169" s="760"/>
      <c r="H169" s="760"/>
      <c r="I169" s="760"/>
      <c r="J169" s="760"/>
      <c r="K169" s="760"/>
      <c r="L169" s="760"/>
    </row>
    <row r="170" spans="1:17">
      <c r="E170" s="42" t="s">
        <v>2303</v>
      </c>
      <c r="F170" s="42"/>
      <c r="G170" s="42"/>
      <c r="H170" s="42"/>
      <c r="I170" s="42"/>
      <c r="J170" s="42"/>
      <c r="K170" s="42"/>
      <c r="L170" s="42"/>
      <c r="M170" s="43"/>
      <c r="N170" s="43" t="s">
        <v>13319</v>
      </c>
    </row>
    <row r="171" spans="1:17">
      <c r="D171" s="754">
        <v>2010</v>
      </c>
      <c r="E171" s="754">
        <v>2011</v>
      </c>
      <c r="F171" s="754">
        <v>2012</v>
      </c>
      <c r="G171" s="754">
        <v>2013</v>
      </c>
      <c r="H171" s="754">
        <v>2014</v>
      </c>
      <c r="I171" s="754">
        <v>2015</v>
      </c>
      <c r="J171" s="754">
        <v>2016</v>
      </c>
      <c r="K171" s="754">
        <v>2017</v>
      </c>
      <c r="L171" s="754">
        <v>2018</v>
      </c>
      <c r="N171" s="44" t="s">
        <v>2304</v>
      </c>
    </row>
    <row r="172" spans="1:17">
      <c r="A172" s="752" t="s">
        <v>5997</v>
      </c>
      <c r="D172" s="755">
        <f t="shared" ref="D172:I172" si="117">SUM(D173:D194)</f>
        <v>99682</v>
      </c>
      <c r="E172" s="755">
        <f t="shared" si="117"/>
        <v>100713</v>
      </c>
      <c r="F172" s="755">
        <f t="shared" si="117"/>
        <v>101117</v>
      </c>
      <c r="G172" s="755">
        <f t="shared" si="117"/>
        <v>101732</v>
      </c>
      <c r="H172" s="755">
        <f t="shared" si="117"/>
        <v>99258</v>
      </c>
      <c r="I172" s="755">
        <f t="shared" si="117"/>
        <v>99936</v>
      </c>
      <c r="J172" s="755">
        <f t="shared" ref="J172:K172" si="118">SUM(J173:J194)</f>
        <v>100288</v>
      </c>
      <c r="K172" s="755">
        <f t="shared" si="118"/>
        <v>103959</v>
      </c>
      <c r="L172" s="755">
        <f t="shared" ref="L172" si="119">SUM(L173:L194)</f>
        <v>105544</v>
      </c>
    </row>
    <row r="173" spans="1:17">
      <c r="A173" s="752" t="s">
        <v>6957</v>
      </c>
      <c r="B173" s="752" t="s">
        <v>5998</v>
      </c>
      <c r="C173" s="4" t="s">
        <v>14453</v>
      </c>
      <c r="D173" s="755">
        <v>6983</v>
      </c>
      <c r="E173" s="755">
        <v>7111</v>
      </c>
      <c r="F173" s="755">
        <v>7194</v>
      </c>
      <c r="G173" s="48">
        <v>7285</v>
      </c>
      <c r="H173" s="48">
        <v>7150</v>
      </c>
      <c r="I173" s="48">
        <v>7285</v>
      </c>
      <c r="J173" s="30">
        <v>7377</v>
      </c>
      <c r="K173" s="30">
        <v>7793</v>
      </c>
      <c r="L173" s="30">
        <v>7953</v>
      </c>
      <c r="N173" s="752" t="s">
        <v>2331</v>
      </c>
      <c r="O173" s="4"/>
      <c r="Q173" s="4"/>
    </row>
    <row r="174" spans="1:17">
      <c r="A174" s="752" t="s">
        <v>6959</v>
      </c>
      <c r="B174" s="752" t="s">
        <v>5999</v>
      </c>
      <c r="C174" s="4" t="s">
        <v>11253</v>
      </c>
      <c r="D174" s="755">
        <v>4259</v>
      </c>
      <c r="E174" s="755">
        <v>4277</v>
      </c>
      <c r="F174" s="755">
        <v>4185</v>
      </c>
      <c r="G174" s="48">
        <v>4209</v>
      </c>
      <c r="H174" s="48">
        <v>4106</v>
      </c>
      <c r="I174" s="48">
        <v>4143</v>
      </c>
      <c r="J174" s="30">
        <v>4124</v>
      </c>
      <c r="K174" s="30">
        <v>4239</v>
      </c>
      <c r="L174" s="30">
        <v>4255</v>
      </c>
      <c r="N174" s="752" t="s">
        <v>7722</v>
      </c>
    </row>
    <row r="175" spans="1:17">
      <c r="A175" s="752" t="s">
        <v>6961</v>
      </c>
      <c r="B175" s="752" t="s">
        <v>6000</v>
      </c>
      <c r="C175" s="4" t="s">
        <v>11254</v>
      </c>
      <c r="D175" s="755">
        <v>2349</v>
      </c>
      <c r="E175" s="755">
        <v>2344</v>
      </c>
      <c r="F175" s="755">
        <v>2329</v>
      </c>
      <c r="G175" s="48">
        <v>2326</v>
      </c>
      <c r="H175" s="48">
        <v>2287</v>
      </c>
      <c r="I175" s="48">
        <v>2501</v>
      </c>
      <c r="J175" s="30">
        <v>2929</v>
      </c>
      <c r="K175" s="30">
        <v>3502</v>
      </c>
      <c r="L175" s="30">
        <v>3784</v>
      </c>
      <c r="N175" s="752" t="s">
        <v>2331</v>
      </c>
      <c r="O175" s="4"/>
      <c r="Q175" s="4"/>
    </row>
    <row r="176" spans="1:17">
      <c r="A176" s="752" t="s">
        <v>6963</v>
      </c>
      <c r="B176" s="752" t="s">
        <v>6001</v>
      </c>
      <c r="C176" s="4" t="s">
        <v>11255</v>
      </c>
      <c r="D176" s="755">
        <v>6561</v>
      </c>
      <c r="E176" s="755">
        <v>6593</v>
      </c>
      <c r="F176" s="755">
        <v>6610</v>
      </c>
      <c r="G176" s="48">
        <v>6668</v>
      </c>
      <c r="H176" s="48">
        <v>6537</v>
      </c>
      <c r="I176" s="48">
        <v>6545</v>
      </c>
      <c r="J176" s="30">
        <v>6506</v>
      </c>
      <c r="K176" s="30">
        <v>6690</v>
      </c>
      <c r="L176" s="30">
        <v>6763</v>
      </c>
      <c r="N176" s="752" t="s">
        <v>7722</v>
      </c>
      <c r="O176" s="4"/>
      <c r="Q176" s="4"/>
    </row>
    <row r="177" spans="1:17">
      <c r="A177" s="752" t="s">
        <v>6965</v>
      </c>
      <c r="B177" s="752" t="s">
        <v>6002</v>
      </c>
      <c r="C177" s="4" t="s">
        <v>11256</v>
      </c>
      <c r="D177" s="755">
        <v>7492</v>
      </c>
      <c r="E177" s="755">
        <v>7682</v>
      </c>
      <c r="F177" s="755">
        <v>7724</v>
      </c>
      <c r="G177" s="48">
        <v>7716</v>
      </c>
      <c r="H177" s="48">
        <v>7592</v>
      </c>
      <c r="I177" s="48">
        <v>7629</v>
      </c>
      <c r="J177" s="30">
        <v>7615</v>
      </c>
      <c r="K177" s="30">
        <v>7858</v>
      </c>
      <c r="L177" s="30">
        <v>7940</v>
      </c>
      <c r="N177" s="752" t="s">
        <v>7722</v>
      </c>
      <c r="O177" s="4"/>
      <c r="Q177" s="4"/>
    </row>
    <row r="178" spans="1:17">
      <c r="A178" s="752" t="s">
        <v>6997</v>
      </c>
      <c r="B178" s="752" t="s">
        <v>6003</v>
      </c>
      <c r="C178" s="4" t="s">
        <v>11257</v>
      </c>
      <c r="D178" s="755">
        <v>4258</v>
      </c>
      <c r="E178" s="755">
        <v>4273</v>
      </c>
      <c r="F178" s="755">
        <v>4308</v>
      </c>
      <c r="G178" s="48">
        <v>4322</v>
      </c>
      <c r="H178" s="48">
        <v>4215</v>
      </c>
      <c r="I178" s="48">
        <v>4186</v>
      </c>
      <c r="J178" s="30">
        <v>4166</v>
      </c>
      <c r="K178" s="30">
        <v>4286</v>
      </c>
      <c r="L178" s="30">
        <v>4285</v>
      </c>
      <c r="N178" s="752" t="s">
        <v>7722</v>
      </c>
      <c r="O178" s="4"/>
      <c r="Q178" s="4"/>
    </row>
    <row r="179" spans="1:17">
      <c r="A179" s="752" t="s">
        <v>6999</v>
      </c>
      <c r="B179" s="752" t="s">
        <v>6004</v>
      </c>
      <c r="C179" s="4" t="s">
        <v>11258</v>
      </c>
      <c r="D179" s="755">
        <v>4276</v>
      </c>
      <c r="E179" s="755">
        <v>4300</v>
      </c>
      <c r="F179" s="755">
        <v>4287</v>
      </c>
      <c r="G179" s="48">
        <v>4370</v>
      </c>
      <c r="H179" s="48">
        <v>4070</v>
      </c>
      <c r="I179" s="48">
        <v>4189</v>
      </c>
      <c r="J179" s="30">
        <v>4342</v>
      </c>
      <c r="K179" s="30">
        <v>4637</v>
      </c>
      <c r="L179" s="30">
        <v>4927</v>
      </c>
      <c r="N179" s="752" t="s">
        <v>2331</v>
      </c>
      <c r="O179" s="4"/>
      <c r="Q179" s="4"/>
    </row>
    <row r="180" spans="1:17">
      <c r="A180" s="752" t="s">
        <v>7001</v>
      </c>
      <c r="B180" s="752" t="s">
        <v>3970</v>
      </c>
      <c r="C180" s="4" t="s">
        <v>11259</v>
      </c>
      <c r="D180" s="755">
        <v>2894</v>
      </c>
      <c r="E180" s="755">
        <v>2945</v>
      </c>
      <c r="F180" s="755">
        <v>2906</v>
      </c>
      <c r="G180" s="48">
        <v>2950</v>
      </c>
      <c r="H180" s="48">
        <v>2842</v>
      </c>
      <c r="I180" s="48">
        <v>2839</v>
      </c>
      <c r="J180" s="30">
        <v>2877</v>
      </c>
      <c r="K180" s="30">
        <v>2886</v>
      </c>
      <c r="L180" s="30">
        <v>2938</v>
      </c>
      <c r="N180" s="752" t="s">
        <v>2331</v>
      </c>
      <c r="O180" s="4"/>
      <c r="Q180" s="4"/>
    </row>
    <row r="181" spans="1:17">
      <c r="A181" s="752" t="s">
        <v>7003</v>
      </c>
      <c r="B181" s="752" t="s">
        <v>7823</v>
      </c>
      <c r="C181" s="4" t="s">
        <v>11260</v>
      </c>
      <c r="D181" s="755">
        <v>4093</v>
      </c>
      <c r="E181" s="755">
        <v>4097</v>
      </c>
      <c r="F181" s="755">
        <v>4069</v>
      </c>
      <c r="G181" s="48">
        <v>4063</v>
      </c>
      <c r="H181" s="48">
        <v>3978</v>
      </c>
      <c r="I181" s="48">
        <v>4036</v>
      </c>
      <c r="J181" s="30">
        <v>4059</v>
      </c>
      <c r="K181" s="30">
        <v>4150</v>
      </c>
      <c r="L181" s="30">
        <v>4258</v>
      </c>
      <c r="N181" s="752" t="s">
        <v>7722</v>
      </c>
      <c r="O181" s="4"/>
      <c r="Q181" s="4"/>
    </row>
    <row r="182" spans="1:17">
      <c r="A182" s="752" t="s">
        <v>7005</v>
      </c>
      <c r="B182" s="752" t="s">
        <v>7824</v>
      </c>
      <c r="C182" s="4" t="s">
        <v>11261</v>
      </c>
      <c r="D182" s="755">
        <v>4165</v>
      </c>
      <c r="E182" s="755">
        <v>4123</v>
      </c>
      <c r="F182" s="755">
        <v>4221</v>
      </c>
      <c r="G182" s="48">
        <v>4249</v>
      </c>
      <c r="H182" s="48">
        <v>4105</v>
      </c>
      <c r="I182" s="48">
        <v>4087</v>
      </c>
      <c r="J182" s="30">
        <v>4100</v>
      </c>
      <c r="K182" s="30">
        <v>4213</v>
      </c>
      <c r="L182" s="30">
        <v>4338</v>
      </c>
      <c r="N182" s="752" t="s">
        <v>2331</v>
      </c>
      <c r="O182" s="4"/>
      <c r="Q182" s="4"/>
    </row>
    <row r="183" spans="1:17">
      <c r="A183" s="752" t="s">
        <v>7007</v>
      </c>
      <c r="B183" s="752" t="s">
        <v>7825</v>
      </c>
      <c r="C183" s="4" t="s">
        <v>11262</v>
      </c>
      <c r="D183" s="755">
        <v>4306</v>
      </c>
      <c r="E183" s="755">
        <v>4369</v>
      </c>
      <c r="F183" s="755">
        <v>4410</v>
      </c>
      <c r="G183" s="48">
        <v>4416</v>
      </c>
      <c r="H183" s="48">
        <v>4263</v>
      </c>
      <c r="I183" s="48">
        <v>4300</v>
      </c>
      <c r="J183" s="30">
        <v>4290</v>
      </c>
      <c r="K183" s="30">
        <v>4345</v>
      </c>
      <c r="L183" s="30">
        <v>4334</v>
      </c>
      <c r="N183" s="752" t="s">
        <v>2331</v>
      </c>
      <c r="O183" s="4"/>
      <c r="Q183" s="4"/>
    </row>
    <row r="184" spans="1:17">
      <c r="A184" s="752" t="s">
        <v>7009</v>
      </c>
      <c r="B184" s="752" t="s">
        <v>7826</v>
      </c>
      <c r="C184" s="4" t="s">
        <v>11263</v>
      </c>
      <c r="D184" s="755">
        <v>5837</v>
      </c>
      <c r="E184" s="755">
        <v>5951</v>
      </c>
      <c r="F184" s="755">
        <v>6113</v>
      </c>
      <c r="G184" s="48">
        <v>6136</v>
      </c>
      <c r="H184" s="48">
        <v>5811</v>
      </c>
      <c r="I184" s="48">
        <v>5803</v>
      </c>
      <c r="J184" s="30">
        <v>5718</v>
      </c>
      <c r="K184" s="30">
        <v>5836</v>
      </c>
      <c r="L184" s="30">
        <v>5948</v>
      </c>
      <c r="N184" s="752" t="s">
        <v>2331</v>
      </c>
      <c r="O184" s="4"/>
      <c r="Q184" s="4"/>
    </row>
    <row r="185" spans="1:17">
      <c r="A185" s="752" t="s">
        <v>7011</v>
      </c>
      <c r="B185" s="752" t="s">
        <v>7827</v>
      </c>
      <c r="C185" s="4" t="s">
        <v>11264</v>
      </c>
      <c r="D185" s="755">
        <v>4300</v>
      </c>
      <c r="E185" s="755">
        <v>4275</v>
      </c>
      <c r="F185" s="755">
        <v>4330</v>
      </c>
      <c r="G185" s="48">
        <v>4339</v>
      </c>
      <c r="H185" s="48">
        <v>4170</v>
      </c>
      <c r="I185" s="48">
        <v>4154</v>
      </c>
      <c r="J185" s="30">
        <v>4175</v>
      </c>
      <c r="K185" s="30">
        <v>4382</v>
      </c>
      <c r="L185" s="30">
        <v>4466</v>
      </c>
      <c r="N185" s="752" t="s">
        <v>2331</v>
      </c>
      <c r="O185" s="4"/>
      <c r="Q185" s="4"/>
    </row>
    <row r="186" spans="1:17">
      <c r="A186" s="752" t="s">
        <v>7013</v>
      </c>
      <c r="B186" s="752" t="s">
        <v>7828</v>
      </c>
      <c r="C186" s="4" t="s">
        <v>11265</v>
      </c>
      <c r="D186" s="755">
        <v>2258</v>
      </c>
      <c r="E186" s="755">
        <v>2303</v>
      </c>
      <c r="F186" s="755">
        <v>2303</v>
      </c>
      <c r="G186" s="48">
        <v>2387</v>
      </c>
      <c r="H186" s="48">
        <v>2400</v>
      </c>
      <c r="I186" s="48">
        <v>2375</v>
      </c>
      <c r="J186" s="31">
        <v>2354</v>
      </c>
      <c r="K186" s="31">
        <v>2398</v>
      </c>
      <c r="L186" s="31">
        <v>2388</v>
      </c>
      <c r="N186" s="752" t="s">
        <v>2331</v>
      </c>
      <c r="O186" s="4"/>
      <c r="Q186" s="4"/>
    </row>
    <row r="187" spans="1:17">
      <c r="A187" s="752" t="s">
        <v>7015</v>
      </c>
      <c r="B187" s="752" t="s">
        <v>13314</v>
      </c>
      <c r="C187" s="4" t="s">
        <v>11266</v>
      </c>
      <c r="D187" s="755">
        <v>4823</v>
      </c>
      <c r="E187" s="755">
        <v>4991</v>
      </c>
      <c r="F187" s="755">
        <v>5081</v>
      </c>
      <c r="G187" s="48">
        <v>5070</v>
      </c>
      <c r="H187" s="48">
        <v>5169</v>
      </c>
      <c r="I187" s="48">
        <v>5112</v>
      </c>
      <c r="J187" s="30">
        <v>4993</v>
      </c>
      <c r="K187" s="30">
        <v>5094</v>
      </c>
      <c r="L187" s="30">
        <v>5093</v>
      </c>
      <c r="N187" s="752" t="s">
        <v>7722</v>
      </c>
      <c r="O187" s="4"/>
      <c r="Q187" s="4"/>
    </row>
    <row r="188" spans="1:17">
      <c r="A188" s="752" t="s">
        <v>7017</v>
      </c>
      <c r="B188" s="752" t="s">
        <v>7829</v>
      </c>
      <c r="C188" s="4" t="s">
        <v>11267</v>
      </c>
      <c r="D188" s="755">
        <v>4778</v>
      </c>
      <c r="E188" s="755">
        <v>4825</v>
      </c>
      <c r="F188" s="755">
        <v>4849</v>
      </c>
      <c r="G188" s="48">
        <v>4876</v>
      </c>
      <c r="H188" s="48">
        <v>4844</v>
      </c>
      <c r="I188" s="48">
        <v>4790</v>
      </c>
      <c r="J188" s="31">
        <v>4692</v>
      </c>
      <c r="K188" s="31">
        <v>4810</v>
      </c>
      <c r="L188" s="31">
        <v>4793</v>
      </c>
      <c r="N188" s="752" t="s">
        <v>2331</v>
      </c>
      <c r="O188" s="4"/>
      <c r="Q188" s="4"/>
    </row>
    <row r="189" spans="1:17">
      <c r="A189" s="752" t="s">
        <v>7019</v>
      </c>
      <c r="B189" s="752" t="s">
        <v>7830</v>
      </c>
      <c r="C189" s="4" t="s">
        <v>11268</v>
      </c>
      <c r="D189" s="755">
        <v>4792</v>
      </c>
      <c r="E189" s="755">
        <v>4804</v>
      </c>
      <c r="F189" s="755">
        <v>4819</v>
      </c>
      <c r="G189" s="48">
        <v>4841</v>
      </c>
      <c r="H189" s="48">
        <v>4630</v>
      </c>
      <c r="I189" s="48">
        <v>4661</v>
      </c>
      <c r="J189" s="31">
        <v>4594</v>
      </c>
      <c r="K189" s="31">
        <v>4755</v>
      </c>
      <c r="L189" s="31">
        <v>4789</v>
      </c>
      <c r="N189" s="752" t="s">
        <v>2331</v>
      </c>
      <c r="O189" s="4"/>
      <c r="Q189" s="4"/>
    </row>
    <row r="190" spans="1:17">
      <c r="A190" s="752" t="s">
        <v>7021</v>
      </c>
      <c r="B190" s="752" t="s">
        <v>7831</v>
      </c>
      <c r="C190" s="4" t="s">
        <v>11269</v>
      </c>
      <c r="D190" s="755">
        <v>2137</v>
      </c>
      <c r="E190" s="755">
        <v>2125</v>
      </c>
      <c r="F190" s="755">
        <v>2136</v>
      </c>
      <c r="G190" s="48">
        <v>2137</v>
      </c>
      <c r="H190" s="48">
        <v>2074</v>
      </c>
      <c r="I190" s="48">
        <v>2106</v>
      </c>
      <c r="J190" s="31">
        <v>2078</v>
      </c>
      <c r="K190" s="31">
        <v>2111</v>
      </c>
      <c r="L190" s="31">
        <v>2109</v>
      </c>
      <c r="N190" s="752" t="s">
        <v>2331</v>
      </c>
      <c r="O190" s="4"/>
      <c r="Q190" s="4"/>
    </row>
    <row r="191" spans="1:17">
      <c r="A191" s="752" t="s">
        <v>7023</v>
      </c>
      <c r="B191" s="752" t="s">
        <v>7832</v>
      </c>
      <c r="C191" s="4" t="s">
        <v>11270</v>
      </c>
      <c r="D191" s="755">
        <v>1992</v>
      </c>
      <c r="E191" s="755">
        <v>2002</v>
      </c>
      <c r="F191" s="755">
        <v>1998</v>
      </c>
      <c r="G191" s="48">
        <v>2055</v>
      </c>
      <c r="H191" s="48">
        <v>1981</v>
      </c>
      <c r="I191" s="48">
        <v>2066</v>
      </c>
      <c r="J191" s="31">
        <v>2249</v>
      </c>
      <c r="K191" s="31">
        <v>2591</v>
      </c>
      <c r="L191" s="31">
        <v>2751</v>
      </c>
      <c r="N191" s="752" t="s">
        <v>2331</v>
      </c>
      <c r="O191" s="4"/>
      <c r="Q191" s="4"/>
    </row>
    <row r="192" spans="1:17">
      <c r="A192" s="752" t="s">
        <v>7025</v>
      </c>
      <c r="B192" s="752" t="s">
        <v>7833</v>
      </c>
      <c r="C192" s="4" t="s">
        <v>14454</v>
      </c>
      <c r="D192" s="755">
        <v>7409</v>
      </c>
      <c r="E192" s="755">
        <v>7556</v>
      </c>
      <c r="F192" s="755">
        <v>7555</v>
      </c>
      <c r="G192" s="48">
        <v>7642</v>
      </c>
      <c r="H192" s="48">
        <v>7573</v>
      </c>
      <c r="I192" s="48">
        <v>7656</v>
      </c>
      <c r="J192" s="31">
        <v>7622</v>
      </c>
      <c r="K192" s="31">
        <v>7840</v>
      </c>
      <c r="L192" s="31">
        <v>7892</v>
      </c>
      <c r="N192" s="752" t="s">
        <v>2331</v>
      </c>
      <c r="O192" s="4"/>
      <c r="Q192" s="4"/>
    </row>
    <row r="193" spans="1:17">
      <c r="A193" s="752" t="s">
        <v>7570</v>
      </c>
      <c r="B193" s="752" t="s">
        <v>7834</v>
      </c>
      <c r="C193" s="4" t="s">
        <v>11271</v>
      </c>
      <c r="D193" s="755">
        <v>5006</v>
      </c>
      <c r="E193" s="755">
        <v>5050</v>
      </c>
      <c r="F193" s="755">
        <v>4998</v>
      </c>
      <c r="G193" s="48">
        <v>4920</v>
      </c>
      <c r="H193" s="48">
        <v>4855</v>
      </c>
      <c r="I193" s="48">
        <v>4790</v>
      </c>
      <c r="J193" s="30">
        <v>4786</v>
      </c>
      <c r="K193" s="30">
        <v>4854</v>
      </c>
      <c r="L193" s="30">
        <v>4831</v>
      </c>
      <c r="N193" s="752" t="s">
        <v>7722</v>
      </c>
      <c r="O193" s="4"/>
      <c r="Q193" s="4"/>
    </row>
    <row r="194" spans="1:17">
      <c r="A194" s="752" t="s">
        <v>7572</v>
      </c>
      <c r="B194" s="752" t="s">
        <v>4117</v>
      </c>
      <c r="C194" s="4" t="s">
        <v>11272</v>
      </c>
      <c r="D194" s="755">
        <v>4714</v>
      </c>
      <c r="E194" s="755">
        <v>4717</v>
      </c>
      <c r="F194" s="755">
        <v>4692</v>
      </c>
      <c r="G194" s="48">
        <v>4755</v>
      </c>
      <c r="H194" s="48">
        <v>4606</v>
      </c>
      <c r="I194" s="48">
        <v>4683</v>
      </c>
      <c r="J194" s="31">
        <v>4642</v>
      </c>
      <c r="K194" s="31">
        <v>4689</v>
      </c>
      <c r="L194" s="31">
        <v>4709</v>
      </c>
      <c r="N194" s="752" t="s">
        <v>2331</v>
      </c>
      <c r="O194" s="4"/>
      <c r="Q194" s="4"/>
    </row>
    <row r="195" spans="1:17">
      <c r="D195" s="756"/>
      <c r="E195" s="756"/>
      <c r="F195" s="756"/>
      <c r="G195" s="756"/>
      <c r="H195" s="756"/>
      <c r="I195" s="756"/>
      <c r="J195" s="756"/>
      <c r="K195" s="756"/>
      <c r="L195" s="756"/>
      <c r="O195" s="4"/>
      <c r="Q195" s="4"/>
    </row>
    <row r="196" spans="1:17">
      <c r="A196" s="752" t="s">
        <v>8614</v>
      </c>
      <c r="D196" s="755">
        <f t="shared" ref="D196:I196" si="120">D174+SUM(D176:D178)+D181+D187+D193</f>
        <v>36492</v>
      </c>
      <c r="E196" s="755">
        <f t="shared" si="120"/>
        <v>36963</v>
      </c>
      <c r="F196" s="755">
        <f t="shared" si="120"/>
        <v>36975</v>
      </c>
      <c r="G196" s="755">
        <f t="shared" si="120"/>
        <v>36968</v>
      </c>
      <c r="H196" s="755">
        <f t="shared" si="120"/>
        <v>36452</v>
      </c>
      <c r="I196" s="755">
        <f t="shared" si="120"/>
        <v>36441</v>
      </c>
      <c r="J196" s="755">
        <f t="shared" ref="J196:K196" si="121">J174+SUM(J176:J178)+J181+J187+J193</f>
        <v>36249</v>
      </c>
      <c r="K196" s="755">
        <f t="shared" si="121"/>
        <v>37171</v>
      </c>
      <c r="L196" s="755">
        <f t="shared" ref="L196" si="122">L174+SUM(L176:L178)+L181+L187+L193</f>
        <v>37425</v>
      </c>
    </row>
    <row r="197" spans="1:17">
      <c r="A197" s="752" t="s">
        <v>7748</v>
      </c>
      <c r="D197" s="755">
        <f t="shared" ref="D197:I197" si="123">D173+D175+D179+D180+SUM(D182:D186)+SUM(D188:D192)+D194</f>
        <v>63190</v>
      </c>
      <c r="E197" s="755">
        <f t="shared" si="123"/>
        <v>63750</v>
      </c>
      <c r="F197" s="755">
        <f t="shared" si="123"/>
        <v>64142</v>
      </c>
      <c r="G197" s="755">
        <f t="shared" si="123"/>
        <v>64764</v>
      </c>
      <c r="H197" s="755">
        <f t="shared" si="123"/>
        <v>62806</v>
      </c>
      <c r="I197" s="755">
        <f t="shared" si="123"/>
        <v>63495</v>
      </c>
      <c r="J197" s="755">
        <f t="shared" ref="J197:K197" si="124">J173+J175+J179+J180+SUM(J182:J186)+SUM(J188:J192)+J194</f>
        <v>64039</v>
      </c>
      <c r="K197" s="755">
        <f t="shared" si="124"/>
        <v>66788</v>
      </c>
      <c r="L197" s="755">
        <f t="shared" ref="L197" si="125">L173+L175+L179+L180+SUM(L182:L186)+SUM(L188:L192)+L194</f>
        <v>68119</v>
      </c>
    </row>
    <row r="198" spans="1:17">
      <c r="A198" s="752"/>
      <c r="D198" s="755"/>
      <c r="E198" s="755"/>
      <c r="F198" s="755"/>
      <c r="G198" s="755"/>
      <c r="H198" s="755"/>
      <c r="I198" s="755"/>
      <c r="J198" s="755"/>
      <c r="K198" s="755"/>
      <c r="L198" s="755"/>
    </row>
    <row r="199" spans="1:17">
      <c r="A199" s="752" t="s">
        <v>14451</v>
      </c>
      <c r="D199" s="755"/>
      <c r="E199" s="755"/>
      <c r="F199" s="755"/>
      <c r="G199" s="755"/>
      <c r="H199" s="755"/>
      <c r="I199" s="755"/>
      <c r="J199" s="755"/>
      <c r="K199" s="755"/>
      <c r="L199" s="755"/>
    </row>
    <row r="200" spans="1:17">
      <c r="A200" s="752" t="s">
        <v>14452</v>
      </c>
      <c r="D200" s="755"/>
      <c r="E200" s="755"/>
      <c r="F200" s="755"/>
      <c r="G200" s="755"/>
      <c r="H200" s="755"/>
      <c r="I200" s="755"/>
      <c r="J200" s="755"/>
      <c r="K200" s="755"/>
      <c r="L200" s="755"/>
    </row>
    <row r="201" spans="1:17">
      <c r="A201" s="752"/>
      <c r="B201" s="752"/>
      <c r="D201" s="760"/>
      <c r="E201" s="760"/>
      <c r="F201" s="760"/>
      <c r="G201" s="760"/>
      <c r="H201" s="760"/>
      <c r="I201" s="760"/>
      <c r="J201" s="760"/>
      <c r="K201" s="760"/>
      <c r="L201" s="760"/>
    </row>
    <row r="202" spans="1:17">
      <c r="A202" s="752"/>
      <c r="B202" s="752"/>
      <c r="D202" s="760"/>
      <c r="E202" s="760"/>
      <c r="F202" s="760"/>
      <c r="G202" s="760"/>
      <c r="H202" s="760"/>
      <c r="I202" s="760"/>
      <c r="J202" s="760"/>
      <c r="K202" s="760"/>
      <c r="L202" s="760"/>
    </row>
    <row r="203" spans="1:17">
      <c r="E203" s="42" t="s">
        <v>2303</v>
      </c>
      <c r="F203" s="42"/>
      <c r="G203" s="42"/>
      <c r="H203" s="42"/>
      <c r="I203" s="42"/>
      <c r="J203" s="42"/>
      <c r="K203" s="42"/>
      <c r="L203" s="42"/>
      <c r="M203" s="43"/>
      <c r="N203" s="43" t="s">
        <v>13319</v>
      </c>
    </row>
    <row r="204" spans="1:17">
      <c r="D204" s="754">
        <v>2010</v>
      </c>
      <c r="E204" s="754">
        <v>2011</v>
      </c>
      <c r="F204" s="754">
        <v>2012</v>
      </c>
      <c r="G204" s="754">
        <v>2013</v>
      </c>
      <c r="H204" s="754">
        <v>2014</v>
      </c>
      <c r="I204" s="754">
        <v>2015</v>
      </c>
      <c r="J204" s="754">
        <v>2016</v>
      </c>
      <c r="K204" s="754">
        <v>2017</v>
      </c>
      <c r="L204" s="754">
        <v>2018</v>
      </c>
      <c r="N204" s="44" t="s">
        <v>2304</v>
      </c>
    </row>
    <row r="205" spans="1:17">
      <c r="A205" s="752" t="s">
        <v>7749</v>
      </c>
      <c r="D205" s="755">
        <f t="shared" ref="D205:I205" si="126">SUM(D206:D231)</f>
        <v>100172</v>
      </c>
      <c r="E205" s="755">
        <f t="shared" si="126"/>
        <v>101739</v>
      </c>
      <c r="F205" s="755">
        <f t="shared" si="126"/>
        <v>102770</v>
      </c>
      <c r="G205" s="755">
        <f t="shared" si="126"/>
        <v>103635</v>
      </c>
      <c r="H205" s="755">
        <f t="shared" si="126"/>
        <v>106256</v>
      </c>
      <c r="I205" s="755">
        <f t="shared" si="126"/>
        <v>104742</v>
      </c>
      <c r="J205" s="755">
        <f t="shared" ref="J205:K205" si="127">SUM(J206:J231)</f>
        <v>104358</v>
      </c>
      <c r="K205" s="755">
        <f t="shared" si="127"/>
        <v>110296</v>
      </c>
      <c r="L205" s="755">
        <f t="shared" ref="L205" si="128">SUM(L206:L231)</f>
        <v>110194</v>
      </c>
    </row>
    <row r="206" spans="1:17">
      <c r="A206" s="752" t="s">
        <v>6957</v>
      </c>
      <c r="B206" s="752" t="s">
        <v>7750</v>
      </c>
      <c r="C206" s="4" t="s">
        <v>11273</v>
      </c>
      <c r="D206" s="755">
        <v>4063</v>
      </c>
      <c r="E206" s="755">
        <v>4184</v>
      </c>
      <c r="F206" s="755">
        <v>4199</v>
      </c>
      <c r="G206" s="48">
        <v>4232</v>
      </c>
      <c r="H206" s="48">
        <v>4322</v>
      </c>
      <c r="I206" s="30">
        <v>4229</v>
      </c>
      <c r="J206" s="30">
        <v>4179</v>
      </c>
      <c r="K206" s="30">
        <v>4425</v>
      </c>
      <c r="L206" s="30">
        <v>4532</v>
      </c>
      <c r="N206" s="752" t="s">
        <v>2331</v>
      </c>
    </row>
    <row r="207" spans="1:17">
      <c r="A207" s="752" t="s">
        <v>6959</v>
      </c>
      <c r="B207" s="752" t="s">
        <v>7751</v>
      </c>
      <c r="C207" s="4" t="s">
        <v>11274</v>
      </c>
      <c r="D207" s="755">
        <v>2031</v>
      </c>
      <c r="E207" s="755">
        <v>2058</v>
      </c>
      <c r="F207" s="755">
        <v>2088</v>
      </c>
      <c r="G207" s="48">
        <v>2090</v>
      </c>
      <c r="H207" s="48">
        <v>2084</v>
      </c>
      <c r="I207" s="30">
        <v>2031</v>
      </c>
      <c r="J207" s="30">
        <v>2023</v>
      </c>
      <c r="K207" s="30">
        <v>2125</v>
      </c>
      <c r="L207" s="30">
        <v>2085</v>
      </c>
      <c r="N207" s="752" t="s">
        <v>2332</v>
      </c>
      <c r="O207" s="4"/>
      <c r="Q207" s="4"/>
    </row>
    <row r="208" spans="1:17">
      <c r="A208" s="752" t="s">
        <v>6961</v>
      </c>
      <c r="B208" s="752" t="s">
        <v>7752</v>
      </c>
      <c r="C208" s="4" t="s">
        <v>11275</v>
      </c>
      <c r="D208" s="755">
        <v>2118</v>
      </c>
      <c r="E208" s="755">
        <v>2121</v>
      </c>
      <c r="F208" s="755">
        <v>2126</v>
      </c>
      <c r="G208" s="48">
        <v>2131</v>
      </c>
      <c r="H208" s="48">
        <v>2202</v>
      </c>
      <c r="I208" s="30">
        <v>2153</v>
      </c>
      <c r="J208" s="30">
        <v>2118</v>
      </c>
      <c r="K208" s="30">
        <v>2216</v>
      </c>
      <c r="L208" s="30">
        <v>2185</v>
      </c>
      <c r="N208" s="752" t="s">
        <v>2332</v>
      </c>
      <c r="O208" s="4"/>
      <c r="Q208" s="4"/>
    </row>
    <row r="209" spans="1:17">
      <c r="A209" s="752" t="s">
        <v>6963</v>
      </c>
      <c r="B209" s="752" t="s">
        <v>7753</v>
      </c>
      <c r="C209" s="4" t="s">
        <v>11276</v>
      </c>
      <c r="D209" s="761">
        <v>3624</v>
      </c>
      <c r="E209" s="761">
        <v>3687</v>
      </c>
      <c r="F209" s="761">
        <v>3753</v>
      </c>
      <c r="G209" s="48">
        <v>3769</v>
      </c>
      <c r="H209" s="48">
        <v>3909</v>
      </c>
      <c r="I209" s="30">
        <v>3836</v>
      </c>
      <c r="J209" s="30">
        <v>3812</v>
      </c>
      <c r="K209" s="30">
        <v>4016</v>
      </c>
      <c r="L209" s="30">
        <v>3968</v>
      </c>
      <c r="N209" s="752" t="s">
        <v>2332</v>
      </c>
      <c r="O209" s="4"/>
      <c r="Q209" s="4"/>
    </row>
    <row r="210" spans="1:17">
      <c r="A210" s="752" t="s">
        <v>6965</v>
      </c>
      <c r="B210" s="752" t="s">
        <v>7765</v>
      </c>
      <c r="C210" s="4" t="s">
        <v>11277</v>
      </c>
      <c r="D210" s="756">
        <v>3800</v>
      </c>
      <c r="E210" s="756">
        <v>3857</v>
      </c>
      <c r="F210" s="756">
        <v>3835</v>
      </c>
      <c r="G210" s="48">
        <v>3927</v>
      </c>
      <c r="H210" s="48">
        <v>4009</v>
      </c>
      <c r="I210" s="30">
        <v>3950</v>
      </c>
      <c r="J210" s="30">
        <v>3903</v>
      </c>
      <c r="K210" s="30">
        <v>4069</v>
      </c>
      <c r="L210" s="30">
        <v>4074</v>
      </c>
      <c r="N210" s="752" t="s">
        <v>2332</v>
      </c>
      <c r="O210" s="4"/>
      <c r="Q210" s="4"/>
    </row>
    <row r="211" spans="1:17">
      <c r="A211" s="752" t="s">
        <v>6997</v>
      </c>
      <c r="B211" s="752" t="s">
        <v>7766</v>
      </c>
      <c r="C211" s="4" t="s">
        <v>11278</v>
      </c>
      <c r="D211" s="761">
        <v>3628</v>
      </c>
      <c r="E211" s="761">
        <v>3670</v>
      </c>
      <c r="F211" s="761">
        <v>3673</v>
      </c>
      <c r="G211" s="48">
        <v>3654</v>
      </c>
      <c r="H211" s="48">
        <v>3759</v>
      </c>
      <c r="I211" s="30">
        <v>3677</v>
      </c>
      <c r="J211" s="30">
        <v>3650</v>
      </c>
      <c r="K211" s="30">
        <v>3784</v>
      </c>
      <c r="L211" s="30">
        <v>3737</v>
      </c>
      <c r="N211" s="752" t="s">
        <v>2332</v>
      </c>
      <c r="O211" s="4"/>
      <c r="Q211" s="4"/>
    </row>
    <row r="212" spans="1:17">
      <c r="A212" s="752" t="s">
        <v>6999</v>
      </c>
      <c r="B212" s="752" t="s">
        <v>7767</v>
      </c>
      <c r="C212" s="4" t="s">
        <v>11279</v>
      </c>
      <c r="D212" s="755">
        <v>3453</v>
      </c>
      <c r="E212" s="755">
        <v>3440</v>
      </c>
      <c r="F212" s="755">
        <v>3530</v>
      </c>
      <c r="G212" s="48">
        <v>3558</v>
      </c>
      <c r="H212" s="48">
        <v>3691</v>
      </c>
      <c r="I212" s="30">
        <v>3556</v>
      </c>
      <c r="J212" s="30">
        <v>3560</v>
      </c>
      <c r="K212" s="30">
        <v>3820</v>
      </c>
      <c r="L212" s="30">
        <v>3810</v>
      </c>
      <c r="N212" s="752" t="s">
        <v>2332</v>
      </c>
      <c r="O212" s="4"/>
      <c r="Q212" s="4"/>
    </row>
    <row r="213" spans="1:17">
      <c r="A213" s="752" t="s">
        <v>7001</v>
      </c>
      <c r="B213" s="752" t="s">
        <v>7768</v>
      </c>
      <c r="C213" s="4" t="s">
        <v>11280</v>
      </c>
      <c r="D213" s="761">
        <v>3338</v>
      </c>
      <c r="E213" s="761">
        <v>3423</v>
      </c>
      <c r="F213" s="761">
        <v>3465</v>
      </c>
      <c r="G213" s="48">
        <v>3455</v>
      </c>
      <c r="H213" s="48">
        <v>3725</v>
      </c>
      <c r="I213" s="30">
        <v>3723</v>
      </c>
      <c r="J213" s="30">
        <v>3676</v>
      </c>
      <c r="K213" s="30">
        <v>3841</v>
      </c>
      <c r="L213" s="30">
        <v>3967</v>
      </c>
      <c r="N213" s="752" t="s">
        <v>2332</v>
      </c>
      <c r="O213" s="4"/>
      <c r="Q213" s="4"/>
    </row>
    <row r="214" spans="1:17">
      <c r="A214" s="752" t="s">
        <v>7003</v>
      </c>
      <c r="B214" s="752" t="s">
        <v>7769</v>
      </c>
      <c r="C214" s="4" t="s">
        <v>11281</v>
      </c>
      <c r="D214" s="761">
        <v>3832</v>
      </c>
      <c r="E214" s="761">
        <v>3946</v>
      </c>
      <c r="F214" s="761">
        <v>3980</v>
      </c>
      <c r="G214" s="48">
        <v>4016</v>
      </c>
      <c r="H214" s="48">
        <v>4096</v>
      </c>
      <c r="I214" s="30">
        <v>4119</v>
      </c>
      <c r="J214" s="30">
        <v>4141</v>
      </c>
      <c r="K214" s="30">
        <v>4334</v>
      </c>
      <c r="L214" s="30">
        <v>4331</v>
      </c>
      <c r="N214" s="752" t="s">
        <v>2332</v>
      </c>
      <c r="O214" s="4"/>
      <c r="Q214" s="4"/>
    </row>
    <row r="215" spans="1:17">
      <c r="A215" s="752" t="s">
        <v>7005</v>
      </c>
      <c r="B215" s="752" t="s">
        <v>5941</v>
      </c>
      <c r="C215" s="4" t="s">
        <v>11282</v>
      </c>
      <c r="D215" s="755">
        <v>3702</v>
      </c>
      <c r="E215" s="755">
        <v>3742</v>
      </c>
      <c r="F215" s="755">
        <v>3742</v>
      </c>
      <c r="G215" s="48">
        <v>3753</v>
      </c>
      <c r="H215" s="48">
        <v>3816</v>
      </c>
      <c r="I215" s="30">
        <v>3757</v>
      </c>
      <c r="J215" s="30">
        <v>3747</v>
      </c>
      <c r="K215" s="30">
        <v>4005</v>
      </c>
      <c r="L215" s="30">
        <v>3922</v>
      </c>
      <c r="N215" s="752" t="s">
        <v>2331</v>
      </c>
      <c r="O215" s="4"/>
      <c r="Q215" s="4"/>
    </row>
    <row r="216" spans="1:17">
      <c r="A216" s="752" t="s">
        <v>7007</v>
      </c>
      <c r="B216" s="752" t="s">
        <v>5942</v>
      </c>
      <c r="C216" s="4" t="s">
        <v>11283</v>
      </c>
      <c r="D216" s="755">
        <v>5269</v>
      </c>
      <c r="E216" s="755">
        <v>5325</v>
      </c>
      <c r="F216" s="755">
        <v>5377</v>
      </c>
      <c r="G216" s="48">
        <v>5419</v>
      </c>
      <c r="H216" s="48">
        <v>5539</v>
      </c>
      <c r="I216" s="30">
        <v>5498</v>
      </c>
      <c r="J216" s="30">
        <v>5435</v>
      </c>
      <c r="K216" s="30">
        <v>5766</v>
      </c>
      <c r="L216" s="30">
        <v>5789</v>
      </c>
      <c r="N216" s="752" t="s">
        <v>2331</v>
      </c>
      <c r="O216" s="4"/>
      <c r="Q216" s="4"/>
    </row>
    <row r="217" spans="1:17">
      <c r="A217" s="752" t="s">
        <v>7009</v>
      </c>
      <c r="B217" s="752" t="s">
        <v>5943</v>
      </c>
      <c r="C217" s="4" t="s">
        <v>11284</v>
      </c>
      <c r="D217" s="761">
        <v>3733</v>
      </c>
      <c r="E217" s="761">
        <v>3766</v>
      </c>
      <c r="F217" s="761">
        <v>3789</v>
      </c>
      <c r="G217" s="48">
        <v>3863</v>
      </c>
      <c r="H217" s="48">
        <v>3971</v>
      </c>
      <c r="I217" s="30">
        <v>3945</v>
      </c>
      <c r="J217" s="30">
        <v>3973</v>
      </c>
      <c r="K217" s="30">
        <v>4280</v>
      </c>
      <c r="L217" s="30">
        <v>4326</v>
      </c>
      <c r="N217" s="752" t="s">
        <v>2332</v>
      </c>
      <c r="O217" s="4"/>
      <c r="Q217" s="4"/>
    </row>
    <row r="218" spans="1:17">
      <c r="A218" s="752" t="s">
        <v>7011</v>
      </c>
      <c r="B218" s="752" t="s">
        <v>5944</v>
      </c>
      <c r="C218" s="4" t="s">
        <v>11285</v>
      </c>
      <c r="D218" s="755">
        <v>3943</v>
      </c>
      <c r="E218" s="755">
        <v>4127</v>
      </c>
      <c r="F218" s="755">
        <v>4161</v>
      </c>
      <c r="G218" s="48">
        <v>4177</v>
      </c>
      <c r="H218" s="48">
        <v>4225</v>
      </c>
      <c r="I218" s="30">
        <v>4145</v>
      </c>
      <c r="J218" s="30">
        <v>4164</v>
      </c>
      <c r="K218" s="30">
        <v>4432</v>
      </c>
      <c r="L218" s="30">
        <v>4400</v>
      </c>
      <c r="N218" s="752" t="s">
        <v>2332</v>
      </c>
      <c r="O218" s="4"/>
      <c r="Q218" s="4"/>
    </row>
    <row r="219" spans="1:17">
      <c r="A219" s="752" t="s">
        <v>7013</v>
      </c>
      <c r="B219" s="752" t="s">
        <v>5945</v>
      </c>
      <c r="C219" s="4" t="s">
        <v>11286</v>
      </c>
      <c r="D219" s="755">
        <v>3727</v>
      </c>
      <c r="E219" s="755">
        <v>3811</v>
      </c>
      <c r="F219" s="755">
        <v>3836</v>
      </c>
      <c r="G219" s="48">
        <v>3852</v>
      </c>
      <c r="H219" s="48">
        <v>3845</v>
      </c>
      <c r="I219" s="31">
        <v>3802</v>
      </c>
      <c r="J219" s="31">
        <v>3766</v>
      </c>
      <c r="K219" s="31">
        <v>3884</v>
      </c>
      <c r="L219" s="31">
        <v>3820</v>
      </c>
      <c r="N219" s="752" t="s">
        <v>2332</v>
      </c>
      <c r="O219" s="4"/>
      <c r="Q219" s="4"/>
    </row>
    <row r="220" spans="1:17">
      <c r="A220" s="752" t="s">
        <v>7015</v>
      </c>
      <c r="B220" s="752" t="s">
        <v>5946</v>
      </c>
      <c r="C220" s="4" t="s">
        <v>11287</v>
      </c>
      <c r="D220" s="755">
        <v>3596</v>
      </c>
      <c r="E220" s="755">
        <v>3610</v>
      </c>
      <c r="F220" s="755">
        <v>3667</v>
      </c>
      <c r="G220" s="48">
        <v>3658</v>
      </c>
      <c r="H220" s="48">
        <v>3742</v>
      </c>
      <c r="I220" s="31">
        <v>3777</v>
      </c>
      <c r="J220" s="31">
        <v>3741</v>
      </c>
      <c r="K220" s="31">
        <v>3907</v>
      </c>
      <c r="L220" s="31">
        <v>3856</v>
      </c>
      <c r="N220" s="752" t="s">
        <v>2332</v>
      </c>
      <c r="O220" s="4"/>
      <c r="Q220" s="4"/>
    </row>
    <row r="221" spans="1:17">
      <c r="A221" s="752" t="s">
        <v>7017</v>
      </c>
      <c r="B221" s="752" t="s">
        <v>5947</v>
      </c>
      <c r="C221" s="4" t="s">
        <v>11288</v>
      </c>
      <c r="D221" s="755">
        <v>3263</v>
      </c>
      <c r="E221" s="755">
        <v>3330</v>
      </c>
      <c r="F221" s="755">
        <v>3351</v>
      </c>
      <c r="G221" s="48">
        <v>3375</v>
      </c>
      <c r="H221" s="48">
        <v>3461</v>
      </c>
      <c r="I221" s="31">
        <v>3415</v>
      </c>
      <c r="J221" s="31">
        <v>3538</v>
      </c>
      <c r="K221" s="31">
        <v>3704</v>
      </c>
      <c r="L221" s="31">
        <v>3648</v>
      </c>
      <c r="N221" s="752" t="s">
        <v>2332</v>
      </c>
      <c r="O221" s="4"/>
      <c r="Q221" s="4"/>
    </row>
    <row r="222" spans="1:17">
      <c r="A222" s="752" t="s">
        <v>7019</v>
      </c>
      <c r="B222" s="752" t="s">
        <v>7835</v>
      </c>
      <c r="C222" s="4" t="s">
        <v>11289</v>
      </c>
      <c r="D222" s="755">
        <v>3523</v>
      </c>
      <c r="E222" s="755">
        <v>3553</v>
      </c>
      <c r="F222" s="755">
        <v>3647</v>
      </c>
      <c r="G222" s="48">
        <v>3699</v>
      </c>
      <c r="H222" s="48">
        <v>3765</v>
      </c>
      <c r="I222" s="31">
        <v>3605</v>
      </c>
      <c r="J222" s="31">
        <v>3514</v>
      </c>
      <c r="K222" s="31">
        <v>3850</v>
      </c>
      <c r="L222" s="31">
        <v>3865</v>
      </c>
      <c r="N222" s="752" t="s">
        <v>2332</v>
      </c>
      <c r="O222" s="4"/>
      <c r="Q222" s="4"/>
    </row>
    <row r="223" spans="1:17">
      <c r="A223" s="752" t="s">
        <v>7021</v>
      </c>
      <c r="B223" s="752" t="s">
        <v>7836</v>
      </c>
      <c r="C223" s="4" t="s">
        <v>11290</v>
      </c>
      <c r="D223" s="755">
        <v>5639</v>
      </c>
      <c r="E223" s="755">
        <v>5775</v>
      </c>
      <c r="F223" s="755">
        <v>5964</v>
      </c>
      <c r="G223" s="48">
        <v>6041</v>
      </c>
      <c r="H223" s="48">
        <v>6223</v>
      </c>
      <c r="I223" s="30">
        <v>6165</v>
      </c>
      <c r="J223" s="30">
        <v>6123</v>
      </c>
      <c r="K223" s="30">
        <v>6405</v>
      </c>
      <c r="L223" s="30">
        <v>6344</v>
      </c>
      <c r="N223" s="752" t="s">
        <v>7722</v>
      </c>
      <c r="O223" s="4"/>
      <c r="Q223" s="4"/>
    </row>
    <row r="224" spans="1:17">
      <c r="A224" s="752" t="s">
        <v>7023</v>
      </c>
      <c r="B224" s="752" t="s">
        <v>8660</v>
      </c>
      <c r="C224" s="4" t="s">
        <v>11291</v>
      </c>
      <c r="D224" s="755">
        <v>3780</v>
      </c>
      <c r="E224" s="755">
        <v>3937</v>
      </c>
      <c r="F224" s="755">
        <v>3995</v>
      </c>
      <c r="G224" s="48">
        <v>4002</v>
      </c>
      <c r="H224" s="48">
        <v>4077</v>
      </c>
      <c r="I224" s="31">
        <v>3967</v>
      </c>
      <c r="J224" s="31">
        <v>3894</v>
      </c>
      <c r="K224" s="31">
        <v>4099</v>
      </c>
      <c r="L224" s="31">
        <v>4075</v>
      </c>
      <c r="N224" s="752" t="s">
        <v>2332</v>
      </c>
      <c r="O224" s="4"/>
      <c r="Q224" s="4"/>
    </row>
    <row r="225" spans="1:17">
      <c r="A225" s="752" t="s">
        <v>7025</v>
      </c>
      <c r="B225" s="752" t="s">
        <v>8661</v>
      </c>
      <c r="C225" s="4" t="s">
        <v>11292</v>
      </c>
      <c r="D225" s="755">
        <v>3929</v>
      </c>
      <c r="E225" s="755">
        <v>3914</v>
      </c>
      <c r="F225" s="755">
        <v>3999</v>
      </c>
      <c r="G225" s="48">
        <v>4136</v>
      </c>
      <c r="H225" s="48">
        <v>4288</v>
      </c>
      <c r="I225" s="31">
        <v>4159</v>
      </c>
      <c r="J225" s="31">
        <v>4215</v>
      </c>
      <c r="K225" s="31">
        <v>4363</v>
      </c>
      <c r="L225" s="31">
        <v>4335</v>
      </c>
      <c r="N225" s="752" t="s">
        <v>2332</v>
      </c>
      <c r="O225" s="4"/>
      <c r="Q225" s="4"/>
    </row>
    <row r="226" spans="1:17">
      <c r="A226" s="752" t="s">
        <v>7570</v>
      </c>
      <c r="B226" s="752" t="s">
        <v>4220</v>
      </c>
      <c r="C226" s="4" t="s">
        <v>11293</v>
      </c>
      <c r="D226" s="755">
        <v>3410</v>
      </c>
      <c r="E226" s="755">
        <v>3473</v>
      </c>
      <c r="F226" s="755">
        <v>3464</v>
      </c>
      <c r="G226" s="48">
        <v>3582</v>
      </c>
      <c r="H226" s="48">
        <v>3727</v>
      </c>
      <c r="I226" s="31">
        <v>3673</v>
      </c>
      <c r="J226" s="31">
        <v>3739</v>
      </c>
      <c r="K226" s="31">
        <v>4013</v>
      </c>
      <c r="L226" s="31">
        <v>4052</v>
      </c>
      <c r="N226" s="752" t="s">
        <v>2332</v>
      </c>
      <c r="O226" s="4"/>
      <c r="Q226" s="4"/>
    </row>
    <row r="227" spans="1:17">
      <c r="A227" s="752" t="s">
        <v>7572</v>
      </c>
      <c r="B227" s="752" t="s">
        <v>4221</v>
      </c>
      <c r="C227" s="4" t="s">
        <v>11294</v>
      </c>
      <c r="D227" s="755">
        <v>3839</v>
      </c>
      <c r="E227" s="755">
        <v>3922</v>
      </c>
      <c r="F227" s="755">
        <v>3952</v>
      </c>
      <c r="G227" s="48">
        <v>3980</v>
      </c>
      <c r="H227" s="48">
        <v>4096</v>
      </c>
      <c r="I227" s="31">
        <v>4002</v>
      </c>
      <c r="J227" s="31">
        <v>3973</v>
      </c>
      <c r="K227" s="31">
        <v>4141</v>
      </c>
      <c r="L227" s="31">
        <v>4190</v>
      </c>
      <c r="N227" s="752" t="s">
        <v>2332</v>
      </c>
      <c r="O227" s="4"/>
      <c r="Q227" s="4"/>
    </row>
    <row r="228" spans="1:17">
      <c r="A228" s="752" t="s">
        <v>7573</v>
      </c>
      <c r="B228" s="752" t="s">
        <v>4222</v>
      </c>
      <c r="C228" s="4" t="s">
        <v>11295</v>
      </c>
      <c r="D228" s="755">
        <v>4121</v>
      </c>
      <c r="E228" s="755">
        <v>4123</v>
      </c>
      <c r="F228" s="755">
        <v>4076</v>
      </c>
      <c r="G228" s="48">
        <v>4054</v>
      </c>
      <c r="H228" s="48">
        <v>4279</v>
      </c>
      <c r="I228" s="31">
        <v>4188</v>
      </c>
      <c r="J228" s="31">
        <v>4280</v>
      </c>
      <c r="K228" s="31">
        <v>4681</v>
      </c>
      <c r="L228" s="31">
        <v>4766</v>
      </c>
      <c r="N228" s="752" t="s">
        <v>2332</v>
      </c>
      <c r="O228" s="4"/>
      <c r="Q228" s="4"/>
    </row>
    <row r="229" spans="1:17">
      <c r="A229" s="752" t="s">
        <v>5798</v>
      </c>
      <c r="B229" s="752" t="s">
        <v>4223</v>
      </c>
      <c r="C229" s="4" t="s">
        <v>11296</v>
      </c>
      <c r="D229" s="755">
        <v>3892</v>
      </c>
      <c r="E229" s="755">
        <v>3888</v>
      </c>
      <c r="F229" s="755">
        <v>3905</v>
      </c>
      <c r="G229" s="48">
        <v>3868</v>
      </c>
      <c r="H229" s="48">
        <v>3900</v>
      </c>
      <c r="I229" s="31">
        <v>3867</v>
      </c>
      <c r="J229" s="31">
        <v>3834</v>
      </c>
      <c r="K229" s="31">
        <v>3963</v>
      </c>
      <c r="L229" s="31">
        <v>3932</v>
      </c>
      <c r="N229" s="752" t="s">
        <v>2332</v>
      </c>
      <c r="O229" s="4"/>
      <c r="Q229" s="4"/>
    </row>
    <row r="230" spans="1:17">
      <c r="A230" s="752" t="s">
        <v>5799</v>
      </c>
      <c r="B230" s="752" t="s">
        <v>4198</v>
      </c>
      <c r="C230" s="4" t="s">
        <v>11297</v>
      </c>
      <c r="D230" s="755">
        <v>5545</v>
      </c>
      <c r="E230" s="755">
        <v>5669</v>
      </c>
      <c r="F230" s="755">
        <v>5679</v>
      </c>
      <c r="G230" s="48">
        <v>5756</v>
      </c>
      <c r="H230" s="48">
        <v>5811</v>
      </c>
      <c r="I230" s="30">
        <v>5803</v>
      </c>
      <c r="J230" s="30">
        <v>5725</v>
      </c>
      <c r="K230" s="30">
        <v>6142</v>
      </c>
      <c r="L230" s="30">
        <v>6212</v>
      </c>
      <c r="N230" s="752" t="s">
        <v>7722</v>
      </c>
      <c r="O230" s="4"/>
      <c r="Q230" s="4"/>
    </row>
    <row r="231" spans="1:17">
      <c r="A231" s="752" t="s">
        <v>5801</v>
      </c>
      <c r="B231" s="752" t="s">
        <v>4199</v>
      </c>
      <c r="C231" s="4" t="s">
        <v>11298</v>
      </c>
      <c r="D231" s="755">
        <v>5374</v>
      </c>
      <c r="E231" s="755">
        <v>5388</v>
      </c>
      <c r="F231" s="755">
        <v>5517</v>
      </c>
      <c r="G231" s="48">
        <v>5588</v>
      </c>
      <c r="H231" s="48">
        <v>5694</v>
      </c>
      <c r="I231" s="31">
        <v>5700</v>
      </c>
      <c r="J231" s="31">
        <v>5635</v>
      </c>
      <c r="K231" s="31">
        <v>6031</v>
      </c>
      <c r="L231" s="31">
        <v>5973</v>
      </c>
      <c r="N231" s="752" t="s">
        <v>2332</v>
      </c>
      <c r="O231" s="4"/>
      <c r="Q231" s="4"/>
    </row>
    <row r="232" spans="1:17">
      <c r="O232" s="4"/>
      <c r="Q232" s="4"/>
    </row>
    <row r="233" spans="1:17">
      <c r="A233" s="752" t="s">
        <v>8614</v>
      </c>
      <c r="D233" s="755">
        <f t="shared" ref="D233:I233" si="129">D223+D230</f>
        <v>11184</v>
      </c>
      <c r="E233" s="755">
        <f t="shared" si="129"/>
        <v>11444</v>
      </c>
      <c r="F233" s="755">
        <f t="shared" si="129"/>
        <v>11643</v>
      </c>
      <c r="G233" s="755">
        <f t="shared" si="129"/>
        <v>11797</v>
      </c>
      <c r="H233" s="755">
        <f t="shared" si="129"/>
        <v>12034</v>
      </c>
      <c r="I233" s="755">
        <f t="shared" si="129"/>
        <v>11968</v>
      </c>
      <c r="J233" s="755">
        <f t="shared" ref="J233:K233" si="130">J223+J230</f>
        <v>11848</v>
      </c>
      <c r="K233" s="755">
        <f t="shared" si="130"/>
        <v>12547</v>
      </c>
      <c r="L233" s="755">
        <f>L223+L230</f>
        <v>12556</v>
      </c>
    </row>
    <row r="234" spans="1:17">
      <c r="A234" s="752" t="s">
        <v>7748</v>
      </c>
      <c r="D234" s="755">
        <f t="shared" ref="D234:I234" si="131">D206+D215+D216</f>
        <v>13034</v>
      </c>
      <c r="E234" s="755">
        <f t="shared" si="131"/>
        <v>13251</v>
      </c>
      <c r="F234" s="755">
        <f t="shared" si="131"/>
        <v>13318</v>
      </c>
      <c r="G234" s="755">
        <f t="shared" si="131"/>
        <v>13404</v>
      </c>
      <c r="H234" s="755">
        <f t="shared" si="131"/>
        <v>13677</v>
      </c>
      <c r="I234" s="755">
        <f t="shared" si="131"/>
        <v>13484</v>
      </c>
      <c r="J234" s="755">
        <f t="shared" ref="J234:K234" si="132">J206+J215+J216</f>
        <v>13361</v>
      </c>
      <c r="K234" s="755">
        <f t="shared" si="132"/>
        <v>14196</v>
      </c>
      <c r="L234" s="755">
        <f t="shared" ref="L234" si="133">L206+L215+L216</f>
        <v>14243</v>
      </c>
    </row>
    <row r="235" spans="1:17">
      <c r="A235" s="752" t="s">
        <v>2332</v>
      </c>
      <c r="D235" s="755">
        <f t="shared" ref="D235:I235" si="134">SUM(D207:D214)+SUM(D217:D222)+SUM(D224:D229)+D231</f>
        <v>75954</v>
      </c>
      <c r="E235" s="755">
        <f t="shared" si="134"/>
        <v>77044</v>
      </c>
      <c r="F235" s="755">
        <f t="shared" si="134"/>
        <v>77809</v>
      </c>
      <c r="G235" s="755">
        <f t="shared" si="134"/>
        <v>78434</v>
      </c>
      <c r="H235" s="755">
        <f t="shared" si="134"/>
        <v>80545</v>
      </c>
      <c r="I235" s="755">
        <f t="shared" si="134"/>
        <v>79290</v>
      </c>
      <c r="J235" s="755">
        <f t="shared" ref="J235:K235" si="135">SUM(J207:J214)+SUM(J217:J222)+SUM(J224:J229)+J231</f>
        <v>79149</v>
      </c>
      <c r="K235" s="755">
        <f t="shared" si="135"/>
        <v>83553</v>
      </c>
      <c r="L235" s="755">
        <f t="shared" ref="L235" si="136">SUM(L207:L214)+SUM(L217:L222)+SUM(L224:L229)+L231</f>
        <v>83395</v>
      </c>
    </row>
    <row r="236" spans="1:17">
      <c r="A236" s="752"/>
      <c r="D236" s="755"/>
      <c r="E236" s="755"/>
      <c r="F236" s="755"/>
      <c r="G236" s="755"/>
      <c r="H236" s="755"/>
      <c r="I236" s="755"/>
      <c r="J236" s="755"/>
      <c r="K236" s="755"/>
      <c r="L236" s="755"/>
    </row>
    <row r="237" spans="1:17">
      <c r="A237" s="752" t="s">
        <v>5951</v>
      </c>
      <c r="B237" s="752"/>
      <c r="D237" s="760"/>
      <c r="E237" s="760"/>
      <c r="F237" s="760"/>
      <c r="G237" s="760"/>
      <c r="H237" s="760"/>
      <c r="I237" s="760"/>
      <c r="J237" s="760"/>
      <c r="K237" s="760"/>
      <c r="L237" s="760"/>
    </row>
    <row r="238" spans="1:17">
      <c r="A238" s="752"/>
      <c r="B238" s="752"/>
      <c r="D238" s="760"/>
      <c r="E238" s="760"/>
      <c r="F238" s="760"/>
      <c r="G238" s="760"/>
      <c r="H238" s="760"/>
      <c r="I238" s="760"/>
      <c r="J238" s="760"/>
      <c r="K238" s="760"/>
      <c r="L238" s="760"/>
    </row>
    <row r="239" spans="1:17">
      <c r="A239" s="752"/>
      <c r="B239" s="752"/>
      <c r="D239" s="760"/>
      <c r="E239" s="760"/>
      <c r="F239" s="760"/>
      <c r="G239" s="760"/>
      <c r="H239" s="760"/>
      <c r="I239" s="760"/>
      <c r="J239" s="760"/>
      <c r="K239" s="760"/>
      <c r="L239" s="760"/>
    </row>
    <row r="240" spans="1:17">
      <c r="E240" s="42" t="s">
        <v>2303</v>
      </c>
      <c r="F240" s="42"/>
      <c r="G240" s="42"/>
      <c r="H240" s="42"/>
      <c r="I240" s="42"/>
      <c r="J240" s="42"/>
      <c r="K240" s="42"/>
      <c r="L240" s="42"/>
      <c r="M240" s="43"/>
      <c r="N240" s="43" t="s">
        <v>13319</v>
      </c>
    </row>
    <row r="241" spans="1:17">
      <c r="D241" s="754">
        <v>2010</v>
      </c>
      <c r="E241" s="754">
        <v>2011</v>
      </c>
      <c r="F241" s="754">
        <v>2012</v>
      </c>
      <c r="G241" s="754">
        <v>2013</v>
      </c>
      <c r="H241" s="754">
        <v>2014</v>
      </c>
      <c r="I241" s="754">
        <v>2015</v>
      </c>
      <c r="J241" s="754">
        <v>2016</v>
      </c>
      <c r="K241" s="754">
        <v>2017</v>
      </c>
      <c r="L241" s="754">
        <v>2018</v>
      </c>
      <c r="N241" s="44" t="s">
        <v>2304</v>
      </c>
    </row>
    <row r="242" spans="1:17">
      <c r="A242" s="752" t="s">
        <v>5952</v>
      </c>
      <c r="D242" s="755">
        <f t="shared" ref="D242:I242" si="137">SUM(D243:D255)</f>
        <v>77838</v>
      </c>
      <c r="E242" s="755">
        <f t="shared" si="137"/>
        <v>79045</v>
      </c>
      <c r="F242" s="755">
        <f t="shared" si="137"/>
        <v>79664</v>
      </c>
      <c r="G242" s="755">
        <f t="shared" si="137"/>
        <v>80189</v>
      </c>
      <c r="H242" s="755">
        <f t="shared" si="137"/>
        <v>78120</v>
      </c>
      <c r="I242" s="755">
        <f t="shared" si="137"/>
        <v>76952</v>
      </c>
      <c r="J242" s="755">
        <f t="shared" ref="J242:K242" si="138">SUM(J243:J255)</f>
        <v>77529</v>
      </c>
      <c r="K242" s="755">
        <f t="shared" si="138"/>
        <v>81598</v>
      </c>
      <c r="L242" s="755">
        <f t="shared" ref="L242" si="139">SUM(L243:L255)</f>
        <v>81621</v>
      </c>
    </row>
    <row r="243" spans="1:17">
      <c r="A243" s="752" t="s">
        <v>6957</v>
      </c>
      <c r="B243" s="752" t="s">
        <v>1308</v>
      </c>
      <c r="C243" s="4" t="s">
        <v>11299</v>
      </c>
      <c r="D243" s="755">
        <v>6597</v>
      </c>
      <c r="E243" s="755">
        <v>6671</v>
      </c>
      <c r="F243" s="755">
        <v>6702</v>
      </c>
      <c r="G243" s="48">
        <v>6777</v>
      </c>
      <c r="H243" s="48">
        <v>6636</v>
      </c>
      <c r="I243" s="30">
        <v>6598</v>
      </c>
      <c r="J243" s="30">
        <v>6574</v>
      </c>
      <c r="K243" s="30">
        <v>6792</v>
      </c>
      <c r="L243" s="30">
        <v>6739</v>
      </c>
      <c r="N243" s="752" t="s">
        <v>2329</v>
      </c>
      <c r="O243" s="933"/>
      <c r="P243" s="934"/>
      <c r="Q243" s="935"/>
    </row>
    <row r="244" spans="1:17">
      <c r="A244" s="752" t="s">
        <v>6959</v>
      </c>
      <c r="B244" s="752" t="s">
        <v>7588</v>
      </c>
      <c r="C244" s="4" t="s">
        <v>11300</v>
      </c>
      <c r="D244" s="755">
        <v>6181</v>
      </c>
      <c r="E244" s="755">
        <v>6143</v>
      </c>
      <c r="F244" s="755">
        <v>6148</v>
      </c>
      <c r="G244" s="48">
        <v>6236</v>
      </c>
      <c r="H244" s="48">
        <v>6123</v>
      </c>
      <c r="I244" s="30">
        <v>6090</v>
      </c>
      <c r="J244" s="30">
        <v>6140</v>
      </c>
      <c r="K244" s="30">
        <v>6525</v>
      </c>
      <c r="L244" s="30">
        <v>6606</v>
      </c>
      <c r="N244" s="752" t="s">
        <v>2333</v>
      </c>
      <c r="O244" s="933"/>
      <c r="P244" s="934"/>
      <c r="Q244" s="935"/>
    </row>
    <row r="245" spans="1:17">
      <c r="A245" s="752" t="s">
        <v>6961</v>
      </c>
      <c r="B245" s="752" t="s">
        <v>7725</v>
      </c>
      <c r="C245" s="4" t="s">
        <v>11301</v>
      </c>
      <c r="D245" s="755">
        <v>6321</v>
      </c>
      <c r="E245" s="755">
        <v>6695</v>
      </c>
      <c r="F245" s="755">
        <v>6944</v>
      </c>
      <c r="G245" s="48">
        <v>7009</v>
      </c>
      <c r="H245" s="48">
        <v>6358</v>
      </c>
      <c r="I245" s="30">
        <v>6243</v>
      </c>
      <c r="J245" s="30">
        <v>6497</v>
      </c>
      <c r="K245" s="30">
        <v>7026</v>
      </c>
      <c r="L245" s="30">
        <v>7179</v>
      </c>
      <c r="N245" s="752" t="s">
        <v>2333</v>
      </c>
      <c r="O245" s="933"/>
      <c r="P245" s="934"/>
      <c r="Q245" s="935"/>
    </row>
    <row r="246" spans="1:17">
      <c r="A246" s="752" t="s">
        <v>6963</v>
      </c>
      <c r="B246" s="752" t="s">
        <v>5953</v>
      </c>
      <c r="C246" s="4" t="s">
        <v>11302</v>
      </c>
      <c r="D246" s="755">
        <v>4431</v>
      </c>
      <c r="E246" s="755">
        <v>4394</v>
      </c>
      <c r="F246" s="755">
        <v>4473</v>
      </c>
      <c r="G246" s="48">
        <v>4476</v>
      </c>
      <c r="H246" s="48">
        <v>4475</v>
      </c>
      <c r="I246" s="30">
        <v>4435</v>
      </c>
      <c r="J246" s="30">
        <v>4378</v>
      </c>
      <c r="K246" s="30">
        <v>4502</v>
      </c>
      <c r="L246" s="30">
        <v>4439</v>
      </c>
      <c r="N246" s="752" t="s">
        <v>2333</v>
      </c>
      <c r="O246" s="933"/>
      <c r="P246" s="934"/>
      <c r="Q246" s="935"/>
    </row>
    <row r="247" spans="1:17">
      <c r="A247" s="752" t="s">
        <v>6965</v>
      </c>
      <c r="B247" s="752" t="s">
        <v>5954</v>
      </c>
      <c r="C247" s="4" t="s">
        <v>11303</v>
      </c>
      <c r="D247" s="755">
        <v>6551</v>
      </c>
      <c r="E247" s="755">
        <v>6630</v>
      </c>
      <c r="F247" s="755">
        <v>6684</v>
      </c>
      <c r="G247" s="48">
        <v>6705</v>
      </c>
      <c r="H247" s="48">
        <v>6480</v>
      </c>
      <c r="I247" s="30">
        <v>6356</v>
      </c>
      <c r="J247" s="30">
        <v>6495</v>
      </c>
      <c r="K247" s="30">
        <v>6840</v>
      </c>
      <c r="L247" s="30">
        <v>6839</v>
      </c>
      <c r="N247" s="752" t="s">
        <v>2329</v>
      </c>
      <c r="O247" s="933"/>
      <c r="P247" s="934"/>
      <c r="Q247" s="935"/>
    </row>
    <row r="248" spans="1:17">
      <c r="A248" s="752" t="s">
        <v>6997</v>
      </c>
      <c r="B248" s="752" t="s">
        <v>3306</v>
      </c>
      <c r="C248" s="4" t="s">
        <v>11304</v>
      </c>
      <c r="D248" s="755">
        <v>6666</v>
      </c>
      <c r="E248" s="755">
        <v>6712</v>
      </c>
      <c r="F248" s="755">
        <v>6712</v>
      </c>
      <c r="G248" s="48">
        <v>6731</v>
      </c>
      <c r="H248" s="48">
        <v>6754</v>
      </c>
      <c r="I248" s="30">
        <v>6711</v>
      </c>
      <c r="J248" s="30">
        <v>6690</v>
      </c>
      <c r="K248" s="30">
        <v>6895</v>
      </c>
      <c r="L248" s="30">
        <v>6809</v>
      </c>
      <c r="N248" s="752" t="s">
        <v>2333</v>
      </c>
      <c r="O248" s="933"/>
      <c r="P248" s="934"/>
      <c r="Q248" s="935"/>
    </row>
    <row r="249" spans="1:17">
      <c r="A249" s="752" t="s">
        <v>6999</v>
      </c>
      <c r="B249" s="752" t="s">
        <v>5955</v>
      </c>
      <c r="C249" s="4" t="s">
        <v>11305</v>
      </c>
      <c r="D249" s="755">
        <v>5890</v>
      </c>
      <c r="E249" s="755">
        <v>6035</v>
      </c>
      <c r="F249" s="755">
        <v>6171</v>
      </c>
      <c r="G249" s="48">
        <v>6118</v>
      </c>
      <c r="H249" s="48">
        <v>5975</v>
      </c>
      <c r="I249" s="30">
        <v>5632</v>
      </c>
      <c r="J249" s="30">
        <v>5717</v>
      </c>
      <c r="K249" s="30">
        <v>6291</v>
      </c>
      <c r="L249" s="30">
        <v>6159</v>
      </c>
      <c r="N249" s="752" t="s">
        <v>2333</v>
      </c>
      <c r="O249" s="933"/>
      <c r="P249" s="934"/>
      <c r="Q249" s="935"/>
    </row>
    <row r="250" spans="1:17">
      <c r="A250" s="752" t="s">
        <v>7001</v>
      </c>
      <c r="B250" s="752" t="s">
        <v>4015</v>
      </c>
      <c r="C250" s="4" t="s">
        <v>11306</v>
      </c>
      <c r="D250" s="755">
        <v>6350</v>
      </c>
      <c r="E250" s="755">
        <v>6450</v>
      </c>
      <c r="F250" s="755">
        <v>6481</v>
      </c>
      <c r="G250" s="48">
        <v>6592</v>
      </c>
      <c r="H250" s="48">
        <v>6424</v>
      </c>
      <c r="I250" s="30">
        <v>6388</v>
      </c>
      <c r="J250" s="30">
        <v>6363</v>
      </c>
      <c r="K250" s="30">
        <v>6578</v>
      </c>
      <c r="L250" s="30">
        <v>6551</v>
      </c>
      <c r="N250" s="752" t="s">
        <v>2333</v>
      </c>
      <c r="O250" s="933"/>
      <c r="P250" s="934"/>
      <c r="Q250" s="935"/>
    </row>
    <row r="251" spans="1:17">
      <c r="A251" s="752" t="s">
        <v>7003</v>
      </c>
      <c r="B251" s="752" t="s">
        <v>5956</v>
      </c>
      <c r="C251" s="4" t="s">
        <v>11307</v>
      </c>
      <c r="D251" s="755">
        <v>3430</v>
      </c>
      <c r="E251" s="755">
        <v>3503</v>
      </c>
      <c r="F251" s="755">
        <v>3525</v>
      </c>
      <c r="G251" s="48">
        <v>3568</v>
      </c>
      <c r="H251" s="48">
        <v>3518</v>
      </c>
      <c r="I251" s="30">
        <v>3509</v>
      </c>
      <c r="J251" s="30">
        <v>3626</v>
      </c>
      <c r="K251" s="30">
        <v>3948</v>
      </c>
      <c r="L251" s="30">
        <v>4218</v>
      </c>
      <c r="N251" s="752" t="s">
        <v>2333</v>
      </c>
      <c r="O251" s="933"/>
      <c r="P251" s="934"/>
      <c r="Q251" s="935"/>
    </row>
    <row r="252" spans="1:17">
      <c r="A252" s="752" t="s">
        <v>7005</v>
      </c>
      <c r="B252" s="752" t="s">
        <v>5957</v>
      </c>
      <c r="C252" s="4" t="s">
        <v>11308</v>
      </c>
      <c r="D252" s="755">
        <v>6174</v>
      </c>
      <c r="E252" s="755">
        <v>6257</v>
      </c>
      <c r="F252" s="755">
        <v>6295</v>
      </c>
      <c r="G252" s="48">
        <v>6340</v>
      </c>
      <c r="H252" s="48">
        <v>6301</v>
      </c>
      <c r="I252" s="30">
        <v>6304</v>
      </c>
      <c r="J252" s="30">
        <v>6291</v>
      </c>
      <c r="K252" s="30">
        <v>6497</v>
      </c>
      <c r="L252" s="30">
        <v>6448</v>
      </c>
      <c r="N252" s="752" t="s">
        <v>2329</v>
      </c>
      <c r="O252" s="933"/>
      <c r="P252" s="934"/>
      <c r="Q252" s="935"/>
    </row>
    <row r="253" spans="1:17">
      <c r="A253" s="752" t="s">
        <v>7007</v>
      </c>
      <c r="B253" s="752" t="s">
        <v>5958</v>
      </c>
      <c r="C253" s="4" t="s">
        <v>11309</v>
      </c>
      <c r="D253" s="756">
        <v>7022</v>
      </c>
      <c r="E253" s="756">
        <v>7134</v>
      </c>
      <c r="F253" s="756">
        <v>7057</v>
      </c>
      <c r="G253" s="48">
        <v>7135</v>
      </c>
      <c r="H253" s="48">
        <v>6997</v>
      </c>
      <c r="I253" s="30">
        <v>6907</v>
      </c>
      <c r="J253" s="30">
        <v>6927</v>
      </c>
      <c r="K253" s="30">
        <v>7253</v>
      </c>
      <c r="L253" s="30">
        <v>7184</v>
      </c>
      <c r="N253" s="752" t="s">
        <v>2333</v>
      </c>
      <c r="O253" s="933"/>
      <c r="P253" s="934"/>
      <c r="Q253" s="935"/>
    </row>
    <row r="254" spans="1:17">
      <c r="A254" s="752" t="s">
        <v>7009</v>
      </c>
      <c r="B254" s="752" t="s">
        <v>5959</v>
      </c>
      <c r="C254" s="4" t="s">
        <v>11310</v>
      </c>
      <c r="D254" s="756">
        <v>5820</v>
      </c>
      <c r="E254" s="756">
        <v>6042</v>
      </c>
      <c r="F254" s="756">
        <v>6076</v>
      </c>
      <c r="G254" s="48">
        <v>6103</v>
      </c>
      <c r="H254" s="48">
        <v>5866</v>
      </c>
      <c r="I254" s="30">
        <v>5679</v>
      </c>
      <c r="J254" s="30">
        <v>5720</v>
      </c>
      <c r="K254" s="30">
        <v>6080</v>
      </c>
      <c r="L254" s="30">
        <v>6108</v>
      </c>
      <c r="N254" s="752" t="s">
        <v>2329</v>
      </c>
      <c r="O254" s="933"/>
      <c r="P254" s="934"/>
      <c r="Q254" s="935"/>
    </row>
    <row r="255" spans="1:17">
      <c r="A255" s="763">
        <v>13</v>
      </c>
      <c r="B255" s="752" t="s">
        <v>5960</v>
      </c>
      <c r="C255" s="4" t="s">
        <v>11311</v>
      </c>
      <c r="D255" s="756">
        <v>6405</v>
      </c>
      <c r="E255" s="756">
        <v>6379</v>
      </c>
      <c r="F255" s="756">
        <v>6396</v>
      </c>
      <c r="G255" s="48">
        <v>6399</v>
      </c>
      <c r="H255" s="48">
        <v>6213</v>
      </c>
      <c r="I255" s="30">
        <v>6100</v>
      </c>
      <c r="J255" s="30">
        <v>6111</v>
      </c>
      <c r="K255" s="30">
        <v>6371</v>
      </c>
      <c r="L255" s="30">
        <v>6342</v>
      </c>
      <c r="N255" s="752" t="s">
        <v>2333</v>
      </c>
      <c r="O255" s="933"/>
      <c r="P255" s="934"/>
      <c r="Q255" s="935"/>
    </row>
    <row r="256" spans="1:17">
      <c r="D256" s="756"/>
      <c r="E256" s="756"/>
      <c r="F256" s="756"/>
      <c r="G256" s="756"/>
      <c r="H256" s="756"/>
      <c r="I256" s="756"/>
      <c r="J256" s="756"/>
      <c r="K256" s="756"/>
      <c r="L256" s="756"/>
      <c r="O256" s="4"/>
      <c r="Q256" s="4"/>
    </row>
    <row r="257" spans="1:12">
      <c r="A257" s="752" t="s">
        <v>4021</v>
      </c>
      <c r="D257" s="755">
        <f t="shared" ref="D257:I257" si="140">D243+D247+D252+D254</f>
        <v>25142</v>
      </c>
      <c r="E257" s="755">
        <f t="shared" si="140"/>
        <v>25600</v>
      </c>
      <c r="F257" s="755">
        <f t="shared" si="140"/>
        <v>25757</v>
      </c>
      <c r="G257" s="755">
        <f t="shared" si="140"/>
        <v>25925</v>
      </c>
      <c r="H257" s="755">
        <f t="shared" si="140"/>
        <v>25283</v>
      </c>
      <c r="I257" s="755">
        <f t="shared" si="140"/>
        <v>24937</v>
      </c>
      <c r="J257" s="755">
        <f t="shared" ref="J257:K257" si="141">J243+J247+J252+J254</f>
        <v>25080</v>
      </c>
      <c r="K257" s="755">
        <f t="shared" si="141"/>
        <v>26209</v>
      </c>
      <c r="L257" s="755">
        <f t="shared" ref="L257" si="142">L243+L247+L252+L254</f>
        <v>26134</v>
      </c>
    </row>
    <row r="258" spans="1:12">
      <c r="A258" s="752" t="s">
        <v>8615</v>
      </c>
      <c r="D258" s="755">
        <f t="shared" ref="D258:I258" si="143">SUM(D244:D246)+SUM(D248:D251)+D253+D255</f>
        <v>52696</v>
      </c>
      <c r="E258" s="755">
        <f t="shared" si="143"/>
        <v>53445</v>
      </c>
      <c r="F258" s="755">
        <f t="shared" si="143"/>
        <v>53907</v>
      </c>
      <c r="G258" s="755">
        <f t="shared" si="143"/>
        <v>54264</v>
      </c>
      <c r="H258" s="755">
        <f t="shared" si="143"/>
        <v>52837</v>
      </c>
      <c r="I258" s="755">
        <f t="shared" si="143"/>
        <v>52015</v>
      </c>
      <c r="J258" s="755">
        <f t="shared" ref="J258:K258" si="144">SUM(J244:J246)+SUM(J248:J251)+J253+J255</f>
        <v>52449</v>
      </c>
      <c r="K258" s="755">
        <f t="shared" si="144"/>
        <v>55389</v>
      </c>
      <c r="L258" s="755">
        <f t="shared" ref="L258" si="145">SUM(L244:L246)+SUM(L248:L251)+L253+L255</f>
        <v>55487</v>
      </c>
    </row>
    <row r="260" spans="1:12">
      <c r="A260" s="753" t="s">
        <v>5961</v>
      </c>
    </row>
  </sheetData>
  <sortState ref="O243:Q255">
    <sortCondition ref="O243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5" orientation="portrait" horizontalDpi="300" verticalDpi="300" r:id="rId1"/>
  <headerFooter alignWithMargins="0">
    <oddFooter>&amp;C&amp;8&amp;P of &amp;N</oddFooter>
  </headerFooter>
  <ignoredErrors>
    <ignoredError sqref="D196:D197 D172:K172 D165:K165 D148:K148 D66:K66 D50:K50 D140:D141 D109:K109 D257:D258 D242:K242 D233:D235 D205:K205 D3:D12 E233:E235 E196:E197 E140:E141 E257:E258 E3:E12 F140:F141 F196:F197 F233:F235 F257:F258 F3:F12 G140:G141 G196:G197 G233:G235 G257:G258 G3:G12 D13:D45 E13:E45 F13:F45 G13:G45 H196:H197 H257:H258 H140:H141 H233:H235 H3:H12 H13:H45 I140:I141 I196:I197 I233:I235 I257:I258 I3:I45 D85:K85 D73:K73 D100:I100 D102:I102 D101:I101 J100:J102 J140:J141 J196:J197 J233:J235 J257:J258 J3:J45 K100:K102 K140:K141 K196:K197 K233:K235 K257:K258 K3:K45 L3:L258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S52"/>
  <sheetViews>
    <sheetView showGridLines="0" zoomScaleNormal="100" workbookViewId="0"/>
  </sheetViews>
  <sheetFormatPr defaultColWidth="12.5703125" defaultRowHeight="15"/>
  <cols>
    <col min="1" max="1" width="4.85546875" style="813" customWidth="1"/>
    <col min="2" max="2" width="35.85546875" style="813" customWidth="1"/>
    <col min="3" max="3" width="11.5703125" style="813" customWidth="1"/>
    <col min="4" max="12" width="10" style="813" customWidth="1"/>
    <col min="13" max="13" width="2.28515625" style="813" customWidth="1"/>
    <col min="14" max="14" width="25.7109375" style="813" customWidth="1"/>
    <col min="15" max="16384" width="12.5703125" style="813"/>
  </cols>
  <sheetData>
    <row r="1" spans="1:14">
      <c r="A1" s="812" t="s">
        <v>7342</v>
      </c>
      <c r="D1" s="814">
        <v>2010</v>
      </c>
      <c r="E1" s="814">
        <v>2011</v>
      </c>
      <c r="F1" s="814">
        <v>2012</v>
      </c>
      <c r="G1" s="814">
        <v>2013</v>
      </c>
      <c r="H1" s="814">
        <v>2014</v>
      </c>
      <c r="I1" s="814">
        <v>2015</v>
      </c>
      <c r="J1" s="814">
        <v>2016</v>
      </c>
      <c r="K1" s="814">
        <v>2017</v>
      </c>
      <c r="L1" s="814">
        <v>2018</v>
      </c>
    </row>
    <row r="3" spans="1:14">
      <c r="A3" s="812" t="s">
        <v>6164</v>
      </c>
      <c r="D3" s="815">
        <f t="shared" ref="D3:I3" si="0">SUM(D24:D44)</f>
        <v>180451</v>
      </c>
      <c r="E3" s="815">
        <f t="shared" si="0"/>
        <v>182653</v>
      </c>
      <c r="F3" s="815">
        <f t="shared" si="0"/>
        <v>184863</v>
      </c>
      <c r="G3" s="815">
        <f t="shared" si="0"/>
        <v>187482</v>
      </c>
      <c r="H3" s="815">
        <f t="shared" si="0"/>
        <v>184482</v>
      </c>
      <c r="I3" s="815">
        <f t="shared" si="0"/>
        <v>180491</v>
      </c>
      <c r="J3" s="815">
        <f>SUM(J24:J44)</f>
        <v>182183</v>
      </c>
      <c r="K3" s="815">
        <f>SUM(K24:K44)</f>
        <v>184347</v>
      </c>
      <c r="L3" s="815">
        <f>SUM(L24:L44)</f>
        <v>187052</v>
      </c>
    </row>
    <row r="5" spans="1:14">
      <c r="A5" s="812" t="s">
        <v>6952</v>
      </c>
      <c r="D5" s="815">
        <f t="shared" ref="D5:I5" si="1">D3/3</f>
        <v>60150.333333333336</v>
      </c>
      <c r="E5" s="815">
        <f t="shared" si="1"/>
        <v>60884.333333333336</v>
      </c>
      <c r="F5" s="815">
        <f t="shared" si="1"/>
        <v>61621</v>
      </c>
      <c r="G5" s="815">
        <f t="shared" si="1"/>
        <v>62494</v>
      </c>
      <c r="H5" s="815">
        <f t="shared" si="1"/>
        <v>61494</v>
      </c>
      <c r="I5" s="815">
        <f t="shared" si="1"/>
        <v>60163.666666666664</v>
      </c>
      <c r="J5" s="815">
        <f t="shared" ref="J5:K5" si="2">J3/3</f>
        <v>60727.666666666664</v>
      </c>
      <c r="K5" s="815">
        <f t="shared" si="2"/>
        <v>61449</v>
      </c>
      <c r="L5" s="815">
        <f t="shared" ref="L5" si="3">L3/3</f>
        <v>62350.666666666664</v>
      </c>
    </row>
    <row r="6" spans="1:14">
      <c r="A6" s="812" t="s">
        <v>7343</v>
      </c>
      <c r="D6" s="815">
        <f t="shared" ref="D6:I6" si="4">D3/2</f>
        <v>90225.5</v>
      </c>
      <c r="E6" s="815">
        <f t="shared" si="4"/>
        <v>91326.5</v>
      </c>
      <c r="F6" s="815">
        <f t="shared" si="4"/>
        <v>92431.5</v>
      </c>
      <c r="G6" s="815">
        <f t="shared" si="4"/>
        <v>93741</v>
      </c>
      <c r="H6" s="815">
        <f t="shared" si="4"/>
        <v>92241</v>
      </c>
      <c r="I6" s="815">
        <f t="shared" si="4"/>
        <v>90245.5</v>
      </c>
      <c r="J6" s="815">
        <f t="shared" ref="J6:K6" si="5">J3/2</f>
        <v>91091.5</v>
      </c>
      <c r="K6" s="815">
        <f t="shared" si="5"/>
        <v>92173.5</v>
      </c>
      <c r="L6" s="815">
        <f t="shared" ref="L6" si="6">L3/2</f>
        <v>93526</v>
      </c>
    </row>
    <row r="7" spans="1:14">
      <c r="D7" s="816"/>
      <c r="E7" s="816"/>
      <c r="F7" s="816"/>
      <c r="G7" s="816"/>
      <c r="H7" s="816"/>
      <c r="I7" s="816"/>
      <c r="J7" s="816"/>
      <c r="K7" s="816"/>
      <c r="L7" s="816"/>
    </row>
    <row r="8" spans="1:14">
      <c r="A8" s="812" t="s">
        <v>6165</v>
      </c>
      <c r="D8" s="815">
        <f t="shared" ref="D8:I8" si="7">D27+D28+D30+D31+D34+D39+D41+D42+D44</f>
        <v>72671</v>
      </c>
      <c r="E8" s="815">
        <f t="shared" si="7"/>
        <v>73385</v>
      </c>
      <c r="F8" s="815">
        <f t="shared" si="7"/>
        <v>74779</v>
      </c>
      <c r="G8" s="815">
        <f t="shared" si="7"/>
        <v>76586</v>
      </c>
      <c r="H8" s="815">
        <f t="shared" si="7"/>
        <v>75645</v>
      </c>
      <c r="I8" s="815">
        <f t="shared" si="7"/>
        <v>74187</v>
      </c>
      <c r="J8" s="815">
        <f>J27+J28+J30+J31+J34+J39+J41+J44+J42</f>
        <v>74899</v>
      </c>
      <c r="K8" s="815">
        <f>K27+K28+K30+K31+K34+K39+K41+K44+K42</f>
        <v>77078</v>
      </c>
      <c r="L8" s="815">
        <f>L27+L28+L30+L31+L34+L39+L41+L44+L42</f>
        <v>78959</v>
      </c>
      <c r="N8" s="812" t="s">
        <v>6166</v>
      </c>
    </row>
    <row r="9" spans="1:14">
      <c r="D9" s="816"/>
      <c r="E9" s="816"/>
      <c r="F9" s="816"/>
      <c r="G9" s="816"/>
      <c r="H9" s="816"/>
      <c r="I9" s="816"/>
      <c r="J9" s="816"/>
      <c r="K9" s="816"/>
      <c r="L9" s="816"/>
    </row>
    <row r="10" spans="1:14">
      <c r="A10" s="812" t="s">
        <v>6167</v>
      </c>
      <c r="D10" s="815">
        <f t="shared" ref="D10:I10" si="8">D24+D25+D29+D32+D35+D36+D38+D40+D43</f>
        <v>81811</v>
      </c>
      <c r="E10" s="815">
        <f t="shared" si="8"/>
        <v>82648</v>
      </c>
      <c r="F10" s="815">
        <f t="shared" si="8"/>
        <v>83112</v>
      </c>
      <c r="G10" s="815">
        <f t="shared" si="8"/>
        <v>83601</v>
      </c>
      <c r="H10" s="815">
        <f t="shared" si="8"/>
        <v>82482</v>
      </c>
      <c r="I10" s="815">
        <f t="shared" si="8"/>
        <v>80472</v>
      </c>
      <c r="J10" s="815">
        <f>J24+J25+J29+J32+J35+J36+J38+J40+J43</f>
        <v>81364</v>
      </c>
      <c r="K10" s="815">
        <f>K24+K25+K29+K32+K35+K36+K38+K40+K43</f>
        <v>80808</v>
      </c>
      <c r="L10" s="815">
        <f>L24+L25+L29+L32+L35+L36+L38+L40+L43</f>
        <v>81100</v>
      </c>
      <c r="N10" s="812" t="s">
        <v>6166</v>
      </c>
    </row>
    <row r="11" spans="1:14">
      <c r="D11" s="816"/>
      <c r="E11" s="816"/>
      <c r="F11" s="816"/>
      <c r="G11" s="816"/>
      <c r="H11" s="816"/>
      <c r="I11" s="816"/>
      <c r="J11" s="816"/>
      <c r="K11" s="816"/>
      <c r="L11" s="816"/>
    </row>
    <row r="12" spans="1:14">
      <c r="A12" s="12" t="s">
        <v>6168</v>
      </c>
      <c r="D12" s="815">
        <f t="shared" ref="D12:I12" si="9">D26+D33+D37</f>
        <v>25969</v>
      </c>
      <c r="E12" s="815">
        <f t="shared" si="9"/>
        <v>26620</v>
      </c>
      <c r="F12" s="815">
        <f t="shared" si="9"/>
        <v>26972</v>
      </c>
      <c r="G12" s="815">
        <f t="shared" si="9"/>
        <v>27295</v>
      </c>
      <c r="H12" s="815">
        <f t="shared" si="9"/>
        <v>26355</v>
      </c>
      <c r="I12" s="815">
        <f t="shared" si="9"/>
        <v>25832</v>
      </c>
      <c r="J12" s="815">
        <f t="shared" ref="J12:K12" si="10">J26+J33+J37</f>
        <v>25920</v>
      </c>
      <c r="K12" s="815">
        <f t="shared" si="10"/>
        <v>26461</v>
      </c>
      <c r="L12" s="815">
        <f t="shared" ref="L12" si="11">L26+L33+L37</f>
        <v>26993</v>
      </c>
      <c r="N12" s="812" t="s">
        <v>6166</v>
      </c>
    </row>
    <row r="13" spans="1:14" ht="15.75" thickBot="1">
      <c r="A13" s="12"/>
      <c r="D13" s="817">
        <f>CAMDEN!D8</f>
        <v>51285</v>
      </c>
      <c r="E13" s="817">
        <f>CAMDEN!E8</f>
        <v>51932</v>
      </c>
      <c r="F13" s="817">
        <f>CAMDEN!F8</f>
        <v>51272</v>
      </c>
      <c r="G13" s="817">
        <f>CAMDEN!G8</f>
        <v>51164</v>
      </c>
      <c r="H13" s="817">
        <f>CAMDEN!H8</f>
        <v>50642</v>
      </c>
      <c r="I13" s="817">
        <f>CAMDEN!I8</f>
        <v>48932</v>
      </c>
      <c r="J13" s="817">
        <f>CAMDEN!J8</f>
        <v>49057</v>
      </c>
      <c r="K13" s="817">
        <f>CAMDEN!K8</f>
        <v>53000</v>
      </c>
      <c r="L13" s="817">
        <f>CAMDEN!L8</f>
        <v>52696</v>
      </c>
      <c r="N13" s="812" t="s">
        <v>6169</v>
      </c>
    </row>
    <row r="14" spans="1:14" ht="15.75" thickBot="1">
      <c r="A14" s="12"/>
      <c r="D14" s="818">
        <f t="shared" ref="D14:I14" si="12">D12+D13</f>
        <v>77254</v>
      </c>
      <c r="E14" s="818">
        <f t="shared" si="12"/>
        <v>78552</v>
      </c>
      <c r="F14" s="818">
        <f t="shared" si="12"/>
        <v>78244</v>
      </c>
      <c r="G14" s="818">
        <f t="shared" si="12"/>
        <v>78459</v>
      </c>
      <c r="H14" s="818">
        <f t="shared" si="12"/>
        <v>76997</v>
      </c>
      <c r="I14" s="818">
        <f t="shared" si="12"/>
        <v>74764</v>
      </c>
      <c r="J14" s="818">
        <f t="shared" ref="J14:K14" si="13">J12+J13</f>
        <v>74977</v>
      </c>
      <c r="K14" s="818">
        <f t="shared" si="13"/>
        <v>79461</v>
      </c>
      <c r="L14" s="818">
        <f t="shared" ref="L14" si="14">L12+L13</f>
        <v>79689</v>
      </c>
      <c r="N14" s="812"/>
    </row>
    <row r="15" spans="1:14">
      <c r="A15" s="12"/>
      <c r="D15" s="815"/>
      <c r="E15" s="815"/>
      <c r="F15" s="815"/>
      <c r="G15" s="815"/>
      <c r="H15" s="815"/>
      <c r="I15" s="815"/>
      <c r="J15" s="815"/>
      <c r="K15" s="815"/>
      <c r="L15" s="815"/>
      <c r="N15" s="812"/>
    </row>
    <row r="16" spans="1:14">
      <c r="A16" s="12" t="s">
        <v>6170</v>
      </c>
      <c r="D16" s="815">
        <f>CAMDEN!D11</f>
        <v>84266</v>
      </c>
      <c r="E16" s="815">
        <f>CAMDEN!E11</f>
        <v>85243</v>
      </c>
      <c r="F16" s="815">
        <f>CAMDEN!F11</f>
        <v>84406</v>
      </c>
      <c r="G16" s="815">
        <f>CAMDEN!G11</f>
        <v>85400</v>
      </c>
      <c r="H16" s="815">
        <f>CAMDEN!H11</f>
        <v>85179</v>
      </c>
      <c r="I16" s="815">
        <f>CAMDEN!I11</f>
        <v>79479</v>
      </c>
      <c r="J16" s="815">
        <f>CAMDEN!J11</f>
        <v>80921</v>
      </c>
      <c r="K16" s="815">
        <f>CAMDEN!K11</f>
        <v>85850</v>
      </c>
      <c r="L16" s="815">
        <f>CAMDEN!L11</f>
        <v>85057</v>
      </c>
      <c r="N16" s="812" t="s">
        <v>8789</v>
      </c>
    </row>
    <row r="17" spans="1:19">
      <c r="D17" s="816"/>
      <c r="E17" s="816"/>
      <c r="F17" s="816"/>
      <c r="G17" s="816"/>
      <c r="H17" s="816"/>
      <c r="I17" s="816"/>
      <c r="J17" s="816"/>
      <c r="K17" s="816"/>
      <c r="L17" s="816"/>
    </row>
    <row r="18" spans="1:19">
      <c r="A18" s="812" t="s">
        <v>8697</v>
      </c>
      <c r="D18" s="815">
        <f t="shared" ref="D18:I18" si="15">D8+D10+D12</f>
        <v>180451</v>
      </c>
      <c r="E18" s="815">
        <f t="shared" si="15"/>
        <v>182653</v>
      </c>
      <c r="F18" s="815">
        <f t="shared" si="15"/>
        <v>184863</v>
      </c>
      <c r="G18" s="815">
        <f t="shared" si="15"/>
        <v>187482</v>
      </c>
      <c r="H18" s="815">
        <f t="shared" si="15"/>
        <v>184482</v>
      </c>
      <c r="I18" s="815">
        <f t="shared" si="15"/>
        <v>180491</v>
      </c>
      <c r="J18" s="815">
        <f t="shared" ref="J18:K18" si="16">J8+J10+J12</f>
        <v>182183</v>
      </c>
      <c r="K18" s="815">
        <f t="shared" si="16"/>
        <v>184347</v>
      </c>
      <c r="L18" s="815">
        <f t="shared" ref="L18" si="17">L8+L10+L12</f>
        <v>187052</v>
      </c>
    </row>
    <row r="19" spans="1:19">
      <c r="D19" s="816"/>
      <c r="E19" s="816"/>
      <c r="F19" s="816"/>
      <c r="G19" s="816"/>
      <c r="H19" s="816"/>
      <c r="I19" s="816"/>
      <c r="J19" s="816"/>
      <c r="K19" s="816"/>
      <c r="L19" s="816"/>
    </row>
    <row r="20" spans="1:19">
      <c r="A20" s="812" t="s">
        <v>8698</v>
      </c>
      <c r="D20" s="815">
        <f t="shared" ref="D20:I20" si="18">MAX(D8,D10,D14,D16)-MIN(D8,D10,D14,D16)</f>
        <v>11595</v>
      </c>
      <c r="E20" s="815">
        <f t="shared" si="18"/>
        <v>11858</v>
      </c>
      <c r="F20" s="815">
        <f t="shared" si="18"/>
        <v>9627</v>
      </c>
      <c r="G20" s="815">
        <f t="shared" si="18"/>
        <v>8814</v>
      </c>
      <c r="H20" s="815">
        <f t="shared" si="18"/>
        <v>9534</v>
      </c>
      <c r="I20" s="815">
        <f t="shared" si="18"/>
        <v>6285</v>
      </c>
      <c r="J20" s="815">
        <f t="shared" ref="J20:K20" si="19">MAX(J8,J10,J14,J16)-MIN(J8,J10,J14,J16)</f>
        <v>6465</v>
      </c>
      <c r="K20" s="815">
        <f t="shared" si="19"/>
        <v>8772</v>
      </c>
      <c r="L20" s="815">
        <f t="shared" ref="L20" si="20">MAX(L8,L10,L14,L16)-MIN(L8,L10,L14,L16)</f>
        <v>6098</v>
      </c>
    </row>
    <row r="21" spans="1:19">
      <c r="D21" s="816"/>
      <c r="E21" s="816"/>
      <c r="F21" s="816"/>
      <c r="G21" s="816"/>
      <c r="H21" s="816"/>
      <c r="I21" s="816"/>
      <c r="J21" s="816"/>
      <c r="K21" s="816"/>
      <c r="L21" s="816"/>
    </row>
    <row r="22" spans="1:19">
      <c r="A22" s="819" t="s">
        <v>8701</v>
      </c>
      <c r="D22" s="815">
        <f t="shared" ref="D22:I22" si="21">STDEVP(D8,D10,D14,D16)</f>
        <v>4436.7001532670656</v>
      </c>
      <c r="E22" s="815">
        <f t="shared" si="21"/>
        <v>4481.8658502904791</v>
      </c>
      <c r="F22" s="815">
        <f t="shared" si="21"/>
        <v>3852.4857803112004</v>
      </c>
      <c r="G22" s="815">
        <f t="shared" si="21"/>
        <v>3607.7953448054673</v>
      </c>
      <c r="H22" s="815">
        <f t="shared" si="21"/>
        <v>3903.3141927725983</v>
      </c>
      <c r="I22" s="815">
        <f t="shared" si="21"/>
        <v>2779.815146731883</v>
      </c>
      <c r="J22" s="815">
        <f t="shared" ref="J22:K22" si="22">STDEVP(J8,J10,J14,J16)</f>
        <v>3106.3236610984372</v>
      </c>
      <c r="K22" s="815">
        <f t="shared" si="22"/>
        <v>3207.3652251497647</v>
      </c>
      <c r="L22" s="815">
        <f t="shared" ref="L22" si="23">STDEVP(L8,L10,L14,L16)</f>
        <v>2355.4004303939491</v>
      </c>
    </row>
    <row r="23" spans="1:19">
      <c r="D23" s="816"/>
      <c r="E23" s="816"/>
      <c r="F23" s="816"/>
      <c r="G23" s="816"/>
      <c r="H23" s="816"/>
      <c r="I23" s="816"/>
      <c r="J23" s="816"/>
      <c r="K23" s="816"/>
      <c r="L23" s="816"/>
    </row>
    <row r="24" spans="1:19">
      <c r="A24" s="812" t="s">
        <v>6957</v>
      </c>
      <c r="B24" s="812" t="s">
        <v>6171</v>
      </c>
      <c r="C24" s="4" t="s">
        <v>618</v>
      </c>
      <c r="D24" s="820">
        <v>8656</v>
      </c>
      <c r="E24" s="820">
        <v>8742</v>
      </c>
      <c r="F24" s="820">
        <v>8886</v>
      </c>
      <c r="G24" s="820">
        <v>9109</v>
      </c>
      <c r="H24" s="48">
        <v>8968</v>
      </c>
      <c r="I24" s="48">
        <v>8822</v>
      </c>
      <c r="J24" s="48">
        <v>8991</v>
      </c>
      <c r="K24" s="48">
        <v>9013</v>
      </c>
      <c r="L24" s="48">
        <v>9015</v>
      </c>
      <c r="N24" s="812" t="s">
        <v>6167</v>
      </c>
      <c r="Q24" s="4"/>
      <c r="S24" s="4"/>
    </row>
    <row r="25" spans="1:19">
      <c r="A25" s="812" t="s">
        <v>6959</v>
      </c>
      <c r="B25" s="812" t="s">
        <v>6172</v>
      </c>
      <c r="C25" s="4" t="s">
        <v>619</v>
      </c>
      <c r="D25" s="815">
        <v>9808</v>
      </c>
      <c r="E25" s="815">
        <v>9773</v>
      </c>
      <c r="F25" s="815">
        <v>9887</v>
      </c>
      <c r="G25" s="815">
        <v>9997</v>
      </c>
      <c r="H25" s="48">
        <v>10053</v>
      </c>
      <c r="I25" s="48">
        <v>9798</v>
      </c>
      <c r="J25" s="48">
        <v>9956</v>
      </c>
      <c r="K25" s="48">
        <v>9827</v>
      </c>
      <c r="L25" s="48">
        <v>9856</v>
      </c>
      <c r="N25" s="812" t="s">
        <v>6167</v>
      </c>
      <c r="Q25" s="4"/>
      <c r="S25" s="4"/>
    </row>
    <row r="26" spans="1:19">
      <c r="A26" s="812" t="s">
        <v>6961</v>
      </c>
      <c r="B26" s="812" t="s">
        <v>6173</v>
      </c>
      <c r="C26" s="4" t="s">
        <v>620</v>
      </c>
      <c r="D26" s="820">
        <v>7867</v>
      </c>
      <c r="E26" s="820">
        <v>7961</v>
      </c>
      <c r="F26" s="820">
        <v>8089</v>
      </c>
      <c r="G26" s="820">
        <v>8107</v>
      </c>
      <c r="H26" s="48">
        <v>7820</v>
      </c>
      <c r="I26" s="48">
        <v>7635</v>
      </c>
      <c r="J26" s="48">
        <v>7552</v>
      </c>
      <c r="K26" s="48">
        <v>7596</v>
      </c>
      <c r="L26" s="48">
        <v>7771</v>
      </c>
      <c r="N26" s="12" t="s">
        <v>6168</v>
      </c>
      <c r="Q26" s="4"/>
      <c r="S26" s="4"/>
    </row>
    <row r="27" spans="1:19">
      <c r="A27" s="812" t="s">
        <v>6963</v>
      </c>
      <c r="B27" s="812" t="s">
        <v>6174</v>
      </c>
      <c r="C27" s="4" t="s">
        <v>621</v>
      </c>
      <c r="D27" s="820">
        <v>7502</v>
      </c>
      <c r="E27" s="820">
        <v>7627</v>
      </c>
      <c r="F27" s="820">
        <v>7706</v>
      </c>
      <c r="G27" s="820">
        <v>7804</v>
      </c>
      <c r="H27" s="48">
        <v>7713</v>
      </c>
      <c r="I27" s="48">
        <v>7711</v>
      </c>
      <c r="J27" s="48">
        <v>7699</v>
      </c>
      <c r="K27" s="48">
        <v>7797</v>
      </c>
      <c r="L27" s="48">
        <v>7954</v>
      </c>
      <c r="N27" s="812" t="s">
        <v>6165</v>
      </c>
      <c r="Q27" s="4"/>
      <c r="S27" s="4"/>
    </row>
    <row r="28" spans="1:19">
      <c r="A28" s="812" t="s">
        <v>6965</v>
      </c>
      <c r="B28" s="812" t="s">
        <v>6175</v>
      </c>
      <c r="C28" s="4" t="s">
        <v>622</v>
      </c>
      <c r="D28" s="820">
        <v>7895</v>
      </c>
      <c r="E28" s="820">
        <v>7947</v>
      </c>
      <c r="F28" s="820">
        <v>8116</v>
      </c>
      <c r="G28" s="820">
        <v>8397</v>
      </c>
      <c r="H28" s="48">
        <v>8343</v>
      </c>
      <c r="I28" s="48">
        <v>8187</v>
      </c>
      <c r="J28" s="48">
        <v>8250</v>
      </c>
      <c r="K28" s="48">
        <v>8060</v>
      </c>
      <c r="L28" s="48">
        <v>8153</v>
      </c>
      <c r="N28" s="812" t="s">
        <v>6165</v>
      </c>
      <c r="Q28" s="4"/>
      <c r="S28" s="4"/>
    </row>
    <row r="29" spans="1:19">
      <c r="A29" s="812" t="s">
        <v>6997</v>
      </c>
      <c r="B29" s="812" t="s">
        <v>8000</v>
      </c>
      <c r="C29" s="4" t="s">
        <v>623</v>
      </c>
      <c r="D29" s="820">
        <v>8237</v>
      </c>
      <c r="E29" s="820">
        <v>8274</v>
      </c>
      <c r="F29" s="820">
        <v>8355</v>
      </c>
      <c r="G29" s="820">
        <v>8300</v>
      </c>
      <c r="H29" s="48">
        <v>8204</v>
      </c>
      <c r="I29" s="48">
        <v>8053</v>
      </c>
      <c r="J29" s="48">
        <v>8035</v>
      </c>
      <c r="K29" s="48">
        <v>7920</v>
      </c>
      <c r="L29" s="48">
        <v>7922</v>
      </c>
      <c r="N29" s="812" t="s">
        <v>6167</v>
      </c>
      <c r="Q29" s="4"/>
      <c r="S29" s="4"/>
    </row>
    <row r="30" spans="1:19">
      <c r="A30" s="812" t="s">
        <v>6999</v>
      </c>
      <c r="B30" s="812" t="s">
        <v>7121</v>
      </c>
      <c r="C30" s="4" t="s">
        <v>624</v>
      </c>
      <c r="D30" s="820">
        <v>8163</v>
      </c>
      <c r="E30" s="820">
        <v>8254</v>
      </c>
      <c r="F30" s="820">
        <v>8373</v>
      </c>
      <c r="G30" s="820">
        <v>8693</v>
      </c>
      <c r="H30" s="48">
        <v>8582</v>
      </c>
      <c r="I30" s="48">
        <v>8447</v>
      </c>
      <c r="J30" s="48">
        <v>8447</v>
      </c>
      <c r="K30" s="48">
        <v>8535</v>
      </c>
      <c r="L30" s="48">
        <v>8702</v>
      </c>
      <c r="N30" s="812" t="s">
        <v>6165</v>
      </c>
      <c r="Q30" s="4"/>
      <c r="S30" s="4"/>
    </row>
    <row r="31" spans="1:19">
      <c r="A31" s="812" t="s">
        <v>7001</v>
      </c>
      <c r="B31" s="812" t="s">
        <v>5317</v>
      </c>
      <c r="C31" s="4" t="s">
        <v>625</v>
      </c>
      <c r="D31" s="815">
        <v>7601</v>
      </c>
      <c r="E31" s="815">
        <v>7677</v>
      </c>
      <c r="F31" s="815">
        <v>7729</v>
      </c>
      <c r="G31" s="815">
        <v>7886</v>
      </c>
      <c r="H31" s="48">
        <v>7791</v>
      </c>
      <c r="I31" s="48">
        <v>7764</v>
      </c>
      <c r="J31" s="48">
        <v>7766</v>
      </c>
      <c r="K31" s="48">
        <v>7931</v>
      </c>
      <c r="L31" s="48">
        <v>8094</v>
      </c>
      <c r="N31" s="812" t="s">
        <v>6165</v>
      </c>
      <c r="Q31" s="4"/>
      <c r="S31" s="4"/>
    </row>
    <row r="32" spans="1:19">
      <c r="A32" s="812" t="s">
        <v>7003</v>
      </c>
      <c r="B32" s="812" t="s">
        <v>5318</v>
      </c>
      <c r="C32" s="4" t="s">
        <v>626</v>
      </c>
      <c r="D32" s="820">
        <v>8905</v>
      </c>
      <c r="E32" s="820">
        <v>8922</v>
      </c>
      <c r="F32" s="820">
        <v>8823</v>
      </c>
      <c r="G32" s="820">
        <v>8824</v>
      </c>
      <c r="H32" s="48">
        <v>8734</v>
      </c>
      <c r="I32" s="48">
        <v>8564</v>
      </c>
      <c r="J32" s="48">
        <v>8568</v>
      </c>
      <c r="K32" s="48">
        <v>8416</v>
      </c>
      <c r="L32" s="48">
        <v>8398</v>
      </c>
      <c r="N32" s="812" t="s">
        <v>6167</v>
      </c>
      <c r="Q32" s="4"/>
      <c r="S32" s="4"/>
    </row>
    <row r="33" spans="1:19">
      <c r="A33" s="812" t="s">
        <v>7005</v>
      </c>
      <c r="B33" s="812" t="s">
        <v>5319</v>
      </c>
      <c r="C33" s="4" t="s">
        <v>627</v>
      </c>
      <c r="D33" s="820">
        <v>9469</v>
      </c>
      <c r="E33" s="820">
        <v>9777</v>
      </c>
      <c r="F33" s="820">
        <v>9922</v>
      </c>
      <c r="G33" s="820">
        <v>10130</v>
      </c>
      <c r="H33" s="48">
        <v>9655</v>
      </c>
      <c r="I33" s="48">
        <v>9438</v>
      </c>
      <c r="J33" s="48">
        <v>9522</v>
      </c>
      <c r="K33" s="48">
        <v>9875</v>
      </c>
      <c r="L33" s="48">
        <v>10223</v>
      </c>
      <c r="N33" s="12" t="s">
        <v>6168</v>
      </c>
      <c r="Q33" s="4"/>
      <c r="S33" s="4"/>
    </row>
    <row r="34" spans="1:19">
      <c r="A34" s="812" t="s">
        <v>7007</v>
      </c>
      <c r="B34" s="812" t="s">
        <v>5320</v>
      </c>
      <c r="C34" s="4" t="s">
        <v>628</v>
      </c>
      <c r="D34" s="820">
        <v>8292</v>
      </c>
      <c r="E34" s="820">
        <v>8359</v>
      </c>
      <c r="F34" s="820">
        <v>8471</v>
      </c>
      <c r="G34" s="820">
        <v>8627</v>
      </c>
      <c r="H34" s="48">
        <v>8323</v>
      </c>
      <c r="I34" s="48">
        <v>8287</v>
      </c>
      <c r="J34" s="48">
        <v>8228</v>
      </c>
      <c r="K34" s="48">
        <v>8300</v>
      </c>
      <c r="L34" s="48">
        <v>8430</v>
      </c>
      <c r="N34" s="812" t="s">
        <v>6165</v>
      </c>
      <c r="Q34" s="4"/>
      <c r="S34" s="4"/>
    </row>
    <row r="35" spans="1:19">
      <c r="A35" s="812" t="s">
        <v>7009</v>
      </c>
      <c r="B35" s="812" t="s">
        <v>5321</v>
      </c>
      <c r="C35" s="4" t="s">
        <v>629</v>
      </c>
      <c r="D35" s="820">
        <v>8869</v>
      </c>
      <c r="E35" s="820">
        <v>9146</v>
      </c>
      <c r="F35" s="820">
        <v>9197</v>
      </c>
      <c r="G35" s="820">
        <v>9305</v>
      </c>
      <c r="H35" s="48">
        <v>9021</v>
      </c>
      <c r="I35" s="48">
        <v>8565</v>
      </c>
      <c r="J35" s="48">
        <v>8919</v>
      </c>
      <c r="K35" s="48">
        <v>8762</v>
      </c>
      <c r="L35" s="48">
        <v>8841</v>
      </c>
      <c r="N35" s="812" t="s">
        <v>6167</v>
      </c>
      <c r="Q35" s="4"/>
      <c r="S35" s="4"/>
    </row>
    <row r="36" spans="1:19">
      <c r="A36" s="812" t="s">
        <v>7011</v>
      </c>
      <c r="B36" s="812" t="s">
        <v>5081</v>
      </c>
      <c r="C36" s="4" t="s">
        <v>630</v>
      </c>
      <c r="D36" s="820">
        <v>9206</v>
      </c>
      <c r="E36" s="820">
        <v>9256</v>
      </c>
      <c r="F36" s="820">
        <v>9339</v>
      </c>
      <c r="G36" s="820">
        <v>9342</v>
      </c>
      <c r="H36" s="48">
        <v>9177</v>
      </c>
      <c r="I36" s="48">
        <v>9005</v>
      </c>
      <c r="J36" s="48">
        <v>9237</v>
      </c>
      <c r="K36" s="48">
        <v>9174</v>
      </c>
      <c r="L36" s="48">
        <v>9155</v>
      </c>
      <c r="N36" s="812" t="s">
        <v>6167</v>
      </c>
      <c r="Q36" s="4"/>
      <c r="S36" s="4"/>
    </row>
    <row r="37" spans="1:19">
      <c r="A37" s="812" t="s">
        <v>7013</v>
      </c>
      <c r="B37" s="812" t="s">
        <v>5322</v>
      </c>
      <c r="C37" s="4" t="s">
        <v>631</v>
      </c>
      <c r="D37" s="815">
        <v>8633</v>
      </c>
      <c r="E37" s="815">
        <v>8882</v>
      </c>
      <c r="F37" s="815">
        <v>8961</v>
      </c>
      <c r="G37" s="815">
        <v>9058</v>
      </c>
      <c r="H37" s="48">
        <v>8880</v>
      </c>
      <c r="I37" s="48">
        <v>8759</v>
      </c>
      <c r="J37" s="48">
        <v>8846</v>
      </c>
      <c r="K37" s="48">
        <v>8990</v>
      </c>
      <c r="L37" s="48">
        <v>8999</v>
      </c>
      <c r="N37" s="12" t="s">
        <v>6168</v>
      </c>
      <c r="Q37" s="4"/>
      <c r="S37" s="4"/>
    </row>
    <row r="38" spans="1:19">
      <c r="A38" s="812" t="s">
        <v>7015</v>
      </c>
      <c r="B38" s="812" t="s">
        <v>5323</v>
      </c>
      <c r="C38" s="4" t="s">
        <v>632</v>
      </c>
      <c r="D38" s="820">
        <v>10041</v>
      </c>
      <c r="E38" s="820">
        <v>10080</v>
      </c>
      <c r="F38" s="820">
        <v>9979</v>
      </c>
      <c r="G38" s="820">
        <v>9919</v>
      </c>
      <c r="H38" s="48">
        <v>9775</v>
      </c>
      <c r="I38" s="48">
        <v>9479</v>
      </c>
      <c r="J38" s="48">
        <v>9697</v>
      </c>
      <c r="K38" s="48">
        <v>9839</v>
      </c>
      <c r="L38" s="48">
        <v>9937</v>
      </c>
      <c r="N38" s="812" t="s">
        <v>6167</v>
      </c>
      <c r="Q38" s="4"/>
      <c r="S38" s="4"/>
    </row>
    <row r="39" spans="1:19">
      <c r="A39" s="812" t="s">
        <v>7017</v>
      </c>
      <c r="B39" s="812" t="s">
        <v>5324</v>
      </c>
      <c r="C39" s="4" t="s">
        <v>633</v>
      </c>
      <c r="D39" s="821">
        <v>9295</v>
      </c>
      <c r="E39" s="821">
        <v>9240</v>
      </c>
      <c r="F39" s="821">
        <v>9571</v>
      </c>
      <c r="G39" s="821">
        <v>9897</v>
      </c>
      <c r="H39" s="48">
        <v>9841</v>
      </c>
      <c r="I39" s="48">
        <v>9744</v>
      </c>
      <c r="J39" s="48">
        <v>9896</v>
      </c>
      <c r="K39" s="48">
        <v>10441</v>
      </c>
      <c r="L39" s="48">
        <v>10922</v>
      </c>
      <c r="N39" s="812" t="s">
        <v>6165</v>
      </c>
      <c r="Q39" s="4"/>
      <c r="S39" s="4"/>
    </row>
    <row r="40" spans="1:19">
      <c r="A40" s="812" t="s">
        <v>7019</v>
      </c>
      <c r="B40" s="812" t="s">
        <v>5325</v>
      </c>
      <c r="C40" s="4" t="s">
        <v>634</v>
      </c>
      <c r="D40" s="815">
        <v>9107</v>
      </c>
      <c r="E40" s="815">
        <v>9160</v>
      </c>
      <c r="F40" s="815">
        <v>9261</v>
      </c>
      <c r="G40" s="815">
        <v>9349</v>
      </c>
      <c r="H40" s="48">
        <v>9109</v>
      </c>
      <c r="I40" s="48">
        <v>8954</v>
      </c>
      <c r="J40" s="48">
        <v>8874</v>
      </c>
      <c r="K40" s="48">
        <v>8872</v>
      </c>
      <c r="L40" s="48">
        <v>8948</v>
      </c>
      <c r="N40" s="812" t="s">
        <v>6167</v>
      </c>
      <c r="Q40" s="4"/>
      <c r="S40" s="4"/>
    </row>
    <row r="41" spans="1:19">
      <c r="A41" s="812" t="s">
        <v>7021</v>
      </c>
      <c r="B41" s="812" t="s">
        <v>5326</v>
      </c>
      <c r="C41" s="4" t="s">
        <v>635</v>
      </c>
      <c r="D41" s="815">
        <v>8745</v>
      </c>
      <c r="E41" s="815">
        <v>8961</v>
      </c>
      <c r="F41" s="815">
        <v>9256</v>
      </c>
      <c r="G41" s="815">
        <v>9501</v>
      </c>
      <c r="H41" s="48">
        <v>9725</v>
      </c>
      <c r="I41" s="48">
        <v>9030</v>
      </c>
      <c r="J41" s="48">
        <v>9540</v>
      </c>
      <c r="K41" s="48">
        <v>10883</v>
      </c>
      <c r="L41" s="48">
        <v>11433</v>
      </c>
      <c r="N41" s="812" t="s">
        <v>6165</v>
      </c>
      <c r="Q41" s="4"/>
      <c r="S41" s="4"/>
    </row>
    <row r="42" spans="1:19">
      <c r="A42" s="812" t="s">
        <v>7023</v>
      </c>
      <c r="B42" s="812" t="s">
        <v>5327</v>
      </c>
      <c r="C42" s="4" t="s">
        <v>636</v>
      </c>
      <c r="D42" s="815">
        <v>7972</v>
      </c>
      <c r="E42" s="815">
        <v>7908</v>
      </c>
      <c r="F42" s="815">
        <v>7964</v>
      </c>
      <c r="G42" s="815">
        <v>8011</v>
      </c>
      <c r="H42" s="48">
        <v>7833</v>
      </c>
      <c r="I42" s="48">
        <v>7716</v>
      </c>
      <c r="J42" s="48">
        <v>7633</v>
      </c>
      <c r="K42" s="48">
        <v>7575</v>
      </c>
      <c r="L42" s="48">
        <v>7635</v>
      </c>
      <c r="N42" s="812" t="s">
        <v>6165</v>
      </c>
      <c r="Q42" s="4"/>
      <c r="S42" s="4"/>
    </row>
    <row r="43" spans="1:19">
      <c r="A43" s="812" t="s">
        <v>7025</v>
      </c>
      <c r="B43" s="812" t="s">
        <v>5328</v>
      </c>
      <c r="C43" s="4" t="s">
        <v>637</v>
      </c>
      <c r="D43" s="815">
        <v>8982</v>
      </c>
      <c r="E43" s="815">
        <v>9295</v>
      </c>
      <c r="F43" s="815">
        <v>9385</v>
      </c>
      <c r="G43" s="815">
        <v>9456</v>
      </c>
      <c r="H43" s="48">
        <v>9441</v>
      </c>
      <c r="I43" s="48">
        <v>9232</v>
      </c>
      <c r="J43" s="48">
        <v>9087</v>
      </c>
      <c r="K43" s="48">
        <v>8985</v>
      </c>
      <c r="L43" s="48">
        <v>9028</v>
      </c>
      <c r="N43" s="812" t="s">
        <v>6167</v>
      </c>
      <c r="Q43" s="4"/>
      <c r="S43" s="4"/>
    </row>
    <row r="44" spans="1:19">
      <c r="A44" s="812" t="s">
        <v>7570</v>
      </c>
      <c r="B44" s="812" t="s">
        <v>5329</v>
      </c>
      <c r="C44" s="4" t="s">
        <v>638</v>
      </c>
      <c r="D44" s="815">
        <v>7206</v>
      </c>
      <c r="E44" s="815">
        <v>7412</v>
      </c>
      <c r="F44" s="815">
        <v>7593</v>
      </c>
      <c r="G44" s="815">
        <v>7770</v>
      </c>
      <c r="H44" s="48">
        <v>7494</v>
      </c>
      <c r="I44" s="48">
        <v>7301</v>
      </c>
      <c r="J44" s="48">
        <v>7440</v>
      </c>
      <c r="K44" s="48">
        <v>7556</v>
      </c>
      <c r="L44" s="48">
        <v>7636</v>
      </c>
      <c r="N44" s="812" t="s">
        <v>6165</v>
      </c>
      <c r="Q44" s="4"/>
      <c r="S44" s="4"/>
    </row>
    <row r="45" spans="1:19">
      <c r="A45" s="812"/>
      <c r="B45" s="812"/>
      <c r="C45" s="812"/>
      <c r="D45" s="815"/>
      <c r="E45" s="815"/>
      <c r="F45" s="815"/>
      <c r="G45" s="815"/>
      <c r="H45" s="815"/>
      <c r="I45" s="815"/>
      <c r="J45" s="815"/>
      <c r="K45" s="815"/>
      <c r="L45" s="815"/>
      <c r="N45" s="812"/>
    </row>
    <row r="46" spans="1:19">
      <c r="A46" s="812" t="s">
        <v>2821</v>
      </c>
      <c r="B46" s="812"/>
      <c r="C46" s="812"/>
      <c r="D46" s="815"/>
      <c r="E46" s="815"/>
      <c r="F46" s="815"/>
      <c r="G46" s="815"/>
      <c r="H46" s="815"/>
      <c r="I46" s="815"/>
      <c r="J46" s="815"/>
      <c r="K46" s="815"/>
      <c r="L46" s="815"/>
      <c r="N46" s="812"/>
    </row>
    <row r="47" spans="1:19">
      <c r="A47" s="13" t="s">
        <v>2822</v>
      </c>
      <c r="B47" s="812"/>
      <c r="C47" s="812"/>
      <c r="D47" s="815"/>
      <c r="E47" s="815"/>
      <c r="F47" s="815"/>
      <c r="G47" s="815"/>
      <c r="H47" s="815"/>
      <c r="I47" s="815"/>
      <c r="J47" s="815"/>
      <c r="K47" s="815"/>
      <c r="L47" s="815"/>
      <c r="N47" s="812"/>
    </row>
    <row r="48" spans="1:19">
      <c r="A48" s="812"/>
      <c r="B48" s="812"/>
      <c r="C48" s="812"/>
      <c r="D48" s="815"/>
      <c r="E48" s="815"/>
      <c r="F48" s="815"/>
      <c r="G48" s="815"/>
      <c r="H48" s="815"/>
      <c r="I48" s="815"/>
      <c r="J48" s="815"/>
      <c r="K48" s="815"/>
      <c r="L48" s="815"/>
      <c r="N48" s="812"/>
    </row>
    <row r="49" spans="1:14">
      <c r="A49" s="812"/>
      <c r="B49" s="812"/>
      <c r="C49" s="812"/>
      <c r="D49" s="815"/>
      <c r="E49" s="815"/>
      <c r="F49" s="815"/>
      <c r="G49" s="815"/>
      <c r="H49" s="815"/>
      <c r="I49" s="815"/>
      <c r="J49" s="815"/>
      <c r="K49" s="815"/>
      <c r="L49" s="815"/>
      <c r="N49" s="812"/>
    </row>
    <row r="50" spans="1:14">
      <c r="A50" s="812"/>
      <c r="B50" s="812"/>
      <c r="C50" s="812"/>
      <c r="D50" s="815"/>
      <c r="E50" s="815"/>
      <c r="F50" s="815"/>
      <c r="G50" s="815"/>
      <c r="H50" s="815"/>
      <c r="I50" s="815"/>
      <c r="J50" s="815"/>
      <c r="K50" s="815"/>
      <c r="L50" s="815"/>
      <c r="N50" s="812"/>
    </row>
    <row r="51" spans="1:14">
      <c r="A51" s="812"/>
      <c r="B51" s="812"/>
      <c r="C51" s="812"/>
      <c r="D51" s="815"/>
      <c r="E51" s="815"/>
      <c r="F51" s="815"/>
      <c r="G51" s="815"/>
      <c r="H51" s="815"/>
      <c r="I51" s="815"/>
      <c r="J51" s="815"/>
      <c r="K51" s="815"/>
      <c r="L51" s="815"/>
      <c r="N51" s="812"/>
    </row>
    <row r="52" spans="1:14">
      <c r="A52" s="812"/>
      <c r="B52" s="812"/>
      <c r="C52" s="812"/>
      <c r="D52" s="815"/>
      <c r="E52" s="815"/>
      <c r="F52" s="815"/>
      <c r="G52" s="815"/>
      <c r="H52" s="815"/>
      <c r="I52" s="815"/>
      <c r="J52" s="815"/>
      <c r="K52" s="815"/>
      <c r="L52" s="815"/>
      <c r="N52" s="812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71" orientation="portrait" horizontalDpi="300" verticalDpi="300" r:id="rId1"/>
  <headerFooter alignWithMargins="0">
    <oddFooter>&amp;C&amp;"Times New Roman,Regular"&amp;8&amp;P of &amp;N</oddFooter>
  </headerFooter>
  <ignoredErrors>
    <ignoredError sqref="D3:D4 E3:E4 F3:F4 G3:G4 D5:D22 E5:E22 F5:F22 G5:G22 H3:H4 H5:H22 I3:I22 J3:J22 K3:K22 L3:L22" unlockedFormula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57"/>
  <sheetViews>
    <sheetView showGridLines="0" topLeftCell="A88" zoomScaleNormal="100" workbookViewId="0">
      <selection activeCell="N98" sqref="N98"/>
    </sheetView>
  </sheetViews>
  <sheetFormatPr defaultColWidth="12.5703125" defaultRowHeight="15"/>
  <cols>
    <col min="1" max="1" width="4.85546875" style="416" customWidth="1"/>
    <col min="2" max="2" width="35.85546875" style="416" customWidth="1"/>
    <col min="3" max="3" width="11.5703125" style="416" customWidth="1"/>
    <col min="4" max="12" width="10" style="416" customWidth="1"/>
    <col min="13" max="13" width="2.28515625" style="416" customWidth="1"/>
    <col min="14" max="14" width="39" style="416" bestFit="1" customWidth="1"/>
    <col min="15" max="16384" width="12.5703125" style="416"/>
  </cols>
  <sheetData>
    <row r="1" spans="1:14">
      <c r="A1" s="415" t="s">
        <v>8847</v>
      </c>
      <c r="D1" s="417">
        <v>2010</v>
      </c>
      <c r="E1" s="417">
        <v>2011</v>
      </c>
      <c r="F1" s="417">
        <v>2012</v>
      </c>
      <c r="G1" s="417">
        <v>2013</v>
      </c>
      <c r="H1" s="417">
        <v>2014</v>
      </c>
      <c r="I1" s="417">
        <v>2015</v>
      </c>
      <c r="J1" s="417">
        <v>2016</v>
      </c>
      <c r="K1" s="417">
        <v>2017</v>
      </c>
      <c r="L1" s="417">
        <v>2018</v>
      </c>
    </row>
    <row r="3" spans="1:14">
      <c r="A3" s="415" t="s">
        <v>7666</v>
      </c>
      <c r="D3" s="418">
        <f t="shared" ref="D3:I3" si="0">SUM(D5:D9)</f>
        <v>1562810</v>
      </c>
      <c r="E3" s="418">
        <f t="shared" si="0"/>
        <v>1577088</v>
      </c>
      <c r="F3" s="418">
        <f t="shared" si="0"/>
        <v>1581823</v>
      </c>
      <c r="G3" s="418">
        <f t="shared" si="0"/>
        <v>1596015</v>
      </c>
      <c r="H3" s="418">
        <f t="shared" si="0"/>
        <v>1566578</v>
      </c>
      <c r="I3" s="418">
        <f t="shared" si="0"/>
        <v>1533080</v>
      </c>
      <c r="J3" s="418">
        <f t="shared" ref="J3:K3" si="1">SUM(J5:J9)</f>
        <v>1517655</v>
      </c>
      <c r="K3" s="418">
        <f t="shared" si="1"/>
        <v>1572711</v>
      </c>
      <c r="L3" s="418">
        <f t="shared" ref="L3" si="2">SUM(L5:L9)</f>
        <v>1587828</v>
      </c>
    </row>
    <row r="4" spans="1:14">
      <c r="D4" s="419"/>
      <c r="E4" s="419"/>
      <c r="F4" s="419"/>
      <c r="G4" s="419"/>
      <c r="H4" s="419"/>
      <c r="I4" s="419"/>
      <c r="J4" s="419"/>
      <c r="K4" s="419"/>
      <c r="L4" s="419"/>
    </row>
    <row r="5" spans="1:14">
      <c r="A5" s="415" t="s">
        <v>5962</v>
      </c>
      <c r="C5" s="415"/>
      <c r="D5" s="418">
        <f t="shared" ref="D5:I5" si="3">D68</f>
        <v>321338</v>
      </c>
      <c r="E5" s="418">
        <f t="shared" si="3"/>
        <v>329954</v>
      </c>
      <c r="F5" s="418">
        <f t="shared" si="3"/>
        <v>333826</v>
      </c>
      <c r="G5" s="418">
        <f t="shared" si="3"/>
        <v>340795</v>
      </c>
      <c r="H5" s="418">
        <f t="shared" si="3"/>
        <v>342079</v>
      </c>
      <c r="I5" s="418">
        <f t="shared" si="3"/>
        <v>325735</v>
      </c>
      <c r="J5" s="418">
        <f t="shared" ref="J5:K5" si="4">J68</f>
        <v>326783</v>
      </c>
      <c r="K5" s="418">
        <f t="shared" si="4"/>
        <v>342413</v>
      </c>
      <c r="L5" s="418">
        <f t="shared" ref="L5" si="5">L68</f>
        <v>348281</v>
      </c>
      <c r="N5" s="420"/>
    </row>
    <row r="6" spans="1:14">
      <c r="A6" s="415" t="s">
        <v>5963</v>
      </c>
      <c r="C6" s="415"/>
      <c r="D6" s="418">
        <f t="shared" ref="D6:I6" si="6">D114</f>
        <v>147691</v>
      </c>
      <c r="E6" s="418">
        <f t="shared" si="6"/>
        <v>145167</v>
      </c>
      <c r="F6" s="418">
        <f t="shared" si="6"/>
        <v>147214</v>
      </c>
      <c r="G6" s="418">
        <f t="shared" si="6"/>
        <v>147153</v>
      </c>
      <c r="H6" s="418">
        <f t="shared" si="6"/>
        <v>145702</v>
      </c>
      <c r="I6" s="418">
        <f t="shared" si="6"/>
        <v>142972</v>
      </c>
      <c r="J6" s="418">
        <f t="shared" ref="J6:K6" si="7">J114</f>
        <v>142864</v>
      </c>
      <c r="K6" s="418">
        <f t="shared" si="7"/>
        <v>146496</v>
      </c>
      <c r="L6" s="418">
        <f t="shared" ref="L6" si="8">L114</f>
        <v>147634</v>
      </c>
      <c r="N6" s="420"/>
    </row>
    <row r="7" spans="1:14">
      <c r="A7" s="415" t="s">
        <v>5964</v>
      </c>
      <c r="C7" s="415"/>
      <c r="D7" s="418">
        <f t="shared" ref="D7:I7" si="9">D141</f>
        <v>301360</v>
      </c>
      <c r="E7" s="418">
        <f t="shared" si="9"/>
        <v>304578</v>
      </c>
      <c r="F7" s="418">
        <f t="shared" si="9"/>
        <v>307626</v>
      </c>
      <c r="G7" s="418">
        <f t="shared" si="9"/>
        <v>308896</v>
      </c>
      <c r="H7" s="418">
        <f t="shared" si="9"/>
        <v>308557</v>
      </c>
      <c r="I7" s="418">
        <f t="shared" si="9"/>
        <v>296481</v>
      </c>
      <c r="J7" s="418">
        <f t="shared" ref="J7:K7" si="10">J141</f>
        <v>295405</v>
      </c>
      <c r="K7" s="418">
        <f t="shared" si="10"/>
        <v>306707</v>
      </c>
      <c r="L7" s="418">
        <f t="shared" ref="L7" si="11">L141</f>
        <v>302980</v>
      </c>
      <c r="N7" s="420"/>
    </row>
    <row r="8" spans="1:14">
      <c r="A8" s="415" t="s">
        <v>5965</v>
      </c>
      <c r="C8" s="415"/>
      <c r="D8" s="418">
        <f t="shared" ref="D8:I8" si="12">D180</f>
        <v>541763</v>
      </c>
      <c r="E8" s="418">
        <f t="shared" si="12"/>
        <v>545338</v>
      </c>
      <c r="F8" s="418">
        <f t="shared" si="12"/>
        <v>541754</v>
      </c>
      <c r="G8" s="418">
        <f t="shared" si="12"/>
        <v>548575</v>
      </c>
      <c r="H8" s="418">
        <f t="shared" si="12"/>
        <v>523862</v>
      </c>
      <c r="I8" s="418">
        <f t="shared" si="12"/>
        <v>519957</v>
      </c>
      <c r="J8" s="418">
        <f t="shared" ref="J8:K8" si="13">J180</f>
        <v>515304</v>
      </c>
      <c r="K8" s="418">
        <f t="shared" si="13"/>
        <v>535725</v>
      </c>
      <c r="L8" s="418">
        <f t="shared" ref="L8" si="14">L180</f>
        <v>541976</v>
      </c>
      <c r="N8" s="420"/>
    </row>
    <row r="9" spans="1:14">
      <c r="A9" s="415" t="s">
        <v>5966</v>
      </c>
      <c r="C9" s="415"/>
      <c r="D9" s="418">
        <f t="shared" ref="D9:I9" si="15">D229</f>
        <v>250658</v>
      </c>
      <c r="E9" s="418">
        <f t="shared" si="15"/>
        <v>252051</v>
      </c>
      <c r="F9" s="418">
        <f t="shared" si="15"/>
        <v>251403</v>
      </c>
      <c r="G9" s="418">
        <f t="shared" si="15"/>
        <v>250596</v>
      </c>
      <c r="H9" s="418">
        <f t="shared" si="15"/>
        <v>246378</v>
      </c>
      <c r="I9" s="418">
        <f t="shared" si="15"/>
        <v>247935</v>
      </c>
      <c r="J9" s="418">
        <f t="shared" ref="J9:K9" si="16">J229</f>
        <v>237299</v>
      </c>
      <c r="K9" s="418">
        <f t="shared" si="16"/>
        <v>241370</v>
      </c>
      <c r="L9" s="418">
        <f t="shared" ref="L9" si="17">L229</f>
        <v>246957</v>
      </c>
      <c r="N9" s="420"/>
    </row>
    <row r="10" spans="1:14">
      <c r="B10" s="415"/>
      <c r="C10" s="415"/>
      <c r="D10" s="418"/>
      <c r="E10" s="418"/>
      <c r="F10" s="418"/>
      <c r="G10" s="418"/>
      <c r="H10" s="418"/>
      <c r="I10" s="418"/>
      <c r="J10" s="418"/>
      <c r="K10" s="418"/>
      <c r="L10" s="418"/>
      <c r="N10" s="420"/>
    </row>
    <row r="11" spans="1:14">
      <c r="A11" s="415" t="s">
        <v>13403</v>
      </c>
      <c r="D11" s="418">
        <f t="shared" ref="D11:I11" si="18">D3/21</f>
        <v>74419.523809523816</v>
      </c>
      <c r="E11" s="418">
        <f t="shared" si="18"/>
        <v>75099.428571428565</v>
      </c>
      <c r="F11" s="418">
        <f t="shared" si="18"/>
        <v>75324.904761904763</v>
      </c>
      <c r="G11" s="418">
        <f t="shared" si="18"/>
        <v>76000.71428571429</v>
      </c>
      <c r="H11" s="418">
        <f t="shared" si="18"/>
        <v>74598.952380952382</v>
      </c>
      <c r="I11" s="418">
        <f t="shared" si="18"/>
        <v>73003.809523809527</v>
      </c>
      <c r="J11" s="418">
        <f t="shared" ref="J11:K11" si="19">J3/21</f>
        <v>72269.28571428571</v>
      </c>
      <c r="K11" s="418">
        <f t="shared" si="19"/>
        <v>74891</v>
      </c>
      <c r="L11" s="418">
        <f t="shared" ref="L11" si="20">L3/21</f>
        <v>75610.857142857145</v>
      </c>
    </row>
    <row r="12" spans="1:14">
      <c r="D12" s="419"/>
      <c r="E12" s="419"/>
      <c r="F12" s="419"/>
      <c r="G12" s="419"/>
      <c r="H12" s="419"/>
      <c r="I12" s="419"/>
      <c r="J12" s="419"/>
      <c r="K12" s="419"/>
      <c r="L12" s="419"/>
    </row>
    <row r="13" spans="1:14">
      <c r="A13" s="415" t="s">
        <v>5967</v>
      </c>
      <c r="D13" s="418">
        <f t="shared" ref="D13:I13" si="21">D169</f>
        <v>76619</v>
      </c>
      <c r="E13" s="418">
        <f t="shared" si="21"/>
        <v>77472</v>
      </c>
      <c r="F13" s="418">
        <f t="shared" si="21"/>
        <v>78225</v>
      </c>
      <c r="G13" s="418">
        <f t="shared" si="21"/>
        <v>78576</v>
      </c>
      <c r="H13" s="418">
        <f t="shared" si="21"/>
        <v>78753</v>
      </c>
      <c r="I13" s="418">
        <f t="shared" si="21"/>
        <v>76694</v>
      </c>
      <c r="J13" s="418">
        <f t="shared" ref="J13:K13" si="22">J169</f>
        <v>75961</v>
      </c>
      <c r="K13" s="418">
        <f t="shared" si="22"/>
        <v>78979</v>
      </c>
      <c r="L13" s="418">
        <f t="shared" ref="L13" si="23">L169</f>
        <v>78013</v>
      </c>
      <c r="N13" s="415" t="s">
        <v>5968</v>
      </c>
    </row>
    <row r="14" spans="1:14">
      <c r="D14" s="419"/>
      <c r="E14" s="419"/>
      <c r="F14" s="419"/>
      <c r="G14" s="419"/>
      <c r="H14" s="419"/>
      <c r="I14" s="419"/>
      <c r="J14" s="419"/>
      <c r="K14" s="419"/>
      <c r="L14" s="419"/>
    </row>
    <row r="15" spans="1:14">
      <c r="A15" s="415" t="s">
        <v>5969</v>
      </c>
      <c r="D15" s="418">
        <f t="shared" ref="D15:I15" si="24">D102</f>
        <v>64382</v>
      </c>
      <c r="E15" s="418">
        <f t="shared" si="24"/>
        <v>66718</v>
      </c>
      <c r="F15" s="418">
        <f t="shared" si="24"/>
        <v>67719</v>
      </c>
      <c r="G15" s="418">
        <f t="shared" si="24"/>
        <v>69105</v>
      </c>
      <c r="H15" s="418">
        <f t="shared" si="24"/>
        <v>68759</v>
      </c>
      <c r="I15" s="418">
        <f t="shared" si="24"/>
        <v>64628</v>
      </c>
      <c r="J15" s="418">
        <f t="shared" ref="J15:K15" si="25">J102</f>
        <v>64952</v>
      </c>
      <c r="K15" s="418">
        <f t="shared" si="25"/>
        <v>68649</v>
      </c>
      <c r="L15" s="418">
        <f t="shared" ref="L15" si="26">L102</f>
        <v>70315</v>
      </c>
      <c r="N15" s="415" t="s">
        <v>5970</v>
      </c>
    </row>
    <row r="16" spans="1:14">
      <c r="D16" s="419"/>
      <c r="E16" s="419"/>
      <c r="F16" s="419"/>
      <c r="G16" s="419"/>
      <c r="H16" s="419"/>
      <c r="I16" s="419"/>
      <c r="J16" s="419"/>
      <c r="K16" s="419"/>
      <c r="L16" s="419"/>
    </row>
    <row r="17" spans="1:14">
      <c r="A17" s="415" t="s">
        <v>5971</v>
      </c>
      <c r="D17" s="418">
        <f t="shared" ref="D17:I17" si="27">D103</f>
        <v>63532</v>
      </c>
      <c r="E17" s="418">
        <f t="shared" si="27"/>
        <v>64715</v>
      </c>
      <c r="F17" s="418">
        <f t="shared" si="27"/>
        <v>65005</v>
      </c>
      <c r="G17" s="418">
        <f t="shared" si="27"/>
        <v>66210</v>
      </c>
      <c r="H17" s="418">
        <f t="shared" si="27"/>
        <v>66738</v>
      </c>
      <c r="I17" s="418">
        <f t="shared" si="27"/>
        <v>62818</v>
      </c>
      <c r="J17" s="418">
        <f t="shared" ref="J17:K17" si="28">J103</f>
        <v>62968</v>
      </c>
      <c r="K17" s="418">
        <f t="shared" si="28"/>
        <v>66174</v>
      </c>
      <c r="L17" s="418">
        <f t="shared" ref="L17" si="29">L103</f>
        <v>67401</v>
      </c>
      <c r="N17" s="415" t="s">
        <v>5970</v>
      </c>
    </row>
    <row r="18" spans="1:14">
      <c r="D18" s="419"/>
      <c r="E18" s="419"/>
      <c r="F18" s="419"/>
      <c r="G18" s="419"/>
      <c r="H18" s="419"/>
      <c r="I18" s="419"/>
      <c r="J18" s="419"/>
      <c r="K18" s="419"/>
      <c r="L18" s="419"/>
    </row>
    <row r="19" spans="1:14">
      <c r="A19" s="415" t="s">
        <v>5972</v>
      </c>
      <c r="D19" s="418">
        <f t="shared" ref="D19:I19" si="30">D104</f>
        <v>60658</v>
      </c>
      <c r="E19" s="418">
        <f t="shared" si="30"/>
        <v>63425</v>
      </c>
      <c r="F19" s="418">
        <f t="shared" si="30"/>
        <v>64752</v>
      </c>
      <c r="G19" s="418">
        <f t="shared" si="30"/>
        <v>66089</v>
      </c>
      <c r="H19" s="418">
        <f t="shared" si="30"/>
        <v>65567</v>
      </c>
      <c r="I19" s="418">
        <f t="shared" si="30"/>
        <v>61650</v>
      </c>
      <c r="J19" s="418">
        <f t="shared" ref="J19:K19" si="31">J104</f>
        <v>62096</v>
      </c>
      <c r="K19" s="418">
        <f t="shared" si="31"/>
        <v>65661</v>
      </c>
      <c r="L19" s="418">
        <f t="shared" ref="L19" si="32">L104</f>
        <v>67719</v>
      </c>
      <c r="N19" s="415" t="s">
        <v>5970</v>
      </c>
    </row>
    <row r="20" spans="1:14">
      <c r="D20" s="419"/>
      <c r="E20" s="419"/>
      <c r="F20" s="419"/>
      <c r="G20" s="419"/>
      <c r="H20" s="419"/>
      <c r="I20" s="419"/>
      <c r="J20" s="419"/>
      <c r="K20" s="419"/>
      <c r="L20" s="419"/>
    </row>
    <row r="21" spans="1:14">
      <c r="A21" s="415" t="s">
        <v>5973</v>
      </c>
      <c r="D21" s="418">
        <f t="shared" ref="D21:I21" si="33">D133</f>
        <v>77069</v>
      </c>
      <c r="E21" s="418">
        <f t="shared" si="33"/>
        <v>76041</v>
      </c>
      <c r="F21" s="418">
        <f t="shared" si="33"/>
        <v>77224</v>
      </c>
      <c r="G21" s="418">
        <f t="shared" si="33"/>
        <v>77167</v>
      </c>
      <c r="H21" s="418">
        <f t="shared" si="33"/>
        <v>76538</v>
      </c>
      <c r="I21" s="418">
        <f t="shared" si="33"/>
        <v>75049</v>
      </c>
      <c r="J21" s="418">
        <f t="shared" ref="J21:K21" si="34">J133</f>
        <v>75059</v>
      </c>
      <c r="K21" s="418">
        <f t="shared" si="34"/>
        <v>76876</v>
      </c>
      <c r="L21" s="418">
        <f t="shared" ref="L21" si="35">L133</f>
        <v>77674</v>
      </c>
      <c r="N21" s="415" t="s">
        <v>5974</v>
      </c>
    </row>
    <row r="22" spans="1:14">
      <c r="D22" s="419"/>
      <c r="E22" s="419"/>
      <c r="F22" s="419"/>
      <c r="G22" s="419"/>
      <c r="H22" s="419"/>
      <c r="I22" s="419"/>
      <c r="J22" s="419"/>
      <c r="K22" s="419"/>
      <c r="L22" s="419"/>
    </row>
    <row r="23" spans="1:14">
      <c r="A23" s="415" t="s">
        <v>5975</v>
      </c>
      <c r="D23" s="418">
        <f t="shared" ref="D23:I23" si="36">D170</f>
        <v>79925</v>
      </c>
      <c r="E23" s="418">
        <f t="shared" si="36"/>
        <v>80791</v>
      </c>
      <c r="F23" s="418">
        <f t="shared" si="36"/>
        <v>81614</v>
      </c>
      <c r="G23" s="418">
        <f t="shared" si="36"/>
        <v>81961</v>
      </c>
      <c r="H23" s="418">
        <f t="shared" si="36"/>
        <v>82184</v>
      </c>
      <c r="I23" s="418">
        <f t="shared" si="36"/>
        <v>79944</v>
      </c>
      <c r="J23" s="418">
        <f t="shared" ref="J23:K23" si="37">J170</f>
        <v>79979</v>
      </c>
      <c r="K23" s="418">
        <f t="shared" si="37"/>
        <v>82665</v>
      </c>
      <c r="L23" s="418">
        <f t="shared" ref="L23" si="38">L170</f>
        <v>81997</v>
      </c>
      <c r="N23" s="415" t="s">
        <v>5968</v>
      </c>
    </row>
    <row r="24" spans="1:14">
      <c r="D24" s="419"/>
      <c r="E24" s="419"/>
      <c r="F24" s="419"/>
      <c r="G24" s="419"/>
      <c r="H24" s="419"/>
      <c r="I24" s="419"/>
      <c r="J24" s="419"/>
      <c r="K24" s="419"/>
      <c r="L24" s="419"/>
    </row>
    <row r="25" spans="1:14">
      <c r="A25" s="415" t="s">
        <v>5976</v>
      </c>
      <c r="D25" s="418">
        <f t="shared" ref="D25:I25" si="39">D171</f>
        <v>78610</v>
      </c>
      <c r="E25" s="418">
        <f t="shared" si="39"/>
        <v>79634</v>
      </c>
      <c r="F25" s="418">
        <f t="shared" si="39"/>
        <v>80344</v>
      </c>
      <c r="G25" s="418">
        <f t="shared" si="39"/>
        <v>80999</v>
      </c>
      <c r="H25" s="418">
        <f t="shared" si="39"/>
        <v>80820</v>
      </c>
      <c r="I25" s="418">
        <f t="shared" si="39"/>
        <v>77525</v>
      </c>
      <c r="J25" s="418">
        <f t="shared" ref="J25:K25" si="40">J171</f>
        <v>77065</v>
      </c>
      <c r="K25" s="418">
        <f t="shared" si="40"/>
        <v>80018</v>
      </c>
      <c r="L25" s="418">
        <f t="shared" ref="L25" si="41">L171</f>
        <v>79219</v>
      </c>
      <c r="N25" s="415" t="s">
        <v>5968</v>
      </c>
    </row>
    <row r="26" spans="1:14">
      <c r="D26" s="419"/>
      <c r="E26" s="419"/>
      <c r="F26" s="419"/>
      <c r="G26" s="419"/>
      <c r="H26" s="419"/>
      <c r="I26" s="419"/>
      <c r="J26" s="419"/>
      <c r="K26" s="419"/>
      <c r="L26" s="419"/>
    </row>
    <row r="27" spans="1:14">
      <c r="A27" s="415" t="s">
        <v>5977</v>
      </c>
      <c r="D27" s="418">
        <f t="shared" ref="D27:I27" si="42">D215</f>
        <v>77858</v>
      </c>
      <c r="E27" s="418">
        <f t="shared" si="42"/>
        <v>77994</v>
      </c>
      <c r="F27" s="418">
        <f t="shared" si="42"/>
        <v>78521</v>
      </c>
      <c r="G27" s="418">
        <f t="shared" si="42"/>
        <v>78781</v>
      </c>
      <c r="H27" s="418">
        <f t="shared" si="42"/>
        <v>77587</v>
      </c>
      <c r="I27" s="418">
        <f t="shared" si="42"/>
        <v>78038</v>
      </c>
      <c r="J27" s="418">
        <f t="shared" ref="J27:K27" si="43">J215</f>
        <v>77287</v>
      </c>
      <c r="K27" s="418">
        <f t="shared" si="43"/>
        <v>78913</v>
      </c>
      <c r="L27" s="418">
        <f t="shared" ref="L27" si="44">L215</f>
        <v>78278</v>
      </c>
      <c r="N27" s="415" t="s">
        <v>5978</v>
      </c>
    </row>
    <row r="28" spans="1:14">
      <c r="D28" s="419"/>
      <c r="E28" s="419"/>
      <c r="F28" s="419"/>
      <c r="G28" s="419"/>
      <c r="H28" s="419"/>
      <c r="I28" s="419"/>
      <c r="J28" s="419"/>
      <c r="K28" s="419"/>
      <c r="L28" s="419"/>
    </row>
    <row r="29" spans="1:14">
      <c r="A29" s="415" t="s">
        <v>5979</v>
      </c>
      <c r="D29" s="418">
        <f t="shared" ref="D29:I29" si="45">D134</f>
        <v>70622</v>
      </c>
      <c r="E29" s="418">
        <f t="shared" si="45"/>
        <v>69126</v>
      </c>
      <c r="F29" s="418">
        <f t="shared" si="45"/>
        <v>69990</v>
      </c>
      <c r="G29" s="418">
        <f t="shared" si="45"/>
        <v>69986</v>
      </c>
      <c r="H29" s="418">
        <f t="shared" si="45"/>
        <v>69164</v>
      </c>
      <c r="I29" s="418">
        <f t="shared" si="45"/>
        <v>67923</v>
      </c>
      <c r="J29" s="418">
        <f t="shared" ref="J29:K29" si="46">J134</f>
        <v>67805</v>
      </c>
      <c r="K29" s="418">
        <f t="shared" si="46"/>
        <v>69620</v>
      </c>
      <c r="L29" s="418">
        <f t="shared" ref="L29" si="47">L134</f>
        <v>69960</v>
      </c>
      <c r="N29" s="415" t="s">
        <v>5974</v>
      </c>
    </row>
    <row r="30" spans="1:14">
      <c r="D30" s="419"/>
      <c r="E30" s="419"/>
      <c r="F30" s="419"/>
      <c r="G30" s="419"/>
      <c r="H30" s="419"/>
      <c r="I30" s="419"/>
      <c r="J30" s="419"/>
      <c r="K30" s="419"/>
      <c r="L30" s="419"/>
    </row>
    <row r="31" spans="1:14">
      <c r="A31" s="415" t="s">
        <v>5980</v>
      </c>
      <c r="D31" s="418">
        <f t="shared" ref="D31:I31" si="48">D252</f>
        <v>73195</v>
      </c>
      <c r="E31" s="418">
        <f t="shared" si="48"/>
        <v>73487</v>
      </c>
      <c r="F31" s="418">
        <f t="shared" si="48"/>
        <v>73001</v>
      </c>
      <c r="G31" s="418">
        <f t="shared" si="48"/>
        <v>72939</v>
      </c>
      <c r="H31" s="418">
        <f t="shared" si="48"/>
        <v>71719</v>
      </c>
      <c r="I31" s="418">
        <f t="shared" si="48"/>
        <v>72206</v>
      </c>
      <c r="J31" s="418">
        <f t="shared" ref="J31:K31" si="49">J252</f>
        <v>69319</v>
      </c>
      <c r="K31" s="418">
        <f t="shared" si="49"/>
        <v>70367</v>
      </c>
      <c r="L31" s="418">
        <f t="shared" ref="L31" si="50">L252</f>
        <v>72036</v>
      </c>
      <c r="N31" s="415" t="s">
        <v>5981</v>
      </c>
    </row>
    <row r="32" spans="1:14">
      <c r="D32" s="419"/>
      <c r="E32" s="419"/>
      <c r="F32" s="419"/>
      <c r="G32" s="419"/>
      <c r="H32" s="419"/>
      <c r="I32" s="419"/>
      <c r="J32" s="419"/>
      <c r="K32" s="419"/>
      <c r="L32" s="419"/>
    </row>
    <row r="33" spans="1:14">
      <c r="A33" s="415" t="s">
        <v>7844</v>
      </c>
      <c r="D33" s="418">
        <f t="shared" ref="D33:I33" si="51">D172</f>
        <v>66206</v>
      </c>
      <c r="E33" s="418">
        <f t="shared" si="51"/>
        <v>66681</v>
      </c>
      <c r="F33" s="418">
        <f t="shared" si="51"/>
        <v>67443</v>
      </c>
      <c r="G33" s="418">
        <f t="shared" si="51"/>
        <v>67360</v>
      </c>
      <c r="H33" s="418">
        <f t="shared" si="51"/>
        <v>66800</v>
      </c>
      <c r="I33" s="418">
        <f t="shared" si="51"/>
        <v>62318</v>
      </c>
      <c r="J33" s="418">
        <f t="shared" ref="J33:K33" si="52">J172</f>
        <v>62400</v>
      </c>
      <c r="K33" s="418">
        <f t="shared" si="52"/>
        <v>65045</v>
      </c>
      <c r="L33" s="418">
        <f t="shared" ref="L33" si="53">L172</f>
        <v>63751</v>
      </c>
      <c r="N33" s="415" t="s">
        <v>5968</v>
      </c>
    </row>
    <row r="34" spans="1:14">
      <c r="D34" s="419"/>
      <c r="E34" s="419"/>
      <c r="F34" s="419"/>
      <c r="G34" s="419"/>
      <c r="H34" s="419"/>
      <c r="I34" s="419"/>
      <c r="J34" s="419"/>
      <c r="K34" s="419"/>
      <c r="L34" s="419"/>
    </row>
    <row r="35" spans="1:14">
      <c r="A35" s="415" t="s">
        <v>7845</v>
      </c>
      <c r="D35" s="418">
        <f t="shared" ref="D35:I35" si="54">D105</f>
        <v>65277</v>
      </c>
      <c r="E35" s="418">
        <f t="shared" si="54"/>
        <v>66967</v>
      </c>
      <c r="F35" s="418">
        <f t="shared" si="54"/>
        <v>67406</v>
      </c>
      <c r="G35" s="418">
        <f t="shared" si="54"/>
        <v>69031</v>
      </c>
      <c r="H35" s="418">
        <f t="shared" si="54"/>
        <v>69807</v>
      </c>
      <c r="I35" s="418">
        <f t="shared" si="54"/>
        <v>67391</v>
      </c>
      <c r="J35" s="418">
        <f t="shared" ref="J35:K35" si="55">J105</f>
        <v>67409</v>
      </c>
      <c r="K35" s="418">
        <f t="shared" si="55"/>
        <v>70088</v>
      </c>
      <c r="L35" s="418">
        <f t="shared" ref="L35" si="56">L105</f>
        <v>70602</v>
      </c>
      <c r="N35" s="415" t="s">
        <v>5970</v>
      </c>
    </row>
    <row r="36" spans="1:14">
      <c r="D36" s="419"/>
      <c r="E36" s="419"/>
      <c r="F36" s="419"/>
      <c r="G36" s="419"/>
      <c r="H36" s="419"/>
      <c r="I36" s="419"/>
      <c r="J36" s="419"/>
      <c r="K36" s="419"/>
      <c r="L36" s="419"/>
    </row>
    <row r="37" spans="1:14">
      <c r="A37" s="415" t="s">
        <v>7846</v>
      </c>
      <c r="D37" s="418">
        <f t="shared" ref="D37:I37" si="57">D216</f>
        <v>79696</v>
      </c>
      <c r="E37" s="418">
        <f t="shared" si="57"/>
        <v>80912</v>
      </c>
      <c r="F37" s="418">
        <f t="shared" si="57"/>
        <v>79025</v>
      </c>
      <c r="G37" s="418">
        <f t="shared" si="57"/>
        <v>82737</v>
      </c>
      <c r="H37" s="418">
        <f t="shared" si="57"/>
        <v>77542</v>
      </c>
      <c r="I37" s="418">
        <f t="shared" si="57"/>
        <v>73489</v>
      </c>
      <c r="J37" s="418">
        <f t="shared" ref="J37:K37" si="58">J216</f>
        <v>73767</v>
      </c>
      <c r="K37" s="418">
        <f t="shared" si="58"/>
        <v>79095</v>
      </c>
      <c r="L37" s="418">
        <f t="shared" ref="L37" si="59">L216</f>
        <v>84272</v>
      </c>
      <c r="N37" s="415" t="s">
        <v>5978</v>
      </c>
    </row>
    <row r="38" spans="1:14">
      <c r="D38" s="419"/>
      <c r="E38" s="419"/>
      <c r="F38" s="419"/>
      <c r="G38" s="419"/>
      <c r="H38" s="419"/>
      <c r="I38" s="419"/>
      <c r="J38" s="419"/>
      <c r="K38" s="419"/>
      <c r="L38" s="419"/>
    </row>
    <row r="39" spans="1:14">
      <c r="A39" s="415" t="s">
        <v>7847</v>
      </c>
      <c r="D39" s="418">
        <f t="shared" ref="D39:I39" si="60">D217</f>
        <v>64479</v>
      </c>
      <c r="E39" s="418">
        <f t="shared" si="60"/>
        <v>64742</v>
      </c>
      <c r="F39" s="418">
        <f t="shared" si="60"/>
        <v>65401</v>
      </c>
      <c r="G39" s="418">
        <f t="shared" si="60"/>
        <v>66055</v>
      </c>
      <c r="H39" s="418">
        <f t="shared" si="60"/>
        <v>62646</v>
      </c>
      <c r="I39" s="418">
        <f t="shared" si="60"/>
        <v>63581</v>
      </c>
      <c r="J39" s="418">
        <f t="shared" ref="J39:K39" si="61">J217</f>
        <v>62608</v>
      </c>
      <c r="K39" s="418">
        <f t="shared" si="61"/>
        <v>64655</v>
      </c>
      <c r="L39" s="418">
        <f t="shared" ref="L39" si="62">L217</f>
        <v>64623</v>
      </c>
      <c r="N39" s="415" t="s">
        <v>5978</v>
      </c>
    </row>
    <row r="40" spans="1:14">
      <c r="D40" s="419"/>
      <c r="E40" s="419"/>
      <c r="F40" s="419"/>
      <c r="G40" s="419"/>
      <c r="H40" s="419"/>
      <c r="I40" s="419"/>
      <c r="J40" s="419"/>
      <c r="K40" s="419"/>
      <c r="L40" s="419"/>
    </row>
    <row r="41" spans="1:14">
      <c r="A41" s="415" t="s">
        <v>8662</v>
      </c>
      <c r="D41" s="418">
        <f t="shared" ref="D41:I41" si="63">D218</f>
        <v>67489</v>
      </c>
      <c r="E41" s="418">
        <f t="shared" si="63"/>
        <v>68269</v>
      </c>
      <c r="F41" s="418">
        <f t="shared" si="63"/>
        <v>68541</v>
      </c>
      <c r="G41" s="418">
        <f t="shared" si="63"/>
        <v>69037</v>
      </c>
      <c r="H41" s="418">
        <f t="shared" si="63"/>
        <v>66396</v>
      </c>
      <c r="I41" s="418">
        <f t="shared" si="63"/>
        <v>67091</v>
      </c>
      <c r="J41" s="418">
        <f t="shared" ref="J41:K41" si="64">J218</f>
        <v>65935</v>
      </c>
      <c r="K41" s="418">
        <f t="shared" si="64"/>
        <v>67746</v>
      </c>
      <c r="L41" s="418">
        <f t="shared" ref="L41" si="65">L218</f>
        <v>67590</v>
      </c>
      <c r="N41" s="415" t="s">
        <v>5978</v>
      </c>
    </row>
    <row r="42" spans="1:14">
      <c r="D42" s="419"/>
      <c r="E42" s="419"/>
      <c r="F42" s="419"/>
      <c r="G42" s="419"/>
      <c r="H42" s="419"/>
      <c r="I42" s="419"/>
      <c r="J42" s="419"/>
      <c r="K42" s="419"/>
      <c r="L42" s="419"/>
    </row>
    <row r="43" spans="1:14">
      <c r="A43" s="415" t="s">
        <v>8663</v>
      </c>
      <c r="D43" s="418">
        <f t="shared" ref="D43:I43" si="66">D219</f>
        <v>64822</v>
      </c>
      <c r="E43" s="418">
        <f t="shared" si="66"/>
        <v>65047</v>
      </c>
      <c r="F43" s="418">
        <f t="shared" si="66"/>
        <v>61811</v>
      </c>
      <c r="G43" s="418">
        <f t="shared" si="66"/>
        <v>62907</v>
      </c>
      <c r="H43" s="418">
        <f t="shared" si="66"/>
        <v>58511</v>
      </c>
      <c r="I43" s="418">
        <f t="shared" si="66"/>
        <v>55213</v>
      </c>
      <c r="J43" s="418">
        <f t="shared" ref="J43:K43" si="67">J219</f>
        <v>55650</v>
      </c>
      <c r="K43" s="418">
        <f t="shared" si="67"/>
        <v>58694</v>
      </c>
      <c r="L43" s="418">
        <f t="shared" ref="L43" si="68">L219</f>
        <v>60552</v>
      </c>
      <c r="N43" s="415" t="s">
        <v>5978</v>
      </c>
    </row>
    <row r="44" spans="1:14">
      <c r="D44" s="419"/>
      <c r="E44" s="419"/>
      <c r="F44" s="419"/>
      <c r="G44" s="419"/>
      <c r="H44" s="419"/>
      <c r="I44" s="419"/>
      <c r="J44" s="419"/>
      <c r="K44" s="419"/>
      <c r="L44" s="419"/>
    </row>
    <row r="45" spans="1:14">
      <c r="A45" s="415" t="s">
        <v>8664</v>
      </c>
      <c r="D45" s="418">
        <f t="shared" ref="D45:I45" si="69">D220</f>
        <v>67243</v>
      </c>
      <c r="E45" s="418">
        <f t="shared" si="69"/>
        <v>67222</v>
      </c>
      <c r="F45" s="418">
        <f t="shared" si="69"/>
        <v>67196</v>
      </c>
      <c r="G45" s="418">
        <f t="shared" si="69"/>
        <v>67226</v>
      </c>
      <c r="H45" s="418">
        <f t="shared" si="69"/>
        <v>61760</v>
      </c>
      <c r="I45" s="418">
        <f t="shared" si="69"/>
        <v>62295</v>
      </c>
      <c r="J45" s="418">
        <f t="shared" ref="J45:K45" si="70">J220</f>
        <v>61508</v>
      </c>
      <c r="K45" s="418">
        <f t="shared" si="70"/>
        <v>64155</v>
      </c>
      <c r="L45" s="418">
        <f t="shared" ref="L45" si="71">L220</f>
        <v>65021</v>
      </c>
      <c r="N45" s="415" t="s">
        <v>5978</v>
      </c>
    </row>
    <row r="46" spans="1:14">
      <c r="D46" s="419"/>
      <c r="E46" s="419"/>
      <c r="F46" s="419"/>
      <c r="G46" s="419"/>
      <c r="H46" s="419"/>
      <c r="I46" s="419"/>
      <c r="J46" s="419"/>
      <c r="K46" s="419"/>
      <c r="L46" s="419"/>
    </row>
    <row r="47" spans="1:14">
      <c r="A47" s="415" t="s">
        <v>8665</v>
      </c>
      <c r="D47" s="418">
        <f t="shared" ref="D47:I47" si="72">D221</f>
        <v>50969</v>
      </c>
      <c r="E47" s="418">
        <f t="shared" si="72"/>
        <v>51414</v>
      </c>
      <c r="F47" s="418">
        <f t="shared" si="72"/>
        <v>51602</v>
      </c>
      <c r="G47" s="418">
        <f t="shared" si="72"/>
        <v>51841</v>
      </c>
      <c r="H47" s="418">
        <f t="shared" si="72"/>
        <v>50318</v>
      </c>
      <c r="I47" s="418">
        <f t="shared" si="72"/>
        <v>50912</v>
      </c>
      <c r="J47" s="418">
        <f t="shared" ref="J47:K47" si="73">J221</f>
        <v>49925</v>
      </c>
      <c r="K47" s="418">
        <f t="shared" si="73"/>
        <v>51604</v>
      </c>
      <c r="L47" s="418">
        <f t="shared" ref="L47" si="74">L221</f>
        <v>51123</v>
      </c>
      <c r="N47" s="415" t="s">
        <v>5978</v>
      </c>
    </row>
    <row r="48" spans="1:14" ht="15.75" thickBot="1">
      <c r="A48" s="415"/>
      <c r="D48" s="421">
        <f t="shared" ref="D48:I48" si="75">D253</f>
        <v>23518</v>
      </c>
      <c r="E48" s="421">
        <f t="shared" si="75"/>
        <v>23749</v>
      </c>
      <c r="F48" s="421">
        <f t="shared" si="75"/>
        <v>23829</v>
      </c>
      <c r="G48" s="421">
        <f t="shared" si="75"/>
        <v>23880</v>
      </c>
      <c r="H48" s="421">
        <f t="shared" si="75"/>
        <v>23940</v>
      </c>
      <c r="I48" s="421">
        <f t="shared" si="75"/>
        <v>24150</v>
      </c>
      <c r="J48" s="421">
        <f t="shared" ref="J48:K48" si="76">J253</f>
        <v>23331</v>
      </c>
      <c r="K48" s="421">
        <f t="shared" si="76"/>
        <v>23646</v>
      </c>
      <c r="L48" s="421">
        <f t="shared" ref="L48" si="77">L253</f>
        <v>24301</v>
      </c>
      <c r="N48" s="415" t="s">
        <v>5981</v>
      </c>
    </row>
    <row r="49" spans="1:14" ht="15.75" thickBot="1">
      <c r="A49" s="415"/>
      <c r="D49" s="412">
        <f t="shared" ref="D49:I49" si="78">D47+D48</f>
        <v>74487</v>
      </c>
      <c r="E49" s="412">
        <f t="shared" si="78"/>
        <v>75163</v>
      </c>
      <c r="F49" s="412">
        <f t="shared" si="78"/>
        <v>75431</v>
      </c>
      <c r="G49" s="412">
        <f t="shared" si="78"/>
        <v>75721</v>
      </c>
      <c r="H49" s="412">
        <f t="shared" si="78"/>
        <v>74258</v>
      </c>
      <c r="I49" s="412">
        <f t="shared" si="78"/>
        <v>75062</v>
      </c>
      <c r="J49" s="412">
        <f t="shared" ref="J49:K49" si="79">J47+J48</f>
        <v>73256</v>
      </c>
      <c r="K49" s="412">
        <f t="shared" si="79"/>
        <v>75250</v>
      </c>
      <c r="L49" s="412">
        <f t="shared" ref="L49" si="80">L47+L48</f>
        <v>75424</v>
      </c>
      <c r="N49" s="415"/>
    </row>
    <row r="50" spans="1:14">
      <c r="D50" s="419"/>
      <c r="E50" s="419"/>
      <c r="F50" s="419"/>
      <c r="G50" s="419"/>
      <c r="H50" s="419"/>
      <c r="I50" s="419"/>
      <c r="J50" s="419"/>
      <c r="K50" s="419"/>
      <c r="L50" s="419"/>
    </row>
    <row r="51" spans="1:14">
      <c r="A51" s="415" t="s">
        <v>8666</v>
      </c>
      <c r="D51" s="418">
        <f t="shared" ref="D51:I51" si="81">D254</f>
        <v>82834</v>
      </c>
      <c r="E51" s="418">
        <f t="shared" si="81"/>
        <v>83284</v>
      </c>
      <c r="F51" s="418">
        <f t="shared" si="81"/>
        <v>83308</v>
      </c>
      <c r="G51" s="418">
        <f t="shared" si="81"/>
        <v>82944</v>
      </c>
      <c r="H51" s="418">
        <f t="shared" si="81"/>
        <v>81379</v>
      </c>
      <c r="I51" s="418">
        <f t="shared" si="81"/>
        <v>81799</v>
      </c>
      <c r="J51" s="418">
        <f t="shared" ref="J51:K51" si="82">J254</f>
        <v>78097</v>
      </c>
      <c r="K51" s="418">
        <f t="shared" si="82"/>
        <v>79661</v>
      </c>
      <c r="L51" s="418">
        <f t="shared" ref="L51" si="83">L254</f>
        <v>81589</v>
      </c>
      <c r="N51" s="415" t="s">
        <v>5981</v>
      </c>
    </row>
    <row r="52" spans="1:14">
      <c r="D52" s="419"/>
      <c r="E52" s="419"/>
      <c r="F52" s="419"/>
      <c r="G52" s="419"/>
      <c r="H52" s="419"/>
      <c r="I52" s="419"/>
      <c r="J52" s="419"/>
      <c r="K52" s="419"/>
      <c r="L52" s="419"/>
    </row>
    <row r="53" spans="1:14">
      <c r="A53" s="415" t="s">
        <v>8667</v>
      </c>
      <c r="D53" s="418">
        <f t="shared" ref="D53:I53" si="84">D222</f>
        <v>69207</v>
      </c>
      <c r="E53" s="418">
        <f t="shared" si="84"/>
        <v>69738</v>
      </c>
      <c r="F53" s="418">
        <f t="shared" si="84"/>
        <v>69657</v>
      </c>
      <c r="G53" s="418">
        <f t="shared" si="84"/>
        <v>69991</v>
      </c>
      <c r="H53" s="418">
        <f t="shared" si="84"/>
        <v>69102</v>
      </c>
      <c r="I53" s="418">
        <f t="shared" si="84"/>
        <v>69338</v>
      </c>
      <c r="J53" s="418">
        <f t="shared" ref="J53:K53" si="85">J222</f>
        <v>68624</v>
      </c>
      <c r="K53" s="418">
        <f t="shared" si="85"/>
        <v>70863</v>
      </c>
      <c r="L53" s="418">
        <f t="shared" ref="L53" si="86">L222</f>
        <v>70517</v>
      </c>
      <c r="N53" s="415" t="s">
        <v>5978</v>
      </c>
    </row>
    <row r="54" spans="1:14">
      <c r="D54" s="419"/>
      <c r="E54" s="419"/>
      <c r="F54" s="419"/>
      <c r="G54" s="419"/>
      <c r="H54" s="419"/>
      <c r="I54" s="419"/>
      <c r="J54" s="419"/>
      <c r="K54" s="419"/>
      <c r="L54" s="419"/>
    </row>
    <row r="55" spans="1:14">
      <c r="A55" s="415" t="s">
        <v>8668</v>
      </c>
      <c r="D55" s="418">
        <f t="shared" ref="D55:I55" si="87">D106</f>
        <v>67489</v>
      </c>
      <c r="E55" s="418">
        <f t="shared" si="87"/>
        <v>68129</v>
      </c>
      <c r="F55" s="418">
        <f t="shared" si="87"/>
        <v>68944</v>
      </c>
      <c r="G55" s="418">
        <f t="shared" si="87"/>
        <v>70360</v>
      </c>
      <c r="H55" s="418">
        <f t="shared" si="87"/>
        <v>71208</v>
      </c>
      <c r="I55" s="418">
        <f t="shared" si="87"/>
        <v>69248</v>
      </c>
      <c r="J55" s="418">
        <f t="shared" ref="J55:K55" si="88">J106</f>
        <v>69358</v>
      </c>
      <c r="K55" s="418">
        <f t="shared" si="88"/>
        <v>71841</v>
      </c>
      <c r="L55" s="418">
        <f t="shared" ref="L55" si="89">L106</f>
        <v>72244</v>
      </c>
      <c r="N55" s="415" t="s">
        <v>5970</v>
      </c>
    </row>
    <row r="56" spans="1:14"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14">
      <c r="A57" s="415" t="s">
        <v>8669</v>
      </c>
      <c r="D57" s="422">
        <f t="shared" ref="D57:I57" si="90">D255</f>
        <v>71111</v>
      </c>
      <c r="E57" s="422">
        <f t="shared" si="90"/>
        <v>71531</v>
      </c>
      <c r="F57" s="422">
        <f t="shared" si="90"/>
        <v>71265</v>
      </c>
      <c r="G57" s="422">
        <f t="shared" si="90"/>
        <v>70833</v>
      </c>
      <c r="H57" s="422">
        <f t="shared" si="90"/>
        <v>69340</v>
      </c>
      <c r="I57" s="422">
        <f t="shared" si="90"/>
        <v>69780</v>
      </c>
      <c r="J57" s="422">
        <f t="shared" ref="J57:K57" si="91">J255</f>
        <v>66552</v>
      </c>
      <c r="K57" s="422">
        <f t="shared" si="91"/>
        <v>67696</v>
      </c>
      <c r="L57" s="422">
        <f t="shared" ref="L57" si="92">L255</f>
        <v>69031</v>
      </c>
      <c r="N57" s="415" t="s">
        <v>5981</v>
      </c>
    </row>
    <row r="58" spans="1:14">
      <c r="D58" s="419"/>
      <c r="E58" s="419"/>
      <c r="F58" s="419"/>
      <c r="G58" s="419"/>
      <c r="H58" s="419"/>
      <c r="I58" s="419"/>
      <c r="J58" s="419"/>
      <c r="K58" s="419"/>
      <c r="L58" s="419"/>
    </row>
    <row r="59" spans="1:14">
      <c r="A59" s="415" t="s">
        <v>8697</v>
      </c>
      <c r="D59" s="418">
        <f t="shared" ref="D59:I59" si="93">SUM(D13:D45)+D49+SUM(D51:D57)</f>
        <v>1562810</v>
      </c>
      <c r="E59" s="418">
        <f t="shared" si="93"/>
        <v>1577088</v>
      </c>
      <c r="F59" s="418">
        <f t="shared" si="93"/>
        <v>1581823</v>
      </c>
      <c r="G59" s="418">
        <f t="shared" si="93"/>
        <v>1596015</v>
      </c>
      <c r="H59" s="418">
        <f t="shared" si="93"/>
        <v>1566578</v>
      </c>
      <c r="I59" s="418">
        <f t="shared" si="93"/>
        <v>1533080</v>
      </c>
      <c r="J59" s="418">
        <f t="shared" ref="J59:K59" si="94">SUM(J13:J45)+J49+SUM(J51:J57)</f>
        <v>1517655</v>
      </c>
      <c r="K59" s="418">
        <f t="shared" si="94"/>
        <v>1572711</v>
      </c>
      <c r="L59" s="418">
        <f t="shared" ref="L59" si="95">SUM(L13:L45)+L49+SUM(L51:L57)</f>
        <v>1587828</v>
      </c>
    </row>
    <row r="60" spans="1:14">
      <c r="D60" s="419"/>
      <c r="E60" s="419"/>
      <c r="F60" s="419"/>
      <c r="G60" s="419"/>
      <c r="H60" s="419"/>
      <c r="I60" s="419"/>
      <c r="J60" s="419"/>
      <c r="K60" s="419"/>
      <c r="L60" s="419"/>
    </row>
    <row r="61" spans="1:14">
      <c r="A61" s="415" t="s">
        <v>8698</v>
      </c>
      <c r="D61" s="418">
        <f t="shared" ref="D61:I61" si="96">MAX(D13:D57)-MIN(D13:D45,D49,D51,D53,D55,D57)</f>
        <v>22176</v>
      </c>
      <c r="E61" s="418">
        <f t="shared" si="96"/>
        <v>19859</v>
      </c>
      <c r="F61" s="418">
        <f t="shared" si="96"/>
        <v>21497</v>
      </c>
      <c r="G61" s="418">
        <f t="shared" si="96"/>
        <v>20037</v>
      </c>
      <c r="H61" s="418">
        <f t="shared" si="96"/>
        <v>23673</v>
      </c>
      <c r="I61" s="418">
        <f t="shared" si="96"/>
        <v>26586</v>
      </c>
      <c r="J61" s="418">
        <f t="shared" ref="J61:K61" si="97">MAX(J13:J57)-MIN(J13:J45,J49,J51,J53,J55,J57)</f>
        <v>24329</v>
      </c>
      <c r="K61" s="418">
        <f t="shared" si="97"/>
        <v>23971</v>
      </c>
      <c r="L61" s="418">
        <f t="shared" ref="L61" si="98">MAX(L13:L57)-MIN(L13:L45,L49,L51,L53,L55,L57)</f>
        <v>23720</v>
      </c>
    </row>
    <row r="62" spans="1:14">
      <c r="D62" s="419"/>
      <c r="E62" s="419"/>
      <c r="F62" s="419"/>
      <c r="G62" s="419"/>
      <c r="H62" s="419"/>
      <c r="I62" s="419"/>
      <c r="J62" s="419"/>
      <c r="K62" s="419"/>
      <c r="L62" s="419"/>
    </row>
    <row r="63" spans="1:14">
      <c r="A63" s="423" t="s">
        <v>8701</v>
      </c>
      <c r="D63" s="418">
        <f t="shared" ref="D63:I63" si="99">STDEVP(D13,D15,D17,D19,D21,D23,D25,D27,D29,D31,D33,D35,D37,D39,D41,D43,D45,D49,D51,D53,D55,D57)</f>
        <v>6291.0784639574667</v>
      </c>
      <c r="E63" s="418">
        <f t="shared" si="99"/>
        <v>6064.1810331903671</v>
      </c>
      <c r="F63" s="418">
        <f t="shared" si="99"/>
        <v>6119.5354285738267</v>
      </c>
      <c r="G63" s="418">
        <f t="shared" si="99"/>
        <v>6061.3405305146407</v>
      </c>
      <c r="H63" s="418">
        <f t="shared" si="99"/>
        <v>6502.6569668174234</v>
      </c>
      <c r="I63" s="418">
        <f t="shared" si="99"/>
        <v>6806.2795719519381</v>
      </c>
      <c r="J63" s="418">
        <f t="shared" ref="J63:K63" si="100">STDEVP(J13,J15,J17,J19,J21,J23,J25,J27,J29,J31,J33,J35,J37,J39,J41,J43,J45,J49,J51,J53,J55,J57)</f>
        <v>6402.8976706315179</v>
      </c>
      <c r="K63" s="418">
        <f t="shared" si="100"/>
        <v>6354.2988619405924</v>
      </c>
      <c r="L63" s="418">
        <f t="shared" ref="L63" si="101">STDEVP(L13,L15,L17,L19,L21,L23,L25,L27,L29,L31,L33,L35,L37,L39,L41,L43,L45,L49,L51,L53,L55,L57)</f>
        <v>6376.8464563036741</v>
      </c>
    </row>
    <row r="65" spans="1:18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</row>
    <row r="66" spans="1:18">
      <c r="E66" s="42" t="s">
        <v>2303</v>
      </c>
      <c r="F66" s="42"/>
      <c r="G66" s="42"/>
      <c r="H66" s="42"/>
      <c r="I66" s="42"/>
      <c r="J66" s="42"/>
      <c r="K66" s="42"/>
      <c r="L66" s="42"/>
      <c r="M66" s="43"/>
      <c r="N66" s="43" t="s">
        <v>13319</v>
      </c>
    </row>
    <row r="67" spans="1:18">
      <c r="D67" s="417">
        <v>2010</v>
      </c>
      <c r="E67" s="417">
        <v>2011</v>
      </c>
      <c r="F67" s="417">
        <v>2012</v>
      </c>
      <c r="G67" s="417">
        <v>2013</v>
      </c>
      <c r="H67" s="417">
        <v>2014</v>
      </c>
      <c r="I67" s="417">
        <v>2015</v>
      </c>
      <c r="J67" s="417">
        <v>2016</v>
      </c>
      <c r="K67" s="417">
        <v>2017</v>
      </c>
      <c r="L67" s="417">
        <v>2018</v>
      </c>
      <c r="N67" s="44" t="s">
        <v>2304</v>
      </c>
    </row>
    <row r="68" spans="1:18">
      <c r="A68" s="415" t="s">
        <v>8670</v>
      </c>
      <c r="C68" s="415"/>
      <c r="D68" s="418">
        <f t="shared" ref="D68:I68" si="102">SUM(D69:D98)+D100</f>
        <v>321338</v>
      </c>
      <c r="E68" s="418">
        <f t="shared" si="102"/>
        <v>329954</v>
      </c>
      <c r="F68" s="418">
        <f t="shared" si="102"/>
        <v>333826</v>
      </c>
      <c r="G68" s="418">
        <f t="shared" si="102"/>
        <v>340795</v>
      </c>
      <c r="H68" s="418">
        <f t="shared" si="102"/>
        <v>342079</v>
      </c>
      <c r="I68" s="418">
        <f t="shared" si="102"/>
        <v>325735</v>
      </c>
      <c r="J68" s="418">
        <f t="shared" ref="J68:K68" si="103">SUM(J69:J98)+J100</f>
        <v>326783</v>
      </c>
      <c r="K68" s="418">
        <f t="shared" si="103"/>
        <v>342413</v>
      </c>
      <c r="L68" s="418">
        <f t="shared" ref="L68" si="104">SUM(L69:L98)+L100</f>
        <v>348281</v>
      </c>
    </row>
    <row r="69" spans="1:18">
      <c r="A69" s="415" t="s">
        <v>6957</v>
      </c>
      <c r="B69" s="415" t="s">
        <v>8671</v>
      </c>
      <c r="C69" s="4" t="s">
        <v>9530</v>
      </c>
      <c r="D69" s="418">
        <v>11333</v>
      </c>
      <c r="E69" s="418">
        <v>11452</v>
      </c>
      <c r="F69" s="418">
        <v>11532</v>
      </c>
      <c r="G69" s="418">
        <v>11775</v>
      </c>
      <c r="H69" s="31">
        <v>11847</v>
      </c>
      <c r="I69" s="31">
        <v>11588</v>
      </c>
      <c r="J69" s="31">
        <v>11542</v>
      </c>
      <c r="K69" s="31">
        <v>11998</v>
      </c>
      <c r="L69" s="31">
        <v>11952</v>
      </c>
      <c r="N69" s="415" t="s">
        <v>8668</v>
      </c>
      <c r="P69" s="4"/>
      <c r="R69" s="4"/>
    </row>
    <row r="70" spans="1:18">
      <c r="A70" s="415" t="s">
        <v>6959</v>
      </c>
      <c r="B70" s="415" t="s">
        <v>8672</v>
      </c>
      <c r="C70" s="4" t="s">
        <v>9531</v>
      </c>
      <c r="D70" s="418">
        <v>13116</v>
      </c>
      <c r="E70" s="418">
        <v>13205</v>
      </c>
      <c r="F70" s="418">
        <v>13468</v>
      </c>
      <c r="G70" s="418">
        <v>13816</v>
      </c>
      <c r="H70" s="31">
        <v>14161</v>
      </c>
      <c r="I70" s="31">
        <v>13853</v>
      </c>
      <c r="J70" s="31">
        <v>13650</v>
      </c>
      <c r="K70" s="31">
        <v>14112</v>
      </c>
      <c r="L70" s="31">
        <v>14154</v>
      </c>
      <c r="N70" s="415" t="s">
        <v>8668</v>
      </c>
      <c r="P70" s="4"/>
      <c r="R70" s="4"/>
    </row>
    <row r="71" spans="1:18">
      <c r="A71" s="415" t="s">
        <v>6961</v>
      </c>
      <c r="B71" s="415" t="s">
        <v>8673</v>
      </c>
      <c r="C71" s="4" t="s">
        <v>9532</v>
      </c>
      <c r="D71" s="418">
        <v>13023</v>
      </c>
      <c r="E71" s="418">
        <v>13087</v>
      </c>
      <c r="F71" s="418">
        <v>13338</v>
      </c>
      <c r="G71" s="418">
        <v>13587</v>
      </c>
      <c r="H71" s="31">
        <v>13785</v>
      </c>
      <c r="I71" s="31">
        <v>13589</v>
      </c>
      <c r="J71" s="31">
        <v>13576</v>
      </c>
      <c r="K71" s="31">
        <v>14091</v>
      </c>
      <c r="L71" s="31">
        <v>14331</v>
      </c>
      <c r="N71" s="415" t="s">
        <v>8668</v>
      </c>
      <c r="P71" s="4"/>
      <c r="R71" s="4"/>
    </row>
    <row r="72" spans="1:18">
      <c r="A72" s="415" t="s">
        <v>6963</v>
      </c>
      <c r="B72" s="415" t="s">
        <v>8674</v>
      </c>
      <c r="C72" s="4" t="s">
        <v>9533</v>
      </c>
      <c r="D72" s="418">
        <v>10592</v>
      </c>
      <c r="E72" s="418">
        <v>11029</v>
      </c>
      <c r="F72" s="418">
        <v>11044</v>
      </c>
      <c r="G72" s="418">
        <v>10917</v>
      </c>
      <c r="H72" s="30">
        <v>10998</v>
      </c>
      <c r="I72" s="30">
        <v>10714</v>
      </c>
      <c r="J72" s="30">
        <v>10657</v>
      </c>
      <c r="K72" s="30">
        <v>11208</v>
      </c>
      <c r="L72" s="30">
        <v>11408</v>
      </c>
      <c r="N72" s="415" t="s">
        <v>5969</v>
      </c>
      <c r="P72" s="4"/>
      <c r="R72" s="4"/>
    </row>
    <row r="73" spans="1:18">
      <c r="A73" s="415" t="s">
        <v>6965</v>
      </c>
      <c r="B73" s="415" t="s">
        <v>8675</v>
      </c>
      <c r="C73" s="4" t="s">
        <v>9534</v>
      </c>
      <c r="D73" s="418">
        <v>10833</v>
      </c>
      <c r="E73" s="418">
        <v>11258</v>
      </c>
      <c r="F73" s="418">
        <v>11712</v>
      </c>
      <c r="G73" s="418">
        <v>15175</v>
      </c>
      <c r="H73" s="30">
        <v>11941</v>
      </c>
      <c r="I73" s="30">
        <v>10495</v>
      </c>
      <c r="J73" s="30">
        <v>10773</v>
      </c>
      <c r="K73" s="30">
        <v>11613</v>
      </c>
      <c r="L73" s="30">
        <v>12149</v>
      </c>
      <c r="N73" s="415" t="s">
        <v>5969</v>
      </c>
      <c r="P73" s="4"/>
      <c r="R73" s="4"/>
    </row>
    <row r="74" spans="1:18">
      <c r="A74" s="415" t="s">
        <v>6997</v>
      </c>
      <c r="B74" s="415" t="s">
        <v>8676</v>
      </c>
      <c r="C74" s="4" t="s">
        <v>9535</v>
      </c>
      <c r="D74" s="418">
        <v>11105</v>
      </c>
      <c r="E74" s="418">
        <v>11395</v>
      </c>
      <c r="F74" s="418">
        <v>11366</v>
      </c>
      <c r="G74" s="418">
        <v>8526</v>
      </c>
      <c r="H74" s="30">
        <v>11362</v>
      </c>
      <c r="I74" s="30">
        <v>10719</v>
      </c>
      <c r="J74" s="30">
        <v>10889</v>
      </c>
      <c r="K74" s="30">
        <v>11513</v>
      </c>
      <c r="L74" s="30">
        <v>11873</v>
      </c>
      <c r="N74" s="415" t="s">
        <v>5969</v>
      </c>
      <c r="P74" s="4"/>
      <c r="R74" s="4"/>
    </row>
    <row r="75" spans="1:18">
      <c r="A75" s="415" t="s">
        <v>6999</v>
      </c>
      <c r="B75" s="415" t="s">
        <v>1590</v>
      </c>
      <c r="C75" s="4" t="s">
        <v>9536</v>
      </c>
      <c r="D75" s="422">
        <v>9365</v>
      </c>
      <c r="E75" s="422">
        <v>9891</v>
      </c>
      <c r="F75" s="422">
        <v>10646</v>
      </c>
      <c r="G75" s="422">
        <v>10859</v>
      </c>
      <c r="H75" s="30">
        <v>10790</v>
      </c>
      <c r="I75" s="30">
        <v>9385</v>
      </c>
      <c r="J75" s="30">
        <v>9418</v>
      </c>
      <c r="K75" s="30">
        <v>10038</v>
      </c>
      <c r="L75" s="30">
        <v>10677</v>
      </c>
      <c r="N75" s="415" t="s">
        <v>5972</v>
      </c>
      <c r="P75" s="4"/>
      <c r="R75" s="4"/>
    </row>
    <row r="76" spans="1:18">
      <c r="A76" s="415" t="s">
        <v>7001</v>
      </c>
      <c r="B76" s="416" t="s">
        <v>8677</v>
      </c>
      <c r="C76" s="4" t="s">
        <v>9537</v>
      </c>
      <c r="D76" s="418">
        <v>10264</v>
      </c>
      <c r="E76" s="418">
        <v>10868</v>
      </c>
      <c r="F76" s="418">
        <v>11088</v>
      </c>
      <c r="G76" s="418">
        <v>11145</v>
      </c>
      <c r="H76" s="30">
        <v>11037</v>
      </c>
      <c r="I76" s="30">
        <v>10172</v>
      </c>
      <c r="J76" s="30">
        <v>10251</v>
      </c>
      <c r="K76" s="30">
        <v>10968</v>
      </c>
      <c r="L76" s="30">
        <v>11178</v>
      </c>
      <c r="N76" s="415" t="s">
        <v>5972</v>
      </c>
      <c r="P76" s="4"/>
      <c r="R76" s="4"/>
    </row>
    <row r="77" spans="1:18">
      <c r="A77" s="415" t="s">
        <v>7003</v>
      </c>
      <c r="B77" s="415" t="s">
        <v>5603</v>
      </c>
      <c r="C77" s="4" t="s">
        <v>9538</v>
      </c>
      <c r="D77" s="418">
        <v>12159</v>
      </c>
      <c r="E77" s="418">
        <v>12213</v>
      </c>
      <c r="F77" s="418">
        <v>12258</v>
      </c>
      <c r="G77" s="418">
        <v>12575</v>
      </c>
      <c r="H77" s="31">
        <v>12911</v>
      </c>
      <c r="I77" s="31">
        <v>12580</v>
      </c>
      <c r="J77" s="31">
        <v>12773</v>
      </c>
      <c r="K77" s="31">
        <v>13190</v>
      </c>
      <c r="L77" s="31">
        <v>13356</v>
      </c>
      <c r="N77" s="415" t="s">
        <v>7845</v>
      </c>
      <c r="P77" s="4"/>
      <c r="R77" s="4"/>
    </row>
    <row r="78" spans="1:18">
      <c r="A78" s="415" t="s">
        <v>7005</v>
      </c>
      <c r="B78" s="415" t="s">
        <v>8678</v>
      </c>
      <c r="C78" s="4" t="s">
        <v>9539</v>
      </c>
      <c r="D78" s="418">
        <v>10450</v>
      </c>
      <c r="E78" s="418">
        <v>10865</v>
      </c>
      <c r="F78" s="418">
        <v>11100</v>
      </c>
      <c r="G78" s="418">
        <v>11662</v>
      </c>
      <c r="H78" s="30">
        <v>11787</v>
      </c>
      <c r="I78" s="30">
        <v>11045</v>
      </c>
      <c r="J78" s="30">
        <v>10949</v>
      </c>
      <c r="K78" s="30">
        <v>11652</v>
      </c>
      <c r="L78" s="30">
        <v>11793</v>
      </c>
      <c r="N78" s="415" t="s">
        <v>5969</v>
      </c>
      <c r="P78" s="4"/>
      <c r="R78" s="4"/>
    </row>
    <row r="79" spans="1:18">
      <c r="A79" s="415" t="s">
        <v>7007</v>
      </c>
      <c r="B79" s="415" t="s">
        <v>6076</v>
      </c>
      <c r="C79" s="4" t="s">
        <v>9540</v>
      </c>
      <c r="D79" s="418">
        <v>11001</v>
      </c>
      <c r="E79" s="418">
        <v>10905</v>
      </c>
      <c r="F79" s="418">
        <v>10864</v>
      </c>
      <c r="G79" s="418">
        <v>11031</v>
      </c>
      <c r="H79" s="30">
        <v>10838</v>
      </c>
      <c r="I79" s="30">
        <v>10023</v>
      </c>
      <c r="J79" s="30">
        <v>9911</v>
      </c>
      <c r="K79" s="30">
        <v>10508</v>
      </c>
      <c r="L79" s="30">
        <v>10673</v>
      </c>
      <c r="N79" s="415" t="s">
        <v>5971</v>
      </c>
      <c r="P79" s="4"/>
      <c r="R79" s="4"/>
    </row>
    <row r="80" spans="1:18">
      <c r="A80" s="415" t="s">
        <v>7009</v>
      </c>
      <c r="B80" s="415" t="s">
        <v>2397</v>
      </c>
      <c r="C80" s="4" t="s">
        <v>9541</v>
      </c>
      <c r="D80" s="418">
        <v>10030</v>
      </c>
      <c r="E80" s="418">
        <v>10133</v>
      </c>
      <c r="F80" s="418">
        <v>10452</v>
      </c>
      <c r="G80" s="418">
        <v>10882</v>
      </c>
      <c r="H80" s="30">
        <v>10325</v>
      </c>
      <c r="I80" s="30">
        <v>10163</v>
      </c>
      <c r="J80" s="30">
        <v>10364</v>
      </c>
      <c r="K80" s="30">
        <v>10901</v>
      </c>
      <c r="L80" s="30">
        <v>11124</v>
      </c>
      <c r="N80" s="415" t="s">
        <v>5972</v>
      </c>
      <c r="P80" s="4"/>
      <c r="R80" s="4"/>
    </row>
    <row r="81" spans="1:18">
      <c r="A81" s="415" t="s">
        <v>7011</v>
      </c>
      <c r="B81" s="415" t="s">
        <v>6077</v>
      </c>
      <c r="C81" s="4" t="s">
        <v>9542</v>
      </c>
      <c r="D81" s="418">
        <v>11515</v>
      </c>
      <c r="E81" s="418">
        <v>11714</v>
      </c>
      <c r="F81" s="418">
        <v>12044</v>
      </c>
      <c r="G81" s="418">
        <v>12199</v>
      </c>
      <c r="H81" s="30">
        <v>12266</v>
      </c>
      <c r="I81" s="30">
        <v>11785</v>
      </c>
      <c r="J81" s="30">
        <v>11843</v>
      </c>
      <c r="K81" s="30">
        <v>12361</v>
      </c>
      <c r="L81" s="30">
        <v>12523</v>
      </c>
      <c r="N81" s="415" t="s">
        <v>5969</v>
      </c>
      <c r="P81" s="4"/>
      <c r="R81" s="4"/>
    </row>
    <row r="82" spans="1:18">
      <c r="A82" s="415" t="s">
        <v>7013</v>
      </c>
      <c r="B82" s="415" t="s">
        <v>6078</v>
      </c>
      <c r="C82" s="4" t="s">
        <v>9543</v>
      </c>
      <c r="D82" s="418">
        <v>11039</v>
      </c>
      <c r="E82" s="418">
        <v>11224</v>
      </c>
      <c r="F82" s="418">
        <v>11225</v>
      </c>
      <c r="G82" s="418">
        <v>11496</v>
      </c>
      <c r="H82" s="31">
        <v>11693</v>
      </c>
      <c r="I82" s="31">
        <v>11488</v>
      </c>
      <c r="J82" s="31">
        <v>11563</v>
      </c>
      <c r="K82" s="31">
        <v>11915</v>
      </c>
      <c r="L82" s="31">
        <v>11919</v>
      </c>
      <c r="N82" s="415" t="s">
        <v>7845</v>
      </c>
      <c r="P82" s="4"/>
      <c r="R82" s="4"/>
    </row>
    <row r="83" spans="1:18">
      <c r="A83" s="415" t="s">
        <v>7015</v>
      </c>
      <c r="B83" s="415" t="s">
        <v>6079</v>
      </c>
      <c r="C83" s="4" t="s">
        <v>9544</v>
      </c>
      <c r="D83" s="418">
        <v>10486</v>
      </c>
      <c r="E83" s="418">
        <v>11163</v>
      </c>
      <c r="F83" s="418">
        <v>11359</v>
      </c>
      <c r="G83" s="418">
        <v>11491</v>
      </c>
      <c r="H83" s="31">
        <v>11246</v>
      </c>
      <c r="I83" s="31">
        <v>10584</v>
      </c>
      <c r="J83" s="31">
        <v>10408</v>
      </c>
      <c r="K83" s="31">
        <v>10995</v>
      </c>
      <c r="L83" s="31">
        <v>11107</v>
      </c>
      <c r="N83" s="415" t="s">
        <v>7845</v>
      </c>
      <c r="P83" s="4"/>
      <c r="R83" s="4"/>
    </row>
    <row r="84" spans="1:18">
      <c r="A84" s="415" t="s">
        <v>7017</v>
      </c>
      <c r="B84" s="415" t="s">
        <v>6080</v>
      </c>
      <c r="C84" s="4" t="s">
        <v>9545</v>
      </c>
      <c r="D84" s="418">
        <v>11110</v>
      </c>
      <c r="E84" s="418">
        <v>11588</v>
      </c>
      <c r="F84" s="418">
        <v>11684</v>
      </c>
      <c r="G84" s="418">
        <v>11806</v>
      </c>
      <c r="H84" s="31">
        <v>11869</v>
      </c>
      <c r="I84" s="31">
        <v>11408</v>
      </c>
      <c r="J84" s="31">
        <v>11447</v>
      </c>
      <c r="K84" s="31">
        <v>11881</v>
      </c>
      <c r="L84" s="31">
        <v>11948</v>
      </c>
      <c r="N84" s="415" t="s">
        <v>7845</v>
      </c>
      <c r="P84" s="4"/>
      <c r="R84" s="4"/>
    </row>
    <row r="85" spans="1:18">
      <c r="A85" s="415" t="s">
        <v>7019</v>
      </c>
      <c r="B85" s="415" t="s">
        <v>6081</v>
      </c>
      <c r="C85" s="4" t="s">
        <v>9546</v>
      </c>
      <c r="D85" s="418">
        <v>10314</v>
      </c>
      <c r="E85" s="418">
        <v>10479</v>
      </c>
      <c r="F85" s="418">
        <v>10510</v>
      </c>
      <c r="G85" s="418">
        <v>11122</v>
      </c>
      <c r="H85" s="31">
        <v>11384</v>
      </c>
      <c r="I85" s="31">
        <v>10861</v>
      </c>
      <c r="J85" s="31">
        <v>10739</v>
      </c>
      <c r="K85" s="31">
        <v>11212</v>
      </c>
      <c r="L85" s="31">
        <v>11356</v>
      </c>
      <c r="N85" s="415" t="s">
        <v>7845</v>
      </c>
      <c r="P85" s="4"/>
      <c r="R85" s="4"/>
    </row>
    <row r="86" spans="1:18">
      <c r="A86" s="415" t="s">
        <v>7021</v>
      </c>
      <c r="B86" s="415" t="s">
        <v>6082</v>
      </c>
      <c r="C86" s="4" t="s">
        <v>9547</v>
      </c>
      <c r="D86" s="418">
        <v>9887</v>
      </c>
      <c r="E86" s="418">
        <v>10457</v>
      </c>
      <c r="F86" s="418">
        <v>10453</v>
      </c>
      <c r="G86" s="418">
        <v>10626</v>
      </c>
      <c r="H86" s="30">
        <v>10405</v>
      </c>
      <c r="I86" s="30">
        <v>9870</v>
      </c>
      <c r="J86" s="30">
        <v>9841</v>
      </c>
      <c r="K86" s="30">
        <v>10302</v>
      </c>
      <c r="L86" s="30">
        <v>10569</v>
      </c>
      <c r="N86" s="415" t="s">
        <v>5969</v>
      </c>
      <c r="P86" s="4"/>
      <c r="R86" s="4"/>
    </row>
    <row r="87" spans="1:18">
      <c r="A87" s="415" t="s">
        <v>7023</v>
      </c>
      <c r="B87" s="415" t="s">
        <v>6083</v>
      </c>
      <c r="C87" s="4" t="s">
        <v>9548</v>
      </c>
      <c r="D87" s="418">
        <v>10200</v>
      </c>
      <c r="E87" s="418">
        <v>10678</v>
      </c>
      <c r="F87" s="418">
        <v>10801</v>
      </c>
      <c r="G87" s="418">
        <v>11020</v>
      </c>
      <c r="H87" s="31">
        <v>10731</v>
      </c>
      <c r="I87" s="31">
        <v>10143</v>
      </c>
      <c r="J87" s="31">
        <v>10002</v>
      </c>
      <c r="K87" s="31">
        <v>10677</v>
      </c>
      <c r="L87" s="31">
        <v>10956</v>
      </c>
      <c r="N87" s="415" t="s">
        <v>5972</v>
      </c>
      <c r="P87" s="4"/>
      <c r="R87" s="4"/>
    </row>
    <row r="88" spans="1:18">
      <c r="A88" s="415" t="s">
        <v>7025</v>
      </c>
      <c r="B88" s="415" t="s">
        <v>5323</v>
      </c>
      <c r="C88" s="4" t="s">
        <v>9549</v>
      </c>
      <c r="D88" s="418">
        <v>10863</v>
      </c>
      <c r="E88" s="418">
        <v>11099</v>
      </c>
      <c r="F88" s="418">
        <v>11360</v>
      </c>
      <c r="G88" s="418">
        <v>11578</v>
      </c>
      <c r="H88" s="30">
        <v>12007</v>
      </c>
      <c r="I88" s="30">
        <v>11685</v>
      </c>
      <c r="J88" s="30">
        <v>11681</v>
      </c>
      <c r="K88" s="30">
        <v>12108</v>
      </c>
      <c r="L88" s="30">
        <v>12316</v>
      </c>
      <c r="N88" s="415" t="s">
        <v>5971</v>
      </c>
      <c r="P88" s="4"/>
      <c r="R88" s="4"/>
    </row>
    <row r="89" spans="1:18">
      <c r="A89" s="415" t="s">
        <v>7570</v>
      </c>
      <c r="B89" s="415" t="s">
        <v>6084</v>
      </c>
      <c r="C89" s="4" t="s">
        <v>9550</v>
      </c>
      <c r="D89" s="418">
        <v>10821</v>
      </c>
      <c r="E89" s="418">
        <v>11270</v>
      </c>
      <c r="F89" s="418">
        <v>11419</v>
      </c>
      <c r="G89" s="418">
        <v>11312</v>
      </c>
      <c r="H89" s="30">
        <v>11864</v>
      </c>
      <c r="I89" s="30">
        <v>11453</v>
      </c>
      <c r="J89" s="30">
        <v>11258</v>
      </c>
      <c r="K89" s="30">
        <v>11660</v>
      </c>
      <c r="L89" s="30">
        <v>11872</v>
      </c>
      <c r="N89" s="415" t="s">
        <v>5971</v>
      </c>
      <c r="P89" s="4"/>
      <c r="R89" s="4"/>
    </row>
    <row r="90" spans="1:18">
      <c r="A90" s="415" t="s">
        <v>7572</v>
      </c>
      <c r="B90" s="415" t="s">
        <v>8686</v>
      </c>
      <c r="C90" s="4" t="s">
        <v>9551</v>
      </c>
      <c r="D90" s="418">
        <v>10484</v>
      </c>
      <c r="E90" s="418">
        <v>10695</v>
      </c>
      <c r="F90" s="418">
        <v>10972</v>
      </c>
      <c r="G90" s="418">
        <v>11237</v>
      </c>
      <c r="H90" s="31">
        <v>11183</v>
      </c>
      <c r="I90" s="31">
        <v>10671</v>
      </c>
      <c r="J90" s="31">
        <v>10788</v>
      </c>
      <c r="K90" s="31">
        <v>11125</v>
      </c>
      <c r="L90" s="31">
        <v>11310</v>
      </c>
      <c r="N90" s="415" t="s">
        <v>8668</v>
      </c>
      <c r="P90" s="4"/>
      <c r="R90" s="4"/>
    </row>
    <row r="91" spans="1:18">
      <c r="A91" s="415" t="s">
        <v>7573</v>
      </c>
      <c r="B91" s="415" t="s">
        <v>8687</v>
      </c>
      <c r="C91" s="4" t="s">
        <v>9552</v>
      </c>
      <c r="D91" s="418">
        <v>10702</v>
      </c>
      <c r="E91" s="418">
        <v>10805</v>
      </c>
      <c r="F91" s="418">
        <v>10768</v>
      </c>
      <c r="G91" s="418">
        <v>11189</v>
      </c>
      <c r="H91" s="31">
        <v>11409</v>
      </c>
      <c r="I91" s="31">
        <v>11121</v>
      </c>
      <c r="J91" s="31">
        <v>11248</v>
      </c>
      <c r="K91" s="31">
        <v>11721</v>
      </c>
      <c r="L91" s="31">
        <v>11966</v>
      </c>
      <c r="N91" s="415" t="s">
        <v>5972</v>
      </c>
      <c r="P91" s="4"/>
      <c r="R91" s="4"/>
    </row>
    <row r="92" spans="1:18">
      <c r="A92" s="415" t="s">
        <v>5798</v>
      </c>
      <c r="B92" s="415" t="s">
        <v>3295</v>
      </c>
      <c r="C92" s="4" t="s">
        <v>9553</v>
      </c>
      <c r="D92" s="418">
        <v>10097</v>
      </c>
      <c r="E92" s="418">
        <v>11050</v>
      </c>
      <c r="F92" s="418">
        <v>10997</v>
      </c>
      <c r="G92" s="418">
        <v>10994</v>
      </c>
      <c r="H92" s="31">
        <v>11275</v>
      </c>
      <c r="I92" s="31">
        <v>10666</v>
      </c>
      <c r="J92" s="31">
        <v>10813</v>
      </c>
      <c r="K92" s="31">
        <v>11356</v>
      </c>
      <c r="L92" s="31">
        <v>11818</v>
      </c>
      <c r="N92" s="415" t="s">
        <v>5972</v>
      </c>
      <c r="P92" s="4"/>
      <c r="R92" s="4"/>
    </row>
    <row r="93" spans="1:18">
      <c r="A93" s="415" t="s">
        <v>5799</v>
      </c>
      <c r="B93" s="415" t="s">
        <v>8688</v>
      </c>
      <c r="C93" s="4" t="s">
        <v>9554</v>
      </c>
      <c r="D93" s="422">
        <v>11375</v>
      </c>
      <c r="E93" s="422">
        <v>11547</v>
      </c>
      <c r="F93" s="422">
        <v>11268</v>
      </c>
      <c r="G93" s="422">
        <v>11411</v>
      </c>
      <c r="H93" s="30">
        <v>11210</v>
      </c>
      <c r="I93" s="30">
        <v>9712</v>
      </c>
      <c r="J93" s="30">
        <v>10217</v>
      </c>
      <c r="K93" s="30">
        <v>11117</v>
      </c>
      <c r="L93" s="30">
        <v>11401</v>
      </c>
      <c r="N93" s="415" t="s">
        <v>5971</v>
      </c>
      <c r="P93" s="4"/>
      <c r="R93" s="4"/>
    </row>
    <row r="94" spans="1:18">
      <c r="A94" s="415" t="s">
        <v>5801</v>
      </c>
      <c r="B94" s="415" t="s">
        <v>4310</v>
      </c>
      <c r="C94" s="4" t="s">
        <v>9555</v>
      </c>
      <c r="D94" s="418">
        <v>9013</v>
      </c>
      <c r="E94" s="418">
        <v>9108</v>
      </c>
      <c r="F94" s="418">
        <v>9178</v>
      </c>
      <c r="G94" s="418">
        <v>9178</v>
      </c>
      <c r="H94" s="31">
        <v>9329</v>
      </c>
      <c r="I94" s="31">
        <v>9166</v>
      </c>
      <c r="J94" s="31">
        <v>9226</v>
      </c>
      <c r="K94" s="31">
        <v>9495</v>
      </c>
      <c r="L94" s="31">
        <v>9425</v>
      </c>
      <c r="N94" s="415" t="s">
        <v>8668</v>
      </c>
      <c r="P94" s="4"/>
      <c r="R94" s="4"/>
    </row>
    <row r="95" spans="1:18">
      <c r="A95" s="415" t="s">
        <v>5927</v>
      </c>
      <c r="B95" s="415" t="s">
        <v>4311</v>
      </c>
      <c r="C95" s="4" t="s">
        <v>9556</v>
      </c>
      <c r="D95" s="418">
        <v>9730</v>
      </c>
      <c r="E95" s="418">
        <v>9865</v>
      </c>
      <c r="F95" s="418">
        <v>9896</v>
      </c>
      <c r="G95" s="418">
        <v>10544</v>
      </c>
      <c r="H95" s="30">
        <v>10457</v>
      </c>
      <c r="I95" s="30">
        <v>10226</v>
      </c>
      <c r="J95" s="30">
        <v>10027</v>
      </c>
      <c r="K95" s="30">
        <v>10342</v>
      </c>
      <c r="L95" s="30">
        <v>10462</v>
      </c>
      <c r="N95" s="415" t="s">
        <v>5971</v>
      </c>
      <c r="P95" s="4"/>
      <c r="R95" s="4"/>
    </row>
    <row r="96" spans="1:18">
      <c r="A96" s="415" t="s">
        <v>5929</v>
      </c>
      <c r="B96" s="415" t="s">
        <v>4312</v>
      </c>
      <c r="C96" s="4" t="s">
        <v>9557</v>
      </c>
      <c r="D96" s="422">
        <v>10515</v>
      </c>
      <c r="E96" s="422">
        <v>10578</v>
      </c>
      <c r="F96" s="422">
        <v>10454</v>
      </c>
      <c r="G96" s="422">
        <v>10765</v>
      </c>
      <c r="H96" s="31">
        <v>10901</v>
      </c>
      <c r="I96" s="31">
        <v>10379</v>
      </c>
      <c r="J96" s="31">
        <v>10575</v>
      </c>
      <c r="K96" s="31">
        <v>11018</v>
      </c>
      <c r="L96" s="31">
        <v>11070</v>
      </c>
      <c r="N96" s="415" t="s">
        <v>8668</v>
      </c>
      <c r="P96" s="4"/>
      <c r="R96" s="4"/>
    </row>
    <row r="97" spans="1:18">
      <c r="A97" s="415" t="s">
        <v>5931</v>
      </c>
      <c r="B97" s="415" t="s">
        <v>4313</v>
      </c>
      <c r="C97" s="4" t="s">
        <v>9558</v>
      </c>
      <c r="D97" s="418">
        <v>10169</v>
      </c>
      <c r="E97" s="418">
        <v>10300</v>
      </c>
      <c r="F97" s="418">
        <v>10370</v>
      </c>
      <c r="G97" s="418">
        <v>10541</v>
      </c>
      <c r="H97" s="31">
        <v>10704</v>
      </c>
      <c r="I97" s="31">
        <v>10470</v>
      </c>
      <c r="J97" s="31">
        <v>10479</v>
      </c>
      <c r="K97" s="31">
        <v>10895</v>
      </c>
      <c r="L97" s="31">
        <v>10916</v>
      </c>
      <c r="N97" s="415" t="s">
        <v>7845</v>
      </c>
      <c r="P97" s="4"/>
      <c r="R97" s="4"/>
    </row>
    <row r="98" spans="1:18" ht="15.75" thickBot="1">
      <c r="A98" s="415"/>
      <c r="B98" s="415"/>
      <c r="C98" s="4" t="s">
        <v>9558</v>
      </c>
      <c r="D98" s="424">
        <v>5</v>
      </c>
      <c r="E98" s="411">
        <v>4</v>
      </c>
      <c r="F98" s="411">
        <v>2</v>
      </c>
      <c r="G98" s="411">
        <v>2</v>
      </c>
      <c r="H98" s="413">
        <v>2</v>
      </c>
      <c r="I98" s="413">
        <v>2</v>
      </c>
      <c r="J98" s="30">
        <v>1</v>
      </c>
      <c r="K98" s="30">
        <v>2</v>
      </c>
      <c r="L98" s="30">
        <v>2</v>
      </c>
      <c r="N98" s="415" t="s">
        <v>8668</v>
      </c>
      <c r="P98" s="4"/>
      <c r="R98" s="4"/>
    </row>
    <row r="99" spans="1:18" ht="15.75" thickBot="1">
      <c r="A99" s="415"/>
      <c r="B99" s="415"/>
      <c r="C99" s="4" t="s">
        <v>9558</v>
      </c>
      <c r="D99" s="412">
        <f t="shared" ref="D99:L99" si="105">D97+D98</f>
        <v>10174</v>
      </c>
      <c r="E99" s="412">
        <f t="shared" si="105"/>
        <v>10304</v>
      </c>
      <c r="F99" s="412">
        <f t="shared" si="105"/>
        <v>10372</v>
      </c>
      <c r="G99" s="412">
        <f t="shared" si="105"/>
        <v>10543</v>
      </c>
      <c r="H99" s="414">
        <f t="shared" si="105"/>
        <v>10706</v>
      </c>
      <c r="I99" s="414">
        <f t="shared" si="105"/>
        <v>10472</v>
      </c>
      <c r="J99" s="414">
        <f t="shared" si="105"/>
        <v>10480</v>
      </c>
      <c r="K99" s="414">
        <f t="shared" si="105"/>
        <v>10897</v>
      </c>
      <c r="L99" s="414">
        <f t="shared" si="105"/>
        <v>10918</v>
      </c>
      <c r="N99" s="415"/>
    </row>
    <row r="100" spans="1:18">
      <c r="A100" s="415" t="s">
        <v>5933</v>
      </c>
      <c r="B100" s="415" t="s">
        <v>3507</v>
      </c>
      <c r="C100" s="4" t="s">
        <v>9559</v>
      </c>
      <c r="D100" s="418">
        <v>9742</v>
      </c>
      <c r="E100" s="418">
        <v>10029</v>
      </c>
      <c r="F100" s="418">
        <v>10198</v>
      </c>
      <c r="G100" s="418">
        <v>10334</v>
      </c>
      <c r="H100" s="30">
        <v>10362</v>
      </c>
      <c r="I100" s="30">
        <v>9719</v>
      </c>
      <c r="J100" s="30">
        <v>9874</v>
      </c>
      <c r="K100" s="30">
        <v>10439</v>
      </c>
      <c r="L100" s="30">
        <v>10677</v>
      </c>
      <c r="N100" s="415" t="s">
        <v>5971</v>
      </c>
    </row>
    <row r="101" spans="1:18">
      <c r="D101" s="419"/>
      <c r="E101" s="419"/>
      <c r="F101" s="419"/>
      <c r="G101" s="419"/>
      <c r="H101" s="419"/>
      <c r="I101" s="419"/>
      <c r="J101" s="419"/>
      <c r="K101" s="419"/>
      <c r="L101" s="419"/>
    </row>
    <row r="102" spans="1:18">
      <c r="A102" s="415" t="s">
        <v>5969</v>
      </c>
      <c r="D102" s="418">
        <f t="shared" ref="D102:I102" si="106">SUM(D72:D74)+D78+D81+D86</f>
        <v>64382</v>
      </c>
      <c r="E102" s="418">
        <f t="shared" si="106"/>
        <v>66718</v>
      </c>
      <c r="F102" s="418">
        <f t="shared" si="106"/>
        <v>67719</v>
      </c>
      <c r="G102" s="418">
        <f t="shared" si="106"/>
        <v>69105</v>
      </c>
      <c r="H102" s="418">
        <f t="shared" si="106"/>
        <v>68759</v>
      </c>
      <c r="I102" s="418">
        <f t="shared" si="106"/>
        <v>64628</v>
      </c>
      <c r="J102" s="418">
        <f t="shared" ref="J102:K102" si="107">SUM(J72:J74)+J78+J81+J86</f>
        <v>64952</v>
      </c>
      <c r="K102" s="418">
        <f t="shared" si="107"/>
        <v>68649</v>
      </c>
      <c r="L102" s="418">
        <f t="shared" ref="L102" si="108">SUM(L72:L74)+L78+L81+L86</f>
        <v>70315</v>
      </c>
    </row>
    <row r="103" spans="1:18">
      <c r="A103" s="415" t="s">
        <v>5971</v>
      </c>
      <c r="D103" s="418">
        <f t="shared" ref="D103:I103" si="109">D79+D88+D89+D93+D95+D100</f>
        <v>63532</v>
      </c>
      <c r="E103" s="418">
        <f t="shared" si="109"/>
        <v>64715</v>
      </c>
      <c r="F103" s="418">
        <f t="shared" si="109"/>
        <v>65005</v>
      </c>
      <c r="G103" s="418">
        <f t="shared" si="109"/>
        <v>66210</v>
      </c>
      <c r="H103" s="418">
        <f t="shared" si="109"/>
        <v>66738</v>
      </c>
      <c r="I103" s="418">
        <f t="shared" si="109"/>
        <v>62818</v>
      </c>
      <c r="J103" s="418">
        <f t="shared" ref="J103:K103" si="110">J79+J88+J89+J93+J95+J100</f>
        <v>62968</v>
      </c>
      <c r="K103" s="418">
        <f t="shared" si="110"/>
        <v>66174</v>
      </c>
      <c r="L103" s="418">
        <f t="shared" ref="L103" si="111">L79+L88+L89+L93+L95+L100</f>
        <v>67401</v>
      </c>
    </row>
    <row r="104" spans="1:18">
      <c r="A104" s="415" t="s">
        <v>5972</v>
      </c>
      <c r="D104" s="418">
        <f t="shared" ref="D104:I104" si="112">D75+D76+D80+D87+D91+D92</f>
        <v>60658</v>
      </c>
      <c r="E104" s="418">
        <f t="shared" si="112"/>
        <v>63425</v>
      </c>
      <c r="F104" s="418">
        <f t="shared" si="112"/>
        <v>64752</v>
      </c>
      <c r="G104" s="418">
        <f t="shared" si="112"/>
        <v>66089</v>
      </c>
      <c r="H104" s="418">
        <f t="shared" si="112"/>
        <v>65567</v>
      </c>
      <c r="I104" s="418">
        <f t="shared" si="112"/>
        <v>61650</v>
      </c>
      <c r="J104" s="418">
        <f t="shared" ref="J104:K104" si="113">J75+J76+J80+J87+J91+J92</f>
        <v>62096</v>
      </c>
      <c r="K104" s="418">
        <f t="shared" si="113"/>
        <v>65661</v>
      </c>
      <c r="L104" s="418">
        <f t="shared" ref="L104" si="114">L75+L76+L80+L87+L91+L92</f>
        <v>67719</v>
      </c>
    </row>
    <row r="105" spans="1:18">
      <c r="A105" s="415" t="s">
        <v>7845</v>
      </c>
      <c r="D105" s="418">
        <f t="shared" ref="D105:I105" si="115">D77+SUM(D82:D85)+D97</f>
        <v>65277</v>
      </c>
      <c r="E105" s="418">
        <f t="shared" si="115"/>
        <v>66967</v>
      </c>
      <c r="F105" s="418">
        <f t="shared" si="115"/>
        <v>67406</v>
      </c>
      <c r="G105" s="418">
        <f t="shared" si="115"/>
        <v>69031</v>
      </c>
      <c r="H105" s="418">
        <f t="shared" si="115"/>
        <v>69807</v>
      </c>
      <c r="I105" s="418">
        <f t="shared" si="115"/>
        <v>67391</v>
      </c>
      <c r="J105" s="418">
        <f t="shared" ref="J105:K105" si="116">J77+SUM(J82:J85)+J97</f>
        <v>67409</v>
      </c>
      <c r="K105" s="418">
        <f t="shared" si="116"/>
        <v>70088</v>
      </c>
      <c r="L105" s="418">
        <f t="shared" ref="L105" si="117">L77+SUM(L82:L85)+L97</f>
        <v>70602</v>
      </c>
    </row>
    <row r="106" spans="1:18">
      <c r="A106" s="415" t="s">
        <v>8668</v>
      </c>
      <c r="D106" s="418">
        <f t="shared" ref="D106:I106" si="118">D69+D70+D71+D90+D94+D96+D98</f>
        <v>67489</v>
      </c>
      <c r="E106" s="418">
        <f t="shared" si="118"/>
        <v>68129</v>
      </c>
      <c r="F106" s="418">
        <f t="shared" si="118"/>
        <v>68944</v>
      </c>
      <c r="G106" s="418">
        <f t="shared" si="118"/>
        <v>70360</v>
      </c>
      <c r="H106" s="418">
        <f t="shared" si="118"/>
        <v>71208</v>
      </c>
      <c r="I106" s="418">
        <f t="shared" si="118"/>
        <v>69248</v>
      </c>
      <c r="J106" s="418">
        <f t="shared" ref="J106:K106" si="119">J69+J70+J71+J90+J94+J96+J98</f>
        <v>69358</v>
      </c>
      <c r="K106" s="418">
        <f t="shared" si="119"/>
        <v>71841</v>
      </c>
      <c r="L106" s="418">
        <f t="shared" ref="L106" si="120">L69+L70+L71+L90+L94+L96+L98</f>
        <v>72244</v>
      </c>
    </row>
    <row r="107" spans="1:18">
      <c r="A107" s="415"/>
      <c r="D107" s="418"/>
      <c r="E107" s="418"/>
      <c r="F107" s="418"/>
      <c r="G107" s="418"/>
      <c r="H107" s="418"/>
      <c r="I107" s="418"/>
      <c r="J107" s="418"/>
      <c r="K107" s="418"/>
      <c r="L107" s="418"/>
    </row>
    <row r="108" spans="1:18">
      <c r="A108" s="415" t="s">
        <v>4314</v>
      </c>
      <c r="D108" s="418"/>
      <c r="E108" s="418"/>
      <c r="F108" s="418"/>
      <c r="G108" s="418"/>
      <c r="H108" s="418"/>
      <c r="I108" s="418"/>
      <c r="J108" s="418"/>
      <c r="K108" s="418"/>
      <c r="L108" s="418"/>
    </row>
    <row r="109" spans="1:18" ht="15.75" customHeight="1">
      <c r="A109" s="415" t="s">
        <v>8825</v>
      </c>
      <c r="B109" s="415"/>
      <c r="D109" s="425"/>
      <c r="E109" s="425"/>
      <c r="F109" s="425"/>
      <c r="G109" s="425"/>
      <c r="H109" s="425"/>
      <c r="I109" s="425"/>
      <c r="J109" s="425"/>
      <c r="K109" s="425"/>
      <c r="L109" s="425"/>
    </row>
    <row r="110" spans="1:18" ht="15.75" customHeight="1">
      <c r="A110" s="415"/>
      <c r="B110" s="415"/>
      <c r="D110" s="425"/>
      <c r="E110" s="425"/>
      <c r="F110" s="425"/>
      <c r="G110" s="425"/>
      <c r="H110" s="425"/>
      <c r="I110" s="425"/>
      <c r="J110" s="425"/>
      <c r="K110" s="425"/>
      <c r="L110" s="425"/>
    </row>
    <row r="111" spans="1:18">
      <c r="A111" s="415"/>
      <c r="B111" s="415"/>
      <c r="D111" s="425"/>
      <c r="E111" s="425"/>
      <c r="F111" s="425"/>
      <c r="G111" s="425"/>
      <c r="H111" s="425"/>
      <c r="I111" s="425"/>
      <c r="J111" s="425"/>
      <c r="K111" s="425"/>
      <c r="L111" s="425"/>
    </row>
    <row r="112" spans="1:18">
      <c r="E112" s="42" t="s">
        <v>2303</v>
      </c>
      <c r="F112" s="42"/>
      <c r="G112" s="42"/>
      <c r="H112" s="42"/>
      <c r="I112" s="42"/>
      <c r="J112" s="42"/>
      <c r="K112" s="42"/>
      <c r="L112" s="42"/>
      <c r="M112" s="43"/>
      <c r="N112" s="43" t="s">
        <v>13319</v>
      </c>
    </row>
    <row r="113" spans="1:18">
      <c r="D113" s="417">
        <v>2010</v>
      </c>
      <c r="E113" s="417">
        <v>2011</v>
      </c>
      <c r="F113" s="417">
        <v>2012</v>
      </c>
      <c r="G113" s="417">
        <v>2013</v>
      </c>
      <c r="H113" s="417">
        <v>2014</v>
      </c>
      <c r="I113" s="417">
        <v>2015</v>
      </c>
      <c r="J113" s="417">
        <v>2016</v>
      </c>
      <c r="K113" s="417">
        <v>2017</v>
      </c>
      <c r="L113" s="417">
        <v>2018</v>
      </c>
      <c r="N113" s="44" t="s">
        <v>2304</v>
      </c>
    </row>
    <row r="114" spans="1:18">
      <c r="A114" s="415" t="s">
        <v>8826</v>
      </c>
      <c r="D114" s="418">
        <f t="shared" ref="D114:I114" si="121">SUM(D115:D131)</f>
        <v>147691</v>
      </c>
      <c r="E114" s="418">
        <f t="shared" si="121"/>
        <v>145167</v>
      </c>
      <c r="F114" s="418">
        <f t="shared" si="121"/>
        <v>147214</v>
      </c>
      <c r="G114" s="418">
        <f t="shared" si="121"/>
        <v>147153</v>
      </c>
      <c r="H114" s="418">
        <f t="shared" si="121"/>
        <v>145702</v>
      </c>
      <c r="I114" s="418">
        <f t="shared" si="121"/>
        <v>142972</v>
      </c>
      <c r="J114" s="418">
        <f t="shared" ref="J114:K114" si="122">SUM(J115:J131)</f>
        <v>142864</v>
      </c>
      <c r="K114" s="418">
        <f t="shared" si="122"/>
        <v>146496</v>
      </c>
      <c r="L114" s="418">
        <f t="shared" ref="L114" si="123">SUM(L115:L131)</f>
        <v>147634</v>
      </c>
    </row>
    <row r="115" spans="1:18">
      <c r="A115" s="415" t="s">
        <v>6957</v>
      </c>
      <c r="B115" s="415" t="s">
        <v>8827</v>
      </c>
      <c r="C115" s="4" t="s">
        <v>9560</v>
      </c>
      <c r="D115" s="418">
        <v>8531</v>
      </c>
      <c r="E115" s="418">
        <v>8529</v>
      </c>
      <c r="F115" s="418">
        <v>8571</v>
      </c>
      <c r="G115" s="418">
        <v>8540</v>
      </c>
      <c r="H115" s="48">
        <v>8486</v>
      </c>
      <c r="I115" s="48">
        <v>8226</v>
      </c>
      <c r="J115" s="48">
        <v>8115</v>
      </c>
      <c r="K115" s="48">
        <v>8213</v>
      </c>
      <c r="L115" s="48">
        <v>8240</v>
      </c>
      <c r="N115" s="415" t="s">
        <v>5973</v>
      </c>
      <c r="P115" s="4"/>
      <c r="R115" s="4"/>
    </row>
    <row r="116" spans="1:18">
      <c r="A116" s="415" t="s">
        <v>6959</v>
      </c>
      <c r="B116" s="415" t="s">
        <v>1483</v>
      </c>
      <c r="C116" s="4" t="s">
        <v>9561</v>
      </c>
      <c r="D116" s="418">
        <v>9056</v>
      </c>
      <c r="E116" s="418">
        <v>8824</v>
      </c>
      <c r="F116" s="418">
        <v>9037</v>
      </c>
      <c r="G116" s="418">
        <v>9012</v>
      </c>
      <c r="H116" s="48">
        <v>8923</v>
      </c>
      <c r="I116" s="48">
        <v>8898</v>
      </c>
      <c r="J116" s="48">
        <v>8906</v>
      </c>
      <c r="K116" s="48">
        <v>9052</v>
      </c>
      <c r="L116" s="48">
        <v>9230</v>
      </c>
      <c r="N116" s="415" t="s">
        <v>5973</v>
      </c>
      <c r="P116" s="4"/>
      <c r="R116" s="4"/>
    </row>
    <row r="117" spans="1:18">
      <c r="A117" s="415" t="s">
        <v>6961</v>
      </c>
      <c r="B117" s="415" t="s">
        <v>8828</v>
      </c>
      <c r="C117" s="4" t="s">
        <v>9562</v>
      </c>
      <c r="D117" s="418">
        <v>8551</v>
      </c>
      <c r="E117" s="418">
        <v>8267</v>
      </c>
      <c r="F117" s="418">
        <v>8365</v>
      </c>
      <c r="G117" s="418">
        <v>8387</v>
      </c>
      <c r="H117" s="48">
        <v>8315</v>
      </c>
      <c r="I117" s="48">
        <v>8123</v>
      </c>
      <c r="J117" s="48">
        <v>8094</v>
      </c>
      <c r="K117" s="48">
        <v>8490</v>
      </c>
      <c r="L117" s="48">
        <v>8591</v>
      </c>
      <c r="N117" s="415" t="s">
        <v>5973</v>
      </c>
      <c r="P117" s="4"/>
      <c r="R117" s="4"/>
    </row>
    <row r="118" spans="1:18">
      <c r="A118" s="415" t="s">
        <v>6963</v>
      </c>
      <c r="B118" s="415" t="s">
        <v>8829</v>
      </c>
      <c r="C118" s="4" t="s">
        <v>9563</v>
      </c>
      <c r="D118" s="418">
        <v>8421</v>
      </c>
      <c r="E118" s="418">
        <v>8443</v>
      </c>
      <c r="F118" s="418">
        <v>8489</v>
      </c>
      <c r="G118" s="418">
        <v>8362</v>
      </c>
      <c r="H118" s="48">
        <v>8485</v>
      </c>
      <c r="I118" s="48">
        <v>8415</v>
      </c>
      <c r="J118" s="48">
        <v>8249</v>
      </c>
      <c r="K118" s="48">
        <v>8461</v>
      </c>
      <c r="L118" s="48">
        <v>8540</v>
      </c>
      <c r="N118" s="415" t="s">
        <v>5973</v>
      </c>
      <c r="P118" s="4"/>
      <c r="R118" s="4"/>
    </row>
    <row r="119" spans="1:18">
      <c r="A119" s="415" t="s">
        <v>6965</v>
      </c>
      <c r="B119" s="415" t="s">
        <v>8830</v>
      </c>
      <c r="C119" s="4" t="s">
        <v>9564</v>
      </c>
      <c r="D119" s="418">
        <v>8644</v>
      </c>
      <c r="E119" s="418">
        <v>8661</v>
      </c>
      <c r="F119" s="418">
        <v>8726</v>
      </c>
      <c r="G119" s="418">
        <v>8803</v>
      </c>
      <c r="H119" s="48">
        <v>8758</v>
      </c>
      <c r="I119" s="48">
        <v>8572</v>
      </c>
      <c r="J119" s="48">
        <v>8670</v>
      </c>
      <c r="K119" s="48">
        <v>8843</v>
      </c>
      <c r="L119" s="48">
        <v>8959</v>
      </c>
      <c r="N119" s="415" t="s">
        <v>5973</v>
      </c>
      <c r="P119" s="4"/>
      <c r="R119" s="4"/>
    </row>
    <row r="120" spans="1:18">
      <c r="A120" s="415" t="s">
        <v>6997</v>
      </c>
      <c r="B120" s="415" t="s">
        <v>8831</v>
      </c>
      <c r="C120" s="4" t="s">
        <v>7400</v>
      </c>
      <c r="D120" s="418">
        <v>9395</v>
      </c>
      <c r="E120" s="418">
        <v>9062</v>
      </c>
      <c r="F120" s="418">
        <v>9124</v>
      </c>
      <c r="G120" s="418">
        <v>9048</v>
      </c>
      <c r="H120" s="48">
        <v>8969</v>
      </c>
      <c r="I120" s="48">
        <v>8835</v>
      </c>
      <c r="J120" s="48">
        <v>8779</v>
      </c>
      <c r="K120" s="48">
        <v>8956</v>
      </c>
      <c r="L120" s="48">
        <v>8935</v>
      </c>
      <c r="N120" s="415" t="s">
        <v>5979</v>
      </c>
      <c r="P120" s="4"/>
      <c r="R120" s="4"/>
    </row>
    <row r="121" spans="1:18">
      <c r="A121" s="415" t="s">
        <v>6999</v>
      </c>
      <c r="B121" s="415" t="s">
        <v>6105</v>
      </c>
      <c r="C121" s="4" t="s">
        <v>7401</v>
      </c>
      <c r="D121" s="418">
        <v>7878</v>
      </c>
      <c r="E121" s="418">
        <v>7965</v>
      </c>
      <c r="F121" s="418">
        <v>8026</v>
      </c>
      <c r="G121" s="418">
        <v>8000</v>
      </c>
      <c r="H121" s="48">
        <v>8032</v>
      </c>
      <c r="I121" s="48">
        <v>7848</v>
      </c>
      <c r="J121" s="48">
        <v>7828</v>
      </c>
      <c r="K121" s="48">
        <v>7982</v>
      </c>
      <c r="L121" s="48">
        <v>8051</v>
      </c>
      <c r="N121" s="415" t="s">
        <v>5973</v>
      </c>
      <c r="P121" s="4"/>
      <c r="R121" s="4"/>
    </row>
    <row r="122" spans="1:18">
      <c r="A122" s="415" t="s">
        <v>7001</v>
      </c>
      <c r="B122" s="415" t="s">
        <v>6106</v>
      </c>
      <c r="C122" s="4" t="s">
        <v>7402</v>
      </c>
      <c r="D122" s="418">
        <v>9048</v>
      </c>
      <c r="E122" s="418">
        <v>9058</v>
      </c>
      <c r="F122" s="418">
        <v>9075</v>
      </c>
      <c r="G122" s="418">
        <v>9000</v>
      </c>
      <c r="H122" s="48">
        <v>8938</v>
      </c>
      <c r="I122" s="48">
        <v>8755</v>
      </c>
      <c r="J122" s="48">
        <v>8800</v>
      </c>
      <c r="K122" s="48">
        <v>8985</v>
      </c>
      <c r="L122" s="48">
        <v>9049</v>
      </c>
      <c r="N122" s="415" t="s">
        <v>5979</v>
      </c>
      <c r="P122" s="4"/>
      <c r="R122" s="4"/>
    </row>
    <row r="123" spans="1:18">
      <c r="A123" s="415" t="s">
        <v>7003</v>
      </c>
      <c r="B123" s="415" t="s">
        <v>6107</v>
      </c>
      <c r="C123" s="4" t="s">
        <v>7403</v>
      </c>
      <c r="D123" s="418">
        <v>8448</v>
      </c>
      <c r="E123" s="418">
        <v>8078</v>
      </c>
      <c r="F123" s="418">
        <v>8292</v>
      </c>
      <c r="G123" s="418">
        <v>8275</v>
      </c>
      <c r="H123" s="48">
        <v>8001</v>
      </c>
      <c r="I123" s="48">
        <v>7843</v>
      </c>
      <c r="J123" s="48">
        <v>7855</v>
      </c>
      <c r="K123" s="48">
        <v>8024</v>
      </c>
      <c r="L123" s="48">
        <v>7973</v>
      </c>
      <c r="N123" s="415" t="s">
        <v>5979</v>
      </c>
      <c r="P123" s="4"/>
      <c r="R123" s="4"/>
    </row>
    <row r="124" spans="1:18">
      <c r="A124" s="415" t="s">
        <v>7005</v>
      </c>
      <c r="B124" s="415" t="s">
        <v>2442</v>
      </c>
      <c r="C124" s="4" t="s">
        <v>7404</v>
      </c>
      <c r="D124" s="418">
        <v>8750</v>
      </c>
      <c r="E124" s="418">
        <v>8576</v>
      </c>
      <c r="F124" s="418">
        <v>8663</v>
      </c>
      <c r="G124" s="418">
        <v>8673</v>
      </c>
      <c r="H124" s="48">
        <v>8588</v>
      </c>
      <c r="I124" s="48">
        <v>8549</v>
      </c>
      <c r="J124" s="48">
        <v>8439</v>
      </c>
      <c r="K124" s="48">
        <v>8663</v>
      </c>
      <c r="L124" s="48">
        <v>8775</v>
      </c>
      <c r="N124" s="415" t="s">
        <v>5979</v>
      </c>
      <c r="P124" s="4"/>
      <c r="R124" s="4"/>
    </row>
    <row r="125" spans="1:18">
      <c r="A125" s="415" t="s">
        <v>7007</v>
      </c>
      <c r="B125" s="415" t="s">
        <v>6108</v>
      </c>
      <c r="C125" s="4" t="s">
        <v>7405</v>
      </c>
      <c r="D125" s="418">
        <v>8541</v>
      </c>
      <c r="E125" s="418">
        <v>8503</v>
      </c>
      <c r="F125" s="418">
        <v>8551</v>
      </c>
      <c r="G125" s="418">
        <v>8422</v>
      </c>
      <c r="H125" s="48">
        <v>8308</v>
      </c>
      <c r="I125" s="48">
        <v>8151</v>
      </c>
      <c r="J125" s="48">
        <v>8048</v>
      </c>
      <c r="K125" s="48">
        <v>8191</v>
      </c>
      <c r="L125" s="48">
        <v>8264</v>
      </c>
      <c r="N125" s="415" t="s">
        <v>5973</v>
      </c>
      <c r="P125" s="4"/>
      <c r="R125" s="4"/>
    </row>
    <row r="126" spans="1:18">
      <c r="A126" s="415" t="s">
        <v>7009</v>
      </c>
      <c r="B126" s="415" t="s">
        <v>7910</v>
      </c>
      <c r="C126" s="4" t="s">
        <v>7406</v>
      </c>
      <c r="D126" s="418">
        <v>8743</v>
      </c>
      <c r="E126" s="418">
        <v>8535</v>
      </c>
      <c r="F126" s="418">
        <v>8735</v>
      </c>
      <c r="G126" s="418">
        <v>8805</v>
      </c>
      <c r="H126" s="48">
        <v>8716</v>
      </c>
      <c r="I126" s="48">
        <v>8528</v>
      </c>
      <c r="J126" s="48">
        <v>8567</v>
      </c>
      <c r="K126" s="48">
        <v>8798</v>
      </c>
      <c r="L126" s="48">
        <v>8850</v>
      </c>
      <c r="N126" s="415" t="s">
        <v>5973</v>
      </c>
      <c r="P126" s="4"/>
      <c r="R126" s="4"/>
    </row>
    <row r="127" spans="1:18">
      <c r="A127" s="415" t="s">
        <v>7011</v>
      </c>
      <c r="B127" s="415" t="s">
        <v>7911</v>
      </c>
      <c r="C127" s="4" t="s">
        <v>7407</v>
      </c>
      <c r="D127" s="418">
        <v>9590</v>
      </c>
      <c r="E127" s="418">
        <v>9366</v>
      </c>
      <c r="F127" s="418">
        <v>9426</v>
      </c>
      <c r="G127" s="418">
        <v>9503</v>
      </c>
      <c r="H127" s="48">
        <v>9425</v>
      </c>
      <c r="I127" s="48">
        <v>9123</v>
      </c>
      <c r="J127" s="48">
        <v>9125</v>
      </c>
      <c r="K127" s="48">
        <v>9336</v>
      </c>
      <c r="L127" s="48">
        <v>9460</v>
      </c>
      <c r="N127" s="415" t="s">
        <v>5979</v>
      </c>
      <c r="P127" s="4"/>
      <c r="R127" s="4"/>
    </row>
    <row r="128" spans="1:18">
      <c r="A128" s="415" t="s">
        <v>7013</v>
      </c>
      <c r="B128" s="415" t="s">
        <v>7912</v>
      </c>
      <c r="C128" s="4" t="s">
        <v>7408</v>
      </c>
      <c r="D128" s="422">
        <v>8286</v>
      </c>
      <c r="E128" s="422">
        <v>8208</v>
      </c>
      <c r="F128" s="422">
        <v>8382</v>
      </c>
      <c r="G128" s="422">
        <v>8467</v>
      </c>
      <c r="H128" s="48">
        <v>8465</v>
      </c>
      <c r="I128" s="48">
        <v>8300</v>
      </c>
      <c r="J128" s="48">
        <v>8198</v>
      </c>
      <c r="K128" s="48">
        <v>8458</v>
      </c>
      <c r="L128" s="48">
        <v>8533</v>
      </c>
      <c r="N128" s="415" t="s">
        <v>5979</v>
      </c>
      <c r="P128" s="4"/>
      <c r="R128" s="4"/>
    </row>
    <row r="129" spans="1:18">
      <c r="A129" s="415" t="s">
        <v>7015</v>
      </c>
      <c r="B129" s="415" t="s">
        <v>7913</v>
      </c>
      <c r="C129" s="4" t="s">
        <v>7409</v>
      </c>
      <c r="D129" s="418">
        <v>8704</v>
      </c>
      <c r="E129" s="418">
        <v>8314</v>
      </c>
      <c r="F129" s="418">
        <v>8724</v>
      </c>
      <c r="G129" s="418">
        <v>8836</v>
      </c>
      <c r="H129" s="48">
        <v>8515</v>
      </c>
      <c r="I129" s="48">
        <v>8288</v>
      </c>
      <c r="J129" s="48">
        <v>8582</v>
      </c>
      <c r="K129" s="48">
        <v>8846</v>
      </c>
      <c r="L129" s="48">
        <v>8949</v>
      </c>
      <c r="N129" s="415" t="s">
        <v>5973</v>
      </c>
      <c r="P129" s="4"/>
      <c r="R129" s="4"/>
    </row>
    <row r="130" spans="1:18">
      <c r="A130" s="415" t="s">
        <v>7017</v>
      </c>
      <c r="B130" s="415" t="s">
        <v>4381</v>
      </c>
      <c r="C130" s="4" t="s">
        <v>7410</v>
      </c>
      <c r="D130" s="422">
        <v>8715</v>
      </c>
      <c r="E130" s="422">
        <v>8449</v>
      </c>
      <c r="F130" s="422">
        <v>8551</v>
      </c>
      <c r="G130" s="422">
        <v>8618</v>
      </c>
      <c r="H130" s="48">
        <v>8525</v>
      </c>
      <c r="I130" s="48">
        <v>8298</v>
      </c>
      <c r="J130" s="48">
        <v>8242</v>
      </c>
      <c r="K130" s="48">
        <v>8476</v>
      </c>
      <c r="L130" s="48">
        <v>8432</v>
      </c>
      <c r="N130" s="415" t="s">
        <v>5979</v>
      </c>
      <c r="P130" s="4"/>
      <c r="R130" s="4"/>
    </row>
    <row r="131" spans="1:18">
      <c r="A131" s="415" t="s">
        <v>7019</v>
      </c>
      <c r="B131" s="415" t="s">
        <v>3922</v>
      </c>
      <c r="C131" s="4" t="s">
        <v>7411</v>
      </c>
      <c r="D131" s="419">
        <v>8390</v>
      </c>
      <c r="E131" s="419">
        <v>8329</v>
      </c>
      <c r="F131" s="419">
        <v>8477</v>
      </c>
      <c r="G131" s="419">
        <v>8402</v>
      </c>
      <c r="H131" s="48">
        <v>8253</v>
      </c>
      <c r="I131" s="48">
        <v>8220</v>
      </c>
      <c r="J131" s="48">
        <v>8367</v>
      </c>
      <c r="K131" s="48">
        <v>8722</v>
      </c>
      <c r="L131" s="48">
        <v>8803</v>
      </c>
      <c r="N131" s="415" t="s">
        <v>5979</v>
      </c>
      <c r="P131" s="4"/>
      <c r="R131" s="4"/>
    </row>
    <row r="132" spans="1:18">
      <c r="D132" s="419"/>
      <c r="E132" s="419"/>
      <c r="F132" s="419"/>
      <c r="G132" s="419"/>
      <c r="H132" s="419"/>
      <c r="I132" s="419"/>
      <c r="J132" s="419"/>
      <c r="K132" s="419"/>
      <c r="L132" s="419"/>
    </row>
    <row r="133" spans="1:18">
      <c r="A133" s="415" t="s">
        <v>5973</v>
      </c>
      <c r="D133" s="418">
        <f t="shared" ref="D133:I133" si="124">SUM(D115:D119)+D121+D125+D126+D129</f>
        <v>77069</v>
      </c>
      <c r="E133" s="418">
        <f t="shared" si="124"/>
        <v>76041</v>
      </c>
      <c r="F133" s="418">
        <f t="shared" si="124"/>
        <v>77224</v>
      </c>
      <c r="G133" s="418">
        <f t="shared" si="124"/>
        <v>77167</v>
      </c>
      <c r="H133" s="418">
        <f t="shared" si="124"/>
        <v>76538</v>
      </c>
      <c r="I133" s="418">
        <f t="shared" si="124"/>
        <v>75049</v>
      </c>
      <c r="J133" s="418">
        <f t="shared" ref="J133:K133" si="125">SUM(J115:J119)+J121+J125+J126+J129</f>
        <v>75059</v>
      </c>
      <c r="K133" s="418">
        <f t="shared" si="125"/>
        <v>76876</v>
      </c>
      <c r="L133" s="418">
        <f t="shared" ref="L133" si="126">SUM(L115:L119)+L121+L125+L126+L129</f>
        <v>77674</v>
      </c>
    </row>
    <row r="134" spans="1:18">
      <c r="A134" s="415" t="s">
        <v>5979</v>
      </c>
      <c r="D134" s="418">
        <f t="shared" ref="D134:I134" si="127">D120+SUM(D122:D124)+D127+D128+D130+D131</f>
        <v>70622</v>
      </c>
      <c r="E134" s="418">
        <f t="shared" si="127"/>
        <v>69126</v>
      </c>
      <c r="F134" s="418">
        <f t="shared" si="127"/>
        <v>69990</v>
      </c>
      <c r="G134" s="418">
        <f t="shared" si="127"/>
        <v>69986</v>
      </c>
      <c r="H134" s="418">
        <f t="shared" si="127"/>
        <v>69164</v>
      </c>
      <c r="I134" s="418">
        <f t="shared" si="127"/>
        <v>67923</v>
      </c>
      <c r="J134" s="418">
        <f t="shared" ref="J134:K134" si="128">J120+SUM(J122:J124)+J127+J128+J130+J131</f>
        <v>67805</v>
      </c>
      <c r="K134" s="418">
        <f t="shared" si="128"/>
        <v>69620</v>
      </c>
      <c r="L134" s="418">
        <f t="shared" ref="L134" si="129">L120+SUM(L122:L124)+L127+L128+L130+L131</f>
        <v>69960</v>
      </c>
    </row>
    <row r="135" spans="1:18">
      <c r="A135" s="415"/>
      <c r="D135" s="418"/>
      <c r="E135" s="418"/>
      <c r="F135" s="418"/>
      <c r="G135" s="418"/>
      <c r="H135" s="418"/>
      <c r="I135" s="418"/>
      <c r="J135" s="418"/>
      <c r="K135" s="418"/>
      <c r="L135" s="418"/>
    </row>
    <row r="136" spans="1:18">
      <c r="A136" s="415" t="s">
        <v>7914</v>
      </c>
      <c r="D136" s="418"/>
      <c r="E136" s="418"/>
      <c r="F136" s="418"/>
      <c r="G136" s="418"/>
      <c r="H136" s="418"/>
      <c r="I136" s="418"/>
      <c r="J136" s="418"/>
      <c r="K136" s="418"/>
      <c r="L136" s="418"/>
    </row>
    <row r="137" spans="1:18">
      <c r="A137" s="415"/>
      <c r="B137" s="415"/>
      <c r="D137" s="425"/>
      <c r="E137" s="425"/>
      <c r="F137" s="425"/>
      <c r="G137" s="425"/>
      <c r="H137" s="425"/>
      <c r="I137" s="425"/>
      <c r="J137" s="425"/>
      <c r="K137" s="425"/>
      <c r="L137" s="425"/>
    </row>
    <row r="138" spans="1:18">
      <c r="A138" s="415"/>
      <c r="B138" s="415"/>
      <c r="D138" s="425"/>
      <c r="E138" s="425"/>
      <c r="F138" s="425"/>
      <c r="G138" s="425"/>
      <c r="H138" s="425"/>
      <c r="I138" s="425"/>
      <c r="J138" s="425"/>
      <c r="K138" s="425"/>
      <c r="L138" s="425"/>
    </row>
    <row r="139" spans="1:18">
      <c r="E139" s="42" t="s">
        <v>2303</v>
      </c>
      <c r="F139" s="42"/>
      <c r="G139" s="42"/>
      <c r="H139" s="42"/>
      <c r="I139" s="42"/>
      <c r="J139" s="42"/>
      <c r="K139" s="42"/>
      <c r="L139" s="42"/>
      <c r="M139" s="43"/>
      <c r="N139" s="43" t="s">
        <v>13319</v>
      </c>
    </row>
    <row r="140" spans="1:18">
      <c r="D140" s="417">
        <v>2010</v>
      </c>
      <c r="E140" s="417">
        <v>2011</v>
      </c>
      <c r="F140" s="417">
        <v>2012</v>
      </c>
      <c r="G140" s="417">
        <v>2013</v>
      </c>
      <c r="H140" s="417">
        <v>2014</v>
      </c>
      <c r="I140" s="417">
        <v>2015</v>
      </c>
      <c r="J140" s="417">
        <v>2016</v>
      </c>
      <c r="K140" s="417">
        <v>2017</v>
      </c>
      <c r="L140" s="417">
        <v>2018</v>
      </c>
      <c r="N140" s="44" t="s">
        <v>2304</v>
      </c>
    </row>
    <row r="141" spans="1:18">
      <c r="A141" s="415" t="s">
        <v>7915</v>
      </c>
      <c r="D141" s="418">
        <f>SUM(D142:D162)+SUM(D164:D167)</f>
        <v>301360</v>
      </c>
      <c r="E141" s="418">
        <f t="shared" ref="E141:H141" si="130">SUM(E142:E162)+SUM(E164:E167)</f>
        <v>304578</v>
      </c>
      <c r="F141" s="418">
        <f t="shared" si="130"/>
        <v>307626</v>
      </c>
      <c r="G141" s="418">
        <f t="shared" si="130"/>
        <v>308896</v>
      </c>
      <c r="H141" s="418">
        <f t="shared" si="130"/>
        <v>308557</v>
      </c>
      <c r="I141" s="418">
        <f t="shared" ref="I141:J141" si="131">SUM(I142:I162)+SUM(I164:I167)</f>
        <v>296481</v>
      </c>
      <c r="J141" s="418">
        <f t="shared" si="131"/>
        <v>295405</v>
      </c>
      <c r="K141" s="418">
        <f t="shared" ref="K141:L141" si="132">SUM(K142:K162)+SUM(K164:K167)</f>
        <v>306707</v>
      </c>
      <c r="L141" s="418">
        <f t="shared" si="132"/>
        <v>302980</v>
      </c>
    </row>
    <row r="142" spans="1:18">
      <c r="A142" s="426">
        <v>1</v>
      </c>
      <c r="B142" s="415" t="s">
        <v>7916</v>
      </c>
      <c r="C142" s="4" t="s">
        <v>13086</v>
      </c>
      <c r="D142" s="418">
        <v>13390</v>
      </c>
      <c r="E142" s="418">
        <v>13488</v>
      </c>
      <c r="F142" s="418">
        <v>13741</v>
      </c>
      <c r="G142" s="418">
        <v>13798</v>
      </c>
      <c r="H142" s="48">
        <v>13839</v>
      </c>
      <c r="I142" s="31">
        <v>13359</v>
      </c>
      <c r="J142" s="31">
        <v>13363</v>
      </c>
      <c r="K142" s="31">
        <v>13671</v>
      </c>
      <c r="L142" s="31">
        <v>13411</v>
      </c>
      <c r="N142" s="415" t="s">
        <v>7844</v>
      </c>
      <c r="P142" s="4"/>
      <c r="R142" s="4"/>
    </row>
    <row r="143" spans="1:18">
      <c r="A143" s="415" t="s">
        <v>6959</v>
      </c>
      <c r="B143" s="415" t="s">
        <v>7917</v>
      </c>
      <c r="C143" s="4" t="s">
        <v>7412</v>
      </c>
      <c r="D143" s="418">
        <v>13303</v>
      </c>
      <c r="E143" s="418">
        <v>13541</v>
      </c>
      <c r="F143" s="418">
        <v>13620</v>
      </c>
      <c r="G143" s="418">
        <v>13595</v>
      </c>
      <c r="H143" s="48">
        <v>13451</v>
      </c>
      <c r="I143" s="31">
        <v>12987</v>
      </c>
      <c r="J143" s="31">
        <v>12980</v>
      </c>
      <c r="K143" s="31">
        <v>13600</v>
      </c>
      <c r="L143" s="31">
        <v>13300</v>
      </c>
      <c r="N143" s="415" t="s">
        <v>7844</v>
      </c>
      <c r="P143" s="4"/>
      <c r="R143" s="4"/>
    </row>
    <row r="144" spans="1:18">
      <c r="A144" s="415" t="s">
        <v>6961</v>
      </c>
      <c r="B144" s="415" t="s">
        <v>7918</v>
      </c>
      <c r="C144" s="4" t="s">
        <v>7413</v>
      </c>
      <c r="D144" s="418">
        <v>12622</v>
      </c>
      <c r="E144" s="418">
        <v>12671</v>
      </c>
      <c r="F144" s="418">
        <v>12872</v>
      </c>
      <c r="G144" s="418">
        <v>12846</v>
      </c>
      <c r="H144" s="48">
        <v>12687</v>
      </c>
      <c r="I144" s="30">
        <v>12190</v>
      </c>
      <c r="J144" s="30">
        <v>12092</v>
      </c>
      <c r="K144" s="30">
        <v>12747</v>
      </c>
      <c r="L144" s="30">
        <v>12676</v>
      </c>
      <c r="N144" s="415" t="s">
        <v>5967</v>
      </c>
      <c r="P144" s="4"/>
      <c r="R144" s="4"/>
    </row>
    <row r="145" spans="1:18">
      <c r="A145" s="415" t="s">
        <v>6963</v>
      </c>
      <c r="B145" s="415" t="s">
        <v>7919</v>
      </c>
      <c r="C145" s="4" t="s">
        <v>7414</v>
      </c>
      <c r="D145" s="418">
        <v>12877</v>
      </c>
      <c r="E145" s="418">
        <v>13075</v>
      </c>
      <c r="F145" s="418">
        <v>13086</v>
      </c>
      <c r="G145" s="418">
        <v>13181</v>
      </c>
      <c r="H145" s="48">
        <v>13297</v>
      </c>
      <c r="I145" s="30">
        <v>12870</v>
      </c>
      <c r="J145" s="30">
        <v>12663</v>
      </c>
      <c r="K145" s="30">
        <v>13219</v>
      </c>
      <c r="L145" s="30">
        <v>13197</v>
      </c>
      <c r="N145" s="415" t="s">
        <v>5967</v>
      </c>
      <c r="P145" s="4"/>
      <c r="R145" s="4"/>
    </row>
    <row r="146" spans="1:18">
      <c r="A146" s="415" t="s">
        <v>6965</v>
      </c>
      <c r="B146" s="415" t="s">
        <v>7920</v>
      </c>
      <c r="C146" s="4" t="s">
        <v>7415</v>
      </c>
      <c r="D146" s="418">
        <v>12395</v>
      </c>
      <c r="E146" s="418">
        <v>12521</v>
      </c>
      <c r="F146" s="418">
        <v>12595</v>
      </c>
      <c r="G146" s="418">
        <v>12708</v>
      </c>
      <c r="H146" s="48">
        <v>12741</v>
      </c>
      <c r="I146" s="30">
        <v>12361</v>
      </c>
      <c r="J146" s="30">
        <v>12155</v>
      </c>
      <c r="K146" s="30">
        <v>12618</v>
      </c>
      <c r="L146" s="30">
        <v>12453</v>
      </c>
      <c r="N146" s="415" t="s">
        <v>5967</v>
      </c>
      <c r="P146" s="4"/>
      <c r="R146" s="4"/>
    </row>
    <row r="147" spans="1:18">
      <c r="A147" s="415" t="s">
        <v>6997</v>
      </c>
      <c r="B147" s="415" t="s">
        <v>7921</v>
      </c>
      <c r="C147" s="4" t="s">
        <v>7416</v>
      </c>
      <c r="D147" s="418">
        <v>12579</v>
      </c>
      <c r="E147" s="418">
        <v>12846</v>
      </c>
      <c r="F147" s="418">
        <v>12984</v>
      </c>
      <c r="G147" s="418">
        <v>13006</v>
      </c>
      <c r="H147" s="48">
        <v>13118</v>
      </c>
      <c r="I147" s="30">
        <v>12924</v>
      </c>
      <c r="J147" s="30">
        <v>12719</v>
      </c>
      <c r="K147" s="30">
        <v>13132</v>
      </c>
      <c r="L147" s="30">
        <v>12828</v>
      </c>
      <c r="N147" s="415" t="s">
        <v>5967</v>
      </c>
      <c r="P147" s="4"/>
      <c r="R147" s="4"/>
    </row>
    <row r="148" spans="1:18">
      <c r="A148" s="415" t="s">
        <v>6999</v>
      </c>
      <c r="B148" s="415" t="s">
        <v>7922</v>
      </c>
      <c r="C148" s="4" t="s">
        <v>13087</v>
      </c>
      <c r="D148" s="418">
        <v>13024</v>
      </c>
      <c r="E148" s="418">
        <v>13256</v>
      </c>
      <c r="F148" s="418">
        <v>13440</v>
      </c>
      <c r="G148" s="418">
        <v>13494</v>
      </c>
      <c r="H148" s="48">
        <v>13588</v>
      </c>
      <c r="I148" s="30">
        <v>13190</v>
      </c>
      <c r="J148" s="30">
        <v>13093</v>
      </c>
      <c r="K148" s="30">
        <v>13530</v>
      </c>
      <c r="L148" s="30">
        <v>13385</v>
      </c>
      <c r="N148" s="415" t="s">
        <v>5975</v>
      </c>
      <c r="P148" s="4"/>
      <c r="R148" s="4"/>
    </row>
    <row r="149" spans="1:18">
      <c r="A149" s="415" t="s">
        <v>7001</v>
      </c>
      <c r="B149" s="415" t="s">
        <v>7923</v>
      </c>
      <c r="C149" s="4" t="s">
        <v>13088</v>
      </c>
      <c r="D149" s="418">
        <v>12869</v>
      </c>
      <c r="E149" s="418">
        <v>13017</v>
      </c>
      <c r="F149" s="418">
        <v>13137</v>
      </c>
      <c r="G149" s="418">
        <v>13249</v>
      </c>
      <c r="H149" s="48">
        <v>13173</v>
      </c>
      <c r="I149" s="30">
        <v>12651</v>
      </c>
      <c r="J149" s="30">
        <v>12481</v>
      </c>
      <c r="K149" s="30">
        <v>12919</v>
      </c>
      <c r="L149" s="30">
        <v>12701</v>
      </c>
      <c r="N149" s="415" t="s">
        <v>5975</v>
      </c>
      <c r="P149" s="4"/>
      <c r="R149" s="4"/>
    </row>
    <row r="150" spans="1:18">
      <c r="A150" s="415" t="s">
        <v>7003</v>
      </c>
      <c r="B150" s="415" t="s">
        <v>4661</v>
      </c>
      <c r="C150" s="4" t="s">
        <v>7417</v>
      </c>
      <c r="D150" s="418">
        <v>12744</v>
      </c>
      <c r="E150" s="418">
        <v>12650</v>
      </c>
      <c r="F150" s="418">
        <v>12776</v>
      </c>
      <c r="G150" s="418">
        <v>12813</v>
      </c>
      <c r="H150" s="48">
        <v>12716</v>
      </c>
      <c r="I150" s="31">
        <v>12110</v>
      </c>
      <c r="J150" s="31">
        <v>12034</v>
      </c>
      <c r="K150" s="31">
        <v>12508</v>
      </c>
      <c r="L150" s="31">
        <v>12345</v>
      </c>
      <c r="N150" s="415" t="s">
        <v>7844</v>
      </c>
      <c r="P150" s="4"/>
      <c r="R150" s="4"/>
    </row>
    <row r="151" spans="1:18">
      <c r="A151" s="415" t="s">
        <v>7005</v>
      </c>
      <c r="B151" s="415" t="s">
        <v>7924</v>
      </c>
      <c r="C151" s="4" t="s">
        <v>7418</v>
      </c>
      <c r="D151" s="418">
        <v>12506</v>
      </c>
      <c r="E151" s="418">
        <v>12692</v>
      </c>
      <c r="F151" s="418">
        <v>12814</v>
      </c>
      <c r="G151" s="418">
        <v>12864</v>
      </c>
      <c r="H151" s="48">
        <v>12846</v>
      </c>
      <c r="I151" s="30">
        <v>12594</v>
      </c>
      <c r="J151" s="30">
        <v>12647</v>
      </c>
      <c r="K151" s="30">
        <v>13127</v>
      </c>
      <c r="L151" s="30">
        <v>12936</v>
      </c>
      <c r="N151" s="415" t="s">
        <v>5976</v>
      </c>
      <c r="P151" s="4"/>
      <c r="R151" s="4"/>
    </row>
    <row r="152" spans="1:18">
      <c r="A152" s="415" t="s">
        <v>7007</v>
      </c>
      <c r="B152" s="415" t="s">
        <v>7925</v>
      </c>
      <c r="C152" s="4" t="s">
        <v>7419</v>
      </c>
      <c r="D152" s="422">
        <v>13280</v>
      </c>
      <c r="E152" s="422">
        <v>13439</v>
      </c>
      <c r="F152" s="422">
        <v>13446</v>
      </c>
      <c r="G152" s="422">
        <v>13567</v>
      </c>
      <c r="H152" s="48">
        <v>13505</v>
      </c>
      <c r="I152" s="30">
        <v>12984</v>
      </c>
      <c r="J152" s="30">
        <v>12811</v>
      </c>
      <c r="K152" s="30">
        <v>13352</v>
      </c>
      <c r="L152" s="30">
        <v>13410</v>
      </c>
      <c r="N152" s="415" t="s">
        <v>5976</v>
      </c>
      <c r="P152" s="4"/>
      <c r="R152" s="4"/>
    </row>
    <row r="153" spans="1:18">
      <c r="A153" s="415" t="s">
        <v>7009</v>
      </c>
      <c r="B153" s="415" t="s">
        <v>7926</v>
      </c>
      <c r="C153" s="4" t="s">
        <v>7420</v>
      </c>
      <c r="D153" s="418">
        <v>12657</v>
      </c>
      <c r="E153" s="418">
        <v>12864</v>
      </c>
      <c r="F153" s="418">
        <v>13037</v>
      </c>
      <c r="G153" s="418">
        <v>13133</v>
      </c>
      <c r="H153" s="48">
        <v>13024</v>
      </c>
      <c r="I153" s="31">
        <v>12799</v>
      </c>
      <c r="J153" s="31">
        <v>12662</v>
      </c>
      <c r="K153" s="31">
        <v>13088</v>
      </c>
      <c r="L153" s="31">
        <v>12940</v>
      </c>
      <c r="N153" s="415" t="s">
        <v>5976</v>
      </c>
      <c r="P153" s="4"/>
      <c r="R153" s="4"/>
    </row>
    <row r="154" spans="1:18">
      <c r="A154" s="415" t="s">
        <v>7011</v>
      </c>
      <c r="B154" s="415" t="s">
        <v>7927</v>
      </c>
      <c r="C154" s="4" t="s">
        <v>7421</v>
      </c>
      <c r="D154" s="422">
        <v>12491</v>
      </c>
      <c r="E154" s="422">
        <v>12720</v>
      </c>
      <c r="F154" s="422">
        <v>12902</v>
      </c>
      <c r="G154" s="422">
        <v>13075</v>
      </c>
      <c r="H154" s="48">
        <v>13083</v>
      </c>
      <c r="I154" s="31">
        <v>12498</v>
      </c>
      <c r="J154" s="31">
        <v>12347</v>
      </c>
      <c r="K154" s="31">
        <v>12979</v>
      </c>
      <c r="L154" s="31">
        <v>12745</v>
      </c>
      <c r="N154" s="415" t="s">
        <v>5976</v>
      </c>
      <c r="P154" s="4"/>
      <c r="R154" s="4"/>
    </row>
    <row r="155" spans="1:18">
      <c r="A155" s="415" t="s">
        <v>7013</v>
      </c>
      <c r="B155" s="415" t="s">
        <v>7928</v>
      </c>
      <c r="C155" s="4" t="s">
        <v>7422</v>
      </c>
      <c r="D155" s="418">
        <v>13421</v>
      </c>
      <c r="E155" s="418">
        <v>13548</v>
      </c>
      <c r="F155" s="418">
        <v>13649</v>
      </c>
      <c r="G155" s="418">
        <v>13664</v>
      </c>
      <c r="H155" s="48">
        <v>13608</v>
      </c>
      <c r="I155" s="30">
        <v>13177</v>
      </c>
      <c r="J155" s="30">
        <v>13141</v>
      </c>
      <c r="K155" s="30">
        <v>13673</v>
      </c>
      <c r="L155" s="30">
        <v>13464</v>
      </c>
      <c r="N155" s="415" t="s">
        <v>5975</v>
      </c>
      <c r="P155" s="4"/>
      <c r="R155" s="4"/>
    </row>
    <row r="156" spans="1:18">
      <c r="A156" s="415" t="s">
        <v>7015</v>
      </c>
      <c r="B156" s="415" t="s">
        <v>7929</v>
      </c>
      <c r="C156" s="4" t="s">
        <v>7423</v>
      </c>
      <c r="D156" s="422">
        <v>13268</v>
      </c>
      <c r="E156" s="422">
        <v>13487</v>
      </c>
      <c r="F156" s="422">
        <v>13699</v>
      </c>
      <c r="G156" s="422">
        <v>13686</v>
      </c>
      <c r="H156" s="48">
        <v>13467</v>
      </c>
      <c r="I156" s="31">
        <v>12616</v>
      </c>
      <c r="J156" s="31">
        <v>12595</v>
      </c>
      <c r="K156" s="31">
        <v>13239</v>
      </c>
      <c r="L156" s="31">
        <v>12990</v>
      </c>
      <c r="N156" s="415" t="s">
        <v>7844</v>
      </c>
      <c r="P156" s="4"/>
      <c r="R156" s="4"/>
    </row>
    <row r="157" spans="1:18">
      <c r="A157" s="415" t="s">
        <v>7017</v>
      </c>
      <c r="B157" s="415" t="s">
        <v>7930</v>
      </c>
      <c r="C157" s="4" t="s">
        <v>7424</v>
      </c>
      <c r="D157" s="418">
        <v>12509</v>
      </c>
      <c r="E157" s="418">
        <v>12653</v>
      </c>
      <c r="F157" s="418">
        <v>12888</v>
      </c>
      <c r="G157" s="418">
        <v>12957</v>
      </c>
      <c r="H157" s="48">
        <v>13019</v>
      </c>
      <c r="I157" s="30">
        <v>12873</v>
      </c>
      <c r="J157" s="30">
        <v>12803</v>
      </c>
      <c r="K157" s="30">
        <v>13314</v>
      </c>
      <c r="L157" s="30">
        <v>13143</v>
      </c>
      <c r="N157" s="415" t="s">
        <v>5967</v>
      </c>
      <c r="P157" s="4"/>
      <c r="R157" s="4"/>
    </row>
    <row r="158" spans="1:18">
      <c r="A158" s="415" t="s">
        <v>7019</v>
      </c>
      <c r="B158" s="415" t="s">
        <v>6145</v>
      </c>
      <c r="C158" s="4" t="s">
        <v>13089</v>
      </c>
      <c r="D158" s="418">
        <v>12869</v>
      </c>
      <c r="E158" s="418">
        <v>12694</v>
      </c>
      <c r="F158" s="418">
        <v>12781</v>
      </c>
      <c r="G158" s="418">
        <v>12836</v>
      </c>
      <c r="H158" s="48">
        <v>12860</v>
      </c>
      <c r="I158" s="30">
        <v>12603</v>
      </c>
      <c r="J158" s="30">
        <v>12677</v>
      </c>
      <c r="K158" s="30">
        <v>13035</v>
      </c>
      <c r="L158" s="30">
        <v>12978</v>
      </c>
      <c r="N158" s="415" t="s">
        <v>5975</v>
      </c>
      <c r="P158" s="4"/>
      <c r="R158" s="4"/>
    </row>
    <row r="159" spans="1:18">
      <c r="A159" s="415" t="s">
        <v>7021</v>
      </c>
      <c r="B159" s="415" t="s">
        <v>6146</v>
      </c>
      <c r="C159" s="4" t="s">
        <v>7425</v>
      </c>
      <c r="D159" s="418">
        <v>14064</v>
      </c>
      <c r="E159" s="418">
        <v>14358</v>
      </c>
      <c r="F159" s="418">
        <v>14504</v>
      </c>
      <c r="G159" s="418">
        <v>14553</v>
      </c>
      <c r="H159" s="48">
        <v>14584</v>
      </c>
      <c r="I159" s="30">
        <v>14296</v>
      </c>
      <c r="J159" s="30">
        <v>14345</v>
      </c>
      <c r="K159" s="30">
        <v>14822</v>
      </c>
      <c r="L159" s="30">
        <v>14784</v>
      </c>
      <c r="N159" s="415" t="s">
        <v>5975</v>
      </c>
      <c r="P159" s="4"/>
      <c r="R159" s="4"/>
    </row>
    <row r="160" spans="1:18">
      <c r="A160" s="415" t="s">
        <v>7023</v>
      </c>
      <c r="B160" s="415" t="s">
        <v>6147</v>
      </c>
      <c r="C160" s="4" t="s">
        <v>13090</v>
      </c>
      <c r="D160" s="418">
        <v>0</v>
      </c>
      <c r="E160" s="418">
        <v>0</v>
      </c>
      <c r="F160" s="418">
        <v>0</v>
      </c>
      <c r="G160" s="418">
        <v>0</v>
      </c>
      <c r="H160" s="48">
        <v>71</v>
      </c>
      <c r="I160" s="30">
        <v>70</v>
      </c>
      <c r="J160" s="30">
        <v>67</v>
      </c>
      <c r="K160" s="30">
        <v>68</v>
      </c>
      <c r="L160" s="30">
        <v>71</v>
      </c>
      <c r="N160" s="415" t="s">
        <v>5975</v>
      </c>
      <c r="P160" s="4"/>
      <c r="R160" s="4"/>
    </row>
    <row r="161" spans="1:18">
      <c r="A161" s="415"/>
      <c r="B161" s="415"/>
      <c r="C161" s="4" t="s">
        <v>13090</v>
      </c>
      <c r="D161" s="418">
        <v>12760</v>
      </c>
      <c r="E161" s="418">
        <v>12861</v>
      </c>
      <c r="F161" s="418">
        <v>13026</v>
      </c>
      <c r="G161" s="418">
        <v>13072</v>
      </c>
      <c r="H161" s="48">
        <v>13007</v>
      </c>
      <c r="I161" s="31">
        <v>11623</v>
      </c>
      <c r="J161" s="31">
        <v>11614</v>
      </c>
      <c r="K161" s="31">
        <v>11924</v>
      </c>
      <c r="L161" s="31">
        <v>11846</v>
      </c>
      <c r="N161" s="415" t="s">
        <v>5976</v>
      </c>
      <c r="P161" s="4"/>
      <c r="R161" s="4"/>
    </row>
    <row r="162" spans="1:18" ht="15.75" thickBot="1">
      <c r="A162" s="415"/>
      <c r="B162" s="415"/>
      <c r="C162" s="4" t="s">
        <v>13090</v>
      </c>
      <c r="D162" s="421">
        <v>0</v>
      </c>
      <c r="E162" s="421">
        <v>0</v>
      </c>
      <c r="F162" s="421">
        <v>0</v>
      </c>
      <c r="G162" s="421">
        <v>0</v>
      </c>
      <c r="H162" s="48">
        <v>33</v>
      </c>
      <c r="I162" s="31">
        <v>30</v>
      </c>
      <c r="J162" s="31">
        <v>35</v>
      </c>
      <c r="K162" s="31">
        <v>37</v>
      </c>
      <c r="L162" s="31">
        <v>36</v>
      </c>
      <c r="N162" s="415" t="s">
        <v>7844</v>
      </c>
      <c r="P162" s="4"/>
      <c r="R162" s="4"/>
    </row>
    <row r="163" spans="1:18" ht="15.75" thickBot="1">
      <c r="A163" s="415"/>
      <c r="B163" s="415"/>
      <c r="C163" s="4" t="s">
        <v>13090</v>
      </c>
      <c r="D163" s="412">
        <f>SUM(D160:D162)</f>
        <v>12760</v>
      </c>
      <c r="E163" s="412">
        <f t="shared" ref="E163:L163" si="133">SUM(E160:E162)</f>
        <v>12861</v>
      </c>
      <c r="F163" s="412">
        <f t="shared" si="133"/>
        <v>13026</v>
      </c>
      <c r="G163" s="412">
        <f t="shared" si="133"/>
        <v>13072</v>
      </c>
      <c r="H163" s="412">
        <f t="shared" si="133"/>
        <v>13111</v>
      </c>
      <c r="I163" s="412">
        <f t="shared" si="133"/>
        <v>11723</v>
      </c>
      <c r="J163" s="412">
        <f t="shared" si="133"/>
        <v>11716</v>
      </c>
      <c r="K163" s="412">
        <f t="shared" si="133"/>
        <v>12029</v>
      </c>
      <c r="L163" s="412">
        <f t="shared" si="133"/>
        <v>11953</v>
      </c>
      <c r="N163" s="415"/>
      <c r="P163" s="4"/>
      <c r="R163" s="4"/>
    </row>
    <row r="164" spans="1:18">
      <c r="A164" s="415" t="s">
        <v>7025</v>
      </c>
      <c r="B164" s="415" t="s">
        <v>6176</v>
      </c>
      <c r="C164" s="4" t="s">
        <v>7426</v>
      </c>
      <c r="D164" s="418">
        <v>13678</v>
      </c>
      <c r="E164" s="418">
        <v>13918</v>
      </c>
      <c r="F164" s="418">
        <v>14103</v>
      </c>
      <c r="G164" s="418">
        <v>14165</v>
      </c>
      <c r="H164" s="48">
        <v>14300</v>
      </c>
      <c r="I164" s="30">
        <v>13957</v>
      </c>
      <c r="J164" s="30">
        <v>14175</v>
      </c>
      <c r="K164" s="30">
        <v>14618</v>
      </c>
      <c r="L164" s="30">
        <v>14614</v>
      </c>
      <c r="N164" s="415" t="s">
        <v>5975</v>
      </c>
      <c r="P164" s="4"/>
      <c r="R164" s="4"/>
    </row>
    <row r="165" spans="1:18">
      <c r="A165" s="415" t="s">
        <v>7570</v>
      </c>
      <c r="B165" s="415" t="s">
        <v>6177</v>
      </c>
      <c r="C165" s="4" t="s">
        <v>7427</v>
      </c>
      <c r="D165" s="418">
        <v>13637</v>
      </c>
      <c r="E165" s="418">
        <v>13706</v>
      </c>
      <c r="F165" s="418">
        <v>13800</v>
      </c>
      <c r="G165" s="418">
        <v>13878</v>
      </c>
      <c r="H165" s="48">
        <v>13891</v>
      </c>
      <c r="I165" s="30">
        <v>13476</v>
      </c>
      <c r="J165" s="30">
        <v>13529</v>
      </c>
      <c r="K165" s="30">
        <v>13949</v>
      </c>
      <c r="L165" s="30">
        <v>13716</v>
      </c>
      <c r="N165" s="415" t="s">
        <v>5967</v>
      </c>
      <c r="P165" s="4"/>
      <c r="R165" s="4"/>
    </row>
    <row r="166" spans="1:18">
      <c r="A166" s="415" t="s">
        <v>7572</v>
      </c>
      <c r="B166" s="415" t="s">
        <v>6178</v>
      </c>
      <c r="C166" s="4" t="s">
        <v>7428</v>
      </c>
      <c r="D166" s="418">
        <v>14916</v>
      </c>
      <c r="E166" s="418">
        <v>15058</v>
      </c>
      <c r="F166" s="418">
        <v>15119</v>
      </c>
      <c r="G166" s="418">
        <v>15288</v>
      </c>
      <c r="H166" s="48">
        <v>15355</v>
      </c>
      <c r="I166" s="31">
        <v>15027</v>
      </c>
      <c r="J166" s="31">
        <v>14984</v>
      </c>
      <c r="K166" s="31">
        <v>15548</v>
      </c>
      <c r="L166" s="31">
        <v>15342</v>
      </c>
      <c r="N166" s="415" t="s">
        <v>5976</v>
      </c>
      <c r="P166" s="4"/>
      <c r="R166" s="4"/>
    </row>
    <row r="167" spans="1:18">
      <c r="A167" s="415" t="s">
        <v>7573</v>
      </c>
      <c r="B167" s="415" t="s">
        <v>6179</v>
      </c>
      <c r="C167" s="4" t="s">
        <v>7429</v>
      </c>
      <c r="D167" s="418">
        <v>13501</v>
      </c>
      <c r="E167" s="418">
        <v>13515</v>
      </c>
      <c r="F167" s="418">
        <v>13607</v>
      </c>
      <c r="G167" s="418">
        <v>13468</v>
      </c>
      <c r="H167" s="48">
        <v>13294</v>
      </c>
      <c r="I167" s="31">
        <v>11216</v>
      </c>
      <c r="J167" s="31">
        <v>11393</v>
      </c>
      <c r="K167" s="31">
        <v>11990</v>
      </c>
      <c r="L167" s="31">
        <v>11669</v>
      </c>
      <c r="N167" s="415" t="s">
        <v>7844</v>
      </c>
      <c r="P167" s="4"/>
      <c r="R167" s="4"/>
    </row>
    <row r="168" spans="1:18">
      <c r="D168" s="419"/>
      <c r="E168" s="419"/>
      <c r="F168" s="419"/>
      <c r="G168" s="419"/>
      <c r="H168" s="419"/>
      <c r="I168" s="419"/>
      <c r="J168" s="419"/>
      <c r="K168" s="419"/>
      <c r="L168" s="419"/>
    </row>
    <row r="169" spans="1:18">
      <c r="A169" s="415" t="s">
        <v>5967</v>
      </c>
      <c r="D169" s="418">
        <f t="shared" ref="D169:I169" si="134">SUM(D144:D147)+D157+D165</f>
        <v>76619</v>
      </c>
      <c r="E169" s="418">
        <f t="shared" si="134"/>
        <v>77472</v>
      </c>
      <c r="F169" s="418">
        <f t="shared" si="134"/>
        <v>78225</v>
      </c>
      <c r="G169" s="418">
        <f t="shared" si="134"/>
        <v>78576</v>
      </c>
      <c r="H169" s="418">
        <f t="shared" si="134"/>
        <v>78753</v>
      </c>
      <c r="I169" s="418">
        <f t="shared" si="134"/>
        <v>76694</v>
      </c>
      <c r="J169" s="418">
        <f t="shared" ref="J169:K169" si="135">SUM(J144:J147)+J157+J165</f>
        <v>75961</v>
      </c>
      <c r="K169" s="418">
        <f t="shared" si="135"/>
        <v>78979</v>
      </c>
      <c r="L169" s="418">
        <f t="shared" ref="L169" si="136">SUM(L144:L147)+L157+L165</f>
        <v>78013</v>
      </c>
    </row>
    <row r="170" spans="1:18">
      <c r="A170" s="415" t="s">
        <v>5975</v>
      </c>
      <c r="D170" s="418">
        <f>D148+D149+D155+SUM(D158:D160)+D164</f>
        <v>79925</v>
      </c>
      <c r="E170" s="418">
        <f t="shared" ref="E170:H170" si="137">E148+E149+E155+SUM(E158:E160)+E164</f>
        <v>80791</v>
      </c>
      <c r="F170" s="418">
        <f t="shared" si="137"/>
        <v>81614</v>
      </c>
      <c r="G170" s="418">
        <f t="shared" si="137"/>
        <v>81961</v>
      </c>
      <c r="H170" s="418">
        <f t="shared" si="137"/>
        <v>82184</v>
      </c>
      <c r="I170" s="418">
        <f t="shared" ref="I170:J170" si="138">I148+I149+I155+SUM(I158:I160)+I164</f>
        <v>79944</v>
      </c>
      <c r="J170" s="418">
        <f t="shared" si="138"/>
        <v>79979</v>
      </c>
      <c r="K170" s="418">
        <f t="shared" ref="K170:L170" si="139">K148+K149+K155+SUM(K158:K160)+K164</f>
        <v>82665</v>
      </c>
      <c r="L170" s="418">
        <f t="shared" si="139"/>
        <v>81997</v>
      </c>
    </row>
    <row r="171" spans="1:18">
      <c r="A171" s="415" t="s">
        <v>5976</v>
      </c>
      <c r="D171" s="418">
        <f>SUM(D151:D154)+D161+D166</f>
        <v>78610</v>
      </c>
      <c r="E171" s="418">
        <f t="shared" ref="E171:H171" si="140">SUM(E151:E154)+E161+E166</f>
        <v>79634</v>
      </c>
      <c r="F171" s="418">
        <f t="shared" si="140"/>
        <v>80344</v>
      </c>
      <c r="G171" s="418">
        <f t="shared" si="140"/>
        <v>80999</v>
      </c>
      <c r="H171" s="418">
        <f t="shared" si="140"/>
        <v>80820</v>
      </c>
      <c r="I171" s="418">
        <f t="shared" ref="I171:J171" si="141">SUM(I151:I154)+I161+I166</f>
        <v>77525</v>
      </c>
      <c r="J171" s="418">
        <f t="shared" si="141"/>
        <v>77065</v>
      </c>
      <c r="K171" s="418">
        <f t="shared" ref="K171:L171" si="142">SUM(K151:K154)+K161+K166</f>
        <v>80018</v>
      </c>
      <c r="L171" s="418">
        <f t="shared" si="142"/>
        <v>79219</v>
      </c>
    </row>
    <row r="172" spans="1:18">
      <c r="A172" s="415" t="s">
        <v>7844</v>
      </c>
      <c r="D172" s="418">
        <f>D142+D143+D150+D156++D162+D167</f>
        <v>66206</v>
      </c>
      <c r="E172" s="418">
        <f t="shared" ref="E172:H172" si="143">E142+E143+E150+E156++E162+E167</f>
        <v>66681</v>
      </c>
      <c r="F172" s="418">
        <f t="shared" si="143"/>
        <v>67443</v>
      </c>
      <c r="G172" s="418">
        <f t="shared" si="143"/>
        <v>67360</v>
      </c>
      <c r="H172" s="418">
        <f t="shared" si="143"/>
        <v>66800</v>
      </c>
      <c r="I172" s="418">
        <f t="shared" ref="I172:J172" si="144">I142+I143+I150+I156++I162+I167</f>
        <v>62318</v>
      </c>
      <c r="J172" s="418">
        <f t="shared" si="144"/>
        <v>62400</v>
      </c>
      <c r="K172" s="418">
        <f t="shared" ref="K172:L172" si="145">K142+K143+K150+K156++K162+K167</f>
        <v>65045</v>
      </c>
      <c r="L172" s="418">
        <f t="shared" si="145"/>
        <v>63751</v>
      </c>
    </row>
    <row r="173" spans="1:18">
      <c r="A173" s="415"/>
      <c r="D173" s="418"/>
      <c r="E173" s="418"/>
      <c r="F173" s="418"/>
      <c r="G173" s="418"/>
      <c r="H173" s="418"/>
      <c r="I173" s="418"/>
      <c r="J173" s="418"/>
      <c r="K173" s="418"/>
      <c r="L173" s="418"/>
    </row>
    <row r="174" spans="1:18">
      <c r="A174" s="415" t="s">
        <v>13084</v>
      </c>
      <c r="D174" s="418"/>
      <c r="E174" s="418"/>
      <c r="F174" s="418"/>
      <c r="G174" s="418"/>
      <c r="H174" s="418"/>
      <c r="I174" s="418"/>
      <c r="J174" s="418"/>
      <c r="K174" s="418"/>
      <c r="L174" s="418"/>
    </row>
    <row r="175" spans="1:18">
      <c r="A175" s="415" t="s">
        <v>13085</v>
      </c>
      <c r="B175" s="415"/>
      <c r="D175" s="425"/>
      <c r="E175" s="425"/>
      <c r="F175" s="425"/>
      <c r="G175" s="425"/>
      <c r="H175" s="425"/>
      <c r="I175" s="425"/>
      <c r="J175" s="425"/>
      <c r="K175" s="425"/>
      <c r="L175" s="425"/>
    </row>
    <row r="176" spans="1:18">
      <c r="A176" s="415"/>
      <c r="B176" s="415"/>
      <c r="D176" s="425"/>
      <c r="E176" s="425"/>
      <c r="F176" s="425"/>
      <c r="G176" s="425"/>
      <c r="H176" s="425"/>
      <c r="I176" s="425"/>
      <c r="J176" s="425"/>
      <c r="K176" s="425"/>
      <c r="L176" s="425"/>
    </row>
    <row r="177" spans="1:18">
      <c r="A177" s="415"/>
      <c r="B177" s="415"/>
      <c r="D177" s="425"/>
      <c r="E177" s="425"/>
      <c r="F177" s="425"/>
      <c r="G177" s="425"/>
      <c r="H177" s="425"/>
      <c r="I177" s="425"/>
      <c r="J177" s="425"/>
      <c r="K177" s="425"/>
      <c r="L177" s="425"/>
    </row>
    <row r="178" spans="1:18">
      <c r="E178" s="42" t="s">
        <v>2303</v>
      </c>
      <c r="F178" s="42"/>
      <c r="G178" s="42"/>
      <c r="H178" s="42"/>
      <c r="I178" s="42"/>
      <c r="J178" s="42"/>
      <c r="K178" s="42"/>
      <c r="L178" s="42"/>
      <c r="M178" s="43"/>
      <c r="N178" s="43" t="s">
        <v>13319</v>
      </c>
    </row>
    <row r="179" spans="1:18">
      <c r="D179" s="417">
        <v>2010</v>
      </c>
      <c r="E179" s="417">
        <v>2011</v>
      </c>
      <c r="F179" s="417">
        <v>2012</v>
      </c>
      <c r="G179" s="417">
        <v>2013</v>
      </c>
      <c r="H179" s="417">
        <v>2014</v>
      </c>
      <c r="I179" s="417">
        <v>2015</v>
      </c>
      <c r="J179" s="417">
        <v>2016</v>
      </c>
      <c r="K179" s="417">
        <v>2017</v>
      </c>
      <c r="L179" s="417">
        <v>2018</v>
      </c>
      <c r="N179" s="44" t="s">
        <v>2304</v>
      </c>
    </row>
    <row r="180" spans="1:18">
      <c r="A180" s="415" t="s">
        <v>7957</v>
      </c>
      <c r="D180" s="418">
        <f t="shared" ref="D180:I180" si="146">SUM(D181:D213)</f>
        <v>541763</v>
      </c>
      <c r="E180" s="418">
        <f t="shared" si="146"/>
        <v>545338</v>
      </c>
      <c r="F180" s="418">
        <f t="shared" si="146"/>
        <v>541754</v>
      </c>
      <c r="G180" s="418">
        <f t="shared" si="146"/>
        <v>548575</v>
      </c>
      <c r="H180" s="418">
        <f t="shared" si="146"/>
        <v>523862</v>
      </c>
      <c r="I180" s="418">
        <f t="shared" si="146"/>
        <v>519957</v>
      </c>
      <c r="J180" s="418">
        <f t="shared" ref="J180:K180" si="147">SUM(J181:J213)</f>
        <v>515304</v>
      </c>
      <c r="K180" s="418">
        <f t="shared" si="147"/>
        <v>535725</v>
      </c>
      <c r="L180" s="418">
        <f t="shared" ref="L180" si="148">SUM(L181:L213)</f>
        <v>541976</v>
      </c>
    </row>
    <row r="181" spans="1:18">
      <c r="A181" s="415" t="s">
        <v>6957</v>
      </c>
      <c r="B181" s="415" t="s">
        <v>7958</v>
      </c>
      <c r="C181" s="4" t="s">
        <v>7430</v>
      </c>
      <c r="D181" s="418">
        <v>15895</v>
      </c>
      <c r="E181" s="418">
        <v>15863</v>
      </c>
      <c r="F181" s="418">
        <v>15775</v>
      </c>
      <c r="G181" s="418">
        <v>15874</v>
      </c>
      <c r="H181" s="48">
        <v>15350</v>
      </c>
      <c r="I181" s="48">
        <v>15596</v>
      </c>
      <c r="J181" s="48">
        <v>15390</v>
      </c>
      <c r="K181" s="48">
        <v>15709</v>
      </c>
      <c r="L181" s="48">
        <v>15591</v>
      </c>
      <c r="N181" s="415" t="s">
        <v>8663</v>
      </c>
      <c r="P181" s="4"/>
      <c r="R181" s="4"/>
    </row>
    <row r="182" spans="1:18">
      <c r="A182" s="415" t="s">
        <v>6959</v>
      </c>
      <c r="B182" s="415" t="s">
        <v>7959</v>
      </c>
      <c r="C182" s="4" t="s">
        <v>7431</v>
      </c>
      <c r="D182" s="418">
        <v>17488</v>
      </c>
      <c r="E182" s="418">
        <v>17471</v>
      </c>
      <c r="F182" s="418">
        <v>17591</v>
      </c>
      <c r="G182" s="418">
        <v>17566</v>
      </c>
      <c r="H182" s="48">
        <v>17046</v>
      </c>
      <c r="I182" s="48">
        <v>17381</v>
      </c>
      <c r="J182" s="48">
        <v>17048</v>
      </c>
      <c r="K182" s="48">
        <v>17322</v>
      </c>
      <c r="L182" s="48">
        <v>17105</v>
      </c>
      <c r="N182" s="415" t="s">
        <v>8662</v>
      </c>
      <c r="P182" s="4"/>
      <c r="R182" s="4"/>
    </row>
    <row r="183" spans="1:18">
      <c r="A183" s="415" t="s">
        <v>6961</v>
      </c>
      <c r="B183" s="415" t="s">
        <v>7960</v>
      </c>
      <c r="C183" s="4" t="s">
        <v>7432</v>
      </c>
      <c r="D183" s="418">
        <v>16625</v>
      </c>
      <c r="E183" s="418">
        <v>17044</v>
      </c>
      <c r="F183" s="418">
        <v>17214</v>
      </c>
      <c r="G183" s="418">
        <v>17343</v>
      </c>
      <c r="H183" s="48">
        <v>17070</v>
      </c>
      <c r="I183" s="48">
        <v>17252</v>
      </c>
      <c r="J183" s="48">
        <v>16851</v>
      </c>
      <c r="K183" s="48">
        <v>17340</v>
      </c>
      <c r="L183" s="48">
        <v>17190</v>
      </c>
      <c r="N183" s="415" t="s">
        <v>8665</v>
      </c>
      <c r="P183" s="4"/>
      <c r="R183" s="4"/>
    </row>
    <row r="184" spans="1:18">
      <c r="A184" s="415" t="s">
        <v>6963</v>
      </c>
      <c r="B184" s="416" t="s">
        <v>7961</v>
      </c>
      <c r="C184" s="4" t="s">
        <v>7433</v>
      </c>
      <c r="D184" s="422">
        <v>16903</v>
      </c>
      <c r="E184" s="422">
        <v>16977</v>
      </c>
      <c r="F184" s="422">
        <v>17137</v>
      </c>
      <c r="G184" s="422">
        <v>17152</v>
      </c>
      <c r="H184" s="48">
        <v>15528</v>
      </c>
      <c r="I184" s="48">
        <v>15925</v>
      </c>
      <c r="J184" s="48">
        <v>15459</v>
      </c>
      <c r="K184" s="48">
        <v>16218</v>
      </c>
      <c r="L184" s="48">
        <v>16192</v>
      </c>
      <c r="N184" s="415" t="s">
        <v>8664</v>
      </c>
      <c r="P184" s="4"/>
      <c r="R184" s="4"/>
    </row>
    <row r="185" spans="1:18">
      <c r="A185" s="415" t="s">
        <v>6965</v>
      </c>
      <c r="B185" s="415" t="s">
        <v>4389</v>
      </c>
      <c r="C185" s="4" t="s">
        <v>7434</v>
      </c>
      <c r="D185" s="418">
        <v>14524</v>
      </c>
      <c r="E185" s="418">
        <v>14562</v>
      </c>
      <c r="F185" s="418">
        <v>14703</v>
      </c>
      <c r="G185" s="418">
        <v>14862</v>
      </c>
      <c r="H185" s="48">
        <v>13584</v>
      </c>
      <c r="I185" s="48">
        <v>13815</v>
      </c>
      <c r="J185" s="48">
        <v>13498</v>
      </c>
      <c r="K185" s="48">
        <v>13970</v>
      </c>
      <c r="L185" s="48">
        <v>13892</v>
      </c>
      <c r="N185" s="415" t="s">
        <v>7846</v>
      </c>
      <c r="P185" s="4"/>
      <c r="R185" s="4"/>
    </row>
    <row r="186" spans="1:18">
      <c r="A186" s="415" t="s">
        <v>6997</v>
      </c>
      <c r="B186" s="415" t="s">
        <v>7966</v>
      </c>
      <c r="C186" s="4" t="s">
        <v>7435</v>
      </c>
      <c r="D186" s="418">
        <v>16560</v>
      </c>
      <c r="E186" s="418">
        <v>16506</v>
      </c>
      <c r="F186" s="418">
        <v>16610</v>
      </c>
      <c r="G186" s="418">
        <v>16511</v>
      </c>
      <c r="H186" s="48">
        <v>15287</v>
      </c>
      <c r="I186" s="48">
        <v>15532</v>
      </c>
      <c r="J186" s="48">
        <v>15342</v>
      </c>
      <c r="K186" s="48">
        <v>15870</v>
      </c>
      <c r="L186" s="48">
        <v>15823</v>
      </c>
      <c r="N186" s="415" t="s">
        <v>8664</v>
      </c>
      <c r="P186" s="4"/>
      <c r="R186" s="4"/>
    </row>
    <row r="187" spans="1:18">
      <c r="A187" s="415" t="s">
        <v>6999</v>
      </c>
      <c r="B187" s="415" t="s">
        <v>7967</v>
      </c>
      <c r="C187" s="4" t="s">
        <v>7436</v>
      </c>
      <c r="D187" s="418">
        <v>14822</v>
      </c>
      <c r="E187" s="418">
        <v>14500</v>
      </c>
      <c r="F187" s="418">
        <v>14507</v>
      </c>
      <c r="G187" s="418">
        <v>15112</v>
      </c>
      <c r="H187" s="48">
        <v>13949</v>
      </c>
      <c r="I187" s="48">
        <v>13987</v>
      </c>
      <c r="J187" s="48">
        <v>13605</v>
      </c>
      <c r="K187" s="48">
        <v>14487</v>
      </c>
      <c r="L187" s="48">
        <v>14719</v>
      </c>
      <c r="N187" s="415" t="s">
        <v>7846</v>
      </c>
      <c r="P187" s="4"/>
      <c r="R187" s="4"/>
    </row>
    <row r="188" spans="1:18">
      <c r="A188" s="415" t="s">
        <v>7001</v>
      </c>
      <c r="B188" s="415" t="s">
        <v>7968</v>
      </c>
      <c r="C188" s="4" t="s">
        <v>7437</v>
      </c>
      <c r="D188" s="418">
        <v>17435</v>
      </c>
      <c r="E188" s="418">
        <v>17515</v>
      </c>
      <c r="F188" s="418">
        <v>17664</v>
      </c>
      <c r="G188" s="418">
        <v>17688</v>
      </c>
      <c r="H188" s="48">
        <v>17362</v>
      </c>
      <c r="I188" s="48">
        <v>17518</v>
      </c>
      <c r="J188" s="48">
        <v>17271</v>
      </c>
      <c r="K188" s="48">
        <v>17802</v>
      </c>
      <c r="L188" s="48">
        <v>17751</v>
      </c>
      <c r="N188" s="415" t="s">
        <v>8667</v>
      </c>
      <c r="P188" s="4"/>
      <c r="R188" s="4"/>
    </row>
    <row r="189" spans="1:18">
      <c r="A189" s="415" t="s">
        <v>7003</v>
      </c>
      <c r="B189" s="415" t="s">
        <v>7969</v>
      </c>
      <c r="C189" s="4" t="s">
        <v>7438</v>
      </c>
      <c r="D189" s="418">
        <v>16289</v>
      </c>
      <c r="E189" s="418">
        <v>16661</v>
      </c>
      <c r="F189" s="418">
        <v>16788</v>
      </c>
      <c r="G189" s="418">
        <v>16941</v>
      </c>
      <c r="H189" s="48">
        <v>16517</v>
      </c>
      <c r="I189" s="48">
        <v>16314</v>
      </c>
      <c r="J189" s="48">
        <v>15798</v>
      </c>
      <c r="K189" s="48">
        <v>16499</v>
      </c>
      <c r="L189" s="48">
        <v>16809</v>
      </c>
      <c r="N189" s="415" t="s">
        <v>8662</v>
      </c>
      <c r="P189" s="4"/>
      <c r="R189" s="4"/>
    </row>
    <row r="190" spans="1:18">
      <c r="A190" s="415" t="s">
        <v>7005</v>
      </c>
      <c r="B190" s="415" t="s">
        <v>7970</v>
      </c>
      <c r="C190" s="4" t="s">
        <v>7439</v>
      </c>
      <c r="D190" s="418">
        <v>18521</v>
      </c>
      <c r="E190" s="418">
        <v>19030</v>
      </c>
      <c r="F190" s="418">
        <v>18493</v>
      </c>
      <c r="G190" s="418">
        <v>19723</v>
      </c>
      <c r="H190" s="48">
        <v>18872</v>
      </c>
      <c r="I190" s="48">
        <v>17086</v>
      </c>
      <c r="J190" s="48">
        <v>16795</v>
      </c>
      <c r="K190" s="48">
        <v>19250</v>
      </c>
      <c r="L190" s="48">
        <v>22497</v>
      </c>
      <c r="N190" s="415" t="s">
        <v>7846</v>
      </c>
      <c r="P190" s="4"/>
      <c r="R190" s="4"/>
    </row>
    <row r="191" spans="1:18">
      <c r="A191" s="415" t="s">
        <v>7007</v>
      </c>
      <c r="B191" s="415" t="s">
        <v>7971</v>
      </c>
      <c r="C191" s="4" t="s">
        <v>7440</v>
      </c>
      <c r="D191" s="422">
        <v>17166</v>
      </c>
      <c r="E191" s="422">
        <v>17210</v>
      </c>
      <c r="F191" s="422">
        <v>17311</v>
      </c>
      <c r="G191" s="422">
        <v>17435</v>
      </c>
      <c r="H191" s="48">
        <v>17072</v>
      </c>
      <c r="I191" s="48">
        <v>17343</v>
      </c>
      <c r="J191" s="48">
        <v>17225</v>
      </c>
      <c r="K191" s="48">
        <v>17869</v>
      </c>
      <c r="L191" s="48">
        <v>17860</v>
      </c>
      <c r="N191" s="415" t="s">
        <v>7847</v>
      </c>
      <c r="P191" s="4"/>
      <c r="R191" s="4"/>
    </row>
    <row r="192" spans="1:18">
      <c r="A192" s="415" t="s">
        <v>7009</v>
      </c>
      <c r="B192" s="415" t="s">
        <v>6206</v>
      </c>
      <c r="C192" s="4" t="s">
        <v>7441</v>
      </c>
      <c r="D192" s="422">
        <v>17906</v>
      </c>
      <c r="E192" s="422">
        <v>17961</v>
      </c>
      <c r="F192" s="422">
        <v>18108</v>
      </c>
      <c r="G192" s="422">
        <v>18149</v>
      </c>
      <c r="H192" s="48">
        <v>16932</v>
      </c>
      <c r="I192" s="48">
        <v>17250</v>
      </c>
      <c r="J192" s="48">
        <v>16850</v>
      </c>
      <c r="K192" s="48">
        <v>17370</v>
      </c>
      <c r="L192" s="48">
        <v>17300</v>
      </c>
      <c r="N192" s="415" t="s">
        <v>8664</v>
      </c>
      <c r="P192" s="4"/>
      <c r="R192" s="4"/>
    </row>
    <row r="193" spans="1:18">
      <c r="A193" s="415" t="s">
        <v>7011</v>
      </c>
      <c r="B193" s="415" t="s">
        <v>4442</v>
      </c>
      <c r="C193" s="4" t="s">
        <v>7442</v>
      </c>
      <c r="D193" s="418">
        <v>15964</v>
      </c>
      <c r="E193" s="418">
        <v>15945</v>
      </c>
      <c r="F193" s="418">
        <v>15914</v>
      </c>
      <c r="G193" s="418">
        <v>15927</v>
      </c>
      <c r="H193" s="48">
        <v>16036</v>
      </c>
      <c r="I193" s="48">
        <v>16020</v>
      </c>
      <c r="J193" s="48">
        <v>15936</v>
      </c>
      <c r="K193" s="48">
        <v>16160</v>
      </c>
      <c r="L193" s="48">
        <v>15990</v>
      </c>
      <c r="N193" s="415" t="s">
        <v>5977</v>
      </c>
      <c r="P193" s="4"/>
      <c r="R193" s="4"/>
    </row>
    <row r="194" spans="1:18">
      <c r="A194" s="415" t="s">
        <v>7013</v>
      </c>
      <c r="B194" s="415" t="s">
        <v>4443</v>
      </c>
      <c r="C194" s="4" t="s">
        <v>7443</v>
      </c>
      <c r="D194" s="422">
        <v>14750</v>
      </c>
      <c r="E194" s="422">
        <v>14935</v>
      </c>
      <c r="F194" s="422">
        <v>15411</v>
      </c>
      <c r="G194" s="422">
        <v>15614</v>
      </c>
      <c r="H194" s="48">
        <v>14201</v>
      </c>
      <c r="I194" s="48">
        <v>14557</v>
      </c>
      <c r="J194" s="48">
        <v>14029</v>
      </c>
      <c r="K194" s="48">
        <v>14598</v>
      </c>
      <c r="L194" s="48">
        <v>14633</v>
      </c>
      <c r="N194" s="415" t="s">
        <v>7847</v>
      </c>
      <c r="P194" s="4"/>
      <c r="R194" s="4"/>
    </row>
    <row r="195" spans="1:18">
      <c r="A195" s="415" t="s">
        <v>7015</v>
      </c>
      <c r="B195" s="415" t="s">
        <v>4444</v>
      </c>
      <c r="C195" s="4" t="s">
        <v>7444</v>
      </c>
      <c r="D195" s="422">
        <v>17361</v>
      </c>
      <c r="E195" s="422">
        <v>17491</v>
      </c>
      <c r="F195" s="422">
        <v>17809</v>
      </c>
      <c r="G195" s="422">
        <v>17966</v>
      </c>
      <c r="H195" s="48">
        <v>18181</v>
      </c>
      <c r="I195" s="48">
        <v>18166</v>
      </c>
      <c r="J195" s="48">
        <v>17779</v>
      </c>
      <c r="K195" s="48">
        <v>18392</v>
      </c>
      <c r="L195" s="48">
        <v>18222</v>
      </c>
      <c r="N195" s="415" t="s">
        <v>8667</v>
      </c>
      <c r="P195" s="4"/>
      <c r="R195" s="4"/>
    </row>
    <row r="196" spans="1:18">
      <c r="A196" s="415" t="s">
        <v>7017</v>
      </c>
      <c r="B196" s="415" t="s">
        <v>2166</v>
      </c>
      <c r="C196" s="4" t="s">
        <v>7445</v>
      </c>
      <c r="D196" s="418">
        <v>14768</v>
      </c>
      <c r="E196" s="418">
        <v>14786</v>
      </c>
      <c r="F196" s="418">
        <v>14956</v>
      </c>
      <c r="G196" s="418">
        <v>15076</v>
      </c>
      <c r="H196" s="48">
        <v>14857</v>
      </c>
      <c r="I196" s="48">
        <v>14975</v>
      </c>
      <c r="J196" s="48">
        <v>14805</v>
      </c>
      <c r="K196" s="48">
        <v>14995</v>
      </c>
      <c r="L196" s="48">
        <v>14768</v>
      </c>
      <c r="N196" s="415" t="s">
        <v>5977</v>
      </c>
      <c r="P196" s="4"/>
      <c r="R196" s="4"/>
    </row>
    <row r="197" spans="1:18">
      <c r="A197" s="415" t="s">
        <v>7019</v>
      </c>
      <c r="B197" s="415" t="s">
        <v>4445</v>
      </c>
      <c r="C197" s="4" t="s">
        <v>7446</v>
      </c>
      <c r="D197" s="418">
        <v>14734</v>
      </c>
      <c r="E197" s="418">
        <v>14787</v>
      </c>
      <c r="F197" s="418">
        <v>13385</v>
      </c>
      <c r="G197" s="418">
        <v>13001</v>
      </c>
      <c r="H197" s="48">
        <v>10097</v>
      </c>
      <c r="I197" s="48">
        <v>7933</v>
      </c>
      <c r="J197" s="48">
        <v>8948</v>
      </c>
      <c r="K197" s="48">
        <v>10972</v>
      </c>
      <c r="L197" s="48">
        <v>12270</v>
      </c>
      <c r="N197" s="415" t="s">
        <v>8663</v>
      </c>
      <c r="P197" s="4"/>
      <c r="R197" s="4"/>
    </row>
    <row r="198" spans="1:18">
      <c r="A198" s="415" t="s">
        <v>7021</v>
      </c>
      <c r="B198" s="415" t="s">
        <v>4446</v>
      </c>
      <c r="C198" s="4" t="s">
        <v>7447</v>
      </c>
      <c r="D198" s="422">
        <v>17337</v>
      </c>
      <c r="E198" s="422">
        <v>17487</v>
      </c>
      <c r="F198" s="422">
        <v>16960</v>
      </c>
      <c r="G198" s="422">
        <v>16947</v>
      </c>
      <c r="H198" s="48">
        <v>17279</v>
      </c>
      <c r="I198" s="48">
        <v>16880</v>
      </c>
      <c r="J198" s="48">
        <v>16685</v>
      </c>
      <c r="K198" s="48">
        <v>17060</v>
      </c>
      <c r="L198" s="48">
        <v>17102</v>
      </c>
      <c r="N198" s="415" t="s">
        <v>8667</v>
      </c>
      <c r="P198" s="4"/>
      <c r="R198" s="4"/>
    </row>
    <row r="199" spans="1:18">
      <c r="A199" s="415" t="s">
        <v>7023</v>
      </c>
      <c r="B199" s="415" t="s">
        <v>4447</v>
      </c>
      <c r="C199" s="4" t="s">
        <v>7448</v>
      </c>
      <c r="D199" s="418">
        <v>14218</v>
      </c>
      <c r="E199" s="418">
        <v>14949</v>
      </c>
      <c r="F199" s="418">
        <v>13443</v>
      </c>
      <c r="G199" s="418">
        <v>14943</v>
      </c>
      <c r="H199" s="48">
        <v>13567</v>
      </c>
      <c r="I199" s="48">
        <v>10680</v>
      </c>
      <c r="J199" s="48">
        <v>12369</v>
      </c>
      <c r="K199" s="48">
        <v>13226</v>
      </c>
      <c r="L199" s="48">
        <v>15189</v>
      </c>
      <c r="N199" s="415" t="s">
        <v>7846</v>
      </c>
      <c r="P199" s="4"/>
      <c r="R199" s="4"/>
    </row>
    <row r="200" spans="1:18">
      <c r="A200" s="415" t="s">
        <v>7025</v>
      </c>
      <c r="B200" s="415" t="s">
        <v>4448</v>
      </c>
      <c r="C200" s="4" t="s">
        <v>7449</v>
      </c>
      <c r="D200" s="418">
        <v>16543</v>
      </c>
      <c r="E200" s="418">
        <v>16527</v>
      </c>
      <c r="F200" s="418">
        <v>16572</v>
      </c>
      <c r="G200" s="418">
        <v>16606</v>
      </c>
      <c r="H200" s="48">
        <v>15498</v>
      </c>
      <c r="I200" s="48">
        <v>15648</v>
      </c>
      <c r="J200" s="48">
        <v>15666</v>
      </c>
      <c r="K200" s="48">
        <v>16105</v>
      </c>
      <c r="L200" s="48">
        <v>16198</v>
      </c>
      <c r="N200" s="415" t="s">
        <v>7847</v>
      </c>
      <c r="P200" s="4"/>
      <c r="R200" s="4"/>
    </row>
    <row r="201" spans="1:18">
      <c r="A201" s="415" t="s">
        <v>7570</v>
      </c>
      <c r="B201" s="415" t="s">
        <v>6232</v>
      </c>
      <c r="C201" s="4" t="s">
        <v>7450</v>
      </c>
      <c r="D201" s="418">
        <v>16159</v>
      </c>
      <c r="E201" s="418">
        <v>16283</v>
      </c>
      <c r="F201" s="418">
        <v>16401</v>
      </c>
      <c r="G201" s="418">
        <v>16428</v>
      </c>
      <c r="H201" s="48">
        <v>15833</v>
      </c>
      <c r="I201" s="48">
        <v>16117</v>
      </c>
      <c r="J201" s="48">
        <v>15910</v>
      </c>
      <c r="K201" s="48">
        <v>16322</v>
      </c>
      <c r="L201" s="48">
        <v>16162</v>
      </c>
      <c r="N201" s="415" t="s">
        <v>5977</v>
      </c>
      <c r="P201" s="4"/>
      <c r="R201" s="4"/>
    </row>
    <row r="202" spans="1:18">
      <c r="A202" s="415" t="s">
        <v>7572</v>
      </c>
      <c r="B202" s="415" t="s">
        <v>6233</v>
      </c>
      <c r="C202" s="4" t="s">
        <v>7451</v>
      </c>
      <c r="D202" s="422">
        <v>15874</v>
      </c>
      <c r="E202" s="422">
        <v>15778</v>
      </c>
      <c r="F202" s="422">
        <v>15341</v>
      </c>
      <c r="G202" s="422">
        <v>15414</v>
      </c>
      <c r="H202" s="48">
        <v>14013</v>
      </c>
      <c r="I202" s="48">
        <v>13588</v>
      </c>
      <c r="J202" s="48">
        <v>13857</v>
      </c>
      <c r="K202" s="48">
        <v>14697</v>
      </c>
      <c r="L202" s="48">
        <v>15706</v>
      </c>
      <c r="N202" s="415" t="s">
        <v>8664</v>
      </c>
      <c r="P202" s="4"/>
      <c r="R202" s="4"/>
    </row>
    <row r="203" spans="1:18">
      <c r="A203" s="415" t="s">
        <v>7573</v>
      </c>
      <c r="B203" s="415" t="s">
        <v>6234</v>
      </c>
      <c r="C203" s="4" t="s">
        <v>7452</v>
      </c>
      <c r="D203" s="418">
        <v>17611</v>
      </c>
      <c r="E203" s="418">
        <v>17871</v>
      </c>
      <c r="F203" s="418">
        <v>17879</v>
      </c>
      <c r="G203" s="418">
        <v>18097</v>
      </c>
      <c r="H203" s="48">
        <v>17570</v>
      </c>
      <c r="I203" s="48">
        <v>17921</v>
      </c>
      <c r="J203" s="48">
        <v>17500</v>
      </c>
      <c r="K203" s="48">
        <v>18162</v>
      </c>
      <c r="L203" s="48">
        <v>17975</v>
      </c>
      <c r="N203" s="415" t="s">
        <v>7846</v>
      </c>
      <c r="P203" s="4"/>
      <c r="R203" s="4"/>
    </row>
    <row r="204" spans="1:18">
      <c r="A204" s="415" t="s">
        <v>5798</v>
      </c>
      <c r="B204" s="415" t="s">
        <v>6235</v>
      </c>
      <c r="C204" s="4" t="s">
        <v>7453</v>
      </c>
      <c r="D204" s="418">
        <v>16991</v>
      </c>
      <c r="E204" s="418">
        <v>17105</v>
      </c>
      <c r="F204" s="418">
        <v>17211</v>
      </c>
      <c r="G204" s="418">
        <v>17399</v>
      </c>
      <c r="H204" s="48">
        <v>16484</v>
      </c>
      <c r="I204" s="48">
        <v>16745</v>
      </c>
      <c r="J204" s="48">
        <v>16642</v>
      </c>
      <c r="K204" s="48">
        <v>17051</v>
      </c>
      <c r="L204" s="48">
        <v>16863</v>
      </c>
      <c r="N204" s="415" t="s">
        <v>8662</v>
      </c>
      <c r="P204" s="4"/>
      <c r="R204" s="4"/>
    </row>
    <row r="205" spans="1:18">
      <c r="A205" s="415" t="s">
        <v>5799</v>
      </c>
      <c r="B205" s="415" t="s">
        <v>6236</v>
      </c>
      <c r="C205" s="4" t="s">
        <v>7454</v>
      </c>
      <c r="D205" s="418">
        <v>17828</v>
      </c>
      <c r="E205" s="418">
        <v>17855</v>
      </c>
      <c r="F205" s="418">
        <v>17799</v>
      </c>
      <c r="G205" s="418">
        <v>17898</v>
      </c>
      <c r="H205" s="48">
        <v>17124</v>
      </c>
      <c r="I205" s="48">
        <v>17383</v>
      </c>
      <c r="J205" s="48">
        <v>17137</v>
      </c>
      <c r="K205" s="48">
        <v>17674</v>
      </c>
      <c r="L205" s="48">
        <v>17398</v>
      </c>
      <c r="N205" s="415" t="s">
        <v>8665</v>
      </c>
      <c r="P205" s="4"/>
      <c r="R205" s="4"/>
    </row>
    <row r="206" spans="1:18">
      <c r="A206" s="415" t="s">
        <v>5801</v>
      </c>
      <c r="B206" s="415" t="s">
        <v>6237</v>
      </c>
      <c r="C206" s="4" t="s">
        <v>7455</v>
      </c>
      <c r="D206" s="418">
        <v>16516</v>
      </c>
      <c r="E206" s="418">
        <v>16515</v>
      </c>
      <c r="F206" s="418">
        <v>16589</v>
      </c>
      <c r="G206" s="418">
        <v>16600</v>
      </c>
      <c r="H206" s="48">
        <v>16124</v>
      </c>
      <c r="I206" s="48">
        <v>16277</v>
      </c>
      <c r="J206" s="48">
        <v>15937</v>
      </c>
      <c r="K206" s="48">
        <v>16590</v>
      </c>
      <c r="L206" s="48">
        <v>16535</v>
      </c>
      <c r="N206" s="415" t="s">
        <v>8665</v>
      </c>
      <c r="P206" s="4"/>
      <c r="R206" s="4"/>
    </row>
    <row r="207" spans="1:18">
      <c r="A207" s="415" t="s">
        <v>5927</v>
      </c>
      <c r="B207" s="415" t="s">
        <v>6238</v>
      </c>
      <c r="C207" s="4" t="s">
        <v>7456</v>
      </c>
      <c r="D207" s="418">
        <v>17440</v>
      </c>
      <c r="E207" s="418">
        <v>17477</v>
      </c>
      <c r="F207" s="418">
        <v>17493</v>
      </c>
      <c r="G207" s="418">
        <v>17581</v>
      </c>
      <c r="H207" s="48">
        <v>17092</v>
      </c>
      <c r="I207" s="48">
        <v>17164</v>
      </c>
      <c r="J207" s="48">
        <v>17018</v>
      </c>
      <c r="K207" s="48">
        <v>17400</v>
      </c>
      <c r="L207" s="48">
        <v>17282</v>
      </c>
      <c r="N207" s="415" t="s">
        <v>8663</v>
      </c>
      <c r="P207" s="4"/>
      <c r="R207" s="4"/>
    </row>
    <row r="208" spans="1:18">
      <c r="A208" s="415" t="s">
        <v>5929</v>
      </c>
      <c r="B208" s="415" t="s">
        <v>6239</v>
      </c>
      <c r="C208" s="4" t="s">
        <v>7457</v>
      </c>
      <c r="D208" s="422">
        <v>17074</v>
      </c>
      <c r="E208" s="422">
        <v>17245</v>
      </c>
      <c r="F208" s="422">
        <v>17224</v>
      </c>
      <c r="G208" s="422">
        <v>17390</v>
      </c>
      <c r="H208" s="48">
        <v>16280</v>
      </c>
      <c r="I208" s="48">
        <v>16774</v>
      </c>
      <c r="J208" s="48">
        <v>16889</v>
      </c>
      <c r="K208" s="48">
        <v>17609</v>
      </c>
      <c r="L208" s="48">
        <v>17442</v>
      </c>
      <c r="N208" s="415" t="s">
        <v>8667</v>
      </c>
      <c r="P208" s="4"/>
      <c r="R208" s="4"/>
    </row>
    <row r="209" spans="1:18">
      <c r="A209" s="415" t="s">
        <v>5931</v>
      </c>
      <c r="B209" s="415" t="s">
        <v>6292</v>
      </c>
      <c r="C209" s="4" t="s">
        <v>7458</v>
      </c>
      <c r="D209" s="418">
        <v>15518</v>
      </c>
      <c r="E209" s="418">
        <v>15571</v>
      </c>
      <c r="F209" s="418">
        <v>15738</v>
      </c>
      <c r="G209" s="418">
        <v>15785</v>
      </c>
      <c r="H209" s="48">
        <v>15280</v>
      </c>
      <c r="I209" s="48">
        <v>15449</v>
      </c>
      <c r="J209" s="48">
        <v>15264</v>
      </c>
      <c r="K209" s="48">
        <v>15777</v>
      </c>
      <c r="L209" s="48">
        <v>15748</v>
      </c>
      <c r="N209" s="415" t="s">
        <v>5977</v>
      </c>
      <c r="P209" s="4"/>
      <c r="R209" s="4"/>
    </row>
    <row r="210" spans="1:18">
      <c r="A210" s="415" t="s">
        <v>5933</v>
      </c>
      <c r="B210" s="415" t="s">
        <v>6240</v>
      </c>
      <c r="C210" s="4" t="s">
        <v>7459</v>
      </c>
      <c r="D210" s="418">
        <v>16721</v>
      </c>
      <c r="E210" s="418">
        <v>17032</v>
      </c>
      <c r="F210" s="418">
        <v>16951</v>
      </c>
      <c r="G210" s="418">
        <v>17131</v>
      </c>
      <c r="H210" s="48">
        <v>16349</v>
      </c>
      <c r="I210" s="48">
        <v>16651</v>
      </c>
      <c r="J210" s="48">
        <v>16447</v>
      </c>
      <c r="K210" s="48">
        <v>16874</v>
      </c>
      <c r="L210" s="48">
        <v>16813</v>
      </c>
      <c r="N210" s="415" t="s">
        <v>8662</v>
      </c>
      <c r="P210" s="4"/>
      <c r="R210" s="4"/>
    </row>
    <row r="211" spans="1:18">
      <c r="A211" s="415" t="s">
        <v>7897</v>
      </c>
      <c r="B211" s="415" t="s">
        <v>6241</v>
      </c>
      <c r="C211" s="4" t="s">
        <v>7460</v>
      </c>
      <c r="D211" s="422">
        <v>16020</v>
      </c>
      <c r="E211" s="422">
        <v>16070</v>
      </c>
      <c r="F211" s="422">
        <v>16107</v>
      </c>
      <c r="G211" s="422">
        <v>16400</v>
      </c>
      <c r="H211" s="48">
        <v>15875</v>
      </c>
      <c r="I211" s="48">
        <v>16033</v>
      </c>
      <c r="J211" s="48">
        <v>15688</v>
      </c>
      <c r="K211" s="48">
        <v>16083</v>
      </c>
      <c r="L211" s="48">
        <v>15932</v>
      </c>
      <c r="N211" s="415" t="s">
        <v>7847</v>
      </c>
      <c r="P211" s="4"/>
      <c r="R211" s="4"/>
    </row>
    <row r="212" spans="1:18">
      <c r="A212" s="415" t="s">
        <v>7898</v>
      </c>
      <c r="B212" s="415" t="s">
        <v>6242</v>
      </c>
      <c r="C212" s="4" t="s">
        <v>7461</v>
      </c>
      <c r="D212" s="418">
        <v>16753</v>
      </c>
      <c r="E212" s="418">
        <v>16920</v>
      </c>
      <c r="F212" s="418">
        <v>15158</v>
      </c>
      <c r="G212" s="418">
        <v>16451</v>
      </c>
      <c r="H212" s="48">
        <v>15972</v>
      </c>
      <c r="I212" s="48">
        <v>14520</v>
      </c>
      <c r="J212" s="48">
        <v>14294</v>
      </c>
      <c r="K212" s="48">
        <v>14613</v>
      </c>
      <c r="L212" s="48">
        <v>15409</v>
      </c>
      <c r="N212" s="415" t="s">
        <v>8663</v>
      </c>
      <c r="P212" s="4"/>
      <c r="R212" s="4"/>
    </row>
    <row r="213" spans="1:18">
      <c r="A213" s="415" t="s">
        <v>7899</v>
      </c>
      <c r="B213" s="415" t="s">
        <v>6243</v>
      </c>
      <c r="C213" s="4" t="s">
        <v>7462</v>
      </c>
      <c r="D213" s="418">
        <v>15449</v>
      </c>
      <c r="E213" s="418">
        <v>15409</v>
      </c>
      <c r="F213" s="418">
        <v>15512</v>
      </c>
      <c r="G213" s="418">
        <v>15565</v>
      </c>
      <c r="H213" s="48">
        <v>15581</v>
      </c>
      <c r="I213" s="48">
        <v>15477</v>
      </c>
      <c r="J213" s="48">
        <v>15372</v>
      </c>
      <c r="K213" s="48">
        <v>15659</v>
      </c>
      <c r="L213" s="48">
        <v>15610</v>
      </c>
      <c r="N213" s="415" t="s">
        <v>5977</v>
      </c>
      <c r="P213" s="4"/>
      <c r="R213" s="4"/>
    </row>
    <row r="214" spans="1:18">
      <c r="D214" s="419"/>
      <c r="E214" s="419"/>
      <c r="F214" s="419"/>
      <c r="G214" s="419"/>
      <c r="H214" s="419"/>
      <c r="I214" s="48"/>
      <c r="J214" s="48"/>
      <c r="K214" s="48"/>
      <c r="L214" s="48"/>
    </row>
    <row r="215" spans="1:18">
      <c r="A215" s="415" t="s">
        <v>5977</v>
      </c>
      <c r="D215" s="418">
        <f t="shared" ref="D215:I215" si="149">D193+D196+D201+D209+D213</f>
        <v>77858</v>
      </c>
      <c r="E215" s="418">
        <f t="shared" si="149"/>
        <v>77994</v>
      </c>
      <c r="F215" s="418">
        <f t="shared" si="149"/>
        <v>78521</v>
      </c>
      <c r="G215" s="418">
        <f t="shared" si="149"/>
        <v>78781</v>
      </c>
      <c r="H215" s="418">
        <f t="shared" si="149"/>
        <v>77587</v>
      </c>
      <c r="I215" s="418">
        <f t="shared" si="149"/>
        <v>78038</v>
      </c>
      <c r="J215" s="418">
        <f t="shared" ref="J215:K215" si="150">J193+J196+J201+J209+J213</f>
        <v>77287</v>
      </c>
      <c r="K215" s="418">
        <f t="shared" si="150"/>
        <v>78913</v>
      </c>
      <c r="L215" s="418">
        <f t="shared" ref="L215" si="151">L193+L196+L201+L209+L213</f>
        <v>78278</v>
      </c>
    </row>
    <row r="216" spans="1:18">
      <c r="A216" s="415" t="s">
        <v>7846</v>
      </c>
      <c r="D216" s="418">
        <f t="shared" ref="D216:I216" si="152">D185+D187+D190+D199+D203</f>
        <v>79696</v>
      </c>
      <c r="E216" s="418">
        <f t="shared" si="152"/>
        <v>80912</v>
      </c>
      <c r="F216" s="418">
        <f t="shared" si="152"/>
        <v>79025</v>
      </c>
      <c r="G216" s="418">
        <f t="shared" si="152"/>
        <v>82737</v>
      </c>
      <c r="H216" s="418">
        <f t="shared" si="152"/>
        <v>77542</v>
      </c>
      <c r="I216" s="418">
        <f t="shared" si="152"/>
        <v>73489</v>
      </c>
      <c r="J216" s="418">
        <f t="shared" ref="J216:K216" si="153">J185+J187+J190+J199+J203</f>
        <v>73767</v>
      </c>
      <c r="K216" s="418">
        <f t="shared" si="153"/>
        <v>79095</v>
      </c>
      <c r="L216" s="418">
        <f t="shared" ref="L216" si="154">L185+L187+L190+L199+L203</f>
        <v>84272</v>
      </c>
    </row>
    <row r="217" spans="1:18">
      <c r="A217" s="415" t="s">
        <v>7847</v>
      </c>
      <c r="D217" s="418">
        <f t="shared" ref="D217:I217" si="155">D191+D194+D200+D211</f>
        <v>64479</v>
      </c>
      <c r="E217" s="418">
        <f t="shared" si="155"/>
        <v>64742</v>
      </c>
      <c r="F217" s="418">
        <f t="shared" si="155"/>
        <v>65401</v>
      </c>
      <c r="G217" s="418">
        <f t="shared" si="155"/>
        <v>66055</v>
      </c>
      <c r="H217" s="418">
        <f t="shared" si="155"/>
        <v>62646</v>
      </c>
      <c r="I217" s="418">
        <f t="shared" si="155"/>
        <v>63581</v>
      </c>
      <c r="J217" s="418">
        <f t="shared" ref="J217:K217" si="156">J191+J194+J200+J211</f>
        <v>62608</v>
      </c>
      <c r="K217" s="418">
        <f t="shared" si="156"/>
        <v>64655</v>
      </c>
      <c r="L217" s="418">
        <f t="shared" ref="L217" si="157">L191+L194+L200+L211</f>
        <v>64623</v>
      </c>
    </row>
    <row r="218" spans="1:18">
      <c r="A218" s="415" t="s">
        <v>8662</v>
      </c>
      <c r="D218" s="418">
        <f t="shared" ref="D218:I218" si="158">D182+D189+D204+D210</f>
        <v>67489</v>
      </c>
      <c r="E218" s="418">
        <f t="shared" si="158"/>
        <v>68269</v>
      </c>
      <c r="F218" s="418">
        <f t="shared" si="158"/>
        <v>68541</v>
      </c>
      <c r="G218" s="418">
        <f t="shared" si="158"/>
        <v>69037</v>
      </c>
      <c r="H218" s="418">
        <f t="shared" si="158"/>
        <v>66396</v>
      </c>
      <c r="I218" s="418">
        <f t="shared" si="158"/>
        <v>67091</v>
      </c>
      <c r="J218" s="418">
        <f t="shared" ref="J218:K218" si="159">J182+J189+J204+J210</f>
        <v>65935</v>
      </c>
      <c r="K218" s="418">
        <f t="shared" si="159"/>
        <v>67746</v>
      </c>
      <c r="L218" s="418">
        <f t="shared" ref="L218" si="160">L182+L189+L204+L210</f>
        <v>67590</v>
      </c>
    </row>
    <row r="219" spans="1:18">
      <c r="A219" s="415" t="s">
        <v>8663</v>
      </c>
      <c r="D219" s="418">
        <f t="shared" ref="D219:I219" si="161">D181+D197+D207+D212</f>
        <v>64822</v>
      </c>
      <c r="E219" s="418">
        <f t="shared" si="161"/>
        <v>65047</v>
      </c>
      <c r="F219" s="418">
        <f t="shared" si="161"/>
        <v>61811</v>
      </c>
      <c r="G219" s="418">
        <f t="shared" si="161"/>
        <v>62907</v>
      </c>
      <c r="H219" s="418">
        <f t="shared" si="161"/>
        <v>58511</v>
      </c>
      <c r="I219" s="418">
        <f t="shared" si="161"/>
        <v>55213</v>
      </c>
      <c r="J219" s="418">
        <f t="shared" ref="J219:K219" si="162">J181+J197+J207+J212</f>
        <v>55650</v>
      </c>
      <c r="K219" s="418">
        <f t="shared" si="162"/>
        <v>58694</v>
      </c>
      <c r="L219" s="418">
        <f t="shared" ref="L219" si="163">L181+L197+L207+L212</f>
        <v>60552</v>
      </c>
    </row>
    <row r="220" spans="1:18">
      <c r="A220" s="415" t="s">
        <v>8664</v>
      </c>
      <c r="D220" s="418">
        <f t="shared" ref="D220:I220" si="164">D184+D186+D192+D202</f>
        <v>67243</v>
      </c>
      <c r="E220" s="418">
        <f t="shared" si="164"/>
        <v>67222</v>
      </c>
      <c r="F220" s="418">
        <f t="shared" si="164"/>
        <v>67196</v>
      </c>
      <c r="G220" s="418">
        <f t="shared" si="164"/>
        <v>67226</v>
      </c>
      <c r="H220" s="418">
        <f t="shared" si="164"/>
        <v>61760</v>
      </c>
      <c r="I220" s="418">
        <f t="shared" si="164"/>
        <v>62295</v>
      </c>
      <c r="J220" s="418">
        <f t="shared" ref="J220:K220" si="165">J184+J186+J192+J202</f>
        <v>61508</v>
      </c>
      <c r="K220" s="418">
        <f t="shared" si="165"/>
        <v>64155</v>
      </c>
      <c r="L220" s="418">
        <f t="shared" ref="L220" si="166">L184+L186+L192+L202</f>
        <v>65021</v>
      </c>
    </row>
    <row r="221" spans="1:18">
      <c r="A221" s="415" t="s">
        <v>8026</v>
      </c>
      <c r="D221" s="418">
        <f t="shared" ref="D221:I221" si="167">D183+D205+D206</f>
        <v>50969</v>
      </c>
      <c r="E221" s="418">
        <f t="shared" si="167"/>
        <v>51414</v>
      </c>
      <c r="F221" s="418">
        <f t="shared" si="167"/>
        <v>51602</v>
      </c>
      <c r="G221" s="418">
        <f t="shared" si="167"/>
        <v>51841</v>
      </c>
      <c r="H221" s="418">
        <f t="shared" si="167"/>
        <v>50318</v>
      </c>
      <c r="I221" s="418">
        <f t="shared" si="167"/>
        <v>50912</v>
      </c>
      <c r="J221" s="418">
        <f t="shared" ref="J221:K221" si="168">J183+J205+J206</f>
        <v>49925</v>
      </c>
      <c r="K221" s="418">
        <f t="shared" si="168"/>
        <v>51604</v>
      </c>
      <c r="L221" s="418">
        <f t="shared" ref="L221" si="169">L183+L205+L206</f>
        <v>51123</v>
      </c>
    </row>
    <row r="222" spans="1:18">
      <c r="A222" s="415" t="s">
        <v>8667</v>
      </c>
      <c r="D222" s="418">
        <f t="shared" ref="D222:I222" si="170">D188+D195+D198+D208</f>
        <v>69207</v>
      </c>
      <c r="E222" s="418">
        <f t="shared" si="170"/>
        <v>69738</v>
      </c>
      <c r="F222" s="418">
        <f t="shared" si="170"/>
        <v>69657</v>
      </c>
      <c r="G222" s="418">
        <f t="shared" si="170"/>
        <v>69991</v>
      </c>
      <c r="H222" s="418">
        <f t="shared" si="170"/>
        <v>69102</v>
      </c>
      <c r="I222" s="418">
        <f t="shared" si="170"/>
        <v>69338</v>
      </c>
      <c r="J222" s="418">
        <f t="shared" ref="J222:K222" si="171">J188+J195+J198+J208</f>
        <v>68624</v>
      </c>
      <c r="K222" s="418">
        <f t="shared" si="171"/>
        <v>70863</v>
      </c>
      <c r="L222" s="418">
        <f t="shared" ref="L222" si="172">L188+L195+L198+L208</f>
        <v>70517</v>
      </c>
    </row>
    <row r="223" spans="1:18">
      <c r="A223" s="415"/>
      <c r="D223" s="418"/>
      <c r="E223" s="418"/>
      <c r="F223" s="418"/>
      <c r="G223" s="418"/>
      <c r="H223" s="418"/>
      <c r="I223" s="418"/>
      <c r="J223" s="418"/>
      <c r="K223" s="418"/>
      <c r="L223" s="418"/>
    </row>
    <row r="224" spans="1:18">
      <c r="A224" s="415" t="s">
        <v>8027</v>
      </c>
      <c r="D224" s="418"/>
      <c r="E224" s="418"/>
      <c r="F224" s="418"/>
      <c r="G224" s="418"/>
      <c r="H224" s="418"/>
      <c r="I224" s="418"/>
      <c r="J224" s="418"/>
      <c r="K224" s="418"/>
      <c r="L224" s="418"/>
    </row>
    <row r="225" spans="1:18">
      <c r="A225" s="415"/>
      <c r="B225" s="415"/>
      <c r="D225" s="425"/>
      <c r="E225" s="425"/>
      <c r="F225" s="425"/>
      <c r="G225" s="425"/>
      <c r="H225" s="425"/>
      <c r="I225" s="425"/>
      <c r="J225" s="425"/>
      <c r="K225" s="425"/>
      <c r="L225" s="425"/>
    </row>
    <row r="226" spans="1:18">
      <c r="A226" s="415"/>
      <c r="B226" s="415"/>
      <c r="D226" s="425"/>
      <c r="E226" s="425"/>
      <c r="F226" s="425"/>
      <c r="G226" s="425"/>
      <c r="H226" s="425"/>
      <c r="I226" s="425"/>
      <c r="J226" s="425"/>
      <c r="K226" s="425"/>
      <c r="L226" s="425"/>
    </row>
    <row r="227" spans="1:18">
      <c r="E227" s="42" t="s">
        <v>2303</v>
      </c>
      <c r="F227" s="42"/>
      <c r="G227" s="42"/>
      <c r="H227" s="42"/>
      <c r="I227" s="42"/>
      <c r="J227" s="42"/>
      <c r="K227" s="42"/>
      <c r="L227" s="42"/>
      <c r="M227" s="43"/>
      <c r="N227" s="43" t="s">
        <v>13319</v>
      </c>
    </row>
    <row r="228" spans="1:18">
      <c r="D228" s="417">
        <v>2010</v>
      </c>
      <c r="E228" s="417">
        <v>2011</v>
      </c>
      <c r="F228" s="417">
        <v>2012</v>
      </c>
      <c r="G228" s="417">
        <v>2013</v>
      </c>
      <c r="H228" s="417">
        <v>2014</v>
      </c>
      <c r="I228" s="417">
        <v>2015</v>
      </c>
      <c r="J228" s="417">
        <v>2016</v>
      </c>
      <c r="K228" s="417">
        <v>2017</v>
      </c>
      <c r="L228" s="417">
        <v>2018</v>
      </c>
      <c r="N228" s="44" t="s">
        <v>2304</v>
      </c>
    </row>
    <row r="229" spans="1:18">
      <c r="A229" s="415" t="s">
        <v>4451</v>
      </c>
      <c r="D229" s="418">
        <f t="shared" ref="D229:I229" si="173">SUM(D230:D250)</f>
        <v>250658</v>
      </c>
      <c r="E229" s="418">
        <f t="shared" si="173"/>
        <v>252051</v>
      </c>
      <c r="F229" s="418">
        <f t="shared" si="173"/>
        <v>251403</v>
      </c>
      <c r="G229" s="418">
        <f t="shared" si="173"/>
        <v>250596</v>
      </c>
      <c r="H229" s="418">
        <f t="shared" si="173"/>
        <v>246378</v>
      </c>
      <c r="I229" s="418">
        <f t="shared" si="173"/>
        <v>247935</v>
      </c>
      <c r="J229" s="418">
        <f t="shared" ref="J229:K229" si="174">SUM(J230:J250)</f>
        <v>237299</v>
      </c>
      <c r="K229" s="418">
        <f t="shared" si="174"/>
        <v>241370</v>
      </c>
      <c r="L229" s="418">
        <f t="shared" ref="L229" si="175">SUM(L230:L250)</f>
        <v>246957</v>
      </c>
    </row>
    <row r="230" spans="1:18">
      <c r="A230" s="415" t="s">
        <v>6957</v>
      </c>
      <c r="B230" s="415" t="s">
        <v>4452</v>
      </c>
      <c r="C230" s="4" t="s">
        <v>7463</v>
      </c>
      <c r="D230" s="418">
        <v>12656</v>
      </c>
      <c r="E230" s="418">
        <v>12665</v>
      </c>
      <c r="F230" s="418">
        <v>12562</v>
      </c>
      <c r="G230" s="418">
        <v>12607</v>
      </c>
      <c r="H230" s="48">
        <v>12344</v>
      </c>
      <c r="I230" s="48">
        <v>12480</v>
      </c>
      <c r="J230" s="48">
        <v>12178</v>
      </c>
      <c r="K230" s="48">
        <v>12353</v>
      </c>
      <c r="L230" s="48">
        <v>12696</v>
      </c>
      <c r="N230" s="415" t="s">
        <v>5980</v>
      </c>
      <c r="P230" s="4"/>
      <c r="R230" s="4"/>
    </row>
    <row r="231" spans="1:18">
      <c r="A231" s="415" t="s">
        <v>6959</v>
      </c>
      <c r="B231" s="415" t="s">
        <v>4453</v>
      </c>
      <c r="C231" s="4" t="s">
        <v>7464</v>
      </c>
      <c r="D231" s="418">
        <v>11597</v>
      </c>
      <c r="E231" s="418">
        <v>11625</v>
      </c>
      <c r="F231" s="418">
        <v>11442</v>
      </c>
      <c r="G231" s="418">
        <v>11547</v>
      </c>
      <c r="H231" s="48">
        <v>11299</v>
      </c>
      <c r="I231" s="48">
        <v>11393</v>
      </c>
      <c r="J231" s="48">
        <v>10844</v>
      </c>
      <c r="K231" s="48">
        <v>11000</v>
      </c>
      <c r="L231" s="48">
        <v>11128</v>
      </c>
      <c r="N231" s="415" t="s">
        <v>8666</v>
      </c>
      <c r="P231" s="4"/>
      <c r="R231" s="4"/>
    </row>
    <row r="232" spans="1:18">
      <c r="A232" s="415" t="s">
        <v>6961</v>
      </c>
      <c r="B232" s="415" t="s">
        <v>4454</v>
      </c>
      <c r="C232" s="4" t="s">
        <v>7465</v>
      </c>
      <c r="D232" s="422">
        <v>12242</v>
      </c>
      <c r="E232" s="422">
        <v>12512</v>
      </c>
      <c r="F232" s="422">
        <v>12570</v>
      </c>
      <c r="G232" s="422">
        <v>12534</v>
      </c>
      <c r="H232" s="48">
        <v>12512</v>
      </c>
      <c r="I232" s="48">
        <v>12669</v>
      </c>
      <c r="J232" s="48">
        <v>12245</v>
      </c>
      <c r="K232" s="48">
        <v>12638</v>
      </c>
      <c r="L232" s="48">
        <v>12942</v>
      </c>
      <c r="N232" s="415" t="s">
        <v>8666</v>
      </c>
      <c r="P232" s="4"/>
      <c r="R232" s="4"/>
    </row>
    <row r="233" spans="1:18">
      <c r="A233" s="415" t="s">
        <v>6963</v>
      </c>
      <c r="B233" s="415" t="s">
        <v>4455</v>
      </c>
      <c r="C233" s="4" t="s">
        <v>7466</v>
      </c>
      <c r="D233" s="418">
        <v>12028</v>
      </c>
      <c r="E233" s="418">
        <v>12039</v>
      </c>
      <c r="F233" s="418">
        <v>12055</v>
      </c>
      <c r="G233" s="418">
        <v>11943</v>
      </c>
      <c r="H233" s="48">
        <v>11842</v>
      </c>
      <c r="I233" s="48">
        <v>11873</v>
      </c>
      <c r="J233" s="48">
        <v>11207</v>
      </c>
      <c r="K233" s="48">
        <v>11328</v>
      </c>
      <c r="L233" s="48">
        <v>11657</v>
      </c>
      <c r="N233" s="415" t="s">
        <v>8666</v>
      </c>
      <c r="P233" s="4"/>
      <c r="R233" s="4"/>
    </row>
    <row r="234" spans="1:18">
      <c r="A234" s="415" t="s">
        <v>6965</v>
      </c>
      <c r="B234" s="415" t="s">
        <v>4456</v>
      </c>
      <c r="C234" s="4" t="s">
        <v>7467</v>
      </c>
      <c r="D234" s="418">
        <v>12260</v>
      </c>
      <c r="E234" s="418">
        <v>12244</v>
      </c>
      <c r="F234" s="418">
        <v>12132</v>
      </c>
      <c r="G234" s="418">
        <v>12159</v>
      </c>
      <c r="H234" s="48">
        <v>12060</v>
      </c>
      <c r="I234" s="48">
        <v>12087</v>
      </c>
      <c r="J234" s="48">
        <v>11637</v>
      </c>
      <c r="K234" s="48">
        <v>11785</v>
      </c>
      <c r="L234" s="48">
        <v>12044</v>
      </c>
      <c r="N234" s="415" t="s">
        <v>5980</v>
      </c>
      <c r="P234" s="4"/>
      <c r="R234" s="4"/>
    </row>
    <row r="235" spans="1:18">
      <c r="A235" s="415" t="s">
        <v>6997</v>
      </c>
      <c r="B235" s="415" t="s">
        <v>4457</v>
      </c>
      <c r="C235" s="4" t="s">
        <v>7468</v>
      </c>
      <c r="D235" s="418">
        <v>12702</v>
      </c>
      <c r="E235" s="418">
        <v>12702</v>
      </c>
      <c r="F235" s="418">
        <v>12688</v>
      </c>
      <c r="G235" s="418">
        <v>12782</v>
      </c>
      <c r="H235" s="48">
        <v>12665</v>
      </c>
      <c r="I235" s="48">
        <v>12720</v>
      </c>
      <c r="J235" s="48">
        <v>12120</v>
      </c>
      <c r="K235" s="48">
        <v>12346</v>
      </c>
      <c r="L235" s="48">
        <v>12643</v>
      </c>
      <c r="N235" s="415" t="s">
        <v>5980</v>
      </c>
      <c r="P235" s="4"/>
      <c r="R235" s="4"/>
    </row>
    <row r="236" spans="1:18">
      <c r="A236" s="415" t="s">
        <v>6999</v>
      </c>
      <c r="B236" s="415" t="s">
        <v>4458</v>
      </c>
      <c r="C236" s="4" t="s">
        <v>7469</v>
      </c>
      <c r="D236" s="418">
        <v>11748</v>
      </c>
      <c r="E236" s="418">
        <v>11963</v>
      </c>
      <c r="F236" s="418">
        <v>12001</v>
      </c>
      <c r="G236" s="418">
        <v>11893</v>
      </c>
      <c r="H236" s="48">
        <v>11623</v>
      </c>
      <c r="I236" s="48">
        <v>11759</v>
      </c>
      <c r="J236" s="48">
        <v>11263</v>
      </c>
      <c r="K236" s="48">
        <v>11335</v>
      </c>
      <c r="L236" s="48">
        <v>11600</v>
      </c>
      <c r="N236" s="415" t="s">
        <v>5980</v>
      </c>
      <c r="P236" s="4"/>
      <c r="R236" s="4"/>
    </row>
    <row r="237" spans="1:18">
      <c r="A237" s="415" t="s">
        <v>7001</v>
      </c>
      <c r="B237" s="415" t="s">
        <v>4459</v>
      </c>
      <c r="C237" s="4" t="s">
        <v>7470</v>
      </c>
      <c r="D237" s="418">
        <v>12060</v>
      </c>
      <c r="E237" s="418">
        <v>12111</v>
      </c>
      <c r="F237" s="418">
        <v>12040</v>
      </c>
      <c r="G237" s="418">
        <v>12129</v>
      </c>
      <c r="H237" s="48">
        <v>11947</v>
      </c>
      <c r="I237" s="48">
        <v>12021</v>
      </c>
      <c r="J237" s="48">
        <v>11424</v>
      </c>
      <c r="K237" s="48">
        <v>11634</v>
      </c>
      <c r="L237" s="48">
        <v>11863</v>
      </c>
      <c r="N237" s="415" t="s">
        <v>8669</v>
      </c>
      <c r="P237" s="4"/>
      <c r="R237" s="4"/>
    </row>
    <row r="238" spans="1:18">
      <c r="A238" s="415" t="s">
        <v>7003</v>
      </c>
      <c r="B238" s="415" t="s">
        <v>4460</v>
      </c>
      <c r="C238" s="4" t="s">
        <v>7471</v>
      </c>
      <c r="D238" s="418">
        <v>10534</v>
      </c>
      <c r="E238" s="418">
        <v>10621</v>
      </c>
      <c r="F238" s="418">
        <v>10724</v>
      </c>
      <c r="G238" s="418">
        <v>10697</v>
      </c>
      <c r="H238" s="48">
        <v>10176</v>
      </c>
      <c r="I238" s="48">
        <v>10244</v>
      </c>
      <c r="J238" s="48">
        <v>9672</v>
      </c>
      <c r="K238" s="48">
        <v>9851</v>
      </c>
      <c r="L238" s="48">
        <v>10045</v>
      </c>
      <c r="N238" s="415" t="s">
        <v>8666</v>
      </c>
      <c r="P238" s="4"/>
      <c r="R238" s="4"/>
    </row>
    <row r="239" spans="1:18">
      <c r="A239" s="415" t="s">
        <v>7005</v>
      </c>
      <c r="B239" s="415" t="s">
        <v>7136</v>
      </c>
      <c r="C239" s="4" t="s">
        <v>7472</v>
      </c>
      <c r="D239" s="422">
        <v>12337</v>
      </c>
      <c r="E239" s="422">
        <v>12309</v>
      </c>
      <c r="F239" s="422">
        <v>12356</v>
      </c>
      <c r="G239" s="422">
        <v>12226</v>
      </c>
      <c r="H239" s="48">
        <v>11985</v>
      </c>
      <c r="I239" s="48">
        <v>12007</v>
      </c>
      <c r="J239" s="48">
        <v>11454</v>
      </c>
      <c r="K239" s="48">
        <v>11500</v>
      </c>
      <c r="L239" s="48">
        <v>11687</v>
      </c>
      <c r="N239" s="415" t="s">
        <v>8666</v>
      </c>
      <c r="P239" s="4"/>
      <c r="R239" s="4"/>
    </row>
    <row r="240" spans="1:18">
      <c r="A240" s="415" t="s">
        <v>7007</v>
      </c>
      <c r="B240" s="415" t="s">
        <v>4461</v>
      </c>
      <c r="C240" s="4" t="s">
        <v>7473</v>
      </c>
      <c r="D240" s="418">
        <v>12587</v>
      </c>
      <c r="E240" s="418">
        <v>12753</v>
      </c>
      <c r="F240" s="418">
        <v>12650</v>
      </c>
      <c r="G240" s="418">
        <v>12647</v>
      </c>
      <c r="H240" s="48">
        <v>12520</v>
      </c>
      <c r="I240" s="48">
        <v>12606</v>
      </c>
      <c r="J240" s="48">
        <v>12147</v>
      </c>
      <c r="K240" s="48">
        <v>12283</v>
      </c>
      <c r="L240" s="48">
        <v>12383</v>
      </c>
      <c r="N240" s="415" t="s">
        <v>8669</v>
      </c>
      <c r="P240" s="4"/>
      <c r="R240" s="4"/>
    </row>
    <row r="241" spans="1:18">
      <c r="A241" s="415" t="s">
        <v>7009</v>
      </c>
      <c r="B241" s="415" t="s">
        <v>4462</v>
      </c>
      <c r="C241" s="4" t="s">
        <v>7474</v>
      </c>
      <c r="D241" s="418">
        <v>11925</v>
      </c>
      <c r="E241" s="418">
        <v>12088</v>
      </c>
      <c r="F241" s="418">
        <v>12145</v>
      </c>
      <c r="G241" s="418">
        <v>12083</v>
      </c>
      <c r="H241" s="48">
        <v>11742</v>
      </c>
      <c r="I241" s="48">
        <v>11808</v>
      </c>
      <c r="J241" s="48">
        <v>11272</v>
      </c>
      <c r="K241" s="48">
        <v>11699</v>
      </c>
      <c r="L241" s="48">
        <v>12285</v>
      </c>
      <c r="N241" s="415" t="s">
        <v>8666</v>
      </c>
      <c r="P241" s="4"/>
      <c r="R241" s="4"/>
    </row>
    <row r="242" spans="1:18">
      <c r="A242" s="415" t="s">
        <v>7011</v>
      </c>
      <c r="B242" s="415" t="s">
        <v>4463</v>
      </c>
      <c r="C242" s="4" t="s">
        <v>7475</v>
      </c>
      <c r="D242" s="418">
        <v>12171</v>
      </c>
      <c r="E242" s="418">
        <v>12090</v>
      </c>
      <c r="F242" s="418">
        <v>12016</v>
      </c>
      <c r="G242" s="418">
        <v>11914</v>
      </c>
      <c r="H242" s="48">
        <v>11823</v>
      </c>
      <c r="I242" s="48">
        <v>11805</v>
      </c>
      <c r="J242" s="48">
        <v>11403</v>
      </c>
      <c r="K242" s="48">
        <v>11645</v>
      </c>
      <c r="L242" s="48">
        <v>11845</v>
      </c>
      <c r="N242" s="415" t="s">
        <v>8666</v>
      </c>
      <c r="P242" s="4"/>
      <c r="R242" s="4"/>
    </row>
    <row r="243" spans="1:18">
      <c r="A243" s="415" t="s">
        <v>7013</v>
      </c>
      <c r="B243" s="415" t="s">
        <v>4464</v>
      </c>
      <c r="C243" s="4" t="s">
        <v>7476</v>
      </c>
      <c r="D243" s="418">
        <v>13379</v>
      </c>
      <c r="E243" s="418">
        <v>13352</v>
      </c>
      <c r="F243" s="418">
        <v>13244</v>
      </c>
      <c r="G243" s="418">
        <v>13149</v>
      </c>
      <c r="H243" s="48">
        <v>12803</v>
      </c>
      <c r="I243" s="48">
        <v>12918</v>
      </c>
      <c r="J243" s="48">
        <v>12361</v>
      </c>
      <c r="K243" s="48">
        <v>12668</v>
      </c>
      <c r="L243" s="48">
        <v>12970</v>
      </c>
      <c r="N243" s="415" t="s">
        <v>5980</v>
      </c>
      <c r="P243" s="4"/>
      <c r="R243" s="4"/>
    </row>
    <row r="244" spans="1:18">
      <c r="A244" s="415" t="s">
        <v>7015</v>
      </c>
      <c r="B244" s="415" t="s">
        <v>4465</v>
      </c>
      <c r="C244" s="4" t="s">
        <v>7477</v>
      </c>
      <c r="D244" s="418">
        <v>11978</v>
      </c>
      <c r="E244" s="418">
        <v>12079</v>
      </c>
      <c r="F244" s="418">
        <v>12185</v>
      </c>
      <c r="G244" s="418">
        <v>12228</v>
      </c>
      <c r="H244" s="48">
        <v>12286</v>
      </c>
      <c r="I244" s="48">
        <v>12400</v>
      </c>
      <c r="J244" s="48">
        <v>11957</v>
      </c>
      <c r="K244" s="48">
        <v>12004</v>
      </c>
      <c r="L244" s="48">
        <v>12322</v>
      </c>
      <c r="N244" s="415" t="s">
        <v>8665</v>
      </c>
      <c r="P244" s="4"/>
      <c r="R244" s="4"/>
    </row>
    <row r="245" spans="1:18">
      <c r="A245" s="415" t="s">
        <v>7017</v>
      </c>
      <c r="B245" s="415" t="s">
        <v>4466</v>
      </c>
      <c r="C245" s="4" t="s">
        <v>7478</v>
      </c>
      <c r="D245" s="422">
        <v>11174</v>
      </c>
      <c r="E245" s="422">
        <v>11163</v>
      </c>
      <c r="F245" s="422">
        <v>11097</v>
      </c>
      <c r="G245" s="422">
        <v>10878</v>
      </c>
      <c r="H245" s="48">
        <v>10451</v>
      </c>
      <c r="I245" s="48">
        <v>10424</v>
      </c>
      <c r="J245" s="48">
        <v>9798</v>
      </c>
      <c r="K245" s="48">
        <v>9875</v>
      </c>
      <c r="L245" s="48">
        <v>10074</v>
      </c>
      <c r="N245" s="415" t="s">
        <v>8669</v>
      </c>
      <c r="P245" s="4"/>
      <c r="R245" s="4"/>
    </row>
    <row r="246" spans="1:18">
      <c r="A246" s="415" t="s">
        <v>7019</v>
      </c>
      <c r="B246" s="415" t="s">
        <v>4467</v>
      </c>
      <c r="C246" s="4" t="s">
        <v>7479</v>
      </c>
      <c r="D246" s="422">
        <v>10718</v>
      </c>
      <c r="E246" s="422">
        <v>10765</v>
      </c>
      <c r="F246" s="422">
        <v>10779</v>
      </c>
      <c r="G246" s="422">
        <v>10580</v>
      </c>
      <c r="H246" s="48">
        <v>10159</v>
      </c>
      <c r="I246" s="48">
        <v>10321</v>
      </c>
      <c r="J246" s="48">
        <v>9951</v>
      </c>
      <c r="K246" s="48">
        <v>10349</v>
      </c>
      <c r="L246" s="48">
        <v>10723</v>
      </c>
      <c r="N246" s="415" t="s">
        <v>8669</v>
      </c>
      <c r="P246" s="4"/>
      <c r="R246" s="4"/>
    </row>
    <row r="247" spans="1:18">
      <c r="A247" s="415" t="s">
        <v>7021</v>
      </c>
      <c r="B247" s="415" t="s">
        <v>4468</v>
      </c>
      <c r="C247" s="4" t="s">
        <v>7480</v>
      </c>
      <c r="D247" s="418">
        <v>13274</v>
      </c>
      <c r="E247" s="418">
        <v>13505</v>
      </c>
      <c r="F247" s="418">
        <v>13477</v>
      </c>
      <c r="G247" s="418">
        <v>13586</v>
      </c>
      <c r="H247" s="48">
        <v>13398</v>
      </c>
      <c r="I247" s="48">
        <v>13539</v>
      </c>
      <c r="J247" s="48">
        <v>13088</v>
      </c>
      <c r="K247" s="48">
        <v>13294</v>
      </c>
      <c r="L247" s="48">
        <v>13587</v>
      </c>
      <c r="N247" s="415" t="s">
        <v>8669</v>
      </c>
      <c r="P247" s="4"/>
      <c r="R247" s="4"/>
    </row>
    <row r="248" spans="1:18">
      <c r="A248" s="415" t="s">
        <v>7023</v>
      </c>
      <c r="B248" s="415" t="s">
        <v>4469</v>
      </c>
      <c r="C248" s="4" t="s">
        <v>7481</v>
      </c>
      <c r="D248" s="422">
        <v>10450</v>
      </c>
      <c r="E248" s="422">
        <v>10561</v>
      </c>
      <c r="F248" s="422">
        <v>10374</v>
      </c>
      <c r="G248" s="422">
        <v>10349</v>
      </c>
      <c r="H248" s="48">
        <v>10224</v>
      </c>
      <c r="I248" s="48">
        <v>10242</v>
      </c>
      <c r="J248" s="48">
        <v>9760</v>
      </c>
      <c r="K248" s="48">
        <v>9880</v>
      </c>
      <c r="L248" s="48">
        <v>10083</v>
      </c>
      <c r="N248" s="415" t="s">
        <v>5980</v>
      </c>
      <c r="P248" s="4"/>
      <c r="R248" s="4"/>
    </row>
    <row r="249" spans="1:18">
      <c r="A249" s="415" t="s">
        <v>7025</v>
      </c>
      <c r="B249" s="415" t="s">
        <v>4470</v>
      </c>
      <c r="C249" s="4" t="s">
        <v>7482</v>
      </c>
      <c r="D249" s="422">
        <v>11298</v>
      </c>
      <c r="E249" s="422">
        <v>11234</v>
      </c>
      <c r="F249" s="422">
        <v>11222</v>
      </c>
      <c r="G249" s="422">
        <v>11013</v>
      </c>
      <c r="H249" s="48">
        <v>10865</v>
      </c>
      <c r="I249" s="48">
        <v>10869</v>
      </c>
      <c r="J249" s="48">
        <v>10144</v>
      </c>
      <c r="K249" s="48">
        <v>10261</v>
      </c>
      <c r="L249" s="48">
        <v>10401</v>
      </c>
      <c r="N249" s="415" t="s">
        <v>8669</v>
      </c>
      <c r="P249" s="4"/>
      <c r="R249" s="4"/>
    </row>
    <row r="250" spans="1:18">
      <c r="A250" s="415" t="s">
        <v>7570</v>
      </c>
      <c r="B250" s="415" t="s">
        <v>8040</v>
      </c>
      <c r="C250" s="4" t="s">
        <v>7483</v>
      </c>
      <c r="D250" s="418">
        <v>11540</v>
      </c>
      <c r="E250" s="418">
        <v>11670</v>
      </c>
      <c r="F250" s="418">
        <v>11644</v>
      </c>
      <c r="G250" s="418">
        <v>11652</v>
      </c>
      <c r="H250" s="48">
        <v>11654</v>
      </c>
      <c r="I250" s="48">
        <v>11750</v>
      </c>
      <c r="J250" s="48">
        <v>11374</v>
      </c>
      <c r="K250" s="48">
        <v>11642</v>
      </c>
      <c r="L250" s="48">
        <v>11979</v>
      </c>
      <c r="N250" s="415" t="s">
        <v>8665</v>
      </c>
      <c r="P250" s="4"/>
      <c r="R250" s="4"/>
    </row>
    <row r="251" spans="1:18">
      <c r="D251" s="419"/>
      <c r="E251" s="419"/>
      <c r="F251" s="419"/>
      <c r="G251" s="419"/>
      <c r="H251" s="419"/>
      <c r="I251" s="419"/>
      <c r="J251" s="419"/>
      <c r="K251" s="419"/>
      <c r="L251" s="419"/>
    </row>
    <row r="252" spans="1:18">
      <c r="A252" s="415" t="s">
        <v>5980</v>
      </c>
      <c r="D252" s="418">
        <f t="shared" ref="D252:I252" si="176">D230+SUM(D234:D236)+D243+D248</f>
        <v>73195</v>
      </c>
      <c r="E252" s="418">
        <f t="shared" si="176"/>
        <v>73487</v>
      </c>
      <c r="F252" s="418">
        <f t="shared" si="176"/>
        <v>73001</v>
      </c>
      <c r="G252" s="418">
        <f t="shared" si="176"/>
        <v>72939</v>
      </c>
      <c r="H252" s="418">
        <f t="shared" si="176"/>
        <v>71719</v>
      </c>
      <c r="I252" s="418">
        <f t="shared" si="176"/>
        <v>72206</v>
      </c>
      <c r="J252" s="418">
        <f t="shared" ref="J252:K252" si="177">J230+SUM(J234:J236)+J243+J248</f>
        <v>69319</v>
      </c>
      <c r="K252" s="418">
        <f t="shared" si="177"/>
        <v>70367</v>
      </c>
      <c r="L252" s="418">
        <f t="shared" ref="L252" si="178">L230+SUM(L234:L236)+L243+L248</f>
        <v>72036</v>
      </c>
    </row>
    <row r="253" spans="1:18" ht="15" customHeight="1">
      <c r="A253" s="415" t="s">
        <v>8026</v>
      </c>
      <c r="D253" s="418">
        <f t="shared" ref="D253:I253" si="179">D244+D250</f>
        <v>23518</v>
      </c>
      <c r="E253" s="418">
        <f t="shared" si="179"/>
        <v>23749</v>
      </c>
      <c r="F253" s="418">
        <f t="shared" si="179"/>
        <v>23829</v>
      </c>
      <c r="G253" s="418">
        <f t="shared" si="179"/>
        <v>23880</v>
      </c>
      <c r="H253" s="418">
        <f t="shared" si="179"/>
        <v>23940</v>
      </c>
      <c r="I253" s="418">
        <f t="shared" si="179"/>
        <v>24150</v>
      </c>
      <c r="J253" s="418">
        <f t="shared" ref="J253:K253" si="180">J244+J250</f>
        <v>23331</v>
      </c>
      <c r="K253" s="418">
        <f t="shared" si="180"/>
        <v>23646</v>
      </c>
      <c r="L253" s="418">
        <f t="shared" ref="L253" si="181">L244+L250</f>
        <v>24301</v>
      </c>
    </row>
    <row r="254" spans="1:18">
      <c r="A254" s="415" t="s">
        <v>8666</v>
      </c>
      <c r="D254" s="418">
        <f t="shared" ref="D254:I254" si="182">SUM(D231:D233)+D238+D239+D241+D242</f>
        <v>82834</v>
      </c>
      <c r="E254" s="418">
        <f t="shared" si="182"/>
        <v>83284</v>
      </c>
      <c r="F254" s="418">
        <f t="shared" si="182"/>
        <v>83308</v>
      </c>
      <c r="G254" s="418">
        <f t="shared" si="182"/>
        <v>82944</v>
      </c>
      <c r="H254" s="418">
        <f t="shared" si="182"/>
        <v>81379</v>
      </c>
      <c r="I254" s="418">
        <f t="shared" si="182"/>
        <v>81799</v>
      </c>
      <c r="J254" s="418">
        <f t="shared" ref="J254:K254" si="183">SUM(J231:J233)+J238+J239+J241+J242</f>
        <v>78097</v>
      </c>
      <c r="K254" s="418">
        <f t="shared" si="183"/>
        <v>79661</v>
      </c>
      <c r="L254" s="418">
        <f t="shared" ref="L254" si="184">SUM(L231:L233)+L238+L239+L241+L242</f>
        <v>81589</v>
      </c>
    </row>
    <row r="255" spans="1:18">
      <c r="A255" s="415" t="s">
        <v>8669</v>
      </c>
      <c r="D255" s="418">
        <f t="shared" ref="D255:I255" si="185">D237+D240+SUM(D245:D247)+D249</f>
        <v>71111</v>
      </c>
      <c r="E255" s="418">
        <f t="shared" si="185"/>
        <v>71531</v>
      </c>
      <c r="F255" s="418">
        <f t="shared" si="185"/>
        <v>71265</v>
      </c>
      <c r="G255" s="418">
        <f t="shared" si="185"/>
        <v>70833</v>
      </c>
      <c r="H255" s="418">
        <f t="shared" si="185"/>
        <v>69340</v>
      </c>
      <c r="I255" s="418">
        <f t="shared" si="185"/>
        <v>69780</v>
      </c>
      <c r="J255" s="418">
        <f t="shared" ref="J255:K255" si="186">J237+J240+SUM(J245:J247)+J249</f>
        <v>66552</v>
      </c>
      <c r="K255" s="418">
        <f t="shared" si="186"/>
        <v>67696</v>
      </c>
      <c r="L255" s="418">
        <f t="shared" ref="L255" si="187">L237+L240+SUM(L245:L247)+L249</f>
        <v>69031</v>
      </c>
    </row>
    <row r="257" spans="1:1">
      <c r="A257" s="416" t="s">
        <v>8041</v>
      </c>
    </row>
  </sheetData>
  <sortState ref="O230:Q250">
    <sortCondition ref="O230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54" orientation="portrait" horizontalDpi="300" verticalDpi="300" r:id="rId1"/>
  <headerFooter alignWithMargins="0">
    <oddFooter>&amp;C&amp;8&amp;P of &amp;N</oddFooter>
  </headerFooter>
  <ignoredErrors>
    <ignoredError sqref="D114:E114 D68:E68 D229:E229 D180:E180 D133:E134 D169:E169 D215:E222 D3:E10 D99:E106 F3:F10 F99:F114 F133:F140 F177:F180 F215:F229 D252:F255 F169 D12:E63 F12:F68 G133:G134 G114:K114 G169 G215:G222 G180:K180 G99:I99 G68:K68 G102:G106 G229:K229 G252:G255 G3:G10 G12:G63 D11:G11 H102:H106 H133:H134 H252:H255 F173:F175 D170:G172 D141:K141 H169:H172 H215:H222 H3:H10 H11:H63 I169:I172 I102:I106 I215:I222 I252:I255 I133:I134 I3:I63 J169:J172 J215:J222 J99:J106 J133:J134 J252:J255 J3:J63 K99 K102:K106 K133:K134 K215:K222 K252:K255 K169:K172 K3:K63 L3:L96 L99:L255" unlockedFormula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149"/>
  <sheetViews>
    <sheetView showGridLines="0" zoomScaleNormal="100" workbookViewId="0"/>
  </sheetViews>
  <sheetFormatPr defaultColWidth="12.5703125" defaultRowHeight="15"/>
  <cols>
    <col min="1" max="1" width="4.85546875" style="485" customWidth="1"/>
    <col min="2" max="2" width="45.7109375" style="485" customWidth="1"/>
    <col min="3" max="3" width="11.42578125" style="485" customWidth="1"/>
    <col min="4" max="12" width="10.140625" style="485" customWidth="1"/>
    <col min="13" max="13" width="2.5703125" style="485" customWidth="1"/>
    <col min="14" max="14" width="26.85546875" style="485" customWidth="1"/>
    <col min="15" max="16384" width="12.5703125" style="485"/>
  </cols>
  <sheetData>
    <row r="1" spans="1:14">
      <c r="A1" s="484" t="s">
        <v>8847</v>
      </c>
      <c r="D1" s="486">
        <v>2010</v>
      </c>
      <c r="E1" s="486">
        <v>2011</v>
      </c>
      <c r="F1" s="486">
        <v>2012</v>
      </c>
      <c r="G1" s="486">
        <v>2013</v>
      </c>
      <c r="H1" s="486">
        <v>2014</v>
      </c>
      <c r="I1" s="486">
        <v>2015</v>
      </c>
      <c r="J1" s="486">
        <v>2016</v>
      </c>
      <c r="K1" s="486">
        <v>2017</v>
      </c>
      <c r="L1" s="486">
        <v>2018</v>
      </c>
      <c r="M1" s="486"/>
    </row>
    <row r="3" spans="1:14">
      <c r="A3" s="484" t="s">
        <v>4678</v>
      </c>
      <c r="D3" s="487">
        <f t="shared" ref="D3:I3" si="0">D28</f>
        <v>343136</v>
      </c>
      <c r="E3" s="487">
        <f t="shared" si="0"/>
        <v>350863</v>
      </c>
      <c r="F3" s="487">
        <f t="shared" si="0"/>
        <v>350619</v>
      </c>
      <c r="G3" s="487">
        <f t="shared" si="0"/>
        <v>351990</v>
      </c>
      <c r="H3" s="487">
        <f t="shared" si="0"/>
        <v>352165</v>
      </c>
      <c r="I3" s="487">
        <f t="shared" si="0"/>
        <v>342196</v>
      </c>
      <c r="J3" s="487">
        <f t="shared" ref="J3:K3" si="1">J28</f>
        <v>346724</v>
      </c>
      <c r="K3" s="487">
        <f t="shared" si="1"/>
        <v>358156</v>
      </c>
      <c r="L3" s="487">
        <f t="shared" ref="L3" si="2">L28</f>
        <v>363093</v>
      </c>
      <c r="M3" s="488"/>
    </row>
    <row r="4" spans="1:14">
      <c r="D4" s="489"/>
      <c r="E4" s="489"/>
      <c r="F4" s="489"/>
      <c r="G4" s="489"/>
      <c r="H4" s="489"/>
      <c r="I4" s="489"/>
      <c r="J4" s="489"/>
      <c r="K4" s="489"/>
      <c r="L4" s="489"/>
    </row>
    <row r="5" spans="1:14">
      <c r="A5" s="484" t="s">
        <v>7122</v>
      </c>
      <c r="D5" s="487">
        <f t="shared" ref="D5:I5" si="3">D3/5</f>
        <v>68627.199999999997</v>
      </c>
      <c r="E5" s="487">
        <f t="shared" si="3"/>
        <v>70172.600000000006</v>
      </c>
      <c r="F5" s="487">
        <f t="shared" si="3"/>
        <v>70123.8</v>
      </c>
      <c r="G5" s="487">
        <f t="shared" si="3"/>
        <v>70398</v>
      </c>
      <c r="H5" s="487">
        <f t="shared" si="3"/>
        <v>70433</v>
      </c>
      <c r="I5" s="487">
        <f t="shared" si="3"/>
        <v>68439.199999999997</v>
      </c>
      <c r="J5" s="487">
        <f t="shared" ref="J5:K5" si="4">J3/5</f>
        <v>69344.800000000003</v>
      </c>
      <c r="K5" s="487">
        <f t="shared" si="4"/>
        <v>71631.199999999997</v>
      </c>
      <c r="L5" s="487">
        <f t="shared" ref="L5" si="5">L3/5</f>
        <v>72618.600000000006</v>
      </c>
      <c r="M5" s="490"/>
    </row>
    <row r="6" spans="1:14">
      <c r="D6" s="489"/>
      <c r="E6" s="489"/>
      <c r="F6" s="489"/>
      <c r="G6" s="489"/>
      <c r="H6" s="489"/>
      <c r="I6" s="489"/>
      <c r="J6" s="489"/>
      <c r="K6" s="489"/>
      <c r="L6" s="489"/>
    </row>
    <row r="7" spans="1:14">
      <c r="A7" s="485" t="s">
        <v>4679</v>
      </c>
      <c r="D7" s="489">
        <f t="shared" ref="D7:I7" si="6">D143</f>
        <v>71870</v>
      </c>
      <c r="E7" s="489">
        <f t="shared" si="6"/>
        <v>73312</v>
      </c>
      <c r="F7" s="489">
        <f t="shared" si="6"/>
        <v>73625</v>
      </c>
      <c r="G7" s="489">
        <f t="shared" si="6"/>
        <v>73642</v>
      </c>
      <c r="H7" s="489">
        <f t="shared" si="6"/>
        <v>73846</v>
      </c>
      <c r="I7" s="489">
        <f t="shared" si="6"/>
        <v>72404</v>
      </c>
      <c r="J7" s="489">
        <f t="shared" ref="J7:K7" si="7">J143</f>
        <v>72812</v>
      </c>
      <c r="K7" s="489">
        <f t="shared" si="7"/>
        <v>74534</v>
      </c>
      <c r="L7" s="489">
        <f t="shared" ref="L7" si="8">L143</f>
        <v>75179</v>
      </c>
      <c r="N7" s="485" t="s">
        <v>4680</v>
      </c>
    </row>
    <row r="8" spans="1:14">
      <c r="D8" s="489"/>
      <c r="E8" s="489"/>
      <c r="F8" s="489"/>
      <c r="G8" s="489"/>
      <c r="H8" s="489"/>
      <c r="I8" s="489"/>
      <c r="J8" s="489"/>
      <c r="K8" s="489"/>
      <c r="L8" s="489"/>
    </row>
    <row r="9" spans="1:14">
      <c r="A9" s="484" t="s">
        <v>4681</v>
      </c>
      <c r="D9" s="487">
        <f t="shared" ref="D9:I9" si="9">D144</f>
        <v>66972</v>
      </c>
      <c r="E9" s="487">
        <f t="shared" si="9"/>
        <v>68846</v>
      </c>
      <c r="F9" s="487">
        <f t="shared" si="9"/>
        <v>68569</v>
      </c>
      <c r="G9" s="487">
        <f t="shared" si="9"/>
        <v>68795</v>
      </c>
      <c r="H9" s="487">
        <f t="shared" si="9"/>
        <v>68473</v>
      </c>
      <c r="I9" s="487">
        <f t="shared" si="9"/>
        <v>66399</v>
      </c>
      <c r="J9" s="487">
        <f t="shared" ref="J9:K9" si="10">J144</f>
        <v>67301</v>
      </c>
      <c r="K9" s="487">
        <f t="shared" si="10"/>
        <v>69598</v>
      </c>
      <c r="L9" s="487">
        <f t="shared" ref="L9" si="11">L144</f>
        <v>70199</v>
      </c>
      <c r="M9" s="488"/>
      <c r="N9" s="485" t="s">
        <v>4680</v>
      </c>
    </row>
    <row r="10" spans="1:14">
      <c r="D10" s="489"/>
      <c r="E10" s="489"/>
      <c r="F10" s="489"/>
      <c r="G10" s="489"/>
      <c r="H10" s="489"/>
      <c r="I10" s="489"/>
      <c r="J10" s="489"/>
      <c r="K10" s="489"/>
      <c r="L10" s="489"/>
    </row>
    <row r="11" spans="1:14">
      <c r="A11" s="484" t="s">
        <v>4682</v>
      </c>
      <c r="D11" s="487">
        <f t="shared" ref="D11:I11" si="12">D145</f>
        <v>65762</v>
      </c>
      <c r="E11" s="487">
        <f t="shared" si="12"/>
        <v>67154</v>
      </c>
      <c r="F11" s="487">
        <f t="shared" si="12"/>
        <v>66986</v>
      </c>
      <c r="G11" s="487">
        <f t="shared" si="12"/>
        <v>67313</v>
      </c>
      <c r="H11" s="487">
        <f t="shared" si="12"/>
        <v>67648</v>
      </c>
      <c r="I11" s="487">
        <f t="shared" si="12"/>
        <v>65506</v>
      </c>
      <c r="J11" s="487">
        <f t="shared" ref="J11:K11" si="13">J145</f>
        <v>66692</v>
      </c>
      <c r="K11" s="487">
        <f t="shared" si="13"/>
        <v>69032</v>
      </c>
      <c r="L11" s="487">
        <f t="shared" ref="L11" si="14">L145</f>
        <v>70473</v>
      </c>
      <c r="M11" s="488"/>
      <c r="N11" s="485" t="s">
        <v>4680</v>
      </c>
    </row>
    <row r="12" spans="1:14">
      <c r="D12" s="489"/>
      <c r="E12" s="489"/>
      <c r="F12" s="489"/>
      <c r="G12" s="489"/>
      <c r="H12" s="489"/>
      <c r="I12" s="489"/>
      <c r="J12" s="489"/>
      <c r="K12" s="489"/>
      <c r="L12" s="489"/>
    </row>
    <row r="13" spans="1:14">
      <c r="A13" s="484" t="s">
        <v>4683</v>
      </c>
      <c r="D13" s="487">
        <f t="shared" ref="D13:I13" si="15">D146</f>
        <v>67080</v>
      </c>
      <c r="E13" s="487">
        <f t="shared" si="15"/>
        <v>68731</v>
      </c>
      <c r="F13" s="487">
        <f t="shared" si="15"/>
        <v>68757</v>
      </c>
      <c r="G13" s="487">
        <f t="shared" si="15"/>
        <v>69442</v>
      </c>
      <c r="H13" s="487">
        <f t="shared" si="15"/>
        <v>69448</v>
      </c>
      <c r="I13" s="487">
        <f t="shared" si="15"/>
        <v>67122</v>
      </c>
      <c r="J13" s="487">
        <f t="shared" ref="J13:K13" si="16">J146</f>
        <v>68261</v>
      </c>
      <c r="K13" s="487">
        <f t="shared" si="16"/>
        <v>70247</v>
      </c>
      <c r="L13" s="487">
        <f t="shared" ref="L13" si="17">L146</f>
        <v>71614</v>
      </c>
      <c r="M13" s="488"/>
      <c r="N13" s="485" t="s">
        <v>4680</v>
      </c>
    </row>
    <row r="14" spans="1:14">
      <c r="D14" s="489"/>
      <c r="E14" s="489"/>
      <c r="F14" s="489"/>
      <c r="G14" s="489"/>
      <c r="H14" s="489"/>
      <c r="I14" s="489"/>
      <c r="J14" s="489"/>
      <c r="K14" s="489"/>
      <c r="L14" s="489"/>
    </row>
    <row r="15" spans="1:14">
      <c r="A15" s="484" t="s">
        <v>6444</v>
      </c>
      <c r="D15" s="487">
        <f t="shared" ref="D15:I15" si="18">D147</f>
        <v>71452</v>
      </c>
      <c r="E15" s="487">
        <f t="shared" si="18"/>
        <v>72820</v>
      </c>
      <c r="F15" s="487">
        <f t="shared" si="18"/>
        <v>72682</v>
      </c>
      <c r="G15" s="487">
        <f t="shared" si="18"/>
        <v>72798</v>
      </c>
      <c r="H15" s="487">
        <f t="shared" si="18"/>
        <v>72750</v>
      </c>
      <c r="I15" s="487">
        <f t="shared" si="18"/>
        <v>70765</v>
      </c>
      <c r="J15" s="487">
        <f t="shared" ref="J15:K15" si="19">J147</f>
        <v>71658</v>
      </c>
      <c r="K15" s="487">
        <f t="shared" si="19"/>
        <v>74745</v>
      </c>
      <c r="L15" s="487">
        <f t="shared" ref="L15" si="20">L147</f>
        <v>75628</v>
      </c>
      <c r="M15" s="488"/>
      <c r="N15" s="485" t="s">
        <v>4680</v>
      </c>
    </row>
    <row r="16" spans="1:14">
      <c r="D16" s="489"/>
      <c r="E16" s="489"/>
      <c r="F16" s="489"/>
      <c r="G16" s="489"/>
      <c r="H16" s="489"/>
      <c r="I16" s="489"/>
      <c r="J16" s="489"/>
      <c r="K16" s="489"/>
      <c r="L16" s="489"/>
    </row>
    <row r="17" spans="1:17">
      <c r="A17" s="484" t="s">
        <v>8697</v>
      </c>
      <c r="D17" s="487">
        <f t="shared" ref="D17:I17" si="21">D7+D9+D11+D13+D15</f>
        <v>343136</v>
      </c>
      <c r="E17" s="487">
        <f t="shared" si="21"/>
        <v>350863</v>
      </c>
      <c r="F17" s="487">
        <f t="shared" si="21"/>
        <v>350619</v>
      </c>
      <c r="G17" s="487">
        <f t="shared" si="21"/>
        <v>351990</v>
      </c>
      <c r="H17" s="487">
        <f t="shared" si="21"/>
        <v>352165</v>
      </c>
      <c r="I17" s="487">
        <f t="shared" si="21"/>
        <v>342196</v>
      </c>
      <c r="J17" s="487">
        <f t="shared" ref="J17:K17" si="22">J7+J9+J11+J13+J15</f>
        <v>346724</v>
      </c>
      <c r="K17" s="487">
        <f t="shared" si="22"/>
        <v>358156</v>
      </c>
      <c r="L17" s="487">
        <f t="shared" ref="L17" si="23">L7+L9+L11+L13+L15</f>
        <v>363093</v>
      </c>
      <c r="M17" s="488"/>
    </row>
    <row r="18" spans="1:17">
      <c r="A18" s="484"/>
      <c r="D18" s="487"/>
      <c r="E18" s="487"/>
      <c r="F18" s="487"/>
      <c r="G18" s="487"/>
      <c r="H18" s="487"/>
      <c r="I18" s="487"/>
      <c r="J18" s="487"/>
      <c r="K18" s="487"/>
      <c r="L18" s="487"/>
      <c r="M18" s="488"/>
    </row>
    <row r="19" spans="1:17">
      <c r="A19" s="484" t="s">
        <v>8698</v>
      </c>
      <c r="D19" s="487">
        <f t="shared" ref="D19:I19" si="24">MAX(D7,D9,D11,D13,D15)-MIN(D7,D9,D11,D13,D15)</f>
        <v>6108</v>
      </c>
      <c r="E19" s="487">
        <f t="shared" si="24"/>
        <v>6158</v>
      </c>
      <c r="F19" s="487">
        <f t="shared" si="24"/>
        <v>6639</v>
      </c>
      <c r="G19" s="487">
        <f t="shared" si="24"/>
        <v>6329</v>
      </c>
      <c r="H19" s="487">
        <f t="shared" si="24"/>
        <v>6198</v>
      </c>
      <c r="I19" s="487">
        <f t="shared" si="24"/>
        <v>6898</v>
      </c>
      <c r="J19" s="487">
        <f t="shared" ref="J19:K19" si="25">MAX(J7,J9,J11,J13,J15)-MIN(J7,J9,J11,J13,J15)</f>
        <v>6120</v>
      </c>
      <c r="K19" s="487">
        <f t="shared" si="25"/>
        <v>5713</v>
      </c>
      <c r="L19" s="487">
        <f t="shared" ref="L19" si="26">MAX(L7,L9,L11,L13,L15)-MIN(L7,L9,L11,L13,L15)</f>
        <v>5429</v>
      </c>
      <c r="M19" s="488"/>
    </row>
    <row r="20" spans="1:17">
      <c r="A20" s="484"/>
      <c r="D20" s="487"/>
      <c r="E20" s="487"/>
      <c r="F20" s="487"/>
      <c r="G20" s="487"/>
      <c r="H20" s="487"/>
      <c r="I20" s="487"/>
      <c r="J20" s="487"/>
      <c r="K20" s="487"/>
      <c r="L20" s="487"/>
      <c r="M20" s="488"/>
    </row>
    <row r="21" spans="1:17">
      <c r="A21" s="484" t="s">
        <v>8701</v>
      </c>
      <c r="D21" s="487">
        <f t="shared" ref="D21:I21" si="27">STDEVP(D7,D9,D11,D13,D15)</f>
        <v>2523.415653434844</v>
      </c>
      <c r="E21" s="487">
        <f t="shared" si="27"/>
        <v>2441.9084012304802</v>
      </c>
      <c r="F21" s="487">
        <f t="shared" si="27"/>
        <v>2566.4809681741262</v>
      </c>
      <c r="G21" s="487">
        <f t="shared" si="27"/>
        <v>2420.0952873802303</v>
      </c>
      <c r="H21" s="487">
        <f t="shared" si="27"/>
        <v>2432.4928776874149</v>
      </c>
      <c r="I21" s="487">
        <f t="shared" si="27"/>
        <v>2669.4598255077749</v>
      </c>
      <c r="J21" s="487">
        <f t="shared" ref="J21:K21" si="28">STDEVP(J7,J9,J11,J13,J15)</f>
        <v>2439.7319033041313</v>
      </c>
      <c r="K21" s="487">
        <f t="shared" si="28"/>
        <v>2487.0766292979397</v>
      </c>
      <c r="L21" s="487">
        <f t="shared" ref="L21" si="29">STDEVP(L7,L9,L11,L13,L15)</f>
        <v>2327.2052423454188</v>
      </c>
      <c r="M21" s="490"/>
    </row>
    <row r="23" spans="1:17">
      <c r="A23" s="484" t="s">
        <v>6445</v>
      </c>
    </row>
    <row r="24" spans="1:17">
      <c r="A24" s="484"/>
    </row>
    <row r="25" spans="1:17">
      <c r="A25" s="484"/>
    </row>
    <row r="26" spans="1:17">
      <c r="E26" s="42" t="s">
        <v>2303</v>
      </c>
      <c r="F26" s="42"/>
      <c r="G26" s="42"/>
      <c r="H26" s="42"/>
      <c r="I26" s="42"/>
      <c r="J26" s="42"/>
      <c r="K26" s="42"/>
      <c r="L26" s="42"/>
      <c r="M26" s="43"/>
      <c r="N26" s="43" t="s">
        <v>13319</v>
      </c>
    </row>
    <row r="27" spans="1:17">
      <c r="D27" s="42">
        <v>2010</v>
      </c>
      <c r="E27" s="42">
        <v>2011</v>
      </c>
      <c r="F27" s="42">
        <v>2012</v>
      </c>
      <c r="G27" s="42">
        <v>2013</v>
      </c>
      <c r="H27" s="42">
        <v>2014</v>
      </c>
      <c r="I27" s="42">
        <v>2015</v>
      </c>
      <c r="J27" s="42">
        <v>2016</v>
      </c>
      <c r="K27" s="42">
        <v>2017</v>
      </c>
      <c r="L27" s="42">
        <v>2018</v>
      </c>
      <c r="M27" s="43"/>
      <c r="N27" s="44" t="s">
        <v>2304</v>
      </c>
    </row>
    <row r="28" spans="1:17">
      <c r="A28" s="484" t="s">
        <v>4678</v>
      </c>
      <c r="B28" s="484"/>
      <c r="C28" s="484"/>
      <c r="D28" s="487">
        <f t="shared" ref="D28:I28" si="30">SUM(D29:D40)+SUM(D42:D60)+SUM(D62:D70)+SUM(D72:D74)+SUM(D76:D91)+SUM(D93:D110)+SUM(D112:D136)+SUM(D138:D141)</f>
        <v>343136</v>
      </c>
      <c r="E28" s="487">
        <f t="shared" si="30"/>
        <v>350863</v>
      </c>
      <c r="F28" s="487">
        <f t="shared" si="30"/>
        <v>350619</v>
      </c>
      <c r="G28" s="487">
        <f t="shared" si="30"/>
        <v>351990</v>
      </c>
      <c r="H28" s="487">
        <f t="shared" si="30"/>
        <v>352165</v>
      </c>
      <c r="I28" s="487">
        <f t="shared" si="30"/>
        <v>342196</v>
      </c>
      <c r="J28" s="487">
        <f>SUM(J29:J40)+SUM(J42:J60)+SUM(J62:J70)+SUM(J72:J74)+SUM(J76:J91)+SUM(J93:J110)+SUM(J112:J136)+SUM(J138:J141)</f>
        <v>346724</v>
      </c>
      <c r="K28" s="487">
        <f>SUM(K29:K40)+SUM(K42:K60)+SUM(K62:K70)+SUM(K72:K74)+SUM(K76:K91)+SUM(K93:K110)+SUM(K112:K136)+SUM(K138:K141)</f>
        <v>358156</v>
      </c>
      <c r="L28" s="487">
        <f>SUM(L29:L40)+SUM(L42:L60)+SUM(L62:L70)+SUM(L72:L74)+SUM(L76:L91)+SUM(L93:L110)+SUM(L112:L136)+SUM(L138:L141)</f>
        <v>363093</v>
      </c>
      <c r="M28" s="488"/>
    </row>
    <row r="29" spans="1:17">
      <c r="A29" s="484" t="s">
        <v>6957</v>
      </c>
      <c r="B29" s="484" t="s">
        <v>6446</v>
      </c>
      <c r="C29" s="4" t="s">
        <v>12222</v>
      </c>
      <c r="D29" s="487">
        <v>4009</v>
      </c>
      <c r="E29" s="487">
        <v>4110</v>
      </c>
      <c r="F29" s="487">
        <v>4112</v>
      </c>
      <c r="G29" s="31">
        <v>4069</v>
      </c>
      <c r="H29" s="31">
        <v>4003</v>
      </c>
      <c r="I29" s="31">
        <v>3866</v>
      </c>
      <c r="J29" s="31">
        <v>3881</v>
      </c>
      <c r="K29" s="31">
        <v>4038</v>
      </c>
      <c r="L29" s="31">
        <v>4043</v>
      </c>
      <c r="M29" s="488"/>
      <c r="N29" s="484" t="s">
        <v>4681</v>
      </c>
      <c r="O29" s="4"/>
      <c r="Q29" s="4"/>
    </row>
    <row r="30" spans="1:17">
      <c r="A30" s="484" t="s">
        <v>6959</v>
      </c>
      <c r="B30" s="484" t="s">
        <v>6447</v>
      </c>
      <c r="C30" s="4" t="s">
        <v>12223</v>
      </c>
      <c r="D30" s="487">
        <v>3421</v>
      </c>
      <c r="E30" s="487">
        <v>3456</v>
      </c>
      <c r="F30" s="487">
        <v>3424</v>
      </c>
      <c r="G30" s="31">
        <v>3424</v>
      </c>
      <c r="H30" s="31">
        <v>3427</v>
      </c>
      <c r="I30" s="31">
        <v>3384</v>
      </c>
      <c r="J30" s="31">
        <v>3314</v>
      </c>
      <c r="K30" s="31">
        <v>3360</v>
      </c>
      <c r="L30" s="31">
        <v>3377</v>
      </c>
      <c r="M30" s="488"/>
      <c r="N30" s="484" t="s">
        <v>4683</v>
      </c>
      <c r="O30" s="4"/>
      <c r="Q30" s="4"/>
    </row>
    <row r="31" spans="1:17">
      <c r="A31" s="484" t="s">
        <v>6961</v>
      </c>
      <c r="B31" s="484" t="s">
        <v>6448</v>
      </c>
      <c r="C31" s="4" t="s">
        <v>12224</v>
      </c>
      <c r="D31" s="487">
        <v>3579</v>
      </c>
      <c r="E31" s="487">
        <v>3813</v>
      </c>
      <c r="F31" s="487">
        <v>3965</v>
      </c>
      <c r="G31" s="31">
        <v>4171</v>
      </c>
      <c r="H31" s="31">
        <v>4205</v>
      </c>
      <c r="I31" s="31">
        <v>4063</v>
      </c>
      <c r="J31" s="31">
        <v>4199</v>
      </c>
      <c r="K31" s="31">
        <v>4514</v>
      </c>
      <c r="L31" s="31">
        <v>4800</v>
      </c>
      <c r="M31" s="488"/>
      <c r="N31" s="484" t="s">
        <v>4683</v>
      </c>
      <c r="O31" s="4"/>
      <c r="Q31" s="4"/>
    </row>
    <row r="32" spans="1:17">
      <c r="A32" s="484" t="s">
        <v>6963</v>
      </c>
      <c r="B32" s="484" t="s">
        <v>6449</v>
      </c>
      <c r="C32" s="4" t="s">
        <v>12225</v>
      </c>
      <c r="D32" s="487">
        <v>3585</v>
      </c>
      <c r="E32" s="487">
        <v>3644</v>
      </c>
      <c r="F32" s="487">
        <v>3674</v>
      </c>
      <c r="G32" s="31">
        <v>3666</v>
      </c>
      <c r="H32" s="31">
        <v>3562</v>
      </c>
      <c r="I32" s="31">
        <v>3517</v>
      </c>
      <c r="J32" s="31">
        <v>3580</v>
      </c>
      <c r="K32" s="31">
        <v>3655</v>
      </c>
      <c r="L32" s="31">
        <v>3682</v>
      </c>
      <c r="M32" s="488"/>
      <c r="N32" s="484" t="s">
        <v>4683</v>
      </c>
      <c r="O32" s="4"/>
      <c r="Q32" s="4"/>
    </row>
    <row r="33" spans="1:17">
      <c r="A33" s="484" t="s">
        <v>6965</v>
      </c>
      <c r="B33" s="484" t="s">
        <v>6450</v>
      </c>
      <c r="C33" s="4" t="s">
        <v>12226</v>
      </c>
      <c r="D33" s="487">
        <v>3426</v>
      </c>
      <c r="E33" s="487">
        <v>3453</v>
      </c>
      <c r="F33" s="487">
        <v>3401</v>
      </c>
      <c r="G33" s="31">
        <v>3342</v>
      </c>
      <c r="H33" s="31">
        <v>3323</v>
      </c>
      <c r="I33" s="31">
        <v>3245</v>
      </c>
      <c r="J33" s="31">
        <v>3354</v>
      </c>
      <c r="K33" s="31">
        <v>3410</v>
      </c>
      <c r="L33" s="31">
        <v>3431</v>
      </c>
      <c r="M33" s="488"/>
      <c r="N33" s="484" t="s">
        <v>4683</v>
      </c>
      <c r="O33" s="4"/>
      <c r="Q33" s="4"/>
    </row>
    <row r="34" spans="1:17">
      <c r="A34" s="484" t="s">
        <v>6997</v>
      </c>
      <c r="B34" s="484" t="s">
        <v>6451</v>
      </c>
      <c r="C34" s="4" t="s">
        <v>12227</v>
      </c>
      <c r="D34" s="487">
        <v>3659</v>
      </c>
      <c r="E34" s="487">
        <v>3750</v>
      </c>
      <c r="F34" s="487">
        <v>3712</v>
      </c>
      <c r="G34" s="31">
        <v>3712</v>
      </c>
      <c r="H34" s="31">
        <v>3720</v>
      </c>
      <c r="I34" s="31">
        <v>3559</v>
      </c>
      <c r="J34" s="31">
        <v>3670</v>
      </c>
      <c r="K34" s="31">
        <v>3749</v>
      </c>
      <c r="L34" s="31">
        <v>3838</v>
      </c>
      <c r="M34" s="488"/>
      <c r="N34" s="484" t="s">
        <v>4682</v>
      </c>
      <c r="O34" s="4"/>
      <c r="Q34" s="4"/>
    </row>
    <row r="35" spans="1:17">
      <c r="A35" s="484" t="s">
        <v>6999</v>
      </c>
      <c r="B35" s="484" t="s">
        <v>6452</v>
      </c>
      <c r="C35" s="4" t="s">
        <v>12228</v>
      </c>
      <c r="D35" s="487">
        <v>3737</v>
      </c>
      <c r="E35" s="487">
        <v>3764</v>
      </c>
      <c r="F35" s="487">
        <v>3754</v>
      </c>
      <c r="G35" s="30">
        <v>3757</v>
      </c>
      <c r="H35" s="30">
        <v>3758</v>
      </c>
      <c r="I35" s="30">
        <v>3730</v>
      </c>
      <c r="J35" s="30">
        <v>3724</v>
      </c>
      <c r="K35" s="30">
        <v>3788</v>
      </c>
      <c r="L35" s="30">
        <v>3844</v>
      </c>
      <c r="M35" s="488"/>
      <c r="N35" s="484" t="s">
        <v>4679</v>
      </c>
      <c r="O35" s="4"/>
      <c r="Q35" s="4"/>
    </row>
    <row r="36" spans="1:17">
      <c r="A36" s="484" t="s">
        <v>7001</v>
      </c>
      <c r="B36" s="484" t="s">
        <v>6453</v>
      </c>
      <c r="C36" s="4" t="s">
        <v>12229</v>
      </c>
      <c r="D36" s="487">
        <v>3749</v>
      </c>
      <c r="E36" s="487">
        <v>3853</v>
      </c>
      <c r="F36" s="487">
        <v>3868</v>
      </c>
      <c r="G36" s="30">
        <v>3831</v>
      </c>
      <c r="H36" s="30">
        <v>3790</v>
      </c>
      <c r="I36" s="30">
        <v>3774</v>
      </c>
      <c r="J36" s="30">
        <v>3873</v>
      </c>
      <c r="K36" s="30">
        <v>4002</v>
      </c>
      <c r="L36" s="30">
        <v>4059</v>
      </c>
      <c r="M36" s="488"/>
      <c r="N36" s="484" t="s">
        <v>4679</v>
      </c>
      <c r="O36" s="4"/>
      <c r="Q36" s="4"/>
    </row>
    <row r="37" spans="1:17">
      <c r="A37" s="484" t="s">
        <v>7003</v>
      </c>
      <c r="B37" s="484" t="s">
        <v>6454</v>
      </c>
      <c r="C37" s="4" t="s">
        <v>12230</v>
      </c>
      <c r="D37" s="487">
        <v>3635</v>
      </c>
      <c r="E37" s="487">
        <v>3679</v>
      </c>
      <c r="F37" s="487">
        <v>3726</v>
      </c>
      <c r="G37" s="31">
        <v>3733</v>
      </c>
      <c r="H37" s="31">
        <v>3691</v>
      </c>
      <c r="I37" s="31">
        <v>3662</v>
      </c>
      <c r="J37" s="31">
        <v>3687</v>
      </c>
      <c r="K37" s="31">
        <v>3725</v>
      </c>
      <c r="L37" s="31">
        <v>3709</v>
      </c>
      <c r="M37" s="488"/>
      <c r="N37" s="484" t="s">
        <v>4682</v>
      </c>
      <c r="O37" s="4"/>
      <c r="Q37" s="4"/>
    </row>
    <row r="38" spans="1:17">
      <c r="A38" s="484" t="s">
        <v>7005</v>
      </c>
      <c r="B38" s="484" t="s">
        <v>6455</v>
      </c>
      <c r="C38" s="4" t="s">
        <v>12231</v>
      </c>
      <c r="D38" s="487">
        <v>3795</v>
      </c>
      <c r="E38" s="487">
        <v>3895</v>
      </c>
      <c r="F38" s="487">
        <v>3905</v>
      </c>
      <c r="G38" s="31">
        <v>3875</v>
      </c>
      <c r="H38" s="31">
        <v>3875</v>
      </c>
      <c r="I38" s="31">
        <v>3822</v>
      </c>
      <c r="J38" s="31">
        <v>3784</v>
      </c>
      <c r="K38" s="31">
        <v>3834</v>
      </c>
      <c r="L38" s="31">
        <v>3879</v>
      </c>
      <c r="M38" s="488"/>
      <c r="N38" s="484" t="s">
        <v>4681</v>
      </c>
      <c r="O38" s="4"/>
      <c r="Q38" s="4"/>
    </row>
    <row r="39" spans="1:17">
      <c r="A39" s="484" t="s">
        <v>7007</v>
      </c>
      <c r="B39" s="484" t="s">
        <v>6456</v>
      </c>
      <c r="C39" s="4" t="s">
        <v>12232</v>
      </c>
      <c r="D39" s="487">
        <v>2644</v>
      </c>
      <c r="E39" s="487">
        <v>2693</v>
      </c>
      <c r="F39" s="487">
        <v>2584</v>
      </c>
      <c r="G39" s="31">
        <v>2786</v>
      </c>
      <c r="H39" s="31">
        <v>2859</v>
      </c>
      <c r="I39" s="31">
        <v>2625</v>
      </c>
      <c r="J39" s="31">
        <v>2965</v>
      </c>
      <c r="K39" s="31">
        <v>3083</v>
      </c>
      <c r="L39" s="31">
        <v>3114</v>
      </c>
      <c r="M39" s="488"/>
      <c r="N39" s="484" t="s">
        <v>4681</v>
      </c>
      <c r="O39" s="4"/>
      <c r="Q39" s="4"/>
    </row>
    <row r="40" spans="1:17" ht="15.75" thickBot="1">
      <c r="A40" s="484"/>
      <c r="B40" s="484"/>
      <c r="C40" s="4" t="s">
        <v>12232</v>
      </c>
      <c r="D40" s="491">
        <v>819</v>
      </c>
      <c r="E40" s="492">
        <v>844</v>
      </c>
      <c r="F40" s="492">
        <v>859</v>
      </c>
      <c r="G40" s="31">
        <v>852</v>
      </c>
      <c r="H40" s="31">
        <v>855</v>
      </c>
      <c r="I40" s="31">
        <v>833</v>
      </c>
      <c r="J40" s="31">
        <v>852</v>
      </c>
      <c r="K40" s="31">
        <v>898</v>
      </c>
      <c r="L40" s="31">
        <v>888</v>
      </c>
      <c r="M40" s="488"/>
      <c r="N40" s="484" t="s">
        <v>4683</v>
      </c>
    </row>
    <row r="41" spans="1:17" ht="15.75" thickBot="1">
      <c r="A41" s="484"/>
      <c r="B41" s="484"/>
      <c r="C41" s="4" t="s">
        <v>12232</v>
      </c>
      <c r="D41" s="493">
        <f t="shared" ref="D41:L41" si="31">D39+D40</f>
        <v>3463</v>
      </c>
      <c r="E41" s="493">
        <f t="shared" si="31"/>
        <v>3537</v>
      </c>
      <c r="F41" s="493">
        <f t="shared" si="31"/>
        <v>3443</v>
      </c>
      <c r="G41" s="493">
        <f t="shared" si="31"/>
        <v>3638</v>
      </c>
      <c r="H41" s="493">
        <f t="shared" si="31"/>
        <v>3714</v>
      </c>
      <c r="I41" s="493">
        <f t="shared" si="31"/>
        <v>3458</v>
      </c>
      <c r="J41" s="493">
        <f t="shared" si="31"/>
        <v>3817</v>
      </c>
      <c r="K41" s="493">
        <f t="shared" si="31"/>
        <v>3981</v>
      </c>
      <c r="L41" s="493">
        <f t="shared" si="31"/>
        <v>4002</v>
      </c>
      <c r="M41" s="488"/>
      <c r="N41" s="484"/>
    </row>
    <row r="42" spans="1:17">
      <c r="A42" s="484" t="s">
        <v>7009</v>
      </c>
      <c r="B42" s="484" t="s">
        <v>6457</v>
      </c>
      <c r="C42" s="4" t="s">
        <v>12233</v>
      </c>
      <c r="D42" s="487">
        <v>3783</v>
      </c>
      <c r="E42" s="487">
        <v>3903</v>
      </c>
      <c r="F42" s="487">
        <v>3861</v>
      </c>
      <c r="G42" s="31">
        <v>3840</v>
      </c>
      <c r="H42" s="31">
        <v>3773</v>
      </c>
      <c r="I42" s="31">
        <v>3704</v>
      </c>
      <c r="J42" s="31">
        <v>3719</v>
      </c>
      <c r="K42" s="31">
        <v>3839</v>
      </c>
      <c r="L42" s="31">
        <v>3934</v>
      </c>
      <c r="M42" s="488"/>
      <c r="N42" s="484" t="s">
        <v>4681</v>
      </c>
    </row>
    <row r="43" spans="1:17">
      <c r="A43" s="484" t="s">
        <v>7011</v>
      </c>
      <c r="B43" s="484" t="s">
        <v>6458</v>
      </c>
      <c r="C43" s="4" t="s">
        <v>12234</v>
      </c>
      <c r="D43" s="487">
        <v>3421</v>
      </c>
      <c r="E43" s="487">
        <v>3502</v>
      </c>
      <c r="F43" s="487">
        <v>3436</v>
      </c>
      <c r="G43" s="31">
        <v>3478</v>
      </c>
      <c r="H43" s="31">
        <v>3556</v>
      </c>
      <c r="I43" s="31">
        <v>3457</v>
      </c>
      <c r="J43" s="31">
        <v>3475</v>
      </c>
      <c r="K43" s="31">
        <v>3554</v>
      </c>
      <c r="L43" s="31">
        <v>3600</v>
      </c>
      <c r="M43" s="488"/>
      <c r="N43" s="484" t="s">
        <v>4682</v>
      </c>
      <c r="O43" s="4"/>
      <c r="Q43" s="4"/>
    </row>
    <row r="44" spans="1:17">
      <c r="A44" s="484" t="s">
        <v>7013</v>
      </c>
      <c r="B44" s="484" t="s">
        <v>6459</v>
      </c>
      <c r="C44" s="4" t="s">
        <v>12235</v>
      </c>
      <c r="D44" s="487">
        <v>3174</v>
      </c>
      <c r="E44" s="487">
        <v>3210</v>
      </c>
      <c r="F44" s="487">
        <v>3216</v>
      </c>
      <c r="G44" s="31">
        <v>3228</v>
      </c>
      <c r="H44" s="31">
        <v>3143</v>
      </c>
      <c r="I44" s="31">
        <v>3046</v>
      </c>
      <c r="J44" s="31">
        <v>3164</v>
      </c>
      <c r="K44" s="31">
        <v>3350</v>
      </c>
      <c r="L44" s="31">
        <v>3405</v>
      </c>
      <c r="M44" s="488"/>
      <c r="N44" s="484" t="s">
        <v>4682</v>
      </c>
      <c r="O44" s="4"/>
      <c r="Q44" s="4"/>
    </row>
    <row r="45" spans="1:17">
      <c r="A45" s="484" t="s">
        <v>7015</v>
      </c>
      <c r="B45" s="484" t="s">
        <v>6460</v>
      </c>
      <c r="C45" s="4" t="s">
        <v>12236</v>
      </c>
      <c r="D45" s="487">
        <v>3295</v>
      </c>
      <c r="E45" s="487">
        <v>3342</v>
      </c>
      <c r="F45" s="487">
        <v>3356</v>
      </c>
      <c r="G45" s="31">
        <v>3404</v>
      </c>
      <c r="H45" s="31">
        <v>3699</v>
      </c>
      <c r="I45" s="31">
        <v>3690</v>
      </c>
      <c r="J45" s="31">
        <v>3770</v>
      </c>
      <c r="K45" s="31">
        <v>3861</v>
      </c>
      <c r="L45" s="31">
        <v>3896</v>
      </c>
      <c r="M45" s="488"/>
      <c r="N45" s="484" t="s">
        <v>4682</v>
      </c>
      <c r="O45" s="4"/>
      <c r="Q45" s="4"/>
    </row>
    <row r="46" spans="1:17">
      <c r="A46" s="484" t="s">
        <v>7017</v>
      </c>
      <c r="B46" s="484" t="s">
        <v>6461</v>
      </c>
      <c r="C46" s="4" t="s">
        <v>12237</v>
      </c>
      <c r="D46" s="487">
        <v>3258</v>
      </c>
      <c r="E46" s="487">
        <v>3311</v>
      </c>
      <c r="F46" s="487">
        <v>3319</v>
      </c>
      <c r="G46" s="31">
        <v>3313</v>
      </c>
      <c r="H46" s="31">
        <v>3185</v>
      </c>
      <c r="I46" s="31">
        <v>3012</v>
      </c>
      <c r="J46" s="31">
        <v>3095</v>
      </c>
      <c r="K46" s="31">
        <v>3225</v>
      </c>
      <c r="L46" s="31">
        <v>3319</v>
      </c>
      <c r="M46" s="488"/>
      <c r="N46" s="484" t="s">
        <v>4682</v>
      </c>
      <c r="O46" s="4"/>
      <c r="Q46" s="4"/>
    </row>
    <row r="47" spans="1:17">
      <c r="A47" s="484" t="s">
        <v>7019</v>
      </c>
      <c r="B47" s="484" t="s">
        <v>6462</v>
      </c>
      <c r="C47" s="4" t="s">
        <v>12238</v>
      </c>
      <c r="D47" s="487">
        <v>3389</v>
      </c>
      <c r="E47" s="487">
        <v>3465</v>
      </c>
      <c r="F47" s="487">
        <v>3475</v>
      </c>
      <c r="G47" s="31">
        <v>3471</v>
      </c>
      <c r="H47" s="31">
        <v>3456</v>
      </c>
      <c r="I47" s="31">
        <v>3370</v>
      </c>
      <c r="J47" s="31">
        <v>3398</v>
      </c>
      <c r="K47" s="31">
        <v>3506</v>
      </c>
      <c r="L47" s="31">
        <v>3639</v>
      </c>
      <c r="M47" s="488"/>
      <c r="N47" s="484" t="s">
        <v>4682</v>
      </c>
      <c r="O47" s="4"/>
      <c r="Q47" s="4"/>
    </row>
    <row r="48" spans="1:17">
      <c r="A48" s="484" t="s">
        <v>7021</v>
      </c>
      <c r="B48" s="484" t="s">
        <v>6463</v>
      </c>
      <c r="C48" s="4" t="s">
        <v>12239</v>
      </c>
      <c r="D48" s="487">
        <v>3691</v>
      </c>
      <c r="E48" s="487">
        <v>3689</v>
      </c>
      <c r="F48" s="487">
        <v>3705</v>
      </c>
      <c r="G48" s="31">
        <v>3722</v>
      </c>
      <c r="H48" s="31">
        <v>3710</v>
      </c>
      <c r="I48" s="31">
        <v>3625</v>
      </c>
      <c r="J48" s="31">
        <v>3689</v>
      </c>
      <c r="K48" s="31">
        <v>3736</v>
      </c>
      <c r="L48" s="31">
        <v>3728</v>
      </c>
      <c r="M48" s="488"/>
      <c r="N48" s="484" t="s">
        <v>4682</v>
      </c>
      <c r="O48" s="4"/>
      <c r="Q48" s="4"/>
    </row>
    <row r="49" spans="1:17">
      <c r="A49" s="484" t="s">
        <v>7023</v>
      </c>
      <c r="B49" s="484" t="s">
        <v>6464</v>
      </c>
      <c r="C49" s="4" t="s">
        <v>12240</v>
      </c>
      <c r="D49" s="487">
        <v>3343</v>
      </c>
      <c r="E49" s="487">
        <v>3386</v>
      </c>
      <c r="F49" s="487">
        <v>3405</v>
      </c>
      <c r="G49" s="30">
        <v>3387</v>
      </c>
      <c r="H49" s="30">
        <v>3394</v>
      </c>
      <c r="I49" s="30">
        <v>3348</v>
      </c>
      <c r="J49" s="30">
        <v>3326</v>
      </c>
      <c r="K49" s="30">
        <v>3333</v>
      </c>
      <c r="L49" s="30">
        <v>3333</v>
      </c>
      <c r="M49" s="488"/>
      <c r="N49" s="484" t="s">
        <v>4679</v>
      </c>
      <c r="O49" s="4"/>
      <c r="Q49" s="4"/>
    </row>
    <row r="50" spans="1:17">
      <c r="A50" s="484" t="s">
        <v>7025</v>
      </c>
      <c r="B50" s="484" t="s">
        <v>6465</v>
      </c>
      <c r="C50" s="4" t="s">
        <v>12241</v>
      </c>
      <c r="D50" s="487">
        <v>3500</v>
      </c>
      <c r="E50" s="487">
        <v>3529</v>
      </c>
      <c r="F50" s="487">
        <v>3483</v>
      </c>
      <c r="G50" s="30">
        <v>3513</v>
      </c>
      <c r="H50" s="30">
        <v>3538</v>
      </c>
      <c r="I50" s="30">
        <v>3447</v>
      </c>
      <c r="J50" s="30">
        <v>3355</v>
      </c>
      <c r="K50" s="30">
        <v>3448</v>
      </c>
      <c r="L50" s="30">
        <v>3486</v>
      </c>
      <c r="M50" s="488"/>
      <c r="N50" s="484" t="s">
        <v>4679</v>
      </c>
      <c r="O50" s="4"/>
      <c r="Q50" s="4"/>
    </row>
    <row r="51" spans="1:17">
      <c r="A51" s="484" t="s">
        <v>7570</v>
      </c>
      <c r="B51" s="484" t="s">
        <v>1698</v>
      </c>
      <c r="C51" s="4" t="s">
        <v>12242</v>
      </c>
      <c r="D51" s="487">
        <v>3342</v>
      </c>
      <c r="E51" s="487">
        <v>3394</v>
      </c>
      <c r="F51" s="487">
        <v>3444</v>
      </c>
      <c r="G51" s="30">
        <v>3389</v>
      </c>
      <c r="H51" s="30">
        <v>3227</v>
      </c>
      <c r="I51" s="30">
        <v>3120</v>
      </c>
      <c r="J51" s="30">
        <v>3210</v>
      </c>
      <c r="K51" s="30">
        <v>3371</v>
      </c>
      <c r="L51" s="30">
        <v>3419</v>
      </c>
      <c r="M51" s="488"/>
      <c r="N51" s="484" t="s">
        <v>4679</v>
      </c>
      <c r="O51" s="4"/>
      <c r="Q51" s="4"/>
    </row>
    <row r="52" spans="1:17">
      <c r="A52" s="484" t="s">
        <v>7572</v>
      </c>
      <c r="B52" s="484" t="s">
        <v>6466</v>
      </c>
      <c r="C52" s="4" t="s">
        <v>12243</v>
      </c>
      <c r="D52" s="487">
        <v>3137</v>
      </c>
      <c r="E52" s="487">
        <v>3193</v>
      </c>
      <c r="F52" s="487">
        <v>3216</v>
      </c>
      <c r="G52" s="30">
        <v>3109</v>
      </c>
      <c r="H52" s="30">
        <v>3061</v>
      </c>
      <c r="I52" s="30">
        <v>2904</v>
      </c>
      <c r="J52" s="30">
        <v>3005</v>
      </c>
      <c r="K52" s="30">
        <v>3188</v>
      </c>
      <c r="L52" s="30">
        <v>3194</v>
      </c>
      <c r="M52" s="488"/>
      <c r="N52" s="484" t="s">
        <v>4679</v>
      </c>
      <c r="O52" s="4"/>
      <c r="Q52" s="4"/>
    </row>
    <row r="53" spans="1:17">
      <c r="A53" s="484" t="s">
        <v>7573</v>
      </c>
      <c r="B53" s="484" t="s">
        <v>6467</v>
      </c>
      <c r="C53" s="4" t="s">
        <v>12244</v>
      </c>
      <c r="D53" s="487">
        <v>3296</v>
      </c>
      <c r="E53" s="487">
        <v>3433</v>
      </c>
      <c r="F53" s="487">
        <v>3508</v>
      </c>
      <c r="G53" s="30">
        <v>3515</v>
      </c>
      <c r="H53" s="30">
        <v>3555</v>
      </c>
      <c r="I53" s="30">
        <v>3449</v>
      </c>
      <c r="J53" s="30">
        <v>3430</v>
      </c>
      <c r="K53" s="30">
        <v>3546</v>
      </c>
      <c r="L53" s="30">
        <v>3611</v>
      </c>
      <c r="M53" s="488"/>
      <c r="N53" s="484" t="s">
        <v>4679</v>
      </c>
      <c r="O53" s="4"/>
      <c r="Q53" s="4"/>
    </row>
    <row r="54" spans="1:17">
      <c r="A54" s="484" t="s">
        <v>5798</v>
      </c>
      <c r="B54" s="484" t="s">
        <v>6468</v>
      </c>
      <c r="C54" s="4" t="s">
        <v>12245</v>
      </c>
      <c r="D54" s="487">
        <v>2877</v>
      </c>
      <c r="E54" s="487">
        <v>2972</v>
      </c>
      <c r="F54" s="487">
        <v>3023</v>
      </c>
      <c r="G54" s="30">
        <v>2997</v>
      </c>
      <c r="H54" s="30">
        <v>3021</v>
      </c>
      <c r="I54" s="30">
        <v>2943</v>
      </c>
      <c r="J54" s="30">
        <v>2921</v>
      </c>
      <c r="K54" s="30">
        <v>2964</v>
      </c>
      <c r="L54" s="30">
        <v>2983</v>
      </c>
      <c r="M54" s="488"/>
      <c r="N54" s="484" t="s">
        <v>4679</v>
      </c>
      <c r="O54" s="4"/>
      <c r="Q54" s="4"/>
    </row>
    <row r="55" spans="1:17">
      <c r="A55" s="484" t="s">
        <v>5799</v>
      </c>
      <c r="B55" s="484" t="s">
        <v>6469</v>
      </c>
      <c r="C55" s="4" t="s">
        <v>12246</v>
      </c>
      <c r="D55" s="487">
        <v>3335</v>
      </c>
      <c r="E55" s="487">
        <v>3398</v>
      </c>
      <c r="F55" s="487">
        <v>3412</v>
      </c>
      <c r="G55" s="30">
        <v>3387</v>
      </c>
      <c r="H55" s="30">
        <v>3379</v>
      </c>
      <c r="I55" s="30">
        <v>3293</v>
      </c>
      <c r="J55" s="30">
        <v>3266</v>
      </c>
      <c r="K55" s="30">
        <v>3350</v>
      </c>
      <c r="L55" s="30">
        <v>3334</v>
      </c>
      <c r="M55" s="488"/>
      <c r="N55" s="484" t="s">
        <v>4679</v>
      </c>
      <c r="O55" s="4"/>
      <c r="Q55" s="4"/>
    </row>
    <row r="56" spans="1:17">
      <c r="A56" s="484" t="s">
        <v>5801</v>
      </c>
      <c r="B56" s="484" t="s">
        <v>6470</v>
      </c>
      <c r="C56" s="4" t="s">
        <v>12247</v>
      </c>
      <c r="D56" s="487">
        <v>3351</v>
      </c>
      <c r="E56" s="487">
        <v>3392</v>
      </c>
      <c r="F56" s="487">
        <v>3337</v>
      </c>
      <c r="G56" s="30">
        <v>3328</v>
      </c>
      <c r="H56" s="30">
        <v>3324</v>
      </c>
      <c r="I56" s="30">
        <v>3272</v>
      </c>
      <c r="J56" s="30">
        <v>3244</v>
      </c>
      <c r="K56" s="30">
        <v>3250</v>
      </c>
      <c r="L56" s="30">
        <v>3252</v>
      </c>
      <c r="M56" s="488"/>
      <c r="N56" s="484" t="s">
        <v>4679</v>
      </c>
      <c r="O56" s="4"/>
      <c r="Q56" s="4"/>
    </row>
    <row r="57" spans="1:17">
      <c r="A57" s="484" t="s">
        <v>5927</v>
      </c>
      <c r="B57" s="484" t="s">
        <v>1547</v>
      </c>
      <c r="C57" s="4" t="s">
        <v>12248</v>
      </c>
      <c r="D57" s="487">
        <v>3666</v>
      </c>
      <c r="E57" s="487">
        <v>3781</v>
      </c>
      <c r="F57" s="487">
        <v>3790</v>
      </c>
      <c r="G57" s="30">
        <v>3767</v>
      </c>
      <c r="H57" s="30">
        <v>3640</v>
      </c>
      <c r="I57" s="30">
        <v>3535</v>
      </c>
      <c r="J57" s="30">
        <v>3561</v>
      </c>
      <c r="K57" s="30">
        <v>3720</v>
      </c>
      <c r="L57" s="30">
        <v>3726</v>
      </c>
      <c r="M57" s="488"/>
      <c r="N57" s="484" t="s">
        <v>4679</v>
      </c>
      <c r="O57" s="4"/>
      <c r="Q57" s="4"/>
    </row>
    <row r="58" spans="1:17">
      <c r="A58" s="484" t="s">
        <v>5929</v>
      </c>
      <c r="B58" s="484" t="s">
        <v>6471</v>
      </c>
      <c r="C58" s="4" t="s">
        <v>12249</v>
      </c>
      <c r="D58" s="487">
        <v>3755</v>
      </c>
      <c r="E58" s="487">
        <v>3801</v>
      </c>
      <c r="F58" s="487">
        <v>3756</v>
      </c>
      <c r="G58" s="30">
        <v>3756</v>
      </c>
      <c r="H58" s="30">
        <v>3756</v>
      </c>
      <c r="I58" s="30">
        <v>3688</v>
      </c>
      <c r="J58" s="30">
        <v>3712</v>
      </c>
      <c r="K58" s="30">
        <v>3797</v>
      </c>
      <c r="L58" s="30">
        <v>3750</v>
      </c>
      <c r="M58" s="488"/>
      <c r="N58" s="484" t="s">
        <v>4679</v>
      </c>
      <c r="O58" s="4"/>
      <c r="Q58" s="4"/>
    </row>
    <row r="59" spans="1:17">
      <c r="A59" s="484" t="s">
        <v>5931</v>
      </c>
      <c r="B59" s="484" t="s">
        <v>6472</v>
      </c>
      <c r="C59" s="4" t="s">
        <v>12250</v>
      </c>
      <c r="D59" s="487">
        <v>2322</v>
      </c>
      <c r="E59" s="487">
        <v>2344</v>
      </c>
      <c r="F59" s="487">
        <v>2322</v>
      </c>
      <c r="G59" s="30">
        <v>2334</v>
      </c>
      <c r="H59" s="30">
        <v>2317</v>
      </c>
      <c r="I59" s="30">
        <v>2313</v>
      </c>
      <c r="J59" s="30">
        <v>2382</v>
      </c>
      <c r="K59" s="30">
        <v>2455</v>
      </c>
      <c r="L59" s="30">
        <v>2485</v>
      </c>
      <c r="M59" s="488"/>
      <c r="N59" s="484" t="s">
        <v>4679</v>
      </c>
      <c r="O59" s="4"/>
      <c r="Q59" s="4"/>
    </row>
    <row r="60" spans="1:17" ht="15.75" thickBot="1">
      <c r="A60" s="484"/>
      <c r="B60" s="484"/>
      <c r="C60" s="4" t="s">
        <v>12250</v>
      </c>
      <c r="D60" s="487">
        <v>1575</v>
      </c>
      <c r="E60" s="487">
        <v>1605</v>
      </c>
      <c r="F60" s="487">
        <v>1598</v>
      </c>
      <c r="G60" s="31">
        <v>1638</v>
      </c>
      <c r="H60" s="31">
        <v>1607</v>
      </c>
      <c r="I60" s="31">
        <v>1501</v>
      </c>
      <c r="J60" s="31">
        <v>1551</v>
      </c>
      <c r="K60" s="31">
        <v>1589</v>
      </c>
      <c r="L60" s="31">
        <v>1612</v>
      </c>
      <c r="M60" s="488"/>
      <c r="N60" s="484" t="s">
        <v>4682</v>
      </c>
      <c r="O60" s="4"/>
      <c r="Q60" s="4"/>
    </row>
    <row r="61" spans="1:17" ht="15.75" thickBot="1">
      <c r="A61" s="484"/>
      <c r="B61" s="484"/>
      <c r="C61" s="4" t="s">
        <v>12250</v>
      </c>
      <c r="D61" s="493">
        <f t="shared" ref="D61:H61" si="32">D59+D60</f>
        <v>3897</v>
      </c>
      <c r="E61" s="493">
        <f t="shared" si="32"/>
        <v>3949</v>
      </c>
      <c r="F61" s="493">
        <f t="shared" si="32"/>
        <v>3920</v>
      </c>
      <c r="G61" s="493">
        <f t="shared" si="32"/>
        <v>3972</v>
      </c>
      <c r="H61" s="493">
        <f t="shared" si="32"/>
        <v>3924</v>
      </c>
      <c r="I61" s="493">
        <f>I59+I60</f>
        <v>3814</v>
      </c>
      <c r="J61" s="493">
        <f>J59+J60</f>
        <v>3933</v>
      </c>
      <c r="K61" s="493">
        <f>K59+K60</f>
        <v>4044</v>
      </c>
      <c r="L61" s="493">
        <f>L59+L60</f>
        <v>4097</v>
      </c>
      <c r="M61" s="488"/>
      <c r="N61" s="484"/>
      <c r="O61" s="4"/>
      <c r="Q61" s="4"/>
    </row>
    <row r="62" spans="1:17">
      <c r="A62" s="82">
        <v>30</v>
      </c>
      <c r="B62" s="484" t="s">
        <v>6473</v>
      </c>
      <c r="C62" s="4" t="s">
        <v>12251</v>
      </c>
      <c r="D62" s="487">
        <v>3828</v>
      </c>
      <c r="E62" s="487">
        <v>3937</v>
      </c>
      <c r="F62" s="487">
        <v>3958</v>
      </c>
      <c r="G62" s="31">
        <v>3943</v>
      </c>
      <c r="H62" s="31">
        <v>3939</v>
      </c>
      <c r="I62" s="31">
        <v>3826</v>
      </c>
      <c r="J62" s="31">
        <v>3816</v>
      </c>
      <c r="K62" s="31">
        <v>3845</v>
      </c>
      <c r="L62" s="31">
        <v>3886</v>
      </c>
      <c r="M62" s="488"/>
      <c r="N62" s="484" t="s">
        <v>4682</v>
      </c>
    </row>
    <row r="63" spans="1:17">
      <c r="A63" s="82">
        <v>31</v>
      </c>
      <c r="B63" s="484" t="s">
        <v>6474</v>
      </c>
      <c r="C63" s="4" t="s">
        <v>12252</v>
      </c>
      <c r="D63" s="487">
        <v>3473</v>
      </c>
      <c r="E63" s="487">
        <v>3493</v>
      </c>
      <c r="F63" s="487">
        <v>3379</v>
      </c>
      <c r="G63" s="31">
        <v>3376</v>
      </c>
      <c r="H63" s="31">
        <v>3440</v>
      </c>
      <c r="I63" s="31">
        <v>3433</v>
      </c>
      <c r="J63" s="31">
        <v>3392</v>
      </c>
      <c r="K63" s="31">
        <v>3462</v>
      </c>
      <c r="L63" s="31">
        <v>3440</v>
      </c>
      <c r="M63" s="488"/>
      <c r="N63" s="484" t="s">
        <v>4681</v>
      </c>
    </row>
    <row r="64" spans="1:17">
      <c r="A64" s="82">
        <v>32</v>
      </c>
      <c r="B64" s="484" t="s">
        <v>6475</v>
      </c>
      <c r="C64" s="4" t="s">
        <v>12253</v>
      </c>
      <c r="D64" s="487">
        <v>3120</v>
      </c>
      <c r="E64" s="487">
        <v>3106</v>
      </c>
      <c r="F64" s="487">
        <v>3112</v>
      </c>
      <c r="G64" s="31">
        <v>3126</v>
      </c>
      <c r="H64" s="31">
        <v>3122</v>
      </c>
      <c r="I64" s="31">
        <v>3046</v>
      </c>
      <c r="J64" s="31">
        <v>3003</v>
      </c>
      <c r="K64" s="31">
        <v>3054</v>
      </c>
      <c r="L64" s="31">
        <v>3019</v>
      </c>
      <c r="M64" s="488"/>
      <c r="N64" s="484" t="s">
        <v>4681</v>
      </c>
      <c r="O64" s="4"/>
      <c r="Q64" s="4"/>
    </row>
    <row r="65" spans="1:17">
      <c r="A65" s="82">
        <v>33</v>
      </c>
      <c r="B65" s="484" t="s">
        <v>6476</v>
      </c>
      <c r="C65" s="4" t="s">
        <v>12254</v>
      </c>
      <c r="D65" s="487">
        <v>2974</v>
      </c>
      <c r="E65" s="487">
        <v>3184</v>
      </c>
      <c r="F65" s="487">
        <v>3226</v>
      </c>
      <c r="G65" s="31">
        <v>3228</v>
      </c>
      <c r="H65" s="31">
        <v>3210</v>
      </c>
      <c r="I65" s="31">
        <v>3046</v>
      </c>
      <c r="J65" s="31">
        <v>3028</v>
      </c>
      <c r="K65" s="31">
        <v>3128</v>
      </c>
      <c r="L65" s="31">
        <v>3145</v>
      </c>
      <c r="M65" s="488"/>
      <c r="N65" s="484" t="s">
        <v>4681</v>
      </c>
      <c r="O65" s="4"/>
      <c r="Q65" s="4"/>
    </row>
    <row r="66" spans="1:17">
      <c r="A66" s="82">
        <v>34</v>
      </c>
      <c r="B66" s="484" t="s">
        <v>6477</v>
      </c>
      <c r="C66" s="4" t="s">
        <v>12255</v>
      </c>
      <c r="D66" s="487">
        <v>3573</v>
      </c>
      <c r="E66" s="487">
        <v>3687</v>
      </c>
      <c r="F66" s="487">
        <v>3743</v>
      </c>
      <c r="G66" s="31">
        <v>3880</v>
      </c>
      <c r="H66" s="31">
        <v>3807</v>
      </c>
      <c r="I66" s="31">
        <v>3618</v>
      </c>
      <c r="J66" s="31">
        <v>3679</v>
      </c>
      <c r="K66" s="31">
        <v>3717</v>
      </c>
      <c r="L66" s="31">
        <v>3812</v>
      </c>
      <c r="M66" s="488"/>
      <c r="N66" s="484" t="s">
        <v>4683</v>
      </c>
      <c r="O66" s="4"/>
      <c r="Q66" s="4"/>
    </row>
    <row r="67" spans="1:17">
      <c r="A67" s="82">
        <v>35</v>
      </c>
      <c r="B67" s="484" t="s">
        <v>6478</v>
      </c>
      <c r="C67" s="4" t="s">
        <v>12256</v>
      </c>
      <c r="D67" s="487">
        <v>4343</v>
      </c>
      <c r="E67" s="487">
        <v>4607</v>
      </c>
      <c r="F67" s="487">
        <v>4784</v>
      </c>
      <c r="G67" s="31">
        <v>4898</v>
      </c>
      <c r="H67" s="31">
        <v>4876</v>
      </c>
      <c r="I67" s="31">
        <v>4721</v>
      </c>
      <c r="J67" s="31">
        <v>4711</v>
      </c>
      <c r="K67" s="31">
        <v>4885</v>
      </c>
      <c r="L67" s="31">
        <v>4824</v>
      </c>
      <c r="M67" s="488"/>
      <c r="N67" s="484" t="s">
        <v>4681</v>
      </c>
      <c r="O67" s="4"/>
      <c r="Q67" s="4"/>
    </row>
    <row r="68" spans="1:17">
      <c r="A68" s="82">
        <v>36</v>
      </c>
      <c r="B68" s="484" t="s">
        <v>12787</v>
      </c>
      <c r="C68" s="4" t="s">
        <v>12257</v>
      </c>
      <c r="D68" s="487">
        <v>3497</v>
      </c>
      <c r="E68" s="487">
        <v>3594</v>
      </c>
      <c r="F68" s="487">
        <v>3535</v>
      </c>
      <c r="G68" s="31">
        <v>3568</v>
      </c>
      <c r="H68" s="31">
        <v>3613</v>
      </c>
      <c r="I68" s="31">
        <v>3581</v>
      </c>
      <c r="J68" s="31">
        <v>3540</v>
      </c>
      <c r="K68" s="31">
        <v>3612</v>
      </c>
      <c r="L68" s="31">
        <v>3605</v>
      </c>
      <c r="M68" s="488"/>
      <c r="N68" s="484" t="s">
        <v>6444</v>
      </c>
      <c r="O68" s="4"/>
      <c r="Q68" s="4"/>
    </row>
    <row r="69" spans="1:17">
      <c r="A69" s="82">
        <v>37</v>
      </c>
      <c r="B69" s="484" t="s">
        <v>6479</v>
      </c>
      <c r="C69" s="4" t="s">
        <v>12258</v>
      </c>
      <c r="D69" s="487">
        <v>1919</v>
      </c>
      <c r="E69" s="487">
        <v>1910</v>
      </c>
      <c r="F69" s="487">
        <v>1869</v>
      </c>
      <c r="G69" s="31">
        <v>1898</v>
      </c>
      <c r="H69" s="31">
        <v>1920</v>
      </c>
      <c r="I69" s="31">
        <v>1877</v>
      </c>
      <c r="J69" s="31">
        <v>1866</v>
      </c>
      <c r="K69" s="31">
        <v>1911</v>
      </c>
      <c r="L69" s="31">
        <v>1932</v>
      </c>
      <c r="M69" s="488"/>
      <c r="N69" s="484" t="s">
        <v>4683</v>
      </c>
      <c r="O69" s="4"/>
      <c r="Q69" s="4"/>
    </row>
    <row r="70" spans="1:17" ht="15.75" thickBot="1">
      <c r="A70" s="82"/>
      <c r="B70" s="484"/>
      <c r="C70" s="4" t="s">
        <v>12258</v>
      </c>
      <c r="D70" s="487">
        <v>1544</v>
      </c>
      <c r="E70" s="487">
        <v>1551</v>
      </c>
      <c r="F70" s="487">
        <v>1525</v>
      </c>
      <c r="G70" s="31">
        <v>1555</v>
      </c>
      <c r="H70" s="31">
        <v>1528</v>
      </c>
      <c r="I70" s="31">
        <v>1430</v>
      </c>
      <c r="J70" s="31">
        <v>1417</v>
      </c>
      <c r="K70" s="31">
        <v>1475</v>
      </c>
      <c r="L70" s="31">
        <v>1476</v>
      </c>
      <c r="M70" s="488"/>
      <c r="N70" s="484" t="s">
        <v>6444</v>
      </c>
      <c r="O70" s="4"/>
      <c r="Q70" s="4"/>
    </row>
    <row r="71" spans="1:17" ht="15.75" thickBot="1">
      <c r="A71" s="82"/>
      <c r="B71" s="484"/>
      <c r="C71" s="4" t="s">
        <v>12258</v>
      </c>
      <c r="D71" s="493">
        <f t="shared" ref="D71:L71" si="33">D69+D70</f>
        <v>3463</v>
      </c>
      <c r="E71" s="493">
        <f t="shared" si="33"/>
        <v>3461</v>
      </c>
      <c r="F71" s="493">
        <f t="shared" si="33"/>
        <v>3394</v>
      </c>
      <c r="G71" s="493">
        <f t="shared" si="33"/>
        <v>3453</v>
      </c>
      <c r="H71" s="493">
        <f t="shared" si="33"/>
        <v>3448</v>
      </c>
      <c r="I71" s="493">
        <f t="shared" si="33"/>
        <v>3307</v>
      </c>
      <c r="J71" s="493">
        <f t="shared" si="33"/>
        <v>3283</v>
      </c>
      <c r="K71" s="493">
        <f t="shared" si="33"/>
        <v>3386</v>
      </c>
      <c r="L71" s="493">
        <f t="shared" si="33"/>
        <v>3408</v>
      </c>
      <c r="M71" s="488"/>
      <c r="N71" s="484"/>
      <c r="O71" s="4"/>
      <c r="Q71" s="4"/>
    </row>
    <row r="72" spans="1:17">
      <c r="A72" s="82">
        <v>38</v>
      </c>
      <c r="B72" s="484" t="s">
        <v>6480</v>
      </c>
      <c r="C72" s="4" t="s">
        <v>12259</v>
      </c>
      <c r="D72" s="487">
        <v>3547</v>
      </c>
      <c r="E72" s="487">
        <v>3598</v>
      </c>
      <c r="F72" s="487">
        <v>3632</v>
      </c>
      <c r="G72" s="30">
        <v>3693</v>
      </c>
      <c r="H72" s="30">
        <v>3799</v>
      </c>
      <c r="I72" s="30">
        <v>3770</v>
      </c>
      <c r="J72" s="30">
        <v>3737</v>
      </c>
      <c r="K72" s="30">
        <v>3803</v>
      </c>
      <c r="L72" s="30">
        <v>3854</v>
      </c>
      <c r="M72" s="488"/>
      <c r="N72" s="484" t="s">
        <v>4679</v>
      </c>
      <c r="O72" s="4"/>
      <c r="Q72" s="4"/>
    </row>
    <row r="73" spans="1:17">
      <c r="A73" s="82">
        <v>39</v>
      </c>
      <c r="B73" s="484" t="s">
        <v>6481</v>
      </c>
      <c r="C73" s="4" t="s">
        <v>12260</v>
      </c>
      <c r="D73" s="487">
        <v>3215</v>
      </c>
      <c r="E73" s="487">
        <v>3449</v>
      </c>
      <c r="F73" s="487">
        <v>3416</v>
      </c>
      <c r="G73" s="30">
        <v>3425</v>
      </c>
      <c r="H73" s="30">
        <v>3374</v>
      </c>
      <c r="I73" s="30">
        <v>3267</v>
      </c>
      <c r="J73" s="30">
        <v>3334</v>
      </c>
      <c r="K73" s="30">
        <v>3449</v>
      </c>
      <c r="L73" s="30">
        <v>3461</v>
      </c>
      <c r="M73" s="488"/>
      <c r="N73" s="484" t="s">
        <v>4679</v>
      </c>
    </row>
    <row r="74" spans="1:17" ht="15.75" thickBot="1">
      <c r="A74" s="82"/>
      <c r="B74" s="484"/>
      <c r="C74" s="4" t="s">
        <v>12260</v>
      </c>
      <c r="D74" s="487">
        <v>11</v>
      </c>
      <c r="E74" s="487">
        <v>2</v>
      </c>
      <c r="F74" s="487">
        <v>0</v>
      </c>
      <c r="G74" s="487">
        <v>0</v>
      </c>
      <c r="H74" s="487">
        <v>0</v>
      </c>
      <c r="I74" s="487">
        <v>0</v>
      </c>
      <c r="J74" s="487">
        <v>0</v>
      </c>
      <c r="K74" s="487">
        <v>0</v>
      </c>
      <c r="L74" s="487">
        <v>0</v>
      </c>
      <c r="M74" s="488"/>
      <c r="N74" s="484" t="s">
        <v>6444</v>
      </c>
    </row>
    <row r="75" spans="1:17" ht="15.75" thickBot="1">
      <c r="A75" s="82"/>
      <c r="B75" s="484"/>
      <c r="C75" s="4" t="s">
        <v>12260</v>
      </c>
      <c r="D75" s="493">
        <f t="shared" ref="D75:L75" si="34">D73+D74</f>
        <v>3226</v>
      </c>
      <c r="E75" s="493">
        <f t="shared" si="34"/>
        <v>3451</v>
      </c>
      <c r="F75" s="493">
        <f t="shared" si="34"/>
        <v>3416</v>
      </c>
      <c r="G75" s="493">
        <f t="shared" si="34"/>
        <v>3425</v>
      </c>
      <c r="H75" s="493">
        <f t="shared" si="34"/>
        <v>3374</v>
      </c>
      <c r="I75" s="493">
        <f t="shared" si="34"/>
        <v>3267</v>
      </c>
      <c r="J75" s="493">
        <f t="shared" si="34"/>
        <v>3334</v>
      </c>
      <c r="K75" s="493">
        <f t="shared" si="34"/>
        <v>3449</v>
      </c>
      <c r="L75" s="493">
        <f t="shared" si="34"/>
        <v>3461</v>
      </c>
      <c r="M75" s="488"/>
      <c r="N75" s="484"/>
    </row>
    <row r="76" spans="1:17">
      <c r="A76" s="82">
        <v>40</v>
      </c>
      <c r="B76" s="484" t="s">
        <v>6482</v>
      </c>
      <c r="C76" s="4" t="s">
        <v>12261</v>
      </c>
      <c r="D76" s="487">
        <v>3613</v>
      </c>
      <c r="E76" s="487">
        <v>3697</v>
      </c>
      <c r="F76" s="487">
        <v>3695</v>
      </c>
      <c r="G76" s="31">
        <v>3685</v>
      </c>
      <c r="H76" s="31">
        <v>3693</v>
      </c>
      <c r="I76" s="31">
        <v>3718</v>
      </c>
      <c r="J76" s="31">
        <v>3822</v>
      </c>
      <c r="K76" s="31">
        <v>4015</v>
      </c>
      <c r="L76" s="31">
        <v>4070</v>
      </c>
      <c r="M76" s="488"/>
      <c r="N76" s="484" t="s">
        <v>4682</v>
      </c>
    </row>
    <row r="77" spans="1:17">
      <c r="A77" s="82">
        <v>41</v>
      </c>
      <c r="B77" s="484" t="s">
        <v>6483</v>
      </c>
      <c r="C77" s="4" t="s">
        <v>12262</v>
      </c>
      <c r="D77" s="487">
        <v>2814</v>
      </c>
      <c r="E77" s="487">
        <v>2942</v>
      </c>
      <c r="F77" s="487">
        <v>3063</v>
      </c>
      <c r="G77" s="31">
        <v>3280</v>
      </c>
      <c r="H77" s="31">
        <v>3538</v>
      </c>
      <c r="I77" s="31">
        <v>3462</v>
      </c>
      <c r="J77" s="31">
        <v>3685</v>
      </c>
      <c r="K77" s="31">
        <v>3898</v>
      </c>
      <c r="L77" s="31">
        <v>4044</v>
      </c>
      <c r="M77" s="488"/>
      <c r="N77" s="484" t="s">
        <v>4683</v>
      </c>
      <c r="O77" s="4"/>
      <c r="Q77" s="4"/>
    </row>
    <row r="78" spans="1:17">
      <c r="A78" s="82">
        <v>42</v>
      </c>
      <c r="B78" s="484" t="s">
        <v>4721</v>
      </c>
      <c r="C78" s="4" t="s">
        <v>12263</v>
      </c>
      <c r="D78" s="487">
        <v>3509</v>
      </c>
      <c r="E78" s="487">
        <v>3688</v>
      </c>
      <c r="F78" s="487">
        <v>3584</v>
      </c>
      <c r="G78" s="31">
        <v>3440</v>
      </c>
      <c r="H78" s="31">
        <v>3424</v>
      </c>
      <c r="I78" s="31">
        <v>3223</v>
      </c>
      <c r="J78" s="31">
        <v>3350</v>
      </c>
      <c r="K78" s="31">
        <v>3486</v>
      </c>
      <c r="L78" s="31">
        <v>3658</v>
      </c>
      <c r="M78" s="488"/>
      <c r="N78" s="484" t="s">
        <v>4681</v>
      </c>
      <c r="O78" s="4"/>
      <c r="Q78" s="4"/>
    </row>
    <row r="79" spans="1:17">
      <c r="A79" s="82">
        <v>43</v>
      </c>
      <c r="B79" s="484" t="s">
        <v>4722</v>
      </c>
      <c r="C79" s="4" t="s">
        <v>12264</v>
      </c>
      <c r="D79" s="487">
        <v>3440</v>
      </c>
      <c r="E79" s="487">
        <v>3642</v>
      </c>
      <c r="F79" s="487">
        <v>3282</v>
      </c>
      <c r="G79" s="31">
        <v>3145</v>
      </c>
      <c r="H79" s="31">
        <v>2993</v>
      </c>
      <c r="I79" s="31">
        <v>2750</v>
      </c>
      <c r="J79" s="31">
        <v>2876</v>
      </c>
      <c r="K79" s="31">
        <v>3054</v>
      </c>
      <c r="L79" s="31">
        <v>3283</v>
      </c>
      <c r="M79" s="488"/>
      <c r="N79" s="484" t="s">
        <v>4682</v>
      </c>
    </row>
    <row r="80" spans="1:17">
      <c r="A80" s="82">
        <v>44</v>
      </c>
      <c r="B80" s="484" t="s">
        <v>4723</v>
      </c>
      <c r="C80" s="4" t="s">
        <v>12265</v>
      </c>
      <c r="D80" s="487">
        <v>3691</v>
      </c>
      <c r="E80" s="487">
        <v>3903</v>
      </c>
      <c r="F80" s="487">
        <v>3924</v>
      </c>
      <c r="G80" s="31">
        <v>4043</v>
      </c>
      <c r="H80" s="31">
        <v>4042</v>
      </c>
      <c r="I80" s="31">
        <v>3764</v>
      </c>
      <c r="J80" s="31">
        <v>3790</v>
      </c>
      <c r="K80" s="31">
        <v>3976</v>
      </c>
      <c r="L80" s="31">
        <v>4094</v>
      </c>
      <c r="M80" s="488"/>
      <c r="N80" s="484" t="s">
        <v>4682</v>
      </c>
    </row>
    <row r="81" spans="1:17">
      <c r="A81" s="82">
        <v>45</v>
      </c>
      <c r="B81" s="484" t="s">
        <v>4724</v>
      </c>
      <c r="C81" s="4" t="s">
        <v>12266</v>
      </c>
      <c r="D81" s="487">
        <v>3001</v>
      </c>
      <c r="E81" s="487">
        <v>3137</v>
      </c>
      <c r="F81" s="487">
        <v>3229</v>
      </c>
      <c r="G81" s="31">
        <v>3286</v>
      </c>
      <c r="H81" s="31">
        <v>3314</v>
      </c>
      <c r="I81" s="31">
        <v>3220</v>
      </c>
      <c r="J81" s="31">
        <v>3170</v>
      </c>
      <c r="K81" s="31">
        <v>3252</v>
      </c>
      <c r="L81" s="31">
        <v>3230</v>
      </c>
      <c r="M81" s="488"/>
      <c r="N81" s="484" t="s">
        <v>4681</v>
      </c>
      <c r="O81" s="4"/>
      <c r="Q81" s="4"/>
    </row>
    <row r="82" spans="1:17">
      <c r="A82" s="82">
        <v>46</v>
      </c>
      <c r="B82" s="484" t="s">
        <v>4725</v>
      </c>
      <c r="C82" s="4" t="s">
        <v>12267</v>
      </c>
      <c r="D82" s="487">
        <v>3055</v>
      </c>
      <c r="E82" s="487">
        <v>3049</v>
      </c>
      <c r="F82" s="487">
        <v>3036</v>
      </c>
      <c r="G82" s="31">
        <v>3046</v>
      </c>
      <c r="H82" s="31">
        <v>3004</v>
      </c>
      <c r="I82" s="31">
        <v>2933</v>
      </c>
      <c r="J82" s="31">
        <v>2848</v>
      </c>
      <c r="K82" s="31">
        <v>2932</v>
      </c>
      <c r="L82" s="31">
        <v>2922</v>
      </c>
      <c r="M82" s="488"/>
      <c r="N82" s="484" t="s">
        <v>4681</v>
      </c>
      <c r="O82" s="4"/>
      <c r="Q82" s="4"/>
    </row>
    <row r="83" spans="1:17">
      <c r="A83" s="82">
        <v>47</v>
      </c>
      <c r="B83" s="484" t="s">
        <v>4726</v>
      </c>
      <c r="C83" s="4" t="s">
        <v>12268</v>
      </c>
      <c r="D83" s="487">
        <v>3683</v>
      </c>
      <c r="E83" s="487">
        <v>3784</v>
      </c>
      <c r="F83" s="487">
        <v>3791</v>
      </c>
      <c r="G83" s="31">
        <v>3713</v>
      </c>
      <c r="H83" s="31">
        <v>3797</v>
      </c>
      <c r="I83" s="31">
        <v>3634</v>
      </c>
      <c r="J83" s="31">
        <v>3675</v>
      </c>
      <c r="K83" s="31">
        <v>3715</v>
      </c>
      <c r="L83" s="31">
        <v>3765</v>
      </c>
      <c r="M83" s="488"/>
      <c r="N83" s="484" t="s">
        <v>4679</v>
      </c>
      <c r="O83" s="4"/>
      <c r="Q83" s="4"/>
    </row>
    <row r="84" spans="1:17">
      <c r="A84" s="82">
        <v>48</v>
      </c>
      <c r="B84" s="484" t="s">
        <v>4727</v>
      </c>
      <c r="C84" s="4" t="s">
        <v>12269</v>
      </c>
      <c r="D84" s="487">
        <v>3282</v>
      </c>
      <c r="E84" s="487">
        <v>3374</v>
      </c>
      <c r="F84" s="487">
        <v>3384</v>
      </c>
      <c r="G84" s="31">
        <v>3363</v>
      </c>
      <c r="H84" s="31">
        <v>3454</v>
      </c>
      <c r="I84" s="31">
        <v>3405</v>
      </c>
      <c r="J84" s="31">
        <v>3419</v>
      </c>
      <c r="K84" s="31">
        <v>3506</v>
      </c>
      <c r="L84" s="31">
        <v>3638</v>
      </c>
      <c r="M84" s="488"/>
      <c r="N84" s="484" t="s">
        <v>4679</v>
      </c>
      <c r="O84" s="4"/>
      <c r="Q84" s="4"/>
    </row>
    <row r="85" spans="1:17">
      <c r="A85" s="82">
        <v>49</v>
      </c>
      <c r="B85" s="484" t="s">
        <v>2991</v>
      </c>
      <c r="C85" s="4" t="s">
        <v>12270</v>
      </c>
      <c r="D85" s="487">
        <v>3935</v>
      </c>
      <c r="E85" s="487">
        <v>3929</v>
      </c>
      <c r="F85" s="487">
        <v>3953</v>
      </c>
      <c r="G85" s="31">
        <v>4040</v>
      </c>
      <c r="H85" s="31">
        <v>3984</v>
      </c>
      <c r="I85" s="31">
        <v>3948</v>
      </c>
      <c r="J85" s="31">
        <v>3963</v>
      </c>
      <c r="K85" s="31">
        <v>3935</v>
      </c>
      <c r="L85" s="31">
        <v>3959</v>
      </c>
      <c r="M85" s="488"/>
      <c r="N85" s="484" t="s">
        <v>4679</v>
      </c>
      <c r="O85" s="4"/>
      <c r="Q85" s="4"/>
    </row>
    <row r="86" spans="1:17">
      <c r="A86" s="82">
        <v>50</v>
      </c>
      <c r="B86" s="484" t="s">
        <v>2990</v>
      </c>
      <c r="C86" s="4" t="s">
        <v>12271</v>
      </c>
      <c r="D86" s="487">
        <v>3379</v>
      </c>
      <c r="E86" s="487">
        <v>3425</v>
      </c>
      <c r="F86" s="487">
        <v>3527</v>
      </c>
      <c r="G86" s="31">
        <v>3673</v>
      </c>
      <c r="H86" s="31">
        <v>3980</v>
      </c>
      <c r="I86" s="31">
        <v>3982</v>
      </c>
      <c r="J86" s="31">
        <v>4093</v>
      </c>
      <c r="K86" s="31">
        <v>4238</v>
      </c>
      <c r="L86" s="31">
        <v>4313</v>
      </c>
      <c r="M86" s="488"/>
      <c r="N86" s="484" t="s">
        <v>4679</v>
      </c>
      <c r="O86" s="4"/>
      <c r="Q86" s="4"/>
    </row>
    <row r="87" spans="1:17">
      <c r="A87" s="82">
        <v>51</v>
      </c>
      <c r="B87" s="484" t="s">
        <v>2992</v>
      </c>
      <c r="C87" s="4" t="s">
        <v>12272</v>
      </c>
      <c r="D87" s="487">
        <v>3644</v>
      </c>
      <c r="E87" s="487">
        <v>3717</v>
      </c>
      <c r="F87" s="487">
        <v>3806</v>
      </c>
      <c r="G87" s="31">
        <v>3874</v>
      </c>
      <c r="H87" s="31">
        <v>4014</v>
      </c>
      <c r="I87" s="31">
        <v>3978</v>
      </c>
      <c r="J87" s="31">
        <v>3915</v>
      </c>
      <c r="K87" s="31">
        <v>3950</v>
      </c>
      <c r="L87" s="31">
        <v>4014</v>
      </c>
      <c r="M87" s="488"/>
      <c r="N87" s="484" t="s">
        <v>4679</v>
      </c>
      <c r="O87" s="4"/>
      <c r="Q87" s="4"/>
    </row>
    <row r="88" spans="1:17">
      <c r="A88" s="82">
        <v>52</v>
      </c>
      <c r="B88" s="484" t="s">
        <v>2993</v>
      </c>
      <c r="C88" s="4" t="s">
        <v>12273</v>
      </c>
      <c r="D88" s="487">
        <v>3602</v>
      </c>
      <c r="E88" s="487">
        <v>3609</v>
      </c>
      <c r="F88" s="487">
        <v>3606</v>
      </c>
      <c r="G88" s="31">
        <v>3507</v>
      </c>
      <c r="H88" s="31">
        <v>3357</v>
      </c>
      <c r="I88" s="31">
        <v>3275</v>
      </c>
      <c r="J88" s="31">
        <v>3319</v>
      </c>
      <c r="K88" s="31">
        <v>3429</v>
      </c>
      <c r="L88" s="31">
        <v>3460</v>
      </c>
      <c r="M88" s="488"/>
      <c r="N88" s="484" t="s">
        <v>6444</v>
      </c>
      <c r="O88" s="4"/>
      <c r="Q88" s="4"/>
    </row>
    <row r="89" spans="1:17">
      <c r="A89" s="82">
        <v>53</v>
      </c>
      <c r="B89" s="484" t="s">
        <v>2994</v>
      </c>
      <c r="C89" s="4" t="s">
        <v>12274</v>
      </c>
      <c r="D89" s="487">
        <v>3817</v>
      </c>
      <c r="E89" s="487">
        <v>3910</v>
      </c>
      <c r="F89" s="487">
        <v>3846</v>
      </c>
      <c r="G89" s="31">
        <v>3807</v>
      </c>
      <c r="H89" s="31">
        <v>3821</v>
      </c>
      <c r="I89" s="31">
        <v>3645</v>
      </c>
      <c r="J89" s="31">
        <v>3700</v>
      </c>
      <c r="K89" s="31">
        <v>3816</v>
      </c>
      <c r="L89" s="31">
        <v>3846</v>
      </c>
      <c r="M89" s="488"/>
      <c r="N89" s="484" t="s">
        <v>4682</v>
      </c>
      <c r="O89" s="4"/>
      <c r="Q89" s="4"/>
    </row>
    <row r="90" spans="1:17">
      <c r="A90" s="82">
        <v>54</v>
      </c>
      <c r="B90" s="484" t="s">
        <v>2995</v>
      </c>
      <c r="C90" s="4" t="s">
        <v>12275</v>
      </c>
      <c r="D90" s="487">
        <v>116</v>
      </c>
      <c r="E90" s="487">
        <v>117</v>
      </c>
      <c r="F90" s="487">
        <v>114</v>
      </c>
      <c r="G90" s="31">
        <v>110</v>
      </c>
      <c r="H90" s="31">
        <v>106</v>
      </c>
      <c r="I90" s="31">
        <v>105</v>
      </c>
      <c r="J90" s="31">
        <v>107</v>
      </c>
      <c r="K90" s="31">
        <v>110</v>
      </c>
      <c r="L90" s="31">
        <v>111</v>
      </c>
      <c r="M90" s="488"/>
      <c r="N90" s="484" t="s">
        <v>4683</v>
      </c>
      <c r="O90" s="4"/>
      <c r="Q90" s="4"/>
    </row>
    <row r="91" spans="1:17" ht="15.75" thickBot="1">
      <c r="A91" s="82"/>
      <c r="B91" s="484"/>
      <c r="C91" s="4" t="s">
        <v>12275</v>
      </c>
      <c r="D91" s="487">
        <v>3403</v>
      </c>
      <c r="E91" s="487">
        <v>3432</v>
      </c>
      <c r="F91" s="487">
        <v>3380</v>
      </c>
      <c r="G91" s="31">
        <v>3313</v>
      </c>
      <c r="H91" s="31">
        <v>3307</v>
      </c>
      <c r="I91" s="31">
        <v>3231</v>
      </c>
      <c r="J91" s="31">
        <v>3214</v>
      </c>
      <c r="K91" s="31">
        <v>3351</v>
      </c>
      <c r="L91" s="31">
        <v>3384</v>
      </c>
      <c r="M91" s="488"/>
      <c r="N91" s="484" t="s">
        <v>6444</v>
      </c>
      <c r="O91" s="4"/>
      <c r="Q91" s="4"/>
    </row>
    <row r="92" spans="1:17" ht="15.75" thickBot="1">
      <c r="A92" s="82"/>
      <c r="B92" s="484"/>
      <c r="C92" s="4" t="s">
        <v>12275</v>
      </c>
      <c r="D92" s="493">
        <f t="shared" ref="D92:L92" si="35">D90+D91</f>
        <v>3519</v>
      </c>
      <c r="E92" s="493">
        <f t="shared" si="35"/>
        <v>3549</v>
      </c>
      <c r="F92" s="493">
        <f t="shared" si="35"/>
        <v>3494</v>
      </c>
      <c r="G92" s="493">
        <f t="shared" si="35"/>
        <v>3423</v>
      </c>
      <c r="H92" s="493">
        <f t="shared" si="35"/>
        <v>3413</v>
      </c>
      <c r="I92" s="493">
        <f t="shared" si="35"/>
        <v>3336</v>
      </c>
      <c r="J92" s="493">
        <f t="shared" si="35"/>
        <v>3321</v>
      </c>
      <c r="K92" s="493">
        <f t="shared" si="35"/>
        <v>3461</v>
      </c>
      <c r="L92" s="493">
        <f t="shared" si="35"/>
        <v>3495</v>
      </c>
      <c r="M92" s="488"/>
      <c r="N92" s="484"/>
      <c r="O92" s="4"/>
      <c r="Q92" s="4"/>
    </row>
    <row r="93" spans="1:17">
      <c r="A93" s="82">
        <v>55</v>
      </c>
      <c r="B93" s="484" t="s">
        <v>2996</v>
      </c>
      <c r="C93" s="4" t="s">
        <v>12276</v>
      </c>
      <c r="D93" s="487">
        <v>3747</v>
      </c>
      <c r="E93" s="487">
        <v>3743</v>
      </c>
      <c r="F93" s="487">
        <v>3707</v>
      </c>
      <c r="G93" s="31">
        <v>3707</v>
      </c>
      <c r="H93" s="31">
        <v>3806</v>
      </c>
      <c r="I93" s="31">
        <v>3731</v>
      </c>
      <c r="J93" s="31">
        <v>3743</v>
      </c>
      <c r="K93" s="31">
        <v>3811</v>
      </c>
      <c r="L93" s="31">
        <v>3807</v>
      </c>
      <c r="M93" s="488"/>
      <c r="N93" s="484" t="s">
        <v>4681</v>
      </c>
      <c r="O93" s="4"/>
      <c r="Q93" s="4"/>
    </row>
    <row r="94" spans="1:17">
      <c r="A94" s="82">
        <v>56</v>
      </c>
      <c r="B94" s="484" t="s">
        <v>2997</v>
      </c>
      <c r="C94" s="4" t="s">
        <v>12277</v>
      </c>
      <c r="D94" s="492">
        <v>3553</v>
      </c>
      <c r="E94" s="492">
        <v>3614</v>
      </c>
      <c r="F94" s="492">
        <v>3601</v>
      </c>
      <c r="G94" s="31">
        <v>3589</v>
      </c>
      <c r="H94" s="31">
        <v>3501</v>
      </c>
      <c r="I94" s="31">
        <v>3429</v>
      </c>
      <c r="J94" s="31">
        <v>3451</v>
      </c>
      <c r="K94" s="31">
        <v>3495</v>
      </c>
      <c r="L94" s="31">
        <v>3500</v>
      </c>
      <c r="M94" s="488"/>
      <c r="N94" s="484" t="s">
        <v>4681</v>
      </c>
      <c r="O94" s="4"/>
      <c r="Q94" s="4"/>
    </row>
    <row r="95" spans="1:17">
      <c r="A95" s="82">
        <v>57</v>
      </c>
      <c r="B95" s="484" t="s">
        <v>2998</v>
      </c>
      <c r="C95" s="4" t="s">
        <v>12278</v>
      </c>
      <c r="D95" s="487">
        <v>3355</v>
      </c>
      <c r="E95" s="487">
        <v>3404</v>
      </c>
      <c r="F95" s="487">
        <v>3381</v>
      </c>
      <c r="G95" s="31">
        <v>3437</v>
      </c>
      <c r="H95" s="31">
        <v>3614</v>
      </c>
      <c r="I95" s="31">
        <v>3429</v>
      </c>
      <c r="J95" s="31">
        <v>3637</v>
      </c>
      <c r="K95" s="31">
        <v>3986</v>
      </c>
      <c r="L95" s="31">
        <v>4263</v>
      </c>
      <c r="M95" s="488"/>
      <c r="N95" s="484" t="s">
        <v>4682</v>
      </c>
      <c r="O95" s="4"/>
      <c r="Q95" s="4"/>
    </row>
    <row r="96" spans="1:17">
      <c r="A96" s="82">
        <v>58</v>
      </c>
      <c r="B96" s="484" t="s">
        <v>2999</v>
      </c>
      <c r="C96" s="4" t="s">
        <v>12279</v>
      </c>
      <c r="D96" s="487">
        <v>3751</v>
      </c>
      <c r="E96" s="487">
        <v>3829</v>
      </c>
      <c r="F96" s="487">
        <v>3755</v>
      </c>
      <c r="G96" s="31">
        <v>3739</v>
      </c>
      <c r="H96" s="31">
        <v>3825</v>
      </c>
      <c r="I96" s="31">
        <v>3748</v>
      </c>
      <c r="J96" s="31">
        <v>3707</v>
      </c>
      <c r="K96" s="31">
        <v>3728</v>
      </c>
      <c r="L96" s="31">
        <v>3739</v>
      </c>
      <c r="M96" s="488"/>
      <c r="N96" s="484" t="s">
        <v>4683</v>
      </c>
      <c r="O96" s="4"/>
      <c r="Q96" s="4"/>
    </row>
    <row r="97" spans="1:17">
      <c r="A97" s="82">
        <v>59</v>
      </c>
      <c r="B97" s="484" t="s">
        <v>3000</v>
      </c>
      <c r="C97" s="4" t="s">
        <v>12280</v>
      </c>
      <c r="D97" s="487">
        <v>2968</v>
      </c>
      <c r="E97" s="487">
        <v>3062</v>
      </c>
      <c r="F97" s="487">
        <v>3208</v>
      </c>
      <c r="G97" s="31">
        <v>3304</v>
      </c>
      <c r="H97" s="31">
        <v>3340</v>
      </c>
      <c r="I97" s="31">
        <v>3235</v>
      </c>
      <c r="J97" s="31">
        <v>3288</v>
      </c>
      <c r="K97" s="31">
        <v>3370</v>
      </c>
      <c r="L97" s="31">
        <v>3467</v>
      </c>
      <c r="M97" s="488"/>
      <c r="N97" s="484" t="s">
        <v>4681</v>
      </c>
    </row>
    <row r="98" spans="1:17">
      <c r="A98" s="82">
        <v>60</v>
      </c>
      <c r="B98" s="484" t="s">
        <v>3001</v>
      </c>
      <c r="C98" s="4" t="s">
        <v>12281</v>
      </c>
      <c r="D98" s="487">
        <v>3927</v>
      </c>
      <c r="E98" s="487">
        <v>4145</v>
      </c>
      <c r="F98" s="487">
        <v>4243</v>
      </c>
      <c r="G98" s="31">
        <v>4435</v>
      </c>
      <c r="H98" s="31">
        <v>4442</v>
      </c>
      <c r="I98" s="31">
        <v>4244</v>
      </c>
      <c r="J98" s="31">
        <v>4230</v>
      </c>
      <c r="K98" s="31">
        <v>4272</v>
      </c>
      <c r="L98" s="31">
        <v>4312</v>
      </c>
      <c r="M98" s="488"/>
      <c r="N98" s="484" t="s">
        <v>4683</v>
      </c>
      <c r="O98" s="4"/>
      <c r="Q98" s="4"/>
    </row>
    <row r="99" spans="1:17">
      <c r="A99" s="82">
        <v>61</v>
      </c>
      <c r="B99" s="484" t="s">
        <v>3002</v>
      </c>
      <c r="C99" s="4" t="s">
        <v>12282</v>
      </c>
      <c r="D99" s="487">
        <v>3467</v>
      </c>
      <c r="E99" s="487">
        <v>3461</v>
      </c>
      <c r="F99" s="487">
        <v>3464</v>
      </c>
      <c r="G99" s="31">
        <v>3346</v>
      </c>
      <c r="H99" s="31">
        <v>3348</v>
      </c>
      <c r="I99" s="31">
        <v>3292</v>
      </c>
      <c r="J99" s="31">
        <v>3296</v>
      </c>
      <c r="K99" s="31">
        <v>3354</v>
      </c>
      <c r="L99" s="31">
        <v>3358</v>
      </c>
      <c r="M99" s="488"/>
      <c r="N99" s="484" t="s">
        <v>4683</v>
      </c>
      <c r="O99" s="4"/>
      <c r="Q99" s="4"/>
    </row>
    <row r="100" spans="1:17">
      <c r="A100" s="82">
        <v>62</v>
      </c>
      <c r="B100" s="484" t="s">
        <v>3003</v>
      </c>
      <c r="C100" s="4" t="s">
        <v>12283</v>
      </c>
      <c r="D100" s="487">
        <v>3746</v>
      </c>
      <c r="E100" s="487">
        <v>3843</v>
      </c>
      <c r="F100" s="487">
        <v>3920</v>
      </c>
      <c r="G100" s="31">
        <v>3968</v>
      </c>
      <c r="H100" s="31">
        <v>3970</v>
      </c>
      <c r="I100" s="31">
        <v>3895</v>
      </c>
      <c r="J100" s="31">
        <v>3911</v>
      </c>
      <c r="K100" s="31">
        <v>4023</v>
      </c>
      <c r="L100" s="31">
        <v>4090</v>
      </c>
      <c r="M100" s="488"/>
      <c r="N100" s="484" t="s">
        <v>4683</v>
      </c>
      <c r="O100" s="4"/>
      <c r="Q100" s="4"/>
    </row>
    <row r="101" spans="1:17">
      <c r="A101" s="82">
        <v>63</v>
      </c>
      <c r="B101" s="484" t="s">
        <v>3004</v>
      </c>
      <c r="C101" s="4" t="s">
        <v>12284</v>
      </c>
      <c r="D101" s="487">
        <v>3511</v>
      </c>
      <c r="E101" s="487">
        <v>3649</v>
      </c>
      <c r="F101" s="487">
        <v>3474</v>
      </c>
      <c r="G101" s="31">
        <v>3512</v>
      </c>
      <c r="H101" s="31">
        <v>3474</v>
      </c>
      <c r="I101" s="31">
        <v>3215</v>
      </c>
      <c r="J101" s="31">
        <v>3425</v>
      </c>
      <c r="K101" s="31">
        <v>3463</v>
      </c>
      <c r="L101" s="31">
        <v>3500</v>
      </c>
      <c r="M101" s="488"/>
      <c r="N101" s="484" t="s">
        <v>4683</v>
      </c>
      <c r="O101" s="4"/>
      <c r="Q101" s="4"/>
    </row>
    <row r="102" spans="1:17">
      <c r="A102" s="82">
        <v>64</v>
      </c>
      <c r="B102" s="484" t="s">
        <v>1357</v>
      </c>
      <c r="C102" s="4" t="s">
        <v>12285</v>
      </c>
      <c r="D102" s="487">
        <v>4144</v>
      </c>
      <c r="E102" s="487">
        <v>4157</v>
      </c>
      <c r="F102" s="487">
        <v>4108</v>
      </c>
      <c r="G102" s="31">
        <v>4097</v>
      </c>
      <c r="H102" s="31">
        <v>4099</v>
      </c>
      <c r="I102" s="31">
        <v>4029</v>
      </c>
      <c r="J102" s="31">
        <v>3987</v>
      </c>
      <c r="K102" s="31">
        <v>4094</v>
      </c>
      <c r="L102" s="31">
        <v>4065</v>
      </c>
      <c r="M102" s="488"/>
      <c r="N102" s="484" t="s">
        <v>4683</v>
      </c>
      <c r="O102" s="4"/>
      <c r="Q102" s="4"/>
    </row>
    <row r="103" spans="1:17">
      <c r="A103" s="82">
        <v>65</v>
      </c>
      <c r="B103" s="484" t="s">
        <v>1358</v>
      </c>
      <c r="C103" s="4" t="s">
        <v>12286</v>
      </c>
      <c r="D103" s="487">
        <v>3485</v>
      </c>
      <c r="E103" s="487">
        <v>3519</v>
      </c>
      <c r="F103" s="487">
        <v>3454</v>
      </c>
      <c r="G103" s="31">
        <v>3448</v>
      </c>
      <c r="H103" s="31">
        <v>3435</v>
      </c>
      <c r="I103" s="31">
        <v>3290</v>
      </c>
      <c r="J103" s="31">
        <v>3522</v>
      </c>
      <c r="K103" s="31">
        <v>3844</v>
      </c>
      <c r="L103" s="31">
        <v>4073</v>
      </c>
      <c r="M103" s="488"/>
      <c r="N103" s="484" t="s">
        <v>4683</v>
      </c>
      <c r="O103" s="4"/>
      <c r="Q103" s="4"/>
    </row>
    <row r="104" spans="1:17">
      <c r="A104" s="82">
        <v>66</v>
      </c>
      <c r="B104" s="484" t="s">
        <v>1359</v>
      </c>
      <c r="C104" s="4" t="s">
        <v>12287</v>
      </c>
      <c r="D104" s="487">
        <v>4149</v>
      </c>
      <c r="E104" s="487">
        <v>4211</v>
      </c>
      <c r="F104" s="487">
        <v>4169</v>
      </c>
      <c r="G104" s="31">
        <v>4253</v>
      </c>
      <c r="H104" s="31">
        <v>4188</v>
      </c>
      <c r="I104" s="31">
        <v>3819</v>
      </c>
      <c r="J104" s="31">
        <v>3930</v>
      </c>
      <c r="K104" s="31">
        <v>4042</v>
      </c>
      <c r="L104" s="31">
        <v>4080</v>
      </c>
      <c r="M104" s="488"/>
      <c r="N104" s="484" t="s">
        <v>4683</v>
      </c>
      <c r="O104" s="4"/>
      <c r="Q104" s="4"/>
    </row>
    <row r="105" spans="1:17">
      <c r="A105" s="82">
        <v>67</v>
      </c>
      <c r="B105" s="484" t="s">
        <v>1360</v>
      </c>
      <c r="C105" s="4" t="s">
        <v>12288</v>
      </c>
      <c r="D105" s="487">
        <v>3323</v>
      </c>
      <c r="E105" s="487">
        <v>3513</v>
      </c>
      <c r="F105" s="487">
        <v>3560</v>
      </c>
      <c r="G105" s="31">
        <v>3509</v>
      </c>
      <c r="H105" s="31">
        <v>3536</v>
      </c>
      <c r="I105" s="31">
        <v>3420</v>
      </c>
      <c r="J105" s="31">
        <v>3464</v>
      </c>
      <c r="K105" s="31">
        <v>3503</v>
      </c>
      <c r="L105" s="31">
        <v>3573</v>
      </c>
      <c r="M105" s="488"/>
      <c r="N105" s="484" t="s">
        <v>4683</v>
      </c>
      <c r="O105" s="4"/>
      <c r="Q105" s="4"/>
    </row>
    <row r="106" spans="1:17">
      <c r="A106" s="82">
        <v>68</v>
      </c>
      <c r="B106" s="484" t="s">
        <v>1361</v>
      </c>
      <c r="C106" s="4" t="s">
        <v>12289</v>
      </c>
      <c r="D106" s="487">
        <v>3781</v>
      </c>
      <c r="E106" s="487">
        <v>3840</v>
      </c>
      <c r="F106" s="487">
        <v>3882</v>
      </c>
      <c r="G106" s="31">
        <v>3943</v>
      </c>
      <c r="H106" s="31">
        <v>3959</v>
      </c>
      <c r="I106" s="31">
        <v>3946</v>
      </c>
      <c r="J106" s="31">
        <v>3891</v>
      </c>
      <c r="K106" s="31">
        <v>3978</v>
      </c>
      <c r="L106" s="31">
        <v>4000</v>
      </c>
      <c r="M106" s="488"/>
      <c r="N106" s="484" t="s">
        <v>4682</v>
      </c>
      <c r="O106" s="4"/>
      <c r="Q106" s="4"/>
    </row>
    <row r="107" spans="1:17">
      <c r="A107" s="82">
        <v>69</v>
      </c>
      <c r="B107" s="484" t="s">
        <v>1362</v>
      </c>
      <c r="C107" s="4" t="s">
        <v>12290</v>
      </c>
      <c r="D107" s="487">
        <v>3304</v>
      </c>
      <c r="E107" s="487">
        <v>3409</v>
      </c>
      <c r="F107" s="487">
        <v>3443</v>
      </c>
      <c r="G107" s="31">
        <v>3451</v>
      </c>
      <c r="H107" s="31">
        <v>3455</v>
      </c>
      <c r="I107" s="31">
        <v>3335</v>
      </c>
      <c r="J107" s="31">
        <v>3376</v>
      </c>
      <c r="K107" s="31">
        <v>3519</v>
      </c>
      <c r="L107" s="31">
        <v>3553</v>
      </c>
      <c r="M107" s="488"/>
      <c r="N107" s="484" t="s">
        <v>6444</v>
      </c>
      <c r="O107" s="4"/>
      <c r="Q107" s="4"/>
    </row>
    <row r="108" spans="1:17">
      <c r="A108" s="82">
        <v>70</v>
      </c>
      <c r="B108" s="484" t="s">
        <v>3015</v>
      </c>
      <c r="C108" s="4" t="s">
        <v>12291</v>
      </c>
      <c r="D108" s="487">
        <v>746</v>
      </c>
      <c r="E108" s="487">
        <v>766</v>
      </c>
      <c r="F108" s="487">
        <v>737</v>
      </c>
      <c r="G108" s="31">
        <v>759</v>
      </c>
      <c r="H108" s="31">
        <v>758</v>
      </c>
      <c r="I108" s="31">
        <v>757</v>
      </c>
      <c r="J108" s="31">
        <v>738</v>
      </c>
      <c r="K108" s="31">
        <v>753</v>
      </c>
      <c r="L108" s="31">
        <v>764</v>
      </c>
      <c r="M108" s="488"/>
      <c r="N108" s="484" t="s">
        <v>4679</v>
      </c>
      <c r="O108" s="4"/>
      <c r="Q108" s="4"/>
    </row>
    <row r="109" spans="1:17">
      <c r="A109" s="82"/>
      <c r="B109" s="484"/>
      <c r="C109" s="4" t="s">
        <v>12291</v>
      </c>
      <c r="D109" s="487">
        <v>1212</v>
      </c>
      <c r="E109" s="487">
        <v>1244</v>
      </c>
      <c r="F109" s="487">
        <v>1221</v>
      </c>
      <c r="G109" s="31">
        <v>1202</v>
      </c>
      <c r="H109" s="31">
        <v>1166</v>
      </c>
      <c r="I109" s="31">
        <v>1157</v>
      </c>
      <c r="J109" s="31">
        <v>1198</v>
      </c>
      <c r="K109" s="31">
        <v>1204</v>
      </c>
      <c r="L109" s="31">
        <v>1189</v>
      </c>
      <c r="M109" s="488"/>
      <c r="N109" s="484" t="s">
        <v>4681</v>
      </c>
      <c r="O109" s="4"/>
      <c r="Q109" s="4"/>
    </row>
    <row r="110" spans="1:17" ht="15.75" thickBot="1">
      <c r="A110" s="82"/>
      <c r="B110" s="484"/>
      <c r="C110" s="4" t="s">
        <v>12291</v>
      </c>
      <c r="D110" s="487">
        <v>1519</v>
      </c>
      <c r="E110" s="487">
        <v>1516</v>
      </c>
      <c r="F110" s="487">
        <v>1493</v>
      </c>
      <c r="G110" s="31">
        <v>1497</v>
      </c>
      <c r="H110" s="31">
        <v>1499</v>
      </c>
      <c r="I110" s="31">
        <v>1470</v>
      </c>
      <c r="J110" s="31">
        <v>1480</v>
      </c>
      <c r="K110" s="31">
        <v>1511</v>
      </c>
      <c r="L110" s="31">
        <v>1501</v>
      </c>
      <c r="M110" s="488"/>
      <c r="N110" s="484" t="s">
        <v>6444</v>
      </c>
      <c r="O110" s="4"/>
      <c r="Q110" s="4"/>
    </row>
    <row r="111" spans="1:17" ht="15.75" thickBot="1">
      <c r="A111" s="82"/>
      <c r="B111" s="484"/>
      <c r="C111" s="4" t="s">
        <v>12291</v>
      </c>
      <c r="D111" s="493">
        <f t="shared" ref="D111:L111" si="36">SUM(D108:D110)</f>
        <v>3477</v>
      </c>
      <c r="E111" s="493">
        <f t="shared" si="36"/>
        <v>3526</v>
      </c>
      <c r="F111" s="493">
        <f t="shared" si="36"/>
        <v>3451</v>
      </c>
      <c r="G111" s="493">
        <f t="shared" si="36"/>
        <v>3458</v>
      </c>
      <c r="H111" s="493">
        <f t="shared" si="36"/>
        <v>3423</v>
      </c>
      <c r="I111" s="493">
        <f t="shared" si="36"/>
        <v>3384</v>
      </c>
      <c r="J111" s="493">
        <f t="shared" si="36"/>
        <v>3416</v>
      </c>
      <c r="K111" s="493">
        <f t="shared" si="36"/>
        <v>3468</v>
      </c>
      <c r="L111" s="493">
        <f t="shared" si="36"/>
        <v>3454</v>
      </c>
      <c r="M111" s="488"/>
      <c r="N111" s="484"/>
      <c r="O111" s="4"/>
      <c r="Q111" s="4"/>
    </row>
    <row r="112" spans="1:17">
      <c r="A112" s="82">
        <v>71</v>
      </c>
      <c r="B112" s="484" t="s">
        <v>3016</v>
      </c>
      <c r="C112" s="4" t="s">
        <v>12292</v>
      </c>
      <c r="D112" s="487">
        <v>3344</v>
      </c>
      <c r="E112" s="487">
        <v>3398</v>
      </c>
      <c r="F112" s="487">
        <v>3341</v>
      </c>
      <c r="G112" s="31">
        <v>3329</v>
      </c>
      <c r="H112" s="31">
        <v>3285</v>
      </c>
      <c r="I112" s="31">
        <v>3159</v>
      </c>
      <c r="J112" s="31">
        <v>3156</v>
      </c>
      <c r="K112" s="31">
        <v>3255</v>
      </c>
      <c r="L112" s="31">
        <v>3275</v>
      </c>
      <c r="M112" s="488"/>
      <c r="N112" s="484" t="s">
        <v>4681</v>
      </c>
      <c r="O112" s="4"/>
      <c r="Q112" s="4"/>
    </row>
    <row r="113" spans="1:17">
      <c r="A113" s="82">
        <v>72</v>
      </c>
      <c r="B113" s="484" t="s">
        <v>3014</v>
      </c>
      <c r="C113" s="4" t="s">
        <v>12293</v>
      </c>
      <c r="D113" s="487">
        <v>4130</v>
      </c>
      <c r="E113" s="487">
        <v>4131</v>
      </c>
      <c r="F113" s="487">
        <v>4118</v>
      </c>
      <c r="G113" s="31">
        <v>4114</v>
      </c>
      <c r="H113" s="31">
        <v>4118</v>
      </c>
      <c r="I113" s="31">
        <v>4004</v>
      </c>
      <c r="J113" s="31">
        <v>3961</v>
      </c>
      <c r="K113" s="31">
        <v>3974</v>
      </c>
      <c r="L113" s="31">
        <v>3972</v>
      </c>
      <c r="M113" s="488"/>
      <c r="N113" s="484" t="s">
        <v>4681</v>
      </c>
    </row>
    <row r="114" spans="1:17">
      <c r="A114" s="82">
        <v>73</v>
      </c>
      <c r="B114" s="484" t="s">
        <v>8136</v>
      </c>
      <c r="C114" s="4" t="s">
        <v>12294</v>
      </c>
      <c r="D114" s="487">
        <v>3568</v>
      </c>
      <c r="E114" s="487">
        <v>3871</v>
      </c>
      <c r="F114" s="487">
        <v>3692</v>
      </c>
      <c r="G114" s="31">
        <v>3617</v>
      </c>
      <c r="H114" s="31">
        <v>3365</v>
      </c>
      <c r="I114" s="31">
        <v>3149</v>
      </c>
      <c r="J114" s="31">
        <v>3759</v>
      </c>
      <c r="K114" s="31">
        <v>4324</v>
      </c>
      <c r="L114" s="31">
        <v>4581</v>
      </c>
      <c r="M114" s="488"/>
      <c r="N114" s="484" t="s">
        <v>4681</v>
      </c>
    </row>
    <row r="115" spans="1:17">
      <c r="A115" s="82">
        <v>74</v>
      </c>
      <c r="B115" s="484" t="s">
        <v>8137</v>
      </c>
      <c r="C115" s="4" t="s">
        <v>12295</v>
      </c>
      <c r="D115" s="487">
        <v>3543</v>
      </c>
      <c r="E115" s="487">
        <v>3601</v>
      </c>
      <c r="F115" s="487">
        <v>3579</v>
      </c>
      <c r="G115" s="31">
        <v>3618</v>
      </c>
      <c r="H115" s="31">
        <v>3554</v>
      </c>
      <c r="I115" s="31">
        <v>3383</v>
      </c>
      <c r="J115" s="31">
        <v>3487</v>
      </c>
      <c r="K115" s="31">
        <v>3579</v>
      </c>
      <c r="L115" s="31">
        <v>3621</v>
      </c>
      <c r="M115" s="488"/>
      <c r="N115" s="484" t="s">
        <v>4683</v>
      </c>
    </row>
    <row r="116" spans="1:17">
      <c r="A116" s="82">
        <v>75</v>
      </c>
      <c r="B116" s="484" t="s">
        <v>8138</v>
      </c>
      <c r="C116" s="4" t="s">
        <v>12296</v>
      </c>
      <c r="D116" s="487">
        <v>3416</v>
      </c>
      <c r="E116" s="487">
        <v>3476</v>
      </c>
      <c r="F116" s="487">
        <v>3406</v>
      </c>
      <c r="G116" s="31">
        <v>3401</v>
      </c>
      <c r="H116" s="31">
        <v>3418</v>
      </c>
      <c r="I116" s="31">
        <v>3361</v>
      </c>
      <c r="J116" s="31">
        <v>3370</v>
      </c>
      <c r="K116" s="31">
        <v>3538</v>
      </c>
      <c r="L116" s="31">
        <v>3596</v>
      </c>
      <c r="M116" s="488"/>
      <c r="N116" s="484" t="s">
        <v>6444</v>
      </c>
      <c r="O116" s="4"/>
      <c r="Q116" s="4"/>
    </row>
    <row r="117" spans="1:17">
      <c r="A117" s="82">
        <v>76</v>
      </c>
      <c r="B117" s="484" t="s">
        <v>8139</v>
      </c>
      <c r="C117" s="4" t="s">
        <v>12297</v>
      </c>
      <c r="D117" s="487">
        <v>3086</v>
      </c>
      <c r="E117" s="487">
        <v>3110</v>
      </c>
      <c r="F117" s="487">
        <v>3190</v>
      </c>
      <c r="G117" s="31">
        <v>3231</v>
      </c>
      <c r="H117" s="31">
        <v>3286</v>
      </c>
      <c r="I117" s="31">
        <v>3191</v>
      </c>
      <c r="J117" s="31">
        <v>3128</v>
      </c>
      <c r="K117" s="31">
        <v>3253</v>
      </c>
      <c r="L117" s="31">
        <v>3298</v>
      </c>
      <c r="M117" s="488"/>
      <c r="N117" s="484" t="s">
        <v>6444</v>
      </c>
      <c r="O117" s="4"/>
      <c r="Q117" s="4"/>
    </row>
    <row r="118" spans="1:17">
      <c r="A118" s="82">
        <v>77</v>
      </c>
      <c r="B118" s="484" t="s">
        <v>8140</v>
      </c>
      <c r="C118" s="4" t="s">
        <v>12298</v>
      </c>
      <c r="D118" s="487">
        <v>3199</v>
      </c>
      <c r="E118" s="487">
        <v>3319</v>
      </c>
      <c r="F118" s="487">
        <v>3403</v>
      </c>
      <c r="G118" s="31">
        <v>3377</v>
      </c>
      <c r="H118" s="31">
        <v>3321</v>
      </c>
      <c r="I118" s="31">
        <v>3154</v>
      </c>
      <c r="J118" s="31">
        <v>3254</v>
      </c>
      <c r="K118" s="31">
        <v>3403</v>
      </c>
      <c r="L118" s="31">
        <v>3421</v>
      </c>
      <c r="M118" s="488"/>
      <c r="N118" s="484" t="s">
        <v>6444</v>
      </c>
      <c r="O118" s="4"/>
      <c r="Q118" s="4"/>
    </row>
    <row r="119" spans="1:17">
      <c r="A119" s="82">
        <v>78</v>
      </c>
      <c r="B119" s="484" t="s">
        <v>8141</v>
      </c>
      <c r="C119" s="4" t="s">
        <v>12299</v>
      </c>
      <c r="D119" s="487">
        <v>3056</v>
      </c>
      <c r="E119" s="487">
        <v>3057</v>
      </c>
      <c r="F119" s="487">
        <v>3041</v>
      </c>
      <c r="G119" s="31">
        <v>3030</v>
      </c>
      <c r="H119" s="31">
        <v>3049</v>
      </c>
      <c r="I119" s="31">
        <v>2938</v>
      </c>
      <c r="J119" s="31">
        <v>2967</v>
      </c>
      <c r="K119" s="31">
        <v>3072</v>
      </c>
      <c r="L119" s="31">
        <v>3090</v>
      </c>
      <c r="M119" s="488"/>
      <c r="N119" s="484" t="s">
        <v>6444</v>
      </c>
      <c r="O119" s="4"/>
      <c r="Q119" s="4"/>
    </row>
    <row r="120" spans="1:17">
      <c r="A120" s="82">
        <v>79</v>
      </c>
      <c r="B120" s="484" t="s">
        <v>8142</v>
      </c>
      <c r="C120" s="4" t="s">
        <v>12300</v>
      </c>
      <c r="D120" s="487">
        <v>3315</v>
      </c>
      <c r="E120" s="487">
        <v>3380</v>
      </c>
      <c r="F120" s="487">
        <v>3333</v>
      </c>
      <c r="G120" s="31">
        <v>3304</v>
      </c>
      <c r="H120" s="31">
        <v>3239</v>
      </c>
      <c r="I120" s="31">
        <v>3196</v>
      </c>
      <c r="J120" s="31">
        <v>3188</v>
      </c>
      <c r="K120" s="31">
        <v>3260</v>
      </c>
      <c r="L120" s="31">
        <v>3237</v>
      </c>
      <c r="M120" s="488"/>
      <c r="N120" s="484" t="s">
        <v>6444</v>
      </c>
      <c r="O120" s="4"/>
      <c r="Q120" s="4"/>
    </row>
    <row r="121" spans="1:17">
      <c r="A121" s="82">
        <v>80</v>
      </c>
      <c r="B121" s="484" t="s">
        <v>13315</v>
      </c>
      <c r="C121" s="4" t="s">
        <v>12301</v>
      </c>
      <c r="D121" s="487">
        <v>3642</v>
      </c>
      <c r="E121" s="487">
        <v>3651</v>
      </c>
      <c r="F121" s="487">
        <v>3534</v>
      </c>
      <c r="G121" s="31">
        <v>3601</v>
      </c>
      <c r="H121" s="31">
        <v>3653</v>
      </c>
      <c r="I121" s="31">
        <v>3535</v>
      </c>
      <c r="J121" s="31">
        <v>3504</v>
      </c>
      <c r="K121" s="31">
        <v>3549</v>
      </c>
      <c r="L121" s="31">
        <v>3551</v>
      </c>
      <c r="M121" s="488"/>
      <c r="N121" s="484" t="s">
        <v>6444</v>
      </c>
      <c r="O121" s="4"/>
      <c r="Q121" s="4"/>
    </row>
    <row r="122" spans="1:17">
      <c r="A122" s="82">
        <v>81</v>
      </c>
      <c r="B122" s="484" t="s">
        <v>8143</v>
      </c>
      <c r="C122" s="4" t="s">
        <v>12302</v>
      </c>
      <c r="D122" s="487">
        <v>3053</v>
      </c>
      <c r="E122" s="487">
        <v>3191</v>
      </c>
      <c r="F122" s="487">
        <v>3245</v>
      </c>
      <c r="G122" s="31">
        <v>3273</v>
      </c>
      <c r="H122" s="31">
        <v>3371</v>
      </c>
      <c r="I122" s="31">
        <v>3223</v>
      </c>
      <c r="J122" s="31">
        <v>3294</v>
      </c>
      <c r="K122" s="31">
        <v>3485</v>
      </c>
      <c r="L122" s="31">
        <v>3502</v>
      </c>
      <c r="M122" s="488"/>
      <c r="N122" s="484" t="s">
        <v>6444</v>
      </c>
      <c r="O122" s="4"/>
      <c r="Q122" s="4"/>
    </row>
    <row r="123" spans="1:17">
      <c r="A123" s="82">
        <v>82</v>
      </c>
      <c r="B123" s="484" t="s">
        <v>8144</v>
      </c>
      <c r="C123" s="4" t="s">
        <v>12303</v>
      </c>
      <c r="D123" s="487">
        <v>2814</v>
      </c>
      <c r="E123" s="487">
        <v>2861</v>
      </c>
      <c r="F123" s="487">
        <v>2897</v>
      </c>
      <c r="G123" s="31">
        <v>2876</v>
      </c>
      <c r="H123" s="31">
        <v>3186</v>
      </c>
      <c r="I123" s="31">
        <v>3322</v>
      </c>
      <c r="J123" s="31">
        <v>3715</v>
      </c>
      <c r="K123" s="31">
        <v>4205</v>
      </c>
      <c r="L123" s="31">
        <v>4457</v>
      </c>
      <c r="M123" s="488"/>
      <c r="N123" s="484" t="s">
        <v>6444</v>
      </c>
      <c r="O123" s="4"/>
      <c r="Q123" s="4"/>
    </row>
    <row r="124" spans="1:17">
      <c r="A124" s="82">
        <v>83</v>
      </c>
      <c r="B124" s="484" t="s">
        <v>8145</v>
      </c>
      <c r="C124" s="4" t="s">
        <v>12304</v>
      </c>
      <c r="D124" s="487">
        <v>3391</v>
      </c>
      <c r="E124" s="487">
        <v>3515</v>
      </c>
      <c r="F124" s="487">
        <v>3495</v>
      </c>
      <c r="G124" s="31">
        <v>3596</v>
      </c>
      <c r="H124" s="31">
        <v>3668</v>
      </c>
      <c r="I124" s="31">
        <v>3630</v>
      </c>
      <c r="J124" s="31">
        <v>3670</v>
      </c>
      <c r="K124" s="31">
        <v>3814</v>
      </c>
      <c r="L124" s="31">
        <v>3827</v>
      </c>
      <c r="M124" s="488"/>
      <c r="N124" s="484" t="s">
        <v>4681</v>
      </c>
      <c r="O124" s="4"/>
      <c r="Q124" s="4"/>
    </row>
    <row r="125" spans="1:17">
      <c r="A125" s="82">
        <v>84</v>
      </c>
      <c r="B125" s="484" t="s">
        <v>8146</v>
      </c>
      <c r="C125" s="4" t="s">
        <v>12305</v>
      </c>
      <c r="D125" s="487">
        <v>3645</v>
      </c>
      <c r="E125" s="487">
        <v>3647</v>
      </c>
      <c r="F125" s="487">
        <v>3635</v>
      </c>
      <c r="G125" s="31">
        <v>3591</v>
      </c>
      <c r="H125" s="31">
        <v>3574</v>
      </c>
      <c r="I125" s="31">
        <v>3470</v>
      </c>
      <c r="J125" s="31">
        <v>3465</v>
      </c>
      <c r="K125" s="31">
        <v>3647</v>
      </c>
      <c r="L125" s="31">
        <v>3685</v>
      </c>
      <c r="M125" s="488"/>
      <c r="N125" s="484" t="s">
        <v>6444</v>
      </c>
      <c r="O125" s="4"/>
      <c r="Q125" s="4"/>
    </row>
    <row r="126" spans="1:17">
      <c r="A126" s="82">
        <v>85</v>
      </c>
      <c r="B126" s="484" t="s">
        <v>8147</v>
      </c>
      <c r="C126" s="4" t="s">
        <v>12306</v>
      </c>
      <c r="D126" s="487">
        <v>3444</v>
      </c>
      <c r="E126" s="487">
        <v>3607</v>
      </c>
      <c r="F126" s="487">
        <v>3726</v>
      </c>
      <c r="G126" s="31">
        <v>3666</v>
      </c>
      <c r="H126" s="31">
        <v>3451</v>
      </c>
      <c r="I126" s="31">
        <v>3330</v>
      </c>
      <c r="J126" s="31">
        <v>3404</v>
      </c>
      <c r="K126" s="31">
        <v>3512</v>
      </c>
      <c r="L126" s="31">
        <v>3519</v>
      </c>
      <c r="M126" s="488"/>
      <c r="N126" s="484" t="s">
        <v>6444</v>
      </c>
      <c r="O126" s="4"/>
      <c r="Q126" s="4"/>
    </row>
    <row r="127" spans="1:17">
      <c r="A127" s="82">
        <v>86</v>
      </c>
      <c r="B127" s="484" t="s">
        <v>8148</v>
      </c>
      <c r="C127" s="4" t="s">
        <v>12307</v>
      </c>
      <c r="D127" s="487">
        <v>3859</v>
      </c>
      <c r="E127" s="487">
        <v>3982</v>
      </c>
      <c r="F127" s="487">
        <v>4008</v>
      </c>
      <c r="G127" s="31">
        <v>4045</v>
      </c>
      <c r="H127" s="31">
        <v>4056</v>
      </c>
      <c r="I127" s="31">
        <v>3934</v>
      </c>
      <c r="J127" s="31">
        <v>4016</v>
      </c>
      <c r="K127" s="31">
        <v>4122</v>
      </c>
      <c r="L127" s="31">
        <v>4237</v>
      </c>
      <c r="M127" s="488"/>
      <c r="N127" s="484" t="s">
        <v>6444</v>
      </c>
      <c r="O127" s="4"/>
      <c r="Q127" s="4"/>
    </row>
    <row r="128" spans="1:17">
      <c r="A128" s="82">
        <v>87</v>
      </c>
      <c r="B128" s="484" t="s">
        <v>8149</v>
      </c>
      <c r="C128" s="4" t="s">
        <v>12308</v>
      </c>
      <c r="D128" s="487">
        <v>3719</v>
      </c>
      <c r="E128" s="487">
        <v>3798</v>
      </c>
      <c r="F128" s="487">
        <v>3858</v>
      </c>
      <c r="G128" s="31">
        <v>3947</v>
      </c>
      <c r="H128" s="31">
        <v>4017</v>
      </c>
      <c r="I128" s="31">
        <v>3887</v>
      </c>
      <c r="J128" s="31">
        <v>3917</v>
      </c>
      <c r="K128" s="31">
        <v>4058</v>
      </c>
      <c r="L128" s="31">
        <v>4065</v>
      </c>
      <c r="M128" s="488"/>
      <c r="N128" s="484" t="s">
        <v>6444</v>
      </c>
      <c r="O128" s="4"/>
      <c r="Q128" s="4"/>
    </row>
    <row r="129" spans="1:17">
      <c r="A129" s="82">
        <v>88</v>
      </c>
      <c r="B129" s="484" t="s">
        <v>8150</v>
      </c>
      <c r="C129" s="4" t="s">
        <v>12309</v>
      </c>
      <c r="D129" s="487">
        <v>3433</v>
      </c>
      <c r="E129" s="487">
        <v>3474</v>
      </c>
      <c r="F129" s="487">
        <v>3402</v>
      </c>
      <c r="G129" s="31">
        <v>3411</v>
      </c>
      <c r="H129" s="31">
        <v>3368</v>
      </c>
      <c r="I129" s="31">
        <v>3254</v>
      </c>
      <c r="J129" s="31">
        <v>3327</v>
      </c>
      <c r="K129" s="31">
        <v>3433</v>
      </c>
      <c r="L129" s="31">
        <v>3442</v>
      </c>
      <c r="M129" s="488"/>
      <c r="N129" s="484" t="s">
        <v>6444</v>
      </c>
      <c r="O129" s="4"/>
      <c r="Q129" s="4"/>
    </row>
    <row r="130" spans="1:17">
      <c r="A130" s="82">
        <v>89</v>
      </c>
      <c r="B130" s="484" t="s">
        <v>3530</v>
      </c>
      <c r="C130" s="4" t="s">
        <v>12310</v>
      </c>
      <c r="D130" s="487">
        <v>3353</v>
      </c>
      <c r="E130" s="487">
        <v>3403</v>
      </c>
      <c r="F130" s="487">
        <v>3374</v>
      </c>
      <c r="G130" s="31">
        <v>3367</v>
      </c>
      <c r="H130" s="31">
        <v>3324</v>
      </c>
      <c r="I130" s="31">
        <v>3266</v>
      </c>
      <c r="J130" s="31">
        <v>3224</v>
      </c>
      <c r="K130" s="31">
        <v>3358</v>
      </c>
      <c r="L130" s="31">
        <v>3373</v>
      </c>
      <c r="M130" s="488"/>
      <c r="N130" s="484" t="s">
        <v>4681</v>
      </c>
      <c r="O130" s="4"/>
      <c r="Q130" s="4"/>
    </row>
    <row r="131" spans="1:17">
      <c r="A131" s="82">
        <v>90</v>
      </c>
      <c r="B131" s="484" t="s">
        <v>8152</v>
      </c>
      <c r="C131" s="4" t="s">
        <v>12311</v>
      </c>
      <c r="D131" s="487">
        <v>3591</v>
      </c>
      <c r="E131" s="487">
        <v>3646</v>
      </c>
      <c r="F131" s="487">
        <v>3613</v>
      </c>
      <c r="G131" s="31">
        <v>3573</v>
      </c>
      <c r="H131" s="31">
        <v>3615</v>
      </c>
      <c r="I131" s="31">
        <v>3517</v>
      </c>
      <c r="J131" s="31">
        <v>3576</v>
      </c>
      <c r="K131" s="31">
        <v>3708</v>
      </c>
      <c r="L131" s="31">
        <v>3715</v>
      </c>
      <c r="M131" s="488"/>
      <c r="N131" s="484" t="s">
        <v>6444</v>
      </c>
      <c r="O131" s="4"/>
      <c r="Q131" s="4"/>
    </row>
    <row r="132" spans="1:17">
      <c r="A132" s="82">
        <v>91</v>
      </c>
      <c r="B132" s="484" t="s">
        <v>8151</v>
      </c>
      <c r="C132" s="4" t="s">
        <v>12312</v>
      </c>
      <c r="D132" s="487">
        <v>3317</v>
      </c>
      <c r="E132" s="487">
        <v>3390</v>
      </c>
      <c r="F132" s="487">
        <v>3290</v>
      </c>
      <c r="G132" s="31">
        <v>3357</v>
      </c>
      <c r="H132" s="31">
        <v>3266</v>
      </c>
      <c r="I132" s="31">
        <v>3204</v>
      </c>
      <c r="J132" s="31">
        <v>3228</v>
      </c>
      <c r="K132" s="31">
        <v>3463</v>
      </c>
      <c r="L132" s="31">
        <v>3617</v>
      </c>
      <c r="M132" s="488"/>
      <c r="N132" s="484" t="s">
        <v>6444</v>
      </c>
      <c r="O132" s="4"/>
      <c r="Q132" s="4"/>
    </row>
    <row r="133" spans="1:17">
      <c r="A133" s="82">
        <v>92</v>
      </c>
      <c r="B133" s="484" t="s">
        <v>8153</v>
      </c>
      <c r="C133" s="4" t="s">
        <v>12313</v>
      </c>
      <c r="D133" s="487">
        <v>3652</v>
      </c>
      <c r="E133" s="487">
        <v>3773</v>
      </c>
      <c r="F133" s="487">
        <v>3773</v>
      </c>
      <c r="G133" s="31">
        <v>3884</v>
      </c>
      <c r="H133" s="31">
        <v>3790</v>
      </c>
      <c r="I133" s="31">
        <v>3601</v>
      </c>
      <c r="J133" s="31">
        <v>3627</v>
      </c>
      <c r="K133" s="31">
        <v>3795</v>
      </c>
      <c r="L133" s="31">
        <v>3875</v>
      </c>
      <c r="M133" s="488"/>
      <c r="N133" s="484" t="s">
        <v>6444</v>
      </c>
      <c r="O133" s="4"/>
      <c r="Q133" s="4"/>
    </row>
    <row r="134" spans="1:17">
      <c r="A134" s="82">
        <v>93</v>
      </c>
      <c r="B134" s="484" t="s">
        <v>8154</v>
      </c>
      <c r="C134" s="4" t="s">
        <v>12314</v>
      </c>
      <c r="D134" s="487">
        <v>3657</v>
      </c>
      <c r="E134" s="487">
        <v>3768</v>
      </c>
      <c r="F134" s="487">
        <v>3757</v>
      </c>
      <c r="G134" s="31">
        <v>3742</v>
      </c>
      <c r="H134" s="31">
        <v>3682</v>
      </c>
      <c r="I134" s="31">
        <v>3556</v>
      </c>
      <c r="J134" s="31">
        <v>3565</v>
      </c>
      <c r="K134" s="31">
        <v>3721</v>
      </c>
      <c r="L134" s="31">
        <v>3969</v>
      </c>
      <c r="M134" s="488"/>
      <c r="N134" s="484" t="s">
        <v>4683</v>
      </c>
      <c r="O134" s="4"/>
      <c r="Q134" s="4"/>
    </row>
    <row r="135" spans="1:17">
      <c r="A135" s="82">
        <v>94</v>
      </c>
      <c r="B135" s="484" t="s">
        <v>8155</v>
      </c>
      <c r="C135" s="4" t="s">
        <v>12315</v>
      </c>
      <c r="D135" s="487">
        <v>3029</v>
      </c>
      <c r="E135" s="487">
        <v>3030</v>
      </c>
      <c r="F135" s="487">
        <v>3061</v>
      </c>
      <c r="G135" s="31">
        <v>3032</v>
      </c>
      <c r="H135" s="31">
        <v>2926</v>
      </c>
      <c r="I135" s="31">
        <v>2847</v>
      </c>
      <c r="J135" s="31">
        <v>2929</v>
      </c>
      <c r="K135" s="31">
        <v>2973</v>
      </c>
      <c r="L135" s="31">
        <v>2935</v>
      </c>
      <c r="M135" s="488"/>
      <c r="N135" s="484" t="s">
        <v>4679</v>
      </c>
      <c r="O135" s="4"/>
      <c r="Q135" s="4"/>
    </row>
    <row r="136" spans="1:17" ht="15.75" thickBot="1">
      <c r="A136" s="82"/>
      <c r="B136" s="484"/>
      <c r="C136" s="4" t="s">
        <v>12315</v>
      </c>
      <c r="D136" s="487">
        <v>331</v>
      </c>
      <c r="E136" s="487">
        <v>345</v>
      </c>
      <c r="F136" s="487">
        <v>346</v>
      </c>
      <c r="G136" s="31">
        <v>340</v>
      </c>
      <c r="H136" s="31">
        <v>331</v>
      </c>
      <c r="I136" s="31">
        <v>326</v>
      </c>
      <c r="J136" s="31">
        <v>332</v>
      </c>
      <c r="K136" s="31">
        <v>345</v>
      </c>
      <c r="L136" s="31">
        <v>342</v>
      </c>
      <c r="M136" s="488"/>
      <c r="N136" s="484" t="s">
        <v>6444</v>
      </c>
      <c r="O136" s="4"/>
      <c r="Q136" s="4"/>
    </row>
    <row r="137" spans="1:17" ht="15.75" thickBot="1">
      <c r="A137" s="82"/>
      <c r="B137" s="484"/>
      <c r="C137" s="4" t="s">
        <v>12315</v>
      </c>
      <c r="D137" s="493">
        <f t="shared" ref="D137:L137" si="37">SUM(D135:D136)</f>
        <v>3360</v>
      </c>
      <c r="E137" s="493">
        <f t="shared" si="37"/>
        <v>3375</v>
      </c>
      <c r="F137" s="493">
        <f t="shared" si="37"/>
        <v>3407</v>
      </c>
      <c r="G137" s="493">
        <f t="shared" si="37"/>
        <v>3372</v>
      </c>
      <c r="H137" s="493">
        <f t="shared" si="37"/>
        <v>3257</v>
      </c>
      <c r="I137" s="493">
        <f t="shared" si="37"/>
        <v>3173</v>
      </c>
      <c r="J137" s="493">
        <f t="shared" si="37"/>
        <v>3261</v>
      </c>
      <c r="K137" s="493">
        <f t="shared" si="37"/>
        <v>3318</v>
      </c>
      <c r="L137" s="493">
        <f t="shared" si="37"/>
        <v>3277</v>
      </c>
      <c r="M137" s="488"/>
      <c r="N137" s="484"/>
      <c r="O137" s="4"/>
      <c r="Q137" s="4"/>
    </row>
    <row r="138" spans="1:17">
      <c r="A138" s="82">
        <v>95</v>
      </c>
      <c r="B138" s="484" t="s">
        <v>8156</v>
      </c>
      <c r="C138" s="4" t="s">
        <v>12316</v>
      </c>
      <c r="D138" s="487">
        <v>3125</v>
      </c>
      <c r="E138" s="487">
        <v>3169</v>
      </c>
      <c r="F138" s="487">
        <v>3162</v>
      </c>
      <c r="G138" s="31">
        <v>3152</v>
      </c>
      <c r="H138" s="31">
        <v>3152</v>
      </c>
      <c r="I138" s="31">
        <v>3127</v>
      </c>
      <c r="J138" s="31">
        <v>3101</v>
      </c>
      <c r="K138" s="31">
        <v>3151</v>
      </c>
      <c r="L138" s="31">
        <v>3157</v>
      </c>
      <c r="M138" s="488"/>
      <c r="N138" s="484" t="s">
        <v>4683</v>
      </c>
      <c r="O138" s="4"/>
      <c r="Q138" s="4"/>
    </row>
    <row r="139" spans="1:17">
      <c r="A139" s="82">
        <v>96</v>
      </c>
      <c r="B139" s="484" t="s">
        <v>16279</v>
      </c>
      <c r="C139" s="4" t="s">
        <v>12317</v>
      </c>
      <c r="D139" s="487">
        <v>3667</v>
      </c>
      <c r="E139" s="487">
        <v>3686</v>
      </c>
      <c r="F139" s="487">
        <v>3682</v>
      </c>
      <c r="G139" s="31">
        <v>3692</v>
      </c>
      <c r="H139" s="31">
        <v>3660</v>
      </c>
      <c r="I139" s="31">
        <v>3633</v>
      </c>
      <c r="J139" s="31">
        <v>3654</v>
      </c>
      <c r="K139" s="31">
        <v>3771</v>
      </c>
      <c r="L139" s="31">
        <v>3786</v>
      </c>
      <c r="M139" s="488"/>
      <c r="N139" s="484" t="s">
        <v>4682</v>
      </c>
    </row>
    <row r="140" spans="1:17">
      <c r="A140" s="484">
        <v>97</v>
      </c>
      <c r="B140" s="484" t="s">
        <v>15661</v>
      </c>
      <c r="C140" s="4" t="s">
        <v>12318</v>
      </c>
      <c r="D140" s="487">
        <v>3600</v>
      </c>
      <c r="E140" s="487">
        <v>3637</v>
      </c>
      <c r="F140" s="487">
        <v>3653</v>
      </c>
      <c r="G140" s="31">
        <v>3644</v>
      </c>
      <c r="H140" s="31">
        <v>3636</v>
      </c>
      <c r="I140" s="31">
        <v>3474</v>
      </c>
      <c r="J140" s="31">
        <v>3395</v>
      </c>
      <c r="K140" s="31">
        <v>3493</v>
      </c>
      <c r="L140" s="31">
        <v>3591</v>
      </c>
      <c r="M140" s="488"/>
      <c r="N140" s="484" t="s">
        <v>4682</v>
      </c>
      <c r="O140" s="4"/>
      <c r="Q140" s="4"/>
    </row>
    <row r="141" spans="1:17">
      <c r="A141" s="484">
        <v>98</v>
      </c>
      <c r="B141" s="484" t="s">
        <v>15662</v>
      </c>
      <c r="C141" s="4" t="s">
        <v>12319</v>
      </c>
      <c r="D141" s="487">
        <v>3873</v>
      </c>
      <c r="E141" s="487">
        <v>3945</v>
      </c>
      <c r="F141" s="487">
        <v>4140</v>
      </c>
      <c r="G141" s="31">
        <v>4275</v>
      </c>
      <c r="H141" s="31">
        <v>4524</v>
      </c>
      <c r="I141" s="31">
        <v>4399</v>
      </c>
      <c r="J141" s="31">
        <v>4612</v>
      </c>
      <c r="K141" s="31">
        <v>4803</v>
      </c>
      <c r="L141" s="31">
        <v>4908</v>
      </c>
      <c r="M141" s="488"/>
      <c r="N141" s="484" t="s">
        <v>4682</v>
      </c>
      <c r="O141" s="4"/>
      <c r="Q141" s="4"/>
    </row>
    <row r="142" spans="1:17">
      <c r="D142" s="487"/>
      <c r="E142" s="487"/>
      <c r="F142" s="487"/>
      <c r="G142" s="487"/>
      <c r="H142" s="487"/>
      <c r="I142" s="487"/>
      <c r="J142" s="487"/>
      <c r="K142" s="487"/>
      <c r="L142" s="487"/>
      <c r="M142" s="488"/>
      <c r="N142" s="484"/>
      <c r="O142" s="4"/>
      <c r="Q142" s="4"/>
    </row>
    <row r="143" spans="1:17">
      <c r="A143" s="484" t="s">
        <v>4679</v>
      </c>
      <c r="D143" s="487">
        <f t="shared" ref="D143:I143" si="38">D35+D36+SUM(D49:D59)+D72+D73+SUM(D83:D87)+D108+D135</f>
        <v>71870</v>
      </c>
      <c r="E143" s="487">
        <f t="shared" si="38"/>
        <v>73312</v>
      </c>
      <c r="F143" s="487">
        <f t="shared" si="38"/>
        <v>73625</v>
      </c>
      <c r="G143" s="487">
        <f t="shared" si="38"/>
        <v>73642</v>
      </c>
      <c r="H143" s="487">
        <f t="shared" si="38"/>
        <v>73846</v>
      </c>
      <c r="I143" s="487">
        <f t="shared" si="38"/>
        <v>72404</v>
      </c>
      <c r="J143" s="487">
        <f t="shared" ref="J143:K143" si="39">J35+J36+SUM(J49:J59)+J72+J73+SUM(J83:J87)+J108+J135</f>
        <v>72812</v>
      </c>
      <c r="K143" s="487">
        <f t="shared" si="39"/>
        <v>74534</v>
      </c>
      <c r="L143" s="487">
        <f t="shared" ref="L143" si="40">L35+L36+SUM(L49:L59)+L72+L73+SUM(L83:L87)+L108+L135</f>
        <v>75179</v>
      </c>
      <c r="O143" s="4"/>
      <c r="Q143" s="4"/>
    </row>
    <row r="144" spans="1:17">
      <c r="A144" s="484" t="s">
        <v>4681</v>
      </c>
      <c r="D144" s="487">
        <f t="shared" ref="D144:I144" si="41">D29+D38+D39+D42+SUM(D63:D65)+D67+D78+D81+D82+D93+D94+D97+D109+SUM(D112:D114)+D124+D130</f>
        <v>66972</v>
      </c>
      <c r="E144" s="487">
        <f t="shared" si="41"/>
        <v>68846</v>
      </c>
      <c r="F144" s="487">
        <f t="shared" si="41"/>
        <v>68569</v>
      </c>
      <c r="G144" s="487">
        <f t="shared" si="41"/>
        <v>68795</v>
      </c>
      <c r="H144" s="487">
        <f t="shared" si="41"/>
        <v>68473</v>
      </c>
      <c r="I144" s="487">
        <f t="shared" si="41"/>
        <v>66399</v>
      </c>
      <c r="J144" s="487">
        <f t="shared" ref="J144:K144" si="42">J29+J38+J39+J42+SUM(J63:J65)+J67+J78+J81+J82+J93+J94+J97+J109+SUM(J112:J114)+J124+J130</f>
        <v>67301</v>
      </c>
      <c r="K144" s="487">
        <f t="shared" si="42"/>
        <v>69598</v>
      </c>
      <c r="L144" s="487">
        <f t="shared" ref="L144" si="43">L29+L38+L39+L42+SUM(L63:L65)+L67+L78+L81+L82+L93+L94+L97+L109+SUM(L112:L114)+L124+L130</f>
        <v>70199</v>
      </c>
    </row>
    <row r="145" spans="1:17">
      <c r="A145" s="484" t="s">
        <v>4682</v>
      </c>
      <c r="D145" s="487">
        <f t="shared" ref="D145:J145" si="44">D34+D37+SUM(D43:D48)+D60+D62+D76+D79+D80+D89+D95+D106+SUM(D139:D141)</f>
        <v>65762</v>
      </c>
      <c r="E145" s="487">
        <f t="shared" si="44"/>
        <v>67154</v>
      </c>
      <c r="F145" s="487">
        <f t="shared" si="44"/>
        <v>66986</v>
      </c>
      <c r="G145" s="487">
        <f t="shared" si="44"/>
        <v>67313</v>
      </c>
      <c r="H145" s="487">
        <f t="shared" si="44"/>
        <v>67648</v>
      </c>
      <c r="I145" s="487">
        <f t="shared" si="44"/>
        <v>65506</v>
      </c>
      <c r="J145" s="487">
        <f t="shared" si="44"/>
        <v>66692</v>
      </c>
      <c r="K145" s="487">
        <f t="shared" ref="K145:L145" si="45">K34+K37+SUM(K43:K48)+K60+K62+K76+K79+K80+K89+K95+K106+SUM(K139:K141)</f>
        <v>69032</v>
      </c>
      <c r="L145" s="487">
        <f t="shared" si="45"/>
        <v>70473</v>
      </c>
    </row>
    <row r="146" spans="1:17">
      <c r="A146" s="484" t="s">
        <v>4683</v>
      </c>
      <c r="D146" s="487">
        <f t="shared" ref="D146:I146" si="46">SUM(D30:D33)+D40+D66+D69+D77+D90+D96+SUM(D98:D105)+D115+D134+D138</f>
        <v>67080</v>
      </c>
      <c r="E146" s="487">
        <f t="shared" si="46"/>
        <v>68731</v>
      </c>
      <c r="F146" s="487">
        <f t="shared" si="46"/>
        <v>68757</v>
      </c>
      <c r="G146" s="487">
        <f t="shared" si="46"/>
        <v>69442</v>
      </c>
      <c r="H146" s="487">
        <f t="shared" si="46"/>
        <v>69448</v>
      </c>
      <c r="I146" s="487">
        <f t="shared" si="46"/>
        <v>67122</v>
      </c>
      <c r="J146" s="487">
        <f t="shared" ref="J146:K146" si="47">SUM(J30:J33)+J40+J66+J69+J77+J90+J96+SUM(J98:J105)+J115+J134+J138</f>
        <v>68261</v>
      </c>
      <c r="K146" s="487">
        <f t="shared" si="47"/>
        <v>70247</v>
      </c>
      <c r="L146" s="487">
        <f t="shared" ref="L146" si="48">SUM(L30:L33)+L40+L66+L69+L77+L90+L96+SUM(L98:L105)+L115+L134+L138</f>
        <v>71614</v>
      </c>
      <c r="O146" s="4"/>
      <c r="Q146" s="4"/>
    </row>
    <row r="147" spans="1:17">
      <c r="A147" s="484" t="s">
        <v>6444</v>
      </c>
      <c r="D147" s="487">
        <f t="shared" ref="D147:I147" si="49">D68+D70+D74+D88+D91+D107+D110+SUM(D116:D123)+SUM(D125:D129)+SUM(D131:D133)+D136</f>
        <v>71452</v>
      </c>
      <c r="E147" s="487">
        <f t="shared" si="49"/>
        <v>72820</v>
      </c>
      <c r="F147" s="487">
        <f t="shared" si="49"/>
        <v>72682</v>
      </c>
      <c r="G147" s="487">
        <f t="shared" si="49"/>
        <v>72798</v>
      </c>
      <c r="H147" s="487">
        <f t="shared" si="49"/>
        <v>72750</v>
      </c>
      <c r="I147" s="487">
        <f t="shared" si="49"/>
        <v>70765</v>
      </c>
      <c r="J147" s="487">
        <f t="shared" ref="J147:K147" si="50">J68+J70+J74+J88+J91+J107+J110+SUM(J116:J123)+SUM(J125:J129)+SUM(J131:J133)+J136</f>
        <v>71658</v>
      </c>
      <c r="K147" s="487">
        <f t="shared" si="50"/>
        <v>74745</v>
      </c>
      <c r="L147" s="487">
        <f t="shared" ref="L147" si="51">L68+L70+L74+L88+L91+L107+L110+SUM(L116:L123)+SUM(L125:L129)+SUM(L131:L133)+L136</f>
        <v>75628</v>
      </c>
      <c r="M147" s="488"/>
      <c r="O147" s="4"/>
      <c r="Q147" s="4"/>
    </row>
    <row r="148" spans="1:17">
      <c r="M148" s="488"/>
      <c r="O148" s="4"/>
      <c r="Q148" s="4"/>
    </row>
    <row r="149" spans="1:17">
      <c r="A149" s="485" t="s">
        <v>6439</v>
      </c>
      <c r="O149" s="4"/>
      <c r="Q149" s="4"/>
    </row>
  </sheetData>
  <phoneticPr fontId="7" type="noConversion"/>
  <printOptions gridLinesSet="0"/>
  <pageMargins left="0.51181102362204722" right="0" top="0.51181102362204722" bottom="0.51181102362204722" header="0.51181102362204722" footer="0.51181102362204722"/>
  <pageSetup paperSize="9" scale="81" orientation="portrait" horizontalDpi="300" verticalDpi="300" r:id="rId1"/>
  <headerFooter alignWithMargins="0">
    <oddFooter>&amp;C&amp;8&amp;P of &amp;N</oddFooter>
  </headerFooter>
  <rowBreaks count="2" manualBreakCount="2">
    <brk id="23" max="4" man="1"/>
    <brk id="87" max="5" man="1"/>
  </rowBreaks>
  <ignoredErrors>
    <ignoredError sqref="D61:G61 D41:G41 D71:F71 D75:F75 D92:E92 D28:K28 D138:D142 D144:D147 D3:D4 E138:E142 E144:E147 E3:E4 F3:F4 F92:G92 G71:G75 G3:G4 D5:D21 E5:E21 F5:F21 G5:G21 H41:H92 H3:H4 H5:H21 I41:K41 I61:K61 I71:K71 I75:K75 I92:K92 I3:I21 J3:J21 K3:K21 L3:L147" unlockedFormula="1"/>
    <ignoredError sqref="D111:K111 D137:K137 D143:E143 F143:F147 G143:G147 H143:H147 I143:I147 J143:J147 K143:K147" formulaRange="1" unlockedFormula="1"/>
    <ignoredError sqref="F142" formulaRange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O215"/>
  <sheetViews>
    <sheetView showGridLines="0" zoomScaleNormal="100" workbookViewId="0"/>
  </sheetViews>
  <sheetFormatPr defaultColWidth="12.5703125" defaultRowHeight="15"/>
  <cols>
    <col min="1" max="1" width="4.85546875" style="765" customWidth="1"/>
    <col min="2" max="2" width="40.7109375" style="765" customWidth="1"/>
    <col min="3" max="3" width="11.5703125" style="765" customWidth="1"/>
    <col min="4" max="12" width="10.42578125" style="765" customWidth="1"/>
    <col min="13" max="13" width="2.28515625" style="765" customWidth="1"/>
    <col min="14" max="14" width="35.7109375" style="765" customWidth="1"/>
    <col min="15" max="16384" width="12.5703125" style="765"/>
  </cols>
  <sheetData>
    <row r="1" spans="1:14">
      <c r="A1" s="764" t="s">
        <v>8847</v>
      </c>
      <c r="D1" s="765">
        <v>2010</v>
      </c>
      <c r="E1" s="765">
        <v>2011</v>
      </c>
      <c r="F1" s="765">
        <v>2012</v>
      </c>
      <c r="G1" s="765">
        <v>2013</v>
      </c>
      <c r="H1" s="765">
        <v>2014</v>
      </c>
      <c r="I1" s="765">
        <v>2015</v>
      </c>
      <c r="J1" s="765">
        <v>2016</v>
      </c>
      <c r="K1" s="765">
        <v>2017</v>
      </c>
      <c r="L1" s="765">
        <v>2018</v>
      </c>
    </row>
    <row r="3" spans="1:14">
      <c r="A3" s="764" t="s">
        <v>8042</v>
      </c>
      <c r="D3" s="766">
        <f t="shared" ref="D3:I3" si="0">SUM(D5:D10)</f>
        <v>434692</v>
      </c>
      <c r="E3" s="766">
        <f t="shared" si="0"/>
        <v>436192</v>
      </c>
      <c r="F3" s="766">
        <f t="shared" si="0"/>
        <v>437589</v>
      </c>
      <c r="G3" s="766">
        <f t="shared" si="0"/>
        <v>439009</v>
      </c>
      <c r="H3" s="766">
        <f t="shared" si="0"/>
        <v>431737</v>
      </c>
      <c r="I3" s="766">
        <f t="shared" si="0"/>
        <v>430060</v>
      </c>
      <c r="J3" s="766">
        <f t="shared" ref="J3:K3" si="1">SUM(J5:J10)</f>
        <v>427975</v>
      </c>
      <c r="K3" s="766">
        <f t="shared" si="1"/>
        <v>437046</v>
      </c>
      <c r="L3" s="766">
        <f t="shared" ref="L3" si="2">SUM(L5:L10)</f>
        <v>435370</v>
      </c>
    </row>
    <row r="4" spans="1:14">
      <c r="D4" s="767"/>
      <c r="E4" s="767"/>
      <c r="F4" s="767"/>
      <c r="G4" s="767"/>
      <c r="H4" s="767"/>
      <c r="I4" s="767"/>
      <c r="J4" s="767"/>
      <c r="K4" s="767"/>
      <c r="L4" s="767"/>
    </row>
    <row r="5" spans="1:14">
      <c r="A5" s="764" t="s">
        <v>8043</v>
      </c>
      <c r="C5" s="764"/>
      <c r="D5" s="768">
        <f t="shared" ref="D5:I5" si="3">D41</f>
        <v>73430</v>
      </c>
      <c r="E5" s="768">
        <f t="shared" si="3"/>
        <v>73279</v>
      </c>
      <c r="F5" s="768">
        <f t="shared" si="3"/>
        <v>73099</v>
      </c>
      <c r="G5" s="768">
        <f t="shared" si="3"/>
        <v>73892</v>
      </c>
      <c r="H5" s="768">
        <f t="shared" si="3"/>
        <v>71548</v>
      </c>
      <c r="I5" s="768">
        <f t="shared" si="3"/>
        <v>72319</v>
      </c>
      <c r="J5" s="768">
        <f t="shared" ref="J5:K5" si="4">J41</f>
        <v>72042</v>
      </c>
      <c r="K5" s="768">
        <f t="shared" si="4"/>
        <v>72948</v>
      </c>
      <c r="L5" s="768">
        <f t="shared" ref="L5" si="5">L41</f>
        <v>72206</v>
      </c>
      <c r="N5" s="769"/>
    </row>
    <row r="6" spans="1:14">
      <c r="A6" s="764" t="s">
        <v>8044</v>
      </c>
      <c r="C6" s="764"/>
      <c r="D6" s="768">
        <f t="shared" ref="D6:I6" si="6">D80</f>
        <v>58849</v>
      </c>
      <c r="E6" s="768">
        <f t="shared" si="6"/>
        <v>59220</v>
      </c>
      <c r="F6" s="768">
        <f t="shared" si="6"/>
        <v>59261</v>
      </c>
      <c r="G6" s="768">
        <f t="shared" si="6"/>
        <v>59839</v>
      </c>
      <c r="H6" s="768">
        <f t="shared" si="6"/>
        <v>59462</v>
      </c>
      <c r="I6" s="768">
        <f t="shared" si="6"/>
        <v>58717</v>
      </c>
      <c r="J6" s="768">
        <f t="shared" ref="J6:K6" si="7">J80</f>
        <v>58606</v>
      </c>
      <c r="K6" s="768">
        <f t="shared" si="7"/>
        <v>59796</v>
      </c>
      <c r="L6" s="768">
        <f t="shared" ref="L6" si="8">L80</f>
        <v>59644</v>
      </c>
      <c r="N6" s="769"/>
    </row>
    <row r="7" spans="1:14">
      <c r="A7" s="764" t="s">
        <v>8023</v>
      </c>
      <c r="C7" s="764"/>
      <c r="D7" s="768">
        <f t="shared" ref="D7:I7" si="9">D111</f>
        <v>62522</v>
      </c>
      <c r="E7" s="768">
        <f t="shared" si="9"/>
        <v>61937</v>
      </c>
      <c r="F7" s="768">
        <f t="shared" si="9"/>
        <v>61986</v>
      </c>
      <c r="G7" s="768">
        <f t="shared" si="9"/>
        <v>62189</v>
      </c>
      <c r="H7" s="768">
        <f t="shared" si="9"/>
        <v>60349</v>
      </c>
      <c r="I7" s="768">
        <f t="shared" si="9"/>
        <v>60417</v>
      </c>
      <c r="J7" s="768">
        <f t="shared" ref="J7:K7" si="10">J111</f>
        <v>59495</v>
      </c>
      <c r="K7" s="768">
        <f t="shared" si="10"/>
        <v>59938</v>
      </c>
      <c r="L7" s="768">
        <f t="shared" ref="L7" si="11">L111</f>
        <v>58564</v>
      </c>
      <c r="N7" s="769"/>
    </row>
    <row r="8" spans="1:14">
      <c r="A8" s="764" t="s">
        <v>8024</v>
      </c>
      <c r="C8" s="764"/>
      <c r="D8" s="768">
        <f t="shared" ref="D8:I8" si="12">D132</f>
        <v>72965</v>
      </c>
      <c r="E8" s="768">
        <f t="shared" si="12"/>
        <v>73960</v>
      </c>
      <c r="F8" s="768">
        <f t="shared" si="12"/>
        <v>74513</v>
      </c>
      <c r="G8" s="768">
        <f t="shared" si="12"/>
        <v>73837</v>
      </c>
      <c r="H8" s="768">
        <f t="shared" si="12"/>
        <v>72165</v>
      </c>
      <c r="I8" s="768">
        <f t="shared" si="12"/>
        <v>71580</v>
      </c>
      <c r="J8" s="768">
        <f t="shared" ref="J8:K8" si="13">J132</f>
        <v>70542</v>
      </c>
      <c r="K8" s="768">
        <f t="shared" si="13"/>
        <v>72543</v>
      </c>
      <c r="L8" s="768">
        <f t="shared" ref="L8" si="14">L132</f>
        <v>72702</v>
      </c>
      <c r="N8" s="769"/>
    </row>
    <row r="9" spans="1:14">
      <c r="A9" s="764" t="s">
        <v>8025</v>
      </c>
      <c r="C9" s="764"/>
      <c r="D9" s="768">
        <f t="shared" ref="D9:I9" si="15">D156</f>
        <v>90152</v>
      </c>
      <c r="E9" s="768">
        <f t="shared" si="15"/>
        <v>89996</v>
      </c>
      <c r="F9" s="768">
        <f t="shared" si="15"/>
        <v>91095</v>
      </c>
      <c r="G9" s="768">
        <f t="shared" si="15"/>
        <v>91938</v>
      </c>
      <c r="H9" s="768">
        <f t="shared" si="15"/>
        <v>91382</v>
      </c>
      <c r="I9" s="768">
        <f t="shared" si="15"/>
        <v>89821</v>
      </c>
      <c r="J9" s="768">
        <f t="shared" ref="J9:K9" si="16">J156</f>
        <v>92064</v>
      </c>
      <c r="K9" s="768">
        <f t="shared" si="16"/>
        <v>94479</v>
      </c>
      <c r="L9" s="768">
        <f t="shared" ref="L9" si="17">L156</f>
        <v>95023</v>
      </c>
      <c r="N9" s="769"/>
    </row>
    <row r="10" spans="1:14">
      <c r="A10" s="764" t="s">
        <v>7196</v>
      </c>
      <c r="C10" s="764"/>
      <c r="D10" s="768">
        <f t="shared" ref="D10:I10" si="18">D199</f>
        <v>76774</v>
      </c>
      <c r="E10" s="768">
        <f t="shared" si="18"/>
        <v>77800</v>
      </c>
      <c r="F10" s="768">
        <f t="shared" si="18"/>
        <v>77635</v>
      </c>
      <c r="G10" s="768">
        <f t="shared" si="18"/>
        <v>77314</v>
      </c>
      <c r="H10" s="768">
        <f t="shared" si="18"/>
        <v>76831</v>
      </c>
      <c r="I10" s="768">
        <f t="shared" si="18"/>
        <v>77206</v>
      </c>
      <c r="J10" s="768">
        <f t="shared" ref="J10:K10" si="19">J199</f>
        <v>75226</v>
      </c>
      <c r="K10" s="768">
        <f t="shared" si="19"/>
        <v>77342</v>
      </c>
      <c r="L10" s="768">
        <f t="shared" ref="L10" si="20">L199</f>
        <v>77231</v>
      </c>
      <c r="N10" s="769"/>
    </row>
    <row r="12" spans="1:14">
      <c r="A12" s="764" t="s">
        <v>1173</v>
      </c>
      <c r="D12" s="768">
        <f t="shared" ref="D12:I12" si="21">D3/6</f>
        <v>72448.666666666672</v>
      </c>
      <c r="E12" s="768">
        <f t="shared" si="21"/>
        <v>72698.666666666672</v>
      </c>
      <c r="F12" s="768">
        <f t="shared" si="21"/>
        <v>72931.5</v>
      </c>
      <c r="G12" s="768">
        <f t="shared" si="21"/>
        <v>73168.166666666672</v>
      </c>
      <c r="H12" s="768">
        <f t="shared" si="21"/>
        <v>71956.166666666672</v>
      </c>
      <c r="I12" s="768">
        <f t="shared" si="21"/>
        <v>71676.666666666672</v>
      </c>
      <c r="J12" s="768">
        <f t="shared" ref="J12:K12" si="22">J3/6</f>
        <v>71329.166666666672</v>
      </c>
      <c r="K12" s="768">
        <f t="shared" si="22"/>
        <v>72841</v>
      </c>
      <c r="L12" s="768">
        <f t="shared" ref="L12" si="23">L3/6</f>
        <v>72561.666666666672</v>
      </c>
    </row>
    <row r="13" spans="1:14">
      <c r="D13" s="767"/>
      <c r="E13" s="767"/>
      <c r="F13" s="767"/>
      <c r="G13" s="767"/>
      <c r="H13" s="767"/>
      <c r="I13" s="767"/>
      <c r="J13" s="767"/>
      <c r="K13" s="767"/>
      <c r="L13" s="767"/>
    </row>
    <row r="14" spans="1:14">
      <c r="A14" s="764" t="s">
        <v>7197</v>
      </c>
      <c r="D14" s="766">
        <f t="shared" ref="D14:I14" si="24">D73</f>
        <v>73430</v>
      </c>
      <c r="E14" s="766">
        <f t="shared" si="24"/>
        <v>73279</v>
      </c>
      <c r="F14" s="766">
        <f t="shared" si="24"/>
        <v>73099</v>
      </c>
      <c r="G14" s="766">
        <f t="shared" si="24"/>
        <v>73892</v>
      </c>
      <c r="H14" s="766">
        <f t="shared" si="24"/>
        <v>71548</v>
      </c>
      <c r="I14" s="766">
        <f t="shared" si="24"/>
        <v>72319</v>
      </c>
      <c r="J14" s="766">
        <f t="shared" ref="J14:K14" si="25">J73</f>
        <v>72042</v>
      </c>
      <c r="K14" s="766">
        <f t="shared" si="25"/>
        <v>72948</v>
      </c>
      <c r="L14" s="766">
        <f t="shared" ref="L14" si="26">L73</f>
        <v>72206</v>
      </c>
      <c r="N14" s="764" t="s">
        <v>8766</v>
      </c>
    </row>
    <row r="15" spans="1:14">
      <c r="D15" s="767"/>
      <c r="E15" s="767"/>
      <c r="F15" s="767"/>
      <c r="G15" s="767"/>
      <c r="H15" s="767"/>
      <c r="I15" s="767"/>
      <c r="J15" s="767"/>
      <c r="K15" s="767"/>
      <c r="L15" s="767"/>
    </row>
    <row r="16" spans="1:14">
      <c r="A16" s="764" t="s">
        <v>7198</v>
      </c>
      <c r="D16" s="768">
        <f t="shared" ref="D16:I16" si="27">D190</f>
        <v>71858</v>
      </c>
      <c r="E16" s="768">
        <f t="shared" si="27"/>
        <v>71660</v>
      </c>
      <c r="F16" s="768">
        <f t="shared" si="27"/>
        <v>72641</v>
      </c>
      <c r="G16" s="768">
        <f t="shared" si="27"/>
        <v>73227</v>
      </c>
      <c r="H16" s="768">
        <f t="shared" si="27"/>
        <v>72649</v>
      </c>
      <c r="I16" s="768">
        <f t="shared" si="27"/>
        <v>71461</v>
      </c>
      <c r="J16" s="768">
        <f t="shared" ref="J16:K16" si="28">J190</f>
        <v>73420</v>
      </c>
      <c r="K16" s="768">
        <f t="shared" si="28"/>
        <v>75378</v>
      </c>
      <c r="L16" s="768">
        <f t="shared" ref="L16" si="29">L190</f>
        <v>75796</v>
      </c>
      <c r="N16" s="764" t="s">
        <v>7199</v>
      </c>
    </row>
    <row r="17" spans="1:14">
      <c r="D17" s="767"/>
      <c r="E17" s="767"/>
      <c r="F17" s="767"/>
      <c r="G17" s="767"/>
      <c r="H17" s="767"/>
      <c r="I17" s="767"/>
      <c r="J17" s="767"/>
      <c r="K17" s="767"/>
      <c r="L17" s="767"/>
    </row>
    <row r="18" spans="1:14">
      <c r="A18" s="764" t="s">
        <v>7200</v>
      </c>
      <c r="D18" s="768">
        <f t="shared" ref="D18:I18" si="30">D125</f>
        <v>62522</v>
      </c>
      <c r="E18" s="768">
        <f t="shared" si="30"/>
        <v>61937</v>
      </c>
      <c r="F18" s="768">
        <f t="shared" si="30"/>
        <v>61986</v>
      </c>
      <c r="G18" s="768">
        <f t="shared" si="30"/>
        <v>62189</v>
      </c>
      <c r="H18" s="768">
        <f t="shared" si="30"/>
        <v>60349</v>
      </c>
      <c r="I18" s="768">
        <f t="shared" si="30"/>
        <v>60417</v>
      </c>
      <c r="J18" s="768">
        <f t="shared" ref="J18:K18" si="31">J125</f>
        <v>59495</v>
      </c>
      <c r="K18" s="768">
        <f t="shared" si="31"/>
        <v>59938</v>
      </c>
      <c r="L18" s="768">
        <f t="shared" ref="L18" si="32">L125</f>
        <v>58564</v>
      </c>
      <c r="N18" s="764" t="s">
        <v>8768</v>
      </c>
    </row>
    <row r="19" spans="1:14" ht="15.75" thickBot="1">
      <c r="D19" s="770">
        <f t="shared" ref="D19:I19" si="33">D191</f>
        <v>4455</v>
      </c>
      <c r="E19" s="770">
        <f t="shared" si="33"/>
        <v>4555</v>
      </c>
      <c r="F19" s="770">
        <f t="shared" si="33"/>
        <v>4585</v>
      </c>
      <c r="G19" s="770">
        <f t="shared" si="33"/>
        <v>4612</v>
      </c>
      <c r="H19" s="770">
        <f t="shared" si="33"/>
        <v>4578</v>
      </c>
      <c r="I19" s="770">
        <f t="shared" si="33"/>
        <v>4504</v>
      </c>
      <c r="J19" s="770">
        <f t="shared" ref="J19:K19" si="34">J191</f>
        <v>4576</v>
      </c>
      <c r="K19" s="770">
        <f t="shared" si="34"/>
        <v>4744</v>
      </c>
      <c r="L19" s="770">
        <f t="shared" ref="L19" si="35">L191</f>
        <v>4821</v>
      </c>
      <c r="N19" s="764" t="s">
        <v>7199</v>
      </c>
    </row>
    <row r="20" spans="1:14" ht="15.75" thickBot="1">
      <c r="D20" s="770">
        <f t="shared" ref="D20:I20" si="36">D18+D19</f>
        <v>66977</v>
      </c>
      <c r="E20" s="770">
        <f t="shared" si="36"/>
        <v>66492</v>
      </c>
      <c r="F20" s="770">
        <f t="shared" si="36"/>
        <v>66571</v>
      </c>
      <c r="G20" s="770">
        <f t="shared" si="36"/>
        <v>66801</v>
      </c>
      <c r="H20" s="770">
        <f t="shared" si="36"/>
        <v>64927</v>
      </c>
      <c r="I20" s="770">
        <f t="shared" si="36"/>
        <v>64921</v>
      </c>
      <c r="J20" s="770">
        <f t="shared" ref="J20:K20" si="37">J18+J19</f>
        <v>64071</v>
      </c>
      <c r="K20" s="770">
        <f t="shared" si="37"/>
        <v>64682</v>
      </c>
      <c r="L20" s="770">
        <f t="shared" ref="L20" si="38">L18+L19</f>
        <v>63385</v>
      </c>
    </row>
    <row r="21" spans="1:14">
      <c r="D21" s="767"/>
      <c r="E21" s="767"/>
      <c r="F21" s="767"/>
      <c r="G21" s="767"/>
      <c r="H21" s="767"/>
      <c r="I21" s="767"/>
      <c r="J21" s="767"/>
      <c r="K21" s="767"/>
      <c r="L21" s="767"/>
    </row>
    <row r="22" spans="1:14">
      <c r="A22" s="764" t="s">
        <v>7201</v>
      </c>
      <c r="D22" s="768">
        <f t="shared" ref="D22:I22" si="39">D104</f>
        <v>58849</v>
      </c>
      <c r="E22" s="768">
        <f t="shared" si="39"/>
        <v>59220</v>
      </c>
      <c r="F22" s="768">
        <f t="shared" si="39"/>
        <v>59261</v>
      </c>
      <c r="G22" s="768">
        <f t="shared" si="39"/>
        <v>59839</v>
      </c>
      <c r="H22" s="768">
        <f t="shared" si="39"/>
        <v>59462</v>
      </c>
      <c r="I22" s="768">
        <f t="shared" si="39"/>
        <v>58717</v>
      </c>
      <c r="J22" s="768">
        <f t="shared" ref="J22:K22" si="40">J104</f>
        <v>58606</v>
      </c>
      <c r="K22" s="768">
        <f t="shared" si="40"/>
        <v>59796</v>
      </c>
      <c r="L22" s="768">
        <f t="shared" ref="L22" si="41">L104</f>
        <v>59644</v>
      </c>
      <c r="N22" s="764" t="s">
        <v>8767</v>
      </c>
    </row>
    <row r="23" spans="1:14" ht="15.75" thickBot="1">
      <c r="D23" s="770">
        <f t="shared" ref="D23:I23" si="42">D192</f>
        <v>13839</v>
      </c>
      <c r="E23" s="770">
        <f t="shared" si="42"/>
        <v>13781</v>
      </c>
      <c r="F23" s="770">
        <f t="shared" si="42"/>
        <v>13869</v>
      </c>
      <c r="G23" s="770">
        <f t="shared" si="42"/>
        <v>14099</v>
      </c>
      <c r="H23" s="770">
        <f t="shared" si="42"/>
        <v>14155</v>
      </c>
      <c r="I23" s="770">
        <f t="shared" si="42"/>
        <v>13856</v>
      </c>
      <c r="J23" s="770">
        <f t="shared" ref="J23:K23" si="43">J192</f>
        <v>14068</v>
      </c>
      <c r="K23" s="770">
        <f t="shared" si="43"/>
        <v>14357</v>
      </c>
      <c r="L23" s="770">
        <f t="shared" ref="L23" si="44">L192</f>
        <v>14406</v>
      </c>
      <c r="N23" s="764" t="s">
        <v>7199</v>
      </c>
    </row>
    <row r="24" spans="1:14" ht="15.75" thickBot="1">
      <c r="D24" s="770">
        <f t="shared" ref="D24:I24" si="45">SUM(D22:D23)</f>
        <v>72688</v>
      </c>
      <c r="E24" s="770">
        <f t="shared" si="45"/>
        <v>73001</v>
      </c>
      <c r="F24" s="770">
        <f t="shared" si="45"/>
        <v>73130</v>
      </c>
      <c r="G24" s="770">
        <f t="shared" si="45"/>
        <v>73938</v>
      </c>
      <c r="H24" s="770">
        <f t="shared" si="45"/>
        <v>73617</v>
      </c>
      <c r="I24" s="770">
        <f t="shared" si="45"/>
        <v>72573</v>
      </c>
      <c r="J24" s="770">
        <f t="shared" ref="J24:K24" si="46">SUM(J22:J23)</f>
        <v>72674</v>
      </c>
      <c r="K24" s="770">
        <f t="shared" si="46"/>
        <v>74153</v>
      </c>
      <c r="L24" s="770">
        <f t="shared" ref="L24" si="47">SUM(L22:L23)</f>
        <v>74050</v>
      </c>
    </row>
    <row r="25" spans="1:14">
      <c r="D25" s="767"/>
      <c r="E25" s="767"/>
      <c r="F25" s="767"/>
      <c r="G25" s="767"/>
      <c r="H25" s="767"/>
      <c r="I25" s="767"/>
      <c r="J25" s="767"/>
      <c r="K25" s="767"/>
      <c r="L25" s="767"/>
    </row>
    <row r="26" spans="1:14">
      <c r="A26" s="764" t="s">
        <v>7202</v>
      </c>
      <c r="D26" s="768">
        <f t="shared" ref="D26:I26" si="48">D149</f>
        <v>72965</v>
      </c>
      <c r="E26" s="768">
        <f t="shared" si="48"/>
        <v>73960</v>
      </c>
      <c r="F26" s="768">
        <f t="shared" si="48"/>
        <v>74513</v>
      </c>
      <c r="G26" s="768">
        <f t="shared" si="48"/>
        <v>73837</v>
      </c>
      <c r="H26" s="768">
        <f t="shared" si="48"/>
        <v>72165</v>
      </c>
      <c r="I26" s="768">
        <f t="shared" si="48"/>
        <v>71580</v>
      </c>
      <c r="J26" s="768">
        <f t="shared" ref="J26:K26" si="49">J149</f>
        <v>70542</v>
      </c>
      <c r="K26" s="768">
        <f t="shared" si="49"/>
        <v>72543</v>
      </c>
      <c r="L26" s="768">
        <f t="shared" ref="L26" si="50">L149</f>
        <v>72702</v>
      </c>
      <c r="N26" s="764" t="s">
        <v>8769</v>
      </c>
    </row>
    <row r="27" spans="1:14">
      <c r="D27" s="767"/>
      <c r="E27" s="767"/>
      <c r="F27" s="767"/>
      <c r="G27" s="767"/>
      <c r="H27" s="767"/>
      <c r="I27" s="767"/>
      <c r="J27" s="767"/>
      <c r="K27" s="767"/>
      <c r="L27" s="767"/>
    </row>
    <row r="28" spans="1:14">
      <c r="A28" s="764" t="s">
        <v>7203</v>
      </c>
      <c r="D28" s="768">
        <f t="shared" ref="D28:I28" si="51">D213</f>
        <v>76774</v>
      </c>
      <c r="E28" s="768">
        <f t="shared" si="51"/>
        <v>77800</v>
      </c>
      <c r="F28" s="768">
        <f t="shared" si="51"/>
        <v>77635</v>
      </c>
      <c r="G28" s="768">
        <f t="shared" si="51"/>
        <v>77314</v>
      </c>
      <c r="H28" s="768">
        <f t="shared" si="51"/>
        <v>76831</v>
      </c>
      <c r="I28" s="768">
        <f t="shared" si="51"/>
        <v>77206</v>
      </c>
      <c r="J28" s="768">
        <f t="shared" ref="J28:K28" si="52">J213</f>
        <v>75226</v>
      </c>
      <c r="K28" s="768">
        <f t="shared" si="52"/>
        <v>77342</v>
      </c>
      <c r="L28" s="768">
        <f t="shared" ref="L28" si="53">L213</f>
        <v>77231</v>
      </c>
      <c r="N28" s="764" t="s">
        <v>8781</v>
      </c>
    </row>
    <row r="29" spans="1:14">
      <c r="D29" s="767"/>
      <c r="E29" s="767"/>
      <c r="F29" s="767"/>
      <c r="G29" s="767"/>
      <c r="H29" s="767"/>
      <c r="I29" s="767"/>
      <c r="J29" s="767"/>
      <c r="K29" s="767"/>
      <c r="L29" s="767"/>
    </row>
    <row r="30" spans="1:14">
      <c r="A30" s="764" t="s">
        <v>8697</v>
      </c>
      <c r="D30" s="768">
        <f t="shared" ref="D30:I30" si="54">D14+D16+D20+D24+D26+D28</f>
        <v>434692</v>
      </c>
      <c r="E30" s="768">
        <f t="shared" si="54"/>
        <v>436192</v>
      </c>
      <c r="F30" s="768">
        <f t="shared" si="54"/>
        <v>437589</v>
      </c>
      <c r="G30" s="768">
        <f t="shared" si="54"/>
        <v>439009</v>
      </c>
      <c r="H30" s="768">
        <f t="shared" si="54"/>
        <v>431737</v>
      </c>
      <c r="I30" s="768">
        <f t="shared" si="54"/>
        <v>430060</v>
      </c>
      <c r="J30" s="768">
        <f t="shared" ref="J30:K30" si="55">J14+J16+J20+J24+J26+J28</f>
        <v>427975</v>
      </c>
      <c r="K30" s="768">
        <f t="shared" si="55"/>
        <v>437046</v>
      </c>
      <c r="L30" s="768">
        <f t="shared" ref="L30" si="56">L14+L16+L20+L24+L26+L28</f>
        <v>435370</v>
      </c>
    </row>
    <row r="31" spans="1:14">
      <c r="A31" s="764"/>
      <c r="D31" s="768"/>
      <c r="E31" s="768"/>
      <c r="F31" s="768"/>
      <c r="G31" s="768"/>
      <c r="H31" s="768"/>
      <c r="I31" s="768"/>
      <c r="J31" s="768"/>
      <c r="K31" s="768"/>
      <c r="L31" s="768"/>
    </row>
    <row r="32" spans="1:14">
      <c r="A32" s="764" t="s">
        <v>8698</v>
      </c>
      <c r="D32" s="768">
        <f t="shared" ref="D32:I32" si="57">MAX(D14,D16,D20,D24,D26,D28)-MIN(D14,D16,D20,D24,D26,D28)</f>
        <v>9797</v>
      </c>
      <c r="E32" s="768">
        <f t="shared" si="57"/>
        <v>11308</v>
      </c>
      <c r="F32" s="768">
        <f t="shared" si="57"/>
        <v>11064</v>
      </c>
      <c r="G32" s="768">
        <f t="shared" si="57"/>
        <v>10513</v>
      </c>
      <c r="H32" s="768">
        <f t="shared" si="57"/>
        <v>11904</v>
      </c>
      <c r="I32" s="768">
        <f t="shared" si="57"/>
        <v>12285</v>
      </c>
      <c r="J32" s="768">
        <f t="shared" ref="J32:K32" si="58">MAX(J14,J16,J20,J24,J26,J28)-MIN(J14,J16,J20,J24,J26,J28)</f>
        <v>11155</v>
      </c>
      <c r="K32" s="768">
        <f t="shared" si="58"/>
        <v>12660</v>
      </c>
      <c r="L32" s="768">
        <f t="shared" ref="L32" si="59">MAX(L14,L16,L20,L24,L26,L28)-MIN(L14,L16,L20,L24,L26,L28)</f>
        <v>13846</v>
      </c>
    </row>
    <row r="33" spans="1:14">
      <c r="A33" s="764"/>
      <c r="D33" s="768"/>
      <c r="E33" s="768"/>
      <c r="F33" s="768"/>
      <c r="G33" s="768"/>
      <c r="H33" s="768"/>
      <c r="I33" s="768"/>
      <c r="J33" s="768"/>
      <c r="K33" s="768"/>
      <c r="L33" s="768"/>
    </row>
    <row r="34" spans="1:14">
      <c r="A34" s="771" t="s">
        <v>8701</v>
      </c>
      <c r="D34" s="768">
        <f t="shared" ref="D34:I34" si="60">STDEVP(D14,D16,D20,D24,D26,D28)</f>
        <v>2894.9216262659374</v>
      </c>
      <c r="E34" s="768">
        <f t="shared" si="60"/>
        <v>3357.6850987283219</v>
      </c>
      <c r="F34" s="768">
        <f t="shared" si="60"/>
        <v>3297.2681495444072</v>
      </c>
      <c r="G34" s="768">
        <f t="shared" si="60"/>
        <v>3143.6741464230813</v>
      </c>
      <c r="H34" s="768">
        <f t="shared" si="60"/>
        <v>3573.5552053320175</v>
      </c>
      <c r="I34" s="768">
        <f t="shared" si="60"/>
        <v>3593.6152023028594</v>
      </c>
      <c r="J34" s="768">
        <f t="shared" ref="J34:K34" si="61">STDEVP(J14,J16,J20,J24,J26,J28)</f>
        <v>3539.6378542004677</v>
      </c>
      <c r="K34" s="768">
        <f t="shared" si="61"/>
        <v>3980.9179845859671</v>
      </c>
      <c r="L34" s="768">
        <f t="shared" ref="L34" si="62">STDEVP(L14,L16,L20,L24,L26,L28)</f>
        <v>4450.3955879100104</v>
      </c>
    </row>
    <row r="35" spans="1:14">
      <c r="A35" s="771"/>
      <c r="D35" s="772"/>
      <c r="E35" s="772"/>
      <c r="F35" s="772"/>
      <c r="G35" s="772"/>
      <c r="H35" s="772"/>
      <c r="I35" s="772"/>
      <c r="J35" s="772"/>
      <c r="K35" s="772"/>
      <c r="L35" s="772"/>
    </row>
    <row r="36" spans="1:14">
      <c r="A36" s="771" t="s">
        <v>6275</v>
      </c>
      <c r="D36" s="772"/>
      <c r="E36" s="772"/>
      <c r="F36" s="772"/>
      <c r="G36" s="772"/>
      <c r="H36" s="772"/>
      <c r="I36" s="772"/>
      <c r="J36" s="772"/>
      <c r="K36" s="772"/>
      <c r="L36" s="772"/>
    </row>
    <row r="37" spans="1:14">
      <c r="A37" s="771"/>
      <c r="D37" s="772"/>
      <c r="E37" s="772"/>
      <c r="F37" s="772"/>
      <c r="G37" s="772"/>
      <c r="H37" s="772"/>
      <c r="I37" s="772"/>
      <c r="J37" s="772"/>
      <c r="K37" s="772"/>
      <c r="L37" s="772"/>
    </row>
    <row r="38" spans="1:14">
      <c r="A38" s="771"/>
      <c r="D38" s="772"/>
      <c r="E38" s="772"/>
      <c r="F38" s="772"/>
      <c r="G38" s="772"/>
      <c r="H38" s="772"/>
      <c r="I38" s="772"/>
      <c r="J38" s="772"/>
      <c r="K38" s="772"/>
      <c r="L38" s="772"/>
    </row>
    <row r="39" spans="1:14">
      <c r="E39" s="42" t="s">
        <v>2303</v>
      </c>
      <c r="F39" s="42"/>
      <c r="G39" s="42"/>
      <c r="H39" s="42"/>
      <c r="I39" s="42"/>
      <c r="J39" s="42"/>
      <c r="K39" s="42"/>
      <c r="L39" s="42"/>
      <c r="M39" s="65"/>
      <c r="N39" s="67" t="s">
        <v>13319</v>
      </c>
    </row>
    <row r="40" spans="1:14">
      <c r="D40" s="765">
        <v>2010</v>
      </c>
      <c r="E40" s="765">
        <v>2011</v>
      </c>
      <c r="F40" s="765">
        <v>2012</v>
      </c>
      <c r="G40" s="765">
        <v>2013</v>
      </c>
      <c r="H40" s="765">
        <v>2014</v>
      </c>
      <c r="I40" s="765">
        <v>2015</v>
      </c>
      <c r="J40" s="765">
        <v>2016</v>
      </c>
      <c r="K40" s="765">
        <v>2017</v>
      </c>
      <c r="L40" s="765">
        <v>2018</v>
      </c>
      <c r="N40" s="67" t="s">
        <v>2304</v>
      </c>
    </row>
    <row r="41" spans="1:14">
      <c r="A41" s="773" t="s">
        <v>6276</v>
      </c>
      <c r="C41" s="773"/>
      <c r="D41" s="768">
        <f t="shared" ref="D41:I41" si="63">SUM(D42:D71)</f>
        <v>73430</v>
      </c>
      <c r="E41" s="768">
        <f t="shared" si="63"/>
        <v>73279</v>
      </c>
      <c r="F41" s="768">
        <f t="shared" si="63"/>
        <v>73099</v>
      </c>
      <c r="G41" s="768">
        <f t="shared" si="63"/>
        <v>73892</v>
      </c>
      <c r="H41" s="768">
        <f t="shared" si="63"/>
        <v>71548</v>
      </c>
      <c r="I41" s="768">
        <f t="shared" si="63"/>
        <v>72319</v>
      </c>
      <c r="J41" s="768">
        <f t="shared" ref="J41:K41" si="64">SUM(J42:J71)</f>
        <v>72042</v>
      </c>
      <c r="K41" s="768">
        <f t="shared" si="64"/>
        <v>72948</v>
      </c>
      <c r="L41" s="768">
        <f t="shared" ref="L41" si="65">SUM(L42:L71)</f>
        <v>72206</v>
      </c>
    </row>
    <row r="42" spans="1:14">
      <c r="A42" s="764" t="s">
        <v>6957</v>
      </c>
      <c r="B42" s="764" t="s">
        <v>13807</v>
      </c>
      <c r="C42" s="4" t="s">
        <v>15805</v>
      </c>
      <c r="D42" s="767">
        <v>73430</v>
      </c>
      <c r="E42" s="767">
        <v>73279</v>
      </c>
      <c r="F42" s="767">
        <v>73099</v>
      </c>
      <c r="G42" s="30">
        <v>73892</v>
      </c>
      <c r="H42" s="30">
        <v>71548</v>
      </c>
      <c r="I42" s="30">
        <v>2269</v>
      </c>
      <c r="J42" s="30">
        <v>2248</v>
      </c>
      <c r="K42" s="30">
        <v>2322</v>
      </c>
      <c r="L42" s="30">
        <v>2292</v>
      </c>
      <c r="N42" s="764" t="s">
        <v>7197</v>
      </c>
    </row>
    <row r="43" spans="1:14">
      <c r="A43" s="764" t="s">
        <v>6959</v>
      </c>
      <c r="B43" s="764" t="s">
        <v>13808</v>
      </c>
      <c r="C43" s="4" t="s">
        <v>15806</v>
      </c>
      <c r="D43" s="767">
        <v>0</v>
      </c>
      <c r="E43" s="767">
        <v>0</v>
      </c>
      <c r="F43" s="767">
        <v>0</v>
      </c>
      <c r="G43" s="30">
        <v>0</v>
      </c>
      <c r="H43" s="30">
        <v>0</v>
      </c>
      <c r="I43" s="30">
        <v>2253</v>
      </c>
      <c r="J43" s="30">
        <v>2234</v>
      </c>
      <c r="K43" s="30">
        <v>2254</v>
      </c>
      <c r="L43" s="30">
        <v>2239</v>
      </c>
      <c r="N43" s="764" t="s">
        <v>7197</v>
      </c>
    </row>
    <row r="44" spans="1:14">
      <c r="A44" s="764" t="s">
        <v>6961</v>
      </c>
      <c r="B44" s="765" t="s">
        <v>13809</v>
      </c>
      <c r="C44" s="4" t="s">
        <v>15807</v>
      </c>
      <c r="D44" s="767">
        <v>0</v>
      </c>
      <c r="E44" s="767">
        <v>0</v>
      </c>
      <c r="F44" s="767">
        <v>0</v>
      </c>
      <c r="G44" s="30">
        <v>0</v>
      </c>
      <c r="H44" s="30">
        <v>0</v>
      </c>
      <c r="I44" s="30">
        <v>2452</v>
      </c>
      <c r="J44" s="30">
        <v>2492</v>
      </c>
      <c r="K44" s="30">
        <v>2545</v>
      </c>
      <c r="L44" s="30">
        <v>2499</v>
      </c>
      <c r="N44" s="764" t="s">
        <v>7197</v>
      </c>
    </row>
    <row r="45" spans="1:14">
      <c r="A45" s="764" t="s">
        <v>6963</v>
      </c>
      <c r="B45" s="765" t="s">
        <v>13810</v>
      </c>
      <c r="C45" s="4" t="s">
        <v>15808</v>
      </c>
      <c r="D45" s="767">
        <v>0</v>
      </c>
      <c r="E45" s="767">
        <v>0</v>
      </c>
      <c r="F45" s="767">
        <v>0</v>
      </c>
      <c r="G45" s="30">
        <v>0</v>
      </c>
      <c r="H45" s="30">
        <v>0</v>
      </c>
      <c r="I45" s="30">
        <v>2438</v>
      </c>
      <c r="J45" s="30">
        <v>2424</v>
      </c>
      <c r="K45" s="30">
        <v>2446</v>
      </c>
      <c r="L45" s="30">
        <v>2441</v>
      </c>
      <c r="N45" s="764" t="s">
        <v>7197</v>
      </c>
    </row>
    <row r="46" spans="1:14">
      <c r="A46" s="764" t="s">
        <v>6965</v>
      </c>
      <c r="B46" s="765" t="s">
        <v>13811</v>
      </c>
      <c r="C46" s="4" t="s">
        <v>15809</v>
      </c>
      <c r="D46" s="767">
        <v>0</v>
      </c>
      <c r="E46" s="767">
        <v>0</v>
      </c>
      <c r="F46" s="767">
        <v>0</v>
      </c>
      <c r="G46" s="30">
        <v>0</v>
      </c>
      <c r="H46" s="30">
        <v>0</v>
      </c>
      <c r="I46" s="30">
        <v>2290</v>
      </c>
      <c r="J46" s="30">
        <v>2208</v>
      </c>
      <c r="K46" s="30">
        <v>2279</v>
      </c>
      <c r="L46" s="30">
        <v>2310</v>
      </c>
      <c r="N46" s="764" t="s">
        <v>7197</v>
      </c>
    </row>
    <row r="47" spans="1:14">
      <c r="A47" s="764" t="s">
        <v>6997</v>
      </c>
      <c r="B47" s="765" t="s">
        <v>13812</v>
      </c>
      <c r="C47" s="4" t="s">
        <v>15810</v>
      </c>
      <c r="D47" s="767">
        <v>0</v>
      </c>
      <c r="E47" s="767">
        <v>0</v>
      </c>
      <c r="F47" s="767">
        <v>0</v>
      </c>
      <c r="G47" s="30">
        <v>0</v>
      </c>
      <c r="H47" s="30">
        <v>0</v>
      </c>
      <c r="I47" s="30">
        <v>5208</v>
      </c>
      <c r="J47" s="30">
        <v>5193</v>
      </c>
      <c r="K47" s="30">
        <v>5262</v>
      </c>
      <c r="L47" s="30">
        <v>5179</v>
      </c>
      <c r="N47" s="764" t="s">
        <v>7197</v>
      </c>
    </row>
    <row r="48" spans="1:14">
      <c r="A48" s="764" t="s">
        <v>6999</v>
      </c>
      <c r="B48" s="765" t="s">
        <v>13813</v>
      </c>
      <c r="C48" s="4" t="s">
        <v>15811</v>
      </c>
      <c r="D48" s="767">
        <v>0</v>
      </c>
      <c r="E48" s="767">
        <v>0</v>
      </c>
      <c r="F48" s="767">
        <v>0</v>
      </c>
      <c r="G48" s="30">
        <v>0</v>
      </c>
      <c r="H48" s="30">
        <v>0</v>
      </c>
      <c r="I48" s="30">
        <v>2361</v>
      </c>
      <c r="J48" s="30">
        <v>2363</v>
      </c>
      <c r="K48" s="30">
        <v>2370</v>
      </c>
      <c r="L48" s="30">
        <v>2331</v>
      </c>
      <c r="N48" s="764" t="s">
        <v>7197</v>
      </c>
    </row>
    <row r="49" spans="1:14">
      <c r="A49" s="764" t="s">
        <v>7001</v>
      </c>
      <c r="B49" s="765" t="s">
        <v>13814</v>
      </c>
      <c r="C49" s="4" t="s">
        <v>15812</v>
      </c>
      <c r="D49" s="767">
        <v>0</v>
      </c>
      <c r="E49" s="767">
        <v>0</v>
      </c>
      <c r="F49" s="767">
        <v>0</v>
      </c>
      <c r="G49" s="30">
        <v>0</v>
      </c>
      <c r="H49" s="30">
        <v>0</v>
      </c>
      <c r="I49" s="30">
        <v>2226</v>
      </c>
      <c r="J49" s="30">
        <v>2208</v>
      </c>
      <c r="K49" s="30">
        <v>2227</v>
      </c>
      <c r="L49" s="30">
        <v>2162</v>
      </c>
      <c r="N49" s="764" t="s">
        <v>7197</v>
      </c>
    </row>
    <row r="50" spans="1:14">
      <c r="A50" s="764" t="s">
        <v>7003</v>
      </c>
      <c r="B50" s="764" t="s">
        <v>13815</v>
      </c>
      <c r="C50" s="4" t="s">
        <v>15813</v>
      </c>
      <c r="D50" s="767">
        <v>0</v>
      </c>
      <c r="E50" s="767">
        <v>0</v>
      </c>
      <c r="F50" s="767">
        <v>0</v>
      </c>
      <c r="G50" s="30">
        <v>0</v>
      </c>
      <c r="H50" s="30">
        <v>0</v>
      </c>
      <c r="I50" s="30">
        <v>2154</v>
      </c>
      <c r="J50" s="30">
        <v>2174</v>
      </c>
      <c r="K50" s="30">
        <v>2240</v>
      </c>
      <c r="L50" s="30">
        <v>2208</v>
      </c>
      <c r="N50" s="764" t="s">
        <v>7197</v>
      </c>
    </row>
    <row r="51" spans="1:14">
      <c r="A51" s="764" t="s">
        <v>7005</v>
      </c>
      <c r="B51" s="764" t="s">
        <v>8109</v>
      </c>
      <c r="C51" s="4" t="s">
        <v>15814</v>
      </c>
      <c r="D51" s="767">
        <v>0</v>
      </c>
      <c r="E51" s="767">
        <v>0</v>
      </c>
      <c r="F51" s="767">
        <v>0</v>
      </c>
      <c r="G51" s="30">
        <v>0</v>
      </c>
      <c r="H51" s="30">
        <v>0</v>
      </c>
      <c r="I51" s="30">
        <v>2343</v>
      </c>
      <c r="J51" s="30">
        <v>2318</v>
      </c>
      <c r="K51" s="30">
        <v>2323</v>
      </c>
      <c r="L51" s="30">
        <v>2260</v>
      </c>
      <c r="N51" s="764" t="s">
        <v>7197</v>
      </c>
    </row>
    <row r="52" spans="1:14">
      <c r="A52" s="764" t="s">
        <v>7007</v>
      </c>
      <c r="B52" s="764" t="s">
        <v>13816</v>
      </c>
      <c r="C52" s="4" t="s">
        <v>15815</v>
      </c>
      <c r="D52" s="767">
        <v>0</v>
      </c>
      <c r="E52" s="767">
        <v>0</v>
      </c>
      <c r="F52" s="767">
        <v>0</v>
      </c>
      <c r="G52" s="30">
        <v>0</v>
      </c>
      <c r="H52" s="30">
        <v>0</v>
      </c>
      <c r="I52" s="30">
        <v>1972</v>
      </c>
      <c r="J52" s="30">
        <v>2142</v>
      </c>
      <c r="K52" s="30">
        <v>2285</v>
      </c>
      <c r="L52" s="30">
        <v>2254</v>
      </c>
      <c r="N52" s="764" t="s">
        <v>7197</v>
      </c>
    </row>
    <row r="53" spans="1:14">
      <c r="A53" s="764" t="s">
        <v>7009</v>
      </c>
      <c r="B53" s="764" t="s">
        <v>13817</v>
      </c>
      <c r="C53" s="4" t="s">
        <v>15816</v>
      </c>
      <c r="D53" s="767">
        <v>0</v>
      </c>
      <c r="E53" s="767">
        <v>0</v>
      </c>
      <c r="F53" s="767">
        <v>0</v>
      </c>
      <c r="G53" s="30">
        <v>0</v>
      </c>
      <c r="H53" s="30">
        <v>0</v>
      </c>
      <c r="I53" s="30">
        <v>2532</v>
      </c>
      <c r="J53" s="30">
        <v>2489</v>
      </c>
      <c r="K53" s="30">
        <v>2473</v>
      </c>
      <c r="L53" s="30">
        <v>2443</v>
      </c>
      <c r="N53" s="764" t="s">
        <v>7197</v>
      </c>
    </row>
    <row r="54" spans="1:14">
      <c r="A54" s="764" t="s">
        <v>7011</v>
      </c>
      <c r="B54" s="764" t="s">
        <v>13818</v>
      </c>
      <c r="C54" s="4" t="s">
        <v>15817</v>
      </c>
      <c r="D54" s="767">
        <v>0</v>
      </c>
      <c r="E54" s="767">
        <v>0</v>
      </c>
      <c r="F54" s="767">
        <v>0</v>
      </c>
      <c r="G54" s="30">
        <v>0</v>
      </c>
      <c r="H54" s="30">
        <v>0</v>
      </c>
      <c r="I54" s="30">
        <v>2045</v>
      </c>
      <c r="J54" s="30">
        <v>2044</v>
      </c>
      <c r="K54" s="30">
        <v>2141</v>
      </c>
      <c r="L54" s="30">
        <v>2202</v>
      </c>
      <c r="N54" s="764" t="s">
        <v>7197</v>
      </c>
    </row>
    <row r="55" spans="1:14">
      <c r="A55" s="764" t="s">
        <v>7013</v>
      </c>
      <c r="B55" s="764" t="s">
        <v>13819</v>
      </c>
      <c r="C55" s="4" t="s">
        <v>15818</v>
      </c>
      <c r="D55" s="767">
        <v>0</v>
      </c>
      <c r="E55" s="767">
        <v>0</v>
      </c>
      <c r="F55" s="767">
        <v>0</v>
      </c>
      <c r="G55" s="30">
        <v>0</v>
      </c>
      <c r="H55" s="30">
        <v>0</v>
      </c>
      <c r="I55" s="30">
        <v>2704</v>
      </c>
      <c r="J55" s="30">
        <v>2680</v>
      </c>
      <c r="K55" s="30">
        <v>2672</v>
      </c>
      <c r="L55" s="30">
        <v>2709</v>
      </c>
      <c r="N55" s="764" t="s">
        <v>7197</v>
      </c>
    </row>
    <row r="56" spans="1:14">
      <c r="A56" s="764" t="s">
        <v>7015</v>
      </c>
      <c r="B56" s="764" t="s">
        <v>13820</v>
      </c>
      <c r="C56" s="4" t="s">
        <v>15819</v>
      </c>
      <c r="D56" s="767">
        <v>0</v>
      </c>
      <c r="E56" s="767">
        <v>0</v>
      </c>
      <c r="F56" s="767">
        <v>0</v>
      </c>
      <c r="G56" s="30">
        <v>0</v>
      </c>
      <c r="H56" s="30">
        <v>0</v>
      </c>
      <c r="I56" s="30">
        <v>1747</v>
      </c>
      <c r="J56" s="30">
        <v>1778</v>
      </c>
      <c r="K56" s="30">
        <v>1789</v>
      </c>
      <c r="L56" s="30">
        <v>1805</v>
      </c>
      <c r="N56" s="764" t="s">
        <v>7197</v>
      </c>
    </row>
    <row r="57" spans="1:14">
      <c r="A57" s="764" t="s">
        <v>7017</v>
      </c>
      <c r="B57" s="764" t="s">
        <v>13821</v>
      </c>
      <c r="C57" s="4" t="s">
        <v>15820</v>
      </c>
      <c r="D57" s="767">
        <v>0</v>
      </c>
      <c r="E57" s="767">
        <v>0</v>
      </c>
      <c r="F57" s="767">
        <v>0</v>
      </c>
      <c r="G57" s="31">
        <v>0</v>
      </c>
      <c r="H57" s="31">
        <v>0</v>
      </c>
      <c r="I57" s="31">
        <v>2430</v>
      </c>
      <c r="J57" s="31">
        <v>2390</v>
      </c>
      <c r="K57" s="31">
        <v>2407</v>
      </c>
      <c r="L57" s="31">
        <v>2389</v>
      </c>
      <c r="N57" s="764" t="s">
        <v>7197</v>
      </c>
    </row>
    <row r="58" spans="1:14">
      <c r="A58" s="764" t="s">
        <v>7019</v>
      </c>
      <c r="B58" s="764" t="s">
        <v>13822</v>
      </c>
      <c r="C58" s="4" t="s">
        <v>15821</v>
      </c>
      <c r="D58" s="767">
        <v>0</v>
      </c>
      <c r="E58" s="767">
        <v>0</v>
      </c>
      <c r="F58" s="767">
        <v>0</v>
      </c>
      <c r="G58" s="31">
        <v>0</v>
      </c>
      <c r="H58" s="31">
        <v>0</v>
      </c>
      <c r="I58" s="31">
        <v>2258</v>
      </c>
      <c r="J58" s="31">
        <v>2242</v>
      </c>
      <c r="K58" s="31">
        <v>2265</v>
      </c>
      <c r="L58" s="31">
        <v>2222</v>
      </c>
      <c r="N58" s="764" t="s">
        <v>7197</v>
      </c>
    </row>
    <row r="59" spans="1:14">
      <c r="A59" s="774">
        <v>18</v>
      </c>
      <c r="B59" s="764" t="s">
        <v>13830</v>
      </c>
      <c r="C59" s="4" t="s">
        <v>15822</v>
      </c>
      <c r="D59" s="767">
        <v>0</v>
      </c>
      <c r="E59" s="767">
        <v>0</v>
      </c>
      <c r="F59" s="767">
        <v>0</v>
      </c>
      <c r="G59" s="31">
        <v>0</v>
      </c>
      <c r="H59" s="31">
        <v>0</v>
      </c>
      <c r="I59" s="31">
        <v>2563</v>
      </c>
      <c r="J59" s="31">
        <v>2565</v>
      </c>
      <c r="K59" s="31">
        <v>2589</v>
      </c>
      <c r="L59" s="31">
        <v>2574</v>
      </c>
      <c r="N59" s="764" t="s">
        <v>7197</v>
      </c>
    </row>
    <row r="60" spans="1:14">
      <c r="A60" s="774">
        <v>19</v>
      </c>
      <c r="B60" s="764" t="s">
        <v>4544</v>
      </c>
      <c r="C60" s="4" t="s">
        <v>15823</v>
      </c>
      <c r="D60" s="767">
        <v>0</v>
      </c>
      <c r="E60" s="767">
        <v>0</v>
      </c>
      <c r="F60" s="767">
        <v>0</v>
      </c>
      <c r="G60" s="31">
        <v>0</v>
      </c>
      <c r="H60" s="31">
        <v>0</v>
      </c>
      <c r="I60" s="31">
        <v>2443</v>
      </c>
      <c r="J60" s="31">
        <v>2395</v>
      </c>
      <c r="K60" s="31">
        <v>2402</v>
      </c>
      <c r="L60" s="31">
        <v>2357</v>
      </c>
      <c r="N60" s="764" t="s">
        <v>7197</v>
      </c>
    </row>
    <row r="61" spans="1:14">
      <c r="A61" s="775">
        <v>20</v>
      </c>
      <c r="B61" s="764" t="s">
        <v>3824</v>
      </c>
      <c r="C61" s="4" t="s">
        <v>15824</v>
      </c>
      <c r="D61" s="767">
        <v>0</v>
      </c>
      <c r="E61" s="767">
        <v>0</v>
      </c>
      <c r="F61" s="767">
        <v>0</v>
      </c>
      <c r="G61" s="31">
        <v>0</v>
      </c>
      <c r="H61" s="31">
        <v>0</v>
      </c>
      <c r="I61" s="31">
        <v>2082</v>
      </c>
      <c r="J61" s="31">
        <v>2058</v>
      </c>
      <c r="K61" s="31">
        <v>2049</v>
      </c>
      <c r="L61" s="31">
        <v>2042</v>
      </c>
      <c r="N61" s="764" t="s">
        <v>7197</v>
      </c>
    </row>
    <row r="62" spans="1:14">
      <c r="A62" s="775">
        <v>21</v>
      </c>
      <c r="B62" s="764" t="s">
        <v>13829</v>
      </c>
      <c r="C62" s="4" t="s">
        <v>15825</v>
      </c>
      <c r="D62" s="767">
        <v>0</v>
      </c>
      <c r="E62" s="767">
        <v>0</v>
      </c>
      <c r="F62" s="767">
        <v>0</v>
      </c>
      <c r="G62" s="31">
        <v>0</v>
      </c>
      <c r="H62" s="31">
        <v>0</v>
      </c>
      <c r="I62" s="31">
        <v>1396</v>
      </c>
      <c r="J62" s="31">
        <v>1385</v>
      </c>
      <c r="K62" s="31">
        <v>1401</v>
      </c>
      <c r="L62" s="31">
        <v>1423</v>
      </c>
      <c r="N62" s="764" t="s">
        <v>7197</v>
      </c>
    </row>
    <row r="63" spans="1:14">
      <c r="A63" s="775">
        <v>22</v>
      </c>
      <c r="B63" s="764" t="s">
        <v>13828</v>
      </c>
      <c r="C63" s="4" t="s">
        <v>15826</v>
      </c>
      <c r="D63" s="767">
        <v>0</v>
      </c>
      <c r="E63" s="767">
        <v>0</v>
      </c>
      <c r="F63" s="767">
        <v>0</v>
      </c>
      <c r="G63" s="31">
        <v>0</v>
      </c>
      <c r="H63" s="31">
        <v>0</v>
      </c>
      <c r="I63" s="31">
        <v>2419</v>
      </c>
      <c r="J63" s="31">
        <v>2414</v>
      </c>
      <c r="K63" s="31">
        <v>2416</v>
      </c>
      <c r="L63" s="31">
        <v>2368</v>
      </c>
      <c r="N63" s="764" t="s">
        <v>7197</v>
      </c>
    </row>
    <row r="64" spans="1:14">
      <c r="A64" s="775">
        <v>23</v>
      </c>
      <c r="B64" s="764" t="s">
        <v>13827</v>
      </c>
      <c r="C64" s="4" t="s">
        <v>15827</v>
      </c>
      <c r="D64" s="767">
        <v>0</v>
      </c>
      <c r="E64" s="767">
        <v>0</v>
      </c>
      <c r="F64" s="767">
        <v>0</v>
      </c>
      <c r="G64" s="31">
        <v>0</v>
      </c>
      <c r="H64" s="31">
        <v>0</v>
      </c>
      <c r="I64" s="31">
        <v>2573</v>
      </c>
      <c r="J64" s="31">
        <v>2507</v>
      </c>
      <c r="K64" s="31">
        <v>2499</v>
      </c>
      <c r="L64" s="31">
        <v>2444</v>
      </c>
      <c r="N64" s="764" t="s">
        <v>7197</v>
      </c>
    </row>
    <row r="65" spans="1:14">
      <c r="A65" s="764" t="s">
        <v>5798</v>
      </c>
      <c r="B65" s="764" t="s">
        <v>13826</v>
      </c>
      <c r="C65" s="4" t="s">
        <v>15828</v>
      </c>
      <c r="D65" s="767">
        <v>0</v>
      </c>
      <c r="E65" s="767">
        <v>0</v>
      </c>
      <c r="F65" s="767">
        <v>0</v>
      </c>
      <c r="G65" s="31">
        <v>0</v>
      </c>
      <c r="H65" s="31">
        <v>0</v>
      </c>
      <c r="I65" s="31">
        <v>2596</v>
      </c>
      <c r="J65" s="31">
        <v>2563</v>
      </c>
      <c r="K65" s="31">
        <v>2550</v>
      </c>
      <c r="L65" s="31">
        <v>2447</v>
      </c>
      <c r="N65" s="764" t="s">
        <v>7197</v>
      </c>
    </row>
    <row r="66" spans="1:14">
      <c r="A66" s="764" t="s">
        <v>5799</v>
      </c>
      <c r="B66" s="764" t="s">
        <v>13825</v>
      </c>
      <c r="C66" s="4" t="s">
        <v>15829</v>
      </c>
      <c r="D66" s="767">
        <v>0</v>
      </c>
      <c r="E66" s="767">
        <v>0</v>
      </c>
      <c r="F66" s="767">
        <v>0</v>
      </c>
      <c r="G66" s="31">
        <v>0</v>
      </c>
      <c r="H66" s="31">
        <v>0</v>
      </c>
      <c r="I66" s="31">
        <v>2699</v>
      </c>
      <c r="J66" s="31">
        <v>2671</v>
      </c>
      <c r="K66" s="31">
        <v>2721</v>
      </c>
      <c r="L66" s="31">
        <v>2661</v>
      </c>
      <c r="N66" s="764" t="s">
        <v>7197</v>
      </c>
    </row>
    <row r="67" spans="1:14">
      <c r="A67" s="764" t="s">
        <v>5801</v>
      </c>
      <c r="B67" s="764" t="s">
        <v>4545</v>
      </c>
      <c r="C67" s="4" t="s">
        <v>15830</v>
      </c>
      <c r="D67" s="767">
        <v>0</v>
      </c>
      <c r="E67" s="767">
        <v>0</v>
      </c>
      <c r="F67" s="767">
        <v>0</v>
      </c>
      <c r="G67" s="31">
        <v>0</v>
      </c>
      <c r="H67" s="31">
        <v>0</v>
      </c>
      <c r="I67" s="31">
        <v>2591</v>
      </c>
      <c r="J67" s="31">
        <v>2530</v>
      </c>
      <c r="K67" s="31">
        <v>2529</v>
      </c>
      <c r="L67" s="31">
        <v>2506</v>
      </c>
      <c r="N67" s="764" t="s">
        <v>7197</v>
      </c>
    </row>
    <row r="68" spans="1:14">
      <c r="A68" s="764" t="s">
        <v>5927</v>
      </c>
      <c r="B68" s="764" t="s">
        <v>4546</v>
      </c>
      <c r="C68" s="4" t="s">
        <v>15831</v>
      </c>
      <c r="D68" s="767">
        <v>0</v>
      </c>
      <c r="E68" s="767">
        <v>0</v>
      </c>
      <c r="F68" s="767">
        <v>0</v>
      </c>
      <c r="G68" s="31">
        <v>0</v>
      </c>
      <c r="H68" s="31">
        <v>0</v>
      </c>
      <c r="I68" s="31">
        <v>2647</v>
      </c>
      <c r="J68" s="31">
        <v>2635</v>
      </c>
      <c r="K68" s="31">
        <v>2650</v>
      </c>
      <c r="L68" s="31">
        <v>2618</v>
      </c>
      <c r="N68" s="764" t="s">
        <v>7197</v>
      </c>
    </row>
    <row r="69" spans="1:14">
      <c r="A69" s="764" t="s">
        <v>5929</v>
      </c>
      <c r="B69" s="764" t="s">
        <v>6334</v>
      </c>
      <c r="C69" s="4" t="s">
        <v>15832</v>
      </c>
      <c r="D69" s="767">
        <v>0</v>
      </c>
      <c r="E69" s="767">
        <v>0</v>
      </c>
      <c r="F69" s="767">
        <v>0</v>
      </c>
      <c r="G69" s="31">
        <v>0</v>
      </c>
      <c r="H69" s="31">
        <v>0</v>
      </c>
      <c r="I69" s="31">
        <v>2041</v>
      </c>
      <c r="J69" s="31">
        <v>2209</v>
      </c>
      <c r="K69" s="31">
        <v>2308</v>
      </c>
      <c r="L69" s="31">
        <v>2309</v>
      </c>
      <c r="N69" s="764" t="s">
        <v>7197</v>
      </c>
    </row>
    <row r="70" spans="1:14">
      <c r="A70" s="764" t="s">
        <v>5931</v>
      </c>
      <c r="B70" s="764" t="s">
        <v>13824</v>
      </c>
      <c r="C70" s="4" t="s">
        <v>15833</v>
      </c>
      <c r="D70" s="767">
        <v>0</v>
      </c>
      <c r="E70" s="767">
        <v>0</v>
      </c>
      <c r="F70" s="767">
        <v>0</v>
      </c>
      <c r="G70" s="31">
        <v>0</v>
      </c>
      <c r="H70" s="31">
        <v>0</v>
      </c>
      <c r="I70" s="31">
        <v>2374</v>
      </c>
      <c r="J70" s="31">
        <v>2344</v>
      </c>
      <c r="K70" s="31">
        <v>2402</v>
      </c>
      <c r="L70" s="31">
        <v>2431</v>
      </c>
      <c r="N70" s="764" t="s">
        <v>7197</v>
      </c>
    </row>
    <row r="71" spans="1:14">
      <c r="A71" s="764" t="s">
        <v>5933</v>
      </c>
      <c r="B71" s="764" t="s">
        <v>13823</v>
      </c>
      <c r="C71" s="4" t="s">
        <v>15834</v>
      </c>
      <c r="D71" s="767">
        <v>0</v>
      </c>
      <c r="E71" s="767">
        <v>0</v>
      </c>
      <c r="F71" s="767">
        <v>0</v>
      </c>
      <c r="G71" s="31">
        <v>0</v>
      </c>
      <c r="H71" s="31">
        <v>0</v>
      </c>
      <c r="I71" s="31">
        <v>2213</v>
      </c>
      <c r="J71" s="31">
        <v>2139</v>
      </c>
      <c r="K71" s="31">
        <v>2132</v>
      </c>
      <c r="L71" s="31">
        <v>2081</v>
      </c>
      <c r="N71" s="764" t="s">
        <v>7197</v>
      </c>
    </row>
    <row r="72" spans="1:14">
      <c r="D72" s="767"/>
      <c r="E72" s="767"/>
      <c r="F72" s="767"/>
      <c r="G72" s="767"/>
      <c r="H72" s="767"/>
      <c r="I72" s="767"/>
      <c r="J72" s="767"/>
      <c r="K72" s="767"/>
      <c r="L72" s="767"/>
    </row>
    <row r="73" spans="1:14">
      <c r="A73" s="764" t="s">
        <v>7197</v>
      </c>
      <c r="D73" s="768">
        <f t="shared" ref="D73:I73" si="66">SUM(D42:D71)</f>
        <v>73430</v>
      </c>
      <c r="E73" s="768">
        <f t="shared" si="66"/>
        <v>73279</v>
      </c>
      <c r="F73" s="768">
        <f t="shared" si="66"/>
        <v>73099</v>
      </c>
      <c r="G73" s="768">
        <f t="shared" si="66"/>
        <v>73892</v>
      </c>
      <c r="H73" s="768">
        <f t="shared" si="66"/>
        <v>71548</v>
      </c>
      <c r="I73" s="768">
        <f t="shared" si="66"/>
        <v>72319</v>
      </c>
      <c r="J73" s="768">
        <f t="shared" ref="J73:K73" si="67">SUM(J42:J71)</f>
        <v>72042</v>
      </c>
      <c r="K73" s="768">
        <f t="shared" si="67"/>
        <v>72948</v>
      </c>
      <c r="L73" s="768">
        <f t="shared" ref="L73" si="68">SUM(L42:L71)</f>
        <v>72206</v>
      </c>
    </row>
    <row r="75" spans="1:14">
      <c r="A75" s="765" t="s">
        <v>13831</v>
      </c>
    </row>
    <row r="76" spans="1:14">
      <c r="A76" s="764"/>
    </row>
    <row r="77" spans="1:14">
      <c r="A77" s="764"/>
    </row>
    <row r="78" spans="1:14">
      <c r="E78" s="42" t="s">
        <v>2303</v>
      </c>
      <c r="F78" s="42"/>
      <c r="G78" s="42"/>
      <c r="H78" s="42"/>
      <c r="I78" s="42"/>
      <c r="J78" s="42"/>
      <c r="K78" s="42"/>
      <c r="L78" s="42"/>
      <c r="M78" s="65"/>
      <c r="N78" s="67" t="s">
        <v>13319</v>
      </c>
    </row>
    <row r="79" spans="1:14">
      <c r="D79" s="765">
        <v>2010</v>
      </c>
      <c r="E79" s="765">
        <v>2011</v>
      </c>
      <c r="F79" s="765">
        <v>2012</v>
      </c>
      <c r="G79" s="765">
        <v>2013</v>
      </c>
      <c r="H79" s="765">
        <v>2014</v>
      </c>
      <c r="I79" s="765">
        <v>2015</v>
      </c>
      <c r="J79" s="765">
        <v>2016</v>
      </c>
      <c r="K79" s="765">
        <v>2017</v>
      </c>
      <c r="L79" s="765">
        <v>2018</v>
      </c>
      <c r="N79" s="67" t="s">
        <v>2304</v>
      </c>
    </row>
    <row r="80" spans="1:14">
      <c r="A80" s="764" t="s">
        <v>8112</v>
      </c>
      <c r="D80" s="768">
        <f t="shared" ref="D80:I80" si="69">SUM(D81:D102)</f>
        <v>58849</v>
      </c>
      <c r="E80" s="768">
        <f t="shared" si="69"/>
        <v>59220</v>
      </c>
      <c r="F80" s="768">
        <f t="shared" si="69"/>
        <v>59261</v>
      </c>
      <c r="G80" s="768">
        <f t="shared" si="69"/>
        <v>59839</v>
      </c>
      <c r="H80" s="768">
        <f t="shared" si="69"/>
        <v>59462</v>
      </c>
      <c r="I80" s="768">
        <f t="shared" si="69"/>
        <v>58717</v>
      </c>
      <c r="J80" s="768">
        <f t="shared" ref="J80:K80" si="70">SUM(J81:J102)</f>
        <v>58606</v>
      </c>
      <c r="K80" s="768">
        <f t="shared" si="70"/>
        <v>59796</v>
      </c>
      <c r="L80" s="768">
        <f t="shared" ref="L80" si="71">SUM(L81:L102)</f>
        <v>59644</v>
      </c>
    </row>
    <row r="81" spans="1:14">
      <c r="A81" s="764" t="s">
        <v>6957</v>
      </c>
      <c r="B81" s="764" t="s">
        <v>8113</v>
      </c>
      <c r="C81" s="4" t="s">
        <v>10491</v>
      </c>
      <c r="D81" s="767">
        <v>2877</v>
      </c>
      <c r="E81" s="767">
        <v>2927</v>
      </c>
      <c r="F81" s="767">
        <v>2931</v>
      </c>
      <c r="G81" s="30">
        <v>2928</v>
      </c>
      <c r="H81" s="30">
        <v>2933</v>
      </c>
      <c r="I81" s="30">
        <v>2877</v>
      </c>
      <c r="J81" s="30">
        <v>2844</v>
      </c>
      <c r="K81" s="30">
        <v>2841</v>
      </c>
      <c r="L81" s="30">
        <v>2851</v>
      </c>
      <c r="N81" s="764" t="s">
        <v>7201</v>
      </c>
    </row>
    <row r="82" spans="1:14">
      <c r="A82" s="764" t="s">
        <v>6959</v>
      </c>
      <c r="B82" s="764" t="s">
        <v>8114</v>
      </c>
      <c r="C82" s="4" t="s">
        <v>10492</v>
      </c>
      <c r="D82" s="767">
        <v>1680</v>
      </c>
      <c r="E82" s="767">
        <v>1691</v>
      </c>
      <c r="F82" s="767">
        <v>1696</v>
      </c>
      <c r="G82" s="30">
        <v>1693</v>
      </c>
      <c r="H82" s="30">
        <v>1607</v>
      </c>
      <c r="I82" s="30">
        <v>1619</v>
      </c>
      <c r="J82" s="30">
        <v>1654</v>
      </c>
      <c r="K82" s="30">
        <v>1692</v>
      </c>
      <c r="L82" s="30">
        <v>1676</v>
      </c>
      <c r="N82" s="764" t="s">
        <v>7201</v>
      </c>
    </row>
    <row r="83" spans="1:14">
      <c r="A83" s="764" t="s">
        <v>6961</v>
      </c>
      <c r="B83" s="764" t="s">
        <v>8558</v>
      </c>
      <c r="C83" s="4" t="s">
        <v>10493</v>
      </c>
      <c r="D83" s="767">
        <v>2740</v>
      </c>
      <c r="E83" s="767">
        <v>2825</v>
      </c>
      <c r="F83" s="767">
        <v>2827</v>
      </c>
      <c r="G83" s="30">
        <v>2840</v>
      </c>
      <c r="H83" s="30">
        <v>2809</v>
      </c>
      <c r="I83" s="30">
        <v>2753</v>
      </c>
      <c r="J83" s="30">
        <v>2782</v>
      </c>
      <c r="K83" s="30">
        <v>2888</v>
      </c>
      <c r="L83" s="30">
        <v>2907</v>
      </c>
      <c r="N83" s="764" t="s">
        <v>7201</v>
      </c>
    </row>
    <row r="84" spans="1:14">
      <c r="A84" s="764" t="s">
        <v>6963</v>
      </c>
      <c r="B84" s="764" t="s">
        <v>1253</v>
      </c>
      <c r="C84" s="4" t="s">
        <v>10494</v>
      </c>
      <c r="D84" s="767">
        <v>4881</v>
      </c>
      <c r="E84" s="767">
        <v>4876</v>
      </c>
      <c r="F84" s="767">
        <v>4877</v>
      </c>
      <c r="G84" s="30">
        <v>4943</v>
      </c>
      <c r="H84" s="30">
        <v>4748</v>
      </c>
      <c r="I84" s="30">
        <v>4666</v>
      </c>
      <c r="J84" s="30">
        <v>4648</v>
      </c>
      <c r="K84" s="30">
        <v>4701</v>
      </c>
      <c r="L84" s="30">
        <v>4625</v>
      </c>
      <c r="N84" s="764" t="s">
        <v>7201</v>
      </c>
    </row>
    <row r="85" spans="1:14">
      <c r="A85" s="764" t="s">
        <v>6965</v>
      </c>
      <c r="B85" s="764" t="s">
        <v>8115</v>
      </c>
      <c r="C85" s="4" t="s">
        <v>10495</v>
      </c>
      <c r="D85" s="767">
        <v>2729</v>
      </c>
      <c r="E85" s="767">
        <v>2906</v>
      </c>
      <c r="F85" s="767">
        <v>3105</v>
      </c>
      <c r="G85" s="30">
        <v>3294</v>
      </c>
      <c r="H85" s="30">
        <v>3384</v>
      </c>
      <c r="I85" s="30">
        <v>3351</v>
      </c>
      <c r="J85" s="30">
        <v>3330</v>
      </c>
      <c r="K85" s="30">
        <v>3353</v>
      </c>
      <c r="L85" s="30">
        <v>3348</v>
      </c>
      <c r="N85" s="764" t="s">
        <v>7201</v>
      </c>
    </row>
    <row r="86" spans="1:14">
      <c r="A86" s="764" t="s">
        <v>6997</v>
      </c>
      <c r="B86" s="764" t="s">
        <v>8116</v>
      </c>
      <c r="C86" s="4" t="s">
        <v>10496</v>
      </c>
      <c r="D86" s="767">
        <v>1549</v>
      </c>
      <c r="E86" s="767">
        <v>1534</v>
      </c>
      <c r="F86" s="767">
        <v>1529</v>
      </c>
      <c r="G86" s="30">
        <v>1538</v>
      </c>
      <c r="H86" s="30">
        <v>1455</v>
      </c>
      <c r="I86" s="30">
        <v>1492</v>
      </c>
      <c r="J86" s="30">
        <v>1488</v>
      </c>
      <c r="K86" s="30">
        <v>1522</v>
      </c>
      <c r="L86" s="30">
        <v>1497</v>
      </c>
      <c r="N86" s="764" t="s">
        <v>7201</v>
      </c>
    </row>
    <row r="87" spans="1:14">
      <c r="A87" s="764" t="s">
        <v>6999</v>
      </c>
      <c r="B87" s="764" t="s">
        <v>8117</v>
      </c>
      <c r="C87" s="4" t="s">
        <v>10497</v>
      </c>
      <c r="D87" s="767">
        <v>3244</v>
      </c>
      <c r="E87" s="767">
        <v>3245</v>
      </c>
      <c r="F87" s="767">
        <v>3227</v>
      </c>
      <c r="G87" s="30">
        <v>3205</v>
      </c>
      <c r="H87" s="30">
        <v>3162</v>
      </c>
      <c r="I87" s="30">
        <v>3123</v>
      </c>
      <c r="J87" s="30">
        <v>3051</v>
      </c>
      <c r="K87" s="30">
        <v>3152</v>
      </c>
      <c r="L87" s="30">
        <v>3396</v>
      </c>
      <c r="N87" s="764" t="s">
        <v>7201</v>
      </c>
    </row>
    <row r="88" spans="1:14">
      <c r="A88" s="764" t="s">
        <v>7001</v>
      </c>
      <c r="B88" s="764" t="s">
        <v>8118</v>
      </c>
      <c r="C88" s="4" t="s">
        <v>10498</v>
      </c>
      <c r="D88" s="767">
        <v>1807</v>
      </c>
      <c r="E88" s="767">
        <v>1823</v>
      </c>
      <c r="F88" s="767">
        <v>1824</v>
      </c>
      <c r="G88" s="30">
        <v>1845</v>
      </c>
      <c r="H88" s="30">
        <v>1878</v>
      </c>
      <c r="I88" s="30">
        <v>1870</v>
      </c>
      <c r="J88" s="30">
        <v>1846</v>
      </c>
      <c r="K88" s="30">
        <v>1857</v>
      </c>
      <c r="L88" s="30">
        <v>1818</v>
      </c>
      <c r="N88" s="764" t="s">
        <v>7201</v>
      </c>
    </row>
    <row r="89" spans="1:14">
      <c r="A89" s="764" t="s">
        <v>7003</v>
      </c>
      <c r="B89" s="764" t="s">
        <v>6370</v>
      </c>
      <c r="C89" s="4" t="s">
        <v>10499</v>
      </c>
      <c r="D89" s="767">
        <v>4955</v>
      </c>
      <c r="E89" s="767">
        <v>4958</v>
      </c>
      <c r="F89" s="767">
        <v>5024</v>
      </c>
      <c r="G89" s="30">
        <v>4999</v>
      </c>
      <c r="H89" s="30">
        <v>4997</v>
      </c>
      <c r="I89" s="30">
        <v>4936</v>
      </c>
      <c r="J89" s="30">
        <v>4825</v>
      </c>
      <c r="K89" s="30">
        <v>4956</v>
      </c>
      <c r="L89" s="30">
        <v>4845</v>
      </c>
      <c r="N89" s="764" t="s">
        <v>7201</v>
      </c>
    </row>
    <row r="90" spans="1:14">
      <c r="A90" s="764" t="s">
        <v>7005</v>
      </c>
      <c r="B90" s="764" t="s">
        <v>4166</v>
      </c>
      <c r="C90" s="4" t="s">
        <v>10500</v>
      </c>
      <c r="D90" s="767">
        <v>1735</v>
      </c>
      <c r="E90" s="767">
        <v>1711</v>
      </c>
      <c r="F90" s="767">
        <v>1727</v>
      </c>
      <c r="G90" s="30">
        <v>1681</v>
      </c>
      <c r="H90" s="30">
        <v>1605</v>
      </c>
      <c r="I90" s="30">
        <v>1652</v>
      </c>
      <c r="J90" s="30">
        <v>1673</v>
      </c>
      <c r="K90" s="30">
        <v>1728</v>
      </c>
      <c r="L90" s="30">
        <v>1724</v>
      </c>
      <c r="N90" s="764" t="s">
        <v>7201</v>
      </c>
    </row>
    <row r="91" spans="1:14">
      <c r="A91" s="764" t="s">
        <v>7007</v>
      </c>
      <c r="B91" s="764" t="s">
        <v>6371</v>
      </c>
      <c r="C91" s="4" t="s">
        <v>10501</v>
      </c>
      <c r="D91" s="767">
        <v>1432</v>
      </c>
      <c r="E91" s="767">
        <v>1419</v>
      </c>
      <c r="F91" s="767">
        <v>1429</v>
      </c>
      <c r="G91" s="30">
        <v>1422</v>
      </c>
      <c r="H91" s="30">
        <v>1413</v>
      </c>
      <c r="I91" s="30">
        <v>1382</v>
      </c>
      <c r="J91" s="30">
        <v>1411</v>
      </c>
      <c r="K91" s="30">
        <v>1529</v>
      </c>
      <c r="L91" s="30">
        <v>1542</v>
      </c>
      <c r="N91" s="764" t="s">
        <v>7201</v>
      </c>
    </row>
    <row r="92" spans="1:14">
      <c r="A92" s="764" t="s">
        <v>7009</v>
      </c>
      <c r="B92" s="764" t="s">
        <v>3045</v>
      </c>
      <c r="C92" s="4" t="s">
        <v>10502</v>
      </c>
      <c r="D92" s="767">
        <v>1668</v>
      </c>
      <c r="E92" s="767">
        <v>1680</v>
      </c>
      <c r="F92" s="767">
        <v>1712</v>
      </c>
      <c r="G92" s="30">
        <v>1701</v>
      </c>
      <c r="H92" s="30">
        <v>1701</v>
      </c>
      <c r="I92" s="30">
        <v>1652</v>
      </c>
      <c r="J92" s="30">
        <v>1684</v>
      </c>
      <c r="K92" s="30">
        <v>1708</v>
      </c>
      <c r="L92" s="30">
        <v>1755</v>
      </c>
      <c r="N92" s="764" t="s">
        <v>7201</v>
      </c>
    </row>
    <row r="93" spans="1:14">
      <c r="A93" s="764" t="s">
        <v>7011</v>
      </c>
      <c r="B93" s="764" t="s">
        <v>6372</v>
      </c>
      <c r="C93" s="4" t="s">
        <v>10503</v>
      </c>
      <c r="D93" s="767">
        <v>4483</v>
      </c>
      <c r="E93" s="767">
        <v>4481</v>
      </c>
      <c r="F93" s="767">
        <v>4421</v>
      </c>
      <c r="G93" s="30">
        <v>4614</v>
      </c>
      <c r="H93" s="30">
        <v>4665</v>
      </c>
      <c r="I93" s="30">
        <v>4468</v>
      </c>
      <c r="J93" s="30">
        <v>4433</v>
      </c>
      <c r="K93" s="30">
        <v>4452</v>
      </c>
      <c r="L93" s="30">
        <v>4328</v>
      </c>
      <c r="N93" s="764" t="s">
        <v>7201</v>
      </c>
    </row>
    <row r="94" spans="1:14">
      <c r="A94" s="764" t="s">
        <v>7013</v>
      </c>
      <c r="B94" s="764" t="s">
        <v>6373</v>
      </c>
      <c r="C94" s="4" t="s">
        <v>10504</v>
      </c>
      <c r="D94" s="48">
        <v>3130</v>
      </c>
      <c r="E94" s="48">
        <v>3124</v>
      </c>
      <c r="F94" s="48">
        <v>3110</v>
      </c>
      <c r="G94" s="30">
        <v>3166</v>
      </c>
      <c r="H94" s="30">
        <v>3160</v>
      </c>
      <c r="I94" s="30">
        <v>3113</v>
      </c>
      <c r="J94" s="30">
        <v>3058</v>
      </c>
      <c r="K94" s="30">
        <v>3187</v>
      </c>
      <c r="L94" s="30">
        <v>3168</v>
      </c>
      <c r="N94" s="764" t="s">
        <v>7201</v>
      </c>
    </row>
    <row r="95" spans="1:14">
      <c r="A95" s="764" t="s">
        <v>7015</v>
      </c>
      <c r="B95" s="764" t="s">
        <v>4097</v>
      </c>
      <c r="C95" s="4" t="s">
        <v>10505</v>
      </c>
      <c r="D95" s="776">
        <v>2842</v>
      </c>
      <c r="E95" s="776">
        <v>2965</v>
      </c>
      <c r="F95" s="776">
        <v>2930</v>
      </c>
      <c r="G95" s="30">
        <v>3000</v>
      </c>
      <c r="H95" s="30">
        <v>3019</v>
      </c>
      <c r="I95" s="30">
        <v>3009</v>
      </c>
      <c r="J95" s="30">
        <v>3039</v>
      </c>
      <c r="K95" s="30">
        <v>3113</v>
      </c>
      <c r="L95" s="30">
        <v>3159</v>
      </c>
      <c r="N95" s="764" t="s">
        <v>7201</v>
      </c>
    </row>
    <row r="96" spans="1:14">
      <c r="A96" s="764" t="s">
        <v>7017</v>
      </c>
      <c r="B96" s="764" t="s">
        <v>6374</v>
      </c>
      <c r="C96" s="4" t="s">
        <v>10506</v>
      </c>
      <c r="D96" s="766">
        <v>1503</v>
      </c>
      <c r="E96" s="766">
        <v>1500</v>
      </c>
      <c r="F96" s="766">
        <v>1505</v>
      </c>
      <c r="G96" s="31">
        <v>1491</v>
      </c>
      <c r="H96" s="31">
        <v>1484</v>
      </c>
      <c r="I96" s="31">
        <v>1467</v>
      </c>
      <c r="J96" s="31">
        <v>1436</v>
      </c>
      <c r="K96" s="31">
        <v>1458</v>
      </c>
      <c r="L96" s="31">
        <v>1476</v>
      </c>
      <c r="N96" s="764" t="s">
        <v>7201</v>
      </c>
    </row>
    <row r="97" spans="1:14">
      <c r="A97" s="764" t="s">
        <v>7019</v>
      </c>
      <c r="B97" s="764" t="s">
        <v>6375</v>
      </c>
      <c r="C97" s="4" t="s">
        <v>10507</v>
      </c>
      <c r="D97" s="776">
        <v>1523</v>
      </c>
      <c r="E97" s="776">
        <v>1559</v>
      </c>
      <c r="F97" s="776">
        <v>1595</v>
      </c>
      <c r="G97" s="31">
        <v>1550</v>
      </c>
      <c r="H97" s="31">
        <v>1482</v>
      </c>
      <c r="I97" s="31">
        <v>1527</v>
      </c>
      <c r="J97" s="31">
        <v>1544</v>
      </c>
      <c r="K97" s="31">
        <v>1570</v>
      </c>
      <c r="L97" s="31">
        <v>1572</v>
      </c>
      <c r="N97" s="764" t="s">
        <v>7201</v>
      </c>
    </row>
    <row r="98" spans="1:14">
      <c r="A98" s="764" t="s">
        <v>7021</v>
      </c>
      <c r="B98" s="764" t="s">
        <v>6376</v>
      </c>
      <c r="C98" s="4" t="s">
        <v>10508</v>
      </c>
      <c r="D98" s="767">
        <v>3037</v>
      </c>
      <c r="E98" s="767">
        <v>3022</v>
      </c>
      <c r="F98" s="767">
        <v>3006</v>
      </c>
      <c r="G98" s="31">
        <v>2999</v>
      </c>
      <c r="H98" s="31">
        <v>3070</v>
      </c>
      <c r="I98" s="31">
        <v>2997</v>
      </c>
      <c r="J98" s="31">
        <v>2924</v>
      </c>
      <c r="K98" s="31">
        <v>3004</v>
      </c>
      <c r="L98" s="31">
        <v>2994</v>
      </c>
      <c r="N98" s="764" t="s">
        <v>7201</v>
      </c>
    </row>
    <row r="99" spans="1:14">
      <c r="A99" s="764" t="s">
        <v>7023</v>
      </c>
      <c r="B99" s="764" t="s">
        <v>6377</v>
      </c>
      <c r="C99" s="4" t="s">
        <v>10509</v>
      </c>
      <c r="D99" s="767">
        <v>3475</v>
      </c>
      <c r="E99" s="767">
        <v>3422</v>
      </c>
      <c r="F99" s="767">
        <v>3447</v>
      </c>
      <c r="G99" s="31">
        <v>3355</v>
      </c>
      <c r="H99" s="31">
        <v>3372</v>
      </c>
      <c r="I99" s="31">
        <v>3338</v>
      </c>
      <c r="J99" s="31">
        <v>3377</v>
      </c>
      <c r="K99" s="31">
        <v>3482</v>
      </c>
      <c r="L99" s="31">
        <v>3418</v>
      </c>
      <c r="N99" s="764" t="s">
        <v>7201</v>
      </c>
    </row>
    <row r="100" spans="1:14">
      <c r="A100" s="764" t="s">
        <v>7025</v>
      </c>
      <c r="B100" s="20" t="s">
        <v>6378</v>
      </c>
      <c r="C100" s="4" t="s">
        <v>10510</v>
      </c>
      <c r="D100" s="767">
        <v>2660</v>
      </c>
      <c r="E100" s="767">
        <v>2652</v>
      </c>
      <c r="F100" s="767">
        <v>2588</v>
      </c>
      <c r="G100" s="31">
        <v>2673</v>
      </c>
      <c r="H100" s="31">
        <v>2671</v>
      </c>
      <c r="I100" s="31">
        <v>2611</v>
      </c>
      <c r="J100" s="31">
        <v>2630</v>
      </c>
      <c r="K100" s="31">
        <v>2628</v>
      </c>
      <c r="L100" s="31">
        <v>2577</v>
      </c>
      <c r="N100" s="764" t="s">
        <v>7201</v>
      </c>
    </row>
    <row r="101" spans="1:14">
      <c r="A101" s="764" t="s">
        <v>7570</v>
      </c>
      <c r="B101" s="764" t="s">
        <v>7817</v>
      </c>
      <c r="C101" s="4" t="s">
        <v>10511</v>
      </c>
      <c r="D101" s="767">
        <v>3236</v>
      </c>
      <c r="E101" s="767">
        <v>3240</v>
      </c>
      <c r="F101" s="767">
        <v>3095</v>
      </c>
      <c r="G101" s="31">
        <v>3233</v>
      </c>
      <c r="H101" s="31">
        <v>3260</v>
      </c>
      <c r="I101" s="31">
        <v>3221</v>
      </c>
      <c r="J101" s="31">
        <v>3267</v>
      </c>
      <c r="K101" s="31">
        <v>3269</v>
      </c>
      <c r="L101" s="31">
        <v>3262</v>
      </c>
      <c r="N101" s="764" t="s">
        <v>7201</v>
      </c>
    </row>
    <row r="102" spans="1:14">
      <c r="A102" s="764" t="s">
        <v>7572</v>
      </c>
      <c r="B102" s="764" t="s">
        <v>6379</v>
      </c>
      <c r="C102" s="4" t="s">
        <v>10512</v>
      </c>
      <c r="D102" s="776">
        <v>1663</v>
      </c>
      <c r="E102" s="776">
        <v>1660</v>
      </c>
      <c r="F102" s="776">
        <v>1656</v>
      </c>
      <c r="G102" s="31">
        <v>1669</v>
      </c>
      <c r="H102" s="31">
        <v>1587</v>
      </c>
      <c r="I102" s="31">
        <v>1593</v>
      </c>
      <c r="J102" s="31">
        <v>1662</v>
      </c>
      <c r="K102" s="31">
        <v>1706</v>
      </c>
      <c r="L102" s="31">
        <v>1706</v>
      </c>
      <c r="N102" s="764" t="s">
        <v>7201</v>
      </c>
    </row>
    <row r="103" spans="1:14">
      <c r="A103" s="764"/>
      <c r="B103" s="764"/>
      <c r="D103" s="767"/>
      <c r="E103" s="767"/>
      <c r="F103" s="767"/>
      <c r="G103" s="767"/>
      <c r="H103" s="767"/>
      <c r="I103" s="767"/>
      <c r="J103" s="767"/>
      <c r="K103" s="767"/>
      <c r="L103" s="767"/>
      <c r="N103" s="764"/>
    </row>
    <row r="104" spans="1:14">
      <c r="A104" s="764" t="s">
        <v>6380</v>
      </c>
      <c r="D104" s="768">
        <f t="shared" ref="D104:I104" si="72">SUM(D81:D102)</f>
        <v>58849</v>
      </c>
      <c r="E104" s="768">
        <f t="shared" si="72"/>
        <v>59220</v>
      </c>
      <c r="F104" s="768">
        <f t="shared" si="72"/>
        <v>59261</v>
      </c>
      <c r="G104" s="768">
        <f t="shared" si="72"/>
        <v>59839</v>
      </c>
      <c r="H104" s="768">
        <f t="shared" si="72"/>
        <v>59462</v>
      </c>
      <c r="I104" s="768">
        <f t="shared" si="72"/>
        <v>58717</v>
      </c>
      <c r="J104" s="768">
        <f t="shared" ref="J104:K104" si="73">SUM(J81:J102)</f>
        <v>58606</v>
      </c>
      <c r="K104" s="768">
        <f t="shared" si="73"/>
        <v>59796</v>
      </c>
      <c r="L104" s="768">
        <f t="shared" ref="L104" si="74">SUM(L81:L102)</f>
        <v>59644</v>
      </c>
    </row>
    <row r="106" spans="1:14">
      <c r="A106" s="771" t="s">
        <v>6381</v>
      </c>
    </row>
    <row r="107" spans="1:14">
      <c r="A107" s="771"/>
    </row>
    <row r="108" spans="1:14">
      <c r="A108" s="771"/>
    </row>
    <row r="109" spans="1:14">
      <c r="E109" s="42" t="s">
        <v>2303</v>
      </c>
      <c r="F109" s="42"/>
      <c r="G109" s="42"/>
      <c r="H109" s="42"/>
      <c r="I109" s="42"/>
      <c r="J109" s="42"/>
      <c r="K109" s="42"/>
      <c r="L109" s="42"/>
      <c r="M109" s="65"/>
      <c r="N109" s="67" t="s">
        <v>13319</v>
      </c>
    </row>
    <row r="110" spans="1:14">
      <c r="A110" s="771"/>
      <c r="D110" s="765">
        <v>2010</v>
      </c>
      <c r="E110" s="765">
        <v>2011</v>
      </c>
      <c r="F110" s="765">
        <v>2012</v>
      </c>
      <c r="G110" s="765">
        <v>2013</v>
      </c>
      <c r="H110" s="765">
        <v>2014</v>
      </c>
      <c r="I110" s="765">
        <v>2015</v>
      </c>
      <c r="J110" s="765">
        <v>2016</v>
      </c>
      <c r="K110" s="765">
        <v>2017</v>
      </c>
      <c r="L110" s="765">
        <v>2018</v>
      </c>
      <c r="N110" s="67" t="s">
        <v>2304</v>
      </c>
    </row>
    <row r="111" spans="1:14">
      <c r="A111" s="764" t="s">
        <v>6382</v>
      </c>
      <c r="D111" s="768">
        <f t="shared" ref="D111:I111" si="75">SUM(D112:D123)</f>
        <v>62522</v>
      </c>
      <c r="E111" s="768">
        <f t="shared" si="75"/>
        <v>61937</v>
      </c>
      <c r="F111" s="768">
        <f t="shared" si="75"/>
        <v>61986</v>
      </c>
      <c r="G111" s="768">
        <f t="shared" si="75"/>
        <v>62189</v>
      </c>
      <c r="H111" s="768">
        <f t="shared" si="75"/>
        <v>60349</v>
      </c>
      <c r="I111" s="768">
        <f t="shared" si="75"/>
        <v>60417</v>
      </c>
      <c r="J111" s="768">
        <f t="shared" ref="J111:K111" si="76">SUM(J112:J123)</f>
        <v>59495</v>
      </c>
      <c r="K111" s="768">
        <f t="shared" si="76"/>
        <v>59938</v>
      </c>
      <c r="L111" s="768">
        <f t="shared" ref="L111" si="77">SUM(L112:L123)</f>
        <v>58564</v>
      </c>
    </row>
    <row r="112" spans="1:14">
      <c r="A112" s="764" t="s">
        <v>6957</v>
      </c>
      <c r="B112" s="764" t="s">
        <v>8199</v>
      </c>
      <c r="C112" s="4" t="s">
        <v>10513</v>
      </c>
      <c r="D112" s="767">
        <v>4242</v>
      </c>
      <c r="E112" s="767">
        <v>4345</v>
      </c>
      <c r="F112" s="767">
        <v>4490</v>
      </c>
      <c r="G112" s="30">
        <v>4519</v>
      </c>
      <c r="H112" s="30">
        <v>4372</v>
      </c>
      <c r="I112" s="30">
        <v>4380</v>
      </c>
      <c r="J112" s="30">
        <v>4213</v>
      </c>
      <c r="K112" s="30">
        <v>4262</v>
      </c>
      <c r="L112" s="30">
        <v>4166</v>
      </c>
      <c r="N112" s="764" t="s">
        <v>7200</v>
      </c>
    </row>
    <row r="113" spans="1:14">
      <c r="A113" s="764" t="s">
        <v>6959</v>
      </c>
      <c r="B113" s="764" t="s">
        <v>6383</v>
      </c>
      <c r="C113" s="4" t="s">
        <v>10514</v>
      </c>
      <c r="D113" s="767">
        <v>4710</v>
      </c>
      <c r="E113" s="767">
        <v>4699</v>
      </c>
      <c r="F113" s="767">
        <v>4767</v>
      </c>
      <c r="G113" s="30">
        <v>4750</v>
      </c>
      <c r="H113" s="30">
        <v>4679</v>
      </c>
      <c r="I113" s="30">
        <v>4636</v>
      </c>
      <c r="J113" s="30">
        <v>4596</v>
      </c>
      <c r="K113" s="30">
        <v>4678</v>
      </c>
      <c r="L113" s="30">
        <v>4650</v>
      </c>
      <c r="N113" s="764" t="s">
        <v>7200</v>
      </c>
    </row>
    <row r="114" spans="1:14">
      <c r="A114" s="764" t="s">
        <v>6961</v>
      </c>
      <c r="B114" s="764" t="s">
        <v>12501</v>
      </c>
      <c r="C114" s="4" t="s">
        <v>10515</v>
      </c>
      <c r="D114" s="767">
        <v>5842</v>
      </c>
      <c r="E114" s="767">
        <v>5643</v>
      </c>
      <c r="F114" s="767">
        <v>5636</v>
      </c>
      <c r="G114" s="30">
        <v>5662</v>
      </c>
      <c r="H114" s="30">
        <v>5525</v>
      </c>
      <c r="I114" s="30">
        <v>5670</v>
      </c>
      <c r="J114" s="30">
        <v>5677</v>
      </c>
      <c r="K114" s="30">
        <v>5788</v>
      </c>
      <c r="L114" s="30">
        <v>5674</v>
      </c>
      <c r="N114" s="764" t="s">
        <v>7200</v>
      </c>
    </row>
    <row r="115" spans="1:14">
      <c r="A115" s="764" t="s">
        <v>6963</v>
      </c>
      <c r="B115" s="764" t="s">
        <v>7725</v>
      </c>
      <c r="C115" s="4" t="s">
        <v>10516</v>
      </c>
      <c r="D115" s="767">
        <v>4447</v>
      </c>
      <c r="E115" s="767">
        <v>4409</v>
      </c>
      <c r="F115" s="767">
        <v>4352</v>
      </c>
      <c r="G115" s="30">
        <v>4376</v>
      </c>
      <c r="H115" s="30">
        <v>4131</v>
      </c>
      <c r="I115" s="30">
        <v>4143</v>
      </c>
      <c r="J115" s="30">
        <v>4015</v>
      </c>
      <c r="K115" s="30">
        <v>3976</v>
      </c>
      <c r="L115" s="30">
        <v>3919</v>
      </c>
      <c r="N115" s="764" t="s">
        <v>7200</v>
      </c>
    </row>
    <row r="116" spans="1:14">
      <c r="A116" s="764" t="s">
        <v>6965</v>
      </c>
      <c r="B116" s="764" t="s">
        <v>4592</v>
      </c>
      <c r="C116" s="4" t="s">
        <v>10517</v>
      </c>
      <c r="D116" s="767">
        <v>6084</v>
      </c>
      <c r="E116" s="767">
        <v>6019</v>
      </c>
      <c r="F116" s="767">
        <v>5991</v>
      </c>
      <c r="G116" s="30">
        <v>5968</v>
      </c>
      <c r="H116" s="30">
        <v>5876</v>
      </c>
      <c r="I116" s="30">
        <v>5804</v>
      </c>
      <c r="J116" s="30">
        <v>5654</v>
      </c>
      <c r="K116" s="30">
        <v>5685</v>
      </c>
      <c r="L116" s="30">
        <v>5416</v>
      </c>
      <c r="N116" s="764" t="s">
        <v>7200</v>
      </c>
    </row>
    <row r="117" spans="1:14">
      <c r="A117" s="764" t="s">
        <v>6997</v>
      </c>
      <c r="B117" s="764" t="s">
        <v>4593</v>
      </c>
      <c r="C117" s="4" t="s">
        <v>10518</v>
      </c>
      <c r="D117" s="767">
        <v>4587</v>
      </c>
      <c r="E117" s="767">
        <v>4550</v>
      </c>
      <c r="F117" s="767">
        <v>4654</v>
      </c>
      <c r="G117" s="30">
        <v>4615</v>
      </c>
      <c r="H117" s="30">
        <v>4451</v>
      </c>
      <c r="I117" s="30">
        <v>4447</v>
      </c>
      <c r="J117" s="30">
        <v>4431</v>
      </c>
      <c r="K117" s="30">
        <v>4501</v>
      </c>
      <c r="L117" s="30">
        <v>4410</v>
      </c>
      <c r="N117" s="764" t="s">
        <v>7200</v>
      </c>
    </row>
    <row r="118" spans="1:14">
      <c r="A118" s="764" t="s">
        <v>6999</v>
      </c>
      <c r="B118" s="764" t="s">
        <v>1277</v>
      </c>
      <c r="C118" s="4" t="s">
        <v>10519</v>
      </c>
      <c r="D118" s="767">
        <v>6265</v>
      </c>
      <c r="E118" s="767">
        <v>6225</v>
      </c>
      <c r="F118" s="767">
        <v>6200</v>
      </c>
      <c r="G118" s="30">
        <v>6181</v>
      </c>
      <c r="H118" s="30">
        <v>6065</v>
      </c>
      <c r="I118" s="30">
        <v>6026</v>
      </c>
      <c r="J118" s="30">
        <v>5970</v>
      </c>
      <c r="K118" s="30">
        <v>6092</v>
      </c>
      <c r="L118" s="30">
        <v>6123</v>
      </c>
      <c r="N118" s="764" t="s">
        <v>7200</v>
      </c>
    </row>
    <row r="119" spans="1:14">
      <c r="A119" s="764" t="s">
        <v>7001</v>
      </c>
      <c r="B119" s="764" t="s">
        <v>4594</v>
      </c>
      <c r="C119" s="4" t="s">
        <v>10520</v>
      </c>
      <c r="D119" s="767">
        <v>6852</v>
      </c>
      <c r="E119" s="767">
        <v>6782</v>
      </c>
      <c r="F119" s="767">
        <v>6783</v>
      </c>
      <c r="G119" s="30">
        <v>6853</v>
      </c>
      <c r="H119" s="30">
        <v>6676</v>
      </c>
      <c r="I119" s="30">
        <v>6682</v>
      </c>
      <c r="J119" s="30">
        <v>6588</v>
      </c>
      <c r="K119" s="30">
        <v>6557</v>
      </c>
      <c r="L119" s="30">
        <v>6370</v>
      </c>
      <c r="N119" s="764" t="s">
        <v>7200</v>
      </c>
    </row>
    <row r="120" spans="1:14">
      <c r="A120" s="764" t="s">
        <v>7003</v>
      </c>
      <c r="B120" s="764" t="s">
        <v>6218</v>
      </c>
      <c r="C120" s="4" t="s">
        <v>10521</v>
      </c>
      <c r="D120" s="767">
        <v>3919</v>
      </c>
      <c r="E120" s="767">
        <v>3831</v>
      </c>
      <c r="F120" s="767">
        <v>3848</v>
      </c>
      <c r="G120" s="30">
        <v>3955</v>
      </c>
      <c r="H120" s="30">
        <v>3556</v>
      </c>
      <c r="I120" s="30">
        <v>3652</v>
      </c>
      <c r="J120" s="30">
        <v>3633</v>
      </c>
      <c r="K120" s="30">
        <v>3646</v>
      </c>
      <c r="L120" s="30">
        <v>3494</v>
      </c>
      <c r="N120" s="764" t="s">
        <v>7200</v>
      </c>
    </row>
    <row r="121" spans="1:14">
      <c r="A121" s="764" t="s">
        <v>7005</v>
      </c>
      <c r="B121" s="764" t="s">
        <v>4595</v>
      </c>
      <c r="C121" s="4" t="s">
        <v>10522</v>
      </c>
      <c r="D121" s="767">
        <v>4559</v>
      </c>
      <c r="E121" s="767">
        <v>4493</v>
      </c>
      <c r="F121" s="767">
        <v>4456</v>
      </c>
      <c r="G121" s="30">
        <v>4432</v>
      </c>
      <c r="H121" s="30">
        <v>4390</v>
      </c>
      <c r="I121" s="30">
        <v>4414</v>
      </c>
      <c r="J121" s="30">
        <v>4338</v>
      </c>
      <c r="K121" s="30">
        <v>4359</v>
      </c>
      <c r="L121" s="30">
        <v>4232</v>
      </c>
      <c r="N121" s="764" t="s">
        <v>7200</v>
      </c>
    </row>
    <row r="122" spans="1:14">
      <c r="A122" s="764" t="s">
        <v>7007</v>
      </c>
      <c r="B122" s="764" t="s">
        <v>7817</v>
      </c>
      <c r="C122" s="4" t="s">
        <v>10523</v>
      </c>
      <c r="D122" s="767">
        <v>4495</v>
      </c>
      <c r="E122" s="767">
        <v>4557</v>
      </c>
      <c r="F122" s="767">
        <v>4527</v>
      </c>
      <c r="G122" s="30">
        <v>4561</v>
      </c>
      <c r="H122" s="30">
        <v>4470</v>
      </c>
      <c r="I122" s="30">
        <v>4431</v>
      </c>
      <c r="J122" s="30">
        <v>4360</v>
      </c>
      <c r="K122" s="30">
        <v>4430</v>
      </c>
      <c r="L122" s="30">
        <v>4322</v>
      </c>
      <c r="N122" s="764" t="s">
        <v>7200</v>
      </c>
    </row>
    <row r="123" spans="1:14">
      <c r="A123" s="775">
        <v>12</v>
      </c>
      <c r="B123" s="764" t="s">
        <v>4596</v>
      </c>
      <c r="C123" s="4" t="s">
        <v>10524</v>
      </c>
      <c r="D123" s="767">
        <v>6520</v>
      </c>
      <c r="E123" s="767">
        <v>6384</v>
      </c>
      <c r="F123" s="767">
        <v>6282</v>
      </c>
      <c r="G123" s="30">
        <v>6317</v>
      </c>
      <c r="H123" s="30">
        <v>6158</v>
      </c>
      <c r="I123" s="30">
        <v>6132</v>
      </c>
      <c r="J123" s="30">
        <v>6020</v>
      </c>
      <c r="K123" s="30">
        <v>5964</v>
      </c>
      <c r="L123" s="30">
        <v>5788</v>
      </c>
      <c r="N123" s="764" t="s">
        <v>7200</v>
      </c>
    </row>
    <row r="124" spans="1:14">
      <c r="D124" s="767"/>
      <c r="E124" s="767"/>
      <c r="F124" s="767"/>
      <c r="G124" s="767"/>
      <c r="H124" s="767"/>
      <c r="I124" s="767"/>
      <c r="J124" s="767"/>
      <c r="K124" s="767"/>
      <c r="L124" s="767"/>
    </row>
    <row r="125" spans="1:14">
      <c r="A125" s="764" t="s">
        <v>4597</v>
      </c>
      <c r="D125" s="768">
        <f t="shared" ref="D125:I125" si="78">SUM(D112:D123)</f>
        <v>62522</v>
      </c>
      <c r="E125" s="768">
        <f t="shared" si="78"/>
        <v>61937</v>
      </c>
      <c r="F125" s="768">
        <f t="shared" si="78"/>
        <v>61986</v>
      </c>
      <c r="G125" s="768">
        <f t="shared" si="78"/>
        <v>62189</v>
      </c>
      <c r="H125" s="768">
        <f t="shared" si="78"/>
        <v>60349</v>
      </c>
      <c r="I125" s="768">
        <f t="shared" si="78"/>
        <v>60417</v>
      </c>
      <c r="J125" s="768">
        <f t="shared" ref="J125:K125" si="79">SUM(J112:J123)</f>
        <v>59495</v>
      </c>
      <c r="K125" s="768">
        <f t="shared" si="79"/>
        <v>59938</v>
      </c>
      <c r="L125" s="768">
        <f t="shared" ref="L125" si="80">SUM(L112:L123)</f>
        <v>58564</v>
      </c>
    </row>
    <row r="126" spans="1:14">
      <c r="A126" s="764"/>
      <c r="B126" s="764"/>
      <c r="D126" s="777"/>
      <c r="E126" s="777"/>
      <c r="F126" s="777"/>
      <c r="G126" s="777"/>
      <c r="H126" s="777"/>
      <c r="I126" s="777"/>
      <c r="J126" s="777"/>
      <c r="K126" s="777"/>
      <c r="L126" s="777"/>
    </row>
    <row r="127" spans="1:14">
      <c r="A127" s="764" t="s">
        <v>4598</v>
      </c>
      <c r="B127" s="764"/>
      <c r="D127" s="777"/>
      <c r="E127" s="777"/>
      <c r="F127" s="777"/>
      <c r="G127" s="777"/>
      <c r="H127" s="777"/>
      <c r="I127" s="777"/>
      <c r="J127" s="777"/>
      <c r="K127" s="777"/>
      <c r="L127" s="777"/>
    </row>
    <row r="128" spans="1:14">
      <c r="A128" s="764"/>
      <c r="B128" s="764"/>
      <c r="D128" s="777"/>
      <c r="E128" s="777"/>
      <c r="F128" s="777"/>
      <c r="G128" s="777"/>
      <c r="H128" s="777"/>
      <c r="I128" s="777"/>
      <c r="J128" s="777"/>
      <c r="K128" s="777"/>
      <c r="L128" s="777"/>
    </row>
    <row r="129" spans="1:14">
      <c r="A129" s="764"/>
      <c r="B129" s="764"/>
      <c r="D129" s="777"/>
      <c r="E129" s="777"/>
      <c r="F129" s="777"/>
      <c r="G129" s="777"/>
      <c r="H129" s="777"/>
      <c r="I129" s="777"/>
      <c r="J129" s="777"/>
      <c r="K129" s="777"/>
      <c r="L129" s="777"/>
    </row>
    <row r="130" spans="1:14">
      <c r="E130" s="42" t="s">
        <v>2303</v>
      </c>
      <c r="F130" s="42"/>
      <c r="G130" s="42"/>
      <c r="H130" s="42"/>
      <c r="I130" s="42"/>
      <c r="J130" s="42"/>
      <c r="K130" s="42"/>
      <c r="L130" s="42"/>
      <c r="M130" s="65"/>
      <c r="N130" s="67" t="s">
        <v>13319</v>
      </c>
    </row>
    <row r="131" spans="1:14">
      <c r="A131" s="20"/>
      <c r="B131" s="20"/>
      <c r="D131" s="765">
        <v>2010</v>
      </c>
      <c r="E131" s="765">
        <v>2011</v>
      </c>
      <c r="F131" s="765">
        <v>2012</v>
      </c>
      <c r="G131" s="765">
        <v>2013</v>
      </c>
      <c r="H131" s="765">
        <v>2014</v>
      </c>
      <c r="I131" s="765">
        <v>2015</v>
      </c>
      <c r="J131" s="765">
        <v>2016</v>
      </c>
      <c r="K131" s="765">
        <v>2017</v>
      </c>
      <c r="L131" s="765">
        <v>2018</v>
      </c>
      <c r="N131" s="67" t="s">
        <v>2304</v>
      </c>
    </row>
    <row r="132" spans="1:14">
      <c r="A132" s="764" t="s">
        <v>4599</v>
      </c>
      <c r="D132" s="768">
        <f t="shared" ref="D132:I132" si="81">SUM(D133:D147)</f>
        <v>72965</v>
      </c>
      <c r="E132" s="768">
        <f t="shared" si="81"/>
        <v>73960</v>
      </c>
      <c r="F132" s="768">
        <f t="shared" si="81"/>
        <v>74513</v>
      </c>
      <c r="G132" s="768">
        <f t="shared" si="81"/>
        <v>73837</v>
      </c>
      <c r="H132" s="768">
        <f t="shared" si="81"/>
        <v>72165</v>
      </c>
      <c r="I132" s="768">
        <f t="shared" si="81"/>
        <v>71580</v>
      </c>
      <c r="J132" s="768">
        <f t="shared" ref="J132:K132" si="82">SUM(J133:J147)</f>
        <v>70542</v>
      </c>
      <c r="K132" s="768">
        <f t="shared" si="82"/>
        <v>72543</v>
      </c>
      <c r="L132" s="768">
        <f t="shared" ref="L132" si="83">SUM(L133:L147)</f>
        <v>72702</v>
      </c>
    </row>
    <row r="133" spans="1:14">
      <c r="A133" s="764" t="s">
        <v>6957</v>
      </c>
      <c r="B133" s="764" t="s">
        <v>3556</v>
      </c>
      <c r="C133" s="4" t="s">
        <v>10525</v>
      </c>
      <c r="D133" s="767">
        <v>4423</v>
      </c>
      <c r="E133" s="767">
        <v>4537</v>
      </c>
      <c r="F133" s="767">
        <v>4565</v>
      </c>
      <c r="G133" s="30">
        <v>4568</v>
      </c>
      <c r="H133" s="30">
        <v>4190</v>
      </c>
      <c r="I133" s="30">
        <v>4228</v>
      </c>
      <c r="J133" s="30">
        <v>4141</v>
      </c>
      <c r="K133" s="30">
        <v>4339</v>
      </c>
      <c r="L133" s="30">
        <v>4396</v>
      </c>
      <c r="N133" s="764" t="s">
        <v>7202</v>
      </c>
    </row>
    <row r="134" spans="1:14">
      <c r="A134" s="764" t="s">
        <v>6959</v>
      </c>
      <c r="B134" s="764" t="s">
        <v>4600</v>
      </c>
      <c r="C134" s="4" t="s">
        <v>10526</v>
      </c>
      <c r="D134" s="767">
        <v>4144</v>
      </c>
      <c r="E134" s="767">
        <v>4139</v>
      </c>
      <c r="F134" s="767">
        <v>4123</v>
      </c>
      <c r="G134" s="30">
        <v>4159</v>
      </c>
      <c r="H134" s="30">
        <v>3997</v>
      </c>
      <c r="I134" s="30">
        <v>3983</v>
      </c>
      <c r="J134" s="30">
        <v>3914</v>
      </c>
      <c r="K134" s="30">
        <v>4042</v>
      </c>
      <c r="L134" s="30">
        <v>3984</v>
      </c>
      <c r="N134" s="764" t="s">
        <v>7202</v>
      </c>
    </row>
    <row r="135" spans="1:14">
      <c r="A135" s="764" t="s">
        <v>6961</v>
      </c>
      <c r="B135" s="764" t="s">
        <v>8122</v>
      </c>
      <c r="C135" s="4" t="s">
        <v>10527</v>
      </c>
      <c r="D135" s="767">
        <v>6318</v>
      </c>
      <c r="E135" s="767">
        <v>6337</v>
      </c>
      <c r="F135" s="767">
        <v>6370</v>
      </c>
      <c r="G135" s="30">
        <v>6474</v>
      </c>
      <c r="H135" s="30">
        <v>6342</v>
      </c>
      <c r="I135" s="30">
        <v>6348</v>
      </c>
      <c r="J135" s="30">
        <v>6304</v>
      </c>
      <c r="K135" s="30">
        <v>6547</v>
      </c>
      <c r="L135" s="30">
        <v>6582</v>
      </c>
      <c r="N135" s="764" t="s">
        <v>7202</v>
      </c>
    </row>
    <row r="136" spans="1:14">
      <c r="A136" s="764" t="s">
        <v>6963</v>
      </c>
      <c r="B136" s="764" t="s">
        <v>8123</v>
      </c>
      <c r="C136" s="4" t="s">
        <v>10528</v>
      </c>
      <c r="D136" s="767">
        <v>6895</v>
      </c>
      <c r="E136" s="767">
        <v>7247</v>
      </c>
      <c r="F136" s="767">
        <v>7380</v>
      </c>
      <c r="G136" s="30">
        <v>7097</v>
      </c>
      <c r="H136" s="30">
        <v>7058</v>
      </c>
      <c r="I136" s="30">
        <v>7000</v>
      </c>
      <c r="J136" s="30">
        <v>6826</v>
      </c>
      <c r="K136" s="30">
        <v>7138</v>
      </c>
      <c r="L136" s="30">
        <v>7229</v>
      </c>
      <c r="N136" s="764" t="s">
        <v>7202</v>
      </c>
    </row>
    <row r="137" spans="1:14">
      <c r="A137" s="764" t="s">
        <v>6965</v>
      </c>
      <c r="B137" s="764" t="s">
        <v>8124</v>
      </c>
      <c r="C137" s="4" t="s">
        <v>10529</v>
      </c>
      <c r="D137" s="767">
        <v>6597</v>
      </c>
      <c r="E137" s="767">
        <v>6634</v>
      </c>
      <c r="F137" s="767">
        <v>6607</v>
      </c>
      <c r="G137" s="30">
        <v>6586</v>
      </c>
      <c r="H137" s="30">
        <v>6503</v>
      </c>
      <c r="I137" s="30">
        <v>6474</v>
      </c>
      <c r="J137" s="30">
        <v>6397</v>
      </c>
      <c r="K137" s="30">
        <v>6526</v>
      </c>
      <c r="L137" s="30">
        <v>6491</v>
      </c>
      <c r="N137" s="764" t="s">
        <v>7202</v>
      </c>
    </row>
    <row r="138" spans="1:14">
      <c r="A138" s="764" t="s">
        <v>6997</v>
      </c>
      <c r="B138" s="764" t="s">
        <v>5270</v>
      </c>
      <c r="C138" s="4" t="s">
        <v>10530</v>
      </c>
      <c r="D138" s="767">
        <v>3802</v>
      </c>
      <c r="E138" s="767">
        <v>3820</v>
      </c>
      <c r="F138" s="767">
        <v>3787</v>
      </c>
      <c r="G138" s="30">
        <v>3727</v>
      </c>
      <c r="H138" s="30">
        <v>3430</v>
      </c>
      <c r="I138" s="30">
        <v>3448</v>
      </c>
      <c r="J138" s="30">
        <v>3407</v>
      </c>
      <c r="K138" s="30">
        <v>3493</v>
      </c>
      <c r="L138" s="30">
        <v>3505</v>
      </c>
      <c r="N138" s="764" t="s">
        <v>7202</v>
      </c>
    </row>
    <row r="139" spans="1:14">
      <c r="A139" s="764" t="s">
        <v>6999</v>
      </c>
      <c r="B139" s="764" t="s">
        <v>8125</v>
      </c>
      <c r="C139" s="4" t="s">
        <v>10531</v>
      </c>
      <c r="D139" s="767">
        <v>5918</v>
      </c>
      <c r="E139" s="767">
        <v>5911</v>
      </c>
      <c r="F139" s="767">
        <v>5949</v>
      </c>
      <c r="G139" s="30">
        <v>5956</v>
      </c>
      <c r="H139" s="30">
        <v>5874</v>
      </c>
      <c r="I139" s="30">
        <v>5851</v>
      </c>
      <c r="J139" s="30">
        <v>5590</v>
      </c>
      <c r="K139" s="30">
        <v>5779</v>
      </c>
      <c r="L139" s="30">
        <v>5708</v>
      </c>
      <c r="N139" s="764" t="s">
        <v>7202</v>
      </c>
    </row>
    <row r="140" spans="1:14">
      <c r="A140" s="764" t="s">
        <v>7001</v>
      </c>
      <c r="B140" s="764" t="s">
        <v>8126</v>
      </c>
      <c r="C140" s="4" t="s">
        <v>10532</v>
      </c>
      <c r="D140" s="767">
        <v>3923</v>
      </c>
      <c r="E140" s="767">
        <v>3970</v>
      </c>
      <c r="F140" s="767">
        <v>4018</v>
      </c>
      <c r="G140" s="30">
        <v>4133</v>
      </c>
      <c r="H140" s="30">
        <v>4009</v>
      </c>
      <c r="I140" s="30">
        <v>3998</v>
      </c>
      <c r="J140" s="30">
        <v>3844</v>
      </c>
      <c r="K140" s="30">
        <v>3963</v>
      </c>
      <c r="L140" s="30">
        <v>3950</v>
      </c>
      <c r="N140" s="764" t="s">
        <v>7202</v>
      </c>
    </row>
    <row r="141" spans="1:14">
      <c r="A141" s="764" t="s">
        <v>7003</v>
      </c>
      <c r="B141" s="764" t="s">
        <v>8127</v>
      </c>
      <c r="C141" s="4" t="s">
        <v>10533</v>
      </c>
      <c r="D141" s="767">
        <v>4621</v>
      </c>
      <c r="E141" s="767">
        <v>4714</v>
      </c>
      <c r="F141" s="767">
        <v>4771</v>
      </c>
      <c r="G141" s="30">
        <v>4208</v>
      </c>
      <c r="H141" s="30">
        <v>4743</v>
      </c>
      <c r="I141" s="30">
        <v>3990</v>
      </c>
      <c r="J141" s="30">
        <v>3938</v>
      </c>
      <c r="K141" s="30">
        <v>3816</v>
      </c>
      <c r="L141" s="30">
        <v>3996</v>
      </c>
      <c r="N141" s="764" t="s">
        <v>7202</v>
      </c>
    </row>
    <row r="142" spans="1:14">
      <c r="A142" s="764" t="s">
        <v>7005</v>
      </c>
      <c r="B142" s="764" t="s">
        <v>8128</v>
      </c>
      <c r="C142" s="4" t="s">
        <v>10534</v>
      </c>
      <c r="D142" s="767">
        <v>5696</v>
      </c>
      <c r="E142" s="767">
        <v>5729</v>
      </c>
      <c r="F142" s="767">
        <v>5809</v>
      </c>
      <c r="G142" s="30">
        <v>5780</v>
      </c>
      <c r="H142" s="30">
        <v>5609</v>
      </c>
      <c r="I142" s="30">
        <v>5695</v>
      </c>
      <c r="J142" s="30">
        <v>5738</v>
      </c>
      <c r="K142" s="30">
        <v>5859</v>
      </c>
      <c r="L142" s="30">
        <v>5841</v>
      </c>
      <c r="N142" s="764" t="s">
        <v>7202</v>
      </c>
    </row>
    <row r="143" spans="1:14">
      <c r="A143" s="764" t="s">
        <v>7007</v>
      </c>
      <c r="B143" s="764" t="s">
        <v>8129</v>
      </c>
      <c r="C143" s="4" t="s">
        <v>10535</v>
      </c>
      <c r="D143" s="767">
        <v>4440</v>
      </c>
      <c r="E143" s="767">
        <v>4483</v>
      </c>
      <c r="F143" s="767">
        <v>4546</v>
      </c>
      <c r="G143" s="30">
        <v>4586</v>
      </c>
      <c r="H143" s="30">
        <v>4371</v>
      </c>
      <c r="I143" s="30">
        <v>4425</v>
      </c>
      <c r="J143" s="30">
        <v>4374</v>
      </c>
      <c r="K143" s="30">
        <v>4420</v>
      </c>
      <c r="L143" s="30">
        <v>4449</v>
      </c>
      <c r="N143" s="764" t="s">
        <v>7202</v>
      </c>
    </row>
    <row r="144" spans="1:14">
      <c r="A144" s="764" t="s">
        <v>7009</v>
      </c>
      <c r="B144" s="764" t="s">
        <v>7088</v>
      </c>
      <c r="C144" s="4" t="s">
        <v>10536</v>
      </c>
      <c r="D144" s="767">
        <v>4052</v>
      </c>
      <c r="E144" s="767">
        <v>4090</v>
      </c>
      <c r="F144" s="767">
        <v>4072</v>
      </c>
      <c r="G144" s="30">
        <v>4058</v>
      </c>
      <c r="H144" s="30">
        <v>3996</v>
      </c>
      <c r="I144" s="30">
        <v>4031</v>
      </c>
      <c r="J144" s="30">
        <v>4057</v>
      </c>
      <c r="K144" s="30">
        <v>4249</v>
      </c>
      <c r="L144" s="30">
        <v>4318</v>
      </c>
      <c r="N144" s="764" t="s">
        <v>7202</v>
      </c>
    </row>
    <row r="145" spans="1:15">
      <c r="A145" s="774">
        <v>13</v>
      </c>
      <c r="B145" s="764" t="s">
        <v>7276</v>
      </c>
      <c r="C145" s="4" t="s">
        <v>10537</v>
      </c>
      <c r="D145" s="767">
        <v>4017</v>
      </c>
      <c r="E145" s="767">
        <v>4111</v>
      </c>
      <c r="F145" s="767">
        <v>4153</v>
      </c>
      <c r="G145" s="30">
        <v>4110</v>
      </c>
      <c r="H145" s="30">
        <v>3847</v>
      </c>
      <c r="I145" s="30">
        <v>3819</v>
      </c>
      <c r="J145" s="30">
        <v>3683</v>
      </c>
      <c r="K145" s="30">
        <v>3809</v>
      </c>
      <c r="L145" s="30">
        <v>3758</v>
      </c>
      <c r="N145" s="764" t="s">
        <v>7202</v>
      </c>
    </row>
    <row r="146" spans="1:15">
      <c r="A146" s="774">
        <v>14</v>
      </c>
      <c r="B146" s="764" t="s">
        <v>7277</v>
      </c>
      <c r="C146" s="4" t="s">
        <v>10538</v>
      </c>
      <c r="D146" s="767">
        <v>4072</v>
      </c>
      <c r="E146" s="767">
        <v>4137</v>
      </c>
      <c r="F146" s="767">
        <v>4155</v>
      </c>
      <c r="G146" s="30">
        <v>4161</v>
      </c>
      <c r="H146" s="30">
        <v>4052</v>
      </c>
      <c r="I146" s="30">
        <v>4061</v>
      </c>
      <c r="J146" s="30">
        <v>3965</v>
      </c>
      <c r="K146" s="30">
        <v>4046</v>
      </c>
      <c r="L146" s="30">
        <v>4008</v>
      </c>
      <c r="N146" s="764" t="s">
        <v>7202</v>
      </c>
    </row>
    <row r="147" spans="1:15">
      <c r="A147" s="775">
        <v>15</v>
      </c>
      <c r="B147" s="764" t="s">
        <v>7278</v>
      </c>
      <c r="C147" s="4" t="s">
        <v>10539</v>
      </c>
      <c r="D147" s="767">
        <v>4047</v>
      </c>
      <c r="E147" s="767">
        <v>4101</v>
      </c>
      <c r="F147" s="767">
        <v>4208</v>
      </c>
      <c r="G147" s="30">
        <v>4234</v>
      </c>
      <c r="H147" s="30">
        <v>4144</v>
      </c>
      <c r="I147" s="30">
        <v>4229</v>
      </c>
      <c r="J147" s="30">
        <v>4364</v>
      </c>
      <c r="K147" s="30">
        <v>4517</v>
      </c>
      <c r="L147" s="30">
        <v>4487</v>
      </c>
      <c r="N147" s="764" t="s">
        <v>7202</v>
      </c>
    </row>
    <row r="148" spans="1:15">
      <c r="B148" s="20"/>
      <c r="D148" s="21"/>
      <c r="E148" s="21"/>
      <c r="F148" s="21"/>
      <c r="G148" s="21"/>
      <c r="H148" s="21"/>
      <c r="I148" s="21"/>
      <c r="J148" s="21"/>
      <c r="K148" s="21"/>
      <c r="L148" s="21"/>
      <c r="M148" s="20"/>
      <c r="N148" s="20"/>
      <c r="O148" s="20"/>
    </row>
    <row r="149" spans="1:15">
      <c r="A149" s="764" t="s">
        <v>7202</v>
      </c>
      <c r="D149" s="768">
        <f t="shared" ref="D149:I149" si="84">SUM(D133:D147)</f>
        <v>72965</v>
      </c>
      <c r="E149" s="768">
        <f t="shared" si="84"/>
        <v>73960</v>
      </c>
      <c r="F149" s="768">
        <f t="shared" si="84"/>
        <v>74513</v>
      </c>
      <c r="G149" s="768">
        <f t="shared" si="84"/>
        <v>73837</v>
      </c>
      <c r="H149" s="768">
        <f t="shared" si="84"/>
        <v>72165</v>
      </c>
      <c r="I149" s="768">
        <f t="shared" si="84"/>
        <v>71580</v>
      </c>
      <c r="J149" s="768">
        <f t="shared" ref="J149:K149" si="85">SUM(J133:J147)</f>
        <v>70542</v>
      </c>
      <c r="K149" s="768">
        <f t="shared" si="85"/>
        <v>72543</v>
      </c>
      <c r="L149" s="768">
        <f t="shared" ref="L149" si="86">SUM(L133:L147)</f>
        <v>72702</v>
      </c>
    </row>
    <row r="150" spans="1:15">
      <c r="A150" s="764"/>
      <c r="B150" s="764"/>
      <c r="D150" s="777"/>
      <c r="E150" s="777"/>
      <c r="F150" s="777"/>
      <c r="G150" s="777"/>
      <c r="H150" s="777"/>
      <c r="I150" s="777"/>
      <c r="J150" s="777"/>
      <c r="K150" s="777"/>
      <c r="L150" s="777"/>
    </row>
    <row r="151" spans="1:15">
      <c r="A151" s="764" t="s">
        <v>7204</v>
      </c>
      <c r="B151" s="764"/>
      <c r="D151" s="777"/>
      <c r="E151" s="777"/>
      <c r="F151" s="777"/>
      <c r="G151" s="777"/>
      <c r="H151" s="777"/>
      <c r="I151" s="777"/>
      <c r="J151" s="777"/>
      <c r="K151" s="777"/>
      <c r="L151" s="777"/>
    </row>
    <row r="152" spans="1:15">
      <c r="A152" s="764"/>
      <c r="B152" s="764"/>
      <c r="D152" s="777"/>
      <c r="E152" s="777"/>
      <c r="F152" s="777"/>
      <c r="G152" s="777"/>
      <c r="H152" s="777"/>
      <c r="I152" s="777"/>
      <c r="J152" s="777"/>
      <c r="K152" s="777"/>
      <c r="L152" s="777"/>
    </row>
    <row r="153" spans="1:15">
      <c r="A153" s="764"/>
      <c r="B153" s="764"/>
      <c r="D153" s="777"/>
      <c r="E153" s="777"/>
      <c r="F153" s="777"/>
      <c r="G153" s="777"/>
      <c r="H153" s="777"/>
      <c r="I153" s="777"/>
      <c r="J153" s="777"/>
      <c r="K153" s="777"/>
      <c r="L153" s="777"/>
    </row>
    <row r="154" spans="1:15">
      <c r="D154" s="42"/>
      <c r="E154" s="42" t="s">
        <v>2303</v>
      </c>
      <c r="F154" s="42"/>
      <c r="G154" s="42"/>
      <c r="H154" s="42"/>
      <c r="I154" s="42"/>
      <c r="J154" s="42"/>
      <c r="K154" s="42"/>
      <c r="L154" s="42"/>
      <c r="M154" s="65"/>
      <c r="N154" s="67" t="s">
        <v>13319</v>
      </c>
    </row>
    <row r="155" spans="1:15">
      <c r="D155" s="765">
        <v>2010</v>
      </c>
      <c r="E155" s="765">
        <v>2011</v>
      </c>
      <c r="F155" s="765">
        <v>2012</v>
      </c>
      <c r="G155" s="765">
        <v>2013</v>
      </c>
      <c r="H155" s="765">
        <v>2014</v>
      </c>
      <c r="I155" s="765">
        <v>2015</v>
      </c>
      <c r="J155" s="765">
        <v>2016</v>
      </c>
      <c r="K155" s="765">
        <v>2017</v>
      </c>
      <c r="L155" s="765">
        <v>2018</v>
      </c>
      <c r="N155" s="67" t="s">
        <v>2304</v>
      </c>
    </row>
    <row r="156" spans="1:15">
      <c r="A156" s="764" t="s">
        <v>7205</v>
      </c>
      <c r="D156" s="768">
        <f t="shared" ref="D156:I156" si="87">SUM(D157:D188)</f>
        <v>90152</v>
      </c>
      <c r="E156" s="768">
        <f t="shared" si="87"/>
        <v>89996</v>
      </c>
      <c r="F156" s="768">
        <f t="shared" si="87"/>
        <v>91095</v>
      </c>
      <c r="G156" s="768">
        <f t="shared" si="87"/>
        <v>91938</v>
      </c>
      <c r="H156" s="768">
        <f t="shared" si="87"/>
        <v>91382</v>
      </c>
      <c r="I156" s="768">
        <f t="shared" si="87"/>
        <v>89821</v>
      </c>
      <c r="J156" s="768">
        <f t="shared" ref="J156:K156" si="88">SUM(J157:J188)</f>
        <v>92064</v>
      </c>
      <c r="K156" s="768">
        <f t="shared" si="88"/>
        <v>94479</v>
      </c>
      <c r="L156" s="768">
        <f t="shared" ref="L156" si="89">SUM(L157:L188)</f>
        <v>95023</v>
      </c>
    </row>
    <row r="157" spans="1:15">
      <c r="A157" s="764" t="s">
        <v>6957</v>
      </c>
      <c r="B157" s="764" t="s">
        <v>4671</v>
      </c>
      <c r="C157" s="4" t="s">
        <v>10540</v>
      </c>
      <c r="D157" s="767">
        <v>2113</v>
      </c>
      <c r="E157" s="767">
        <v>2142</v>
      </c>
      <c r="F157" s="767">
        <v>2193</v>
      </c>
      <c r="G157" s="30">
        <v>2197</v>
      </c>
      <c r="H157" s="30">
        <v>2212</v>
      </c>
      <c r="I157" s="30">
        <v>2184</v>
      </c>
      <c r="J157" s="30">
        <v>2233</v>
      </c>
      <c r="K157" s="30">
        <v>2333</v>
      </c>
      <c r="L157" s="30">
        <v>2333</v>
      </c>
      <c r="N157" s="764" t="s">
        <v>7198</v>
      </c>
    </row>
    <row r="158" spans="1:15">
      <c r="A158" s="764" t="s">
        <v>6959</v>
      </c>
      <c r="B158" s="764" t="s">
        <v>4672</v>
      </c>
      <c r="C158" s="4" t="s">
        <v>10541</v>
      </c>
      <c r="D158" s="767">
        <v>3471</v>
      </c>
      <c r="E158" s="767">
        <v>3516</v>
      </c>
      <c r="F158" s="767">
        <v>3666</v>
      </c>
      <c r="G158" s="30">
        <v>3777</v>
      </c>
      <c r="H158" s="30">
        <v>3856</v>
      </c>
      <c r="I158" s="30">
        <v>3955</v>
      </c>
      <c r="J158" s="30">
        <v>4394</v>
      </c>
      <c r="K158" s="30">
        <v>4628</v>
      </c>
      <c r="L158" s="30">
        <v>4565</v>
      </c>
      <c r="N158" s="764" t="s">
        <v>7198</v>
      </c>
    </row>
    <row r="159" spans="1:15">
      <c r="A159" s="764" t="s">
        <v>6961</v>
      </c>
      <c r="B159" s="764" t="s">
        <v>6300</v>
      </c>
      <c r="C159" s="4" t="s">
        <v>10542</v>
      </c>
      <c r="D159" s="767">
        <v>2135</v>
      </c>
      <c r="E159" s="767">
        <v>2163</v>
      </c>
      <c r="F159" s="767">
        <v>2210</v>
      </c>
      <c r="G159" s="30">
        <v>2243</v>
      </c>
      <c r="H159" s="30">
        <v>2276</v>
      </c>
      <c r="I159" s="30">
        <v>2268</v>
      </c>
      <c r="J159" s="30">
        <v>2339</v>
      </c>
      <c r="K159" s="30">
        <v>2382</v>
      </c>
      <c r="L159" s="30">
        <v>2401</v>
      </c>
      <c r="N159" s="764" t="s">
        <v>7198</v>
      </c>
    </row>
    <row r="160" spans="1:15">
      <c r="A160" s="764" t="s">
        <v>6963</v>
      </c>
      <c r="B160" s="764" t="s">
        <v>4673</v>
      </c>
      <c r="C160" s="4" t="s">
        <v>10543</v>
      </c>
      <c r="D160" s="767">
        <v>2009</v>
      </c>
      <c r="E160" s="767">
        <v>2028</v>
      </c>
      <c r="F160" s="767">
        <v>2046</v>
      </c>
      <c r="G160" s="31">
        <v>2085</v>
      </c>
      <c r="H160" s="31">
        <v>2088</v>
      </c>
      <c r="I160" s="31">
        <v>2057</v>
      </c>
      <c r="J160" s="31">
        <v>2089</v>
      </c>
      <c r="K160" s="31">
        <v>2105</v>
      </c>
      <c r="L160" s="31">
        <v>2112</v>
      </c>
      <c r="N160" s="764" t="s">
        <v>7201</v>
      </c>
    </row>
    <row r="161" spans="1:14">
      <c r="A161" s="764" t="s">
        <v>6965</v>
      </c>
      <c r="B161" s="764" t="s">
        <v>4674</v>
      </c>
      <c r="C161" s="4" t="s">
        <v>10544</v>
      </c>
      <c r="D161" s="767">
        <v>2021</v>
      </c>
      <c r="E161" s="767">
        <v>2017</v>
      </c>
      <c r="F161" s="767">
        <v>2091</v>
      </c>
      <c r="G161" s="30">
        <v>2114</v>
      </c>
      <c r="H161" s="30">
        <v>2146</v>
      </c>
      <c r="I161" s="30">
        <v>2120</v>
      </c>
      <c r="J161" s="30">
        <v>2203</v>
      </c>
      <c r="K161" s="30">
        <v>2259</v>
      </c>
      <c r="L161" s="30">
        <v>2219</v>
      </c>
      <c r="N161" s="764" t="s">
        <v>7198</v>
      </c>
    </row>
    <row r="162" spans="1:14">
      <c r="A162" s="764" t="s">
        <v>6997</v>
      </c>
      <c r="B162" s="764" t="s">
        <v>2948</v>
      </c>
      <c r="C162" s="4" t="s">
        <v>10545</v>
      </c>
      <c r="D162" s="767">
        <v>3755</v>
      </c>
      <c r="E162" s="767">
        <v>3762</v>
      </c>
      <c r="F162" s="767">
        <v>3834</v>
      </c>
      <c r="G162" s="30">
        <v>3864</v>
      </c>
      <c r="H162" s="30">
        <v>3804</v>
      </c>
      <c r="I162" s="30">
        <v>3776</v>
      </c>
      <c r="J162" s="30">
        <v>3818</v>
      </c>
      <c r="K162" s="30">
        <v>3882</v>
      </c>
      <c r="L162" s="30">
        <v>3863</v>
      </c>
      <c r="N162" s="764" t="s">
        <v>7198</v>
      </c>
    </row>
    <row r="163" spans="1:14">
      <c r="A163" s="764" t="s">
        <v>6999</v>
      </c>
      <c r="B163" s="764" t="s">
        <v>2949</v>
      </c>
      <c r="C163" s="4" t="s">
        <v>10546</v>
      </c>
      <c r="D163" s="767">
        <v>1904</v>
      </c>
      <c r="E163" s="767">
        <v>1957</v>
      </c>
      <c r="F163" s="767">
        <v>1962</v>
      </c>
      <c r="G163" s="30">
        <v>2000</v>
      </c>
      <c r="H163" s="30">
        <v>1950</v>
      </c>
      <c r="I163" s="30">
        <v>1919</v>
      </c>
      <c r="J163" s="30">
        <v>2129</v>
      </c>
      <c r="K163" s="30">
        <v>2231</v>
      </c>
      <c r="L163" s="30">
        <v>2257</v>
      </c>
      <c r="N163" s="764" t="s">
        <v>7198</v>
      </c>
    </row>
    <row r="164" spans="1:14">
      <c r="A164" s="764" t="s">
        <v>7001</v>
      </c>
      <c r="B164" s="764" t="s">
        <v>2950</v>
      </c>
      <c r="C164" s="4" t="s">
        <v>10547</v>
      </c>
      <c r="D164" s="767">
        <v>1905</v>
      </c>
      <c r="E164" s="767">
        <v>1884</v>
      </c>
      <c r="F164" s="767">
        <v>1904</v>
      </c>
      <c r="G164" s="30">
        <v>1920</v>
      </c>
      <c r="H164" s="30">
        <v>1916</v>
      </c>
      <c r="I164" s="30">
        <v>1877</v>
      </c>
      <c r="J164" s="30">
        <v>1920</v>
      </c>
      <c r="K164" s="30">
        <v>1963</v>
      </c>
      <c r="L164" s="30">
        <v>2012</v>
      </c>
      <c r="N164" s="764" t="s">
        <v>7198</v>
      </c>
    </row>
    <row r="165" spans="1:14">
      <c r="A165" s="764" t="s">
        <v>7003</v>
      </c>
      <c r="B165" s="764" t="s">
        <v>2951</v>
      </c>
      <c r="C165" s="4" t="s">
        <v>10548</v>
      </c>
      <c r="D165" s="767">
        <v>2010</v>
      </c>
      <c r="E165" s="767">
        <v>2001</v>
      </c>
      <c r="F165" s="767">
        <v>2008</v>
      </c>
      <c r="G165" s="30">
        <v>2050</v>
      </c>
      <c r="H165" s="30">
        <v>2009</v>
      </c>
      <c r="I165" s="30">
        <v>1945</v>
      </c>
      <c r="J165" s="30">
        <v>1930</v>
      </c>
      <c r="K165" s="30">
        <v>1950</v>
      </c>
      <c r="L165" s="30">
        <v>1926</v>
      </c>
      <c r="N165" s="764" t="s">
        <v>7198</v>
      </c>
    </row>
    <row r="166" spans="1:14">
      <c r="A166" s="764" t="s">
        <v>7005</v>
      </c>
      <c r="B166" s="764" t="s">
        <v>2952</v>
      </c>
      <c r="C166" s="4" t="s">
        <v>10549</v>
      </c>
      <c r="D166" s="767">
        <v>4301</v>
      </c>
      <c r="E166" s="767">
        <v>4264</v>
      </c>
      <c r="F166" s="767">
        <v>4347</v>
      </c>
      <c r="G166" s="30">
        <v>4359</v>
      </c>
      <c r="H166" s="30">
        <v>4296</v>
      </c>
      <c r="I166" s="30">
        <v>4183</v>
      </c>
      <c r="J166" s="30">
        <v>4257</v>
      </c>
      <c r="K166" s="30">
        <v>4352</v>
      </c>
      <c r="L166" s="30">
        <v>4253</v>
      </c>
      <c r="N166" s="764" t="s">
        <v>7198</v>
      </c>
    </row>
    <row r="167" spans="1:14">
      <c r="A167" s="764" t="s">
        <v>7007</v>
      </c>
      <c r="B167" s="764" t="s">
        <v>2953</v>
      </c>
      <c r="C167" s="4" t="s">
        <v>10550</v>
      </c>
      <c r="D167" s="767">
        <v>4006</v>
      </c>
      <c r="E167" s="767">
        <v>4050</v>
      </c>
      <c r="F167" s="767">
        <v>4071</v>
      </c>
      <c r="G167" s="30">
        <v>4083</v>
      </c>
      <c r="H167" s="30">
        <v>4109</v>
      </c>
      <c r="I167" s="30">
        <v>4118</v>
      </c>
      <c r="J167" s="30">
        <v>4185</v>
      </c>
      <c r="K167" s="30">
        <v>4251</v>
      </c>
      <c r="L167" s="30">
        <v>4352</v>
      </c>
      <c r="N167" s="764" t="s">
        <v>7198</v>
      </c>
    </row>
    <row r="168" spans="1:14">
      <c r="A168" s="764" t="s">
        <v>7009</v>
      </c>
      <c r="B168" s="764" t="s">
        <v>2954</v>
      </c>
      <c r="C168" s="4" t="s">
        <v>10551</v>
      </c>
      <c r="D168" s="767">
        <v>3971</v>
      </c>
      <c r="E168" s="767">
        <v>3957</v>
      </c>
      <c r="F168" s="767">
        <v>3991</v>
      </c>
      <c r="G168" s="30">
        <v>4002</v>
      </c>
      <c r="H168" s="30">
        <v>3984</v>
      </c>
      <c r="I168" s="30">
        <v>3874</v>
      </c>
      <c r="J168" s="30">
        <v>3862</v>
      </c>
      <c r="K168" s="30">
        <v>3896</v>
      </c>
      <c r="L168" s="30">
        <v>3859</v>
      </c>
      <c r="N168" s="764" t="s">
        <v>7198</v>
      </c>
    </row>
    <row r="169" spans="1:14">
      <c r="A169" s="764" t="s">
        <v>7011</v>
      </c>
      <c r="B169" s="764" t="s">
        <v>2955</v>
      </c>
      <c r="C169" s="4" t="s">
        <v>10552</v>
      </c>
      <c r="D169" s="767">
        <v>3857</v>
      </c>
      <c r="E169" s="767">
        <v>3780</v>
      </c>
      <c r="F169" s="767">
        <v>3843</v>
      </c>
      <c r="G169" s="30">
        <v>3885</v>
      </c>
      <c r="H169" s="30">
        <v>3862</v>
      </c>
      <c r="I169" s="30">
        <v>3714</v>
      </c>
      <c r="J169" s="30">
        <v>3747</v>
      </c>
      <c r="K169" s="30">
        <v>3773</v>
      </c>
      <c r="L169" s="30">
        <v>3688</v>
      </c>
      <c r="N169" s="764" t="s">
        <v>7198</v>
      </c>
    </row>
    <row r="170" spans="1:14">
      <c r="A170" s="764" t="s">
        <v>7013</v>
      </c>
      <c r="B170" s="764" t="s">
        <v>2956</v>
      </c>
      <c r="C170" s="4" t="s">
        <v>10553</v>
      </c>
      <c r="D170" s="767">
        <v>2240</v>
      </c>
      <c r="E170" s="767">
        <v>2234</v>
      </c>
      <c r="F170" s="767">
        <v>2262</v>
      </c>
      <c r="G170" s="31">
        <v>2273</v>
      </c>
      <c r="H170" s="31">
        <v>2251</v>
      </c>
      <c r="I170" s="31">
        <v>2218</v>
      </c>
      <c r="J170" s="31">
        <v>2215</v>
      </c>
      <c r="K170" s="31">
        <v>2245</v>
      </c>
      <c r="L170" s="31">
        <v>2219</v>
      </c>
      <c r="N170" s="764" t="s">
        <v>7201</v>
      </c>
    </row>
    <row r="171" spans="1:14">
      <c r="A171" s="764" t="s">
        <v>7015</v>
      </c>
      <c r="B171" s="764" t="s">
        <v>2957</v>
      </c>
      <c r="C171" s="4" t="s">
        <v>10554</v>
      </c>
      <c r="D171" s="767">
        <v>1974</v>
      </c>
      <c r="E171" s="767">
        <v>1955</v>
      </c>
      <c r="F171" s="767">
        <v>1987</v>
      </c>
      <c r="G171" s="31">
        <v>2027</v>
      </c>
      <c r="H171" s="31">
        <v>1984</v>
      </c>
      <c r="I171" s="31">
        <v>1941</v>
      </c>
      <c r="J171" s="31">
        <v>2015</v>
      </c>
      <c r="K171" s="31">
        <v>2058</v>
      </c>
      <c r="L171" s="31">
        <v>2031</v>
      </c>
      <c r="N171" s="764" t="s">
        <v>7201</v>
      </c>
    </row>
    <row r="172" spans="1:14">
      <c r="A172" s="764" t="s">
        <v>7017</v>
      </c>
      <c r="B172" s="764" t="s">
        <v>2958</v>
      </c>
      <c r="C172" s="4" t="s">
        <v>10555</v>
      </c>
      <c r="D172" s="767">
        <v>3519</v>
      </c>
      <c r="E172" s="767">
        <v>3483</v>
      </c>
      <c r="F172" s="767">
        <v>3468</v>
      </c>
      <c r="G172" s="30">
        <v>3452</v>
      </c>
      <c r="H172" s="30">
        <v>3362</v>
      </c>
      <c r="I172" s="30">
        <v>3226</v>
      </c>
      <c r="J172" s="30">
        <v>3324</v>
      </c>
      <c r="K172" s="30">
        <v>3390</v>
      </c>
      <c r="L172" s="30">
        <v>3338</v>
      </c>
      <c r="N172" s="764" t="s">
        <v>7198</v>
      </c>
    </row>
    <row r="173" spans="1:14">
      <c r="A173" s="764" t="s">
        <v>7019</v>
      </c>
      <c r="B173" s="764" t="s">
        <v>2959</v>
      </c>
      <c r="C173" s="4" t="s">
        <v>10556</v>
      </c>
      <c r="D173" s="767">
        <v>4036</v>
      </c>
      <c r="E173" s="767">
        <v>4033</v>
      </c>
      <c r="F173" s="767">
        <v>4020</v>
      </c>
      <c r="G173" s="30">
        <v>4014</v>
      </c>
      <c r="H173" s="30">
        <v>3831</v>
      </c>
      <c r="I173" s="30">
        <v>3719</v>
      </c>
      <c r="J173" s="30">
        <v>3732</v>
      </c>
      <c r="K173" s="30">
        <v>3676</v>
      </c>
      <c r="L173" s="30">
        <v>3660</v>
      </c>
      <c r="N173" s="764" t="s">
        <v>7198</v>
      </c>
    </row>
    <row r="174" spans="1:14">
      <c r="A174" s="764" t="s">
        <v>7021</v>
      </c>
      <c r="B174" s="764" t="s">
        <v>2960</v>
      </c>
      <c r="C174" s="4" t="s">
        <v>10557</v>
      </c>
      <c r="D174" s="767">
        <v>2163</v>
      </c>
      <c r="E174" s="767">
        <v>2181</v>
      </c>
      <c r="F174" s="767">
        <v>2187</v>
      </c>
      <c r="G174" s="30">
        <v>2197</v>
      </c>
      <c r="H174" s="30">
        <v>2208</v>
      </c>
      <c r="I174" s="30">
        <v>2145</v>
      </c>
      <c r="J174" s="30">
        <v>2214</v>
      </c>
      <c r="K174" s="30">
        <v>2261</v>
      </c>
      <c r="L174" s="30">
        <v>2295</v>
      </c>
      <c r="N174" s="764" t="s">
        <v>7198</v>
      </c>
    </row>
    <row r="175" spans="1:14">
      <c r="A175" s="764" t="s">
        <v>7023</v>
      </c>
      <c r="B175" s="764" t="s">
        <v>2961</v>
      </c>
      <c r="C175" s="4" t="s">
        <v>10558</v>
      </c>
      <c r="D175" s="767">
        <v>2044</v>
      </c>
      <c r="E175" s="767">
        <v>1992</v>
      </c>
      <c r="F175" s="767">
        <v>2050</v>
      </c>
      <c r="G175" s="31">
        <v>2076</v>
      </c>
      <c r="H175" s="31">
        <v>2085</v>
      </c>
      <c r="I175" s="31">
        <v>2052</v>
      </c>
      <c r="J175" s="31">
        <v>2052</v>
      </c>
      <c r="K175" s="31">
        <v>2136</v>
      </c>
      <c r="L175" s="31">
        <v>2315</v>
      </c>
      <c r="N175" s="764" t="s">
        <v>7198</v>
      </c>
    </row>
    <row r="176" spans="1:14">
      <c r="A176" s="764" t="s">
        <v>7025</v>
      </c>
      <c r="B176" s="764" t="s">
        <v>2962</v>
      </c>
      <c r="C176" s="4" t="s">
        <v>10559</v>
      </c>
      <c r="D176" s="767">
        <v>2147</v>
      </c>
      <c r="E176" s="767">
        <v>2139</v>
      </c>
      <c r="F176" s="767">
        <v>2196</v>
      </c>
      <c r="G176" s="31">
        <v>2199</v>
      </c>
      <c r="H176" s="31">
        <v>2128</v>
      </c>
      <c r="I176" s="31">
        <v>2122</v>
      </c>
      <c r="J176" s="31">
        <v>2152</v>
      </c>
      <c r="K176" s="31">
        <v>2205</v>
      </c>
      <c r="L176" s="31">
        <v>2270</v>
      </c>
      <c r="N176" s="764" t="s">
        <v>7198</v>
      </c>
    </row>
    <row r="177" spans="1:14">
      <c r="A177" s="764" t="s">
        <v>7570</v>
      </c>
      <c r="B177" s="764" t="s">
        <v>4677</v>
      </c>
      <c r="C177" s="4" t="s">
        <v>10560</v>
      </c>
      <c r="D177" s="767">
        <v>2023</v>
      </c>
      <c r="E177" s="767">
        <v>1963</v>
      </c>
      <c r="F177" s="767">
        <v>2035</v>
      </c>
      <c r="G177" s="31">
        <v>2041</v>
      </c>
      <c r="H177" s="31">
        <v>1984</v>
      </c>
      <c r="I177" s="31">
        <v>1991</v>
      </c>
      <c r="J177" s="31">
        <v>2048</v>
      </c>
      <c r="K177" s="31">
        <v>2092</v>
      </c>
      <c r="L177" s="31">
        <v>2094</v>
      </c>
      <c r="N177" s="764" t="s">
        <v>7198</v>
      </c>
    </row>
    <row r="178" spans="1:14">
      <c r="A178" s="764" t="s">
        <v>7572</v>
      </c>
      <c r="B178" s="764" t="s">
        <v>8252</v>
      </c>
      <c r="C178" s="4" t="s">
        <v>10561</v>
      </c>
      <c r="D178" s="767">
        <v>1938</v>
      </c>
      <c r="E178" s="767">
        <v>1913</v>
      </c>
      <c r="F178" s="767">
        <v>1963</v>
      </c>
      <c r="G178" s="31">
        <v>2001</v>
      </c>
      <c r="H178" s="31">
        <v>1997</v>
      </c>
      <c r="I178" s="31">
        <v>1931</v>
      </c>
      <c r="J178" s="31">
        <v>2007</v>
      </c>
      <c r="K178" s="31">
        <v>2225</v>
      </c>
      <c r="L178" s="31">
        <v>2322</v>
      </c>
      <c r="N178" s="764" t="s">
        <v>7198</v>
      </c>
    </row>
    <row r="179" spans="1:14">
      <c r="A179" s="764" t="s">
        <v>7573</v>
      </c>
      <c r="B179" s="764" t="s">
        <v>8253</v>
      </c>
      <c r="C179" s="4" t="s">
        <v>10562</v>
      </c>
      <c r="D179" s="778">
        <v>4455</v>
      </c>
      <c r="E179" s="778">
        <v>4555</v>
      </c>
      <c r="F179" s="778">
        <v>4585</v>
      </c>
      <c r="G179" s="31">
        <v>4612</v>
      </c>
      <c r="H179" s="31">
        <v>4578</v>
      </c>
      <c r="I179" s="31">
        <v>4504</v>
      </c>
      <c r="J179" s="31">
        <v>4576</v>
      </c>
      <c r="K179" s="31">
        <v>4744</v>
      </c>
      <c r="L179" s="31">
        <v>4821</v>
      </c>
      <c r="N179" s="764" t="s">
        <v>7200</v>
      </c>
    </row>
    <row r="180" spans="1:14">
      <c r="A180" s="764" t="s">
        <v>5798</v>
      </c>
      <c r="B180" s="764" t="s">
        <v>8254</v>
      </c>
      <c r="C180" s="4" t="s">
        <v>10563</v>
      </c>
      <c r="D180" s="767">
        <v>3582</v>
      </c>
      <c r="E180" s="767">
        <v>3543</v>
      </c>
      <c r="F180" s="767">
        <v>3531</v>
      </c>
      <c r="G180" s="31">
        <v>3538</v>
      </c>
      <c r="H180" s="31">
        <v>3470</v>
      </c>
      <c r="I180" s="31">
        <v>3449</v>
      </c>
      <c r="J180" s="31">
        <v>3601</v>
      </c>
      <c r="K180" s="31">
        <v>3636</v>
      </c>
      <c r="L180" s="31">
        <v>3589</v>
      </c>
      <c r="N180" s="764" t="s">
        <v>7198</v>
      </c>
    </row>
    <row r="181" spans="1:14">
      <c r="A181" s="764" t="s">
        <v>5799</v>
      </c>
      <c r="B181" s="764" t="s">
        <v>8255</v>
      </c>
      <c r="C181" s="4" t="s">
        <v>10564</v>
      </c>
      <c r="D181" s="767">
        <v>4294</v>
      </c>
      <c r="E181" s="767">
        <v>4287</v>
      </c>
      <c r="F181" s="767">
        <v>4308</v>
      </c>
      <c r="G181" s="31">
        <v>4330</v>
      </c>
      <c r="H181" s="31">
        <v>4220</v>
      </c>
      <c r="I181" s="31">
        <v>4111</v>
      </c>
      <c r="J181" s="31">
        <v>4230</v>
      </c>
      <c r="K181" s="31">
        <v>4387</v>
      </c>
      <c r="L181" s="31">
        <v>4579</v>
      </c>
      <c r="N181" s="764" t="s">
        <v>7198</v>
      </c>
    </row>
    <row r="182" spans="1:14">
      <c r="A182" s="764" t="s">
        <v>5801</v>
      </c>
      <c r="B182" s="764" t="s">
        <v>8256</v>
      </c>
      <c r="C182" s="4" t="s">
        <v>10565</v>
      </c>
      <c r="D182" s="767">
        <v>2169</v>
      </c>
      <c r="E182" s="767">
        <v>2183</v>
      </c>
      <c r="F182" s="767">
        <v>2180</v>
      </c>
      <c r="G182" s="31">
        <v>2228</v>
      </c>
      <c r="H182" s="31">
        <v>2292</v>
      </c>
      <c r="I182" s="31">
        <v>2238</v>
      </c>
      <c r="J182" s="31">
        <v>2370</v>
      </c>
      <c r="K182" s="31">
        <v>2566</v>
      </c>
      <c r="L182" s="31">
        <v>2702</v>
      </c>
      <c r="N182" s="764" t="s">
        <v>7198</v>
      </c>
    </row>
    <row r="183" spans="1:14">
      <c r="A183" s="764" t="s">
        <v>5927</v>
      </c>
      <c r="B183" s="764" t="s">
        <v>8257</v>
      </c>
      <c r="C183" s="4" t="s">
        <v>10566</v>
      </c>
      <c r="D183" s="767">
        <v>1850</v>
      </c>
      <c r="E183" s="767">
        <v>1860</v>
      </c>
      <c r="F183" s="767">
        <v>1923</v>
      </c>
      <c r="G183" s="31">
        <v>1970</v>
      </c>
      <c r="H183" s="31">
        <v>1950</v>
      </c>
      <c r="I183" s="31">
        <v>1922</v>
      </c>
      <c r="J183" s="31">
        <v>1946</v>
      </c>
      <c r="K183" s="31">
        <v>2002</v>
      </c>
      <c r="L183" s="31">
        <v>1997</v>
      </c>
      <c r="N183" s="764" t="s">
        <v>7198</v>
      </c>
    </row>
    <row r="184" spans="1:14">
      <c r="A184" s="764" t="s">
        <v>5929</v>
      </c>
      <c r="B184" s="764" t="s">
        <v>8258</v>
      </c>
      <c r="C184" s="4" t="s">
        <v>10567</v>
      </c>
      <c r="D184" s="767">
        <v>5682</v>
      </c>
      <c r="E184" s="767">
        <v>5667</v>
      </c>
      <c r="F184" s="767">
        <v>5667</v>
      </c>
      <c r="G184" s="31">
        <v>5818</v>
      </c>
      <c r="H184" s="31">
        <v>5923</v>
      </c>
      <c r="I184" s="31">
        <v>5767</v>
      </c>
      <c r="J184" s="31">
        <v>5836</v>
      </c>
      <c r="K184" s="31">
        <v>5997</v>
      </c>
      <c r="L184" s="31">
        <v>6086</v>
      </c>
      <c r="N184" s="764" t="s">
        <v>7201</v>
      </c>
    </row>
    <row r="185" spans="1:14">
      <c r="A185" s="764" t="s">
        <v>5931</v>
      </c>
      <c r="B185" s="764" t="s">
        <v>8259</v>
      </c>
      <c r="C185" s="4" t="s">
        <v>10568</v>
      </c>
      <c r="D185" s="767">
        <v>2290</v>
      </c>
      <c r="E185" s="767">
        <v>2259</v>
      </c>
      <c r="F185" s="767">
        <v>2289</v>
      </c>
      <c r="G185" s="31">
        <v>2299</v>
      </c>
      <c r="H185" s="31">
        <v>2322</v>
      </c>
      <c r="I185" s="31">
        <v>2294</v>
      </c>
      <c r="J185" s="31">
        <v>2309</v>
      </c>
      <c r="K185" s="31">
        <v>2360</v>
      </c>
      <c r="L185" s="31">
        <v>2346</v>
      </c>
      <c r="N185" s="764" t="s">
        <v>7198</v>
      </c>
    </row>
    <row r="186" spans="1:14">
      <c r="A186" s="764" t="s">
        <v>5933</v>
      </c>
      <c r="B186" s="764" t="s">
        <v>8260</v>
      </c>
      <c r="C186" s="4" t="s">
        <v>10569</v>
      </c>
      <c r="D186" s="767">
        <v>1934</v>
      </c>
      <c r="E186" s="767">
        <v>1897</v>
      </c>
      <c r="F186" s="767">
        <v>1907</v>
      </c>
      <c r="G186" s="31">
        <v>1896</v>
      </c>
      <c r="H186" s="31">
        <v>1909</v>
      </c>
      <c r="I186" s="31">
        <v>1873</v>
      </c>
      <c r="J186" s="31">
        <v>1913</v>
      </c>
      <c r="K186" s="31">
        <v>1952</v>
      </c>
      <c r="L186" s="31">
        <v>1958</v>
      </c>
      <c r="N186" s="764" t="s">
        <v>7201</v>
      </c>
    </row>
    <row r="187" spans="1:14">
      <c r="A187" s="764" t="s">
        <v>7897</v>
      </c>
      <c r="B187" s="764" t="s">
        <v>8261</v>
      </c>
      <c r="C187" s="4" t="s">
        <v>10570</v>
      </c>
      <c r="D187" s="767">
        <v>2203</v>
      </c>
      <c r="E187" s="767">
        <v>2150</v>
      </c>
      <c r="F187" s="767">
        <v>2168</v>
      </c>
      <c r="G187" s="31">
        <v>2179</v>
      </c>
      <c r="H187" s="31">
        <v>2159</v>
      </c>
      <c r="I187" s="31">
        <v>2141</v>
      </c>
      <c r="J187" s="31">
        <v>2221</v>
      </c>
      <c r="K187" s="31">
        <v>2301</v>
      </c>
      <c r="L187" s="31">
        <v>2307</v>
      </c>
      <c r="N187" s="764" t="s">
        <v>7198</v>
      </c>
    </row>
    <row r="188" spans="1:14">
      <c r="A188" s="764" t="s">
        <v>7898</v>
      </c>
      <c r="B188" s="764" t="s">
        <v>8262</v>
      </c>
      <c r="C188" s="4" t="s">
        <v>10571</v>
      </c>
      <c r="D188" s="767">
        <v>2151</v>
      </c>
      <c r="E188" s="767">
        <v>2181</v>
      </c>
      <c r="F188" s="767">
        <v>2203</v>
      </c>
      <c r="G188" s="31">
        <v>2209</v>
      </c>
      <c r="H188" s="31">
        <v>2221</v>
      </c>
      <c r="I188" s="31">
        <v>2187</v>
      </c>
      <c r="J188" s="31">
        <v>2197</v>
      </c>
      <c r="K188" s="31">
        <v>2241</v>
      </c>
      <c r="L188" s="31">
        <v>2254</v>
      </c>
      <c r="N188" s="764" t="s">
        <v>7198</v>
      </c>
    </row>
    <row r="189" spans="1:14">
      <c r="D189" s="767"/>
      <c r="E189" s="767"/>
      <c r="F189" s="767"/>
      <c r="G189" s="767"/>
      <c r="H189" s="767"/>
      <c r="I189" s="767"/>
      <c r="J189" s="767"/>
      <c r="K189" s="767"/>
      <c r="L189" s="767"/>
    </row>
    <row r="190" spans="1:14">
      <c r="A190" s="764" t="s">
        <v>7198</v>
      </c>
      <c r="D190" s="768">
        <f t="shared" ref="D190:I190" si="90">SUM(D157:D159)+SUM(D161:D169)+SUM(D172:D174)+SUM(D175:D178)+SUM(D180:D183)+D185+D187+D188</f>
        <v>71858</v>
      </c>
      <c r="E190" s="768">
        <f t="shared" si="90"/>
        <v>71660</v>
      </c>
      <c r="F190" s="768">
        <f t="shared" si="90"/>
        <v>72641</v>
      </c>
      <c r="G190" s="768">
        <f t="shared" si="90"/>
        <v>73227</v>
      </c>
      <c r="H190" s="768">
        <f t="shared" si="90"/>
        <v>72649</v>
      </c>
      <c r="I190" s="768">
        <f t="shared" si="90"/>
        <v>71461</v>
      </c>
      <c r="J190" s="768">
        <f t="shared" ref="J190:K190" si="91">SUM(J157:J159)+SUM(J161:J169)+SUM(J172:J174)+SUM(J175:J178)+SUM(J180:J183)+J185+J187+J188</f>
        <v>73420</v>
      </c>
      <c r="K190" s="768">
        <f t="shared" si="91"/>
        <v>75378</v>
      </c>
      <c r="L190" s="768">
        <f t="shared" ref="L190" si="92">SUM(L157:L159)+SUM(L161:L169)+SUM(L172:L174)+SUM(L175:L178)+SUM(L180:L183)+L185+L187+L188</f>
        <v>75796</v>
      </c>
    </row>
    <row r="191" spans="1:14">
      <c r="A191" s="764" t="s">
        <v>4597</v>
      </c>
      <c r="D191" s="768">
        <f t="shared" ref="D191:I191" si="93">D179</f>
        <v>4455</v>
      </c>
      <c r="E191" s="768">
        <f t="shared" si="93"/>
        <v>4555</v>
      </c>
      <c r="F191" s="768">
        <f t="shared" si="93"/>
        <v>4585</v>
      </c>
      <c r="G191" s="768">
        <f t="shared" si="93"/>
        <v>4612</v>
      </c>
      <c r="H191" s="768">
        <f t="shared" si="93"/>
        <v>4578</v>
      </c>
      <c r="I191" s="768">
        <f t="shared" si="93"/>
        <v>4504</v>
      </c>
      <c r="J191" s="768">
        <f t="shared" ref="J191:K191" si="94">J179</f>
        <v>4576</v>
      </c>
      <c r="K191" s="768">
        <f t="shared" si="94"/>
        <v>4744</v>
      </c>
      <c r="L191" s="768">
        <f t="shared" ref="L191" si="95">L179</f>
        <v>4821</v>
      </c>
    </row>
    <row r="192" spans="1:14">
      <c r="A192" s="764" t="s">
        <v>6380</v>
      </c>
      <c r="D192" s="768">
        <f t="shared" ref="D192:I192" si="96">D160+D170+D171+D184+D186</f>
        <v>13839</v>
      </c>
      <c r="E192" s="768">
        <f t="shared" si="96"/>
        <v>13781</v>
      </c>
      <c r="F192" s="768">
        <f t="shared" si="96"/>
        <v>13869</v>
      </c>
      <c r="G192" s="768">
        <f t="shared" si="96"/>
        <v>14099</v>
      </c>
      <c r="H192" s="768">
        <f t="shared" si="96"/>
        <v>14155</v>
      </c>
      <c r="I192" s="768">
        <f t="shared" si="96"/>
        <v>13856</v>
      </c>
      <c r="J192" s="768">
        <f t="shared" ref="J192:K192" si="97">J160+J170+J171+J184+J186</f>
        <v>14068</v>
      </c>
      <c r="K192" s="768">
        <f t="shared" si="97"/>
        <v>14357</v>
      </c>
      <c r="L192" s="768">
        <f t="shared" ref="L192" si="98">L160+L170+L171+L184+L186</f>
        <v>14406</v>
      </c>
    </row>
    <row r="193" spans="1:14">
      <c r="A193" s="764"/>
      <c r="D193" s="768"/>
      <c r="E193" s="768"/>
      <c r="F193" s="768"/>
      <c r="G193" s="768"/>
      <c r="H193" s="768"/>
      <c r="I193" s="768"/>
      <c r="J193" s="768"/>
      <c r="K193" s="768"/>
      <c r="L193" s="768"/>
    </row>
    <row r="194" spans="1:14">
      <c r="A194" s="764" t="s">
        <v>8263</v>
      </c>
      <c r="D194" s="768"/>
      <c r="E194" s="768"/>
      <c r="F194" s="768"/>
      <c r="G194" s="768"/>
      <c r="H194" s="768"/>
      <c r="I194" s="768"/>
      <c r="J194" s="768"/>
      <c r="K194" s="768"/>
      <c r="L194" s="768"/>
    </row>
    <row r="195" spans="1:14">
      <c r="A195" s="764"/>
      <c r="B195" s="764"/>
      <c r="D195" s="777"/>
      <c r="E195" s="777"/>
      <c r="F195" s="777"/>
      <c r="G195" s="777"/>
      <c r="H195" s="777"/>
      <c r="I195" s="777"/>
      <c r="J195" s="777"/>
      <c r="K195" s="777"/>
      <c r="L195" s="777"/>
    </row>
    <row r="196" spans="1:14">
      <c r="A196" s="764"/>
      <c r="B196" s="764"/>
      <c r="D196" s="777"/>
      <c r="E196" s="777"/>
      <c r="F196" s="777"/>
      <c r="G196" s="777"/>
      <c r="H196" s="777"/>
      <c r="I196" s="777"/>
      <c r="J196" s="777"/>
      <c r="K196" s="777"/>
      <c r="L196" s="777"/>
    </row>
    <row r="197" spans="1:14">
      <c r="E197" s="42" t="s">
        <v>2303</v>
      </c>
      <c r="F197" s="42"/>
      <c r="G197" s="42"/>
      <c r="H197" s="42"/>
      <c r="I197" s="42"/>
      <c r="J197" s="42"/>
      <c r="K197" s="42"/>
      <c r="L197" s="42"/>
      <c r="M197" s="65"/>
      <c r="N197" s="67" t="s">
        <v>13319</v>
      </c>
    </row>
    <row r="198" spans="1:14">
      <c r="D198" s="765">
        <v>2010</v>
      </c>
      <c r="E198" s="765">
        <v>2011</v>
      </c>
      <c r="F198" s="765">
        <v>2012</v>
      </c>
      <c r="G198" s="765">
        <v>2013</v>
      </c>
      <c r="H198" s="765">
        <v>2014</v>
      </c>
      <c r="I198" s="765">
        <v>2015</v>
      </c>
      <c r="J198" s="765">
        <v>2016</v>
      </c>
      <c r="K198" s="765">
        <v>2017</v>
      </c>
      <c r="L198" s="765">
        <v>2018</v>
      </c>
      <c r="N198" s="67" t="s">
        <v>2304</v>
      </c>
    </row>
    <row r="199" spans="1:14">
      <c r="A199" s="764" t="s">
        <v>8264</v>
      </c>
      <c r="D199" s="768">
        <f t="shared" ref="D199:J199" si="99">SUM(D200:D211)</f>
        <v>76774</v>
      </c>
      <c r="E199" s="768">
        <f t="shared" si="99"/>
        <v>77800</v>
      </c>
      <c r="F199" s="768">
        <f t="shared" si="99"/>
        <v>77635</v>
      </c>
      <c r="G199" s="768">
        <f t="shared" si="99"/>
        <v>77314</v>
      </c>
      <c r="H199" s="768">
        <f t="shared" si="99"/>
        <v>76831</v>
      </c>
      <c r="I199" s="768">
        <f t="shared" si="99"/>
        <v>77206</v>
      </c>
      <c r="J199" s="768">
        <f t="shared" si="99"/>
        <v>75226</v>
      </c>
      <c r="K199" s="768">
        <f t="shared" ref="K199:L199" si="100">SUM(K200:K211)</f>
        <v>77342</v>
      </c>
      <c r="L199" s="768">
        <f t="shared" si="100"/>
        <v>77231</v>
      </c>
    </row>
    <row r="200" spans="1:14">
      <c r="A200" s="764" t="s">
        <v>6957</v>
      </c>
      <c r="B200" s="764" t="s">
        <v>15664</v>
      </c>
      <c r="C200" s="4" t="s">
        <v>15663</v>
      </c>
      <c r="D200" s="767">
        <v>76774</v>
      </c>
      <c r="E200" s="767">
        <v>77800</v>
      </c>
      <c r="F200" s="767">
        <v>77635</v>
      </c>
      <c r="G200" s="30">
        <v>77314</v>
      </c>
      <c r="H200" s="30">
        <v>76831</v>
      </c>
      <c r="I200" s="30">
        <v>77206</v>
      </c>
      <c r="J200" s="30">
        <v>6559</v>
      </c>
      <c r="K200" s="30">
        <v>6684</v>
      </c>
      <c r="L200" s="30">
        <v>6643</v>
      </c>
      <c r="N200" s="764" t="s">
        <v>7203</v>
      </c>
    </row>
    <row r="201" spans="1:14">
      <c r="A201" s="764" t="s">
        <v>6959</v>
      </c>
      <c r="B201" s="764" t="s">
        <v>15665</v>
      </c>
      <c r="C201" s="4" t="s">
        <v>15673</v>
      </c>
      <c r="D201" s="767">
        <v>0</v>
      </c>
      <c r="E201" s="767">
        <v>0</v>
      </c>
      <c r="F201" s="767">
        <v>0</v>
      </c>
      <c r="G201" s="30">
        <v>0</v>
      </c>
      <c r="H201" s="30">
        <v>0</v>
      </c>
      <c r="I201" s="30">
        <v>0</v>
      </c>
      <c r="J201" s="30">
        <v>6437</v>
      </c>
      <c r="K201" s="30">
        <v>6599</v>
      </c>
      <c r="L201" s="30">
        <v>6518</v>
      </c>
      <c r="N201" s="764" t="s">
        <v>7203</v>
      </c>
    </row>
    <row r="202" spans="1:14">
      <c r="A202" s="764" t="s">
        <v>6961</v>
      </c>
      <c r="B202" s="764" t="s">
        <v>15666</v>
      </c>
      <c r="C202" s="4" t="s">
        <v>15674</v>
      </c>
      <c r="D202" s="767">
        <v>0</v>
      </c>
      <c r="E202" s="767">
        <v>0</v>
      </c>
      <c r="F202" s="767">
        <v>0</v>
      </c>
      <c r="G202" s="30">
        <v>0</v>
      </c>
      <c r="H202" s="30">
        <v>0</v>
      </c>
      <c r="I202" s="30">
        <v>0</v>
      </c>
      <c r="J202" s="30">
        <v>6788</v>
      </c>
      <c r="K202" s="30">
        <v>7039</v>
      </c>
      <c r="L202" s="30">
        <v>7034</v>
      </c>
      <c r="N202" s="764" t="s">
        <v>7203</v>
      </c>
    </row>
    <row r="203" spans="1:14">
      <c r="A203" s="764" t="s">
        <v>6963</v>
      </c>
      <c r="B203" s="764" t="s">
        <v>15667</v>
      </c>
      <c r="C203" s="4" t="s">
        <v>15675</v>
      </c>
      <c r="D203" s="767">
        <v>0</v>
      </c>
      <c r="E203" s="767">
        <v>0</v>
      </c>
      <c r="F203" s="767">
        <v>0</v>
      </c>
      <c r="G203" s="30">
        <v>0</v>
      </c>
      <c r="H203" s="30">
        <v>0</v>
      </c>
      <c r="I203" s="30">
        <v>0</v>
      </c>
      <c r="J203" s="30">
        <v>6569</v>
      </c>
      <c r="K203" s="30">
        <v>6744</v>
      </c>
      <c r="L203" s="30">
        <v>6745</v>
      </c>
      <c r="N203" s="764" t="s">
        <v>7203</v>
      </c>
    </row>
    <row r="204" spans="1:14">
      <c r="A204" s="764" t="s">
        <v>6965</v>
      </c>
      <c r="B204" s="764" t="s">
        <v>8265</v>
      </c>
      <c r="C204" s="4" t="s">
        <v>15676</v>
      </c>
      <c r="D204" s="767">
        <v>0</v>
      </c>
      <c r="E204" s="767">
        <v>0</v>
      </c>
      <c r="F204" s="767">
        <v>0</v>
      </c>
      <c r="G204" s="30">
        <v>0</v>
      </c>
      <c r="H204" s="30">
        <v>0</v>
      </c>
      <c r="I204" s="30">
        <v>0</v>
      </c>
      <c r="J204" s="30">
        <v>6424</v>
      </c>
      <c r="K204" s="30">
        <v>6650</v>
      </c>
      <c r="L204" s="30">
        <v>6648</v>
      </c>
      <c r="N204" s="764" t="s">
        <v>7203</v>
      </c>
    </row>
    <row r="205" spans="1:14">
      <c r="A205" s="764" t="s">
        <v>6997</v>
      </c>
      <c r="B205" s="764" t="s">
        <v>15668</v>
      </c>
      <c r="C205" s="4" t="s">
        <v>15677</v>
      </c>
      <c r="D205" s="767">
        <v>0</v>
      </c>
      <c r="E205" s="767">
        <v>0</v>
      </c>
      <c r="F205" s="767">
        <v>0</v>
      </c>
      <c r="G205" s="30">
        <v>0</v>
      </c>
      <c r="H205" s="30">
        <v>0</v>
      </c>
      <c r="I205" s="30">
        <v>0</v>
      </c>
      <c r="J205" s="30">
        <v>6807</v>
      </c>
      <c r="K205" s="30">
        <v>7151</v>
      </c>
      <c r="L205" s="30">
        <v>7351</v>
      </c>
      <c r="N205" s="764" t="s">
        <v>7203</v>
      </c>
    </row>
    <row r="206" spans="1:14">
      <c r="A206" s="764" t="s">
        <v>6999</v>
      </c>
      <c r="B206" s="764" t="s">
        <v>15669</v>
      </c>
      <c r="C206" s="4" t="s">
        <v>15678</v>
      </c>
      <c r="D206" s="767">
        <v>0</v>
      </c>
      <c r="E206" s="767">
        <v>0</v>
      </c>
      <c r="F206" s="767">
        <v>0</v>
      </c>
      <c r="G206" s="30">
        <v>0</v>
      </c>
      <c r="H206" s="30">
        <v>0</v>
      </c>
      <c r="I206" s="30">
        <v>0</v>
      </c>
      <c r="J206" s="30">
        <v>7591</v>
      </c>
      <c r="K206" s="30">
        <v>7736</v>
      </c>
      <c r="L206" s="30">
        <v>7625</v>
      </c>
      <c r="N206" s="764" t="s">
        <v>7203</v>
      </c>
    </row>
    <row r="207" spans="1:14">
      <c r="A207" s="764" t="s">
        <v>7001</v>
      </c>
      <c r="B207" s="764" t="s">
        <v>8266</v>
      </c>
      <c r="C207" s="4" t="s">
        <v>15679</v>
      </c>
      <c r="D207" s="767">
        <v>0</v>
      </c>
      <c r="E207" s="767">
        <v>0</v>
      </c>
      <c r="F207" s="767">
        <v>0</v>
      </c>
      <c r="G207" s="30">
        <v>0</v>
      </c>
      <c r="H207" s="30">
        <v>0</v>
      </c>
      <c r="I207" s="30">
        <v>0</v>
      </c>
      <c r="J207" s="30">
        <v>2189</v>
      </c>
      <c r="K207" s="30">
        <v>2232</v>
      </c>
      <c r="L207" s="30">
        <v>2214</v>
      </c>
      <c r="N207" s="764" t="s">
        <v>7203</v>
      </c>
    </row>
    <row r="208" spans="1:14">
      <c r="A208" s="764" t="s">
        <v>7003</v>
      </c>
      <c r="B208" s="764" t="s">
        <v>8267</v>
      </c>
      <c r="C208" s="4" t="s">
        <v>15680</v>
      </c>
      <c r="D208" s="767">
        <v>0</v>
      </c>
      <c r="E208" s="767">
        <v>0</v>
      </c>
      <c r="F208" s="767">
        <v>0</v>
      </c>
      <c r="G208" s="30">
        <v>0</v>
      </c>
      <c r="H208" s="30">
        <v>0</v>
      </c>
      <c r="I208" s="30">
        <v>0</v>
      </c>
      <c r="J208" s="30">
        <v>7246</v>
      </c>
      <c r="K208" s="30">
        <v>7393</v>
      </c>
      <c r="L208" s="30">
        <v>7405</v>
      </c>
      <c r="N208" s="764" t="s">
        <v>7203</v>
      </c>
    </row>
    <row r="209" spans="1:15">
      <c r="A209" s="764" t="s">
        <v>7005</v>
      </c>
      <c r="B209" s="764" t="s">
        <v>15670</v>
      </c>
      <c r="C209" s="4" t="s">
        <v>15681</v>
      </c>
      <c r="D209" s="767">
        <v>0</v>
      </c>
      <c r="E209" s="767">
        <v>0</v>
      </c>
      <c r="F209" s="767">
        <v>0</v>
      </c>
      <c r="G209" s="30">
        <v>0</v>
      </c>
      <c r="H209" s="30">
        <v>0</v>
      </c>
      <c r="I209" s="30">
        <v>0</v>
      </c>
      <c r="J209" s="30">
        <v>7295</v>
      </c>
      <c r="K209" s="30">
        <v>7456</v>
      </c>
      <c r="L209" s="30">
        <v>7386</v>
      </c>
      <c r="N209" s="764" t="s">
        <v>7203</v>
      </c>
    </row>
    <row r="210" spans="1:15">
      <c r="A210" s="764" t="s">
        <v>7007</v>
      </c>
      <c r="B210" s="764" t="s">
        <v>15671</v>
      </c>
      <c r="C210" s="4" t="s">
        <v>15682</v>
      </c>
      <c r="D210" s="767">
        <v>0</v>
      </c>
      <c r="E210" s="767">
        <v>0</v>
      </c>
      <c r="F210" s="767">
        <v>0</v>
      </c>
      <c r="G210" s="30">
        <v>0</v>
      </c>
      <c r="H210" s="30">
        <v>0</v>
      </c>
      <c r="I210" s="30">
        <v>0</v>
      </c>
      <c r="J210" s="30">
        <v>4277</v>
      </c>
      <c r="K210" s="30">
        <v>4407</v>
      </c>
      <c r="L210" s="30">
        <v>4381</v>
      </c>
      <c r="N210" s="764" t="s">
        <v>7203</v>
      </c>
    </row>
    <row r="211" spans="1:15">
      <c r="A211" s="764" t="s">
        <v>7009</v>
      </c>
      <c r="B211" s="764" t="s">
        <v>15672</v>
      </c>
      <c r="C211" s="4" t="s">
        <v>15683</v>
      </c>
      <c r="D211" s="767">
        <v>0</v>
      </c>
      <c r="E211" s="767">
        <v>0</v>
      </c>
      <c r="F211" s="767">
        <v>0</v>
      </c>
      <c r="G211" s="30">
        <v>0</v>
      </c>
      <c r="H211" s="30">
        <v>0</v>
      </c>
      <c r="I211" s="30">
        <v>0</v>
      </c>
      <c r="J211" s="30">
        <v>7044</v>
      </c>
      <c r="K211" s="30">
        <v>7251</v>
      </c>
      <c r="L211" s="30">
        <v>7281</v>
      </c>
      <c r="N211" s="764" t="s">
        <v>7203</v>
      </c>
    </row>
    <row r="212" spans="1:15">
      <c r="D212" s="767"/>
      <c r="E212" s="767"/>
      <c r="F212" s="767"/>
      <c r="G212" s="767"/>
      <c r="H212" s="767"/>
      <c r="I212" s="767"/>
      <c r="J212" s="767"/>
      <c r="K212" s="767"/>
      <c r="L212" s="767"/>
    </row>
    <row r="213" spans="1:15">
      <c r="A213" s="764" t="s">
        <v>7203</v>
      </c>
      <c r="D213" s="768">
        <f t="shared" ref="D213:L213" si="101">SUM(D200:D211)</f>
        <v>76774</v>
      </c>
      <c r="E213" s="768">
        <f t="shared" si="101"/>
        <v>77800</v>
      </c>
      <c r="F213" s="768">
        <f t="shared" si="101"/>
        <v>77635</v>
      </c>
      <c r="G213" s="768">
        <f t="shared" si="101"/>
        <v>77314</v>
      </c>
      <c r="H213" s="768">
        <f t="shared" si="101"/>
        <v>76831</v>
      </c>
      <c r="I213" s="768">
        <f t="shared" si="101"/>
        <v>77206</v>
      </c>
      <c r="J213" s="768">
        <f t="shared" si="101"/>
        <v>75226</v>
      </c>
      <c r="K213" s="768">
        <f t="shared" si="101"/>
        <v>77342</v>
      </c>
      <c r="L213" s="768">
        <f t="shared" si="101"/>
        <v>77231</v>
      </c>
    </row>
    <row r="214" spans="1:15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1:15">
      <c r="A215" s="765" t="s">
        <v>15684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</sheetData>
  <sortState ref="O200:Q211">
    <sortCondition ref="O200"/>
  </sortState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2" orientation="portrait" horizontalDpi="300" verticalDpi="300" r:id="rId1"/>
  <headerFooter alignWithMargins="0">
    <oddFooter>&amp;C&amp;"Times New Roman,Regular"&amp;8&amp;P of &amp;N</oddFooter>
  </headerFooter>
  <rowBreaks count="6" manualBreakCount="6">
    <brk id="37" max="10" man="1"/>
    <brk id="76" max="10" man="1"/>
    <brk id="107" max="10" man="1"/>
    <brk id="128" max="10" man="1"/>
    <brk id="152" max="10" man="1"/>
    <brk id="195" max="10" man="1"/>
  </rowBreaks>
  <ignoredErrors>
    <ignoredError sqref="D73:K73 D41:K41 D125:K125 D111:K111 D149:K149 D132:K132 D190:D192 D156:K156 D213:K213 D199:K199 D104:K104 D80:K80 D3:D11 E190:E192 E3:E11 F190:F192 F3:F11 G190:G192 G3:G11 D12:D34 E12:E34 F12:F34 G12:G34 H190:H192 H3:H11 H12:H34 I190:I192 I3:I34 J190:J192 J3:J34 K190:K192 K3:K34 L3:L213" unlocked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51"/>
  <sheetViews>
    <sheetView showGridLines="0" zoomScaleNormal="100" workbookViewId="0"/>
  </sheetViews>
  <sheetFormatPr defaultColWidth="12.5703125" defaultRowHeight="15"/>
  <cols>
    <col min="1" max="1" width="4.7109375" style="135" customWidth="1"/>
    <col min="2" max="2" width="40.7109375" style="135" customWidth="1"/>
    <col min="3" max="3" width="11.5703125" style="135" customWidth="1"/>
    <col min="4" max="12" width="10" style="135" customWidth="1"/>
    <col min="13" max="13" width="2.28515625" style="135" customWidth="1"/>
    <col min="14" max="14" width="33.140625" style="135" customWidth="1"/>
    <col min="15" max="16384" width="12.5703125" style="135"/>
  </cols>
  <sheetData>
    <row r="1" spans="1:14">
      <c r="A1" s="134" t="s">
        <v>8847</v>
      </c>
      <c r="D1" s="136">
        <v>2010</v>
      </c>
      <c r="E1" s="136">
        <v>2011</v>
      </c>
      <c r="F1" s="136">
        <v>2012</v>
      </c>
      <c r="G1" s="136">
        <v>2013</v>
      </c>
      <c r="H1" s="136">
        <v>2014</v>
      </c>
      <c r="I1" s="136">
        <v>2015</v>
      </c>
      <c r="J1" s="136">
        <v>2016</v>
      </c>
      <c r="K1" s="136">
        <v>2017</v>
      </c>
      <c r="L1" s="136">
        <v>2018</v>
      </c>
    </row>
    <row r="3" spans="1:14">
      <c r="A3" s="134" t="s">
        <v>4732</v>
      </c>
      <c r="D3" s="143">
        <f t="shared" ref="D3:I3" si="0">SUM(D17:D24)+SUM(D26:D30)+SUM(D32:D34)+SUM(D36:D40)+SUM(D42:D45)</f>
        <v>148810</v>
      </c>
      <c r="E3" s="143">
        <f t="shared" si="0"/>
        <v>150781</v>
      </c>
      <c r="F3" s="143">
        <f t="shared" si="0"/>
        <v>152510</v>
      </c>
      <c r="G3" s="143">
        <f t="shared" si="0"/>
        <v>152053</v>
      </c>
      <c r="H3" s="143">
        <f t="shared" si="0"/>
        <v>153430</v>
      </c>
      <c r="I3" s="143">
        <f t="shared" si="0"/>
        <v>143140</v>
      </c>
      <c r="J3" s="143">
        <f>SUM(J17:J24)+SUM(J26:J30)+SUM(J32:J34)+SUM(J36:J40)+SUM(J42:J45)</f>
        <v>147364</v>
      </c>
      <c r="K3" s="143">
        <f>SUM(K17:K24)+SUM(K26:K30)+SUM(K32:K34)+SUM(K36:K40)+SUM(K42:K45)</f>
        <v>145153</v>
      </c>
      <c r="L3" s="143">
        <f>SUM(L17:L24)+SUM(L26:L30)+SUM(L32:L34)+SUM(L36:L40)+SUM(L42:L45)</f>
        <v>149670</v>
      </c>
    </row>
    <row r="4" spans="1:14">
      <c r="D4" s="138"/>
      <c r="E4" s="138"/>
      <c r="F4" s="138"/>
      <c r="G4" s="138"/>
      <c r="H4" s="138"/>
      <c r="I4" s="138"/>
      <c r="J4" s="138"/>
      <c r="K4" s="138"/>
      <c r="L4" s="138"/>
    </row>
    <row r="5" spans="1:14">
      <c r="A5" s="134" t="s">
        <v>3520</v>
      </c>
      <c r="D5" s="137">
        <f t="shared" ref="D5:I5" si="1">D3/2</f>
        <v>74405</v>
      </c>
      <c r="E5" s="137">
        <f t="shared" si="1"/>
        <v>75390.5</v>
      </c>
      <c r="F5" s="137">
        <f t="shared" si="1"/>
        <v>76255</v>
      </c>
      <c r="G5" s="137">
        <f t="shared" si="1"/>
        <v>76026.5</v>
      </c>
      <c r="H5" s="137">
        <f t="shared" si="1"/>
        <v>76715</v>
      </c>
      <c r="I5" s="137">
        <f t="shared" si="1"/>
        <v>71570</v>
      </c>
      <c r="J5" s="137">
        <f t="shared" ref="J5:K5" si="2">J3/2</f>
        <v>73682</v>
      </c>
      <c r="K5" s="137">
        <f t="shared" si="2"/>
        <v>72576.5</v>
      </c>
      <c r="L5" s="137">
        <f t="shared" ref="L5" si="3">L3/2</f>
        <v>74835</v>
      </c>
    </row>
    <row r="6" spans="1:14">
      <c r="D6" s="138"/>
      <c r="E6" s="138"/>
      <c r="F6" s="138"/>
      <c r="G6" s="138"/>
      <c r="H6" s="138"/>
      <c r="I6" s="138"/>
      <c r="J6" s="138"/>
      <c r="K6" s="138"/>
      <c r="L6" s="138"/>
    </row>
    <row r="7" spans="1:14">
      <c r="A7" s="134" t="s">
        <v>4733</v>
      </c>
      <c r="D7" s="137">
        <f t="shared" ref="D7:I7" si="4">D17+D19+D22+D23+D26+D28+D29+D32+D33+D37+D39+D44</f>
        <v>74013</v>
      </c>
      <c r="E7" s="137">
        <f t="shared" si="4"/>
        <v>75656</v>
      </c>
      <c r="F7" s="137">
        <f t="shared" si="4"/>
        <v>77027</v>
      </c>
      <c r="G7" s="137">
        <f t="shared" si="4"/>
        <v>76028</v>
      </c>
      <c r="H7" s="137">
        <f t="shared" si="4"/>
        <v>76753</v>
      </c>
      <c r="I7" s="137">
        <f t="shared" si="4"/>
        <v>68502</v>
      </c>
      <c r="J7" s="137">
        <f>J17+J19+J22+J23+J26+J28+J29+J32+J33+J37+J39+J44</f>
        <v>71586</v>
      </c>
      <c r="K7" s="137">
        <f>K17+K19+K22+K23+K26+K28+K29+K32+K33+K37+K39+K44</f>
        <v>71822</v>
      </c>
      <c r="L7" s="137">
        <f>L17+L19+L22+L23+L26+L28+L29+L32+L33+L37+L39+L44</f>
        <v>74181</v>
      </c>
      <c r="N7" s="134" t="s">
        <v>4734</v>
      </c>
    </row>
    <row r="8" spans="1:14">
      <c r="D8" s="140" t="s">
        <v>7367</v>
      </c>
      <c r="E8" s="140" t="s">
        <v>7367</v>
      </c>
      <c r="F8" s="140" t="s">
        <v>7367</v>
      </c>
      <c r="G8" s="140" t="s">
        <v>7367</v>
      </c>
      <c r="H8" s="140" t="s">
        <v>7367</v>
      </c>
      <c r="I8" s="140" t="s">
        <v>7367</v>
      </c>
      <c r="J8" s="140" t="s">
        <v>7367</v>
      </c>
      <c r="K8" s="140" t="s">
        <v>7367</v>
      </c>
      <c r="L8" s="140" t="s">
        <v>7367</v>
      </c>
    </row>
    <row r="9" spans="1:14">
      <c r="A9" s="134" t="s">
        <v>4735</v>
      </c>
      <c r="D9" s="143">
        <f t="shared" ref="D9:J9" si="5">D18+D20+D21+D24+D27+D30+D34+D36+D38+D40+D42+D43+D45</f>
        <v>74797</v>
      </c>
      <c r="E9" s="143">
        <f t="shared" si="5"/>
        <v>75125</v>
      </c>
      <c r="F9" s="143">
        <f t="shared" si="5"/>
        <v>75483</v>
      </c>
      <c r="G9" s="143">
        <f t="shared" si="5"/>
        <v>76025</v>
      </c>
      <c r="H9" s="143">
        <f t="shared" si="5"/>
        <v>76677</v>
      </c>
      <c r="I9" s="143">
        <f t="shared" si="5"/>
        <v>74638</v>
      </c>
      <c r="J9" s="143">
        <f t="shared" si="5"/>
        <v>75778</v>
      </c>
      <c r="K9" s="143">
        <f t="shared" ref="K9:L9" si="6">K18+K20+K21+K24+K27+K30+K34+K36+K38+K40+K42+K43+K45</f>
        <v>73331</v>
      </c>
      <c r="L9" s="143">
        <f t="shared" si="6"/>
        <v>75489</v>
      </c>
      <c r="N9" s="134" t="s">
        <v>4734</v>
      </c>
    </row>
    <row r="10" spans="1:14">
      <c r="D10" s="140" t="s">
        <v>7367</v>
      </c>
      <c r="E10" s="140" t="s">
        <v>7367</v>
      </c>
      <c r="F10" s="140" t="s">
        <v>7367</v>
      </c>
      <c r="G10" s="140" t="s">
        <v>7367</v>
      </c>
      <c r="H10" s="140" t="s">
        <v>7367</v>
      </c>
      <c r="I10" s="140" t="s">
        <v>7367</v>
      </c>
      <c r="J10" s="140" t="s">
        <v>7367</v>
      </c>
      <c r="K10" s="140" t="s">
        <v>7367</v>
      </c>
      <c r="L10" s="140" t="s">
        <v>7367</v>
      </c>
    </row>
    <row r="11" spans="1:14">
      <c r="A11" s="134" t="s">
        <v>8697</v>
      </c>
      <c r="D11" s="137">
        <f t="shared" ref="D11:I11" si="7">D7+D9</f>
        <v>148810</v>
      </c>
      <c r="E11" s="137">
        <f t="shared" si="7"/>
        <v>150781</v>
      </c>
      <c r="F11" s="137">
        <f t="shared" si="7"/>
        <v>152510</v>
      </c>
      <c r="G11" s="137">
        <f t="shared" si="7"/>
        <v>152053</v>
      </c>
      <c r="H11" s="137">
        <f t="shared" si="7"/>
        <v>153430</v>
      </c>
      <c r="I11" s="137">
        <f t="shared" si="7"/>
        <v>143140</v>
      </c>
      <c r="J11" s="137">
        <f t="shared" ref="J11:K11" si="8">J7+J9</f>
        <v>147364</v>
      </c>
      <c r="K11" s="137">
        <f t="shared" si="8"/>
        <v>145153</v>
      </c>
      <c r="L11" s="137">
        <f t="shared" ref="L11" si="9">L7+L9</f>
        <v>149670</v>
      </c>
    </row>
    <row r="12" spans="1:14">
      <c r="D12" s="138"/>
      <c r="E12" s="138"/>
      <c r="F12" s="138"/>
      <c r="G12" s="138"/>
      <c r="H12" s="138"/>
      <c r="I12" s="138"/>
      <c r="J12" s="138"/>
      <c r="K12" s="138"/>
      <c r="L12" s="138"/>
    </row>
    <row r="13" spans="1:14">
      <c r="A13" s="134" t="s">
        <v>8698</v>
      </c>
      <c r="D13" s="137">
        <f t="shared" ref="D13:I13" si="10">MAX(D7,D9)-MIN(D7,D9)</f>
        <v>784</v>
      </c>
      <c r="E13" s="137">
        <f t="shared" si="10"/>
        <v>531</v>
      </c>
      <c r="F13" s="137">
        <f t="shared" si="10"/>
        <v>1544</v>
      </c>
      <c r="G13" s="137">
        <f t="shared" si="10"/>
        <v>3</v>
      </c>
      <c r="H13" s="137">
        <f t="shared" si="10"/>
        <v>76</v>
      </c>
      <c r="I13" s="137">
        <f t="shared" si="10"/>
        <v>6136</v>
      </c>
      <c r="J13" s="137">
        <f t="shared" ref="J13:K13" si="11">MAX(J7,J9)-MIN(J7,J9)</f>
        <v>4192</v>
      </c>
      <c r="K13" s="137">
        <f t="shared" si="11"/>
        <v>1509</v>
      </c>
      <c r="L13" s="137">
        <f t="shared" ref="L13" si="12">MAX(L7,L9)-MIN(L7,L9)</f>
        <v>1308</v>
      </c>
    </row>
    <row r="14" spans="1:14">
      <c r="D14" s="138"/>
      <c r="E14" s="138"/>
      <c r="F14" s="138"/>
      <c r="G14" s="138"/>
      <c r="H14" s="138"/>
      <c r="I14" s="138"/>
      <c r="J14" s="138"/>
      <c r="K14" s="138"/>
      <c r="L14" s="138"/>
    </row>
    <row r="15" spans="1:14">
      <c r="A15" s="134" t="s">
        <v>8701</v>
      </c>
      <c r="D15" s="137">
        <f t="shared" ref="D15:I15" si="13">STDEVP(D7,D9)</f>
        <v>392</v>
      </c>
      <c r="E15" s="137">
        <f t="shared" si="13"/>
        <v>265.5</v>
      </c>
      <c r="F15" s="137">
        <f t="shared" si="13"/>
        <v>772</v>
      </c>
      <c r="G15" s="137">
        <f t="shared" si="13"/>
        <v>1.5</v>
      </c>
      <c r="H15" s="137">
        <f t="shared" si="13"/>
        <v>38</v>
      </c>
      <c r="I15" s="137">
        <f t="shared" si="13"/>
        <v>3068</v>
      </c>
      <c r="J15" s="137">
        <f t="shared" ref="J15:K15" si="14">STDEVP(J7,J9)</f>
        <v>2096</v>
      </c>
      <c r="K15" s="137">
        <f t="shared" si="14"/>
        <v>754.5</v>
      </c>
      <c r="L15" s="137">
        <f t="shared" ref="L15" si="15">STDEVP(L7,L9)</f>
        <v>654</v>
      </c>
    </row>
    <row r="17" spans="1:18">
      <c r="A17" s="144">
        <v>1</v>
      </c>
      <c r="B17" s="134" t="s">
        <v>4736</v>
      </c>
      <c r="C17" s="4" t="s">
        <v>14303</v>
      </c>
      <c r="D17" s="137">
        <v>74013</v>
      </c>
      <c r="E17" s="137">
        <v>75656</v>
      </c>
      <c r="F17" s="137">
        <v>77027</v>
      </c>
      <c r="G17" s="137">
        <v>76028</v>
      </c>
      <c r="H17" s="48">
        <v>76753</v>
      </c>
      <c r="I17" s="48">
        <v>6241</v>
      </c>
      <c r="J17" s="48">
        <v>6413</v>
      </c>
      <c r="K17" s="48">
        <v>6624</v>
      </c>
      <c r="L17" s="48">
        <v>6771</v>
      </c>
      <c r="N17" s="134" t="s">
        <v>4733</v>
      </c>
      <c r="P17" s="4"/>
      <c r="R17" s="4"/>
    </row>
    <row r="18" spans="1:18">
      <c r="A18" s="144">
        <v>2</v>
      </c>
      <c r="B18" s="134" t="s">
        <v>4737</v>
      </c>
      <c r="C18" s="4" t="s">
        <v>14307</v>
      </c>
      <c r="D18" s="143">
        <v>74797</v>
      </c>
      <c r="E18" s="143">
        <v>75125</v>
      </c>
      <c r="F18" s="143">
        <v>75483</v>
      </c>
      <c r="G18" s="143">
        <v>76025</v>
      </c>
      <c r="H18" s="48">
        <v>76677</v>
      </c>
      <c r="I18" s="48">
        <v>3172</v>
      </c>
      <c r="J18" s="48">
        <v>3236</v>
      </c>
      <c r="K18" s="48">
        <v>3305</v>
      </c>
      <c r="L18" s="48">
        <v>3370</v>
      </c>
      <c r="N18" s="134" t="s">
        <v>4735</v>
      </c>
      <c r="P18" s="4"/>
      <c r="R18" s="4"/>
    </row>
    <row r="19" spans="1:18">
      <c r="A19" s="144">
        <v>3</v>
      </c>
      <c r="B19" s="134" t="s">
        <v>7935</v>
      </c>
      <c r="C19" s="4" t="s">
        <v>14308</v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48">
        <v>6081</v>
      </c>
      <c r="J19" s="48">
        <v>6358</v>
      </c>
      <c r="K19" s="48">
        <v>6465</v>
      </c>
      <c r="L19" s="48">
        <v>6556</v>
      </c>
      <c r="N19" s="134" t="s">
        <v>4733</v>
      </c>
      <c r="P19" s="4"/>
      <c r="R19" s="4"/>
    </row>
    <row r="20" spans="1:18">
      <c r="A20" s="144">
        <v>4</v>
      </c>
      <c r="B20" s="134" t="s">
        <v>14304</v>
      </c>
      <c r="C20" s="4" t="s">
        <v>14309</v>
      </c>
      <c r="D20" s="143">
        <v>0</v>
      </c>
      <c r="E20" s="143">
        <v>0</v>
      </c>
      <c r="F20" s="143">
        <v>0</v>
      </c>
      <c r="G20" s="143">
        <v>0</v>
      </c>
      <c r="H20" s="143">
        <v>0</v>
      </c>
      <c r="I20" s="48">
        <v>3434</v>
      </c>
      <c r="J20" s="48">
        <v>3378</v>
      </c>
      <c r="K20" s="48">
        <v>3352</v>
      </c>
      <c r="L20" s="48">
        <v>3384</v>
      </c>
      <c r="N20" s="134" t="s">
        <v>4735</v>
      </c>
      <c r="P20" s="4"/>
      <c r="R20" s="4"/>
    </row>
    <row r="21" spans="1:18">
      <c r="A21" s="144">
        <v>5</v>
      </c>
      <c r="B21" s="134" t="s">
        <v>14305</v>
      </c>
      <c r="C21" s="4" t="s">
        <v>14310</v>
      </c>
      <c r="D21" s="137">
        <v>0</v>
      </c>
      <c r="E21" s="137">
        <v>0</v>
      </c>
      <c r="F21" s="137">
        <v>0</v>
      </c>
      <c r="G21" s="137">
        <v>0</v>
      </c>
      <c r="H21" s="137">
        <v>0</v>
      </c>
      <c r="I21" s="48">
        <v>8833</v>
      </c>
      <c r="J21" s="48">
        <v>8838</v>
      </c>
      <c r="K21" s="48">
        <v>9021</v>
      </c>
      <c r="L21" s="48">
        <v>9198</v>
      </c>
      <c r="N21" s="134" t="s">
        <v>4735</v>
      </c>
      <c r="P21" s="4"/>
      <c r="R21" s="4"/>
    </row>
    <row r="22" spans="1:18">
      <c r="A22" s="144">
        <v>6</v>
      </c>
      <c r="B22" s="134" t="s">
        <v>8235</v>
      </c>
      <c r="C22" s="4" t="s">
        <v>14311</v>
      </c>
      <c r="D22" s="137">
        <v>0</v>
      </c>
      <c r="E22" s="137">
        <v>0</v>
      </c>
      <c r="F22" s="137">
        <v>0</v>
      </c>
      <c r="G22" s="137">
        <v>0</v>
      </c>
      <c r="H22" s="137">
        <v>0</v>
      </c>
      <c r="I22" s="48">
        <v>5424</v>
      </c>
      <c r="J22" s="48">
        <v>6023</v>
      </c>
      <c r="K22" s="48">
        <v>5925</v>
      </c>
      <c r="L22" s="48">
        <v>6128</v>
      </c>
      <c r="N22" s="134" t="s">
        <v>4733</v>
      </c>
      <c r="P22" s="4"/>
      <c r="R22" s="4"/>
    </row>
    <row r="23" spans="1:18">
      <c r="A23" s="144">
        <v>7</v>
      </c>
      <c r="B23" s="134" t="s">
        <v>14306</v>
      </c>
      <c r="C23" s="4" t="s">
        <v>14312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48">
        <v>263</v>
      </c>
      <c r="J23" s="48">
        <v>332</v>
      </c>
      <c r="K23" s="48">
        <v>326</v>
      </c>
      <c r="L23" s="48">
        <v>335</v>
      </c>
      <c r="N23" s="134" t="s">
        <v>4733</v>
      </c>
      <c r="P23" s="4"/>
      <c r="R23" s="4"/>
    </row>
    <row r="24" spans="1:18" ht="15.75" thickBot="1">
      <c r="A24" s="144"/>
      <c r="B24" s="134"/>
      <c r="C24" s="4" t="s">
        <v>14312</v>
      </c>
      <c r="D24" s="141">
        <v>0</v>
      </c>
      <c r="E24" s="141">
        <v>0</v>
      </c>
      <c r="F24" s="141">
        <v>0</v>
      </c>
      <c r="G24" s="141">
        <v>0</v>
      </c>
      <c r="H24" s="141">
        <v>0</v>
      </c>
      <c r="I24" s="48">
        <v>2448</v>
      </c>
      <c r="J24" s="48">
        <v>2509</v>
      </c>
      <c r="K24" s="48">
        <v>2526</v>
      </c>
      <c r="L24" s="48">
        <v>2596</v>
      </c>
      <c r="N24" s="134" t="s">
        <v>4735</v>
      </c>
      <c r="P24" s="4"/>
      <c r="R24" s="4"/>
    </row>
    <row r="25" spans="1:18" ht="15.75" thickBot="1">
      <c r="A25" s="144"/>
      <c r="B25" s="134"/>
      <c r="C25" s="4" t="s">
        <v>14312</v>
      </c>
      <c r="D25" s="902">
        <f>D23+D24</f>
        <v>0</v>
      </c>
      <c r="E25" s="902">
        <f t="shared" ref="E25:L25" si="16">E23+E24</f>
        <v>0</v>
      </c>
      <c r="F25" s="902">
        <f t="shared" si="16"/>
        <v>0</v>
      </c>
      <c r="G25" s="902">
        <f t="shared" si="16"/>
        <v>0</v>
      </c>
      <c r="H25" s="902">
        <f t="shared" si="16"/>
        <v>0</v>
      </c>
      <c r="I25" s="902">
        <f t="shared" si="16"/>
        <v>2711</v>
      </c>
      <c r="J25" s="902">
        <f t="shared" si="16"/>
        <v>2841</v>
      </c>
      <c r="K25" s="902">
        <f t="shared" si="16"/>
        <v>2852</v>
      </c>
      <c r="L25" s="902">
        <f t="shared" si="16"/>
        <v>2931</v>
      </c>
      <c r="N25" s="134"/>
      <c r="P25" s="4"/>
      <c r="R25" s="4"/>
    </row>
    <row r="26" spans="1:18">
      <c r="A26" s="144">
        <v>8</v>
      </c>
      <c r="B26" s="134" t="s">
        <v>8236</v>
      </c>
      <c r="C26" s="4" t="s">
        <v>14314</v>
      </c>
      <c r="D26" s="137">
        <v>0</v>
      </c>
      <c r="E26" s="137">
        <v>0</v>
      </c>
      <c r="F26" s="137">
        <v>0</v>
      </c>
      <c r="G26" s="137">
        <v>0</v>
      </c>
      <c r="H26" s="137">
        <v>0</v>
      </c>
      <c r="I26" s="48">
        <v>8693</v>
      </c>
      <c r="J26" s="48">
        <v>8966</v>
      </c>
      <c r="K26" s="48">
        <v>9107</v>
      </c>
      <c r="L26" s="48">
        <v>9252</v>
      </c>
      <c r="N26" s="134" t="s">
        <v>4733</v>
      </c>
      <c r="P26" s="4"/>
      <c r="R26" s="4"/>
    </row>
    <row r="27" spans="1:18">
      <c r="A27" s="144">
        <v>9</v>
      </c>
      <c r="B27" s="134" t="s">
        <v>14313</v>
      </c>
      <c r="C27" s="4" t="s">
        <v>14315</v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48">
        <v>9854</v>
      </c>
      <c r="J27" s="48">
        <v>9718</v>
      </c>
      <c r="K27" s="48">
        <v>9710</v>
      </c>
      <c r="L27" s="48">
        <v>9760</v>
      </c>
      <c r="N27" s="134" t="s">
        <v>4735</v>
      </c>
      <c r="P27" s="4"/>
      <c r="R27" s="4"/>
    </row>
    <row r="28" spans="1:18">
      <c r="A28" s="144">
        <v>10</v>
      </c>
      <c r="B28" s="134" t="s">
        <v>8132</v>
      </c>
      <c r="C28" s="4" t="s">
        <v>14316</v>
      </c>
      <c r="D28" s="137">
        <v>0</v>
      </c>
      <c r="E28" s="137">
        <v>0</v>
      </c>
      <c r="F28" s="137">
        <v>0</v>
      </c>
      <c r="G28" s="137">
        <v>0</v>
      </c>
      <c r="H28" s="137">
        <v>0</v>
      </c>
      <c r="I28" s="48">
        <v>8595</v>
      </c>
      <c r="J28" s="48">
        <v>9171</v>
      </c>
      <c r="K28" s="48">
        <v>9267</v>
      </c>
      <c r="L28" s="48">
        <v>9532</v>
      </c>
      <c r="N28" s="134" t="s">
        <v>4733</v>
      </c>
      <c r="P28" s="4"/>
      <c r="R28" s="4"/>
    </row>
    <row r="29" spans="1:18">
      <c r="A29" s="144">
        <v>11</v>
      </c>
      <c r="B29" s="134" t="s">
        <v>8133</v>
      </c>
      <c r="C29" s="4" t="s">
        <v>14317</v>
      </c>
      <c r="D29" s="137">
        <v>0</v>
      </c>
      <c r="E29" s="137">
        <v>0</v>
      </c>
      <c r="F29" s="137">
        <v>0</v>
      </c>
      <c r="G29" s="137">
        <v>0</v>
      </c>
      <c r="H29" s="137">
        <v>0</v>
      </c>
      <c r="I29" s="48">
        <v>0</v>
      </c>
      <c r="J29" s="48">
        <v>280</v>
      </c>
      <c r="K29" s="48">
        <v>297</v>
      </c>
      <c r="L29" s="48">
        <v>319</v>
      </c>
      <c r="N29" s="134" t="s">
        <v>4733</v>
      </c>
      <c r="P29" s="4"/>
      <c r="R29" s="4"/>
    </row>
    <row r="30" spans="1:18" ht="15.75" thickBot="1">
      <c r="A30" s="144"/>
      <c r="B30" s="134"/>
      <c r="C30" s="4" t="s">
        <v>14317</v>
      </c>
      <c r="D30" s="141">
        <v>0</v>
      </c>
      <c r="E30" s="141">
        <v>0</v>
      </c>
      <c r="F30" s="141">
        <v>0</v>
      </c>
      <c r="G30" s="141">
        <v>0</v>
      </c>
      <c r="H30" s="141">
        <v>0</v>
      </c>
      <c r="I30" s="159">
        <v>3431</v>
      </c>
      <c r="J30" s="48">
        <v>3077</v>
      </c>
      <c r="K30" s="48">
        <v>3090</v>
      </c>
      <c r="L30" s="48">
        <v>3086</v>
      </c>
      <c r="N30" s="134" t="s">
        <v>4735</v>
      </c>
      <c r="P30" s="4"/>
      <c r="R30" s="4"/>
    </row>
    <row r="31" spans="1:18" ht="15.75" thickBot="1">
      <c r="A31" s="144"/>
      <c r="B31" s="134"/>
      <c r="C31" s="4" t="s">
        <v>14317</v>
      </c>
      <c r="D31" s="902">
        <f>D29+D30</f>
        <v>0</v>
      </c>
      <c r="E31" s="902">
        <f t="shared" ref="E31:L31" si="17">E29+E30</f>
        <v>0</v>
      </c>
      <c r="F31" s="902">
        <f t="shared" si="17"/>
        <v>0</v>
      </c>
      <c r="G31" s="902">
        <f t="shared" si="17"/>
        <v>0</v>
      </c>
      <c r="H31" s="902">
        <f t="shared" si="17"/>
        <v>0</v>
      </c>
      <c r="I31" s="902">
        <f t="shared" si="17"/>
        <v>3431</v>
      </c>
      <c r="J31" s="902">
        <f t="shared" si="17"/>
        <v>3357</v>
      </c>
      <c r="K31" s="902">
        <f t="shared" si="17"/>
        <v>3387</v>
      </c>
      <c r="L31" s="902">
        <f t="shared" si="17"/>
        <v>3405</v>
      </c>
      <c r="N31" s="134"/>
      <c r="P31" s="4"/>
      <c r="R31" s="4"/>
    </row>
    <row r="32" spans="1:18" ht="15.75" customHeight="1">
      <c r="A32" s="144">
        <v>12</v>
      </c>
      <c r="B32" s="134" t="s">
        <v>8134</v>
      </c>
      <c r="C32" s="4" t="s">
        <v>14318</v>
      </c>
      <c r="D32" s="143">
        <v>0</v>
      </c>
      <c r="E32" s="143">
        <v>0</v>
      </c>
      <c r="F32" s="143">
        <v>0</v>
      </c>
      <c r="G32" s="143">
        <v>0</v>
      </c>
      <c r="H32" s="143">
        <v>0</v>
      </c>
      <c r="I32" s="48">
        <v>9248</v>
      </c>
      <c r="J32" s="48">
        <v>9145</v>
      </c>
      <c r="K32" s="48">
        <v>9124</v>
      </c>
      <c r="L32" s="48">
        <v>9192</v>
      </c>
      <c r="N32" s="134" t="s">
        <v>4733</v>
      </c>
      <c r="P32" s="4"/>
      <c r="R32" s="4"/>
    </row>
    <row r="33" spans="1:18">
      <c r="A33" s="144">
        <v>13</v>
      </c>
      <c r="B33" s="134" t="s">
        <v>8135</v>
      </c>
      <c r="C33" s="4" t="s">
        <v>14319</v>
      </c>
      <c r="D33" s="143">
        <v>0</v>
      </c>
      <c r="E33" s="143">
        <v>0</v>
      </c>
      <c r="F33" s="143">
        <v>0</v>
      </c>
      <c r="G33" s="143">
        <v>0</v>
      </c>
      <c r="H33" s="143">
        <v>0</v>
      </c>
      <c r="I33" s="48">
        <v>5552</v>
      </c>
      <c r="J33" s="48">
        <v>6181</v>
      </c>
      <c r="K33" s="48">
        <v>6002</v>
      </c>
      <c r="L33" s="48">
        <v>6484</v>
      </c>
      <c r="N33" s="134" t="s">
        <v>4733</v>
      </c>
      <c r="P33" s="4"/>
      <c r="R33" s="4"/>
    </row>
    <row r="34" spans="1:18" ht="15.75" thickBot="1">
      <c r="A34" s="144"/>
      <c r="B34" s="134"/>
      <c r="C34" s="4" t="s">
        <v>14319</v>
      </c>
      <c r="D34" s="141">
        <v>0</v>
      </c>
      <c r="E34" s="141">
        <v>0</v>
      </c>
      <c r="F34" s="141">
        <v>0</v>
      </c>
      <c r="G34" s="141">
        <v>0</v>
      </c>
      <c r="H34" s="141">
        <v>0</v>
      </c>
      <c r="I34" s="48">
        <v>3912</v>
      </c>
      <c r="J34" s="48">
        <v>5516</v>
      </c>
      <c r="K34" s="48">
        <v>2423</v>
      </c>
      <c r="L34" s="48">
        <v>3063</v>
      </c>
      <c r="N34" s="134" t="s">
        <v>4735</v>
      </c>
      <c r="P34" s="4"/>
      <c r="R34" s="4"/>
    </row>
    <row r="35" spans="1:18" ht="15.75" thickBot="1">
      <c r="A35" s="144"/>
      <c r="B35" s="134"/>
      <c r="C35" s="4" t="s">
        <v>14319</v>
      </c>
      <c r="D35" s="902">
        <f>D33+D34</f>
        <v>0</v>
      </c>
      <c r="E35" s="902">
        <f t="shared" ref="E35" si="18">E33+E34</f>
        <v>0</v>
      </c>
      <c r="F35" s="902">
        <f t="shared" ref="F35" si="19">F33+F34</f>
        <v>0</v>
      </c>
      <c r="G35" s="902">
        <f t="shared" ref="G35" si="20">G33+G34</f>
        <v>0</v>
      </c>
      <c r="H35" s="902">
        <f t="shared" ref="H35" si="21">H33+H34</f>
        <v>0</v>
      </c>
      <c r="I35" s="902">
        <f t="shared" ref="I35:L35" si="22">I33+I34</f>
        <v>9464</v>
      </c>
      <c r="J35" s="902">
        <f t="shared" si="22"/>
        <v>11697</v>
      </c>
      <c r="K35" s="902">
        <f t="shared" si="22"/>
        <v>8425</v>
      </c>
      <c r="L35" s="902">
        <f t="shared" si="22"/>
        <v>9547</v>
      </c>
      <c r="N35" s="134"/>
      <c r="P35" s="4"/>
      <c r="R35" s="4"/>
    </row>
    <row r="36" spans="1:18">
      <c r="A36" s="144">
        <v>14</v>
      </c>
      <c r="B36" s="134" t="s">
        <v>14320</v>
      </c>
      <c r="C36" s="4" t="s">
        <v>14323</v>
      </c>
      <c r="D36" s="143">
        <v>0</v>
      </c>
      <c r="E36" s="143">
        <v>0</v>
      </c>
      <c r="F36" s="143">
        <v>0</v>
      </c>
      <c r="G36" s="143">
        <v>0</v>
      </c>
      <c r="H36" s="143">
        <v>0</v>
      </c>
      <c r="I36" s="48">
        <v>9653</v>
      </c>
      <c r="J36" s="48">
        <v>9663</v>
      </c>
      <c r="K36" s="48">
        <v>9748</v>
      </c>
      <c r="L36" s="48">
        <v>9997</v>
      </c>
      <c r="N36" s="134" t="s">
        <v>4735</v>
      </c>
      <c r="P36" s="4"/>
      <c r="R36" s="4"/>
    </row>
    <row r="37" spans="1:18">
      <c r="A37" s="144">
        <v>15</v>
      </c>
      <c r="B37" s="134" t="s">
        <v>8365</v>
      </c>
      <c r="C37" s="4" t="s">
        <v>14324</v>
      </c>
      <c r="D37" s="137">
        <v>0</v>
      </c>
      <c r="E37" s="137">
        <v>0</v>
      </c>
      <c r="F37" s="137">
        <v>0</v>
      </c>
      <c r="G37" s="137">
        <v>0</v>
      </c>
      <c r="H37" s="137">
        <v>0</v>
      </c>
      <c r="I37" s="48">
        <v>8575</v>
      </c>
      <c r="J37" s="48">
        <v>8867</v>
      </c>
      <c r="K37" s="48">
        <v>8828</v>
      </c>
      <c r="L37" s="48">
        <v>9396</v>
      </c>
      <c r="N37" s="134" t="s">
        <v>4733</v>
      </c>
      <c r="P37" s="4"/>
      <c r="R37" s="4"/>
    </row>
    <row r="38" spans="1:18">
      <c r="A38" s="144">
        <v>16</v>
      </c>
      <c r="B38" s="134" t="s">
        <v>14321</v>
      </c>
      <c r="C38" s="4" t="s">
        <v>14325</v>
      </c>
      <c r="D38" s="137">
        <v>0</v>
      </c>
      <c r="E38" s="137">
        <v>0</v>
      </c>
      <c r="F38" s="137">
        <v>0</v>
      </c>
      <c r="G38" s="137">
        <v>0</v>
      </c>
      <c r="H38" s="137">
        <v>0</v>
      </c>
      <c r="I38" s="48">
        <v>5668</v>
      </c>
      <c r="J38" s="48">
        <v>5742</v>
      </c>
      <c r="K38" s="48">
        <v>5916</v>
      </c>
      <c r="L38" s="48">
        <v>6226</v>
      </c>
      <c r="N38" s="134" t="s">
        <v>4735</v>
      </c>
      <c r="P38" s="4"/>
      <c r="R38" s="4"/>
    </row>
    <row r="39" spans="1:18">
      <c r="A39" s="144">
        <v>17</v>
      </c>
      <c r="B39" s="134" t="s">
        <v>14322</v>
      </c>
      <c r="C39" s="4" t="s">
        <v>14326</v>
      </c>
      <c r="D39" s="143">
        <v>0</v>
      </c>
      <c r="E39" s="143">
        <v>0</v>
      </c>
      <c r="F39" s="143">
        <v>0</v>
      </c>
      <c r="G39" s="143">
        <v>0</v>
      </c>
      <c r="H39" s="143">
        <v>0</v>
      </c>
      <c r="I39" s="48">
        <v>294</v>
      </c>
      <c r="J39" s="48">
        <v>344</v>
      </c>
      <c r="K39" s="48">
        <v>335</v>
      </c>
      <c r="L39" s="48">
        <v>347</v>
      </c>
      <c r="N39" s="134" t="s">
        <v>4733</v>
      </c>
      <c r="P39" s="4"/>
      <c r="R39" s="4"/>
    </row>
    <row r="40" spans="1:18" ht="15.75" thickBot="1">
      <c r="A40" s="144"/>
      <c r="B40" s="134"/>
      <c r="C40" s="4" t="s">
        <v>14326</v>
      </c>
      <c r="D40" s="141">
        <v>0</v>
      </c>
      <c r="E40" s="141">
        <v>0</v>
      </c>
      <c r="F40" s="141">
        <v>0</v>
      </c>
      <c r="G40" s="141">
        <v>0</v>
      </c>
      <c r="H40" s="141">
        <v>0</v>
      </c>
      <c r="I40" s="48">
        <v>8760</v>
      </c>
      <c r="J40" s="48">
        <v>8582</v>
      </c>
      <c r="K40" s="48">
        <v>8640</v>
      </c>
      <c r="L40" s="48">
        <v>9010</v>
      </c>
      <c r="N40" s="134" t="s">
        <v>4735</v>
      </c>
      <c r="P40" s="4"/>
      <c r="R40" s="4"/>
    </row>
    <row r="41" spans="1:18" ht="15.75" thickBot="1">
      <c r="A41" s="144"/>
      <c r="B41" s="134"/>
      <c r="C41" s="4" t="s">
        <v>14326</v>
      </c>
      <c r="D41" s="902">
        <f>D39+D40</f>
        <v>0</v>
      </c>
      <c r="E41" s="902">
        <f t="shared" ref="E41" si="23">E39+E40</f>
        <v>0</v>
      </c>
      <c r="F41" s="902">
        <f t="shared" ref="F41" si="24">F39+F40</f>
        <v>0</v>
      </c>
      <c r="G41" s="902">
        <f t="shared" ref="G41" si="25">G39+G40</f>
        <v>0</v>
      </c>
      <c r="H41" s="902">
        <f t="shared" ref="H41" si="26">H39+H40</f>
        <v>0</v>
      </c>
      <c r="I41" s="902">
        <f t="shared" ref="I41:L41" si="27">I39+I40</f>
        <v>9054</v>
      </c>
      <c r="J41" s="902">
        <f t="shared" si="27"/>
        <v>8926</v>
      </c>
      <c r="K41" s="902">
        <f t="shared" si="27"/>
        <v>8975</v>
      </c>
      <c r="L41" s="902">
        <f t="shared" si="27"/>
        <v>9357</v>
      </c>
      <c r="N41" s="134"/>
      <c r="P41" s="4"/>
      <c r="R41" s="4"/>
    </row>
    <row r="42" spans="1:18">
      <c r="A42" s="144">
        <v>18</v>
      </c>
      <c r="B42" s="134" t="s">
        <v>8366</v>
      </c>
      <c r="C42" s="4" t="s">
        <v>14327</v>
      </c>
      <c r="D42" s="137">
        <v>0</v>
      </c>
      <c r="E42" s="137">
        <v>0</v>
      </c>
      <c r="F42" s="137">
        <v>0</v>
      </c>
      <c r="G42" s="137">
        <v>0</v>
      </c>
      <c r="H42" s="137">
        <v>0</v>
      </c>
      <c r="I42" s="48">
        <v>6090</v>
      </c>
      <c r="J42" s="48">
        <v>6106</v>
      </c>
      <c r="K42" s="48">
        <v>6116</v>
      </c>
      <c r="L42" s="48">
        <v>6202</v>
      </c>
      <c r="N42" s="134" t="s">
        <v>4735</v>
      </c>
      <c r="P42" s="4"/>
      <c r="R42" s="4"/>
    </row>
    <row r="43" spans="1:18">
      <c r="A43" s="145">
        <v>19</v>
      </c>
      <c r="B43" s="134" t="s">
        <v>6506</v>
      </c>
      <c r="C43" s="4" t="s">
        <v>14328</v>
      </c>
      <c r="D43" s="143">
        <v>0</v>
      </c>
      <c r="E43" s="143">
        <v>0</v>
      </c>
      <c r="F43" s="143">
        <v>0</v>
      </c>
      <c r="G43" s="143">
        <v>0</v>
      </c>
      <c r="H43" s="143">
        <v>0</v>
      </c>
      <c r="I43" s="48">
        <v>6190</v>
      </c>
      <c r="J43" s="48">
        <v>6198</v>
      </c>
      <c r="K43" s="48">
        <v>6230</v>
      </c>
      <c r="L43" s="48">
        <v>6296</v>
      </c>
      <c r="N43" s="134" t="s">
        <v>4735</v>
      </c>
      <c r="P43" s="4"/>
      <c r="R43" s="4"/>
    </row>
    <row r="44" spans="1:18">
      <c r="A44" s="145">
        <v>20</v>
      </c>
      <c r="B44" s="134" t="s">
        <v>1838</v>
      </c>
      <c r="C44" s="4" t="s">
        <v>14329</v>
      </c>
      <c r="D44" s="137">
        <v>0</v>
      </c>
      <c r="E44" s="137">
        <v>0</v>
      </c>
      <c r="F44" s="137">
        <v>0</v>
      </c>
      <c r="G44" s="137">
        <v>0</v>
      </c>
      <c r="H44" s="137">
        <v>0</v>
      </c>
      <c r="I44" s="48">
        <v>9536</v>
      </c>
      <c r="J44" s="48">
        <v>9506</v>
      </c>
      <c r="K44" s="48">
        <v>9522</v>
      </c>
      <c r="L44" s="48">
        <v>9869</v>
      </c>
      <c r="N44" s="134" t="s">
        <v>4733</v>
      </c>
      <c r="P44" s="4"/>
      <c r="R44" s="4"/>
    </row>
    <row r="45" spans="1:18">
      <c r="A45" s="144">
        <v>21</v>
      </c>
      <c r="B45" s="134" t="s">
        <v>4773</v>
      </c>
      <c r="C45" s="4" t="s">
        <v>14330</v>
      </c>
      <c r="D45" s="137">
        <v>0</v>
      </c>
      <c r="E45" s="137">
        <v>0</v>
      </c>
      <c r="F45" s="137">
        <v>0</v>
      </c>
      <c r="G45" s="137">
        <v>0</v>
      </c>
      <c r="H45" s="137">
        <v>0</v>
      </c>
      <c r="I45" s="48">
        <v>3193</v>
      </c>
      <c r="J45" s="48">
        <v>3215</v>
      </c>
      <c r="K45" s="48">
        <v>3254</v>
      </c>
      <c r="L45" s="48">
        <v>3301</v>
      </c>
      <c r="N45" s="134" t="s">
        <v>4735</v>
      </c>
      <c r="P45" s="4"/>
      <c r="R45" s="4"/>
    </row>
    <row r="46" spans="1:18">
      <c r="D46" s="138"/>
      <c r="E46" s="138"/>
      <c r="F46" s="138"/>
      <c r="G46" s="138"/>
      <c r="H46" s="138"/>
      <c r="I46" s="138"/>
      <c r="J46" s="138"/>
      <c r="K46" s="138"/>
      <c r="L46" s="138"/>
      <c r="P46" s="4"/>
      <c r="R46" s="4"/>
    </row>
    <row r="47" spans="1:18">
      <c r="A47" s="134" t="s">
        <v>14331</v>
      </c>
      <c r="P47" s="4"/>
    </row>
    <row r="48" spans="1:18">
      <c r="P48" s="4"/>
    </row>
    <row r="49" spans="1:16">
      <c r="P49" s="4"/>
    </row>
    <row r="50" spans="1:16">
      <c r="A50" s="134"/>
    </row>
    <row r="51" spans="1:16">
      <c r="A51" s="134"/>
    </row>
  </sheetData>
  <phoneticPr fontId="7" type="noConversion"/>
  <printOptions gridLinesSet="0"/>
  <pageMargins left="0.78740157480314965" right="0" top="0.51181102362204722" bottom="0.51181102362204722" header="0.51181102362204722" footer="0.51181102362204722"/>
  <pageSetup paperSize="9" scale="69" orientation="portrait" horizontalDpi="300" verticalDpi="300" r:id="rId1"/>
  <headerFooter alignWithMargins="0">
    <oddFooter>&amp;C&amp;"Times New Roman,Regular"&amp;8&amp;P of &amp;N</oddFooter>
  </headerFooter>
  <ignoredErrors>
    <ignoredError sqref="D4 E4 F4 G4 D5:D6 E5:E6 F5:F6 G5:G6 H4 H5:H6 D25:K25 D35:K35 D41:K41 D10:D15 E10:E15 F10:F15 G10:G15 H10:H15 H8 G8 F8 E8 D8 I4:I6 I8:I9 I10:I16 D9:H9 D31:K31 D7:I7 J4:J15 D3:J3 K3:K15 L3:L41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179</vt:i4>
      </vt:variant>
    </vt:vector>
  </HeadingPairs>
  <TitlesOfParts>
    <vt:vector size="272" baseType="lpstr">
      <vt:lpstr>REGIONS</vt:lpstr>
      <vt:lpstr>CONSTITUENCIES</vt:lpstr>
      <vt:lpstr>BARKING</vt:lpstr>
      <vt:lpstr>BARNET</vt:lpstr>
      <vt:lpstr>BATH &amp; NE SOMERSET</vt:lpstr>
      <vt:lpstr>BEDFORDSHIRE</vt:lpstr>
      <vt:lpstr>BERKSHIRE</vt:lpstr>
      <vt:lpstr>BEXLEY</vt:lpstr>
      <vt:lpstr>BRENT</vt:lpstr>
      <vt:lpstr>BRISTOL</vt:lpstr>
      <vt:lpstr>BROMLEY</vt:lpstr>
      <vt:lpstr>BUCKINGHAMSHIRE</vt:lpstr>
      <vt:lpstr>CAMBRIDGESHIRE</vt:lpstr>
      <vt:lpstr>CAMDEN</vt:lpstr>
      <vt:lpstr>CHESHIRE</vt:lpstr>
      <vt:lpstr>CITY OF LONDON</vt:lpstr>
      <vt:lpstr>CORNWALL</vt:lpstr>
      <vt:lpstr>CROYDON</vt:lpstr>
      <vt:lpstr>CUMBRIA</vt:lpstr>
      <vt:lpstr>DERBYSHIRE</vt:lpstr>
      <vt:lpstr>DEVON</vt:lpstr>
      <vt:lpstr>DORSET</vt:lpstr>
      <vt:lpstr>DURHAM</vt:lpstr>
      <vt:lpstr>EALING</vt:lpstr>
      <vt:lpstr>EAST SUSSEX</vt:lpstr>
      <vt:lpstr>ENFIELD</vt:lpstr>
      <vt:lpstr>ESSEX</vt:lpstr>
      <vt:lpstr>GLOUCESTERSHIRE</vt:lpstr>
      <vt:lpstr>GREATER MANCHESTER</vt:lpstr>
      <vt:lpstr>GREENWICH</vt:lpstr>
      <vt:lpstr>HACKNEY</vt:lpstr>
      <vt:lpstr>HAMMERSMITH</vt:lpstr>
      <vt:lpstr>HAMPSHIRE</vt:lpstr>
      <vt:lpstr>HARINGEY</vt:lpstr>
      <vt:lpstr>HARROW</vt:lpstr>
      <vt:lpstr>HARTLEPOOL</vt:lpstr>
      <vt:lpstr>HAVERING</vt:lpstr>
      <vt:lpstr>HEREFORDSHIRE</vt:lpstr>
      <vt:lpstr>HERTFORDSHIRE</vt:lpstr>
      <vt:lpstr>HILLINGDON</vt:lpstr>
      <vt:lpstr>HOUNSLOW</vt:lpstr>
      <vt:lpstr>"HUMBERSIDE"</vt:lpstr>
      <vt:lpstr>ISLE OF WIGHT</vt:lpstr>
      <vt:lpstr>ISLINGTON</vt:lpstr>
      <vt:lpstr>KENSINGTON</vt:lpstr>
      <vt:lpstr>KENT</vt:lpstr>
      <vt:lpstr>KINGSTON</vt:lpstr>
      <vt:lpstr>LAMBETH</vt:lpstr>
      <vt:lpstr>LANCASHIRE</vt:lpstr>
      <vt:lpstr>LEICESTER</vt:lpstr>
      <vt:lpstr>LEICESTERSHIRE</vt:lpstr>
      <vt:lpstr>LEWISHAM</vt:lpstr>
      <vt:lpstr>LINCOLNSHIRE</vt:lpstr>
      <vt:lpstr>MERSEYSIDE</vt:lpstr>
      <vt:lpstr>MERTON</vt:lpstr>
      <vt:lpstr>MIDD &amp; R &amp; C</vt:lpstr>
      <vt:lpstr>MILTON KEYNES</vt:lpstr>
      <vt:lpstr>NEWHAM</vt:lpstr>
      <vt:lpstr>NORFOLK</vt:lpstr>
      <vt:lpstr>NORTHAMPTONSHIRE</vt:lpstr>
      <vt:lpstr>NORTHUMBERLAND</vt:lpstr>
      <vt:lpstr>NORTH SOMERSET</vt:lpstr>
      <vt:lpstr>NORTH YORKSHIRE</vt:lpstr>
      <vt:lpstr>NOTTINGHAM</vt:lpstr>
      <vt:lpstr>NOTTINGHAMSHIRE</vt:lpstr>
      <vt:lpstr>OXFORDSHIRE</vt:lpstr>
      <vt:lpstr>PORTSMOUTH</vt:lpstr>
      <vt:lpstr>REDBRIDGE</vt:lpstr>
      <vt:lpstr>RICHMOND</vt:lpstr>
      <vt:lpstr>SHROPSHIRE &amp; TELFORD &amp; WREKIN </vt:lpstr>
      <vt:lpstr>SOMERSET</vt:lpstr>
      <vt:lpstr>SOUTH GLOUCESTERSHIRE</vt:lpstr>
      <vt:lpstr>SOUTH YORKSHIRE</vt:lpstr>
      <vt:lpstr>SOUTHWARK</vt:lpstr>
      <vt:lpstr>STAFFORDSHIRE</vt:lpstr>
      <vt:lpstr>STOCKTON</vt:lpstr>
      <vt:lpstr>SUFFOLK</vt:lpstr>
      <vt:lpstr>SURREY</vt:lpstr>
      <vt:lpstr>SUTTON</vt:lpstr>
      <vt:lpstr>SWINDON</vt:lpstr>
      <vt:lpstr>TOWER HAMLETS</vt:lpstr>
      <vt:lpstr>TYNE &amp; WEAR</vt:lpstr>
      <vt:lpstr>WALTHAM FOREST</vt:lpstr>
      <vt:lpstr>WANDSWORTH</vt:lpstr>
      <vt:lpstr>WARRINGTON</vt:lpstr>
      <vt:lpstr>WARWICKSHIRE</vt:lpstr>
      <vt:lpstr>WESTMINSTER</vt:lpstr>
      <vt:lpstr>WEST MIDLANDS</vt:lpstr>
      <vt:lpstr>WEST SUSSEX</vt:lpstr>
      <vt:lpstr>WEST YORKSHIRE</vt:lpstr>
      <vt:lpstr>WILTSHIRE</vt:lpstr>
      <vt:lpstr>WORCESTERSHIRE</vt:lpstr>
      <vt:lpstr>YORK</vt:lpstr>
      <vt:lpstr>'"HUMBERSIDE"'!Print_Area</vt:lpstr>
      <vt:lpstr>BARKING!Print_Area</vt:lpstr>
      <vt:lpstr>BARNET!Print_Area</vt:lpstr>
      <vt:lpstr>BEDFORDSHIRE!Print_Area</vt:lpstr>
      <vt:lpstr>BERKSHIRE!Print_Area</vt:lpstr>
      <vt:lpstr>BEXLEY!Print_Area</vt:lpstr>
      <vt:lpstr>BRENT!Print_Area</vt:lpstr>
      <vt:lpstr>BROMLEY!Print_Area</vt:lpstr>
      <vt:lpstr>BUCKINGHAMSHIRE!Print_Area</vt:lpstr>
      <vt:lpstr>CAMBRIDGESHIRE!Print_Area</vt:lpstr>
      <vt:lpstr>CAMDEN!Print_Area</vt:lpstr>
      <vt:lpstr>CHESHIRE!Print_Area</vt:lpstr>
      <vt:lpstr>'CITY OF LONDON'!Print_Area</vt:lpstr>
      <vt:lpstr>CONSTITUENCIES!Print_Area</vt:lpstr>
      <vt:lpstr>CROYDON!Print_Area</vt:lpstr>
      <vt:lpstr>DERBYSHIRE!Print_Area</vt:lpstr>
      <vt:lpstr>DEVON!Print_Area</vt:lpstr>
      <vt:lpstr>DORSET!Print_Area</vt:lpstr>
      <vt:lpstr>EALING!Print_Area</vt:lpstr>
      <vt:lpstr>'EAST SUSSEX'!Print_Area</vt:lpstr>
      <vt:lpstr>ENFIELD!Print_Area</vt:lpstr>
      <vt:lpstr>ESSEX!Print_Area</vt:lpstr>
      <vt:lpstr>GLOUCESTERSHIRE!Print_Area</vt:lpstr>
      <vt:lpstr>'GREATER MANCHESTER'!Print_Area</vt:lpstr>
      <vt:lpstr>GREENWICH!Print_Area</vt:lpstr>
      <vt:lpstr>HACKNEY!Print_Area</vt:lpstr>
      <vt:lpstr>HAMMERSMITH!Print_Area</vt:lpstr>
      <vt:lpstr>HAMPSHIRE!Print_Area</vt:lpstr>
      <vt:lpstr>HARINGEY!Print_Area</vt:lpstr>
      <vt:lpstr>HARROW!Print_Area</vt:lpstr>
      <vt:lpstr>HAVERING!Print_Area</vt:lpstr>
      <vt:lpstr>HEREFORDSHIRE!Print_Area</vt:lpstr>
      <vt:lpstr>HERTFORDSHIRE!Print_Area</vt:lpstr>
      <vt:lpstr>HILLINGDON!Print_Area</vt:lpstr>
      <vt:lpstr>HOUNSLOW!Print_Area</vt:lpstr>
      <vt:lpstr>'ISLE OF WIGHT'!Print_Area</vt:lpstr>
      <vt:lpstr>ISLINGTON!Print_Area</vt:lpstr>
      <vt:lpstr>KENSINGTON!Print_Area</vt:lpstr>
      <vt:lpstr>KENT!Print_Area</vt:lpstr>
      <vt:lpstr>KINGSTON!Print_Area</vt:lpstr>
      <vt:lpstr>LAMBETH!Print_Area</vt:lpstr>
      <vt:lpstr>LANCASHIRE!Print_Area</vt:lpstr>
      <vt:lpstr>LEICESTERSHIRE!Print_Area</vt:lpstr>
      <vt:lpstr>LEWISHAM!Print_Area</vt:lpstr>
      <vt:lpstr>LINCOLNSHIRE!Print_Area</vt:lpstr>
      <vt:lpstr>MERSEYSIDE!Print_Area</vt:lpstr>
      <vt:lpstr>MERTON!Print_Area</vt:lpstr>
      <vt:lpstr>NEWHAM!Print_Area</vt:lpstr>
      <vt:lpstr>NORFOLK!Print_Area</vt:lpstr>
      <vt:lpstr>'NORTH SOMERSET'!Print_Area</vt:lpstr>
      <vt:lpstr>'NORTH YORKSHIRE'!Print_Area</vt:lpstr>
      <vt:lpstr>NORTHAMPTONSHIRE!Print_Area</vt:lpstr>
      <vt:lpstr>NORTHUMBERLAND!Print_Area</vt:lpstr>
      <vt:lpstr>NOTTINGHAM!Print_Area</vt:lpstr>
      <vt:lpstr>NOTTINGHAMSHIRE!Print_Area</vt:lpstr>
      <vt:lpstr>OXFORDSHIRE!Print_Area</vt:lpstr>
      <vt:lpstr>PORTSMOUTH!Print_Area</vt:lpstr>
      <vt:lpstr>REDBRIDGE!Print_Area</vt:lpstr>
      <vt:lpstr>REGIONS!Print_Area</vt:lpstr>
      <vt:lpstr>RICHMOND!Print_Area</vt:lpstr>
      <vt:lpstr>'SHROPSHIRE &amp; TELFORD &amp; WREKIN '!Print_Area</vt:lpstr>
      <vt:lpstr>SOMERSET!Print_Area</vt:lpstr>
      <vt:lpstr>'SOUTH YORKSHIRE'!Print_Area</vt:lpstr>
      <vt:lpstr>SOUTHWARK!Print_Area</vt:lpstr>
      <vt:lpstr>STAFFORDSHIRE!Print_Area</vt:lpstr>
      <vt:lpstr>SUFFOLK!Print_Area</vt:lpstr>
      <vt:lpstr>SURREY!Print_Area</vt:lpstr>
      <vt:lpstr>SUTTON!Print_Area</vt:lpstr>
      <vt:lpstr>SWINDON!Print_Area</vt:lpstr>
      <vt:lpstr>'TOWER HAMLETS'!Print_Area</vt:lpstr>
      <vt:lpstr>'TYNE &amp; WEAR'!Print_Area</vt:lpstr>
      <vt:lpstr>'WALTHAM FOREST'!Print_Area</vt:lpstr>
      <vt:lpstr>WANDSWORTH!Print_Area</vt:lpstr>
      <vt:lpstr>WARRINGTON!Print_Area</vt:lpstr>
      <vt:lpstr>WARWICKSHIRE!Print_Area</vt:lpstr>
      <vt:lpstr>'WEST MIDLANDS'!Print_Area</vt:lpstr>
      <vt:lpstr>'WEST SUSSEX'!Print_Area</vt:lpstr>
      <vt:lpstr>'WEST YORKSHIRE'!Print_Area</vt:lpstr>
      <vt:lpstr>WESTMINSTER!Print_Area</vt:lpstr>
      <vt:lpstr>WILTSHIRE!Print_Area</vt:lpstr>
      <vt:lpstr>WORCESTERSHIRE!Print_Area</vt:lpstr>
      <vt:lpstr>YORK!Print_Area</vt:lpstr>
      <vt:lpstr>'"HUMBERSIDE"'!Print_Area_MI</vt:lpstr>
      <vt:lpstr>BARKING!Print_Area_MI</vt:lpstr>
      <vt:lpstr>BARNET!Print_Area_MI</vt:lpstr>
      <vt:lpstr>'BATH &amp; NE SOMERSET'!Print_Area_MI</vt:lpstr>
      <vt:lpstr>BEDFORDSHIRE!Print_Area_MI</vt:lpstr>
      <vt:lpstr>BERKSHIRE!Print_Area_MI</vt:lpstr>
      <vt:lpstr>BEXLEY!Print_Area_MI</vt:lpstr>
      <vt:lpstr>BRENT!Print_Area_MI</vt:lpstr>
      <vt:lpstr>BRISTOL!Print_Area_MI</vt:lpstr>
      <vt:lpstr>BROMLEY!Print_Area_MI</vt:lpstr>
      <vt:lpstr>BUCKINGHAMSHIRE!Print_Area_MI</vt:lpstr>
      <vt:lpstr>CAMBRIDGESHIRE!Print_Area_MI</vt:lpstr>
      <vt:lpstr>CAMDEN!Print_Area_MI</vt:lpstr>
      <vt:lpstr>CHESHIRE!Print_Area_MI</vt:lpstr>
      <vt:lpstr>'CITY OF LONDON'!Print_Area_MI</vt:lpstr>
      <vt:lpstr>CONSTITUENCIES!Print_Area_MI</vt:lpstr>
      <vt:lpstr>CORNWALL!Print_Area_MI</vt:lpstr>
      <vt:lpstr>CROYDON!Print_Area_MI</vt:lpstr>
      <vt:lpstr>CUMBRIA!Print_Area_MI</vt:lpstr>
      <vt:lpstr>DERBYSHIRE!Print_Area_MI</vt:lpstr>
      <vt:lpstr>DEVON!Print_Area_MI</vt:lpstr>
      <vt:lpstr>DORSET!Print_Area_MI</vt:lpstr>
      <vt:lpstr>DURHAM!Print_Area_MI</vt:lpstr>
      <vt:lpstr>EALING!Print_Area_MI</vt:lpstr>
      <vt:lpstr>'EAST SUSSEX'!Print_Area_MI</vt:lpstr>
      <vt:lpstr>ENFIELD!Print_Area_MI</vt:lpstr>
      <vt:lpstr>ESSEX!Print_Area_MI</vt:lpstr>
      <vt:lpstr>GLOUCESTERSHIRE!Print_Area_MI</vt:lpstr>
      <vt:lpstr>'GREATER MANCHESTER'!Print_Area_MI</vt:lpstr>
      <vt:lpstr>GREENWICH!Print_Area_MI</vt:lpstr>
      <vt:lpstr>HACKNEY!Print_Area_MI</vt:lpstr>
      <vt:lpstr>HAMMERSMITH!Print_Area_MI</vt:lpstr>
      <vt:lpstr>HAMPSHIRE!Print_Area_MI</vt:lpstr>
      <vt:lpstr>HARINGEY!Print_Area_MI</vt:lpstr>
      <vt:lpstr>HARROW!Print_Area_MI</vt:lpstr>
      <vt:lpstr>HARTLEPOOL!Print_Area_MI</vt:lpstr>
      <vt:lpstr>HAVERING!Print_Area_MI</vt:lpstr>
      <vt:lpstr>HEREFORDSHIRE!Print_Area_MI</vt:lpstr>
      <vt:lpstr>HERTFORDSHIRE!Print_Area_MI</vt:lpstr>
      <vt:lpstr>HILLINGDON!Print_Area_MI</vt:lpstr>
      <vt:lpstr>HOUNSLOW!Print_Area_MI</vt:lpstr>
      <vt:lpstr>'ISLE OF WIGHT'!Print_Area_MI</vt:lpstr>
      <vt:lpstr>ISLINGTON!Print_Area_MI</vt:lpstr>
      <vt:lpstr>KENSINGTON!Print_Area_MI</vt:lpstr>
      <vt:lpstr>KENT!Print_Area_MI</vt:lpstr>
      <vt:lpstr>KINGSTON!Print_Area_MI</vt:lpstr>
      <vt:lpstr>LAMBETH!Print_Area_MI</vt:lpstr>
      <vt:lpstr>LANCASHIRE!Print_Area_MI</vt:lpstr>
      <vt:lpstr>LEICESTER!Print_Area_MI</vt:lpstr>
      <vt:lpstr>LEICESTERSHIRE!Print_Area_MI</vt:lpstr>
      <vt:lpstr>LEWISHAM!Print_Area_MI</vt:lpstr>
      <vt:lpstr>LINCOLNSHIRE!Print_Area_MI</vt:lpstr>
      <vt:lpstr>MERSEYSIDE!Print_Area_MI</vt:lpstr>
      <vt:lpstr>MERTON!Print_Area_MI</vt:lpstr>
      <vt:lpstr>'MIDD &amp; R &amp; C'!Print_Area_MI</vt:lpstr>
      <vt:lpstr>'MILTON KEYNES'!Print_Area_MI</vt:lpstr>
      <vt:lpstr>NEWHAM!Print_Area_MI</vt:lpstr>
      <vt:lpstr>NORFOLK!Print_Area_MI</vt:lpstr>
      <vt:lpstr>'NORTH SOMERSET'!Print_Area_MI</vt:lpstr>
      <vt:lpstr>'NORTH YORKSHIRE'!Print_Area_MI</vt:lpstr>
      <vt:lpstr>NORTHAMPTONSHIRE!Print_Area_MI</vt:lpstr>
      <vt:lpstr>NORTHUMBERLAND!Print_Area_MI</vt:lpstr>
      <vt:lpstr>NOTTINGHAM!Print_Area_MI</vt:lpstr>
      <vt:lpstr>NOTTINGHAMSHIRE!Print_Area_MI</vt:lpstr>
      <vt:lpstr>OXFORDSHIRE!Print_Area_MI</vt:lpstr>
      <vt:lpstr>PORTSMOUTH!Print_Area_MI</vt:lpstr>
      <vt:lpstr>REDBRIDGE!Print_Area_MI</vt:lpstr>
      <vt:lpstr>REGIONS!Print_Area_MI</vt:lpstr>
      <vt:lpstr>RICHMOND!Print_Area_MI</vt:lpstr>
      <vt:lpstr>'SHROPSHIRE &amp; TELFORD &amp; WREKIN '!Print_Area_MI</vt:lpstr>
      <vt:lpstr>SOMERSET!Print_Area_MI</vt:lpstr>
      <vt:lpstr>'SOUTH GLOUCESTERSHIRE'!Print_Area_MI</vt:lpstr>
      <vt:lpstr>'SOUTH YORKSHIRE'!Print_Area_MI</vt:lpstr>
      <vt:lpstr>SOUTHWARK!Print_Area_MI</vt:lpstr>
      <vt:lpstr>STAFFORDSHIRE!Print_Area_MI</vt:lpstr>
      <vt:lpstr>STOCKTON!Print_Area_MI</vt:lpstr>
      <vt:lpstr>SUFFOLK!Print_Area_MI</vt:lpstr>
      <vt:lpstr>SURREY!Print_Area_MI</vt:lpstr>
      <vt:lpstr>SUTTON!Print_Area_MI</vt:lpstr>
      <vt:lpstr>SWINDON!Print_Area_MI</vt:lpstr>
      <vt:lpstr>'TOWER HAMLETS'!Print_Area_MI</vt:lpstr>
      <vt:lpstr>'TYNE &amp; WEAR'!Print_Area_MI</vt:lpstr>
      <vt:lpstr>'WALTHAM FOREST'!Print_Area_MI</vt:lpstr>
      <vt:lpstr>WANDSWORTH!Print_Area_MI</vt:lpstr>
      <vt:lpstr>WARRINGTON!Print_Area_MI</vt:lpstr>
      <vt:lpstr>WARWICKSHIRE!Print_Area_MI</vt:lpstr>
      <vt:lpstr>'WEST MIDLANDS'!Print_Area_MI</vt:lpstr>
      <vt:lpstr>'WEST SUSSEX'!Print_Area_MI</vt:lpstr>
      <vt:lpstr>'WEST YORKSHIRE'!Print_Area_MI</vt:lpstr>
      <vt:lpstr>WESTMINSTER!Print_Area_MI</vt:lpstr>
      <vt:lpstr>WILTSHIRE!Print_Area_MI</vt:lpstr>
      <vt:lpstr>WORCESTERSHIRE!Print_Area_MI</vt:lpstr>
      <vt:lpstr>YORK!Print_Area_MI</vt:lpstr>
      <vt:lpstr>CONSTITUENCIES!Print_Titles</vt:lpstr>
      <vt:lpstr>REGIONS!Print_Titles</vt:lpstr>
      <vt:lpstr>CONSTITUENCIES!Print_Titles_MI</vt:lpstr>
      <vt:lpstr>REGIONS!Print_Titles_MI</vt:lpstr>
    </vt:vector>
  </TitlesOfParts>
  <Company>DCA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gtessier</dc:creator>
  <cp:lastModifiedBy>Roger Winter</cp:lastModifiedBy>
  <cp:lastPrinted>2018-03-22T10:08:56Z</cp:lastPrinted>
  <dcterms:created xsi:type="dcterms:W3CDTF">2009-03-26T15:03:04Z</dcterms:created>
  <dcterms:modified xsi:type="dcterms:W3CDTF">2018-03-22T16:16:58Z</dcterms:modified>
</cp:coreProperties>
</file>